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3.xml" ContentType="application/vnd.openxmlformats-officedocument.drawingml.chartshapes+xml"/>
  <Override PartName="/xl/charts/chart6.xml" ContentType="application/vnd.openxmlformats-officedocument.drawingml.chart+xml"/>
  <Override PartName="/xl/drawings/drawing14.xml" ContentType="application/vnd.openxmlformats-officedocument.drawingml.chartshapes+xml"/>
  <Override PartName="/xl/charts/chart7.xml" ContentType="application/vnd.openxmlformats-officedocument.drawingml.chart+xml"/>
  <Override PartName="/xl/drawings/drawing15.xml" ContentType="application/vnd.openxmlformats-officedocument.drawingml.chartshapes+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12.xml" ContentType="application/vnd.openxmlformats-officedocument.spreadsheetml.comments+xml"/>
  <Override PartName="/xl/drawings/drawing24.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workbookProtection workbookPassword="E65B" lockStructure="1"/>
  <bookViews>
    <workbookView xWindow="525" yWindow="285" windowWidth="2520" windowHeight="2640" tabRatio="913"/>
  </bookViews>
  <sheets>
    <sheet name="I" sheetId="227" r:id="rId1"/>
    <sheet name="D" sheetId="224" r:id="rId2"/>
    <sheet name="INDICE" sheetId="196" r:id="rId3"/>
    <sheet name="1" sheetId="217" r:id="rId4"/>
    <sheet name="2" sheetId="218" r:id="rId5"/>
    <sheet name="3" sheetId="213" r:id="rId6"/>
    <sheet name="4" sheetId="215" r:id="rId7"/>
    <sheet name="5" sheetId="214" r:id="rId8"/>
    <sheet name="6" sheetId="219" r:id="rId9"/>
    <sheet name="INFORME" sheetId="107" r:id="rId10"/>
    <sheet name="CResult" sheetId="105" state="hidden" r:id="rId11"/>
    <sheet name="Amortizaciones" sheetId="128" state="hidden" r:id="rId12"/>
    <sheet name="Pagoinversiones" sheetId="132" state="hidden" r:id="rId13"/>
    <sheet name="prestamos" sheetId="138" state="hidden" r:id="rId14"/>
    <sheet name="CTesorería" sheetId="133" state="hidden" r:id="rId15"/>
    <sheet name="5años" sheetId="148" state="hidden" r:id="rId16"/>
    <sheet name="SB" sheetId="131" state="hidden" r:id="rId17"/>
    <sheet name="SANDBOX" sheetId="162" state="hidden" r:id="rId18"/>
  </sheets>
  <externalReferences>
    <externalReference r:id="rId19"/>
  </externalReferences>
  <definedNames>
    <definedName name="_xlnm._FilterDatabase" localSheetId="16" hidden="1">SB!$X$176:$X$181</definedName>
    <definedName name="_GEE2" localSheetId="3">'1'!#REF!</definedName>
    <definedName name="_GEE2" localSheetId="4">'2'!#REF!</definedName>
    <definedName name="_GEE2" localSheetId="5">'3'!#REF!</definedName>
    <definedName name="_GEE2" localSheetId="6">'4'!#REF!</definedName>
    <definedName name="_GEE2" localSheetId="7">'5'!#REF!</definedName>
    <definedName name="_GEE2" localSheetId="8">'6'!#REF!</definedName>
    <definedName name="_GEE2" localSheetId="1">D!#REF!</definedName>
    <definedName name="_GEE2">SANDBOX!#REF!</definedName>
    <definedName name="AccountsReceivable_MY">[1]MultiYear!$H$123:$R$123</definedName>
    <definedName name="AcctsReceivable">[1]Balance!$I$59</definedName>
    <definedName name="activar">#REF!</definedName>
    <definedName name="activosintangibles">SB!$X$178:$X$181</definedName>
    <definedName name="activosintangiblesamort">SB!$X$177:$X$181</definedName>
    <definedName name="ADALTT5">#REF!</definedName>
    <definedName name="ADCAP">#REF!</definedName>
    <definedName name="ADCAP2">#REF!</definedName>
    <definedName name="ADHYCC">INDICE!#REF!</definedName>
    <definedName name="AJUSTAR">#REF!</definedName>
    <definedName name="ajustar1">#REF!</definedName>
    <definedName name="ajustedepreciaciones">#REF!</definedName>
    <definedName name="ALA">#REF!</definedName>
    <definedName name="AllocatedEquityCommon">[1]Valuation!$L$94</definedName>
    <definedName name="AllocatedEquityPreferred">[1]Valuation!$L$92</definedName>
    <definedName name="amortizacion">SB!$C$161:$C$162</definedName>
    <definedName name="AmortizeTrademarks">[1]Income!$H$84</definedName>
    <definedName name="ampliacioncapital">#REF!</definedName>
    <definedName name="ANAINV">#REF!</definedName>
    <definedName name="Annual_int">[1]Compounding!$F$58</definedName>
    <definedName name="Annuity_Int">[1]Compounding!$F$153</definedName>
    <definedName name="Annuity_Payment">[1]Compounding!$F$151</definedName>
    <definedName name="Annuity_Pds">[1]Compounding!$F$155</definedName>
    <definedName name="Annuity_Type">[1]Compounding!$F$157</definedName>
    <definedName name="añoconcesion">SB!$S$136:$S$139</definedName>
    <definedName name="añoconcesión">SB!$S$136:$S$139</definedName>
    <definedName name="AÑOS">SB!$E$177:$E$191</definedName>
    <definedName name="_xlnm.Print_Area" localSheetId="3">'1'!$D$3:$L$35</definedName>
    <definedName name="_xlnm.Print_Area" localSheetId="4">'2'!$D$3:$R$38</definedName>
    <definedName name="_xlnm.Print_Area" localSheetId="5">'3'!$D$3:$S$41</definedName>
    <definedName name="_xlnm.Print_Area" localSheetId="6">'4'!$D$3:$AE$35</definedName>
    <definedName name="_xlnm.Print_Area" localSheetId="7">'5'!$D$3:$S$26</definedName>
    <definedName name="_xlnm.Print_Area" localSheetId="8">'6'!$D$3:$S$37</definedName>
    <definedName name="_xlnm.Print_Area" localSheetId="1">D!$D$3:$S$31</definedName>
    <definedName name="_xlnm.Print_Area" localSheetId="2">INDICE!$C$1:$Q$36</definedName>
    <definedName name="_xlnm.Print_Area" localSheetId="9">INFORME!$D$8:$R$356</definedName>
    <definedName name="_xlnm.Print_Area" localSheetId="17">SANDBOX!$B$1:$S$19</definedName>
    <definedName name="ARRIBA1A" localSheetId="3">'1'!#REF!</definedName>
    <definedName name="ARRIBA1A" localSheetId="4">'2'!#REF!</definedName>
    <definedName name="ARRIBA1A" localSheetId="5">'3'!#REF!</definedName>
    <definedName name="ARRIBA1A" localSheetId="6">'4'!#REF!</definedName>
    <definedName name="ARRIBA1A" localSheetId="7">'5'!#REF!</definedName>
    <definedName name="ARRIBA1A" localSheetId="8">'6'!#REF!</definedName>
    <definedName name="ARRIBA1A" localSheetId="1">D!#REF!</definedName>
    <definedName name="ARRIBA1A">SANDBOX!#REF!</definedName>
    <definedName name="ARRIBAA1">#REF!</definedName>
    <definedName name="ARRIBAA2">#REF!</definedName>
    <definedName name="ARRIBAA3">#REF!</definedName>
    <definedName name="ARRIBAAJUS5">#REF!</definedName>
    <definedName name="ARRIBAB1">#REF!</definedName>
    <definedName name="ARRIBAB5">#REF!</definedName>
    <definedName name="ARRIBABAL">#REF!</definedName>
    <definedName name="ARRIBABAL5">#REF!</definedName>
    <definedName name="ARRIBABR5">#REF!</definedName>
    <definedName name="ARRIBAFIVE">#REF!</definedName>
    <definedName name="ARRIBAP">INFORME!#REF!</definedName>
    <definedName name="ARRIBAP5">#REF!</definedName>
    <definedName name="ARRIBAPE">#REF!</definedName>
    <definedName name="ARRIBAPF">#REF!</definedName>
    <definedName name="ARRIBAPI">#REF!</definedName>
    <definedName name="ARRIBAPr5">#REF!</definedName>
    <definedName name="ARRIBAPYG">INFORME!$A$82:$A$243</definedName>
    <definedName name="ARRIBAR1">#REF!</definedName>
    <definedName name="ARRIBAR2">#REF!</definedName>
    <definedName name="ARRIBARH">#REF!</definedName>
    <definedName name="ARRIBASPAIN">#REF!</definedName>
    <definedName name="ARRIBAT">#REF!</definedName>
    <definedName name="ARRIBAT5">#REF!</definedName>
    <definedName name="ARRIBATES">#REF!</definedName>
    <definedName name="ARRIBATR5">#REF!</definedName>
    <definedName name="ARRIBATRES">#REF!</definedName>
    <definedName name="avisso">#REF!</definedName>
    <definedName name="balance5">#REF!</definedName>
    <definedName name="balances">#REF!</definedName>
    <definedName name="BALANCESHEET">#REF!</definedName>
    <definedName name="BALANCETES5ANYS">#REF!</definedName>
    <definedName name="Block10Net">[1]Breakeven!$N$250</definedName>
    <definedName name="Block1Net">[1]Breakeven!$E$250</definedName>
    <definedName name="Block2Net">[1]Breakeven!$F$250</definedName>
    <definedName name="Block3Net">[1]Breakeven!$G$250</definedName>
    <definedName name="Block4Net">[1]Breakeven!$H$250</definedName>
    <definedName name="Block5Net">[1]Breakeven!$I$250</definedName>
    <definedName name="Block6Net">[1]Breakeven!$J$250</definedName>
    <definedName name="Block7Net">[1]Breakeven!$K$250</definedName>
    <definedName name="Block8Net">[1]Breakeven!$L$250</definedName>
    <definedName name="Block9Net">[1]Breakeven!$M$250</definedName>
    <definedName name="BlockSize">[1]Breakeven!$E$202</definedName>
    <definedName name="bonus">#REF!</definedName>
    <definedName name="BookValueShareCommon">[1]Valuation!$L$98</definedName>
    <definedName name="BookValueSharePreferred">[1]Valuation!$L$97</definedName>
    <definedName name="BPEI">#REF!</definedName>
    <definedName name="breakeven">#REF!</definedName>
    <definedName name="breakevenpoint">INFORME!$A$309:$A$380</definedName>
    <definedName name="BreakEvenQuantity">#REF!</definedName>
    <definedName name="budget">#REF!</definedName>
    <definedName name="BUSCARMES">SB!$E$65:$E$76</definedName>
    <definedName name="BUSCARMESINICIO">SB!$E$65:$E$76</definedName>
    <definedName name="BUSCARMESX">SB!$E$13:$E$24</definedName>
    <definedName name="BYPPRESUP">INFORME!$A$181:$A$293</definedName>
    <definedName name="CAGR_Periods">[1]CAGR!$F$29</definedName>
    <definedName name="capital">#REF!</definedName>
    <definedName name="CARENCIA">SB!$H$175:$H$177</definedName>
    <definedName name="Cash">[1]Balance!$I$55</definedName>
    <definedName name="cashflow">#REF!</definedName>
    <definedName name="CASHFLOW5ANYS">#REF!</definedName>
    <definedName name="CDLEYS">#REF!</definedName>
    <definedName name="CDLGOODS" localSheetId="3">'1'!#REF!</definedName>
    <definedName name="CDLGOODS" localSheetId="4">'2'!#REF!</definedName>
    <definedName name="CDLGOODS" localSheetId="5">'3'!#REF!</definedName>
    <definedName name="CDLGOODS" localSheetId="6">'4'!#REF!</definedName>
    <definedName name="CDLGOODS" localSheetId="7">'5'!#REF!</definedName>
    <definedName name="CDLGOODS" localSheetId="8">'6'!#REF!</definedName>
    <definedName name="CDLGOODS" localSheetId="1">D!#REF!</definedName>
    <definedName name="CDLGOODS">SANDBOX!#REF!</definedName>
    <definedName name="CDLV" localSheetId="3">'1'!#REF!</definedName>
    <definedName name="CDLV" localSheetId="4">'2'!#REF!</definedName>
    <definedName name="CDLV" localSheetId="5">'3'!#REF!</definedName>
    <definedName name="CDLV" localSheetId="6">'4'!#REF!</definedName>
    <definedName name="CDLV" localSheetId="7">'5'!#REF!</definedName>
    <definedName name="CDLV" localSheetId="8">'6'!#REF!</definedName>
    <definedName name="CDLV" localSheetId="1">D!#REF!</definedName>
    <definedName name="CDLV">SANDBOX!#REF!</definedName>
    <definedName name="CDLV2" localSheetId="3">'1'!#REF!</definedName>
    <definedName name="CDLV2" localSheetId="4">'2'!#REF!</definedName>
    <definedName name="CDLV2" localSheetId="5">'3'!#REF!</definedName>
    <definedName name="CDLV2" localSheetId="6">'4'!#REF!</definedName>
    <definedName name="CDLV2" localSheetId="7">'5'!#REF!</definedName>
    <definedName name="CDLV2" localSheetId="8">'6'!#REF!</definedName>
    <definedName name="CDLV2" localSheetId="1">D!#REF!</definedName>
    <definedName name="CDLV2">SANDBOX!#REF!</definedName>
    <definedName name="Cmpd_Int">[1]Compounding!$F$28</definedName>
    <definedName name="CmpdPerYr">[1]Compounding!$F$75</definedName>
    <definedName name="comisiones">#REF!</definedName>
    <definedName name="COMISSIONSITAS">#REF!</definedName>
    <definedName name="COMMERCIAL" localSheetId="3">'1'!#REF!</definedName>
    <definedName name="COMMERCIAL" localSheetId="4">'2'!#REF!</definedName>
    <definedName name="COMMERCIAL" localSheetId="5">'3'!#REF!</definedName>
    <definedName name="COMMERCIAL" localSheetId="6">'4'!#REF!</definedName>
    <definedName name="COMMERCIAL" localSheetId="7">'5'!#REF!</definedName>
    <definedName name="COMMERCIAL" localSheetId="8">'6'!#REF!</definedName>
    <definedName name="COMMERCIAL" localSheetId="1">D!#REF!</definedName>
    <definedName name="COMMERCIAL">SANDBOX!#REF!</definedName>
    <definedName name="CommonShares">[1]Income!$H$59</definedName>
    <definedName name="CommonShares_1_MY">[1]MultiYear!$H$64</definedName>
    <definedName name="CommonShares_MY">[1]MultiYear!$H$64:$R$64</definedName>
    <definedName name="CompanyName">[1]Income!$H$47</definedName>
    <definedName name="CompanyName_MY">[1]MultiYear!$H$46</definedName>
    <definedName name="consolidar">#REF!</definedName>
    <definedName name="ConstantIN">[1]Breakeven!$H$153</definedName>
    <definedName name="CONSUMIDOS" localSheetId="3">'1'!#REF!</definedName>
    <definedName name="CONSUMIDOS" localSheetId="4">'2'!#REF!</definedName>
    <definedName name="CONSUMIDOS" localSheetId="5">'3'!#REF!</definedName>
    <definedName name="CONSUMIDOS" localSheetId="6">'4'!#REF!</definedName>
    <definedName name="CONSUMIDOS" localSheetId="7">'5'!#REF!</definedName>
    <definedName name="CONSUMIDOS" localSheetId="8">'6'!#REF!</definedName>
    <definedName name="CONSUMIDOS" localSheetId="1">D!#REF!</definedName>
    <definedName name="CONSUMIDOS">SANDBOX!#REF!</definedName>
    <definedName name="ContributedCapital">[1]Balance!$I$128</definedName>
    <definedName name="ContributedCapital_MY">[1]MultiYear!$H$173:$R$173</definedName>
    <definedName name="costedelasventas">#REF!</definedName>
    <definedName name="COSTEVENTAS">#REF!</definedName>
    <definedName name="CostOfGoodsSold">[1]Income!$J$73</definedName>
    <definedName name="CostOfGoodsSold_MY">[1]MultiYear!$H$78:$R$78</definedName>
    <definedName name="Costs">[1]ROI!$F$36</definedName>
    <definedName name="CSVT">#REF!</definedName>
    <definedName name="CUADREBALANCE">#REF!</definedName>
    <definedName name="CUADREDELBALANCE">#REF!</definedName>
    <definedName name="CurrencyMultiplier">[1]Income!$H$51</definedName>
    <definedName name="CurrencyMultiplier_MY">[1]MultiYear!$H$50</definedName>
    <definedName name="CurrencySymbol">[1]Income!$H$49</definedName>
    <definedName name="CurrencySymbol_MY">[1]MultiYear!$H$48</definedName>
    <definedName name="CurrentAssets">[1]Balance!$J$68</definedName>
    <definedName name="CurrentLiabilities">[1]Balance!$J$113</definedName>
    <definedName name="CYE" localSheetId="3">'1'!#REF!</definedName>
    <definedName name="CYE" localSheetId="4">'2'!#REF!</definedName>
    <definedName name="CYE" localSheetId="5">'3'!#REF!</definedName>
    <definedName name="CYE" localSheetId="6">'4'!#REF!</definedName>
    <definedName name="CYE" localSheetId="7">'5'!#REF!</definedName>
    <definedName name="CYE" localSheetId="8">'6'!#REF!</definedName>
    <definedName name="CYE" localSheetId="1">D!#REF!</definedName>
    <definedName name="CYE">SANDBOX!#REF!</definedName>
    <definedName name="DBO">#REF!</definedName>
    <definedName name="DCF_int">[1]NPV!$F$32</definedName>
    <definedName name="departamento">SB!$K$137:$K$140</definedName>
    <definedName name="DeprecComputers">[1]Income!$H$93</definedName>
    <definedName name="DeprecOfficeEquip">[1]Income!$H$92</definedName>
    <definedName name="DeprecStoreEquip">[1]Income!$H$80</definedName>
    <definedName name="DiscRate_PB">[1]Payback!$M$58</definedName>
    <definedName name="DMEI">INDICE!#REF!</definedName>
    <definedName name="DoubtfulAccounts">[1]Income!$H$91</definedName>
    <definedName name="EarningsPerShare">[1]Income!$J$124</definedName>
    <definedName name="EFFECTS">#REF!</definedName>
    <definedName name="elbalancenocuadra">#REF!</definedName>
    <definedName name="EPS_MY">[1]MultiYear!$H$110:$R$110</definedName>
    <definedName name="establecimiento">#REF!</definedName>
    <definedName name="EVENTUAL">#REF!</definedName>
    <definedName name="excel">#REF!</definedName>
    <definedName name="ExtraOrdinaryAfterTax_MY">[1]MultiYear!$H$102:$R$102</definedName>
    <definedName name="ExtraordinaryItemRevenues">[1]Income!$H$112</definedName>
    <definedName name="ExtraordinaryItems">[1]Income!$J$116</definedName>
    <definedName name="ExtraordinaryItems_MY">[1]MultiYear!$H$102:$R$102</definedName>
    <definedName name="ExtraordinaryRevenues_MY">[1]MultiYear!$H$98:$R$98</definedName>
    <definedName name="ExtraordinaryTax_MY">[1]MultiYear!$H$101:$R$101</definedName>
    <definedName name="FHEMPN">INDICE!#REF!</definedName>
    <definedName name="Final_Value">[1]CAGR!$F$27</definedName>
    <definedName name="Finance_Rate">[1]IRR!$G$83</definedName>
    <definedName name="FINANCINGGG" localSheetId="3">'1'!#REF!</definedName>
    <definedName name="FINANCINGGG" localSheetId="4">'2'!#REF!</definedName>
    <definedName name="FINANCINGGG" localSheetId="5">'3'!#REF!</definedName>
    <definedName name="FINANCINGGG" localSheetId="6">'4'!#REF!</definedName>
    <definedName name="FINANCINGGG" localSheetId="7">'5'!#REF!</definedName>
    <definedName name="FINANCINGGG" localSheetId="8">'6'!#REF!</definedName>
    <definedName name="FINANCINGGG" localSheetId="1">D!#REF!</definedName>
    <definedName name="FINANCINGGG">SANDBOX!#REF!</definedName>
    <definedName name="FIXPERSONAL">#REF!</definedName>
    <definedName name="formacompra">SB!$C$155:$C$157</definedName>
    <definedName name="formas">#REF!</definedName>
    <definedName name="formaspago">SB!$C$120:$C$129</definedName>
    <definedName name="fpago">SB!$C$121:$C$129</definedName>
    <definedName name="FutureValue">[1]NPV!$F$38</definedName>
    <definedName name="FV_Int">[1]Compounding!$F$198</definedName>
    <definedName name="FV_Periods">[1]Compounding!$F$31</definedName>
    <definedName name="FV_Years">[1]Compounding!$F$202</definedName>
    <definedName name="FY_End">[1]Income!$H$53</definedName>
    <definedName name="FY_End_MY">[1]MultiYear!$H$52</definedName>
    <definedName name="FY_Start">[1]Income!$J$53</definedName>
    <definedName name="FY_Start_MY">[1]MultiYear!$J$52</definedName>
    <definedName name="FYDIF">#REF!</definedName>
    <definedName name="Gains">[1]ROI!$F$34</definedName>
    <definedName name="GARANTIA">#REF!</definedName>
    <definedName name="GASTOSCOMMERCIAL">#REF!</definedName>
    <definedName name="GASTOSESTABLE">#REF!</definedName>
    <definedName name="GASTOSGENERALES" localSheetId="3">'1'!#REF!</definedName>
    <definedName name="GASTOSGENERALES" localSheetId="4">'2'!#REF!</definedName>
    <definedName name="GASTOSGENERALES" localSheetId="5">'3'!#REF!</definedName>
    <definedName name="GASTOSGENERALES" localSheetId="6">'4'!#REF!</definedName>
    <definedName name="GASTOSGENERALES" localSheetId="7">'5'!#REF!</definedName>
    <definedName name="GASTOSGENERALES" localSheetId="8">'6'!#REF!</definedName>
    <definedName name="GASTOSGENERALES" localSheetId="1">D!#REF!</definedName>
    <definedName name="GASTOSGENERALES">SANDBOX!#REF!</definedName>
    <definedName name="gastosventas">#REF!</definedName>
    <definedName name="GCMK" localSheetId="3">'1'!#REF!</definedName>
    <definedName name="GCMK" localSheetId="4">'2'!#REF!</definedName>
    <definedName name="GCMK" localSheetId="5">'3'!#REF!</definedName>
    <definedName name="GCMK" localSheetId="6">'4'!#REF!</definedName>
    <definedName name="GCMK" localSheetId="7">'5'!#REF!</definedName>
    <definedName name="GCMK" localSheetId="8">'6'!#REF!</definedName>
    <definedName name="GCMK" localSheetId="1">D!#REF!</definedName>
    <definedName name="GCMK">SANDBOX!#REF!</definedName>
    <definedName name="GCVTAS" localSheetId="3">'1'!#REF!</definedName>
    <definedName name="GCVTAS" localSheetId="4">'2'!#REF!</definedName>
    <definedName name="GCVTAS" localSheetId="5">'3'!#REF!</definedName>
    <definedName name="GCVTAS" localSheetId="6">'4'!#REF!</definedName>
    <definedName name="GCVTAS" localSheetId="7">'5'!#REF!</definedName>
    <definedName name="GCVTAS" localSheetId="8">'6'!#REF!</definedName>
    <definedName name="GCVTAS" localSheetId="1">D!#REF!</definedName>
    <definedName name="GCVTAS">SANDBOX!#REF!</definedName>
    <definedName name="GCVTAS2" localSheetId="3">'1'!#REF!</definedName>
    <definedName name="GCVTAS2" localSheetId="4">'2'!#REF!</definedName>
    <definedName name="GCVTAS2" localSheetId="5">'3'!#REF!</definedName>
    <definedName name="GCVTAS2" localSheetId="6">'4'!#REF!</definedName>
    <definedName name="GCVTAS2" localSheetId="7">'5'!#REF!</definedName>
    <definedName name="GCVTAS2" localSheetId="8">'6'!#REF!</definedName>
    <definedName name="GCVTAS2" localSheetId="1">D!#REF!</definedName>
    <definedName name="GCVTAS2">SANDBOX!#REF!</definedName>
    <definedName name="GDLPDC">#REF!</definedName>
    <definedName name="GDLPDC2">#REF!</definedName>
    <definedName name="GDPS" localSheetId="3">'1'!#REF!</definedName>
    <definedName name="GDPS" localSheetId="4">'2'!#REF!</definedName>
    <definedName name="GDPS" localSheetId="5">'3'!#REF!</definedName>
    <definedName name="GDPS" localSheetId="6">'4'!#REF!</definedName>
    <definedName name="GDPS" localSheetId="7">'5'!#REF!</definedName>
    <definedName name="GDPS" localSheetId="8">'6'!#REF!</definedName>
    <definedName name="GDPS" localSheetId="1">D!#REF!</definedName>
    <definedName name="GDPS">SANDBOX!#REF!</definedName>
    <definedName name="GEE" localSheetId="3">'1'!#REF!</definedName>
    <definedName name="GEE" localSheetId="4">'2'!#REF!</definedName>
    <definedName name="GEE" localSheetId="5">'3'!#REF!</definedName>
    <definedName name="GEE" localSheetId="6">'4'!#REF!</definedName>
    <definedName name="GEE" localSheetId="7">'5'!#REF!</definedName>
    <definedName name="GEE" localSheetId="8">'6'!#REF!</definedName>
    <definedName name="GEE" localSheetId="1">D!#REF!</definedName>
    <definedName name="GEE">SANDBOX!#REF!</definedName>
    <definedName name="GenAdminExpense">[1]Income!$I$97</definedName>
    <definedName name="General_And_Admin_Expenses_MY">[1]MultiYear!$H$83:$R$83</definedName>
    <definedName name="GENERALCOSTS">#REF!</definedName>
    <definedName name="generales">#REF!</definedName>
    <definedName name="gestionpolizascredito">#REF!</definedName>
    <definedName name="GGENERALES" localSheetId="3">'1'!#REF!</definedName>
    <definedName name="GGENERALES" localSheetId="4">'2'!#REF!</definedName>
    <definedName name="GGENERALES" localSheetId="5">'3'!#REF!</definedName>
    <definedName name="GGENERALES" localSheetId="6">'4'!#REF!</definedName>
    <definedName name="GGENERALES" localSheetId="7">'5'!#REF!</definedName>
    <definedName name="GGENERALES" localSheetId="8">'6'!#REF!</definedName>
    <definedName name="GGENERALES" localSheetId="1">D!#REF!</definedName>
    <definedName name="GGENERALES">SANDBOX!#REF!</definedName>
    <definedName name="GNE">#REF!</definedName>
    <definedName name="GRAFA3">#REF!</definedName>
    <definedName name="GRAFIKB1">#REF!</definedName>
    <definedName name="GRAFIKR1">#REF!</definedName>
    <definedName name="GRAFIKR2">#REF!</definedName>
    <definedName name="GRAFIKRH">#REF!</definedName>
    <definedName name="GRAFIKSBR5">#REF!</definedName>
    <definedName name="GRAFIKSPR5">#REF!</definedName>
    <definedName name="GRAFIKSTR5">#REF!</definedName>
    <definedName name="GrossProfit">[1]Income!$J$74</definedName>
    <definedName name="GrossProfit_MY">[1]MultiYear!$H$79:$R$79</definedName>
    <definedName name="Guess_IRR">[1]IRR!$G$50</definedName>
    <definedName name="gustos">#REF!</definedName>
    <definedName name="HighestUnits">[1]Breakeven!$H$161</definedName>
    <definedName name="HUMANRESOURC">#REF!</definedName>
    <definedName name="IEANC">#REF!</definedName>
    <definedName name="IGF" localSheetId="3">'1'!#REF!</definedName>
    <definedName name="IGF" localSheetId="4">'2'!#REF!</definedName>
    <definedName name="IGF" localSheetId="5">'3'!#REF!</definedName>
    <definedName name="IGF" localSheetId="6">'4'!#REF!</definedName>
    <definedName name="IGF" localSheetId="7">'5'!#REF!</definedName>
    <definedName name="IGF" localSheetId="8">'6'!#REF!</definedName>
    <definedName name="IGF" localSheetId="1">D!#REF!</definedName>
    <definedName name="IGF">SANDBOX!#REF!</definedName>
    <definedName name="importante">#REF!</definedName>
    <definedName name="IncBeforeExtra">[1]Income!$J$109</definedName>
    <definedName name="IncBeforeExtra_MY">[1]MultiYear!$H$95:$R$95</definedName>
    <definedName name="IncBeforeTaxAndExtra">[1]Income!$J$106</definedName>
    <definedName name="IncBeforeTaxAndExtra_MY">[1]MultiYear!$H$92:$R$92</definedName>
    <definedName name="INCENTIVEM">#REF!</definedName>
    <definedName name="IncrementalBenefits">[1]CashFlow!$E$90:$N$90</definedName>
    <definedName name="IncrementalCosts">[1]CashFlow!$E$91:$N$91</definedName>
    <definedName name="IncTaxOperating_MY">[1]MultiYear!$H$93:$R$93</definedName>
    <definedName name="INDEXXXX">INDICE!$A$1:$A$98</definedName>
    <definedName name="INFO2B">#REF!</definedName>
    <definedName name="INFO3A">#REF!</definedName>
    <definedName name="info5años">INDICE!$A$1416:$A$1443</definedName>
    <definedName name="INFOA3">#REF!</definedName>
    <definedName name="INFOAJUSTES">#REF!</definedName>
    <definedName name="INFOB1">#REF!</definedName>
    <definedName name="INFOB5">#REF!</definedName>
    <definedName name="INFOBAL">#REF!</definedName>
    <definedName name="INFOBAL5">#REF!</definedName>
    <definedName name="INFOBR5">#REF!</definedName>
    <definedName name="infocobroypago">INDICE!$A$1290:$A$1351</definedName>
    <definedName name="infocostedeventas">INDICE!$A$535:$A$551</definedName>
    <definedName name="infodepositos">INDICE!$A$961:$A$1016</definedName>
    <definedName name="infofinanciacion">INDICE!$A$1086:$A$1175</definedName>
    <definedName name="INFOGASTOS">INDICE!$A$717:$A$796</definedName>
    <definedName name="INFOGENERAL">INDICE!#REF!</definedName>
    <definedName name="infogral">#REF!</definedName>
    <definedName name="INFOGRAL2">INDICE!#REF!</definedName>
    <definedName name="INFOIMPORTANT">INDICE!$A$147:$A$197</definedName>
    <definedName name="infoingresos">INDICE!$A$485:$A$535</definedName>
    <definedName name="INFOINVERSIONES">INDICE!$A$931:$A$986</definedName>
    <definedName name="INFOP5">#REF!</definedName>
    <definedName name="INFOPE">#REF!</definedName>
    <definedName name="INFOPERSONAL">INDICE!$A$825:$A$882</definedName>
    <definedName name="INFOPF">#REF!</definedName>
    <definedName name="infoPI">#REF!</definedName>
    <definedName name="infoplannegocio">INDICE!$A$149:$A$178</definedName>
    <definedName name="INFOPR5">#REF!</definedName>
    <definedName name="INFOPYG">INFORME!$A$505:$A$547</definedName>
    <definedName name="INFOR2">#REF!</definedName>
    <definedName name="INFORH">#REF!</definedName>
    <definedName name="INFOT5">#REF!</definedName>
    <definedName name="INFOTE">#REF!</definedName>
    <definedName name="INFOTes">#REF!</definedName>
    <definedName name="INFOTR5">#REF!</definedName>
    <definedName name="ingresos1">#REF!</definedName>
    <definedName name="ingygstfinancieros">#REF!</definedName>
    <definedName name="Initial_PV">[1]Compounding!$F$149</definedName>
    <definedName name="INMOFINANCIERO">#REF!</definedName>
    <definedName name="INMOVILIZATE">#REF!</definedName>
    <definedName name="InputsBalance_MY">[1]MultiYear!$H$121:$R$126,[1]MultiYear!$H$130:$R$133,[1]MultiYear!$H$137:$R$138,[1]MultiYear!$H$142:$R$142,[1]MultiYear!$H$144:$R$144,[1]MultiYear!$H$151:$R$157,[1]MultiYear!$H$161:$R$162,[1]MultiYear!$H$170:$R$172</definedName>
    <definedName name="InputsIncome_MY">[1]MultiYear!$H$77:$R$78,[1]MultiYear!$H$82:$R$83,[1]MultiYear!$H$89:$R$90,[1]MultiYear!$H$98:$R$99</definedName>
    <definedName name="InputsRetained_MY">[1]MultiYear!$J$185</definedName>
    <definedName name="InputsSCFP_MY">[1]MultiYear!$H$213:$R$213,[1]MultiYear!$H$221:$R$221,[1]MultiYear!$H$226:$R$226,[1]MultiYear!$H$228:$R$228,[1]MultiYear!$H$240:$R$241,[1]MultiYear!$H$243:$R$243,[1]MultiYear!$H$245:$R$245,[1]MultiYear!$H$247:$R$248</definedName>
    <definedName name="IntangibleAssets">[1]Balance!$J$96</definedName>
    <definedName name="interest">[1]NPV!$F$32</definedName>
    <definedName name="InterestExpense">[1]Income!$I$104</definedName>
    <definedName name="InterestExpense_MY">[1]MultiYear!$H$90:$R$90</definedName>
    <definedName name="Inventories">[1]Balance!$I$66</definedName>
    <definedName name="InventoryTurns">[1]Activity!$J$87</definedName>
    <definedName name="INVERINMATERIAL">#REF!</definedName>
    <definedName name="INVERMATERIAL">#REF!</definedName>
    <definedName name="inverposterior">#REF!</definedName>
    <definedName name="inversiones">#REF!</definedName>
    <definedName name="INVEST2">#REF!</definedName>
    <definedName name="InvestmentRevenues">[1]Income!$I$103</definedName>
    <definedName name="InvestmentRevenues_MY">[1]MultiYear!$H$89:$R$89</definedName>
    <definedName name="ITV" localSheetId="3">'1'!#REF!</definedName>
    <definedName name="ITV" localSheetId="4">'2'!#REF!</definedName>
    <definedName name="ITV" localSheetId="5">'3'!#REF!</definedName>
    <definedName name="ITV" localSheetId="6">'4'!#REF!</definedName>
    <definedName name="ITV" localSheetId="7">'5'!#REF!</definedName>
    <definedName name="ITV" localSheetId="8">'6'!#REF!</definedName>
    <definedName name="ITV" localSheetId="1">D!#REF!</definedName>
    <definedName name="ITV">SANDBOX!#REF!</definedName>
    <definedName name="kapital">#REF!</definedName>
    <definedName name="LEASING">SB!$J$122:$J$124</definedName>
    <definedName name="leasings">SB!$C$165:$C$166</definedName>
    <definedName name="liquidacionhacienda">SB!$C$170:$C$172</definedName>
    <definedName name="LongTermInvest">[1]Balance!$J$75</definedName>
    <definedName name="LongTermLiabilities">[1]Balance!$J$118</definedName>
    <definedName name="LongTermLiabilities_MY">[1]MultiYear!$H$163:$R$163</definedName>
    <definedName name="LowestSVC">[1]Breakeven!#REF!</definedName>
    <definedName name="LowestSVIN">[1]Breakeven!#REF!</definedName>
    <definedName name="LowestUnits">[1]Breakeven!$H$159</definedName>
    <definedName name="mesconcesion">SB!$P$136:$P$147</definedName>
    <definedName name="meses">SB!$C$135:$C$146</definedName>
    <definedName name="mesesinicio">SB!$D$65:$D$76</definedName>
    <definedName name="mesesx">SB!$B$13:$B$24</definedName>
    <definedName name="mesinicio">SB!$G$147:$G$158</definedName>
    <definedName name="modificacion">#REF!</definedName>
    <definedName name="MUNPAGOSAÑO">SB!$R$122:$R$126</definedName>
    <definedName name="Net_Financial_Gain_Loss_MY">[1]MultiYear!$H$91:$R$91</definedName>
    <definedName name="NetExpenseCash">[1]Retained!#REF!</definedName>
    <definedName name="NetExtraordinary_MY">[1]MultiYear!$H$100:$R$100</definedName>
    <definedName name="NetGainExtraordinaryItem">[1]Income!$I$114</definedName>
    <definedName name="NetGainExtraordinaryItem_MY">[1]MultiYear!$H$100:$R$100</definedName>
    <definedName name="NetIncome">[1]Income!$J$118</definedName>
    <definedName name="NetIncome_MY">[1]MultiYear!$H$104:$R$104</definedName>
    <definedName name="NetIncrementalCashFlow">[1]CashFlow!$E$92:$N$92</definedName>
    <definedName name="NetSalesRevenue">[1]Income!$J$71</definedName>
    <definedName name="NetSalesRevenue_MY">[1]MultiYear!$H$77:$R$77</definedName>
    <definedName name="NIEANC">#REF!</definedName>
    <definedName name="NOTAFINANC">#REF!</definedName>
    <definedName name="NOTAGASTOSOPER">#REF!</definedName>
    <definedName name="NOTAPERSONAL">#REF!</definedName>
    <definedName name="NOTASCASHFLOW">#REF!</definedName>
    <definedName name="NOTASCINCOAÑOS">#REF!</definedName>
    <definedName name="NOTASINGRESOS">#REF!</definedName>
    <definedName name="NOTASVARIAS">#REF!</definedName>
    <definedName name="NotesReceivable">[1]Balance!$I$60</definedName>
    <definedName name="NPREST">#REF!</definedName>
    <definedName name="NPREST2">#REF!</definedName>
    <definedName name="NPV_Int">[1]NPV!$J$68</definedName>
    <definedName name="NumberOfEmployees">[1]Activity!$H$42</definedName>
    <definedName name="NumberOfEmployees_MY">[1]MultiYear!$H$68:$R$68</definedName>
    <definedName name="NUMEROMES">SB!$D$65:$D$76</definedName>
    <definedName name="NUMES">SB!$D$65:$D$76</definedName>
    <definedName name="NUMESX">SB!$D$13:$D$24</definedName>
    <definedName name="OIIEYO" localSheetId="3">'1'!#REF!</definedName>
    <definedName name="OIIEYO" localSheetId="4">'2'!#REF!</definedName>
    <definedName name="OIIEYO" localSheetId="5">'3'!#REF!</definedName>
    <definedName name="OIIEYO" localSheetId="6">'4'!#REF!</definedName>
    <definedName name="OIIEYO" localSheetId="7">'5'!#REF!</definedName>
    <definedName name="OIIEYO" localSheetId="8">'6'!#REF!</definedName>
    <definedName name="OIIEYO" localSheetId="1">D!#REF!</definedName>
    <definedName name="OIIEYO">SANDBOX!#REF!</definedName>
    <definedName name="OpExpense">[1]Income!$J$98</definedName>
    <definedName name="OpExpense_MY">[1]MultiYear!$H$84:$R$84</definedName>
    <definedName name="OpIncAfterTax">[1]Income!$J$109</definedName>
    <definedName name="OpIncBeforeTax">[1]Income!$J$100</definedName>
    <definedName name="OpIncBeforeTax_MY">[1]MultiYear!$H$86:$R$86</definedName>
    <definedName name="OpIncome">[1]Income!$J$100</definedName>
    <definedName name="OpIncomeTax">[1]Income!$J$107</definedName>
    <definedName name="OtherAssets">[1]Balance!$J$98</definedName>
    <definedName name="OTROSING" localSheetId="3">'1'!#REF!</definedName>
    <definedName name="OTROSING" localSheetId="4">'2'!#REF!</definedName>
    <definedName name="OTROSING" localSheetId="5">'3'!#REF!</definedName>
    <definedName name="OTROSING" localSheetId="6">'4'!#REF!</definedName>
    <definedName name="OTROSING" localSheetId="7">'5'!#REF!</definedName>
    <definedName name="OTROSING" localSheetId="8">'6'!#REF!</definedName>
    <definedName name="OTROSING" localSheetId="1">D!#REF!</definedName>
    <definedName name="OTROSING">SANDBOX!#REF!</definedName>
    <definedName name="pagoiva">SB!$M$148:$M$151</definedName>
    <definedName name="pagosaño">SB!$P$122:$P$126</definedName>
    <definedName name="pcorto">SB!$N$122:$N$123</definedName>
    <definedName name="PDD">#REF!</definedName>
    <definedName name="PdsPerYr">[1]NPV!$F$105</definedName>
    <definedName name="PdsPerYr_FV">[1]Compounding!$F$200</definedName>
    <definedName name="PeriodsGrowth">[1]Growth!$I$24</definedName>
    <definedName name="plargo">SB!$G$122:$G$139</definedName>
    <definedName name="plazopago">SB!$E$148:$E$154</definedName>
    <definedName name="polizasydividendos">#REF!</definedName>
    <definedName name="POLIZEI">#REF!</definedName>
    <definedName name="polizeicredit">#REF!</definedName>
    <definedName name="PORTADAP5">#REF!</definedName>
    <definedName name="PORTADAPRES">INFORME!$A$7:$A$117</definedName>
    <definedName name="PPEquip">[1]Balance!$J$87</definedName>
    <definedName name="PPEquip_MY">[1]MultiYear!$H$139:$R$139</definedName>
    <definedName name="PreferredCumDividend">[1]Valuation!$K$90</definedName>
    <definedName name="PreferredLiquidation">[1]Valuation!$K$87</definedName>
    <definedName name="PreferredShares">[1]Income!$H$61</definedName>
    <definedName name="PreferredShares_1_MY">[1]MultiYear!$H$66</definedName>
    <definedName name="PreferredShares_MY">[1]MultiYear!$H$66:$R$66</definedName>
    <definedName name="Prepaid">[1]Balance!$I$67</definedName>
    <definedName name="PresentValue">[1]Compounding!$F$34</definedName>
    <definedName name="prestamos">#REF!</definedName>
    <definedName name="PRESUPCASHFLOW">INFORME!$A$231:$A$314</definedName>
    <definedName name="previsiondetallada">#REF!</definedName>
    <definedName name="previsionrapida">#REF!</definedName>
    <definedName name="PROMOPLANES">INDICE!$A$303:$A$377</definedName>
    <definedName name="ProposalInflows">[1]CashFlow!$E$47:$N$47</definedName>
    <definedName name="ProposalOutflows">[1]CashFlow!$E$48:$N$48</definedName>
    <definedName name="PSM">#REF!</definedName>
    <definedName name="PV_Periods">[1]NPV!$F$35</definedName>
    <definedName name="PYG5ANYS">#REF!</definedName>
    <definedName name="PYGPRESUP">INFORME!$A$78:$A$162</definedName>
    <definedName name="RAP">#REF!</definedName>
    <definedName name="RECURSOSAJENOS">#REF!</definedName>
    <definedName name="Reinvest_Rate">[1]IRR!$G$85</definedName>
    <definedName name="repolizas">SB!$H$166:$H$167</definedName>
    <definedName name="respuesta">SB!$C$176:$C$177</definedName>
    <definedName name="RetainedEarnings">[1]Balance!$I$130</definedName>
    <definedName name="RetainedEarnings_Bal_MY">[1]MultiYear!$H$175:$R$175</definedName>
    <definedName name="RetainedEarnings_MY">[1]MultiYear!$H$175:$R$175</definedName>
    <definedName name="RetainedEarningsBalance">[1]Retained!$I$45</definedName>
    <definedName name="RetainedEarningsBalance_MY">[1]MultiYear!$H$197:$R$197</definedName>
    <definedName name="RetainedEarningsFirstBalance_MY">[1]MultiYear!$J$185</definedName>
    <definedName name="RetainedEarningsStartYear_MY">[1]MultiYear!$J$184</definedName>
    <definedName name="rrhh">#REF!</definedName>
    <definedName name="salarios">#REF!</definedName>
    <definedName name="SalesPerDay">[1]Activity!$J$175</definedName>
    <definedName name="SCFP_CommonDividends">[1]FinCashFlow!$J$78</definedName>
    <definedName name="SCFP_CommonDividends_MY">[1]MultiYear!$H$241:$R$241</definedName>
    <definedName name="SCFP_InflowFromAssetSale">[1]Retained!#REF!</definedName>
    <definedName name="SCFP_InflowFromFinancing">[1]Retained!#REF!</definedName>
    <definedName name="SCFP_InflowFromOpsAndInvest">[1]Retained!#REF!</definedName>
    <definedName name="SCFP_NetExpenseCash">[1]Retained!#REF!</definedName>
    <definedName name="SCFP_NetInflowFromExtraordinary">[1]Retained!#REF!</definedName>
    <definedName name="SCFP_NonCashExpenses">[1]Retained!#REF!</definedName>
    <definedName name="SCFP_OpExpenses">[1]Retained!#REF!</definedName>
    <definedName name="SCFP_PreferredDividends">[1]FinCashFlow!$J$77</definedName>
    <definedName name="SCFP_PreferredDividends_MY">[1]MultiYear!$H$240:$R$240</definedName>
    <definedName name="SCFP_SalesAndInvestmentRevenues">[1]Retained!$J$41</definedName>
    <definedName name="SCFP_TotalCashFlow">[1]FinCashFlow!$K$89</definedName>
    <definedName name="SCFP_TotalCashInflows">[1]FinCashFlow!$K$72</definedName>
    <definedName name="SCFP_TotalCashOutflows">[1]FinCashFlow!$K$87</definedName>
    <definedName name="SEISMESES">SB!$J$144:$J$149</definedName>
    <definedName name="SellingExpense">[1]Income!$I$86</definedName>
    <definedName name="SellingExpenses_MY">[1]MultiYear!$H$82:$R$82</definedName>
    <definedName name="SemiVariableCostArray">[1]Breakeven!$H$150:$L$151</definedName>
    <definedName name="SemiVariableInflowArray">[1]Breakeven!$H$156:$L$157</definedName>
    <definedName name="SharePrice">[1]Valuation!$H$46</definedName>
    <definedName name="ShortTermInvestments">[1]Balance!$I$56</definedName>
    <definedName name="sino">SB!$C$183</definedName>
    <definedName name="SNE">#REF!</definedName>
    <definedName name="Start_Value">[1]CAGR!$F$25</definedName>
    <definedName name="StartingPV">[1]Compounding!$F$56</definedName>
    <definedName name="SUBVENCIONES">#REF!</definedName>
    <definedName name="SVCChangePCT">[1]Breakeven!#REF!</definedName>
    <definedName name="SVCChangeUnits">[1]Breakeven!#REF!</definedName>
    <definedName name="SVINChangePCT">[1]Breakeven!#REF!</definedName>
    <definedName name="SVINChangeUnits">[1]Breakeven!#REF!</definedName>
    <definedName name="TaxExtraOrdinaryItem">[1]Income!$I$115</definedName>
    <definedName name="TaxExtraOrdinaryItem_MY">[1]MultiYear!$H$101</definedName>
    <definedName name="TaxOnExtraordinaryItem1">[1]Income!$I$116</definedName>
    <definedName name="TaxRateExtra">[1]Income!$H$57</definedName>
    <definedName name="TaxRateExtra_1_MY">[1]MultiYear!$H$62</definedName>
    <definedName name="TaxRateExtra_MY">[1]MultiYear!$H$62:$R$62</definedName>
    <definedName name="TaxRateOperating">[1]Income!$H$55</definedName>
    <definedName name="TaxRateOperating_1_MY">[1]MultiYear!$H$60</definedName>
    <definedName name="TaxRateOperating_MY">[1]MultiYear!$H$60:$R$60</definedName>
    <definedName name="tesoreria">#REF!</definedName>
    <definedName name="tesoreria5">#REF!</definedName>
    <definedName name="tiposdeactivos">SB!$X$169:$X$174</definedName>
    <definedName name="Total_semivariable_costs">[1]Breakeven!$E$226</definedName>
    <definedName name="TotalAssets">[1]Balance!$J$100</definedName>
    <definedName name="TotalAssets_MY">[1]MultiYear!$H$146:$R$146</definedName>
    <definedName name="TotalCosts">#REF!</definedName>
    <definedName name="TotalCostsSVC">[1]Breakeven!$E$231:$N$231</definedName>
    <definedName name="TotalCurrentAssets_MY">[1]MultiYear!$H$127:$R$127</definedName>
    <definedName name="TotalCurrentLiabilities_MY">[1]MultiYear!$H$158:$R$158</definedName>
    <definedName name="TotalEquity">[1]Balance!$J$132</definedName>
    <definedName name="TotalEquity_MY">[1]MultiYear!$H$177:$R$177</definedName>
    <definedName name="TotalFC">[1]Breakeven!$H$145</definedName>
    <definedName name="TotalFixedCost">#REF!</definedName>
    <definedName name="TotalInConst">[1]Breakeven!$E$235:$N$235</definedName>
    <definedName name="TotalInflow">#REF!</definedName>
    <definedName name="TotalInflowsSVC">[1]Breakeven!$E$245:$N$245</definedName>
    <definedName name="TotalInventories_MY">[1]MultiYear!$H$125:$R$125</definedName>
    <definedName name="TotalLiabAndEquity">[1]Balance!$J$134</definedName>
    <definedName name="TotalLiabilities">[1]Balance!$J$120</definedName>
    <definedName name="TotalLiabilities_MY">[1]MultiYear!$H$165:$R$165</definedName>
    <definedName name="TotalSVC">[1]Breakeven!$E$226:$N$226</definedName>
    <definedName name="TotalSVIN">[1]Breakeven!$E$240:$N$240</definedName>
    <definedName name="TotalVariableCost">#REF!</definedName>
    <definedName name="TotalVC">[1]Breakeven!$E$221:$N$221</definedName>
    <definedName name="UDEH" localSheetId="3">'1'!#REF!</definedName>
    <definedName name="UDEH" localSheetId="4">'2'!#REF!</definedName>
    <definedName name="UDEH" localSheetId="5">'3'!#REF!</definedName>
    <definedName name="UDEH" localSheetId="6">'4'!#REF!</definedName>
    <definedName name="UDEH" localSheetId="7">'5'!#REF!</definedName>
    <definedName name="UDEH" localSheetId="8">'6'!#REF!</definedName>
    <definedName name="UDEH" localSheetId="1">D!#REF!</definedName>
    <definedName name="UDEH">SANDBOX!#REF!</definedName>
    <definedName name="UDEH1B">#REF!</definedName>
    <definedName name="UDEH1C">#REF!</definedName>
    <definedName name="UDLHR1">#REF!</definedName>
    <definedName name="UnitInflow">#REF!</definedName>
    <definedName name="Units">#REF!</definedName>
    <definedName name="Units1">[1]Breakeven!$E$212</definedName>
    <definedName name="Units10">[1]Breakeven!$N$212</definedName>
    <definedName name="Units2">[1]Breakeven!$F$212</definedName>
    <definedName name="Units3">[1]Breakeven!$G$212</definedName>
    <definedName name="Units4">[1]Breakeven!$H$212</definedName>
    <definedName name="Units5">[1]Breakeven!$I$212</definedName>
    <definedName name="Units6">[1]Breakeven!$J$212</definedName>
    <definedName name="Units7">[1]Breakeven!$K$212</definedName>
    <definedName name="Units8">[1]Breakeven!$L$212</definedName>
    <definedName name="Units9">[1]Breakeven!$M$212</definedName>
    <definedName name="UnitsSVC">[1]Breakeven!$E$212:$N$212</definedName>
    <definedName name="UnitVariableCost">#REF!</definedName>
    <definedName name="UnitVC">[1]Breakeven!$H$147</definedName>
    <definedName name="USO">#REF!</definedName>
    <definedName name="Yr10CumCF">[1]Payback!$N$32</definedName>
    <definedName name="Yr10CumDiscCF">[1]Payback!$N$67</definedName>
    <definedName name="Yr10DiscCF">[1]Payback!$N$66</definedName>
    <definedName name="Yr10NetCF">[1]Payback!$N$28</definedName>
    <definedName name="Yr1CumCF">[1]Payback!$E$32</definedName>
    <definedName name="Yr1CumDiscCF">[1]Payback!$E$67</definedName>
    <definedName name="Yr1DiscCF">[1]Payback!$E$66</definedName>
    <definedName name="Yr1NetCF">[1]Payback!$E$28</definedName>
    <definedName name="Yr2CumCF">[1]Payback!$F$32</definedName>
    <definedName name="Yr2CumDiscCF">[1]Payback!$F$67</definedName>
    <definedName name="Yr2DiscCF">[1]Payback!$F$66</definedName>
    <definedName name="Yr2NetCF">[1]Payback!$F$28</definedName>
    <definedName name="Yr3CumCF">[1]Payback!$G$32</definedName>
    <definedName name="Yr3CumDiscCF">[1]Payback!$G$67</definedName>
    <definedName name="Yr3DiscCF">[1]Payback!$G$66</definedName>
    <definedName name="Yr3NetCF">[1]Payback!$G$28</definedName>
    <definedName name="Yr4CumCF">[1]Payback!$H$32</definedName>
    <definedName name="Yr4CumDiscCF">[1]Payback!$H$67</definedName>
    <definedName name="Yr4DiscCF">[1]Payback!$H$66</definedName>
    <definedName name="Yr4NetCF">[1]Payback!$H$28</definedName>
    <definedName name="Yr5CumCF">[1]Payback!$I$32</definedName>
    <definedName name="Yr5CumDiscCF">[1]Payback!$I$67</definedName>
    <definedName name="Yr5DiscCF">[1]Payback!$I$66</definedName>
    <definedName name="Yr5NetCF">[1]Payback!$I$28</definedName>
    <definedName name="Yr5Outflow">[1]ROI!#REF!</definedName>
    <definedName name="Yr6CumCF">[1]Payback!$J$32</definedName>
    <definedName name="Yr6CumDiscCF">[1]Payback!$J$67</definedName>
    <definedName name="Yr6DiscCF">[1]Payback!$J$66</definedName>
    <definedName name="Yr6NetCF">[1]Payback!$J$28</definedName>
    <definedName name="Yr7CumCF">[1]Payback!$K$32</definedName>
    <definedName name="Yr7CumDiscCF">[1]Payback!$K$67</definedName>
    <definedName name="Yr7DiscCF">[1]Payback!$K$66</definedName>
    <definedName name="Yr7NetCF">[1]Payback!$K$28</definedName>
    <definedName name="Yr8CumCF">[1]Payback!$L$32</definedName>
    <definedName name="Yr8CumDiscCF">[1]Payback!$L$67</definedName>
    <definedName name="Yr8DiscCF">[1]Payback!$L$66</definedName>
    <definedName name="Yr8NetCF">[1]Payback!$L$28</definedName>
    <definedName name="Yr9CumCF">[1]Payback!$M$32</definedName>
    <definedName name="Yr9CumDiscCF">[1]Payback!$M$67</definedName>
    <definedName name="Yr9DiscCF">[1]Payback!$M$66</definedName>
    <definedName name="Yr9NetCF">[1]Payback!$M$28</definedName>
  </definedNames>
  <calcPr calcId="145621"/>
</workbook>
</file>

<file path=xl/calcChain.xml><?xml version="1.0" encoding="utf-8"?>
<calcChain xmlns="http://schemas.openxmlformats.org/spreadsheetml/2006/main">
  <c r="D13" i="105" l="1"/>
  <c r="G40" i="213"/>
  <c r="K3" i="107"/>
  <c r="F4" i="162"/>
  <c r="G4" i="162"/>
  <c r="H4" i="162"/>
  <c r="I4" i="162"/>
  <c r="J4" i="162"/>
  <c r="K4" i="162"/>
  <c r="L4" i="162"/>
  <c r="M4" i="162"/>
  <c r="N4" i="162"/>
  <c r="O4" i="162"/>
  <c r="P4" i="162"/>
  <c r="Q4" i="162"/>
  <c r="I44" i="107"/>
  <c r="G72" i="214"/>
  <c r="F5" i="162" s="1"/>
  <c r="H72" i="214"/>
  <c r="G5" i="162" s="1"/>
  <c r="I72" i="214"/>
  <c r="H5" i="162" s="1"/>
  <c r="J72" i="214"/>
  <c r="I5" i="162" s="1"/>
  <c r="K72" i="214"/>
  <c r="J5" i="162" s="1"/>
  <c r="L72" i="214"/>
  <c r="K5" i="162" s="1"/>
  <c r="M72" i="214"/>
  <c r="L5" i="162" s="1"/>
  <c r="N72" i="214"/>
  <c r="M5" i="162" s="1"/>
  <c r="O72" i="214"/>
  <c r="N5" i="162" s="1"/>
  <c r="P72" i="214"/>
  <c r="O5" i="162" s="1"/>
  <c r="Q72" i="214"/>
  <c r="P5" i="162" s="1"/>
  <c r="R72" i="214"/>
  <c r="Q5" i="162" s="1"/>
  <c r="H666" i="131"/>
  <c r="I1033" i="162" s="1"/>
  <c r="G73" i="214"/>
  <c r="F18" i="162"/>
  <c r="F17" i="162" s="1"/>
  <c r="H73" i="214"/>
  <c r="G18" i="162" s="1"/>
  <c r="G17" i="162" s="1"/>
  <c r="I73" i="214"/>
  <c r="H18" i="162" s="1"/>
  <c r="H17" i="162" s="1"/>
  <c r="J108" i="105" s="1"/>
  <c r="J73" i="214"/>
  <c r="I18" i="162" s="1"/>
  <c r="I17" i="162" s="1"/>
  <c r="K73" i="214"/>
  <c r="J18" i="162"/>
  <c r="J17" i="162" s="1"/>
  <c r="L73" i="214"/>
  <c r="K18" i="162" s="1"/>
  <c r="K17" i="162" s="1"/>
  <c r="M73" i="214"/>
  <c r="L18" i="162" s="1"/>
  <c r="L17" i="162" s="1"/>
  <c r="N108" i="105" s="1"/>
  <c r="N73" i="214"/>
  <c r="M18" i="162" s="1"/>
  <c r="M17" i="162" s="1"/>
  <c r="O73" i="214"/>
  <c r="N18" i="162"/>
  <c r="N17" i="162" s="1"/>
  <c r="P73" i="214"/>
  <c r="O18" i="162" s="1"/>
  <c r="O17" i="162" s="1"/>
  <c r="Q73" i="214"/>
  <c r="P18" i="162" s="1"/>
  <c r="P17" i="162" s="1"/>
  <c r="R73" i="214"/>
  <c r="Q18" i="162" s="1"/>
  <c r="Q17" i="162" s="1"/>
  <c r="E668" i="131"/>
  <c r="F668" i="131" s="1"/>
  <c r="G668" i="131" s="1"/>
  <c r="H668" i="131" s="1"/>
  <c r="I668" i="131" s="1"/>
  <c r="F666" i="131"/>
  <c r="G1033" i="162" s="1"/>
  <c r="G666" i="131"/>
  <c r="H1033" i="162" s="1"/>
  <c r="T8" i="219"/>
  <c r="D16" i="105"/>
  <c r="D15" i="105"/>
  <c r="G455" i="131"/>
  <c r="I455" i="131"/>
  <c r="G459" i="131" s="1"/>
  <c r="I459" i="131" s="1"/>
  <c r="C96" i="133"/>
  <c r="R84" i="133"/>
  <c r="D30" i="162"/>
  <c r="F31" i="162" s="1"/>
  <c r="H220" i="105" s="1"/>
  <c r="H980" i="162"/>
  <c r="C116" i="133"/>
  <c r="E42" i="162"/>
  <c r="F42" i="162" s="1"/>
  <c r="G461" i="131"/>
  <c r="I461" i="131" s="1"/>
  <c r="G492" i="131" s="1"/>
  <c r="I492" i="131" s="1"/>
  <c r="G127" i="105" s="1"/>
  <c r="C98" i="133"/>
  <c r="E60" i="162"/>
  <c r="F60" i="162" s="1"/>
  <c r="G558" i="131"/>
  <c r="I558" i="131" s="1"/>
  <c r="G149" i="105" s="1"/>
  <c r="C102" i="133"/>
  <c r="E111" i="132"/>
  <c r="E155" i="132" s="1"/>
  <c r="E159" i="132" s="1"/>
  <c r="B6" i="131"/>
  <c r="E45" i="132" s="1"/>
  <c r="W109" i="132" s="1"/>
  <c r="E112" i="132"/>
  <c r="E160" i="132" s="1"/>
  <c r="G112" i="132"/>
  <c r="E113" i="132"/>
  <c r="E165" i="132" s="1"/>
  <c r="E169" i="132" s="1"/>
  <c r="G113" i="132"/>
  <c r="E114" i="132"/>
  <c r="E170" i="132"/>
  <c r="E174" i="132" s="1"/>
  <c r="G114" i="132"/>
  <c r="E115" i="132"/>
  <c r="E175" i="132" s="1"/>
  <c r="E179" i="132" s="1"/>
  <c r="G115" i="132"/>
  <c r="E116" i="132"/>
  <c r="E180" i="132" s="1"/>
  <c r="E184" i="132" s="1"/>
  <c r="G116" i="132"/>
  <c r="E117" i="132"/>
  <c r="E185" i="132" s="1"/>
  <c r="E189" i="132" s="1"/>
  <c r="G117" i="132"/>
  <c r="E118" i="132"/>
  <c r="E190" i="132" s="1"/>
  <c r="E194" i="132" s="1"/>
  <c r="G118" i="132"/>
  <c r="E119" i="132"/>
  <c r="E195" i="132" s="1"/>
  <c r="E199" i="132" s="1"/>
  <c r="G119" i="132"/>
  <c r="E120" i="132"/>
  <c r="E200" i="132" s="1"/>
  <c r="E204" i="132" s="1"/>
  <c r="G120" i="132"/>
  <c r="E121" i="132"/>
  <c r="E205" i="132" s="1"/>
  <c r="E209" i="132" s="1"/>
  <c r="G121" i="132"/>
  <c r="E122" i="132"/>
  <c r="E210" i="132" s="1"/>
  <c r="E214" i="132" s="1"/>
  <c r="G122" i="132"/>
  <c r="E123" i="132"/>
  <c r="E215" i="132" s="1"/>
  <c r="E219" i="132" s="1"/>
  <c r="G123" i="132"/>
  <c r="E124" i="132"/>
  <c r="E220" i="132" s="1"/>
  <c r="E224" i="132" s="1"/>
  <c r="G124" i="132"/>
  <c r="E125" i="132"/>
  <c r="E225" i="132" s="1"/>
  <c r="E229" i="132" s="1"/>
  <c r="G125" i="132"/>
  <c r="E126" i="132"/>
  <c r="E230" i="132" s="1"/>
  <c r="E234" i="132" s="1"/>
  <c r="G126" i="132"/>
  <c r="E127" i="132"/>
  <c r="E235" i="132" s="1"/>
  <c r="E239" i="132" s="1"/>
  <c r="G127" i="132"/>
  <c r="E128" i="132"/>
  <c r="E240" i="132" s="1"/>
  <c r="E244" i="132" s="1"/>
  <c r="G128" i="132"/>
  <c r="E129" i="132"/>
  <c r="E245" i="132" s="1"/>
  <c r="E249" i="132" s="1"/>
  <c r="G129" i="132"/>
  <c r="E130" i="132"/>
  <c r="E250" i="132" s="1"/>
  <c r="E254" i="132" s="1"/>
  <c r="G130" i="132"/>
  <c r="E131" i="132"/>
  <c r="E255" i="132" s="1"/>
  <c r="E259" i="132" s="1"/>
  <c r="G131" i="132"/>
  <c r="E132" i="132"/>
  <c r="E260" i="132" s="1"/>
  <c r="E264" i="132" s="1"/>
  <c r="G132" i="132"/>
  <c r="E133" i="132"/>
  <c r="E265" i="132" s="1"/>
  <c r="E269" i="132" s="1"/>
  <c r="G133" i="132"/>
  <c r="E134" i="132"/>
  <c r="E270" i="132" s="1"/>
  <c r="E274" i="132" s="1"/>
  <c r="G134" i="132"/>
  <c r="E135" i="132"/>
  <c r="E275" i="132" s="1"/>
  <c r="E279" i="132" s="1"/>
  <c r="G135" i="132"/>
  <c r="E136" i="132"/>
  <c r="E280" i="132" s="1"/>
  <c r="E284" i="132" s="1"/>
  <c r="G136" i="132"/>
  <c r="E137" i="132"/>
  <c r="E285" i="132" s="1"/>
  <c r="E289" i="132" s="1"/>
  <c r="G137" i="132"/>
  <c r="E138" i="132"/>
  <c r="E290" i="132" s="1"/>
  <c r="E294" i="132" s="1"/>
  <c r="G138" i="132"/>
  <c r="E139" i="132"/>
  <c r="E295" i="132" s="1"/>
  <c r="E299" i="132" s="1"/>
  <c r="G139" i="132"/>
  <c r="E140" i="132"/>
  <c r="E300" i="132" s="1"/>
  <c r="E304" i="132" s="1"/>
  <c r="G140" i="132"/>
  <c r="E141" i="132"/>
  <c r="E305" i="132" s="1"/>
  <c r="E309" i="132" s="1"/>
  <c r="G141" i="132"/>
  <c r="E142" i="132"/>
  <c r="E310" i="132" s="1"/>
  <c r="E314" i="132" s="1"/>
  <c r="G142" i="132"/>
  <c r="E143" i="132"/>
  <c r="E315" i="132" s="1"/>
  <c r="E319" i="132" s="1"/>
  <c r="G143" i="132"/>
  <c r="E144" i="132"/>
  <c r="E320" i="132" s="1"/>
  <c r="E324" i="132" s="1"/>
  <c r="G144" i="132"/>
  <c r="E145" i="132"/>
  <c r="E325" i="132" s="1"/>
  <c r="E329" i="132" s="1"/>
  <c r="G145" i="132"/>
  <c r="E146" i="132"/>
  <c r="E330" i="132" s="1"/>
  <c r="E334" i="132" s="1"/>
  <c r="G146" i="132"/>
  <c r="E147" i="132"/>
  <c r="E335" i="132" s="1"/>
  <c r="E339" i="132" s="1"/>
  <c r="G147" i="132"/>
  <c r="E148" i="132"/>
  <c r="E340" i="132" s="1"/>
  <c r="E344" i="132" s="1"/>
  <c r="G148" i="132"/>
  <c r="E149" i="132"/>
  <c r="E345" i="132" s="1"/>
  <c r="G149" i="132"/>
  <c r="E150" i="132"/>
  <c r="E350" i="132" s="1"/>
  <c r="E354" i="132" s="1"/>
  <c r="G150" i="132"/>
  <c r="E151" i="132"/>
  <c r="E355" i="132" s="1"/>
  <c r="E359" i="132" s="1"/>
  <c r="G151" i="132"/>
  <c r="E152" i="132"/>
  <c r="E360" i="132" s="1"/>
  <c r="E364" i="132" s="1"/>
  <c r="G152" i="132"/>
  <c r="C108" i="132"/>
  <c r="D152" i="132" s="1"/>
  <c r="F12" i="131"/>
  <c r="F13" i="131"/>
  <c r="F14" i="131" s="1"/>
  <c r="E24" i="131"/>
  <c r="E23" i="131"/>
  <c r="E22" i="131"/>
  <c r="E21" i="131"/>
  <c r="E20" i="131"/>
  <c r="E19" i="131"/>
  <c r="E18" i="131"/>
  <c r="E17" i="131"/>
  <c r="E16" i="131"/>
  <c r="E15" i="131"/>
  <c r="E14" i="131"/>
  <c r="F152" i="132"/>
  <c r="F360" i="132" s="1"/>
  <c r="F151" i="132"/>
  <c r="F355" i="132"/>
  <c r="F150" i="132"/>
  <c r="F350" i="132" s="1"/>
  <c r="F149" i="132"/>
  <c r="F345" i="132" s="1"/>
  <c r="F148" i="132"/>
  <c r="F340" i="132" s="1"/>
  <c r="D147" i="132"/>
  <c r="D335" i="132" s="1"/>
  <c r="F147" i="132"/>
  <c r="F335" i="132" s="1"/>
  <c r="D146" i="132"/>
  <c r="D330" i="132" s="1"/>
  <c r="F146" i="132"/>
  <c r="F330" i="132" s="1"/>
  <c r="D145" i="132"/>
  <c r="D325" i="132" s="1"/>
  <c r="F145" i="132"/>
  <c r="F325" i="132" s="1"/>
  <c r="D144" i="132"/>
  <c r="D320" i="132" s="1"/>
  <c r="F144" i="132"/>
  <c r="F320" i="132" s="1"/>
  <c r="D143" i="132"/>
  <c r="D315" i="132" s="1"/>
  <c r="F143" i="132"/>
  <c r="F315" i="132"/>
  <c r="D142" i="132"/>
  <c r="D310" i="132" s="1"/>
  <c r="F142" i="132"/>
  <c r="F310" i="132" s="1"/>
  <c r="D141" i="132"/>
  <c r="D305" i="132" s="1"/>
  <c r="F141" i="132"/>
  <c r="F305" i="132" s="1"/>
  <c r="D140" i="132"/>
  <c r="D300" i="132" s="1"/>
  <c r="F140" i="132"/>
  <c r="F300" i="132" s="1"/>
  <c r="D139" i="132"/>
  <c r="D295" i="132" s="1"/>
  <c r="F139" i="132"/>
  <c r="F295" i="132" s="1"/>
  <c r="D138" i="132"/>
  <c r="D290" i="132" s="1"/>
  <c r="F138" i="132"/>
  <c r="F290" i="132" s="1"/>
  <c r="D137" i="132"/>
  <c r="D285" i="132" s="1"/>
  <c r="F137" i="132"/>
  <c r="F285" i="132" s="1"/>
  <c r="D136" i="132"/>
  <c r="D280" i="132" s="1"/>
  <c r="F136" i="132"/>
  <c r="F280" i="132" s="1"/>
  <c r="D135" i="132"/>
  <c r="D275" i="132" s="1"/>
  <c r="F135" i="132"/>
  <c r="F275" i="132" s="1"/>
  <c r="D134" i="132"/>
  <c r="D270" i="132" s="1"/>
  <c r="F134" i="132"/>
  <c r="F270" i="132" s="1"/>
  <c r="D133" i="132"/>
  <c r="D265" i="132" s="1"/>
  <c r="F133" i="132"/>
  <c r="F265" i="132" s="1"/>
  <c r="D132" i="132"/>
  <c r="D260" i="132" s="1"/>
  <c r="F132" i="132"/>
  <c r="F260" i="132" s="1"/>
  <c r="D131" i="132"/>
  <c r="D255" i="132" s="1"/>
  <c r="F131" i="132"/>
  <c r="F255" i="132" s="1"/>
  <c r="D130" i="132"/>
  <c r="D250" i="132" s="1"/>
  <c r="F130" i="132"/>
  <c r="F250" i="132" s="1"/>
  <c r="D129" i="132"/>
  <c r="D245" i="132" s="1"/>
  <c r="F129" i="132"/>
  <c r="F245" i="132" s="1"/>
  <c r="D128" i="132"/>
  <c r="D240" i="132" s="1"/>
  <c r="F128" i="132"/>
  <c r="F240" i="132" s="1"/>
  <c r="D127" i="132"/>
  <c r="D235" i="132" s="1"/>
  <c r="F127" i="132"/>
  <c r="F235" i="132" s="1"/>
  <c r="D126" i="132"/>
  <c r="D230" i="132" s="1"/>
  <c r="F126" i="132"/>
  <c r="F230" i="132" s="1"/>
  <c r="D125" i="132"/>
  <c r="D225" i="132" s="1"/>
  <c r="F125" i="132"/>
  <c r="F225" i="132" s="1"/>
  <c r="D124" i="132"/>
  <c r="D220" i="132" s="1"/>
  <c r="F124" i="132"/>
  <c r="F220" i="132" s="1"/>
  <c r="D123" i="132"/>
  <c r="D215" i="132" s="1"/>
  <c r="F123" i="132"/>
  <c r="F215" i="132" s="1"/>
  <c r="D122" i="132"/>
  <c r="D210" i="132" s="1"/>
  <c r="F122" i="132"/>
  <c r="F210" i="132" s="1"/>
  <c r="D121" i="132"/>
  <c r="D205" i="132" s="1"/>
  <c r="F121" i="132"/>
  <c r="F205" i="132" s="1"/>
  <c r="D120" i="132"/>
  <c r="D200" i="132" s="1"/>
  <c r="F120" i="132"/>
  <c r="F200" i="132" s="1"/>
  <c r="D119" i="132"/>
  <c r="D195" i="132" s="1"/>
  <c r="F119" i="132"/>
  <c r="F195" i="132" s="1"/>
  <c r="D118" i="132"/>
  <c r="D190" i="132" s="1"/>
  <c r="F118" i="132"/>
  <c r="F190" i="132" s="1"/>
  <c r="D117" i="132"/>
  <c r="D185" i="132" s="1"/>
  <c r="F117" i="132"/>
  <c r="F185" i="132" s="1"/>
  <c r="D116" i="132"/>
  <c r="D180" i="132" s="1"/>
  <c r="F116" i="132"/>
  <c r="F180" i="132" s="1"/>
  <c r="D115" i="132"/>
  <c r="D175" i="132" s="1"/>
  <c r="F115" i="132"/>
  <c r="F175" i="132" s="1"/>
  <c r="D114" i="132"/>
  <c r="D170" i="132" s="1"/>
  <c r="F114" i="132"/>
  <c r="F170" i="132" s="1"/>
  <c r="D113" i="132"/>
  <c r="D165" i="132" s="1"/>
  <c r="F113" i="132"/>
  <c r="F165" i="132" s="1"/>
  <c r="D112" i="132"/>
  <c r="D160" i="132" s="1"/>
  <c r="F112" i="132"/>
  <c r="F160" i="132" s="1"/>
  <c r="D111" i="132"/>
  <c r="D155" i="132" s="1"/>
  <c r="F111" i="132"/>
  <c r="F155" i="132" s="1"/>
  <c r="E2" i="132"/>
  <c r="E3" i="132" s="1"/>
  <c r="B33" i="132"/>
  <c r="F69" i="162"/>
  <c r="G560" i="131"/>
  <c r="I560" i="131" s="1"/>
  <c r="C104" i="133"/>
  <c r="F39" i="162"/>
  <c r="F40" i="162"/>
  <c r="F41" i="162"/>
  <c r="G39" i="162"/>
  <c r="H39" i="162"/>
  <c r="I39" i="162"/>
  <c r="J39" i="162"/>
  <c r="K39" i="162"/>
  <c r="L39" i="162"/>
  <c r="M39" i="162"/>
  <c r="N39" i="162"/>
  <c r="O39" i="162"/>
  <c r="P39" i="162"/>
  <c r="Q39" i="162"/>
  <c r="G40" i="162"/>
  <c r="H40" i="162"/>
  <c r="I40" i="162"/>
  <c r="J40" i="162"/>
  <c r="K40" i="162"/>
  <c r="L40" i="162"/>
  <c r="M40" i="162"/>
  <c r="N40" i="162"/>
  <c r="O40" i="162"/>
  <c r="P40" i="162"/>
  <c r="Q40" i="162"/>
  <c r="G41" i="162"/>
  <c r="H41" i="162"/>
  <c r="I41" i="162"/>
  <c r="J41" i="162"/>
  <c r="K41" i="162"/>
  <c r="L41" i="162"/>
  <c r="M41" i="162"/>
  <c r="N41" i="162"/>
  <c r="O41" i="162"/>
  <c r="P41" i="162"/>
  <c r="Q41" i="162"/>
  <c r="G462" i="131"/>
  <c r="I462" i="131" s="1"/>
  <c r="G120" i="105" s="1"/>
  <c r="G463" i="131"/>
  <c r="I463" i="131" s="1"/>
  <c r="G121" i="105" s="1"/>
  <c r="G464" i="131"/>
  <c r="I464" i="131" s="1"/>
  <c r="G122" i="105" s="1"/>
  <c r="C97" i="133"/>
  <c r="F49" i="162"/>
  <c r="F48" i="162" s="1"/>
  <c r="H135" i="105" s="1"/>
  <c r="G49" i="162"/>
  <c r="H49" i="162"/>
  <c r="I49" i="162"/>
  <c r="J49" i="162"/>
  <c r="K49" i="162"/>
  <c r="L49" i="162"/>
  <c r="M49" i="162"/>
  <c r="N49" i="162"/>
  <c r="O49" i="162"/>
  <c r="P49" i="162"/>
  <c r="Q49" i="162"/>
  <c r="G494" i="131"/>
  <c r="I494" i="131"/>
  <c r="G495" i="131" s="1"/>
  <c r="I495" i="131" s="1"/>
  <c r="G133" i="105" s="1"/>
  <c r="C99" i="133"/>
  <c r="F52" i="162"/>
  <c r="F51" i="162" s="1"/>
  <c r="H141" i="105" s="1"/>
  <c r="G52" i="162"/>
  <c r="H52" i="162"/>
  <c r="I52" i="162"/>
  <c r="J52" i="162"/>
  <c r="K52" i="162"/>
  <c r="L52" i="162"/>
  <c r="M52" i="162"/>
  <c r="N52" i="162"/>
  <c r="O52" i="162"/>
  <c r="P52" i="162"/>
  <c r="Q52" i="162"/>
  <c r="C100" i="133"/>
  <c r="F58" i="162"/>
  <c r="H146" i="105" s="1"/>
  <c r="G556" i="131"/>
  <c r="I556" i="131" s="1"/>
  <c r="G144" i="105" s="1"/>
  <c r="C101" i="133"/>
  <c r="F67" i="162"/>
  <c r="H156" i="105" s="1"/>
  <c r="C103" i="133"/>
  <c r="F71" i="162"/>
  <c r="H164" i="105" s="1"/>
  <c r="C105" i="133"/>
  <c r="F72" i="162"/>
  <c r="H168" i="105" s="1"/>
  <c r="C106" i="133"/>
  <c r="F73" i="162"/>
  <c r="G119" i="107" s="1"/>
  <c r="E72" i="133" s="1"/>
  <c r="C107" i="133"/>
  <c r="F74" i="162"/>
  <c r="H172" i="105" s="1"/>
  <c r="C108" i="133"/>
  <c r="F75" i="162"/>
  <c r="H176" i="105" s="1"/>
  <c r="C109" i="133"/>
  <c r="F76" i="162"/>
  <c r="H180" i="105" s="1"/>
  <c r="C110" i="133"/>
  <c r="F77" i="162"/>
  <c r="H184" i="105" s="1"/>
  <c r="C111" i="133"/>
  <c r="F78" i="162"/>
  <c r="H188" i="105" s="1"/>
  <c r="C112" i="133"/>
  <c r="F79" i="162"/>
  <c r="H192" i="105" s="1"/>
  <c r="C113" i="133"/>
  <c r="F85" i="162"/>
  <c r="H200" i="105" s="1"/>
  <c r="G577" i="131"/>
  <c r="I577" i="131" s="1"/>
  <c r="H199" i="105" s="1"/>
  <c r="H201" i="105" s="1"/>
  <c r="C115" i="133"/>
  <c r="AE861" i="162"/>
  <c r="AT861" i="162" s="1"/>
  <c r="AE862" i="162"/>
  <c r="AE863" i="162"/>
  <c r="AT863" i="162" s="1"/>
  <c r="AE864" i="162"/>
  <c r="AT864" i="162" s="1"/>
  <c r="AE865" i="162"/>
  <c r="AT865" i="162" s="1"/>
  <c r="AE866" i="162"/>
  <c r="AE867" i="162"/>
  <c r="AT867" i="162" s="1"/>
  <c r="AE868" i="162"/>
  <c r="AE869" i="162"/>
  <c r="AT869" i="162" s="1"/>
  <c r="AE870" i="162"/>
  <c r="AT862" i="162"/>
  <c r="AT866" i="162"/>
  <c r="AT868" i="162"/>
  <c r="AT870" i="162"/>
  <c r="AE872" i="162"/>
  <c r="AE873" i="162"/>
  <c r="AE874" i="162"/>
  <c r="AE875" i="162"/>
  <c r="AE876" i="162"/>
  <c r="AE877" i="162"/>
  <c r="AE878" i="162"/>
  <c r="AE879" i="162"/>
  <c r="AE880" i="162"/>
  <c r="AE881" i="162"/>
  <c r="AE882" i="162"/>
  <c r="AE883" i="162"/>
  <c r="AE884" i="162"/>
  <c r="AE885" i="162"/>
  <c r="AE886" i="162"/>
  <c r="AE887" i="162"/>
  <c r="AE888" i="162"/>
  <c r="AE889" i="162"/>
  <c r="AE890" i="162"/>
  <c r="AE891" i="162"/>
  <c r="AE892" i="162"/>
  <c r="AE893" i="162"/>
  <c r="AE894" i="162"/>
  <c r="AE895" i="162"/>
  <c r="AE896" i="162"/>
  <c r="AE897" i="162"/>
  <c r="AE898" i="162"/>
  <c r="AE899" i="162"/>
  <c r="AE900" i="162"/>
  <c r="AE901" i="162"/>
  <c r="AE902" i="162"/>
  <c r="AE923" i="162"/>
  <c r="AT872" i="162"/>
  <c r="AT873" i="162"/>
  <c r="AT874" i="162"/>
  <c r="AT875" i="162"/>
  <c r="AT876" i="162"/>
  <c r="AT877" i="162"/>
  <c r="AT878" i="162"/>
  <c r="AT879" i="162"/>
  <c r="AT880" i="162"/>
  <c r="AT881" i="162"/>
  <c r="AT882" i="162"/>
  <c r="AT883" i="162"/>
  <c r="AT884" i="162"/>
  <c r="AT885" i="162"/>
  <c r="AT886" i="162"/>
  <c r="AT887" i="162"/>
  <c r="AT888" i="162"/>
  <c r="AT889" i="162"/>
  <c r="AT890" i="162"/>
  <c r="AT891" i="162"/>
  <c r="AT892" i="162"/>
  <c r="AT893" i="162"/>
  <c r="AT894" i="162"/>
  <c r="AT895" i="162"/>
  <c r="AT896" i="162"/>
  <c r="AT897" i="162"/>
  <c r="AT898" i="162"/>
  <c r="AT899" i="162"/>
  <c r="AT900" i="162"/>
  <c r="AT901" i="162"/>
  <c r="AT902" i="162"/>
  <c r="AT923" i="162"/>
  <c r="AT929" i="162" s="1"/>
  <c r="AE904" i="162"/>
  <c r="AT904" i="162" s="1"/>
  <c r="AE905" i="162"/>
  <c r="AE906" i="162"/>
  <c r="AE907" i="162"/>
  <c r="AE924" i="162" s="1"/>
  <c r="AE908" i="162"/>
  <c r="AE909" i="162"/>
  <c r="AE910" i="162"/>
  <c r="AE911" i="162"/>
  <c r="AE912" i="162"/>
  <c r="AE913" i="162"/>
  <c r="AE914" i="162"/>
  <c r="AE915" i="162"/>
  <c r="AE916" i="162"/>
  <c r="AE917" i="162"/>
  <c r="AE918" i="162"/>
  <c r="AE919" i="162"/>
  <c r="AT905" i="162"/>
  <c r="AT906" i="162"/>
  <c r="AT907" i="162"/>
  <c r="AT908" i="162"/>
  <c r="AT909" i="162"/>
  <c r="AT910" i="162"/>
  <c r="AT911" i="162"/>
  <c r="AT912" i="162"/>
  <c r="AT913" i="162"/>
  <c r="AT914" i="162"/>
  <c r="AT915" i="162"/>
  <c r="AT916" i="162"/>
  <c r="AT917" i="162"/>
  <c r="AT918" i="162"/>
  <c r="AT919" i="162"/>
  <c r="F937" i="162"/>
  <c r="AE937" i="162"/>
  <c r="F948" i="162"/>
  <c r="AE948" i="162"/>
  <c r="F949" i="162"/>
  <c r="AE949" i="162"/>
  <c r="F938" i="162"/>
  <c r="AE938" i="162"/>
  <c r="F939" i="162"/>
  <c r="AE939" i="162"/>
  <c r="F940" i="162"/>
  <c r="AE940" i="162"/>
  <c r="F941" i="162"/>
  <c r="AE941" i="162"/>
  <c r="F942" i="162"/>
  <c r="AE942" i="162"/>
  <c r="F943" i="162"/>
  <c r="AE943" i="162"/>
  <c r="F944" i="162"/>
  <c r="AE944" i="162"/>
  <c r="F945" i="162"/>
  <c r="AE945" i="162"/>
  <c r="F946" i="162"/>
  <c r="AE946" i="162"/>
  <c r="F950" i="162"/>
  <c r="AE950" i="162"/>
  <c r="F951" i="162"/>
  <c r="AE951" i="162"/>
  <c r="F952" i="162"/>
  <c r="AE952" i="162"/>
  <c r="F953" i="162"/>
  <c r="AE953" i="162"/>
  <c r="F954" i="162"/>
  <c r="AE954" i="162"/>
  <c r="F955" i="162"/>
  <c r="AE955" i="162"/>
  <c r="F956" i="162"/>
  <c r="AE956" i="162"/>
  <c r="F957" i="162"/>
  <c r="AE957" i="162"/>
  <c r="F959" i="162"/>
  <c r="AE959" i="162"/>
  <c r="F960" i="162"/>
  <c r="AE960" i="162"/>
  <c r="F961" i="162"/>
  <c r="AE961" i="162"/>
  <c r="F962" i="162"/>
  <c r="AE962" i="162"/>
  <c r="F963" i="162"/>
  <c r="AE963" i="162"/>
  <c r="F964" i="162"/>
  <c r="AE964" i="162"/>
  <c r="F965" i="162"/>
  <c r="AE965" i="162"/>
  <c r="F966" i="162"/>
  <c r="AE966" i="162"/>
  <c r="F967" i="162"/>
  <c r="AE967" i="162"/>
  <c r="F968" i="162"/>
  <c r="AE968" i="162"/>
  <c r="AE969" i="162"/>
  <c r="H318" i="162"/>
  <c r="H329" i="162"/>
  <c r="H340" i="162"/>
  <c r="AE971" i="162"/>
  <c r="AE972" i="162" s="1"/>
  <c r="H816" i="162" s="1"/>
  <c r="F881" i="162"/>
  <c r="F880" i="162"/>
  <c r="F879" i="162"/>
  <c r="F878" i="162"/>
  <c r="F877" i="162"/>
  <c r="F876" i="162"/>
  <c r="F875" i="162"/>
  <c r="F874" i="162"/>
  <c r="F873" i="162"/>
  <c r="F872" i="162"/>
  <c r="F864" i="162"/>
  <c r="F863" i="162"/>
  <c r="F862" i="162"/>
  <c r="F861" i="162"/>
  <c r="F919" i="162"/>
  <c r="F918" i="162"/>
  <c r="F917" i="162"/>
  <c r="F916" i="162"/>
  <c r="F915" i="162"/>
  <c r="F914" i="162"/>
  <c r="F913" i="162"/>
  <c r="F912" i="162"/>
  <c r="F911" i="162"/>
  <c r="F910" i="162"/>
  <c r="F909" i="162"/>
  <c r="F908" i="162"/>
  <c r="F907" i="162"/>
  <c r="F906" i="162"/>
  <c r="F905" i="162"/>
  <c r="F904" i="162"/>
  <c r="F902" i="162"/>
  <c r="F901" i="162"/>
  <c r="F900" i="162"/>
  <c r="F899" i="162"/>
  <c r="F898" i="162"/>
  <c r="F897" i="162"/>
  <c r="F896" i="162"/>
  <c r="F895" i="162"/>
  <c r="F894" i="162"/>
  <c r="F893" i="162"/>
  <c r="F892" i="162"/>
  <c r="F891" i="162"/>
  <c r="F890" i="162"/>
  <c r="F889" i="162"/>
  <c r="F888" i="162"/>
  <c r="F887" i="162"/>
  <c r="F886" i="162"/>
  <c r="F885" i="162"/>
  <c r="F884" i="162"/>
  <c r="F883" i="162"/>
  <c r="F882" i="162"/>
  <c r="F870" i="162"/>
  <c r="F869" i="162"/>
  <c r="F868" i="162"/>
  <c r="F867" i="162"/>
  <c r="F866" i="162"/>
  <c r="F922" i="162" s="1"/>
  <c r="F865" i="162"/>
  <c r="E922" i="162"/>
  <c r="H922" i="162" s="1"/>
  <c r="L338" i="105" s="1"/>
  <c r="P110" i="162"/>
  <c r="Q110" i="162" s="1"/>
  <c r="G344" i="105" s="1"/>
  <c r="G449" i="131"/>
  <c r="I449" i="131" s="1"/>
  <c r="F90" i="105" s="1"/>
  <c r="G1097" i="162"/>
  <c r="D5" i="133" s="1"/>
  <c r="D232" i="133"/>
  <c r="G64" i="138"/>
  <c r="G38" i="138"/>
  <c r="AI76" i="138"/>
  <c r="AI112" i="138" s="1"/>
  <c r="G39" i="138"/>
  <c r="D64" i="138"/>
  <c r="D70" i="138"/>
  <c r="E99" i="162"/>
  <c r="F97" i="162"/>
  <c r="H306" i="138"/>
  <c r="H305" i="138" s="1"/>
  <c r="C306" i="138"/>
  <c r="C305" i="138" s="1"/>
  <c r="H277" i="138"/>
  <c r="H276" i="138" s="1"/>
  <c r="C277" i="138"/>
  <c r="C276" i="138" s="1"/>
  <c r="H79" i="138"/>
  <c r="H78" i="138" s="1"/>
  <c r="AI87" i="138" s="1"/>
  <c r="AI93" i="138" s="1"/>
  <c r="C78" i="138"/>
  <c r="H115" i="138"/>
  <c r="H114" i="138" s="1"/>
  <c r="C114" i="138"/>
  <c r="H151" i="138"/>
  <c r="H150" i="138" s="1"/>
  <c r="C150" i="138"/>
  <c r="F306" i="138"/>
  <c r="AH311" i="138" s="1"/>
  <c r="AH310" i="138"/>
  <c r="AH309" i="138"/>
  <c r="AH308" i="138"/>
  <c r="AH307" i="138"/>
  <c r="AH306" i="138"/>
  <c r="F277" i="138"/>
  <c r="AH282" i="138" s="1"/>
  <c r="AH281" i="138"/>
  <c r="AH280" i="138"/>
  <c r="AH279" i="138"/>
  <c r="AH278" i="138"/>
  <c r="AH277" i="138"/>
  <c r="F78" i="138"/>
  <c r="AH84" i="138" s="1"/>
  <c r="AH83" i="138"/>
  <c r="AH82" i="138"/>
  <c r="AH81" i="138"/>
  <c r="AH80" i="138"/>
  <c r="AH79" i="138"/>
  <c r="F114" i="138"/>
  <c r="AH120" i="138" s="1"/>
  <c r="AH119" i="138"/>
  <c r="AH118" i="138"/>
  <c r="AH117" i="138"/>
  <c r="AH116" i="138"/>
  <c r="AH115" i="138"/>
  <c r="F150" i="138"/>
  <c r="AH156" i="138" s="1"/>
  <c r="AH155" i="138"/>
  <c r="AH154" i="138"/>
  <c r="AH153" i="138"/>
  <c r="AH152" i="138"/>
  <c r="AH151" i="138"/>
  <c r="D55" i="138"/>
  <c r="D56" i="138"/>
  <c r="D38" i="138"/>
  <c r="D39" i="138"/>
  <c r="E223" i="133"/>
  <c r="E170" i="133" s="1"/>
  <c r="E238" i="133" s="1"/>
  <c r="E39" i="133" s="1"/>
  <c r="D66" i="138" s="1"/>
  <c r="D67" i="138" s="1"/>
  <c r="E167" i="133"/>
  <c r="E169" i="133"/>
  <c r="F64" i="138"/>
  <c r="I572" i="131"/>
  <c r="G573" i="131" s="1"/>
  <c r="I573" i="131" s="1"/>
  <c r="H195" i="105" s="1"/>
  <c r="C114" i="133"/>
  <c r="I193" i="162"/>
  <c r="D90" i="132" s="1"/>
  <c r="F193" i="162"/>
  <c r="C90" i="132"/>
  <c r="I194" i="162"/>
  <c r="D91" i="132" s="1"/>
  <c r="F194" i="162"/>
  <c r="C91" i="132" s="1"/>
  <c r="I195" i="162"/>
  <c r="D92" i="132" s="1"/>
  <c r="F195" i="162"/>
  <c r="C92" i="132" s="1"/>
  <c r="I196" i="162"/>
  <c r="D93" i="132" s="1"/>
  <c r="F196" i="162"/>
  <c r="C93" i="132" s="1"/>
  <c r="I197" i="162"/>
  <c r="D94" i="132" s="1"/>
  <c r="F197" i="162"/>
  <c r="C94" i="132" s="1"/>
  <c r="I198" i="162"/>
  <c r="D95" i="132" s="1"/>
  <c r="F198" i="162"/>
  <c r="C95" i="132" s="1"/>
  <c r="G610" i="131"/>
  <c r="I610" i="131" s="1"/>
  <c r="X169" i="131"/>
  <c r="G154" i="217" s="1"/>
  <c r="N154" i="217"/>
  <c r="J204" i="217" s="1"/>
  <c r="I186" i="162" s="1"/>
  <c r="D83" i="132" s="1"/>
  <c r="E83" i="132" s="1"/>
  <c r="BX83" i="132" s="1"/>
  <c r="CJ83" i="132" s="1"/>
  <c r="U83" i="132" s="1"/>
  <c r="I204" i="217"/>
  <c r="F186" i="162" s="1"/>
  <c r="C83" i="132" s="1"/>
  <c r="X170" i="131"/>
  <c r="G155" i="217" s="1"/>
  <c r="X171" i="131"/>
  <c r="G156" i="217" s="1"/>
  <c r="X172" i="131"/>
  <c r="G157" i="217" s="1"/>
  <c r="X173" i="131"/>
  <c r="G158" i="217" s="1"/>
  <c r="X174" i="131"/>
  <c r="G159" i="217" s="1"/>
  <c r="N155" i="217"/>
  <c r="J205" i="217" s="1"/>
  <c r="I187" i="162" s="1"/>
  <c r="N156" i="217"/>
  <c r="J206" i="217" s="1"/>
  <c r="I188" i="162" s="1"/>
  <c r="D85" i="132" s="1"/>
  <c r="N157" i="217"/>
  <c r="J207" i="217" s="1"/>
  <c r="I189" i="162" s="1"/>
  <c r="N158" i="217"/>
  <c r="J208" i="217" s="1"/>
  <c r="I190" i="162" s="1"/>
  <c r="D87" i="132" s="1"/>
  <c r="I208" i="217"/>
  <c r="F190" i="162" s="1"/>
  <c r="C87" i="132" s="1"/>
  <c r="N159" i="217"/>
  <c r="J209" i="217" s="1"/>
  <c r="I191" i="162" s="1"/>
  <c r="J197" i="217"/>
  <c r="I179" i="162" s="1"/>
  <c r="I199" i="217"/>
  <c r="F181" i="162" s="1"/>
  <c r="C78" i="132" s="1"/>
  <c r="I201" i="217"/>
  <c r="F183" i="162" s="1"/>
  <c r="C80" i="132" s="1"/>
  <c r="J193" i="217"/>
  <c r="I175" i="162" s="1"/>
  <c r="I194" i="217"/>
  <c r="F176" i="162" s="1"/>
  <c r="C73" i="132" s="1"/>
  <c r="I184" i="217"/>
  <c r="F166" i="162" s="1"/>
  <c r="C63" i="132" s="1"/>
  <c r="I185" i="217"/>
  <c r="F167" i="162" s="1"/>
  <c r="C64" i="132" s="1"/>
  <c r="I186" i="217"/>
  <c r="F168" i="162" s="1"/>
  <c r="C65" i="132" s="1"/>
  <c r="I187" i="217"/>
  <c r="F169" i="162" s="1"/>
  <c r="C66" i="132" s="1"/>
  <c r="J188" i="217"/>
  <c r="I170" i="162" s="1"/>
  <c r="J176" i="217"/>
  <c r="I158" i="162" s="1"/>
  <c r="I176" i="217"/>
  <c r="F158" i="162" s="1"/>
  <c r="C55" i="132" s="1"/>
  <c r="J177" i="217"/>
  <c r="I159" i="162" s="1"/>
  <c r="D56" i="132" s="1"/>
  <c r="I177" i="217"/>
  <c r="F159" i="162" s="1"/>
  <c r="C56" i="132" s="1"/>
  <c r="J179" i="217"/>
  <c r="I161" i="162" s="1"/>
  <c r="I180" i="217"/>
  <c r="F162" i="162" s="1"/>
  <c r="C59" i="132" s="1"/>
  <c r="J169" i="217"/>
  <c r="I151" i="162"/>
  <c r="I169" i="217"/>
  <c r="F151" i="162" s="1"/>
  <c r="C48" i="132" s="1"/>
  <c r="J171" i="217"/>
  <c r="I153" i="162" s="1"/>
  <c r="I171" i="217"/>
  <c r="F153" i="162" s="1"/>
  <c r="C50" i="132" s="1"/>
  <c r="J172" i="217"/>
  <c r="I154" i="162" s="1"/>
  <c r="I172" i="217"/>
  <c r="F154" i="162" s="1"/>
  <c r="J173" i="217"/>
  <c r="I155" i="162" s="1"/>
  <c r="I173" i="217"/>
  <c r="F155" i="162" s="1"/>
  <c r="C52" i="132" s="1"/>
  <c r="I174" i="217"/>
  <c r="F156" i="162" s="1"/>
  <c r="O141" i="162"/>
  <c r="P141" i="162" s="1"/>
  <c r="N141" i="162"/>
  <c r="F23" i="162"/>
  <c r="F36" i="162" s="1"/>
  <c r="F29" i="162" s="1"/>
  <c r="F105" i="162" s="1"/>
  <c r="F142" i="162" s="1"/>
  <c r="L107" i="162"/>
  <c r="F233" i="105" s="1"/>
  <c r="L108" i="162"/>
  <c r="F234" i="105" s="1"/>
  <c r="L109" i="162"/>
  <c r="F235" i="105" s="1"/>
  <c r="L110" i="162"/>
  <c r="F236" i="105" s="1"/>
  <c r="L111" i="162"/>
  <c r="F237" i="105" s="1"/>
  <c r="L112" i="162"/>
  <c r="F238" i="105" s="1"/>
  <c r="L113" i="162"/>
  <c r="F239" i="105" s="1"/>
  <c r="L114" i="162"/>
  <c r="F240" i="105"/>
  <c r="L115" i="162"/>
  <c r="F241" i="105" s="1"/>
  <c r="L116" i="162"/>
  <c r="F242" i="105"/>
  <c r="L117" i="162"/>
  <c r="F243" i="105" s="1"/>
  <c r="L118" i="162"/>
  <c r="F244" i="105"/>
  <c r="L119" i="162"/>
  <c r="F245" i="105" s="1"/>
  <c r="L120" i="162"/>
  <c r="F246" i="105"/>
  <c r="L121" i="162"/>
  <c r="F247" i="105" s="1"/>
  <c r="L122" i="162"/>
  <c r="F248" i="105"/>
  <c r="L123" i="162"/>
  <c r="F249" i="105" s="1"/>
  <c r="L124" i="162"/>
  <c r="F250" i="105"/>
  <c r="L125" i="162"/>
  <c r="F251" i="105" s="1"/>
  <c r="L126" i="162"/>
  <c r="F252" i="105"/>
  <c r="L127" i="162"/>
  <c r="F253" i="105" s="1"/>
  <c r="L128" i="162"/>
  <c r="F254" i="105"/>
  <c r="L129" i="162"/>
  <c r="F255" i="105" s="1"/>
  <c r="L130" i="162"/>
  <c r="F256" i="105"/>
  <c r="L131" i="162"/>
  <c r="F257" i="105" s="1"/>
  <c r="L132" i="162"/>
  <c r="F258" i="105"/>
  <c r="L133" i="162"/>
  <c r="F259" i="105" s="1"/>
  <c r="L134" i="162"/>
  <c r="F260" i="105"/>
  <c r="L135" i="162"/>
  <c r="F261" i="105" s="1"/>
  <c r="E106" i="162"/>
  <c r="G263" i="105" s="1"/>
  <c r="G225" i="105"/>
  <c r="G227" i="105" s="1"/>
  <c r="G228" i="105" s="1"/>
  <c r="P106" i="162"/>
  <c r="Q106" i="162" s="1"/>
  <c r="F225" i="105" s="1"/>
  <c r="H225" i="105" s="1"/>
  <c r="I225" i="105" s="1"/>
  <c r="P114" i="162"/>
  <c r="Q114" i="162"/>
  <c r="F227" i="105" s="1"/>
  <c r="P118" i="162"/>
  <c r="Q118" i="162"/>
  <c r="F228" i="105" s="1"/>
  <c r="G220" i="105"/>
  <c r="G116" i="105"/>
  <c r="D62" i="133"/>
  <c r="D97" i="133" s="1"/>
  <c r="D63" i="133"/>
  <c r="D98" i="133" s="1"/>
  <c r="D64" i="133"/>
  <c r="D99" i="133" s="1"/>
  <c r="D65" i="133"/>
  <c r="D100" i="133" s="1"/>
  <c r="D66" i="133"/>
  <c r="D101" i="133" s="1"/>
  <c r="D67" i="133"/>
  <c r="D102" i="133" s="1"/>
  <c r="D68" i="133"/>
  <c r="D103" i="133" s="1"/>
  <c r="D69" i="133"/>
  <c r="D104" i="133" s="1"/>
  <c r="D70" i="133"/>
  <c r="D105" i="133" s="1"/>
  <c r="D71" i="133"/>
  <c r="D106" i="133" s="1"/>
  <c r="D73" i="133"/>
  <c r="D108" i="133" s="1"/>
  <c r="D74" i="133"/>
  <c r="D109" i="133" s="1"/>
  <c r="D75" i="133"/>
  <c r="D110" i="133" s="1"/>
  <c r="D76" i="133"/>
  <c r="D111" i="133" s="1"/>
  <c r="D77" i="133"/>
  <c r="D112" i="133" s="1"/>
  <c r="D78" i="133"/>
  <c r="D113" i="133" s="1"/>
  <c r="D79" i="133"/>
  <c r="D114" i="133" s="1"/>
  <c r="D80" i="133"/>
  <c r="D115" i="133" s="1"/>
  <c r="D107" i="133"/>
  <c r="D137" i="133"/>
  <c r="F388" i="105"/>
  <c r="G370" i="105"/>
  <c r="H379" i="105" s="1"/>
  <c r="H389" i="105" s="1"/>
  <c r="E152" i="133" s="1"/>
  <c r="G280" i="107" s="1"/>
  <c r="O204" i="162"/>
  <c r="N204" i="162"/>
  <c r="D46" i="133"/>
  <c r="E41" i="133"/>
  <c r="E46" i="133" s="1"/>
  <c r="E47" i="133" s="1"/>
  <c r="G249" i="107" s="1"/>
  <c r="H108" i="105"/>
  <c r="G451" i="131"/>
  <c r="I451" i="131" s="1"/>
  <c r="G105" i="105" s="1"/>
  <c r="G377" i="105"/>
  <c r="G372" i="105"/>
  <c r="G371" i="105"/>
  <c r="H372" i="105"/>
  <c r="G450" i="131"/>
  <c r="I450" i="131" s="1"/>
  <c r="G98" i="105" s="1"/>
  <c r="F91" i="162"/>
  <c r="H101" i="105" s="1"/>
  <c r="G574" i="131"/>
  <c r="I574" i="131"/>
  <c r="F268" i="105" s="1"/>
  <c r="F106" i="162"/>
  <c r="H263" i="105"/>
  <c r="G78" i="105"/>
  <c r="I108" i="105"/>
  <c r="G91" i="162"/>
  <c r="I101" i="105" s="1"/>
  <c r="H84" i="107"/>
  <c r="H85" i="107" s="1"/>
  <c r="H83" i="107" s="1"/>
  <c r="G1098" i="162"/>
  <c r="D6" i="133" s="1"/>
  <c r="E70" i="138"/>
  <c r="G97" i="162"/>
  <c r="F223" i="133"/>
  <c r="F174" i="133" s="1"/>
  <c r="E55" i="138"/>
  <c r="E56" i="138"/>
  <c r="AJ311" i="138"/>
  <c r="AJ315" i="138" s="1"/>
  <c r="AJ316" i="138" s="1"/>
  <c r="S7" i="138" s="1"/>
  <c r="E17" i="138" s="1"/>
  <c r="AJ282" i="138"/>
  <c r="AJ286" i="138" s="1"/>
  <c r="AJ287" i="138" s="1"/>
  <c r="AJ84" i="138"/>
  <c r="AJ88" i="138" s="1"/>
  <c r="AJ89" i="138" s="1"/>
  <c r="AJ120" i="138"/>
  <c r="AJ124" i="138" s="1"/>
  <c r="R85" i="133"/>
  <c r="H815" i="162"/>
  <c r="H817" i="162" s="1"/>
  <c r="E16" i="105"/>
  <c r="G31" i="162"/>
  <c r="I220" i="105" s="1"/>
  <c r="G7" i="162"/>
  <c r="I355" i="162" s="1"/>
  <c r="I980" i="162"/>
  <c r="G42" i="162"/>
  <c r="G60" i="162"/>
  <c r="G864" i="162"/>
  <c r="G863" i="162"/>
  <c r="G862" i="162"/>
  <c r="G861" i="162"/>
  <c r="G799" i="162"/>
  <c r="G767" i="162" s="1"/>
  <c r="G828" i="162" s="1"/>
  <c r="G870" i="162"/>
  <c r="G869" i="162"/>
  <c r="G868" i="162"/>
  <c r="G867" i="162"/>
  <c r="G866" i="162"/>
  <c r="G865" i="162"/>
  <c r="G881" i="162"/>
  <c r="G880" i="162"/>
  <c r="G879" i="162"/>
  <c r="G878" i="162"/>
  <c r="G877" i="162"/>
  <c r="G876" i="162"/>
  <c r="G875" i="162"/>
  <c r="G874" i="162"/>
  <c r="G873" i="162"/>
  <c r="G872" i="162"/>
  <c r="D873" i="162"/>
  <c r="E873" i="162"/>
  <c r="H873" i="162"/>
  <c r="G902" i="162"/>
  <c r="G901" i="162"/>
  <c r="G900" i="162"/>
  <c r="G899" i="162"/>
  <c r="G898" i="162"/>
  <c r="G897" i="162"/>
  <c r="G896" i="162"/>
  <c r="G895" i="162"/>
  <c r="G894" i="162"/>
  <c r="G893" i="162"/>
  <c r="G892" i="162"/>
  <c r="G891" i="162"/>
  <c r="G890" i="162"/>
  <c r="G889" i="162"/>
  <c r="G888" i="162"/>
  <c r="G887" i="162"/>
  <c r="G886" i="162"/>
  <c r="G885" i="162"/>
  <c r="G884" i="162"/>
  <c r="G883" i="162"/>
  <c r="G882" i="162"/>
  <c r="G937" i="162"/>
  <c r="G946" i="162"/>
  <c r="G945" i="162"/>
  <c r="G944" i="162"/>
  <c r="G943" i="162"/>
  <c r="G942" i="162"/>
  <c r="G941" i="162"/>
  <c r="G940" i="162"/>
  <c r="G939" i="162"/>
  <c r="G938" i="162"/>
  <c r="G949" i="162"/>
  <c r="G948" i="162"/>
  <c r="G957" i="162"/>
  <c r="G956" i="162"/>
  <c r="G955" i="162"/>
  <c r="G954" i="162"/>
  <c r="G953" i="162"/>
  <c r="G952" i="162"/>
  <c r="G951" i="162"/>
  <c r="G950" i="162"/>
  <c r="G919" i="162"/>
  <c r="G918" i="162"/>
  <c r="G917" i="162"/>
  <c r="G916" i="162"/>
  <c r="G915" i="162"/>
  <c r="G914" i="162"/>
  <c r="G913" i="162"/>
  <c r="G912" i="162"/>
  <c r="G911" i="162"/>
  <c r="G910" i="162"/>
  <c r="G909" i="162"/>
  <c r="G908" i="162"/>
  <c r="G907" i="162"/>
  <c r="G906" i="162"/>
  <c r="G905" i="162"/>
  <c r="G904" i="162"/>
  <c r="G968" i="162"/>
  <c r="G967" i="162"/>
  <c r="G966" i="162"/>
  <c r="G965" i="162"/>
  <c r="G964" i="162"/>
  <c r="G963" i="162"/>
  <c r="G962" i="162"/>
  <c r="G961" i="162"/>
  <c r="G960" i="162"/>
  <c r="G959" i="162"/>
  <c r="D861" i="162"/>
  <c r="E861" i="162"/>
  <c r="G796" i="162"/>
  <c r="D862" i="162"/>
  <c r="H862" i="162" s="1"/>
  <c r="E862" i="162"/>
  <c r="G797" i="162"/>
  <c r="H797" i="162" s="1"/>
  <c r="D874" i="162"/>
  <c r="E874" i="162"/>
  <c r="G801" i="162"/>
  <c r="H801" i="162" s="1"/>
  <c r="G820" i="162"/>
  <c r="H820" i="162" s="1"/>
  <c r="E937" i="162"/>
  <c r="H937" i="162" s="1"/>
  <c r="G821" i="162"/>
  <c r="G764" i="162"/>
  <c r="G825" i="162" s="1"/>
  <c r="E948" i="162"/>
  <c r="H948" i="162" s="1"/>
  <c r="G765" i="162"/>
  <c r="G826" i="162" s="1"/>
  <c r="G806" i="162"/>
  <c r="H806" i="162" s="1"/>
  <c r="D863" i="162"/>
  <c r="E863" i="162"/>
  <c r="D864" i="162"/>
  <c r="E864" i="162"/>
  <c r="G798" i="162"/>
  <c r="H798" i="162" s="1"/>
  <c r="D872" i="162"/>
  <c r="E872" i="162"/>
  <c r="H872" i="162" s="1"/>
  <c r="G69" i="162"/>
  <c r="G38" i="162"/>
  <c r="I124" i="105" s="1"/>
  <c r="G48" i="162"/>
  <c r="I135" i="105" s="1"/>
  <c r="G51" i="162"/>
  <c r="I141" i="105" s="1"/>
  <c r="G58" i="162"/>
  <c r="I146" i="105" s="1"/>
  <c r="G67" i="162"/>
  <c r="I156" i="105" s="1"/>
  <c r="G71" i="162"/>
  <c r="I164" i="105" s="1"/>
  <c r="G72" i="162"/>
  <c r="I168" i="105" s="1"/>
  <c r="G73" i="162"/>
  <c r="H119" i="107" s="1"/>
  <c r="F72" i="133" s="1"/>
  <c r="G74" i="162"/>
  <c r="I172" i="105" s="1"/>
  <c r="G75" i="162"/>
  <c r="I176" i="105" s="1"/>
  <c r="G76" i="162"/>
  <c r="I180" i="105"/>
  <c r="G77" i="162"/>
  <c r="I184" i="105" s="1"/>
  <c r="G78" i="162"/>
  <c r="I188" i="105" s="1"/>
  <c r="G79" i="162"/>
  <c r="I192" i="105" s="1"/>
  <c r="G85" i="162"/>
  <c r="I200" i="105" s="1"/>
  <c r="AF861" i="162"/>
  <c r="AU861" i="162" s="1"/>
  <c r="AF862" i="162"/>
  <c r="AU862" i="162" s="1"/>
  <c r="AF863" i="162"/>
  <c r="AU863" i="162" s="1"/>
  <c r="AF864" i="162"/>
  <c r="AU864" i="162" s="1"/>
  <c r="AF865" i="162"/>
  <c r="AU865" i="162" s="1"/>
  <c r="AF866" i="162"/>
  <c r="AU866" i="162" s="1"/>
  <c r="AF867" i="162"/>
  <c r="AU867" i="162" s="1"/>
  <c r="AF868" i="162"/>
  <c r="AU868" i="162" s="1"/>
  <c r="AF869" i="162"/>
  <c r="AU869" i="162" s="1"/>
  <c r="AF870" i="162"/>
  <c r="AU870" i="162"/>
  <c r="AF872" i="162"/>
  <c r="AF873" i="162"/>
  <c r="AU873" i="162" s="1"/>
  <c r="AF874" i="162"/>
  <c r="AF875" i="162"/>
  <c r="AU875" i="162" s="1"/>
  <c r="AF876" i="162"/>
  <c r="AF877" i="162"/>
  <c r="AU877" i="162" s="1"/>
  <c r="AF878" i="162"/>
  <c r="AF879" i="162"/>
  <c r="AU879" i="162" s="1"/>
  <c r="AF880" i="162"/>
  <c r="AF881" i="162"/>
  <c r="AU881" i="162" s="1"/>
  <c r="AF882" i="162"/>
  <c r="AF883" i="162"/>
  <c r="AU883" i="162" s="1"/>
  <c r="AF884" i="162"/>
  <c r="AF885" i="162"/>
  <c r="AU885" i="162" s="1"/>
  <c r="AF886" i="162"/>
  <c r="AF887" i="162"/>
  <c r="AU887" i="162" s="1"/>
  <c r="AF888" i="162"/>
  <c r="AF889" i="162"/>
  <c r="AU889" i="162" s="1"/>
  <c r="AF890" i="162"/>
  <c r="AF891" i="162"/>
  <c r="AU891" i="162" s="1"/>
  <c r="AF892" i="162"/>
  <c r="AF893" i="162"/>
  <c r="AU893" i="162" s="1"/>
  <c r="AF894" i="162"/>
  <c r="AF895" i="162"/>
  <c r="AU895" i="162" s="1"/>
  <c r="AF896" i="162"/>
  <c r="AF897" i="162"/>
  <c r="AU897" i="162" s="1"/>
  <c r="AF898" i="162"/>
  <c r="AF899" i="162"/>
  <c r="AU899" i="162" s="1"/>
  <c r="AF900" i="162"/>
  <c r="AF901" i="162"/>
  <c r="AU901" i="162" s="1"/>
  <c r="AF902" i="162"/>
  <c r="AU872" i="162"/>
  <c r="AU874" i="162"/>
  <c r="AU876" i="162"/>
  <c r="AU878" i="162"/>
  <c r="AU880" i="162"/>
  <c r="AU882" i="162"/>
  <c r="AU884" i="162"/>
  <c r="AU886" i="162"/>
  <c r="AU888" i="162"/>
  <c r="AU890" i="162"/>
  <c r="AU892" i="162"/>
  <c r="AU894" i="162"/>
  <c r="AU896" i="162"/>
  <c r="AU898" i="162"/>
  <c r="AU900" i="162"/>
  <c r="AU902" i="162"/>
  <c r="AF904" i="162"/>
  <c r="AU904" i="162" s="1"/>
  <c r="AF905" i="162"/>
  <c r="AF924" i="162" s="1"/>
  <c r="AF906" i="162"/>
  <c r="AU906" i="162" s="1"/>
  <c r="AF907" i="162"/>
  <c r="AU907" i="162" s="1"/>
  <c r="AF908" i="162"/>
  <c r="AU908" i="162" s="1"/>
  <c r="AF909" i="162"/>
  <c r="AU909" i="162" s="1"/>
  <c r="AF910" i="162"/>
  <c r="AU910" i="162" s="1"/>
  <c r="AF911" i="162"/>
  <c r="AU911" i="162" s="1"/>
  <c r="AF912" i="162"/>
  <c r="AU912" i="162" s="1"/>
  <c r="AF913" i="162"/>
  <c r="AF914" i="162"/>
  <c r="AU914" i="162" s="1"/>
  <c r="AF915" i="162"/>
  <c r="AU915" i="162" s="1"/>
  <c r="AF916" i="162"/>
  <c r="AU916" i="162" s="1"/>
  <c r="AF917" i="162"/>
  <c r="AU917" i="162" s="1"/>
  <c r="AF918" i="162"/>
  <c r="AU918" i="162" s="1"/>
  <c r="AF919" i="162"/>
  <c r="AU919" i="162" s="1"/>
  <c r="AU905" i="162"/>
  <c r="AU913" i="162"/>
  <c r="AF937" i="162"/>
  <c r="AF948" i="162"/>
  <c r="AF949" i="162"/>
  <c r="AF938" i="162"/>
  <c r="AF939" i="162"/>
  <c r="AF940" i="162"/>
  <c r="AF941" i="162"/>
  <c r="AF942" i="162"/>
  <c r="AF943" i="162"/>
  <c r="AF944" i="162"/>
  <c r="AF945" i="162"/>
  <c r="AF946" i="162"/>
  <c r="AF950" i="162"/>
  <c r="AF951" i="162"/>
  <c r="AF952" i="162"/>
  <c r="AF953" i="162"/>
  <c r="AF954" i="162"/>
  <c r="AF955" i="162"/>
  <c r="AF956" i="162"/>
  <c r="AF957" i="162"/>
  <c r="AF959" i="162"/>
  <c r="AF960" i="162"/>
  <c r="AF961" i="162"/>
  <c r="AF962" i="162"/>
  <c r="AF963" i="162"/>
  <c r="AF964" i="162"/>
  <c r="AF965" i="162"/>
  <c r="AF966" i="162"/>
  <c r="AF967" i="162"/>
  <c r="AF968" i="162"/>
  <c r="I318" i="162"/>
  <c r="I329" i="162"/>
  <c r="I340" i="162"/>
  <c r="G106" i="162"/>
  <c r="I263" i="105" s="1"/>
  <c r="H91" i="162"/>
  <c r="J101" i="105" s="1"/>
  <c r="I84" i="107"/>
  <c r="I85" i="107" s="1"/>
  <c r="I83" i="107" s="1"/>
  <c r="G1099" i="162"/>
  <c r="D7" i="133" s="1"/>
  <c r="F70" i="138"/>
  <c r="H97" i="162"/>
  <c r="G223" i="133"/>
  <c r="G178" i="133" s="1"/>
  <c r="F55" i="138"/>
  <c r="F56" i="138"/>
  <c r="AK311" i="138"/>
  <c r="AK315" i="138" s="1"/>
  <c r="AK316" i="138" s="1"/>
  <c r="AK282" i="138"/>
  <c r="AK286" i="138" s="1"/>
  <c r="AK84" i="138"/>
  <c r="AK88" i="138" s="1"/>
  <c r="AK120" i="138"/>
  <c r="AK124" i="138"/>
  <c r="AK125" i="138" s="1"/>
  <c r="AK156" i="138"/>
  <c r="AK160" i="138" s="1"/>
  <c r="AK161" i="138" s="1"/>
  <c r="R86" i="133"/>
  <c r="F16" i="105"/>
  <c r="H31" i="162"/>
  <c r="J220" i="105" s="1"/>
  <c r="H7" i="162"/>
  <c r="J355" i="162" s="1"/>
  <c r="J980" i="162"/>
  <c r="H42" i="162"/>
  <c r="H60" i="162"/>
  <c r="I991" i="162"/>
  <c r="I984" i="162" s="1"/>
  <c r="H103" i="107" s="1"/>
  <c r="I799" i="162"/>
  <c r="I873" i="162"/>
  <c r="I861" i="162"/>
  <c r="I796" i="162"/>
  <c r="I862" i="162"/>
  <c r="I797" i="162"/>
  <c r="I874" i="162"/>
  <c r="I801" i="162"/>
  <c r="I820" i="162"/>
  <c r="I937" i="162"/>
  <c r="I821" i="162" s="1"/>
  <c r="I825" i="162"/>
  <c r="I948" i="162"/>
  <c r="I806" i="162"/>
  <c r="I863" i="162"/>
  <c r="I864" i="162"/>
  <c r="I798" i="162"/>
  <c r="I872" i="162"/>
  <c r="H69" i="162"/>
  <c r="H38" i="162"/>
  <c r="J124" i="105" s="1"/>
  <c r="H48" i="162"/>
  <c r="J135" i="105" s="1"/>
  <c r="H51" i="162"/>
  <c r="J141" i="105" s="1"/>
  <c r="H58" i="162"/>
  <c r="J146" i="105" s="1"/>
  <c r="J147" i="105" s="1"/>
  <c r="H67" i="162"/>
  <c r="J156" i="105" s="1"/>
  <c r="H71" i="162"/>
  <c r="J164" i="105" s="1"/>
  <c r="H72" i="162"/>
  <c r="J168" i="105"/>
  <c r="H73" i="162"/>
  <c r="I119" i="107" s="1"/>
  <c r="G72" i="133"/>
  <c r="G107" i="133" s="1"/>
  <c r="I267" i="107" s="1"/>
  <c r="H74" i="162"/>
  <c r="J172" i="105"/>
  <c r="H75" i="162"/>
  <c r="J176" i="105" s="1"/>
  <c r="H76" i="162"/>
  <c r="J180" i="105" s="1"/>
  <c r="H77" i="162"/>
  <c r="J184" i="105" s="1"/>
  <c r="H78" i="162"/>
  <c r="J188" i="105" s="1"/>
  <c r="H79" i="162"/>
  <c r="J192" i="105" s="1"/>
  <c r="H85" i="162"/>
  <c r="J200" i="105" s="1"/>
  <c r="AG861" i="162"/>
  <c r="AV861" i="162" s="1"/>
  <c r="AG862" i="162"/>
  <c r="AV862" i="162" s="1"/>
  <c r="AG863" i="162"/>
  <c r="AV863" i="162" s="1"/>
  <c r="AG864" i="162"/>
  <c r="AV864" i="162" s="1"/>
  <c r="AG865" i="162"/>
  <c r="AV865" i="162" s="1"/>
  <c r="AG866" i="162"/>
  <c r="AG867" i="162"/>
  <c r="AV867" i="162" s="1"/>
  <c r="AG868" i="162"/>
  <c r="AV868" i="162" s="1"/>
  <c r="AG869" i="162"/>
  <c r="AV869" i="162" s="1"/>
  <c r="AG870" i="162"/>
  <c r="AV866" i="162"/>
  <c r="AV870" i="162"/>
  <c r="AG872" i="162"/>
  <c r="AG873" i="162"/>
  <c r="AV873" i="162" s="1"/>
  <c r="AG874" i="162"/>
  <c r="AG875" i="162"/>
  <c r="AV875" i="162" s="1"/>
  <c r="AG876" i="162"/>
  <c r="AG877" i="162"/>
  <c r="AV877" i="162" s="1"/>
  <c r="AG878" i="162"/>
  <c r="AG879" i="162"/>
  <c r="AV879" i="162" s="1"/>
  <c r="AG880" i="162"/>
  <c r="AG881" i="162"/>
  <c r="AV881" i="162" s="1"/>
  <c r="AG882" i="162"/>
  <c r="AG883" i="162"/>
  <c r="AV883" i="162" s="1"/>
  <c r="AG884" i="162"/>
  <c r="AG885" i="162"/>
  <c r="AV885" i="162" s="1"/>
  <c r="AG886" i="162"/>
  <c r="AG887" i="162"/>
  <c r="AV887" i="162" s="1"/>
  <c r="AG888" i="162"/>
  <c r="AG889" i="162"/>
  <c r="AV889" i="162" s="1"/>
  <c r="AG890" i="162"/>
  <c r="AG891" i="162"/>
  <c r="AV891" i="162" s="1"/>
  <c r="AG892" i="162"/>
  <c r="AG893" i="162"/>
  <c r="AV893" i="162" s="1"/>
  <c r="AG894" i="162"/>
  <c r="AG895" i="162"/>
  <c r="AV895" i="162" s="1"/>
  <c r="AG896" i="162"/>
  <c r="AG897" i="162"/>
  <c r="AV897" i="162" s="1"/>
  <c r="AG898" i="162"/>
  <c r="AG899" i="162"/>
  <c r="AV899" i="162" s="1"/>
  <c r="AG900" i="162"/>
  <c r="AG901" i="162"/>
  <c r="AV901" i="162" s="1"/>
  <c r="AG902" i="162"/>
  <c r="AV872" i="162"/>
  <c r="AV874" i="162"/>
  <c r="AV876" i="162"/>
  <c r="AV878" i="162"/>
  <c r="AV880" i="162"/>
  <c r="AV882" i="162"/>
  <c r="AV884" i="162"/>
  <c r="AV886" i="162"/>
  <c r="AV888" i="162"/>
  <c r="AV890" i="162"/>
  <c r="AV892" i="162"/>
  <c r="AV894" i="162"/>
  <c r="AV896" i="162"/>
  <c r="AV898" i="162"/>
  <c r="AV900" i="162"/>
  <c r="AV902" i="162"/>
  <c r="AG904" i="162"/>
  <c r="AV904" i="162" s="1"/>
  <c r="AG905" i="162"/>
  <c r="AG924" i="162" s="1"/>
  <c r="AG906" i="162"/>
  <c r="AV906" i="162" s="1"/>
  <c r="AG907" i="162"/>
  <c r="AV907" i="162" s="1"/>
  <c r="AG908" i="162"/>
  <c r="AV908" i="162" s="1"/>
  <c r="AG909" i="162"/>
  <c r="AG910" i="162"/>
  <c r="AV910" i="162" s="1"/>
  <c r="AG911" i="162"/>
  <c r="AV911" i="162" s="1"/>
  <c r="AG912" i="162"/>
  <c r="AV912" i="162" s="1"/>
  <c r="AG913" i="162"/>
  <c r="AG914" i="162"/>
  <c r="AV914" i="162" s="1"/>
  <c r="AG915" i="162"/>
  <c r="AV915" i="162" s="1"/>
  <c r="AG916" i="162"/>
  <c r="AV916" i="162" s="1"/>
  <c r="AG917" i="162"/>
  <c r="AG918" i="162"/>
  <c r="AV918" i="162" s="1"/>
  <c r="AG919" i="162"/>
  <c r="AV919" i="162" s="1"/>
  <c r="AV905" i="162"/>
  <c r="AV909" i="162"/>
  <c r="AV913" i="162"/>
  <c r="AV917" i="162"/>
  <c r="AG937" i="162"/>
  <c r="AG948" i="162"/>
  <c r="AG949" i="162"/>
  <c r="AG938" i="162"/>
  <c r="AG939" i="162"/>
  <c r="AG940" i="162"/>
  <c r="AG941" i="162"/>
  <c r="AG942" i="162"/>
  <c r="AG943" i="162"/>
  <c r="AG944" i="162"/>
  <c r="AG945" i="162"/>
  <c r="AG946" i="162"/>
  <c r="AG950" i="162"/>
  <c r="AG951" i="162"/>
  <c r="AG952" i="162"/>
  <c r="AG953" i="162"/>
  <c r="AG954" i="162"/>
  <c r="AG955" i="162"/>
  <c r="AG956" i="162"/>
  <c r="AG957" i="162"/>
  <c r="AG959" i="162"/>
  <c r="AG960" i="162"/>
  <c r="AG961" i="162"/>
  <c r="AG962" i="162"/>
  <c r="AG963" i="162"/>
  <c r="AG964" i="162"/>
  <c r="AG965" i="162"/>
  <c r="AG966" i="162"/>
  <c r="AG967" i="162"/>
  <c r="AG968" i="162"/>
  <c r="J318" i="162"/>
  <c r="J329" i="162"/>
  <c r="J340" i="162"/>
  <c r="H106" i="162"/>
  <c r="J263" i="105" s="1"/>
  <c r="K108" i="105"/>
  <c r="I91" i="162"/>
  <c r="K101" i="105" s="1"/>
  <c r="J84" i="107"/>
  <c r="J85" i="107" s="1"/>
  <c r="J83" i="107" s="1"/>
  <c r="G1100" i="162"/>
  <c r="D8" i="133" s="1"/>
  <c r="G70" i="138"/>
  <c r="I97" i="162"/>
  <c r="H223" i="133"/>
  <c r="H182" i="133" s="1"/>
  <c r="G55" i="138"/>
  <c r="G56" i="138"/>
  <c r="AL311" i="138"/>
  <c r="AL315" i="138" s="1"/>
  <c r="AL282" i="138"/>
  <c r="AL286" i="138" s="1"/>
  <c r="AL84" i="138"/>
  <c r="AL88" i="138" s="1"/>
  <c r="AL120" i="138"/>
  <c r="AL124" i="138" s="1"/>
  <c r="AL156" i="138"/>
  <c r="AL160" i="138" s="1"/>
  <c r="R87" i="133"/>
  <c r="G16" i="105"/>
  <c r="I31" i="162"/>
  <c r="K220" i="105" s="1"/>
  <c r="I7" i="162"/>
  <c r="K355" i="162" s="1"/>
  <c r="K980" i="162"/>
  <c r="I42" i="162"/>
  <c r="I60" i="162"/>
  <c r="J799" i="162"/>
  <c r="J873" i="162"/>
  <c r="J861" i="162"/>
  <c r="J796" i="162"/>
  <c r="J862" i="162"/>
  <c r="J797" i="162"/>
  <c r="J874" i="162"/>
  <c r="J801" i="162"/>
  <c r="J820" i="162"/>
  <c r="J937" i="162"/>
  <c r="J821" i="162"/>
  <c r="J825" i="162"/>
  <c r="J948" i="162"/>
  <c r="J806" i="162"/>
  <c r="J863" i="162"/>
  <c r="J864" i="162"/>
  <c r="J798" i="162"/>
  <c r="J872" i="162"/>
  <c r="I69" i="162"/>
  <c r="I38" i="162"/>
  <c r="K124" i="105" s="1"/>
  <c r="I48" i="162"/>
  <c r="K135" i="105" s="1"/>
  <c r="I51" i="162"/>
  <c r="K141" i="105" s="1"/>
  <c r="I58" i="162"/>
  <c r="K146" i="105"/>
  <c r="I67" i="162"/>
  <c r="K156" i="105" s="1"/>
  <c r="I71" i="162"/>
  <c r="K164" i="105" s="1"/>
  <c r="I72" i="162"/>
  <c r="K168" i="105" s="1"/>
  <c r="I73" i="162"/>
  <c r="J119" i="107" s="1"/>
  <c r="I74" i="162"/>
  <c r="K172" i="105" s="1"/>
  <c r="I75" i="162"/>
  <c r="K176" i="105" s="1"/>
  <c r="I76" i="162"/>
  <c r="K180" i="105" s="1"/>
  <c r="I77" i="162"/>
  <c r="K184" i="105" s="1"/>
  <c r="I78" i="162"/>
  <c r="K188" i="105" s="1"/>
  <c r="I79" i="162"/>
  <c r="K192" i="105" s="1"/>
  <c r="I85" i="162"/>
  <c r="K200" i="105" s="1"/>
  <c r="AH861" i="162"/>
  <c r="AW861" i="162" s="1"/>
  <c r="AH862" i="162"/>
  <c r="AH863" i="162"/>
  <c r="AW863" i="162" s="1"/>
  <c r="AH864" i="162"/>
  <c r="AW864" i="162" s="1"/>
  <c r="AH865" i="162"/>
  <c r="AH866" i="162"/>
  <c r="AW866" i="162" s="1"/>
  <c r="AH867" i="162"/>
  <c r="AH868" i="162"/>
  <c r="AW868" i="162" s="1"/>
  <c r="AH869" i="162"/>
  <c r="AH870" i="162"/>
  <c r="AW870" i="162" s="1"/>
  <c r="AW865" i="162"/>
  <c r="AW867" i="162"/>
  <c r="AW869" i="162"/>
  <c r="AH872" i="162"/>
  <c r="AH873" i="162"/>
  <c r="AH874" i="162"/>
  <c r="AW874" i="162" s="1"/>
  <c r="AH875" i="162"/>
  <c r="AW875" i="162" s="1"/>
  <c r="AH876" i="162"/>
  <c r="AW876" i="162" s="1"/>
  <c r="AH877" i="162"/>
  <c r="AW877" i="162" s="1"/>
  <c r="AH878" i="162"/>
  <c r="AW878" i="162" s="1"/>
  <c r="AH879" i="162"/>
  <c r="AW879" i="162" s="1"/>
  <c r="AH880" i="162"/>
  <c r="AW880" i="162" s="1"/>
  <c r="AH881" i="162"/>
  <c r="AH882" i="162"/>
  <c r="AH883" i="162"/>
  <c r="AH884" i="162"/>
  <c r="AH885" i="162"/>
  <c r="AH886" i="162"/>
  <c r="AH887" i="162"/>
  <c r="AH888" i="162"/>
  <c r="AH889" i="162"/>
  <c r="AH890" i="162"/>
  <c r="AH891" i="162"/>
  <c r="AH892" i="162"/>
  <c r="AH893" i="162"/>
  <c r="AH894" i="162"/>
  <c r="AH895" i="162"/>
  <c r="AH896" i="162"/>
  <c r="AH897" i="162"/>
  <c r="AH898" i="162"/>
  <c r="AH899" i="162"/>
  <c r="AH900" i="162"/>
  <c r="AH901" i="162"/>
  <c r="AH902" i="162"/>
  <c r="AW873" i="162"/>
  <c r="AW881" i="162"/>
  <c r="AW882" i="162"/>
  <c r="AW883" i="162"/>
  <c r="AW884" i="162"/>
  <c r="AW885" i="162"/>
  <c r="AW886" i="162"/>
  <c r="AW887" i="162"/>
  <c r="AW888" i="162"/>
  <c r="AW889" i="162"/>
  <c r="AW890" i="162"/>
  <c r="AW891" i="162"/>
  <c r="AW892" i="162"/>
  <c r="AW893" i="162"/>
  <c r="AW894" i="162"/>
  <c r="AW895" i="162"/>
  <c r="AW896" i="162"/>
  <c r="AW897" i="162"/>
  <c r="AW898" i="162"/>
  <c r="AW899" i="162"/>
  <c r="AW900" i="162"/>
  <c r="AW901" i="162"/>
  <c r="AW902" i="162"/>
  <c r="AH904" i="162"/>
  <c r="AH905" i="162"/>
  <c r="AH906" i="162"/>
  <c r="AW906" i="162" s="1"/>
  <c r="AH907" i="162"/>
  <c r="AW907" i="162" s="1"/>
  <c r="AH908" i="162"/>
  <c r="AW908" i="162" s="1"/>
  <c r="AH909" i="162"/>
  <c r="AW909" i="162" s="1"/>
  <c r="AH910" i="162"/>
  <c r="AW910" i="162" s="1"/>
  <c r="AH911" i="162"/>
  <c r="AW911" i="162" s="1"/>
  <c r="AH912" i="162"/>
  <c r="AH913" i="162"/>
  <c r="AW913" i="162" s="1"/>
  <c r="AH914" i="162"/>
  <c r="AW914" i="162" s="1"/>
  <c r="AH915" i="162"/>
  <c r="AW915" i="162" s="1"/>
  <c r="AH916" i="162"/>
  <c r="AW916" i="162" s="1"/>
  <c r="AH917" i="162"/>
  <c r="AW917" i="162" s="1"/>
  <c r="AH918" i="162"/>
  <c r="AW918" i="162" s="1"/>
  <c r="AH919" i="162"/>
  <c r="AW919" i="162" s="1"/>
  <c r="AW904" i="162"/>
  <c r="AW912" i="162"/>
  <c r="AH937" i="162"/>
  <c r="AH969" i="162" s="1"/>
  <c r="K815" i="162" s="1"/>
  <c r="AH948" i="162"/>
  <c r="AH949" i="162"/>
  <c r="AH938" i="162"/>
  <c r="AH939" i="162"/>
  <c r="AH940" i="162"/>
  <c r="AH941" i="162"/>
  <c r="AH942" i="162"/>
  <c r="AH943" i="162"/>
  <c r="AH944" i="162"/>
  <c r="AH945" i="162"/>
  <c r="AH946" i="162"/>
  <c r="AH950" i="162"/>
  <c r="AH951" i="162"/>
  <c r="AH952" i="162"/>
  <c r="AH953" i="162"/>
  <c r="AH954" i="162"/>
  <c r="AH955" i="162"/>
  <c r="AH956" i="162"/>
  <c r="AH957" i="162"/>
  <c r="AH959" i="162"/>
  <c r="AH960" i="162"/>
  <c r="AH961" i="162"/>
  <c r="AH962" i="162"/>
  <c r="AH963" i="162"/>
  <c r="AH964" i="162"/>
  <c r="AH965" i="162"/>
  <c r="AH966" i="162"/>
  <c r="AH967" i="162"/>
  <c r="AH968" i="162"/>
  <c r="K318" i="162"/>
  <c r="K329" i="162"/>
  <c r="AH971" i="162" s="1"/>
  <c r="AH972" i="162" s="1"/>
  <c r="K816" i="162" s="1"/>
  <c r="K340" i="162"/>
  <c r="I106" i="162"/>
  <c r="K263" i="105" s="1"/>
  <c r="L108" i="105"/>
  <c r="J91" i="162"/>
  <c r="L101" i="105" s="1"/>
  <c r="K84" i="107"/>
  <c r="K85" i="107" s="1"/>
  <c r="K83" i="107" s="1"/>
  <c r="G1101" i="162"/>
  <c r="D9" i="133"/>
  <c r="H70" i="138"/>
  <c r="J97" i="162"/>
  <c r="I223" i="133"/>
  <c r="I186" i="133"/>
  <c r="H55" i="138"/>
  <c r="H56" i="138"/>
  <c r="AM311" i="138"/>
  <c r="AM315" i="138" s="1"/>
  <c r="AM316" i="138" s="1"/>
  <c r="AM282" i="138"/>
  <c r="AM286" i="138" s="1"/>
  <c r="AM84" i="138"/>
  <c r="AM88" i="138" s="1"/>
  <c r="AM89" i="138" s="1"/>
  <c r="AM120" i="138"/>
  <c r="AM124" i="138" s="1"/>
  <c r="AM156" i="138"/>
  <c r="AM160" i="138" s="1"/>
  <c r="AM161" i="138" s="1"/>
  <c r="R88" i="133"/>
  <c r="H16" i="105"/>
  <c r="I16" i="105" s="1"/>
  <c r="J16" i="105" s="1"/>
  <c r="K16" i="105" s="1"/>
  <c r="L16" i="105" s="1"/>
  <c r="M16" i="105" s="1"/>
  <c r="J31" i="162"/>
  <c r="L220" i="105" s="1"/>
  <c r="J7" i="162"/>
  <c r="L355" i="162" s="1"/>
  <c r="L980" i="162"/>
  <c r="J42" i="162"/>
  <c r="J60" i="162"/>
  <c r="K799" i="162"/>
  <c r="K873" i="162"/>
  <c r="K861" i="162"/>
  <c r="K796" i="162"/>
  <c r="K862" i="162"/>
  <c r="K797" i="162"/>
  <c r="K874" i="162"/>
  <c r="K801" i="162"/>
  <c r="K820" i="162"/>
  <c r="K937" i="162"/>
  <c r="K821" i="162" s="1"/>
  <c r="K825" i="162"/>
  <c r="K948" i="162"/>
  <c r="K806" i="162"/>
  <c r="K863" i="162"/>
  <c r="K864" i="162"/>
  <c r="K798" i="162"/>
  <c r="K872" i="162"/>
  <c r="J69" i="162"/>
  <c r="J38" i="162"/>
  <c r="L124" i="105" s="1"/>
  <c r="J48" i="162"/>
  <c r="L135" i="105" s="1"/>
  <c r="J51" i="162"/>
  <c r="L141" i="105" s="1"/>
  <c r="J58" i="162"/>
  <c r="L146" i="105" s="1"/>
  <c r="J67" i="162"/>
  <c r="L156" i="105" s="1"/>
  <c r="J71" i="162"/>
  <c r="L164" i="105" s="1"/>
  <c r="J72" i="162"/>
  <c r="L168" i="105" s="1"/>
  <c r="J73" i="162"/>
  <c r="K119" i="107" s="1"/>
  <c r="I72" i="133" s="1"/>
  <c r="I107" i="133" s="1"/>
  <c r="K267" i="107" s="1"/>
  <c r="J74" i="162"/>
  <c r="L172" i="105" s="1"/>
  <c r="J75" i="162"/>
  <c r="L176" i="105" s="1"/>
  <c r="J76" i="162"/>
  <c r="L180" i="105" s="1"/>
  <c r="J77" i="162"/>
  <c r="L184" i="105" s="1"/>
  <c r="J78" i="162"/>
  <c r="L188" i="105" s="1"/>
  <c r="J79" i="162"/>
  <c r="L192" i="105" s="1"/>
  <c r="J85" i="162"/>
  <c r="L200" i="105" s="1"/>
  <c r="AI861" i="162"/>
  <c r="AI862" i="162"/>
  <c r="AI863" i="162"/>
  <c r="AI864" i="162"/>
  <c r="AX864" i="162" s="1"/>
  <c r="AI865" i="162"/>
  <c r="AI866" i="162"/>
  <c r="AX866" i="162" s="1"/>
  <c r="AI867" i="162"/>
  <c r="AI868" i="162"/>
  <c r="AX868" i="162" s="1"/>
  <c r="AI869" i="162"/>
  <c r="AI870" i="162"/>
  <c r="AX870" i="162" s="1"/>
  <c r="AX861" i="162"/>
  <c r="AX863" i="162"/>
  <c r="AX865" i="162"/>
  <c r="AX867" i="162"/>
  <c r="AX869" i="162"/>
  <c r="AI872" i="162"/>
  <c r="AI873" i="162"/>
  <c r="AI874" i="162"/>
  <c r="AX874" i="162" s="1"/>
  <c r="AI875" i="162"/>
  <c r="AI876" i="162"/>
  <c r="AX876" i="162" s="1"/>
  <c r="AI877" i="162"/>
  <c r="AI878" i="162"/>
  <c r="AX878" i="162" s="1"/>
  <c r="AI879" i="162"/>
  <c r="AI880" i="162"/>
  <c r="AX880" i="162" s="1"/>
  <c r="AI881" i="162"/>
  <c r="AI882" i="162"/>
  <c r="AX882" i="162" s="1"/>
  <c r="AI883" i="162"/>
  <c r="AI884" i="162"/>
  <c r="AI885" i="162"/>
  <c r="AI886" i="162"/>
  <c r="AX886" i="162" s="1"/>
  <c r="AI887" i="162"/>
  <c r="AI888" i="162"/>
  <c r="AI889" i="162"/>
  <c r="AI890" i="162"/>
  <c r="AX890" i="162" s="1"/>
  <c r="AI891" i="162"/>
  <c r="AI892" i="162"/>
  <c r="AI893" i="162"/>
  <c r="AI894" i="162"/>
  <c r="AX894" i="162" s="1"/>
  <c r="AI895" i="162"/>
  <c r="AI896" i="162"/>
  <c r="AI897" i="162"/>
  <c r="AI898" i="162"/>
  <c r="AX898" i="162" s="1"/>
  <c r="AI899" i="162"/>
  <c r="AI900" i="162"/>
  <c r="AI901" i="162"/>
  <c r="AI902" i="162"/>
  <c r="AX902" i="162" s="1"/>
  <c r="AX873" i="162"/>
  <c r="AX875" i="162"/>
  <c r="AX877" i="162"/>
  <c r="AX879" i="162"/>
  <c r="AX881" i="162"/>
  <c r="AX883" i="162"/>
  <c r="AX884" i="162"/>
  <c r="AX885" i="162"/>
  <c r="AX887" i="162"/>
  <c r="AX888" i="162"/>
  <c r="AX889" i="162"/>
  <c r="AX891" i="162"/>
  <c r="AX892" i="162"/>
  <c r="AX893" i="162"/>
  <c r="AX895" i="162"/>
  <c r="AX896" i="162"/>
  <c r="AX897" i="162"/>
  <c r="AX899" i="162"/>
  <c r="AX900" i="162"/>
  <c r="AX901" i="162"/>
  <c r="AI904" i="162"/>
  <c r="AI905" i="162"/>
  <c r="AI906" i="162"/>
  <c r="AI907" i="162"/>
  <c r="AX907" i="162" s="1"/>
  <c r="AI908" i="162"/>
  <c r="AI909" i="162"/>
  <c r="AX909" i="162" s="1"/>
  <c r="AI910" i="162"/>
  <c r="AI911" i="162"/>
  <c r="AX911" i="162" s="1"/>
  <c r="AI912" i="162"/>
  <c r="AI913" i="162"/>
  <c r="AX913" i="162" s="1"/>
  <c r="AI914" i="162"/>
  <c r="AI915" i="162"/>
  <c r="AX915" i="162" s="1"/>
  <c r="AI916" i="162"/>
  <c r="AI917" i="162"/>
  <c r="AX917" i="162" s="1"/>
  <c r="AI918" i="162"/>
  <c r="AI919" i="162"/>
  <c r="AX919" i="162" s="1"/>
  <c r="AX904" i="162"/>
  <c r="AX906" i="162"/>
  <c r="AX908" i="162"/>
  <c r="AX910" i="162"/>
  <c r="AX912" i="162"/>
  <c r="AX914" i="162"/>
  <c r="AX916" i="162"/>
  <c r="AX918" i="162"/>
  <c r="AI937" i="162"/>
  <c r="AI948" i="162"/>
  <c r="AI949" i="162"/>
  <c r="AI938" i="162"/>
  <c r="AI939" i="162"/>
  <c r="AI940" i="162"/>
  <c r="AI941" i="162"/>
  <c r="AI942" i="162"/>
  <c r="AI943" i="162"/>
  <c r="AI944" i="162"/>
  <c r="AI945" i="162"/>
  <c r="AI946" i="162"/>
  <c r="AI950" i="162"/>
  <c r="AI951" i="162"/>
  <c r="AI952" i="162"/>
  <c r="AI953" i="162"/>
  <c r="AI954" i="162"/>
  <c r="AI955" i="162"/>
  <c r="AI956" i="162"/>
  <c r="AI957" i="162"/>
  <c r="AI959" i="162"/>
  <c r="AI960" i="162"/>
  <c r="AI961" i="162"/>
  <c r="AI962" i="162"/>
  <c r="AI963" i="162"/>
  <c r="AI964" i="162"/>
  <c r="AI965" i="162"/>
  <c r="AI966" i="162"/>
  <c r="AI967" i="162"/>
  <c r="AI968" i="162"/>
  <c r="L318" i="162"/>
  <c r="L329" i="162"/>
  <c r="L340" i="162"/>
  <c r="AI971" i="162"/>
  <c r="J106" i="162"/>
  <c r="L263" i="105" s="1"/>
  <c r="M108" i="105"/>
  <c r="K91" i="162"/>
  <c r="M101" i="105" s="1"/>
  <c r="L84" i="107"/>
  <c r="L85" i="107" s="1"/>
  <c r="L83" i="107" s="1"/>
  <c r="G1102" i="162"/>
  <c r="D10" i="133" s="1"/>
  <c r="I70" i="138"/>
  <c r="K97" i="162"/>
  <c r="J223" i="133"/>
  <c r="J190" i="133" s="1"/>
  <c r="I55" i="138"/>
  <c r="I56" i="138"/>
  <c r="AN311" i="138"/>
  <c r="AN315" i="138" s="1"/>
  <c r="AN316" i="138" s="1"/>
  <c r="AN282" i="138"/>
  <c r="AN286" i="138" s="1"/>
  <c r="AN84" i="138"/>
  <c r="AN88" i="138" s="1"/>
  <c r="AN89" i="138" s="1"/>
  <c r="AN120" i="138"/>
  <c r="AN124" i="138" s="1"/>
  <c r="AN156" i="138"/>
  <c r="AN160" i="138" s="1"/>
  <c r="AN161" i="138" s="1"/>
  <c r="R89" i="133"/>
  <c r="K31" i="162"/>
  <c r="M220" i="105" s="1"/>
  <c r="K7" i="162"/>
  <c r="M355" i="162" s="1"/>
  <c r="M991" i="162" s="1"/>
  <c r="M980" i="162"/>
  <c r="K42" i="162"/>
  <c r="K60" i="162"/>
  <c r="L799" i="162"/>
  <c r="L873" i="162"/>
  <c r="L861" i="162"/>
  <c r="L796" i="162"/>
  <c r="L862" i="162"/>
  <c r="L797" i="162"/>
  <c r="L874" i="162"/>
  <c r="L801" i="162"/>
  <c r="L820" i="162"/>
  <c r="L937" i="162"/>
  <c r="L821" i="162" s="1"/>
  <c r="L825" i="162"/>
  <c r="L948" i="162"/>
  <c r="L806" i="162"/>
  <c r="L863" i="162"/>
  <c r="L864" i="162"/>
  <c r="L798" i="162"/>
  <c r="L872" i="162"/>
  <c r="K69" i="162"/>
  <c r="K38" i="162"/>
  <c r="M124" i="105" s="1"/>
  <c r="K48" i="162"/>
  <c r="M135" i="105" s="1"/>
  <c r="K51" i="162"/>
  <c r="M141" i="105" s="1"/>
  <c r="K58" i="162"/>
  <c r="M146" i="105" s="1"/>
  <c r="K67" i="162"/>
  <c r="M156" i="105" s="1"/>
  <c r="K71" i="162"/>
  <c r="M164" i="105" s="1"/>
  <c r="K72" i="162"/>
  <c r="M168" i="105" s="1"/>
  <c r="K73" i="162"/>
  <c r="L119" i="107"/>
  <c r="J72" i="133" s="1"/>
  <c r="J107" i="133" s="1"/>
  <c r="L267" i="107" s="1"/>
  <c r="K74" i="162"/>
  <c r="M172" i="105" s="1"/>
  <c r="K75" i="162"/>
  <c r="M176" i="105" s="1"/>
  <c r="K76" i="162"/>
  <c r="M180" i="105" s="1"/>
  <c r="K77" i="162"/>
  <c r="M184" i="105" s="1"/>
  <c r="K78" i="162"/>
  <c r="M188" i="105" s="1"/>
  <c r="K79" i="162"/>
  <c r="M192" i="105" s="1"/>
  <c r="K85" i="162"/>
  <c r="M200" i="105" s="1"/>
  <c r="AJ861" i="162"/>
  <c r="AY861" i="162" s="1"/>
  <c r="AJ862" i="162"/>
  <c r="AJ863" i="162"/>
  <c r="AY863" i="162" s="1"/>
  <c r="AJ864" i="162"/>
  <c r="AY864" i="162" s="1"/>
  <c r="AJ865" i="162"/>
  <c r="AJ866" i="162"/>
  <c r="AY866" i="162" s="1"/>
  <c r="AJ867" i="162"/>
  <c r="AY867" i="162" s="1"/>
  <c r="AJ868" i="162"/>
  <c r="AY868" i="162" s="1"/>
  <c r="AJ869" i="162"/>
  <c r="AY869" i="162" s="1"/>
  <c r="AJ870" i="162"/>
  <c r="AY870" i="162" s="1"/>
  <c r="AY865" i="162"/>
  <c r="AJ872" i="162"/>
  <c r="AJ873" i="162"/>
  <c r="AY873" i="162" s="1"/>
  <c r="AJ874" i="162"/>
  <c r="AY874" i="162" s="1"/>
  <c r="AJ875" i="162"/>
  <c r="AY875" i="162" s="1"/>
  <c r="AJ876" i="162"/>
  <c r="AY876" i="162" s="1"/>
  <c r="AJ877" i="162"/>
  <c r="AJ878" i="162"/>
  <c r="AY878" i="162" s="1"/>
  <c r="AJ879" i="162"/>
  <c r="AY879" i="162" s="1"/>
  <c r="AJ880" i="162"/>
  <c r="AY880" i="162" s="1"/>
  <c r="AJ881" i="162"/>
  <c r="AY881" i="162" s="1"/>
  <c r="AJ882" i="162"/>
  <c r="AY882" i="162" s="1"/>
  <c r="AJ883" i="162"/>
  <c r="AY883" i="162" s="1"/>
  <c r="AJ884" i="162"/>
  <c r="AY884" i="162" s="1"/>
  <c r="AJ885" i="162"/>
  <c r="AJ886" i="162"/>
  <c r="AY886" i="162" s="1"/>
  <c r="AJ887" i="162"/>
  <c r="AY887" i="162" s="1"/>
  <c r="AJ888" i="162"/>
  <c r="AY888" i="162" s="1"/>
  <c r="AJ889" i="162"/>
  <c r="AY889" i="162" s="1"/>
  <c r="AJ890" i="162"/>
  <c r="AY890" i="162" s="1"/>
  <c r="AJ891" i="162"/>
  <c r="AY891" i="162" s="1"/>
  <c r="AJ892" i="162"/>
  <c r="AY892" i="162" s="1"/>
  <c r="AJ893" i="162"/>
  <c r="AJ894" i="162"/>
  <c r="AY894" i="162" s="1"/>
  <c r="AJ895" i="162"/>
  <c r="AY895" i="162" s="1"/>
  <c r="AJ896" i="162"/>
  <c r="AY896" i="162" s="1"/>
  <c r="AJ897" i="162"/>
  <c r="AY897" i="162" s="1"/>
  <c r="AJ898" i="162"/>
  <c r="AY898" i="162" s="1"/>
  <c r="AJ899" i="162"/>
  <c r="AY899" i="162" s="1"/>
  <c r="AJ900" i="162"/>
  <c r="AY900" i="162" s="1"/>
  <c r="AJ901" i="162"/>
  <c r="AJ902" i="162"/>
  <c r="AY902" i="162" s="1"/>
  <c r="AY877" i="162"/>
  <c r="AY885" i="162"/>
  <c r="AY893" i="162"/>
  <c r="AY901" i="162"/>
  <c r="AJ904" i="162"/>
  <c r="AJ905" i="162"/>
  <c r="AJ906" i="162"/>
  <c r="AJ907" i="162"/>
  <c r="AY907" i="162" s="1"/>
  <c r="AJ908" i="162"/>
  <c r="AJ909" i="162"/>
  <c r="AY909" i="162" s="1"/>
  <c r="AJ910" i="162"/>
  <c r="AJ911" i="162"/>
  <c r="AY911" i="162" s="1"/>
  <c r="AJ912" i="162"/>
  <c r="AJ913" i="162"/>
  <c r="AY913" i="162" s="1"/>
  <c r="AJ914" i="162"/>
  <c r="AJ915" i="162"/>
  <c r="AY915" i="162" s="1"/>
  <c r="AJ916" i="162"/>
  <c r="AJ917" i="162"/>
  <c r="AY917" i="162" s="1"/>
  <c r="AJ918" i="162"/>
  <c r="AJ919" i="162"/>
  <c r="AY919" i="162" s="1"/>
  <c r="AY904" i="162"/>
  <c r="AY906" i="162"/>
  <c r="AY908" i="162"/>
  <c r="AY910" i="162"/>
  <c r="AY912" i="162"/>
  <c r="AY914" i="162"/>
  <c r="AY916" i="162"/>
  <c r="AY918" i="162"/>
  <c r="AJ937" i="162"/>
  <c r="AJ948" i="162"/>
  <c r="AJ949" i="162"/>
  <c r="AJ938" i="162"/>
  <c r="AJ969" i="162" s="1"/>
  <c r="M815" i="162" s="1"/>
  <c r="AJ939" i="162"/>
  <c r="AJ940" i="162"/>
  <c r="AJ941" i="162"/>
  <c r="AJ942" i="162"/>
  <c r="AJ943" i="162"/>
  <c r="AJ944" i="162"/>
  <c r="AJ945" i="162"/>
  <c r="AJ946" i="162"/>
  <c r="AJ950" i="162"/>
  <c r="AJ951" i="162"/>
  <c r="AJ952" i="162"/>
  <c r="AJ953" i="162"/>
  <c r="AJ954" i="162"/>
  <c r="AJ955" i="162"/>
  <c r="AJ956" i="162"/>
  <c r="AJ957" i="162"/>
  <c r="AJ959" i="162"/>
  <c r="AJ960" i="162"/>
  <c r="AJ961" i="162"/>
  <c r="AJ962" i="162"/>
  <c r="AJ963" i="162"/>
  <c r="AJ964" i="162"/>
  <c r="AJ965" i="162"/>
  <c r="AJ966" i="162"/>
  <c r="AJ967" i="162"/>
  <c r="AJ968" i="162"/>
  <c r="M318" i="162"/>
  <c r="AJ971" i="162" s="1"/>
  <c r="AJ972" i="162" s="1"/>
  <c r="M816" i="162" s="1"/>
  <c r="M329" i="162"/>
  <c r="M340" i="162"/>
  <c r="K106" i="162"/>
  <c r="M263" i="105"/>
  <c r="L91" i="162"/>
  <c r="N101" i="105" s="1"/>
  <c r="M84" i="107"/>
  <c r="M85" i="107" s="1"/>
  <c r="M83" i="107" s="1"/>
  <c r="G1103" i="162"/>
  <c r="D11" i="133" s="1"/>
  <c r="J70" i="138"/>
  <c r="L97" i="162"/>
  <c r="K223" i="133"/>
  <c r="K194" i="133" s="1"/>
  <c r="J55" i="138"/>
  <c r="J56" i="138"/>
  <c r="AO311" i="138"/>
  <c r="AO315" i="138" s="1"/>
  <c r="AO316" i="138" s="1"/>
  <c r="AO282" i="138"/>
  <c r="AO286" i="138" s="1"/>
  <c r="AO84" i="138"/>
  <c r="AO88" i="138" s="1"/>
  <c r="AO89" i="138" s="1"/>
  <c r="AO120" i="138"/>
  <c r="AO124" i="138" s="1"/>
  <c r="AO156" i="138"/>
  <c r="AO160" i="138"/>
  <c r="AO161" i="138" s="1"/>
  <c r="R90" i="133"/>
  <c r="L31" i="162"/>
  <c r="N220" i="105" s="1"/>
  <c r="L7" i="162"/>
  <c r="N355" i="162" s="1"/>
  <c r="N980" i="162"/>
  <c r="L42" i="162"/>
  <c r="L60" i="162"/>
  <c r="M799" i="162"/>
  <c r="M873" i="162"/>
  <c r="M861" i="162"/>
  <c r="M796" i="162"/>
  <c r="M862" i="162"/>
  <c r="M797" i="162"/>
  <c r="M874" i="162"/>
  <c r="M801" i="162"/>
  <c r="M820" i="162"/>
  <c r="M937" i="162"/>
  <c r="M821" i="162" s="1"/>
  <c r="M825" i="162"/>
  <c r="M948" i="162"/>
  <c r="M806" i="162"/>
  <c r="M863" i="162"/>
  <c r="M864" i="162"/>
  <c r="M798" i="162"/>
  <c r="M872" i="162"/>
  <c r="L69" i="162"/>
  <c r="L38" i="162"/>
  <c r="N124" i="105" s="1"/>
  <c r="L48" i="162"/>
  <c r="N135" i="105" s="1"/>
  <c r="L51" i="162"/>
  <c r="N141" i="105" s="1"/>
  <c r="L58" i="162"/>
  <c r="N146" i="105" s="1"/>
  <c r="L67" i="162"/>
  <c r="N156" i="105" s="1"/>
  <c r="L71" i="162"/>
  <c r="N164" i="105" s="1"/>
  <c r="L72" i="162"/>
  <c r="N168" i="105" s="1"/>
  <c r="L73" i="162"/>
  <c r="M119" i="107" s="1"/>
  <c r="K72" i="133" s="1"/>
  <c r="K107" i="133" s="1"/>
  <c r="M267" i="107" s="1"/>
  <c r="M17" i="219" s="1"/>
  <c r="L74" i="162"/>
  <c r="N172" i="105" s="1"/>
  <c r="L75" i="162"/>
  <c r="N176" i="105" s="1"/>
  <c r="L76" i="162"/>
  <c r="N180" i="105" s="1"/>
  <c r="L77" i="162"/>
  <c r="N184" i="105" s="1"/>
  <c r="L78" i="162"/>
  <c r="N188" i="105" s="1"/>
  <c r="L79" i="162"/>
  <c r="N192" i="105" s="1"/>
  <c r="L85" i="162"/>
  <c r="N200" i="105" s="1"/>
  <c r="AK861" i="162"/>
  <c r="AK862" i="162"/>
  <c r="AK863" i="162"/>
  <c r="AK864" i="162"/>
  <c r="AZ864" i="162" s="1"/>
  <c r="AK865" i="162"/>
  <c r="AK866" i="162"/>
  <c r="AZ866" i="162" s="1"/>
  <c r="AK867" i="162"/>
  <c r="AK868" i="162"/>
  <c r="AZ868" i="162" s="1"/>
  <c r="AK869" i="162"/>
  <c r="AK870" i="162"/>
  <c r="AZ870" i="162" s="1"/>
  <c r="AZ861" i="162"/>
  <c r="AZ863" i="162"/>
  <c r="AZ865" i="162"/>
  <c r="AZ867" i="162"/>
  <c r="AZ869" i="162"/>
  <c r="AK872" i="162"/>
  <c r="AK873" i="162"/>
  <c r="AK874" i="162"/>
  <c r="AZ874" i="162" s="1"/>
  <c r="AK875" i="162"/>
  <c r="AK876" i="162"/>
  <c r="AZ876" i="162" s="1"/>
  <c r="AK877" i="162"/>
  <c r="AK878" i="162"/>
  <c r="AZ878" i="162" s="1"/>
  <c r="AK879" i="162"/>
  <c r="AK880" i="162"/>
  <c r="AZ880" i="162" s="1"/>
  <c r="AK881" i="162"/>
  <c r="AK882" i="162"/>
  <c r="AK883" i="162"/>
  <c r="AZ883" i="162" s="1"/>
  <c r="AK884" i="162"/>
  <c r="AK885" i="162"/>
  <c r="AK886" i="162"/>
  <c r="AK887" i="162"/>
  <c r="AZ887" i="162" s="1"/>
  <c r="AK888" i="162"/>
  <c r="AK889" i="162"/>
  <c r="AK890" i="162"/>
  <c r="AK891" i="162"/>
  <c r="AZ891" i="162" s="1"/>
  <c r="AK892" i="162"/>
  <c r="AK893" i="162"/>
  <c r="AK894" i="162"/>
  <c r="AK895" i="162"/>
  <c r="AZ895" i="162" s="1"/>
  <c r="AK896" i="162"/>
  <c r="AK897" i="162"/>
  <c r="AK898" i="162"/>
  <c r="AK899" i="162"/>
  <c r="AZ899" i="162" s="1"/>
  <c r="AK900" i="162"/>
  <c r="AK901" i="162"/>
  <c r="AK902" i="162"/>
  <c r="AZ873" i="162"/>
  <c r="AZ875" i="162"/>
  <c r="AZ877" i="162"/>
  <c r="AZ879" i="162"/>
  <c r="AZ881" i="162"/>
  <c r="AZ882" i="162"/>
  <c r="AZ884" i="162"/>
  <c r="AZ885" i="162"/>
  <c r="AZ886" i="162"/>
  <c r="AZ888" i="162"/>
  <c r="AZ889" i="162"/>
  <c r="AZ890" i="162"/>
  <c r="AZ892" i="162"/>
  <c r="AZ893" i="162"/>
  <c r="AZ894" i="162"/>
  <c r="AZ896" i="162"/>
  <c r="AZ897" i="162"/>
  <c r="AZ898" i="162"/>
  <c r="AZ900" i="162"/>
  <c r="AZ901" i="162"/>
  <c r="AZ902" i="162"/>
  <c r="AK904" i="162"/>
  <c r="AK905" i="162"/>
  <c r="AK906" i="162"/>
  <c r="AK907" i="162"/>
  <c r="AZ907" i="162" s="1"/>
  <c r="AK908" i="162"/>
  <c r="AK909" i="162"/>
  <c r="AZ909" i="162" s="1"/>
  <c r="AK910" i="162"/>
  <c r="AK911" i="162"/>
  <c r="AZ911" i="162" s="1"/>
  <c r="AK912" i="162"/>
  <c r="AK913" i="162"/>
  <c r="AZ913" i="162" s="1"/>
  <c r="AK914" i="162"/>
  <c r="AK915" i="162"/>
  <c r="AZ915" i="162" s="1"/>
  <c r="AK916" i="162"/>
  <c r="AK917" i="162"/>
  <c r="AZ917" i="162" s="1"/>
  <c r="AK918" i="162"/>
  <c r="AK919" i="162"/>
  <c r="AZ919" i="162" s="1"/>
  <c r="AZ904" i="162"/>
  <c r="AZ906" i="162"/>
  <c r="AZ908" i="162"/>
  <c r="AZ910" i="162"/>
  <c r="AZ912" i="162"/>
  <c r="AZ914" i="162"/>
  <c r="AZ916" i="162"/>
  <c r="AZ918" i="162"/>
  <c r="AK937" i="162"/>
  <c r="AK948" i="162"/>
  <c r="AK949" i="162"/>
  <c r="AK938" i="162"/>
  <c r="AK939" i="162"/>
  <c r="AK940" i="162"/>
  <c r="AK941" i="162"/>
  <c r="AK942" i="162"/>
  <c r="AK943" i="162"/>
  <c r="AK944" i="162"/>
  <c r="AK945" i="162"/>
  <c r="AK946" i="162"/>
  <c r="AK950" i="162"/>
  <c r="AK951" i="162"/>
  <c r="AK952" i="162"/>
  <c r="AK953" i="162"/>
  <c r="AK954" i="162"/>
  <c r="AK955" i="162"/>
  <c r="AK956" i="162"/>
  <c r="AK957" i="162"/>
  <c r="AK959" i="162"/>
  <c r="AK960" i="162"/>
  <c r="AK961" i="162"/>
  <c r="AK962" i="162"/>
  <c r="AK963" i="162"/>
  <c r="AK964" i="162"/>
  <c r="AK965" i="162"/>
  <c r="AK966" i="162"/>
  <c r="AK967" i="162"/>
  <c r="AK968" i="162"/>
  <c r="N318" i="162"/>
  <c r="N329" i="162"/>
  <c r="AK971" i="162" s="1"/>
  <c r="N340" i="162"/>
  <c r="O108" i="105"/>
  <c r="M91" i="162"/>
  <c r="O101" i="105"/>
  <c r="N84" i="107"/>
  <c r="N85" i="107" s="1"/>
  <c r="N83" i="107" s="1"/>
  <c r="L169" i="133"/>
  <c r="K70" i="138"/>
  <c r="M97" i="162"/>
  <c r="L223" i="133"/>
  <c r="L198" i="133" s="1"/>
  <c r="K55" i="138"/>
  <c r="K56" i="138"/>
  <c r="AP311" i="138"/>
  <c r="AP315" i="138"/>
  <c r="AP316" i="138" s="1"/>
  <c r="AP282" i="138"/>
  <c r="AP286" i="138" s="1"/>
  <c r="AP84" i="138"/>
  <c r="AP88" i="138" s="1"/>
  <c r="AP89" i="138" s="1"/>
  <c r="AP120" i="138"/>
  <c r="AP124" i="138" s="1"/>
  <c r="AP156" i="138"/>
  <c r="AP160" i="138" s="1"/>
  <c r="AP161" i="138" s="1"/>
  <c r="M31" i="162"/>
  <c r="O220" i="105"/>
  <c r="M7" i="162"/>
  <c r="O355" i="162" s="1"/>
  <c r="O980" i="162"/>
  <c r="M42" i="162"/>
  <c r="M60" i="162"/>
  <c r="N799" i="162"/>
  <c r="N873" i="162"/>
  <c r="N861" i="162"/>
  <c r="N796" i="162"/>
  <c r="N862" i="162"/>
  <c r="N797" i="162"/>
  <c r="N874" i="162"/>
  <c r="N801" i="162"/>
  <c r="N820" i="162"/>
  <c r="N937" i="162"/>
  <c r="N821" i="162" s="1"/>
  <c r="N825" i="162"/>
  <c r="N948" i="162"/>
  <c r="N806" i="162"/>
  <c r="N863" i="162"/>
  <c r="N864" i="162"/>
  <c r="N798" i="162"/>
  <c r="N872" i="162"/>
  <c r="M69" i="162"/>
  <c r="M38" i="162"/>
  <c r="O124" i="105" s="1"/>
  <c r="M48" i="162"/>
  <c r="O135" i="105" s="1"/>
  <c r="M51" i="162"/>
  <c r="O141" i="105" s="1"/>
  <c r="M58" i="162"/>
  <c r="O146" i="105" s="1"/>
  <c r="M67" i="162"/>
  <c r="O156" i="105" s="1"/>
  <c r="M71" i="162"/>
  <c r="O164" i="105" s="1"/>
  <c r="M72" i="162"/>
  <c r="O168" i="105" s="1"/>
  <c r="M73" i="162"/>
  <c r="N119" i="107" s="1"/>
  <c r="L72" i="133" s="1"/>
  <c r="L107" i="133" s="1"/>
  <c r="N267" i="107" s="1"/>
  <c r="M74" i="162"/>
  <c r="O172" i="105"/>
  <c r="M75" i="162"/>
  <c r="O176" i="105" s="1"/>
  <c r="M76" i="162"/>
  <c r="O180" i="105" s="1"/>
  <c r="M77" i="162"/>
  <c r="O184" i="105" s="1"/>
  <c r="M78" i="162"/>
  <c r="O188" i="105" s="1"/>
  <c r="M79" i="162"/>
  <c r="O192" i="105" s="1"/>
  <c r="M85" i="162"/>
  <c r="O200" i="105" s="1"/>
  <c r="O201" i="105" s="1"/>
  <c r="AL861" i="162"/>
  <c r="BA861" i="162" s="1"/>
  <c r="AL862" i="162"/>
  <c r="AL922" i="162" s="1"/>
  <c r="AL863" i="162"/>
  <c r="BA863" i="162" s="1"/>
  <c r="AL864" i="162"/>
  <c r="BA864" i="162" s="1"/>
  <c r="AL865" i="162"/>
  <c r="BA865" i="162" s="1"/>
  <c r="AL866" i="162"/>
  <c r="AL867" i="162"/>
  <c r="BA867" i="162" s="1"/>
  <c r="AL868" i="162"/>
  <c r="BA868" i="162" s="1"/>
  <c r="AL869" i="162"/>
  <c r="BA869" i="162" s="1"/>
  <c r="AL870" i="162"/>
  <c r="BA862" i="162"/>
  <c r="BA866" i="162"/>
  <c r="BA870" i="162"/>
  <c r="AL872" i="162"/>
  <c r="AL873" i="162"/>
  <c r="AL874" i="162"/>
  <c r="BA874" i="162" s="1"/>
  <c r="AL875" i="162"/>
  <c r="BA875" i="162" s="1"/>
  <c r="AL876" i="162"/>
  <c r="BA876" i="162" s="1"/>
  <c r="AL877" i="162"/>
  <c r="AL878" i="162"/>
  <c r="BA878" i="162" s="1"/>
  <c r="AL879" i="162"/>
  <c r="BA879" i="162" s="1"/>
  <c r="AL880" i="162"/>
  <c r="BA880" i="162" s="1"/>
  <c r="AL881" i="162"/>
  <c r="AL882" i="162"/>
  <c r="BA882" i="162" s="1"/>
  <c r="AL883" i="162"/>
  <c r="BA883" i="162" s="1"/>
  <c r="AL884" i="162"/>
  <c r="AL885" i="162"/>
  <c r="AL886" i="162"/>
  <c r="BA886" i="162" s="1"/>
  <c r="AL887" i="162"/>
  <c r="BA887" i="162" s="1"/>
  <c r="AL888" i="162"/>
  <c r="AL889" i="162"/>
  <c r="AL890" i="162"/>
  <c r="BA890" i="162" s="1"/>
  <c r="AL891" i="162"/>
  <c r="BA891" i="162" s="1"/>
  <c r="AL892" i="162"/>
  <c r="AL893" i="162"/>
  <c r="AL894" i="162"/>
  <c r="BA894" i="162" s="1"/>
  <c r="AL895" i="162"/>
  <c r="BA895" i="162" s="1"/>
  <c r="AL896" i="162"/>
  <c r="AL897" i="162"/>
  <c r="AL898" i="162"/>
  <c r="BA898" i="162" s="1"/>
  <c r="AL899" i="162"/>
  <c r="BA899" i="162" s="1"/>
  <c r="AL900" i="162"/>
  <c r="AL901" i="162"/>
  <c r="AL902" i="162"/>
  <c r="BA902" i="162" s="1"/>
  <c r="BA873" i="162"/>
  <c r="BA877" i="162"/>
  <c r="BA881" i="162"/>
  <c r="BA884" i="162"/>
  <c r="BA885" i="162"/>
  <c r="BA888" i="162"/>
  <c r="BA889" i="162"/>
  <c r="BA892" i="162"/>
  <c r="BA893" i="162"/>
  <c r="BA896" i="162"/>
  <c r="BA897" i="162"/>
  <c r="BA900" i="162"/>
  <c r="BA901" i="162"/>
  <c r="AL904" i="162"/>
  <c r="BA904" i="162" s="1"/>
  <c r="AL905" i="162"/>
  <c r="AL906" i="162"/>
  <c r="BA906" i="162" s="1"/>
  <c r="AL907" i="162"/>
  <c r="AL908" i="162"/>
  <c r="BA908" i="162" s="1"/>
  <c r="AL909" i="162"/>
  <c r="BA909" i="162" s="1"/>
  <c r="AL910" i="162"/>
  <c r="BA910" i="162" s="1"/>
  <c r="AL911" i="162"/>
  <c r="AL912" i="162"/>
  <c r="BA912" i="162" s="1"/>
  <c r="AL913" i="162"/>
  <c r="AL914" i="162"/>
  <c r="BA914" i="162" s="1"/>
  <c r="AL915" i="162"/>
  <c r="AL916" i="162"/>
  <c r="BA916" i="162" s="1"/>
  <c r="AL917" i="162"/>
  <c r="BA917" i="162" s="1"/>
  <c r="AL918" i="162"/>
  <c r="BA918" i="162" s="1"/>
  <c r="AL919" i="162"/>
  <c r="BA905" i="162"/>
  <c r="BA907" i="162"/>
  <c r="BA911" i="162"/>
  <c r="BA913" i="162"/>
  <c r="BA915" i="162"/>
  <c r="BA919" i="162"/>
  <c r="AL937" i="162"/>
  <c r="AL948" i="162"/>
  <c r="AL949" i="162"/>
  <c r="AL938" i="162"/>
  <c r="AL939" i="162"/>
  <c r="AL940" i="162"/>
  <c r="AL941" i="162"/>
  <c r="AL942" i="162"/>
  <c r="AL943" i="162"/>
  <c r="AL944" i="162"/>
  <c r="AL945" i="162"/>
  <c r="AL946" i="162"/>
  <c r="AL950" i="162"/>
  <c r="AL951" i="162"/>
  <c r="AL952" i="162"/>
  <c r="AL953" i="162"/>
  <c r="AL954" i="162"/>
  <c r="AL955" i="162"/>
  <c r="AL956" i="162"/>
  <c r="AL957" i="162"/>
  <c r="AL959" i="162"/>
  <c r="AL960" i="162"/>
  <c r="AL961" i="162"/>
  <c r="AL962" i="162"/>
  <c r="AL963" i="162"/>
  <c r="AL964" i="162"/>
  <c r="AL965" i="162"/>
  <c r="AL966" i="162"/>
  <c r="AL967" i="162"/>
  <c r="AL968" i="162"/>
  <c r="O318" i="162"/>
  <c r="O329" i="162"/>
  <c r="O340" i="162"/>
  <c r="L7" i="132"/>
  <c r="N269" i="105" s="1"/>
  <c r="N270" i="105" s="1"/>
  <c r="N273" i="105" s="1"/>
  <c r="P108" i="105"/>
  <c r="N91" i="162"/>
  <c r="P101" i="105" s="1"/>
  <c r="O84" i="107"/>
  <c r="O85" i="107" s="1"/>
  <c r="O83" i="107" s="1"/>
  <c r="M169" i="133"/>
  <c r="L70" i="138"/>
  <c r="N97" i="162"/>
  <c r="M223" i="133"/>
  <c r="M202" i="133"/>
  <c r="L55" i="138"/>
  <c r="L56" i="138"/>
  <c r="AQ311" i="138"/>
  <c r="AQ315" i="138" s="1"/>
  <c r="AQ316" i="138" s="1"/>
  <c r="AQ282" i="138"/>
  <c r="AQ286" i="138" s="1"/>
  <c r="AQ84" i="138"/>
  <c r="AQ88" i="138" s="1"/>
  <c r="AQ89" i="138" s="1"/>
  <c r="AQ120" i="138"/>
  <c r="AQ124" i="138" s="1"/>
  <c r="AQ156" i="138"/>
  <c r="AQ160" i="138" s="1"/>
  <c r="AQ161" i="138" s="1"/>
  <c r="N31" i="162"/>
  <c r="P220" i="105"/>
  <c r="N7" i="162"/>
  <c r="P355" i="162" s="1"/>
  <c r="P980" i="162"/>
  <c r="N42" i="162"/>
  <c r="O99" i="107" s="1"/>
  <c r="P129" i="105" s="1"/>
  <c r="N60" i="162"/>
  <c r="O799" i="162"/>
  <c r="O873" i="162"/>
  <c r="O861" i="162"/>
  <c r="O796" i="162"/>
  <c r="O862" i="162"/>
  <c r="O797" i="162"/>
  <c r="O874" i="162"/>
  <c r="O801" i="162"/>
  <c r="O820" i="162"/>
  <c r="O937" i="162"/>
  <c r="O821" i="162" s="1"/>
  <c r="O825" i="162"/>
  <c r="O948" i="162"/>
  <c r="O826" i="162" s="1"/>
  <c r="O806" i="162"/>
  <c r="O863" i="162"/>
  <c r="O864" i="162"/>
  <c r="O798" i="162"/>
  <c r="O872" i="162"/>
  <c r="N69" i="162"/>
  <c r="N38" i="162"/>
  <c r="P124" i="105" s="1"/>
  <c r="N48" i="162"/>
  <c r="P135" i="105" s="1"/>
  <c r="N51" i="162"/>
  <c r="N58" i="162"/>
  <c r="P146" i="105" s="1"/>
  <c r="N67" i="162"/>
  <c r="P156" i="105" s="1"/>
  <c r="N71" i="162"/>
  <c r="P164" i="105" s="1"/>
  <c r="N72" i="162"/>
  <c r="P168" i="105" s="1"/>
  <c r="N73" i="162"/>
  <c r="O119" i="107" s="1"/>
  <c r="M72" i="133" s="1"/>
  <c r="M107" i="133" s="1"/>
  <c r="O267" i="107" s="1"/>
  <c r="O17" i="219" s="1"/>
  <c r="N74" i="162"/>
  <c r="P172" i="105" s="1"/>
  <c r="N75" i="162"/>
  <c r="P176" i="105" s="1"/>
  <c r="N76" i="162"/>
  <c r="P180" i="105"/>
  <c r="N77" i="162"/>
  <c r="P184" i="105" s="1"/>
  <c r="N78" i="162"/>
  <c r="P188" i="105" s="1"/>
  <c r="N79" i="162"/>
  <c r="P192" i="105" s="1"/>
  <c r="N85" i="162"/>
  <c r="P200" i="105" s="1"/>
  <c r="AM861" i="162"/>
  <c r="BB861" i="162" s="1"/>
  <c r="AM862" i="162"/>
  <c r="BB862" i="162" s="1"/>
  <c r="AM863" i="162"/>
  <c r="BB863" i="162" s="1"/>
  <c r="AM864" i="162"/>
  <c r="BB864" i="162" s="1"/>
  <c r="AM865" i="162"/>
  <c r="BB865" i="162" s="1"/>
  <c r="AM866" i="162"/>
  <c r="AM867" i="162"/>
  <c r="AM868" i="162"/>
  <c r="AM869" i="162"/>
  <c r="AM870" i="162"/>
  <c r="BB866" i="162"/>
  <c r="BB867" i="162"/>
  <c r="BB868" i="162"/>
  <c r="BB869" i="162"/>
  <c r="BB870" i="162"/>
  <c r="AM872" i="162"/>
  <c r="BB872" i="162" s="1"/>
  <c r="AM873" i="162"/>
  <c r="BB873" i="162" s="1"/>
  <c r="AM874" i="162"/>
  <c r="AM875" i="162"/>
  <c r="BB875" i="162" s="1"/>
  <c r="AM876" i="162"/>
  <c r="BB876" i="162" s="1"/>
  <c r="AM877" i="162"/>
  <c r="BB877" i="162" s="1"/>
  <c r="AM878" i="162"/>
  <c r="AM879" i="162"/>
  <c r="BB879" i="162" s="1"/>
  <c r="AM880" i="162"/>
  <c r="BB880" i="162" s="1"/>
  <c r="AM881" i="162"/>
  <c r="BB881" i="162" s="1"/>
  <c r="AM882" i="162"/>
  <c r="AM883" i="162"/>
  <c r="BB883" i="162" s="1"/>
  <c r="AM884" i="162"/>
  <c r="AM885" i="162"/>
  <c r="BB885" i="162" s="1"/>
  <c r="AM886" i="162"/>
  <c r="AM887" i="162"/>
  <c r="BB887" i="162" s="1"/>
  <c r="AM888" i="162"/>
  <c r="AM889" i="162"/>
  <c r="BB889" i="162" s="1"/>
  <c r="AM890" i="162"/>
  <c r="AM891" i="162"/>
  <c r="BB891" i="162" s="1"/>
  <c r="AM892" i="162"/>
  <c r="AM893" i="162"/>
  <c r="BB893" i="162" s="1"/>
  <c r="AM894" i="162"/>
  <c r="AM895" i="162"/>
  <c r="BB895" i="162" s="1"/>
  <c r="AM896" i="162"/>
  <c r="AM897" i="162"/>
  <c r="BB897" i="162" s="1"/>
  <c r="AM898" i="162"/>
  <c r="AM899" i="162"/>
  <c r="BB899" i="162" s="1"/>
  <c r="AM900" i="162"/>
  <c r="AM901" i="162"/>
  <c r="BB901" i="162" s="1"/>
  <c r="AM902" i="162"/>
  <c r="BB874" i="162"/>
  <c r="BB878" i="162"/>
  <c r="BB882" i="162"/>
  <c r="BB884" i="162"/>
  <c r="BB886" i="162"/>
  <c r="BB888" i="162"/>
  <c r="BB890" i="162"/>
  <c r="BB892" i="162"/>
  <c r="BB894" i="162"/>
  <c r="BB896" i="162"/>
  <c r="BB898" i="162"/>
  <c r="BB900" i="162"/>
  <c r="BB902" i="162"/>
  <c r="AM904" i="162"/>
  <c r="AM905" i="162"/>
  <c r="AM906" i="162"/>
  <c r="AM907" i="162"/>
  <c r="BB907" i="162" s="1"/>
  <c r="AM908" i="162"/>
  <c r="AM909" i="162"/>
  <c r="BB909" i="162" s="1"/>
  <c r="AM910" i="162"/>
  <c r="AM911" i="162"/>
  <c r="BB911" i="162" s="1"/>
  <c r="AM912" i="162"/>
  <c r="AM913" i="162"/>
  <c r="BB913" i="162" s="1"/>
  <c r="AM914" i="162"/>
  <c r="AM915" i="162"/>
  <c r="BB915" i="162" s="1"/>
  <c r="AM916" i="162"/>
  <c r="AM917" i="162"/>
  <c r="BB917" i="162" s="1"/>
  <c r="AM918" i="162"/>
  <c r="AM919" i="162"/>
  <c r="BB919" i="162" s="1"/>
  <c r="BB904" i="162"/>
  <c r="BB906" i="162"/>
  <c r="BB908" i="162"/>
  <c r="BB910" i="162"/>
  <c r="BB912" i="162"/>
  <c r="BB914" i="162"/>
  <c r="BB916" i="162"/>
  <c r="BB918" i="162"/>
  <c r="AM937" i="162"/>
  <c r="AM948" i="162"/>
  <c r="AM949" i="162"/>
  <c r="AM938" i="162"/>
  <c r="AM939" i="162"/>
  <c r="AM940" i="162"/>
  <c r="AM941" i="162"/>
  <c r="AM942" i="162"/>
  <c r="AM943" i="162"/>
  <c r="AM944" i="162"/>
  <c r="AM945" i="162"/>
  <c r="AM946" i="162"/>
  <c r="AM950" i="162"/>
  <c r="AM951" i="162"/>
  <c r="AM952" i="162"/>
  <c r="AM953" i="162"/>
  <c r="AM954" i="162"/>
  <c r="AM955" i="162"/>
  <c r="AM956" i="162"/>
  <c r="AM957" i="162"/>
  <c r="AM959" i="162"/>
  <c r="AM960" i="162"/>
  <c r="AM961" i="162"/>
  <c r="AM962" i="162"/>
  <c r="AM963" i="162"/>
  <c r="AM964" i="162"/>
  <c r="AM965" i="162"/>
  <c r="AM966" i="162"/>
  <c r="AM967" i="162"/>
  <c r="AM968" i="162"/>
  <c r="P318" i="162"/>
  <c r="P329" i="162"/>
  <c r="P340" i="162"/>
  <c r="AM971" i="162"/>
  <c r="M7" i="132"/>
  <c r="O269" i="105" s="1"/>
  <c r="O270" i="105" s="1"/>
  <c r="O273" i="105" s="1"/>
  <c r="Q108" i="105"/>
  <c r="O91" i="162"/>
  <c r="Q101" i="105"/>
  <c r="F101" i="105" s="1"/>
  <c r="G102" i="105" s="1"/>
  <c r="J135" i="148" s="1"/>
  <c r="P84" i="107"/>
  <c r="P85" i="107"/>
  <c r="P83" i="107" s="1"/>
  <c r="O99" i="162" s="1"/>
  <c r="O98" i="162" s="1"/>
  <c r="N169" i="133"/>
  <c r="M70" i="138"/>
  <c r="O97" i="162"/>
  <c r="N223" i="133"/>
  <c r="N206" i="133" s="1"/>
  <c r="M55" i="138"/>
  <c r="M56" i="138"/>
  <c r="N8" i="132"/>
  <c r="M20" i="138" s="1"/>
  <c r="AR311" i="138"/>
  <c r="AR315" i="138" s="1"/>
  <c r="AR282" i="138"/>
  <c r="AR286" i="138" s="1"/>
  <c r="AR84" i="138"/>
  <c r="AR88" i="138" s="1"/>
  <c r="AR120" i="138"/>
  <c r="AR124" i="138" s="1"/>
  <c r="AR156" i="138"/>
  <c r="AR160" i="138" s="1"/>
  <c r="AR161" i="138" s="1"/>
  <c r="O31" i="162"/>
  <c r="Q220" i="105" s="1"/>
  <c r="O7" i="162"/>
  <c r="Q355" i="162" s="1"/>
  <c r="Q980" i="162"/>
  <c r="O42" i="162"/>
  <c r="O60" i="162"/>
  <c r="P799" i="162"/>
  <c r="P800" i="162" s="1"/>
  <c r="P873" i="162"/>
  <c r="P861" i="162"/>
  <c r="P796" i="162"/>
  <c r="P862" i="162"/>
  <c r="P797" i="162"/>
  <c r="P874" i="162"/>
  <c r="P801" i="162"/>
  <c r="P820" i="162"/>
  <c r="P937" i="162"/>
  <c r="P821" i="162" s="1"/>
  <c r="P825" i="162"/>
  <c r="P948" i="162"/>
  <c r="P826" i="162"/>
  <c r="P806" i="162"/>
  <c r="P863" i="162"/>
  <c r="P864" i="162"/>
  <c r="P798" i="162"/>
  <c r="P872" i="162"/>
  <c r="O69" i="162"/>
  <c r="O38" i="162"/>
  <c r="Q124" i="105" s="1"/>
  <c r="O48" i="162"/>
  <c r="Q135" i="105" s="1"/>
  <c r="O51" i="162"/>
  <c r="O58" i="162"/>
  <c r="Q146" i="105" s="1"/>
  <c r="O67" i="162"/>
  <c r="Q156" i="105" s="1"/>
  <c r="O71" i="162"/>
  <c r="O72" i="162"/>
  <c r="Q168" i="105" s="1"/>
  <c r="O73" i="162"/>
  <c r="P119" i="107" s="1"/>
  <c r="N72" i="133" s="1"/>
  <c r="N107" i="133" s="1"/>
  <c r="P267" i="107" s="1"/>
  <c r="P17" i="219" s="1"/>
  <c r="O74" i="162"/>
  <c r="Q172" i="105" s="1"/>
  <c r="O75" i="162"/>
  <c r="Q176" i="105" s="1"/>
  <c r="O76" i="162"/>
  <c r="Q180" i="105" s="1"/>
  <c r="O77" i="162"/>
  <c r="Q184" i="105" s="1"/>
  <c r="O78" i="162"/>
  <c r="Q188" i="105" s="1"/>
  <c r="O79" i="162"/>
  <c r="Q192" i="105" s="1"/>
  <c r="O85" i="162"/>
  <c r="Q200" i="105"/>
  <c r="AN861" i="162"/>
  <c r="BC861" i="162" s="1"/>
  <c r="AN862" i="162"/>
  <c r="AN863" i="162"/>
  <c r="BC863" i="162" s="1"/>
  <c r="AN864" i="162"/>
  <c r="BC864" i="162" s="1"/>
  <c r="AN865" i="162"/>
  <c r="BC865" i="162" s="1"/>
  <c r="AN866" i="162"/>
  <c r="BC866" i="162" s="1"/>
  <c r="AN867" i="162"/>
  <c r="BC867" i="162" s="1"/>
  <c r="AN868" i="162"/>
  <c r="BC868" i="162" s="1"/>
  <c r="AN869" i="162"/>
  <c r="BC869" i="162" s="1"/>
  <c r="AN870" i="162"/>
  <c r="BC870" i="162"/>
  <c r="AN872" i="162"/>
  <c r="AN873" i="162"/>
  <c r="BC873" i="162" s="1"/>
  <c r="AN874" i="162"/>
  <c r="BC874" i="162" s="1"/>
  <c r="AN875" i="162"/>
  <c r="BC875" i="162" s="1"/>
  <c r="AN876" i="162"/>
  <c r="AN877" i="162"/>
  <c r="BC877" i="162" s="1"/>
  <c r="AN878" i="162"/>
  <c r="AN879" i="162"/>
  <c r="BC879" i="162" s="1"/>
  <c r="AN880" i="162"/>
  <c r="AN881" i="162"/>
  <c r="BC881" i="162" s="1"/>
  <c r="AN882" i="162"/>
  <c r="BC882" i="162" s="1"/>
  <c r="AN883" i="162"/>
  <c r="BC883" i="162" s="1"/>
  <c r="AN884" i="162"/>
  <c r="AN885" i="162"/>
  <c r="AN886" i="162"/>
  <c r="BC886" i="162" s="1"/>
  <c r="AN887" i="162"/>
  <c r="BC887" i="162" s="1"/>
  <c r="AN888" i="162"/>
  <c r="AN889" i="162"/>
  <c r="AN890" i="162"/>
  <c r="BC890" i="162" s="1"/>
  <c r="AN891" i="162"/>
  <c r="BC891" i="162" s="1"/>
  <c r="AN892" i="162"/>
  <c r="AN893" i="162"/>
  <c r="AN894" i="162"/>
  <c r="BC894" i="162" s="1"/>
  <c r="AN895" i="162"/>
  <c r="BC895" i="162" s="1"/>
  <c r="AN896" i="162"/>
  <c r="AN897" i="162"/>
  <c r="AN898" i="162"/>
  <c r="BC898" i="162" s="1"/>
  <c r="AN899" i="162"/>
  <c r="BC899" i="162" s="1"/>
  <c r="AN900" i="162"/>
  <c r="AN901" i="162"/>
  <c r="AN902" i="162"/>
  <c r="BC902" i="162" s="1"/>
  <c r="BC872" i="162"/>
  <c r="BC876" i="162"/>
  <c r="BC878" i="162"/>
  <c r="BC880" i="162"/>
  <c r="BC884" i="162"/>
  <c r="BC885" i="162"/>
  <c r="BC888" i="162"/>
  <c r="BC889" i="162"/>
  <c r="BC892" i="162"/>
  <c r="BC893" i="162"/>
  <c r="BC896" i="162"/>
  <c r="BC897" i="162"/>
  <c r="BC900" i="162"/>
  <c r="BC901" i="162"/>
  <c r="AN904" i="162"/>
  <c r="BC904" i="162" s="1"/>
  <c r="AN905" i="162"/>
  <c r="AN906" i="162"/>
  <c r="AN907" i="162"/>
  <c r="AN908" i="162"/>
  <c r="BC908" i="162" s="1"/>
  <c r="AN909" i="162"/>
  <c r="BC909" i="162" s="1"/>
  <c r="AN910" i="162"/>
  <c r="BC910" i="162" s="1"/>
  <c r="AN911" i="162"/>
  <c r="AN912" i="162"/>
  <c r="BC912" i="162" s="1"/>
  <c r="AN913" i="162"/>
  <c r="AN914" i="162"/>
  <c r="BC914" i="162" s="1"/>
  <c r="AN915" i="162"/>
  <c r="AN916" i="162"/>
  <c r="BC916" i="162" s="1"/>
  <c r="AN917" i="162"/>
  <c r="BC917" i="162" s="1"/>
  <c r="AN918" i="162"/>
  <c r="BC918" i="162" s="1"/>
  <c r="AN919" i="162"/>
  <c r="BC905" i="162"/>
  <c r="BC907" i="162"/>
  <c r="BC911" i="162"/>
  <c r="BC913" i="162"/>
  <c r="BC915" i="162"/>
  <c r="BC919" i="162"/>
  <c r="AN937" i="162"/>
  <c r="AN948" i="162"/>
  <c r="AN949" i="162"/>
  <c r="AN938" i="162"/>
  <c r="AN939" i="162"/>
  <c r="AN940" i="162"/>
  <c r="AN941" i="162"/>
  <c r="AN942" i="162"/>
  <c r="AN943" i="162"/>
  <c r="AN944" i="162"/>
  <c r="AN945" i="162"/>
  <c r="AN946" i="162"/>
  <c r="AN950" i="162"/>
  <c r="AN951" i="162"/>
  <c r="AN952" i="162"/>
  <c r="AN953" i="162"/>
  <c r="AN954" i="162"/>
  <c r="AN955" i="162"/>
  <c r="AN956" i="162"/>
  <c r="AN957" i="162"/>
  <c r="AN959" i="162"/>
  <c r="AN960" i="162"/>
  <c r="AN961" i="162"/>
  <c r="AN962" i="162"/>
  <c r="AN963" i="162"/>
  <c r="AN964" i="162"/>
  <c r="AN965" i="162"/>
  <c r="AN966" i="162"/>
  <c r="AN967" i="162"/>
  <c r="AN968" i="162"/>
  <c r="Q318" i="162"/>
  <c r="Q329" i="162"/>
  <c r="Q340" i="162"/>
  <c r="N7" i="132"/>
  <c r="P269" i="105" s="1"/>
  <c r="P270" i="105" s="1"/>
  <c r="P273" i="105" s="1"/>
  <c r="P91" i="162"/>
  <c r="R101" i="105" s="1"/>
  <c r="Q246" i="107"/>
  <c r="Q84" i="107"/>
  <c r="Q85" i="107" s="1"/>
  <c r="Q83" i="107" s="1"/>
  <c r="O169" i="133"/>
  <c r="N70" i="138"/>
  <c r="P97" i="162"/>
  <c r="O223" i="133"/>
  <c r="O210" i="133" s="1"/>
  <c r="N55" i="138"/>
  <c r="N56" i="138"/>
  <c r="O8" i="132"/>
  <c r="N20" i="138" s="1"/>
  <c r="AS311" i="138"/>
  <c r="AS315" i="138" s="1"/>
  <c r="AS282" i="138"/>
  <c r="AS286" i="138" s="1"/>
  <c r="AS287" i="138" s="1"/>
  <c r="AS84" i="138"/>
  <c r="AS88" i="138" s="1"/>
  <c r="AS120" i="138"/>
  <c r="AS124" i="138" s="1"/>
  <c r="AS156" i="138"/>
  <c r="AS160" i="138" s="1"/>
  <c r="P31" i="162"/>
  <c r="R220" i="105" s="1"/>
  <c r="P7" i="162"/>
  <c r="R355" i="162" s="1"/>
  <c r="R993" i="162" s="1"/>
  <c r="R980" i="162"/>
  <c r="P42" i="162"/>
  <c r="P60" i="162"/>
  <c r="Q799" i="162"/>
  <c r="Q873" i="162"/>
  <c r="Q861" i="162"/>
  <c r="Q796" i="162"/>
  <c r="Q862" i="162"/>
  <c r="T862" i="162" s="1"/>
  <c r="T256" i="162" s="1"/>
  <c r="AB7" i="215" s="1"/>
  <c r="Q797" i="162"/>
  <c r="Q874" i="162"/>
  <c r="Q801" i="162"/>
  <c r="Q820" i="162"/>
  <c r="Q937" i="162"/>
  <c r="Q821" i="162" s="1"/>
  <c r="Q825" i="162"/>
  <c r="Q948" i="162"/>
  <c r="Q826" i="162" s="1"/>
  <c r="Q806" i="162"/>
  <c r="Q863" i="162"/>
  <c r="Q864" i="162"/>
  <c r="Q798" i="162"/>
  <c r="Q872" i="162"/>
  <c r="P69" i="162"/>
  <c r="P38" i="162"/>
  <c r="P48" i="162"/>
  <c r="R135" i="105" s="1"/>
  <c r="P51" i="162"/>
  <c r="R141" i="105" s="1"/>
  <c r="P58" i="162"/>
  <c r="R146" i="105"/>
  <c r="P67" i="162"/>
  <c r="R156" i="105" s="1"/>
  <c r="P71" i="162"/>
  <c r="R164" i="105" s="1"/>
  <c r="P72" i="162"/>
  <c r="R168" i="105" s="1"/>
  <c r="P73" i="162"/>
  <c r="Q119" i="107" s="1"/>
  <c r="O72" i="133" s="1"/>
  <c r="O107" i="133" s="1"/>
  <c r="Q267" i="107" s="1"/>
  <c r="Q17" i="219" s="1"/>
  <c r="P74" i="162"/>
  <c r="R172" i="105" s="1"/>
  <c r="P75" i="162"/>
  <c r="R176" i="105" s="1"/>
  <c r="P76" i="162"/>
  <c r="R180" i="105" s="1"/>
  <c r="P77" i="162"/>
  <c r="P78" i="162"/>
  <c r="R188" i="105" s="1"/>
  <c r="P79" i="162"/>
  <c r="R192" i="105" s="1"/>
  <c r="P85" i="162"/>
  <c r="AO861" i="162"/>
  <c r="AO862" i="162"/>
  <c r="AO863" i="162"/>
  <c r="BD863" i="162" s="1"/>
  <c r="AO864" i="162"/>
  <c r="BD864" i="162" s="1"/>
  <c r="AO865" i="162"/>
  <c r="AO866" i="162"/>
  <c r="BD866" i="162" s="1"/>
  <c r="AO867" i="162"/>
  <c r="BD867" i="162" s="1"/>
  <c r="AO868" i="162"/>
  <c r="BD868" i="162" s="1"/>
  <c r="AO869" i="162"/>
  <c r="AO870" i="162"/>
  <c r="BD870" i="162" s="1"/>
  <c r="BD861" i="162"/>
  <c r="BD865" i="162"/>
  <c r="BD869" i="162"/>
  <c r="AO872" i="162"/>
  <c r="BD872" i="162" s="1"/>
  <c r="AO873" i="162"/>
  <c r="BD873" i="162" s="1"/>
  <c r="AO874" i="162"/>
  <c r="BD874" i="162" s="1"/>
  <c r="AO875" i="162"/>
  <c r="BD875" i="162" s="1"/>
  <c r="AO876" i="162"/>
  <c r="BD876" i="162" s="1"/>
  <c r="AO877" i="162"/>
  <c r="BD877" i="162" s="1"/>
  <c r="AO878" i="162"/>
  <c r="BD878" i="162" s="1"/>
  <c r="AO879" i="162"/>
  <c r="BD879" i="162" s="1"/>
  <c r="AO880" i="162"/>
  <c r="BD880" i="162" s="1"/>
  <c r="AO881" i="162"/>
  <c r="AO882" i="162"/>
  <c r="BD882" i="162" s="1"/>
  <c r="AO883" i="162"/>
  <c r="BD883" i="162" s="1"/>
  <c r="AO884" i="162"/>
  <c r="BD884" i="162" s="1"/>
  <c r="AO885" i="162"/>
  <c r="BD885" i="162" s="1"/>
  <c r="AO886" i="162"/>
  <c r="BD886" i="162" s="1"/>
  <c r="AO887" i="162"/>
  <c r="BD887" i="162" s="1"/>
  <c r="AO888" i="162"/>
  <c r="BD888" i="162" s="1"/>
  <c r="AO889" i="162"/>
  <c r="AO890" i="162"/>
  <c r="BD890" i="162" s="1"/>
  <c r="AO891" i="162"/>
  <c r="BD891" i="162" s="1"/>
  <c r="AO892" i="162"/>
  <c r="BD892" i="162" s="1"/>
  <c r="AO893" i="162"/>
  <c r="BD893" i="162" s="1"/>
  <c r="AO894" i="162"/>
  <c r="BD894" i="162" s="1"/>
  <c r="AO895" i="162"/>
  <c r="BD895" i="162" s="1"/>
  <c r="AO896" i="162"/>
  <c r="BD896" i="162" s="1"/>
  <c r="AO897" i="162"/>
  <c r="AO898" i="162"/>
  <c r="BD898" i="162" s="1"/>
  <c r="AO899" i="162"/>
  <c r="BD899" i="162" s="1"/>
  <c r="AO900" i="162"/>
  <c r="BD900" i="162" s="1"/>
  <c r="AO901" i="162"/>
  <c r="BD901" i="162" s="1"/>
  <c r="AO902" i="162"/>
  <c r="BD902" i="162" s="1"/>
  <c r="BD881" i="162"/>
  <c r="BD889" i="162"/>
  <c r="BD897" i="162"/>
  <c r="AO904" i="162"/>
  <c r="AO905" i="162"/>
  <c r="AO906" i="162"/>
  <c r="AO907" i="162"/>
  <c r="BD907" i="162" s="1"/>
  <c r="AO908" i="162"/>
  <c r="BD908" i="162" s="1"/>
  <c r="AO909" i="162"/>
  <c r="BD909" i="162" s="1"/>
  <c r="AO910" i="162"/>
  <c r="AO911" i="162"/>
  <c r="BD911" i="162" s="1"/>
  <c r="AO912" i="162"/>
  <c r="AO913" i="162"/>
  <c r="BD913" i="162" s="1"/>
  <c r="AO914" i="162"/>
  <c r="AO915" i="162"/>
  <c r="BD915" i="162" s="1"/>
  <c r="AO916" i="162"/>
  <c r="BD916" i="162" s="1"/>
  <c r="AO917" i="162"/>
  <c r="BD917" i="162" s="1"/>
  <c r="AO918" i="162"/>
  <c r="AO919" i="162"/>
  <c r="BD919" i="162" s="1"/>
  <c r="BD904" i="162"/>
  <c r="BD906" i="162"/>
  <c r="BD910" i="162"/>
  <c r="BD912" i="162"/>
  <c r="BD914" i="162"/>
  <c r="BD918" i="162"/>
  <c r="AO937" i="162"/>
  <c r="AO948" i="162"/>
  <c r="AO949" i="162"/>
  <c r="AO938" i="162"/>
  <c r="AO939" i="162"/>
  <c r="AO940" i="162"/>
  <c r="AO941" i="162"/>
  <c r="AO942" i="162"/>
  <c r="AO943" i="162"/>
  <c r="AO944" i="162"/>
  <c r="AO945" i="162"/>
  <c r="AO946" i="162"/>
  <c r="AO950" i="162"/>
  <c r="AO951" i="162"/>
  <c r="AO952" i="162"/>
  <c r="AO953" i="162"/>
  <c r="AO954" i="162"/>
  <c r="AO955" i="162"/>
  <c r="AO956" i="162"/>
  <c r="AO957" i="162"/>
  <c r="AO959" i="162"/>
  <c r="AO960" i="162"/>
  <c r="AO961" i="162"/>
  <c r="AO962" i="162"/>
  <c r="AO963" i="162"/>
  <c r="AO964" i="162"/>
  <c r="AO965" i="162"/>
  <c r="AO966" i="162"/>
  <c r="AO967" i="162"/>
  <c r="AO968" i="162"/>
  <c r="R318" i="162"/>
  <c r="R329" i="162"/>
  <c r="R340" i="162"/>
  <c r="AO971" i="162"/>
  <c r="O7" i="132"/>
  <c r="Q269" i="105" s="1"/>
  <c r="Q270" i="105" s="1"/>
  <c r="Q273" i="105" s="1"/>
  <c r="S108" i="105"/>
  <c r="Q91" i="162"/>
  <c r="S101" i="105"/>
  <c r="R246" i="107"/>
  <c r="R84" i="107"/>
  <c r="R85" i="107" s="1"/>
  <c r="P169" i="133"/>
  <c r="O70" i="138"/>
  <c r="Q97" i="162"/>
  <c r="P223" i="133"/>
  <c r="P214" i="133" s="1"/>
  <c r="O55" i="138"/>
  <c r="O56" i="138"/>
  <c r="P8" i="132"/>
  <c r="O20" i="138" s="1"/>
  <c r="AT311" i="138"/>
  <c r="AT315" i="138" s="1"/>
  <c r="AT282" i="138"/>
  <c r="AT286" i="138" s="1"/>
  <c r="AT287" i="138" s="1"/>
  <c r="AT84" i="138"/>
  <c r="AT120" i="138"/>
  <c r="AT124" i="138" s="1"/>
  <c r="AT125" i="138" s="1"/>
  <c r="AT156" i="138"/>
  <c r="Q31" i="162"/>
  <c r="S220" i="105" s="1"/>
  <c r="Q7" i="162"/>
  <c r="S355" i="162" s="1"/>
  <c r="S993" i="162" s="1"/>
  <c r="S980" i="162"/>
  <c r="Q42" i="162"/>
  <c r="Q60" i="162"/>
  <c r="R799" i="162"/>
  <c r="R873" i="162"/>
  <c r="T873" i="162" s="1"/>
  <c r="T267" i="162" s="1"/>
  <c r="AB13" i="215" s="1"/>
  <c r="R861" i="162"/>
  <c r="R796" i="162"/>
  <c r="R862" i="162"/>
  <c r="R797" i="162"/>
  <c r="R874" i="162"/>
  <c r="R801" i="162"/>
  <c r="R820" i="162"/>
  <c r="R937" i="162"/>
  <c r="R821" i="162" s="1"/>
  <c r="R825" i="162"/>
  <c r="R948" i="162"/>
  <c r="R826" i="162" s="1"/>
  <c r="R806" i="162"/>
  <c r="R863" i="162"/>
  <c r="R864" i="162"/>
  <c r="R798" i="162"/>
  <c r="R872" i="162"/>
  <c r="Q69" i="162"/>
  <c r="Q38" i="162"/>
  <c r="Q48" i="162"/>
  <c r="S135" i="105" s="1"/>
  <c r="Q51" i="162"/>
  <c r="S141" i="105" s="1"/>
  <c r="Q58" i="162"/>
  <c r="S146" i="105"/>
  <c r="Q67" i="162"/>
  <c r="S156" i="105" s="1"/>
  <c r="Q71" i="162"/>
  <c r="S164" i="105" s="1"/>
  <c r="Q72" i="162"/>
  <c r="S168" i="105" s="1"/>
  <c r="Q73" i="162"/>
  <c r="R119" i="107" s="1"/>
  <c r="P72" i="133" s="1"/>
  <c r="P107" i="133" s="1"/>
  <c r="R267" i="107" s="1"/>
  <c r="R17" i="219" s="1"/>
  <c r="Q74" i="162"/>
  <c r="S172" i="105" s="1"/>
  <c r="Q75" i="162"/>
  <c r="S176" i="105" s="1"/>
  <c r="Q76" i="162"/>
  <c r="S180" i="105" s="1"/>
  <c r="Q77" i="162"/>
  <c r="Q78" i="162"/>
  <c r="S188" i="105" s="1"/>
  <c r="Q79" i="162"/>
  <c r="S192" i="105" s="1"/>
  <c r="Q85" i="162"/>
  <c r="AP861" i="162"/>
  <c r="AP862" i="162"/>
  <c r="AP863" i="162"/>
  <c r="BE863" i="162" s="1"/>
  <c r="AP864" i="162"/>
  <c r="BE864" i="162" s="1"/>
  <c r="AP865" i="162"/>
  <c r="AP866" i="162"/>
  <c r="BE866" i="162" s="1"/>
  <c r="AP867" i="162"/>
  <c r="BE867" i="162" s="1"/>
  <c r="AP868" i="162"/>
  <c r="BE868" i="162" s="1"/>
  <c r="AP869" i="162"/>
  <c r="AP870" i="162"/>
  <c r="BE870" i="162" s="1"/>
  <c r="BE861" i="162"/>
  <c r="BE865" i="162"/>
  <c r="BE869" i="162"/>
  <c r="AP872" i="162"/>
  <c r="BE872" i="162" s="1"/>
  <c r="AP873" i="162"/>
  <c r="BE873" i="162" s="1"/>
  <c r="AP874" i="162"/>
  <c r="AP875" i="162"/>
  <c r="BE875" i="162" s="1"/>
  <c r="AP876" i="162"/>
  <c r="BE876" i="162" s="1"/>
  <c r="AP877" i="162"/>
  <c r="BE877" i="162" s="1"/>
  <c r="AP878" i="162"/>
  <c r="AP879" i="162"/>
  <c r="BE879" i="162" s="1"/>
  <c r="AP880" i="162"/>
  <c r="BE880" i="162" s="1"/>
  <c r="AP881" i="162"/>
  <c r="BE881" i="162" s="1"/>
  <c r="AP882" i="162"/>
  <c r="AP883" i="162"/>
  <c r="BE883" i="162" s="1"/>
  <c r="AP884" i="162"/>
  <c r="AP885" i="162"/>
  <c r="BE885" i="162" s="1"/>
  <c r="AP886" i="162"/>
  <c r="AP887" i="162"/>
  <c r="BE887" i="162" s="1"/>
  <c r="AP888" i="162"/>
  <c r="AP889" i="162"/>
  <c r="BE889" i="162" s="1"/>
  <c r="AP890" i="162"/>
  <c r="AP891" i="162"/>
  <c r="BE891" i="162" s="1"/>
  <c r="AP892" i="162"/>
  <c r="AP893" i="162"/>
  <c r="BE893" i="162" s="1"/>
  <c r="AP894" i="162"/>
  <c r="AP895" i="162"/>
  <c r="BE895" i="162" s="1"/>
  <c r="AP896" i="162"/>
  <c r="AP897" i="162"/>
  <c r="BE897" i="162" s="1"/>
  <c r="AP898" i="162"/>
  <c r="AP899" i="162"/>
  <c r="BE899" i="162" s="1"/>
  <c r="AP900" i="162"/>
  <c r="AP901" i="162"/>
  <c r="BE901" i="162" s="1"/>
  <c r="AP902" i="162"/>
  <c r="BE874" i="162"/>
  <c r="BE878" i="162"/>
  <c r="BE882" i="162"/>
  <c r="BE884" i="162"/>
  <c r="BE886" i="162"/>
  <c r="BE888" i="162"/>
  <c r="BE890" i="162"/>
  <c r="BE892" i="162"/>
  <c r="BE894" i="162"/>
  <c r="BE896" i="162"/>
  <c r="BE898" i="162"/>
  <c r="BE900" i="162"/>
  <c r="BE902" i="162"/>
  <c r="AP904" i="162"/>
  <c r="AP905" i="162"/>
  <c r="AP906" i="162"/>
  <c r="AP907" i="162"/>
  <c r="BE907" i="162" s="1"/>
  <c r="AP908" i="162"/>
  <c r="AP909" i="162"/>
  <c r="BE909" i="162" s="1"/>
  <c r="AP910" i="162"/>
  <c r="AP911" i="162"/>
  <c r="BE911" i="162" s="1"/>
  <c r="AP912" i="162"/>
  <c r="AP913" i="162"/>
  <c r="BE913" i="162" s="1"/>
  <c r="AP914" i="162"/>
  <c r="AP915" i="162"/>
  <c r="BE915" i="162" s="1"/>
  <c r="AP916" i="162"/>
  <c r="AP917" i="162"/>
  <c r="BE917" i="162" s="1"/>
  <c r="AP918" i="162"/>
  <c r="AP919" i="162"/>
  <c r="BE919" i="162" s="1"/>
  <c r="BE904" i="162"/>
  <c r="BE906" i="162"/>
  <c r="BE908" i="162"/>
  <c r="BE910" i="162"/>
  <c r="BE912" i="162"/>
  <c r="BE914" i="162"/>
  <c r="BE916" i="162"/>
  <c r="BE918" i="162"/>
  <c r="AP937" i="162"/>
  <c r="AP948" i="162"/>
  <c r="AP949" i="162"/>
  <c r="AP938" i="162"/>
  <c r="AP939" i="162"/>
  <c r="AP940" i="162"/>
  <c r="AP941" i="162"/>
  <c r="AP942" i="162"/>
  <c r="AP943" i="162"/>
  <c r="AP944" i="162"/>
  <c r="AP945" i="162"/>
  <c r="AP946" i="162"/>
  <c r="AP950" i="162"/>
  <c r="AP951" i="162"/>
  <c r="AP952" i="162"/>
  <c r="AP953" i="162"/>
  <c r="AP954" i="162"/>
  <c r="AP955" i="162"/>
  <c r="AP956" i="162"/>
  <c r="AP957" i="162"/>
  <c r="AP959" i="162"/>
  <c r="AP960" i="162"/>
  <c r="AP961" i="162"/>
  <c r="AP962" i="162"/>
  <c r="AP963" i="162"/>
  <c r="AP964" i="162"/>
  <c r="AP965" i="162"/>
  <c r="AP966" i="162"/>
  <c r="AP967" i="162"/>
  <c r="AP968" i="162"/>
  <c r="S318" i="162"/>
  <c r="S329" i="162"/>
  <c r="AP971" i="162" s="1"/>
  <c r="S340" i="162"/>
  <c r="F89" i="162"/>
  <c r="F15" i="162" s="1"/>
  <c r="G16" i="213" s="1"/>
  <c r="G4" i="219"/>
  <c r="G29" i="219" s="1"/>
  <c r="N17" i="219"/>
  <c r="L17" i="219"/>
  <c r="K17" i="219"/>
  <c r="I17" i="219"/>
  <c r="G23" i="219"/>
  <c r="E9" i="219"/>
  <c r="E8" i="219"/>
  <c r="G117" i="107"/>
  <c r="H117" i="107"/>
  <c r="I117" i="107"/>
  <c r="J117" i="107"/>
  <c r="K117" i="107"/>
  <c r="L117" i="107"/>
  <c r="M117" i="107"/>
  <c r="N117" i="107"/>
  <c r="O117" i="107"/>
  <c r="Q117" i="107"/>
  <c r="G118" i="107"/>
  <c r="H118" i="107"/>
  <c r="I118" i="107"/>
  <c r="J118" i="107"/>
  <c r="K118" i="107"/>
  <c r="L118" i="107"/>
  <c r="M118" i="107"/>
  <c r="N118" i="107"/>
  <c r="O118" i="107"/>
  <c r="P118" i="107"/>
  <c r="Q118" i="107"/>
  <c r="G120" i="107"/>
  <c r="H120" i="107"/>
  <c r="I120" i="107"/>
  <c r="J120" i="107"/>
  <c r="K120" i="107"/>
  <c r="L120" i="107"/>
  <c r="M120" i="107"/>
  <c r="N120" i="107"/>
  <c r="O120" i="107"/>
  <c r="P120" i="107"/>
  <c r="Q120" i="107"/>
  <c r="R120" i="107"/>
  <c r="G121" i="107"/>
  <c r="H121" i="107"/>
  <c r="I121" i="107"/>
  <c r="J121" i="107"/>
  <c r="K121" i="107"/>
  <c r="L121" i="107"/>
  <c r="M121" i="107"/>
  <c r="N121" i="107"/>
  <c r="O121" i="107"/>
  <c r="P121" i="107"/>
  <c r="Q121" i="107"/>
  <c r="R121" i="107"/>
  <c r="G122" i="107"/>
  <c r="H122" i="107"/>
  <c r="I122" i="107"/>
  <c r="J122" i="107"/>
  <c r="K122" i="107"/>
  <c r="L122" i="107"/>
  <c r="M122" i="107"/>
  <c r="N122" i="107"/>
  <c r="O122" i="107"/>
  <c r="P122" i="107"/>
  <c r="Q122" i="107"/>
  <c r="R122" i="107"/>
  <c r="G123" i="107"/>
  <c r="H123" i="107"/>
  <c r="I123" i="107"/>
  <c r="J123" i="107"/>
  <c r="K123" i="107"/>
  <c r="L123" i="107"/>
  <c r="M123" i="107"/>
  <c r="N123" i="107"/>
  <c r="O123" i="107"/>
  <c r="P123" i="107"/>
  <c r="G124" i="107"/>
  <c r="H124" i="107"/>
  <c r="I124" i="107"/>
  <c r="J124" i="107"/>
  <c r="K124" i="107"/>
  <c r="L124" i="107"/>
  <c r="M124" i="107"/>
  <c r="N124" i="107"/>
  <c r="O124" i="107"/>
  <c r="P124" i="107"/>
  <c r="Q124" i="107"/>
  <c r="R124" i="107"/>
  <c r="G125" i="107"/>
  <c r="H125" i="107"/>
  <c r="I125" i="107"/>
  <c r="J125" i="107"/>
  <c r="K125" i="107"/>
  <c r="L125" i="107"/>
  <c r="M125" i="107"/>
  <c r="N125" i="107"/>
  <c r="O125" i="107"/>
  <c r="P125" i="107"/>
  <c r="Q125" i="107"/>
  <c r="R125" i="107"/>
  <c r="S863" i="162"/>
  <c r="S864" i="162"/>
  <c r="S798" i="162"/>
  <c r="S872" i="162"/>
  <c r="G115" i="107"/>
  <c r="H115" i="107"/>
  <c r="H213" i="107" s="1"/>
  <c r="I115" i="107"/>
  <c r="J115" i="107"/>
  <c r="K115" i="107"/>
  <c r="L115" i="107"/>
  <c r="L213" i="107" s="1"/>
  <c r="M115" i="107"/>
  <c r="N115" i="107"/>
  <c r="O115" i="107"/>
  <c r="P115" i="107"/>
  <c r="P213" i="107" s="1"/>
  <c r="Q115" i="107"/>
  <c r="R115" i="107"/>
  <c r="G127" i="107"/>
  <c r="H127" i="107"/>
  <c r="I127" i="107"/>
  <c r="J127" i="107"/>
  <c r="K127" i="107"/>
  <c r="L127" i="107"/>
  <c r="M127" i="107"/>
  <c r="N127" i="107"/>
  <c r="O127" i="107"/>
  <c r="P127" i="107"/>
  <c r="G111" i="107"/>
  <c r="H111" i="107"/>
  <c r="I111" i="107"/>
  <c r="J111" i="107"/>
  <c r="K111" i="107"/>
  <c r="L111" i="107"/>
  <c r="M111" i="107"/>
  <c r="N111" i="107"/>
  <c r="O111" i="107"/>
  <c r="P111" i="107"/>
  <c r="Q111" i="107"/>
  <c r="R111" i="107"/>
  <c r="S991" i="162"/>
  <c r="S984" i="162" s="1"/>
  <c r="R103" i="107" s="1"/>
  <c r="G109" i="107"/>
  <c r="H109" i="107"/>
  <c r="I109" i="107"/>
  <c r="J109" i="107"/>
  <c r="K109" i="107"/>
  <c r="L109" i="107"/>
  <c r="M109" i="107"/>
  <c r="N109" i="107"/>
  <c r="O109" i="107"/>
  <c r="P109" i="107"/>
  <c r="Q109" i="107"/>
  <c r="Q203" i="107" s="1"/>
  <c r="R109" i="107"/>
  <c r="G110" i="107"/>
  <c r="H110" i="107"/>
  <c r="I110" i="107"/>
  <c r="J110" i="107"/>
  <c r="K110" i="107"/>
  <c r="L110" i="107"/>
  <c r="M110" i="107"/>
  <c r="N110" i="107"/>
  <c r="Q110" i="107"/>
  <c r="R110" i="107"/>
  <c r="S861" i="162"/>
  <c r="S796" i="162"/>
  <c r="S862" i="162"/>
  <c r="S797" i="162"/>
  <c r="S874" i="162"/>
  <c r="S801" i="162"/>
  <c r="S820" i="162"/>
  <c r="S937" i="162"/>
  <c r="S821" i="162" s="1"/>
  <c r="S825" i="162"/>
  <c r="S948" i="162"/>
  <c r="S826" i="162" s="1"/>
  <c r="S806" i="162"/>
  <c r="H100" i="107"/>
  <c r="I100" i="107"/>
  <c r="J100" i="107"/>
  <c r="K100" i="107"/>
  <c r="L100" i="107"/>
  <c r="M100" i="107"/>
  <c r="N100" i="107"/>
  <c r="O100" i="107"/>
  <c r="O98" i="107" s="1"/>
  <c r="O194" i="107" s="1"/>
  <c r="P100" i="107"/>
  <c r="S799" i="162"/>
  <c r="S873" i="162"/>
  <c r="AU58" i="128"/>
  <c r="AT102" i="128" s="1"/>
  <c r="D49" i="128" s="1"/>
  <c r="D47" i="128"/>
  <c r="E46" i="128" s="1"/>
  <c r="D12" i="128"/>
  <c r="R90" i="128"/>
  <c r="D11" i="128"/>
  <c r="E12" i="128"/>
  <c r="E11" i="128"/>
  <c r="AV102" i="128"/>
  <c r="F49" i="128" s="1"/>
  <c r="F12" i="128"/>
  <c r="F11" i="128"/>
  <c r="G12" i="128"/>
  <c r="G11" i="128"/>
  <c r="AX102" i="128"/>
  <c r="H49" i="128" s="1"/>
  <c r="H12" i="128"/>
  <c r="H11" i="128"/>
  <c r="I12" i="128"/>
  <c r="I11" i="128"/>
  <c r="J12" i="128"/>
  <c r="J11" i="128"/>
  <c r="BA102" i="128"/>
  <c r="K49" i="128" s="1"/>
  <c r="K12" i="128"/>
  <c r="K11" i="128"/>
  <c r="L12" i="128"/>
  <c r="L11" i="128"/>
  <c r="BC102" i="128"/>
  <c r="M49" i="128" s="1"/>
  <c r="M12" i="128"/>
  <c r="M11" i="128"/>
  <c r="N12" i="128"/>
  <c r="N11" i="128"/>
  <c r="BE102" i="128"/>
  <c r="O49" i="128" s="1"/>
  <c r="O12" i="128"/>
  <c r="O11" i="128"/>
  <c r="E75" i="214"/>
  <c r="E76" i="214" s="1"/>
  <c r="E77" i="214" s="1"/>
  <c r="I33" i="217"/>
  <c r="G6" i="213"/>
  <c r="F38" i="213"/>
  <c r="F39" i="213"/>
  <c r="G36" i="213" s="1"/>
  <c r="G20" i="213"/>
  <c r="G7" i="213"/>
  <c r="G213" i="107"/>
  <c r="G215" i="107"/>
  <c r="G203" i="107"/>
  <c r="H206" i="107"/>
  <c r="H203" i="107"/>
  <c r="I213" i="107"/>
  <c r="I215" i="107"/>
  <c r="J213" i="107"/>
  <c r="J215" i="107"/>
  <c r="J203" i="107"/>
  <c r="K213" i="107"/>
  <c r="K215" i="107"/>
  <c r="K203" i="107"/>
  <c r="L203" i="107"/>
  <c r="M213" i="107"/>
  <c r="M215" i="107"/>
  <c r="N213" i="107"/>
  <c r="N215" i="107"/>
  <c r="N203" i="107"/>
  <c r="O213" i="107"/>
  <c r="O215" i="107"/>
  <c r="Q213" i="107"/>
  <c r="R213" i="107"/>
  <c r="R203" i="107"/>
  <c r="G87" i="107"/>
  <c r="H87" i="107"/>
  <c r="I87" i="107"/>
  <c r="J87" i="107"/>
  <c r="K87" i="107"/>
  <c r="L87" i="107"/>
  <c r="M87" i="107"/>
  <c r="N87" i="107"/>
  <c r="O87" i="107"/>
  <c r="P87" i="107"/>
  <c r="R87" i="107"/>
  <c r="D206" i="107"/>
  <c r="F14" i="214"/>
  <c r="F72" i="214" s="1"/>
  <c r="N12" i="218"/>
  <c r="N17" i="218"/>
  <c r="L21" i="214"/>
  <c r="E30" i="214"/>
  <c r="F23" i="214"/>
  <c r="F25" i="214" s="1"/>
  <c r="G12" i="214"/>
  <c r="G23" i="214" s="1"/>
  <c r="G25" i="214" s="1"/>
  <c r="E32" i="214"/>
  <c r="D222" i="107"/>
  <c r="E31" i="214"/>
  <c r="D189" i="107"/>
  <c r="E24" i="214"/>
  <c r="F16" i="214"/>
  <c r="F73" i="214"/>
  <c r="R18" i="214"/>
  <c r="Q18" i="214"/>
  <c r="P18" i="214"/>
  <c r="O18" i="214"/>
  <c r="N18" i="214"/>
  <c r="M18" i="214"/>
  <c r="L18" i="214"/>
  <c r="K18" i="214"/>
  <c r="J18" i="214"/>
  <c r="I18" i="214"/>
  <c r="H18" i="214"/>
  <c r="G18" i="214"/>
  <c r="F6" i="214"/>
  <c r="U319" i="162"/>
  <c r="T319" i="162" s="1"/>
  <c r="D875" i="162"/>
  <c r="O875" i="162" s="1"/>
  <c r="E875" i="162"/>
  <c r="I875" i="162"/>
  <c r="M875" i="162"/>
  <c r="Q875" i="162"/>
  <c r="D876" i="162"/>
  <c r="M876" i="162" s="1"/>
  <c r="E876" i="162"/>
  <c r="K876" i="162"/>
  <c r="Q876" i="162"/>
  <c r="D877" i="162"/>
  <c r="E877" i="162"/>
  <c r="D878" i="162"/>
  <c r="R878" i="162" s="1"/>
  <c r="E878" i="162"/>
  <c r="L878" i="162"/>
  <c r="P878" i="162"/>
  <c r="D879" i="162"/>
  <c r="E879" i="162"/>
  <c r="P879" i="162"/>
  <c r="D880" i="162"/>
  <c r="K880" i="162" s="1"/>
  <c r="E880" i="162"/>
  <c r="I880" i="162"/>
  <c r="S880" i="162"/>
  <c r="D881" i="162"/>
  <c r="E881" i="162"/>
  <c r="U330" i="162"/>
  <c r="T330" i="162"/>
  <c r="AB25" i="215" s="1"/>
  <c r="U331" i="162"/>
  <c r="T331" i="162" s="1"/>
  <c r="AB26" i="215" s="1"/>
  <c r="R80" i="213"/>
  <c r="Q80" i="213"/>
  <c r="P80" i="213"/>
  <c r="O80" i="213"/>
  <c r="N80" i="213"/>
  <c r="M80" i="213"/>
  <c r="L80" i="213"/>
  <c r="K80" i="213"/>
  <c r="J80" i="213"/>
  <c r="I80" i="213"/>
  <c r="H80" i="213"/>
  <c r="G80" i="213"/>
  <c r="F12" i="213"/>
  <c r="F11" i="213"/>
  <c r="F10" i="213"/>
  <c r="N6" i="218"/>
  <c r="N8" i="218"/>
  <c r="I220" i="217"/>
  <c r="H8" i="218"/>
  <c r="I219" i="217"/>
  <c r="H6" i="218"/>
  <c r="V21" i="218"/>
  <c r="W21" i="218" s="1"/>
  <c r="I15" i="218" s="1"/>
  <c r="V22" i="218"/>
  <c r="P14" i="218" s="1"/>
  <c r="X177" i="131"/>
  <c r="X178" i="131"/>
  <c r="G162" i="217" s="1"/>
  <c r="I162" i="217" s="1"/>
  <c r="X179" i="131"/>
  <c r="G163" i="217" s="1"/>
  <c r="I163" i="217" s="1"/>
  <c r="X180" i="131"/>
  <c r="G164" i="217" s="1"/>
  <c r="I164" i="217" s="1"/>
  <c r="X198" i="131"/>
  <c r="D193" i="162"/>
  <c r="D194" i="162"/>
  <c r="D195" i="162"/>
  <c r="D196" i="162"/>
  <c r="D197" i="162"/>
  <c r="D198" i="162"/>
  <c r="G204" i="217"/>
  <c r="D186" i="162" s="1"/>
  <c r="G205" i="217"/>
  <c r="D187" i="162" s="1"/>
  <c r="G206" i="217"/>
  <c r="D188" i="162" s="1"/>
  <c r="G207" i="217"/>
  <c r="D189" i="162" s="1"/>
  <c r="G208" i="217"/>
  <c r="D190" i="162" s="1"/>
  <c r="G209" i="217"/>
  <c r="D191" i="162" s="1"/>
  <c r="G197" i="217"/>
  <c r="D179" i="162" s="1"/>
  <c r="G198" i="217"/>
  <c r="D180" i="162" s="1"/>
  <c r="G199" i="217"/>
  <c r="D181" i="162" s="1"/>
  <c r="G200" i="217"/>
  <c r="D182" i="162" s="1"/>
  <c r="G201" i="217"/>
  <c r="D183" i="162" s="1"/>
  <c r="G202" i="217"/>
  <c r="D184" i="162" s="1"/>
  <c r="G190" i="217"/>
  <c r="D172" i="162" s="1"/>
  <c r="G191" i="217"/>
  <c r="D173" i="162" s="1"/>
  <c r="G192" i="217"/>
  <c r="D174" i="162" s="1"/>
  <c r="G193" i="217"/>
  <c r="D175" i="162" s="1"/>
  <c r="G194" i="217"/>
  <c r="D176" i="162" s="1"/>
  <c r="G195" i="217"/>
  <c r="D177" i="162" s="1"/>
  <c r="G183" i="217"/>
  <c r="D165" i="162" s="1"/>
  <c r="G184" i="217"/>
  <c r="D166" i="162" s="1"/>
  <c r="G185" i="217"/>
  <c r="D167" i="162" s="1"/>
  <c r="G186" i="217"/>
  <c r="D168" i="162" s="1"/>
  <c r="G187" i="217"/>
  <c r="D169" i="162" s="1"/>
  <c r="G188" i="217"/>
  <c r="D170" i="162" s="1"/>
  <c r="G176" i="217"/>
  <c r="D158" i="162" s="1"/>
  <c r="G177" i="217"/>
  <c r="D159" i="162" s="1"/>
  <c r="G178" i="217"/>
  <c r="D160" i="162" s="1"/>
  <c r="G179" i="217"/>
  <c r="D161" i="162" s="1"/>
  <c r="G180" i="217"/>
  <c r="D162" i="162" s="1"/>
  <c r="G181" i="217"/>
  <c r="D163" i="162" s="1"/>
  <c r="G169" i="217"/>
  <c r="D151" i="162" s="1"/>
  <c r="G170" i="217"/>
  <c r="D152" i="162" s="1"/>
  <c r="G171" i="217"/>
  <c r="D153" i="162" s="1"/>
  <c r="G172" i="217"/>
  <c r="D154" i="162" s="1"/>
  <c r="G173" i="217"/>
  <c r="D155" i="162" s="1"/>
  <c r="G174" i="217"/>
  <c r="D156" i="162" s="1"/>
  <c r="K161" i="217"/>
  <c r="K162" i="217"/>
  <c r="K163" i="217"/>
  <c r="K164" i="217"/>
  <c r="K165" i="217"/>
  <c r="K166" i="217"/>
  <c r="K154" i="217"/>
  <c r="K155" i="217"/>
  <c r="K156" i="217"/>
  <c r="K157" i="217"/>
  <c r="K158" i="217"/>
  <c r="K159" i="217"/>
  <c r="I212" i="217"/>
  <c r="I213" i="217"/>
  <c r="I214" i="217"/>
  <c r="I215" i="217"/>
  <c r="I216" i="217"/>
  <c r="I217" i="217"/>
  <c r="J212" i="217"/>
  <c r="J213" i="217"/>
  <c r="J214" i="217"/>
  <c r="J215" i="217"/>
  <c r="J216" i="217"/>
  <c r="J217" i="217"/>
  <c r="G212" i="217"/>
  <c r="G213" i="217"/>
  <c r="G214" i="217"/>
  <c r="G215" i="217"/>
  <c r="G216" i="217"/>
  <c r="G217" i="217"/>
  <c r="G166" i="217"/>
  <c r="G211" i="217" s="1"/>
  <c r="G203" i="217"/>
  <c r="G196" i="217"/>
  <c r="G189" i="217"/>
  <c r="G182" i="217"/>
  <c r="G175" i="217"/>
  <c r="G161" i="217"/>
  <c r="N166" i="217"/>
  <c r="G165" i="217"/>
  <c r="I165" i="217" s="1"/>
  <c r="N165" i="217"/>
  <c r="N164" i="217"/>
  <c r="N163" i="217"/>
  <c r="N162" i="217"/>
  <c r="N161" i="217"/>
  <c r="G168" i="217"/>
  <c r="I154" i="217"/>
  <c r="Z192" i="131" s="1"/>
  <c r="I155" i="217"/>
  <c r="Z193" i="131" s="1"/>
  <c r="N109" i="128" s="1"/>
  <c r="I156" i="217"/>
  <c r="Z194" i="131" s="1"/>
  <c r="N110" i="128" s="1"/>
  <c r="I157" i="217"/>
  <c r="Z195" i="131" s="1"/>
  <c r="N111" i="128" s="1"/>
  <c r="I158" i="217"/>
  <c r="Z196" i="131" s="1"/>
  <c r="N112" i="128" s="1"/>
  <c r="I159" i="217"/>
  <c r="Z197" i="131" s="1"/>
  <c r="N113" i="128" s="1"/>
  <c r="I161" i="217"/>
  <c r="X192" i="131"/>
  <c r="X193" i="131"/>
  <c r="X194" i="131"/>
  <c r="X195" i="131"/>
  <c r="X196" i="131"/>
  <c r="X197" i="131"/>
  <c r="D192" i="162"/>
  <c r="D185" i="162"/>
  <c r="D178" i="162"/>
  <c r="D171" i="162"/>
  <c r="D164" i="162"/>
  <c r="D157" i="162"/>
  <c r="D150" i="162"/>
  <c r="Z200" i="131"/>
  <c r="F65" i="128"/>
  <c r="F64" i="128"/>
  <c r="F63" i="128"/>
  <c r="F62" i="128"/>
  <c r="F61" i="128"/>
  <c r="F60" i="128"/>
  <c r="D60" i="128"/>
  <c r="D62" i="128"/>
  <c r="D64" i="128"/>
  <c r="F71" i="128"/>
  <c r="F70" i="128"/>
  <c r="F69" i="128"/>
  <c r="F68" i="128"/>
  <c r="F67" i="128"/>
  <c r="F66" i="128"/>
  <c r="J66" i="128" s="1"/>
  <c r="K66" i="128" s="1"/>
  <c r="D66" i="128"/>
  <c r="D67" i="128"/>
  <c r="D70" i="128"/>
  <c r="F77" i="128"/>
  <c r="F76" i="128"/>
  <c r="F75" i="128"/>
  <c r="F74" i="128"/>
  <c r="F73" i="128"/>
  <c r="F72" i="128"/>
  <c r="D73" i="128"/>
  <c r="D74" i="128"/>
  <c r="D75" i="128"/>
  <c r="D76" i="128"/>
  <c r="F83" i="128"/>
  <c r="F82" i="128"/>
  <c r="F81" i="128"/>
  <c r="F80" i="128"/>
  <c r="F79" i="128"/>
  <c r="F78" i="128"/>
  <c r="D82" i="128"/>
  <c r="F89" i="128"/>
  <c r="F88" i="128"/>
  <c r="F87" i="128"/>
  <c r="F86" i="128"/>
  <c r="F85" i="128"/>
  <c r="F84" i="128"/>
  <c r="J84" i="128" s="1"/>
  <c r="K84" i="128" s="1"/>
  <c r="D86" i="128"/>
  <c r="D88" i="128"/>
  <c r="F95" i="128"/>
  <c r="J95" i="128" s="1"/>
  <c r="K95" i="128" s="1"/>
  <c r="F94" i="128"/>
  <c r="F93" i="128"/>
  <c r="F92" i="128"/>
  <c r="F91" i="128"/>
  <c r="F90" i="128"/>
  <c r="D90" i="128"/>
  <c r="D94" i="128"/>
  <c r="F101" i="128"/>
  <c r="L101" i="128" s="1"/>
  <c r="F100" i="128"/>
  <c r="F99" i="128"/>
  <c r="F98" i="128"/>
  <c r="F97" i="128"/>
  <c r="J97" i="128" s="1"/>
  <c r="K97" i="128" s="1"/>
  <c r="F96" i="128"/>
  <c r="D96" i="128"/>
  <c r="D97" i="128"/>
  <c r="D98" i="128"/>
  <c r="L98" i="128" s="1"/>
  <c r="D99" i="128"/>
  <c r="D100" i="128"/>
  <c r="D101" i="128"/>
  <c r="S116" i="128"/>
  <c r="O114" i="128"/>
  <c r="O113" i="128"/>
  <c r="O112" i="128"/>
  <c r="O111" i="128"/>
  <c r="O110" i="128"/>
  <c r="O109" i="128"/>
  <c r="O108" i="128"/>
  <c r="P108" i="128"/>
  <c r="P109" i="128"/>
  <c r="P110" i="128"/>
  <c r="P111" i="128"/>
  <c r="P112" i="128"/>
  <c r="P113" i="128"/>
  <c r="P114" i="128"/>
  <c r="S117" i="128"/>
  <c r="S118" i="128"/>
  <c r="S119" i="128"/>
  <c r="S120" i="128"/>
  <c r="S121" i="128"/>
  <c r="S122" i="128"/>
  <c r="S108" i="128"/>
  <c r="G155" i="132"/>
  <c r="G185" i="132"/>
  <c r="G215" i="132"/>
  <c r="G220" i="132"/>
  <c r="G245" i="132"/>
  <c r="G250" i="132"/>
  <c r="G275" i="132"/>
  <c r="G280" i="132"/>
  <c r="G305" i="132"/>
  <c r="G310" i="132"/>
  <c r="G335" i="132"/>
  <c r="G340" i="132"/>
  <c r="P276" i="138"/>
  <c r="P277" i="138"/>
  <c r="P278" i="138"/>
  <c r="P279" i="138"/>
  <c r="P280" i="138"/>
  <c r="F38" i="138"/>
  <c r="H38" i="138" s="1"/>
  <c r="F39" i="138"/>
  <c r="H39" i="138" s="1"/>
  <c r="H40" i="138"/>
  <c r="H41" i="138"/>
  <c r="H42" i="138"/>
  <c r="D277" i="138"/>
  <c r="D276" i="138" s="1"/>
  <c r="M276" i="138" s="1"/>
  <c r="K276" i="138"/>
  <c r="G286" i="138" s="1"/>
  <c r="E277" i="138"/>
  <c r="E276" i="138" s="1"/>
  <c r="G277" i="138"/>
  <c r="G276" i="138" s="1"/>
  <c r="AK283" i="138"/>
  <c r="J96" i="128"/>
  <c r="K96" i="128" s="1"/>
  <c r="K57" i="128"/>
  <c r="J98" i="128"/>
  <c r="K98" i="128" s="1"/>
  <c r="L99" i="128"/>
  <c r="P99" i="128" s="1"/>
  <c r="J99" i="128"/>
  <c r="K99" i="128" s="1"/>
  <c r="L100" i="128"/>
  <c r="J100" i="128"/>
  <c r="K100" i="128" s="1"/>
  <c r="J101" i="128"/>
  <c r="K101" i="128" s="1"/>
  <c r="J60" i="128"/>
  <c r="K60" i="128" s="1"/>
  <c r="J61" i="128"/>
  <c r="K61" i="128" s="1"/>
  <c r="J63" i="128"/>
  <c r="K63" i="128" s="1"/>
  <c r="J64" i="128"/>
  <c r="K64" i="128" s="1"/>
  <c r="J65" i="128"/>
  <c r="K65" i="128" s="1"/>
  <c r="L66" i="128"/>
  <c r="P66" i="128" s="1"/>
  <c r="L67" i="128"/>
  <c r="P67" i="128"/>
  <c r="J67" i="128"/>
  <c r="K67" i="128" s="1"/>
  <c r="J68" i="128"/>
  <c r="K68" i="128" s="1"/>
  <c r="J69" i="128"/>
  <c r="K69" i="128" s="1"/>
  <c r="J71" i="128"/>
  <c r="K71" i="128" s="1"/>
  <c r="J72" i="128"/>
  <c r="K72" i="128" s="1"/>
  <c r="J73" i="128"/>
  <c r="K73" i="128" s="1"/>
  <c r="L73" i="128"/>
  <c r="P73" i="128" s="1"/>
  <c r="J74" i="128"/>
  <c r="K74" i="128" s="1"/>
  <c r="L75" i="128"/>
  <c r="P75" i="128" s="1"/>
  <c r="J75" i="128"/>
  <c r="K75" i="128" s="1"/>
  <c r="L76" i="128"/>
  <c r="P76" i="128" s="1"/>
  <c r="J76" i="128"/>
  <c r="K76" i="128" s="1"/>
  <c r="J77" i="128"/>
  <c r="K77" i="128" s="1"/>
  <c r="J85" i="128"/>
  <c r="K85" i="128" s="1"/>
  <c r="L86" i="128"/>
  <c r="P86" i="128" s="1"/>
  <c r="AP86" i="128" s="1"/>
  <c r="J86" i="128"/>
  <c r="K86" i="128" s="1"/>
  <c r="J87" i="128"/>
  <c r="K87" i="128" s="1"/>
  <c r="J89" i="128"/>
  <c r="K89" i="128" s="1"/>
  <c r="J90" i="128"/>
  <c r="K90" i="128" s="1"/>
  <c r="L90" i="128"/>
  <c r="P90" i="128" s="1"/>
  <c r="J91" i="128"/>
  <c r="K91" i="128" s="1"/>
  <c r="J92" i="128"/>
  <c r="K92" i="128" s="1"/>
  <c r="J93" i="128"/>
  <c r="K93" i="128" s="1"/>
  <c r="L94" i="128"/>
  <c r="P94" i="128" s="1"/>
  <c r="AP94" i="128" s="1"/>
  <c r="J94" i="128"/>
  <c r="K94" i="128" s="1"/>
  <c r="S95" i="132"/>
  <c r="AO44" i="132"/>
  <c r="AO43" i="132"/>
  <c r="AO42" i="132"/>
  <c r="AO41" i="132"/>
  <c r="AO40" i="132"/>
  <c r="AO39" i="132"/>
  <c r="AO38" i="132"/>
  <c r="S94" i="132"/>
  <c r="S93" i="132"/>
  <c r="S92" i="132"/>
  <c r="AV92" i="132"/>
  <c r="S91" i="132"/>
  <c r="S90" i="132"/>
  <c r="AV90" i="132"/>
  <c r="S87" i="132"/>
  <c r="S83" i="132"/>
  <c r="AV83" i="132"/>
  <c r="S80" i="132"/>
  <c r="AV80" i="132"/>
  <c r="S78" i="132"/>
  <c r="S73" i="132"/>
  <c r="S66" i="132"/>
  <c r="S65" i="132"/>
  <c r="S64" i="132"/>
  <c r="AV64" i="132"/>
  <c r="S63" i="132"/>
  <c r="S59" i="132"/>
  <c r="AV59" i="132"/>
  <c r="S56" i="132"/>
  <c r="S55" i="132"/>
  <c r="S52" i="132"/>
  <c r="AV52" i="132"/>
  <c r="S50" i="132"/>
  <c r="S48" i="132"/>
  <c r="E69" i="162"/>
  <c r="G360" i="132"/>
  <c r="G355" i="132"/>
  <c r="G350" i="132"/>
  <c r="G330" i="132"/>
  <c r="G325" i="132"/>
  <c r="G320" i="132"/>
  <c r="G315" i="132"/>
  <c r="G300" i="132"/>
  <c r="G295" i="132"/>
  <c r="G290" i="132"/>
  <c r="G285" i="132"/>
  <c r="G270" i="132"/>
  <c r="G265" i="132"/>
  <c r="G260" i="132"/>
  <c r="G255" i="132"/>
  <c r="G240" i="132"/>
  <c r="G235" i="132"/>
  <c r="G230" i="132"/>
  <c r="G225" i="132"/>
  <c r="G210" i="132"/>
  <c r="G205" i="132"/>
  <c r="G200" i="132"/>
  <c r="G195" i="132"/>
  <c r="G190" i="132"/>
  <c r="G180" i="132"/>
  <c r="G175" i="132"/>
  <c r="G170" i="132"/>
  <c r="G165" i="132"/>
  <c r="H115" i="148"/>
  <c r="M1056" i="162" s="1"/>
  <c r="D9" i="148"/>
  <c r="E671" i="131"/>
  <c r="F671" i="131" s="1"/>
  <c r="G671" i="131" s="1"/>
  <c r="J95" i="148"/>
  <c r="H97" i="148"/>
  <c r="E48" i="162"/>
  <c r="H108" i="148"/>
  <c r="H109" i="148"/>
  <c r="M1050" i="162" s="1"/>
  <c r="J110" i="148"/>
  <c r="E58" i="162"/>
  <c r="H110" i="148"/>
  <c r="O110" i="148" s="1"/>
  <c r="Z85" i="148" s="1"/>
  <c r="B111" i="148"/>
  <c r="J111" i="148"/>
  <c r="E67" i="162"/>
  <c r="H114" i="148"/>
  <c r="E71" i="162"/>
  <c r="H116" i="148"/>
  <c r="E72" i="162"/>
  <c r="H117" i="148"/>
  <c r="E73" i="162"/>
  <c r="H118" i="148"/>
  <c r="O118" i="148" s="1"/>
  <c r="E74" i="162"/>
  <c r="H119" i="148"/>
  <c r="E75" i="162"/>
  <c r="H120" i="148"/>
  <c r="E76" i="162"/>
  <c r="H121" i="148"/>
  <c r="E77" i="162"/>
  <c r="H122" i="148"/>
  <c r="E78" i="162"/>
  <c r="H123" i="148"/>
  <c r="E79" i="162"/>
  <c r="H124" i="148"/>
  <c r="E91" i="162"/>
  <c r="E669" i="131" s="1"/>
  <c r="F669" i="131" s="1"/>
  <c r="E172" i="148"/>
  <c r="E173" i="148"/>
  <c r="G196" i="148" s="1"/>
  <c r="G34" i="219"/>
  <c r="H34" i="219" s="1"/>
  <c r="I34" i="219" s="1"/>
  <c r="J34" i="219" s="1"/>
  <c r="K34" i="219" s="1"/>
  <c r="L34" i="219" s="1"/>
  <c r="M34" i="219" s="1"/>
  <c r="N34" i="219" s="1"/>
  <c r="O34" i="219" s="1"/>
  <c r="P34" i="219" s="1"/>
  <c r="Q34" i="219" s="1"/>
  <c r="R34" i="219" s="1"/>
  <c r="D160" i="148"/>
  <c r="E157" i="148"/>
  <c r="E158" i="148"/>
  <c r="F157" i="148"/>
  <c r="F158" i="148"/>
  <c r="G157" i="148"/>
  <c r="G158" i="148"/>
  <c r="H157" i="148"/>
  <c r="H158" i="148"/>
  <c r="E38" i="138"/>
  <c r="F172" i="148" s="1"/>
  <c r="G203" i="148" s="1"/>
  <c r="E39" i="138"/>
  <c r="F173" i="148" s="1"/>
  <c r="P82" i="138"/>
  <c r="P81" i="138"/>
  <c r="P80" i="138"/>
  <c r="P79" i="138"/>
  <c r="P78" i="138"/>
  <c r="AJ106" i="138" s="1"/>
  <c r="P118" i="138"/>
  <c r="P117" i="138"/>
  <c r="P116" i="138"/>
  <c r="P115" i="138"/>
  <c r="P114" i="138"/>
  <c r="P154" i="138"/>
  <c r="P153" i="138"/>
  <c r="P152" i="138"/>
  <c r="AJ179" i="138" s="1"/>
  <c r="P151" i="138"/>
  <c r="P150" i="138"/>
  <c r="AM111" i="138"/>
  <c r="AM147" i="138"/>
  <c r="AI26" i="138" s="1"/>
  <c r="AM183" i="138"/>
  <c r="P309" i="138"/>
  <c r="P308" i="138"/>
  <c r="P307" i="138"/>
  <c r="P306" i="138"/>
  <c r="P305" i="138"/>
  <c r="AM330" i="138"/>
  <c r="AM301" i="138"/>
  <c r="AI14" i="138" s="1"/>
  <c r="E97" i="162"/>
  <c r="H16" i="132"/>
  <c r="H73" i="148" s="1"/>
  <c r="J136" i="148"/>
  <c r="J140" i="148"/>
  <c r="H140" i="148"/>
  <c r="O140" i="148" s="1"/>
  <c r="R90" i="132"/>
  <c r="T90" i="132" s="1"/>
  <c r="R91" i="132"/>
  <c r="T91" i="132" s="1"/>
  <c r="R92" i="132"/>
  <c r="T92" i="132" s="1"/>
  <c r="R93" i="132"/>
  <c r="T93" i="132" s="1"/>
  <c r="AI93" i="132" s="1"/>
  <c r="R94" i="132"/>
  <c r="T94" i="132" s="1"/>
  <c r="R95" i="132"/>
  <c r="T95" i="132" s="1"/>
  <c r="R83" i="132"/>
  <c r="T83" i="132" s="1"/>
  <c r="R87" i="132"/>
  <c r="T87" i="132" s="1"/>
  <c r="R78" i="132"/>
  <c r="T78" i="132" s="1"/>
  <c r="R80" i="132"/>
  <c r="T80" i="132" s="1"/>
  <c r="R73" i="132"/>
  <c r="T73" i="132"/>
  <c r="R63" i="132"/>
  <c r="T63" i="132" s="1"/>
  <c r="R64" i="132"/>
  <c r="T64" i="132" s="1"/>
  <c r="R65" i="132"/>
  <c r="T65" i="132" s="1"/>
  <c r="AL65" i="132" s="1"/>
  <c r="R66" i="132"/>
  <c r="T66" i="132" s="1"/>
  <c r="R55" i="132"/>
  <c r="T55" i="132" s="1"/>
  <c r="AI55" i="132" s="1"/>
  <c r="R56" i="132"/>
  <c r="T56" i="132" s="1"/>
  <c r="R59" i="132"/>
  <c r="T59" i="132" s="1"/>
  <c r="R48" i="132"/>
  <c r="T48" i="132" s="1"/>
  <c r="AI48" i="132" s="1"/>
  <c r="R50" i="132"/>
  <c r="T50" i="132" s="1"/>
  <c r="R52" i="132"/>
  <c r="T52" i="132" s="1"/>
  <c r="H22" i="132"/>
  <c r="P172" i="148" s="1"/>
  <c r="H15" i="132"/>
  <c r="H148" i="148" s="1"/>
  <c r="H152" i="148" s="1"/>
  <c r="J150" i="148"/>
  <c r="N72" i="148"/>
  <c r="P7" i="132"/>
  <c r="R269" i="105" s="1"/>
  <c r="R270" i="105" s="1"/>
  <c r="R273" i="105" s="1"/>
  <c r="G115" i="148"/>
  <c r="G97" i="148"/>
  <c r="G108" i="148"/>
  <c r="G109" i="148"/>
  <c r="G110" i="148"/>
  <c r="G114" i="148"/>
  <c r="G116" i="148"/>
  <c r="G117" i="148"/>
  <c r="G118" i="148"/>
  <c r="N118" i="148" s="1"/>
  <c r="G119" i="148"/>
  <c r="K1060" i="162" s="1"/>
  <c r="G120" i="148"/>
  <c r="G121" i="148"/>
  <c r="G122" i="148"/>
  <c r="G123" i="148"/>
  <c r="K1064" i="162" s="1"/>
  <c r="G124" i="148"/>
  <c r="AL111" i="138"/>
  <c r="AL147" i="138"/>
  <c r="AL183" i="138"/>
  <c r="AL297" i="138"/>
  <c r="AL330" i="138"/>
  <c r="AL301" i="138"/>
  <c r="G16" i="132"/>
  <c r="G73" i="148" s="1"/>
  <c r="G140" i="148"/>
  <c r="G22" i="132"/>
  <c r="O172" i="148" s="1"/>
  <c r="G15" i="132"/>
  <c r="G148" i="148" s="1"/>
  <c r="G152" i="148" s="1"/>
  <c r="M72" i="148"/>
  <c r="F115" i="148"/>
  <c r="F97" i="148"/>
  <c r="F108" i="148"/>
  <c r="F109" i="148"/>
  <c r="F110" i="148"/>
  <c r="M110" i="148" s="1"/>
  <c r="F114" i="148"/>
  <c r="F116" i="148"/>
  <c r="I1057" i="162" s="1"/>
  <c r="F117" i="148"/>
  <c r="F118" i="148"/>
  <c r="M118" i="148" s="1"/>
  <c r="F119" i="148"/>
  <c r="F120" i="148"/>
  <c r="I1061" i="162" s="1"/>
  <c r="F121" i="148"/>
  <c r="F122" i="148"/>
  <c r="F123" i="148"/>
  <c r="F124" i="148"/>
  <c r="I1065" i="162" s="1"/>
  <c r="AK111" i="138"/>
  <c r="AK147" i="138"/>
  <c r="AK183" i="138"/>
  <c r="S284" i="138"/>
  <c r="T284" i="138" s="1"/>
  <c r="AK297" i="138"/>
  <c r="AK330" i="138"/>
  <c r="AK301" i="138"/>
  <c r="F16" i="132"/>
  <c r="F73" i="148" s="1"/>
  <c r="F140" i="148"/>
  <c r="M140" i="148" s="1"/>
  <c r="X100" i="148" s="1"/>
  <c r="F22" i="132"/>
  <c r="N172" i="148" s="1"/>
  <c r="F15" i="132"/>
  <c r="F148" i="148" s="1"/>
  <c r="F152" i="148" s="1"/>
  <c r="L72" i="148"/>
  <c r="E115" i="148"/>
  <c r="G1056" i="162" s="1"/>
  <c r="E97" i="148"/>
  <c r="E108" i="148"/>
  <c r="E109" i="148"/>
  <c r="E110" i="148"/>
  <c r="E114" i="148"/>
  <c r="E116" i="148"/>
  <c r="G1057" i="162" s="1"/>
  <c r="E117" i="148"/>
  <c r="E118" i="148"/>
  <c r="E119" i="148"/>
  <c r="E120" i="148"/>
  <c r="G1061" i="162" s="1"/>
  <c r="E121" i="148"/>
  <c r="E122" i="148"/>
  <c r="E123" i="148"/>
  <c r="E124" i="148"/>
  <c r="G1065" i="162" s="1"/>
  <c r="AJ111" i="138"/>
  <c r="AJ147" i="138"/>
  <c r="AJ183" i="138"/>
  <c r="AJ330" i="138"/>
  <c r="AJ301" i="138"/>
  <c r="E16" i="132"/>
  <c r="E73" i="148" s="1"/>
  <c r="E140" i="148"/>
  <c r="L140" i="148" s="1"/>
  <c r="W100" i="148" s="1"/>
  <c r="E22" i="132"/>
  <c r="E15" i="132"/>
  <c r="E148" i="148" s="1"/>
  <c r="E152" i="148" s="1"/>
  <c r="K72" i="148"/>
  <c r="H14" i="132"/>
  <c r="G14" i="132"/>
  <c r="F14" i="132"/>
  <c r="T30" i="218"/>
  <c r="O30" i="218" s="1"/>
  <c r="P30" i="218" s="1"/>
  <c r="G78" i="138"/>
  <c r="G150" i="138"/>
  <c r="D78" i="138"/>
  <c r="K78" i="138"/>
  <c r="G88" i="138" s="1"/>
  <c r="D110" i="138" s="1"/>
  <c r="AG79" i="138" s="1"/>
  <c r="I79" i="138"/>
  <c r="I78" i="138" s="1"/>
  <c r="J78" i="138" s="1"/>
  <c r="J79" i="138" s="1"/>
  <c r="AA23" i="138"/>
  <c r="AA22" i="138"/>
  <c r="AA21" i="138"/>
  <c r="E78" i="138"/>
  <c r="AK85" i="138"/>
  <c r="D150" i="138"/>
  <c r="K150" i="138"/>
  <c r="G160" i="138" s="1"/>
  <c r="D182" i="138" s="1"/>
  <c r="AG151" i="138" s="1"/>
  <c r="I151" i="138"/>
  <c r="I150" i="138" s="1"/>
  <c r="J150" i="138" s="1"/>
  <c r="E150" i="138"/>
  <c r="D160" i="138"/>
  <c r="AD151" i="138" s="1"/>
  <c r="AK157" i="138"/>
  <c r="F89" i="138"/>
  <c r="H89" i="138" s="1"/>
  <c r="T78" i="138" s="1"/>
  <c r="G161" i="138"/>
  <c r="G1055" i="162"/>
  <c r="G1054" i="162" s="1"/>
  <c r="G1063" i="162"/>
  <c r="G1049" i="162"/>
  <c r="G1043" i="162"/>
  <c r="E102" i="148"/>
  <c r="G1044" i="162" s="1"/>
  <c r="E103" i="148"/>
  <c r="G1045" i="162" s="1"/>
  <c r="E104" i="148"/>
  <c r="G1046" i="162" s="1"/>
  <c r="G1039" i="162"/>
  <c r="E165" i="133"/>
  <c r="F165" i="133"/>
  <c r="G165" i="133" s="1"/>
  <c r="H165" i="133" s="1"/>
  <c r="I165" i="133" s="1"/>
  <c r="J165" i="133" s="1"/>
  <c r="K165" i="133" s="1"/>
  <c r="L165" i="133" s="1"/>
  <c r="M165" i="133" s="1"/>
  <c r="N165" i="133" s="1"/>
  <c r="O165" i="133" s="1"/>
  <c r="P165" i="133" s="1"/>
  <c r="E28" i="128"/>
  <c r="L106" i="162"/>
  <c r="D46" i="128" s="1"/>
  <c r="E47" i="128" s="1"/>
  <c r="BI102" i="128"/>
  <c r="E43" i="128"/>
  <c r="E42" i="128"/>
  <c r="E27" i="128"/>
  <c r="E41" i="128"/>
  <c r="F90" i="138"/>
  <c r="H90" i="138" s="1"/>
  <c r="V78" i="138" s="1"/>
  <c r="F162" i="138"/>
  <c r="H162" i="138" s="1"/>
  <c r="V150" i="138" s="1"/>
  <c r="I1055" i="162"/>
  <c r="I1054" i="162" s="1"/>
  <c r="I1056" i="162"/>
  <c r="I1059" i="162"/>
  <c r="I1063" i="162"/>
  <c r="I1049" i="162"/>
  <c r="I1043" i="162"/>
  <c r="F102" i="148"/>
  <c r="I1044" i="162" s="1"/>
  <c r="F103" i="148"/>
  <c r="I1045" i="162" s="1"/>
  <c r="F104" i="148"/>
  <c r="I1046" i="162" s="1"/>
  <c r="I1039" i="162"/>
  <c r="F28" i="128"/>
  <c r="BK102" i="128"/>
  <c r="F43" i="128"/>
  <c r="F42" i="128"/>
  <c r="F27" i="128"/>
  <c r="F41" i="128"/>
  <c r="K1056" i="162"/>
  <c r="K1058" i="162"/>
  <c r="K1062" i="162"/>
  <c r="K1050" i="162"/>
  <c r="K1043" i="162"/>
  <c r="G102" i="148"/>
  <c r="K1044" i="162" s="1"/>
  <c r="G103" i="148"/>
  <c r="K1045" i="162" s="1"/>
  <c r="G104" i="148"/>
  <c r="K1046" i="162" s="1"/>
  <c r="G28" i="128"/>
  <c r="BM102" i="128"/>
  <c r="G43" i="128"/>
  <c r="G42" i="128"/>
  <c r="G27" i="128"/>
  <c r="G41" i="128"/>
  <c r="M1058" i="162"/>
  <c r="M1060" i="162"/>
  <c r="M1061" i="162"/>
  <c r="M1062" i="162"/>
  <c r="M1063" i="162"/>
  <c r="M1064" i="162"/>
  <c r="M1065" i="162"/>
  <c r="M1043" i="162"/>
  <c r="H102" i="148"/>
  <c r="M1044" i="162" s="1"/>
  <c r="H103" i="148"/>
  <c r="M1045" i="162" s="1"/>
  <c r="H104" i="148"/>
  <c r="M1046" i="162" s="1"/>
  <c r="H28" i="128"/>
  <c r="BO102" i="128"/>
  <c r="H43" i="128"/>
  <c r="H42" i="128"/>
  <c r="H27" i="128"/>
  <c r="H41" i="128"/>
  <c r="D516" i="105"/>
  <c r="E18" i="196"/>
  <c r="E14" i="196"/>
  <c r="J6" i="224"/>
  <c r="G378" i="105"/>
  <c r="F87" i="105"/>
  <c r="H84" i="105" s="1"/>
  <c r="O459" i="105"/>
  <c r="E53" i="133"/>
  <c r="C46" i="133"/>
  <c r="P10" i="132"/>
  <c r="O438" i="105" s="1"/>
  <c r="G137" i="162"/>
  <c r="D437" i="105" s="1"/>
  <c r="E437" i="105" s="1"/>
  <c r="F437" i="105" s="1"/>
  <c r="G437" i="105" s="1"/>
  <c r="H437" i="105" s="1"/>
  <c r="I437" i="105" s="1"/>
  <c r="J437" i="105" s="1"/>
  <c r="K437" i="105" s="1"/>
  <c r="L437" i="105" s="1"/>
  <c r="M437" i="105" s="1"/>
  <c r="N437" i="105" s="1"/>
  <c r="O437" i="105" s="1"/>
  <c r="C322" i="148" s="1"/>
  <c r="D322" i="148" s="1"/>
  <c r="E322" i="148" s="1"/>
  <c r="F322" i="148" s="1"/>
  <c r="G322" i="148" s="1"/>
  <c r="AI109" i="138"/>
  <c r="AI91" i="138"/>
  <c r="AI145" i="138"/>
  <c r="AI181" i="138"/>
  <c r="O27" i="138"/>
  <c r="O479" i="105" s="1"/>
  <c r="C363" i="148" s="1"/>
  <c r="P11" i="132"/>
  <c r="O481" i="105" s="1"/>
  <c r="O480" i="105" s="1"/>
  <c r="C364" i="148" s="1"/>
  <c r="D31" i="162"/>
  <c r="H103" i="132" s="1"/>
  <c r="I103" i="132" s="1"/>
  <c r="J103" i="132" s="1"/>
  <c r="H104" i="132"/>
  <c r="I104" i="132" s="1"/>
  <c r="J104" i="132" s="1"/>
  <c r="K104" i="132" s="1"/>
  <c r="AI328" i="138"/>
  <c r="AI299" i="138"/>
  <c r="D65" i="105"/>
  <c r="D45" i="148" s="1"/>
  <c r="D469" i="105"/>
  <c r="E469" i="105" s="1"/>
  <c r="D473" i="105"/>
  <c r="D472" i="105" s="1"/>
  <c r="D344" i="148"/>
  <c r="AF7" i="138"/>
  <c r="V19" i="138" s="1"/>
  <c r="AF18" i="138"/>
  <c r="V25" i="138"/>
  <c r="C89" i="138"/>
  <c r="E89" i="138" s="1"/>
  <c r="S78" i="138" s="1"/>
  <c r="C161" i="138"/>
  <c r="E161" i="138"/>
  <c r="S150" i="138" s="1"/>
  <c r="L276" i="138"/>
  <c r="Q284" i="138" s="1"/>
  <c r="R284" i="138" s="1"/>
  <c r="R108" i="148"/>
  <c r="I800" i="162"/>
  <c r="J800" i="162"/>
  <c r="K800" i="162"/>
  <c r="L800" i="162"/>
  <c r="M800" i="162"/>
  <c r="N800" i="162"/>
  <c r="O800" i="162"/>
  <c r="AL928" i="162" s="1"/>
  <c r="Q800" i="162"/>
  <c r="R800" i="162"/>
  <c r="S800" i="162"/>
  <c r="E14" i="132"/>
  <c r="E30" i="132"/>
  <c r="D28" i="128"/>
  <c r="E24" i="132"/>
  <c r="E25" i="132"/>
  <c r="E26" i="132"/>
  <c r="E27" i="132"/>
  <c r="E28" i="132"/>
  <c r="E29" i="132"/>
  <c r="D27" i="128"/>
  <c r="E31" i="138"/>
  <c r="D363" i="148" s="1"/>
  <c r="AI296" i="138"/>
  <c r="AI300" i="138"/>
  <c r="D371" i="148"/>
  <c r="E113" i="148"/>
  <c r="E139" i="148"/>
  <c r="E395" i="148"/>
  <c r="F395" i="148" s="1"/>
  <c r="G395" i="148" s="1"/>
  <c r="H395" i="148" s="1"/>
  <c r="E344" i="148"/>
  <c r="AG7" i="138"/>
  <c r="W19" i="138" s="1"/>
  <c r="W30" i="138" s="1"/>
  <c r="F63" i="148" s="1"/>
  <c r="AG18" i="138"/>
  <c r="W25" i="138"/>
  <c r="C90" i="138"/>
  <c r="E90" i="138" s="1"/>
  <c r="U78" i="138" s="1"/>
  <c r="C162" i="138"/>
  <c r="E162" i="138" s="1"/>
  <c r="U150" i="138" s="1"/>
  <c r="AK296" i="138"/>
  <c r="F30" i="132"/>
  <c r="F24" i="132"/>
  <c r="F25" i="132"/>
  <c r="F26" i="132"/>
  <c r="F27" i="132"/>
  <c r="F28" i="132"/>
  <c r="F29" i="132"/>
  <c r="F31" i="138"/>
  <c r="E363" i="148" s="1"/>
  <c r="E371" i="148"/>
  <c r="F113" i="148"/>
  <c r="F139" i="148"/>
  <c r="F344" i="148"/>
  <c r="AH7" i="138"/>
  <c r="X19" i="138" s="1"/>
  <c r="AH18" i="138"/>
  <c r="X25" i="138" s="1"/>
  <c r="G58" i="148" s="1"/>
  <c r="L78" i="138"/>
  <c r="L150" i="138"/>
  <c r="AL296" i="138"/>
  <c r="V114" i="148"/>
  <c r="G30" i="132"/>
  <c r="G24" i="132"/>
  <c r="G25" i="132"/>
  <c r="G26" i="132"/>
  <c r="G27" i="132"/>
  <c r="G28" i="132"/>
  <c r="G29" i="132"/>
  <c r="G31" i="138"/>
  <c r="F363" i="148" s="1"/>
  <c r="F371" i="148"/>
  <c r="G113" i="148"/>
  <c r="G139" i="148"/>
  <c r="G344" i="148"/>
  <c r="AI7" i="138"/>
  <c r="Y19" i="138" s="1"/>
  <c r="AI18" i="138"/>
  <c r="Y25" i="138" s="1"/>
  <c r="H58" i="148" s="1"/>
  <c r="AM296" i="138"/>
  <c r="W114" i="148"/>
  <c r="H30" i="132"/>
  <c r="H24" i="132"/>
  <c r="H25" i="132"/>
  <c r="H26" i="132"/>
  <c r="H27" i="132"/>
  <c r="H28" i="132"/>
  <c r="H29" i="132"/>
  <c r="H31" i="138"/>
  <c r="G363" i="148" s="1"/>
  <c r="G371" i="148"/>
  <c r="H139" i="148"/>
  <c r="D232" i="107"/>
  <c r="E251" i="133"/>
  <c r="F251" i="133"/>
  <c r="G251" i="133"/>
  <c r="H251" i="133"/>
  <c r="I251" i="133"/>
  <c r="J251" i="133"/>
  <c r="K251" i="133"/>
  <c r="L251" i="133"/>
  <c r="M251" i="133"/>
  <c r="N251" i="133"/>
  <c r="O251" i="133"/>
  <c r="P251" i="133"/>
  <c r="D256" i="107"/>
  <c r="D259" i="107"/>
  <c r="D260" i="107"/>
  <c r="D67" i="162"/>
  <c r="D68" i="162"/>
  <c r="E562" i="131" s="1"/>
  <c r="E159" i="105" s="1"/>
  <c r="B104" i="133" s="1"/>
  <c r="D264" i="107" s="1"/>
  <c r="D71" i="162"/>
  <c r="E563" i="131" s="1"/>
  <c r="E163" i="105" s="1"/>
  <c r="B105" i="133" s="1"/>
  <c r="D72" i="162"/>
  <c r="D73" i="162"/>
  <c r="D119" i="107" s="1"/>
  <c r="B107" i="133" s="1"/>
  <c r="D74" i="162"/>
  <c r="E565" i="131" s="1"/>
  <c r="E171" i="105" s="1"/>
  <c r="B108" i="133" s="1"/>
  <c r="D268" i="107" s="1"/>
  <c r="E18" i="219" s="1"/>
  <c r="D75" i="162"/>
  <c r="E566" i="131" s="1"/>
  <c r="E175" i="105" s="1"/>
  <c r="B109" i="133" s="1"/>
  <c r="D76" i="162"/>
  <c r="E567" i="131" s="1"/>
  <c r="E179" i="105" s="1"/>
  <c r="B110" i="133" s="1"/>
  <c r="D270" i="107" s="1"/>
  <c r="D77" i="162"/>
  <c r="D78" i="162"/>
  <c r="E569" i="131" s="1"/>
  <c r="E187" i="105" s="1"/>
  <c r="B112" i="133" s="1"/>
  <c r="D272" i="107" s="1"/>
  <c r="D79" i="162"/>
  <c r="B353" i="148"/>
  <c r="B356" i="148"/>
  <c r="B361" i="148"/>
  <c r="L46" i="107"/>
  <c r="D216" i="107"/>
  <c r="D215" i="107"/>
  <c r="E184" i="107"/>
  <c r="E191" i="107" s="1"/>
  <c r="E201" i="107" s="1"/>
  <c r="E210" i="107" s="1"/>
  <c r="F184" i="107"/>
  <c r="F191" i="107" s="1"/>
  <c r="F201" i="107" s="1"/>
  <c r="F210" i="107" s="1"/>
  <c r="G81" i="107"/>
  <c r="G184" i="107" s="1"/>
  <c r="G191" i="107" s="1"/>
  <c r="G201" i="107" s="1"/>
  <c r="G210" i="107" s="1"/>
  <c r="D194" i="107"/>
  <c r="D193" i="107"/>
  <c r="D187" i="107"/>
  <c r="G187" i="107"/>
  <c r="H187" i="107"/>
  <c r="I187" i="107"/>
  <c r="J187" i="107"/>
  <c r="K187" i="107"/>
  <c r="L187" i="107"/>
  <c r="M187" i="107"/>
  <c r="N187" i="107"/>
  <c r="O187" i="107"/>
  <c r="P187" i="107"/>
  <c r="R187" i="107"/>
  <c r="D186" i="107"/>
  <c r="D184" i="107"/>
  <c r="Q182" i="107"/>
  <c r="D182" i="107"/>
  <c r="Q310" i="107"/>
  <c r="D310" i="107"/>
  <c r="D30" i="105"/>
  <c r="D29" i="105"/>
  <c r="D28" i="105"/>
  <c r="D59" i="105"/>
  <c r="E30" i="105"/>
  <c r="E29" i="105"/>
  <c r="E28" i="105"/>
  <c r="E24" i="105"/>
  <c r="F30" i="105"/>
  <c r="F29" i="105"/>
  <c r="F28" i="105"/>
  <c r="F24" i="105"/>
  <c r="F59" i="105"/>
  <c r="G30" i="105"/>
  <c r="G29" i="105"/>
  <c r="G28" i="105"/>
  <c r="G24" i="105"/>
  <c r="G59" i="105"/>
  <c r="H30" i="105"/>
  <c r="H29" i="105"/>
  <c r="H28" i="105"/>
  <c r="H24" i="105"/>
  <c r="H59" i="105"/>
  <c r="I30" i="105"/>
  <c r="I29" i="105"/>
  <c r="I28" i="105"/>
  <c r="I24" i="105"/>
  <c r="J30" i="105"/>
  <c r="J29" i="105"/>
  <c r="J28" i="105"/>
  <c r="J24" i="105"/>
  <c r="J59" i="105"/>
  <c r="K30" i="105"/>
  <c r="K29" i="105"/>
  <c r="K28" i="105"/>
  <c r="K24" i="105"/>
  <c r="K59" i="105"/>
  <c r="L30" i="105"/>
  <c r="L29" i="105"/>
  <c r="L28" i="105"/>
  <c r="L24" i="105"/>
  <c r="L59" i="105"/>
  <c r="M30" i="105"/>
  <c r="M29" i="105"/>
  <c r="M28" i="105"/>
  <c r="M24" i="105"/>
  <c r="N30" i="105"/>
  <c r="N29" i="105"/>
  <c r="N28" i="105"/>
  <c r="N24" i="105"/>
  <c r="O30" i="105"/>
  <c r="O29" i="105"/>
  <c r="O28" i="105"/>
  <c r="E245" i="133"/>
  <c r="E246" i="133" s="1"/>
  <c r="E221" i="133" s="1"/>
  <c r="E241" i="133" s="1"/>
  <c r="D252" i="133" s="1"/>
  <c r="F245" i="133"/>
  <c r="G245" i="133"/>
  <c r="H245" i="133"/>
  <c r="I245" i="133"/>
  <c r="J245" i="133"/>
  <c r="K245" i="133"/>
  <c r="L245" i="133"/>
  <c r="M245" i="133"/>
  <c r="O245" i="133"/>
  <c r="P245" i="133"/>
  <c r="Q232" i="107"/>
  <c r="G234" i="107"/>
  <c r="T28" i="218"/>
  <c r="T29" i="218"/>
  <c r="T23" i="218"/>
  <c r="N23" i="218" s="1"/>
  <c r="O23" i="218" s="1"/>
  <c r="T22" i="218"/>
  <c r="N22" i="218" s="1"/>
  <c r="O22" i="218" s="1"/>
  <c r="T36" i="218"/>
  <c r="T35" i="218"/>
  <c r="L35" i="218" s="1"/>
  <c r="F412" i="105"/>
  <c r="G408" i="105"/>
  <c r="G306" i="138"/>
  <c r="G305" i="138"/>
  <c r="G114" i="138"/>
  <c r="D306" i="138"/>
  <c r="D305" i="138" s="1"/>
  <c r="K305" i="138"/>
  <c r="F315" i="138"/>
  <c r="H315" i="138" s="1"/>
  <c r="E306" i="138"/>
  <c r="E305" i="138" s="1"/>
  <c r="D315" i="138"/>
  <c r="AD306" i="138" s="1"/>
  <c r="M305" i="138"/>
  <c r="AK312" i="138"/>
  <c r="F286" i="138"/>
  <c r="H286" i="138" s="1"/>
  <c r="D286" i="138"/>
  <c r="AD277" i="138" s="1"/>
  <c r="C286" i="138"/>
  <c r="E286" i="138" s="1"/>
  <c r="D289" i="138"/>
  <c r="AG277" i="138" s="1"/>
  <c r="D114" i="138"/>
  <c r="K114" i="138"/>
  <c r="D124" i="138" s="1"/>
  <c r="AD115" i="138" s="1"/>
  <c r="G124" i="138"/>
  <c r="D146" i="138" s="1"/>
  <c r="AG115" i="138" s="1"/>
  <c r="F124" i="138"/>
  <c r="H124" i="138" s="1"/>
  <c r="I115" i="138"/>
  <c r="I114" i="138" s="1"/>
  <c r="E114" i="138"/>
  <c r="C124" i="138"/>
  <c r="E124" i="138" s="1"/>
  <c r="AK121" i="138"/>
  <c r="G525" i="131"/>
  <c r="I525" i="131" s="1"/>
  <c r="G536" i="131" s="1"/>
  <c r="I536" i="131" s="1"/>
  <c r="G383" i="105"/>
  <c r="H384" i="105" s="1"/>
  <c r="H77" i="105"/>
  <c r="H393" i="105" s="1"/>
  <c r="H394" i="105"/>
  <c r="G404" i="105"/>
  <c r="G399" i="105"/>
  <c r="U404" i="105" s="1"/>
  <c r="G125" i="138"/>
  <c r="F126" i="138"/>
  <c r="H126" i="138" s="1"/>
  <c r="V114" i="138" s="1"/>
  <c r="E949" i="162"/>
  <c r="I949" i="162" s="1"/>
  <c r="K949" i="162"/>
  <c r="O29" i="218"/>
  <c r="P29" i="218" s="1"/>
  <c r="O28" i="218"/>
  <c r="P28" i="218" s="1"/>
  <c r="AC26" i="215"/>
  <c r="AG26" i="215" s="1"/>
  <c r="AH26" i="215" s="1"/>
  <c r="AC25" i="215"/>
  <c r="AQ881" i="162"/>
  <c r="U275" i="162" s="1"/>
  <c r="AC21" i="215" s="1"/>
  <c r="AQ880" i="162"/>
  <c r="U274" i="162"/>
  <c r="AC20" i="215" s="1"/>
  <c r="AQ879" i="162"/>
  <c r="U273" i="162" s="1"/>
  <c r="AC19" i="215" s="1"/>
  <c r="AQ878" i="162"/>
  <c r="U272" i="162" s="1"/>
  <c r="AC18" i="215" s="1"/>
  <c r="AQ877" i="162"/>
  <c r="U271" i="162" s="1"/>
  <c r="AC17" i="215" s="1"/>
  <c r="AQ876" i="162"/>
  <c r="U270" i="162" s="1"/>
  <c r="AC16" i="215" s="1"/>
  <c r="AQ875" i="162"/>
  <c r="U269" i="162" s="1"/>
  <c r="AC15" i="215" s="1"/>
  <c r="AQ874" i="162"/>
  <c r="U268" i="162" s="1"/>
  <c r="AC14" i="215" s="1"/>
  <c r="AQ873" i="162"/>
  <c r="U267" i="162" s="1"/>
  <c r="AC13" i="215" s="1"/>
  <c r="AQ872" i="162"/>
  <c r="U266" i="162"/>
  <c r="AQ864" i="162"/>
  <c r="U258" i="162" s="1"/>
  <c r="AC9" i="215" s="1"/>
  <c r="AQ863" i="162"/>
  <c r="U257" i="162" s="1"/>
  <c r="AC8" i="215" s="1"/>
  <c r="AQ862" i="162"/>
  <c r="U256" i="162" s="1"/>
  <c r="AC7" i="215" s="1"/>
  <c r="AQ861" i="162"/>
  <c r="U255" i="162" s="1"/>
  <c r="F24" i="213"/>
  <c r="F25" i="213"/>
  <c r="F34" i="213"/>
  <c r="F26" i="213"/>
  <c r="F27" i="213"/>
  <c r="F28" i="213"/>
  <c r="F29" i="213"/>
  <c r="F30" i="213"/>
  <c r="F31" i="213"/>
  <c r="F32" i="213"/>
  <c r="F33" i="213"/>
  <c r="F17" i="213"/>
  <c r="F18" i="213"/>
  <c r="F19" i="213"/>
  <c r="D1044" i="162"/>
  <c r="I284" i="138"/>
  <c r="J284" i="138" s="1"/>
  <c r="L286" i="138"/>
  <c r="N286" i="138" s="1"/>
  <c r="I286" i="138"/>
  <c r="K286" i="138" s="1"/>
  <c r="C125" i="138"/>
  <c r="D125" i="138"/>
  <c r="E125" i="138"/>
  <c r="S114" i="138" s="1"/>
  <c r="L305" i="138"/>
  <c r="M284" i="138"/>
  <c r="N284" i="138" s="1"/>
  <c r="J165" i="148"/>
  <c r="H348" i="105"/>
  <c r="D126" i="138"/>
  <c r="L114" i="138"/>
  <c r="C127" i="138" s="1"/>
  <c r="E665" i="131"/>
  <c r="F665" i="131" s="1"/>
  <c r="G665" i="131" s="1"/>
  <c r="H665" i="131" s="1"/>
  <c r="I665" i="131" s="1"/>
  <c r="D671" i="131"/>
  <c r="D672" i="131"/>
  <c r="N275" i="105"/>
  <c r="L138" i="133" s="1"/>
  <c r="M638" i="131" s="1"/>
  <c r="O275" i="105"/>
  <c r="M138" i="133" s="1"/>
  <c r="N638" i="131" s="1"/>
  <c r="P275" i="105"/>
  <c r="N138" i="133" s="1"/>
  <c r="O638" i="131" s="1"/>
  <c r="Q275" i="105"/>
  <c r="O138" i="133" s="1"/>
  <c r="P638" i="131" s="1"/>
  <c r="C640" i="131"/>
  <c r="Q636" i="131"/>
  <c r="P636" i="131"/>
  <c r="O636" i="131"/>
  <c r="N636" i="131"/>
  <c r="M636" i="131"/>
  <c r="L636" i="131"/>
  <c r="Q635" i="131"/>
  <c r="P635" i="131"/>
  <c r="O635" i="131"/>
  <c r="M9" i="105" s="1"/>
  <c r="M62" i="105" s="1"/>
  <c r="N635" i="131"/>
  <c r="M635" i="131"/>
  <c r="L635" i="131"/>
  <c r="K635" i="131"/>
  <c r="I9" i="105" s="1"/>
  <c r="I62" i="105" s="1"/>
  <c r="J635" i="131"/>
  <c r="I635" i="131"/>
  <c r="H635" i="131"/>
  <c r="G635" i="131"/>
  <c r="E9" i="105" s="1"/>
  <c r="E62" i="105" s="1"/>
  <c r="F635" i="131"/>
  <c r="C631" i="131"/>
  <c r="C630" i="131"/>
  <c r="D459" i="105"/>
  <c r="E10" i="132"/>
  <c r="D438" i="105" s="1"/>
  <c r="D27" i="138"/>
  <c r="D479" i="105" s="1"/>
  <c r="E11" i="132"/>
  <c r="D481" i="105" s="1"/>
  <c r="D480" i="105" s="1"/>
  <c r="D468" i="105"/>
  <c r="E459" i="105"/>
  <c r="F10" i="132"/>
  <c r="E438" i="105" s="1"/>
  <c r="E27" i="138"/>
  <c r="E479" i="105"/>
  <c r="F11" i="132"/>
  <c r="E481" i="105" s="1"/>
  <c r="E480" i="105" s="1"/>
  <c r="F459" i="105"/>
  <c r="G10" i="132"/>
  <c r="F438" i="105"/>
  <c r="F27" i="138"/>
  <c r="F479" i="105" s="1"/>
  <c r="G11" i="132"/>
  <c r="F481" i="105" s="1"/>
  <c r="F480" i="105" s="1"/>
  <c r="G459" i="105"/>
  <c r="H10" i="132"/>
  <c r="G438" i="105" s="1"/>
  <c r="G27" i="138"/>
  <c r="G479" i="105"/>
  <c r="H11" i="132"/>
  <c r="G481" i="105" s="1"/>
  <c r="G480" i="105" s="1"/>
  <c r="H459" i="105"/>
  <c r="I10" i="132"/>
  <c r="H438" i="105"/>
  <c r="H27" i="138"/>
  <c r="H479" i="105" s="1"/>
  <c r="I11" i="132"/>
  <c r="H481" i="105" s="1"/>
  <c r="H480" i="105" s="1"/>
  <c r="I459" i="105"/>
  <c r="J10" i="132"/>
  <c r="I438" i="105" s="1"/>
  <c r="I27" i="138"/>
  <c r="I479" i="105"/>
  <c r="J11" i="132"/>
  <c r="I481" i="105" s="1"/>
  <c r="I480" i="105" s="1"/>
  <c r="J459" i="105"/>
  <c r="K10" i="132"/>
  <c r="J438" i="105" s="1"/>
  <c r="J27" i="138"/>
  <c r="J479" i="105" s="1"/>
  <c r="K11" i="132"/>
  <c r="J481" i="105"/>
  <c r="J480" i="105" s="1"/>
  <c r="K459" i="105"/>
  <c r="L10" i="132"/>
  <c r="K438" i="105" s="1"/>
  <c r="K27" i="138"/>
  <c r="K479" i="105"/>
  <c r="L11" i="132"/>
  <c r="K481" i="105" s="1"/>
  <c r="K480" i="105"/>
  <c r="L459" i="105"/>
  <c r="M10" i="132"/>
  <c r="L438" i="105" s="1"/>
  <c r="L27" i="138"/>
  <c r="L479" i="105" s="1"/>
  <c r="M11" i="132"/>
  <c r="L481" i="105" s="1"/>
  <c r="L480" i="105" s="1"/>
  <c r="M459" i="105"/>
  <c r="N10" i="132"/>
  <c r="M438" i="105" s="1"/>
  <c r="M27" i="138"/>
  <c r="M479" i="105"/>
  <c r="N11" i="132"/>
  <c r="M481" i="105" s="1"/>
  <c r="M480" i="105" s="1"/>
  <c r="N459" i="105"/>
  <c r="O10" i="132"/>
  <c r="N438" i="105" s="1"/>
  <c r="N27" i="138"/>
  <c r="N479" i="105" s="1"/>
  <c r="O11" i="132"/>
  <c r="N481" i="105" s="1"/>
  <c r="N480" i="105" s="1"/>
  <c r="K431" i="105"/>
  <c r="F46" i="162"/>
  <c r="C441" i="105"/>
  <c r="C442" i="105"/>
  <c r="C443" i="105"/>
  <c r="C444" i="105"/>
  <c r="C445" i="105"/>
  <c r="C446" i="105"/>
  <c r="P452" i="105"/>
  <c r="C491" i="105"/>
  <c r="B375" i="148" s="1"/>
  <c r="C316" i="148"/>
  <c r="D316" i="148"/>
  <c r="E316" i="148"/>
  <c r="F316" i="148"/>
  <c r="G316" i="148"/>
  <c r="B322" i="148"/>
  <c r="B323" i="148"/>
  <c r="B326" i="148"/>
  <c r="B327" i="148"/>
  <c r="B328" i="148"/>
  <c r="B329" i="148"/>
  <c r="B330" i="148"/>
  <c r="B331" i="148"/>
  <c r="B336" i="148"/>
  <c r="B337" i="148"/>
  <c r="B345" i="148"/>
  <c r="B354" i="148"/>
  <c r="B357" i="148"/>
  <c r="B358" i="148"/>
  <c r="B359" i="148"/>
  <c r="B360" i="148"/>
  <c r="B362" i="148"/>
  <c r="B363" i="148"/>
  <c r="B364" i="148"/>
  <c r="B365" i="148"/>
  <c r="B366" i="148"/>
  <c r="B367" i="148"/>
  <c r="B368" i="148"/>
  <c r="B369" i="148"/>
  <c r="B370" i="148"/>
  <c r="B371" i="148"/>
  <c r="B372" i="148"/>
  <c r="B373" i="148"/>
  <c r="B374" i="148"/>
  <c r="B376" i="148"/>
  <c r="B377" i="148"/>
  <c r="B378" i="148"/>
  <c r="B379" i="148"/>
  <c r="B380" i="148"/>
  <c r="B381" i="148"/>
  <c r="B382" i="148"/>
  <c r="B383" i="148"/>
  <c r="B384" i="148"/>
  <c r="G425" i="131"/>
  <c r="H425" i="131" s="1"/>
  <c r="I425" i="131" s="1"/>
  <c r="J425" i="131" s="1"/>
  <c r="K425" i="131" s="1"/>
  <c r="G430" i="131"/>
  <c r="H430" i="131"/>
  <c r="I430" i="131"/>
  <c r="J430" i="131"/>
  <c r="K430" i="131"/>
  <c r="G440" i="131"/>
  <c r="H440" i="131"/>
  <c r="I440" i="131"/>
  <c r="J440" i="131"/>
  <c r="K440" i="131"/>
  <c r="L440" i="131"/>
  <c r="M440" i="131"/>
  <c r="N440" i="131"/>
  <c r="O440" i="131"/>
  <c r="P440" i="131"/>
  <c r="Q440" i="131"/>
  <c r="R440" i="131"/>
  <c r="D39" i="162"/>
  <c r="E462" i="131" s="1"/>
  <c r="D40" i="162"/>
  <c r="E463" i="131" s="1"/>
  <c r="D41" i="162"/>
  <c r="E464" i="131" s="1"/>
  <c r="G465" i="131"/>
  <c r="I465" i="131" s="1"/>
  <c r="G466" i="131"/>
  <c r="I466" i="131" s="1"/>
  <c r="G467" i="131"/>
  <c r="I467" i="131" s="1"/>
  <c r="G468" i="131"/>
  <c r="I468" i="131" s="1"/>
  <c r="G469" i="131"/>
  <c r="I469" i="131" s="1"/>
  <c r="G470" i="131"/>
  <c r="I470" i="131" s="1"/>
  <c r="G471" i="131"/>
  <c r="I471" i="131" s="1"/>
  <c r="G472" i="131"/>
  <c r="I472" i="131" s="1"/>
  <c r="G473" i="131"/>
  <c r="I473" i="131" s="1"/>
  <c r="G474" i="131"/>
  <c r="I474" i="131" s="1"/>
  <c r="G475" i="131"/>
  <c r="I475" i="131" s="1"/>
  <c r="G476" i="131"/>
  <c r="I476" i="131" s="1"/>
  <c r="G477" i="131"/>
  <c r="I477" i="131" s="1"/>
  <c r="G478" i="131"/>
  <c r="I478" i="131" s="1"/>
  <c r="G479" i="131"/>
  <c r="I479" i="131" s="1"/>
  <c r="G480" i="131"/>
  <c r="I480" i="131" s="1"/>
  <c r="G481" i="131"/>
  <c r="I481" i="131" s="1"/>
  <c r="G482" i="131"/>
  <c r="I482" i="131" s="1"/>
  <c r="G483" i="131"/>
  <c r="I483" i="131" s="1"/>
  <c r="G484" i="131"/>
  <c r="I484" i="131" s="1"/>
  <c r="G485" i="131"/>
  <c r="I485" i="131" s="1"/>
  <c r="G486" i="131"/>
  <c r="I486" i="131" s="1"/>
  <c r="G487" i="131"/>
  <c r="I487" i="131" s="1"/>
  <c r="G488" i="131"/>
  <c r="I488" i="131" s="1"/>
  <c r="G489" i="131"/>
  <c r="I489" i="131" s="1"/>
  <c r="G490" i="131"/>
  <c r="I490" i="131" s="1"/>
  <c r="D48" i="162"/>
  <c r="D49" i="162"/>
  <c r="E495" i="131" s="1"/>
  <c r="G496" i="131"/>
  <c r="I496" i="131" s="1"/>
  <c r="G497" i="131"/>
  <c r="I497" i="131" s="1"/>
  <c r="G498" i="131"/>
  <c r="I498" i="131" s="1"/>
  <c r="G499" i="131"/>
  <c r="I499" i="131" s="1"/>
  <c r="G500" i="131"/>
  <c r="I500" i="131" s="1"/>
  <c r="G501" i="131"/>
  <c r="I501" i="131" s="1"/>
  <c r="G502" i="131"/>
  <c r="I502" i="131" s="1"/>
  <c r="G503" i="131"/>
  <c r="I503" i="131" s="1"/>
  <c r="G504" i="131"/>
  <c r="I504" i="131" s="1"/>
  <c r="G505" i="131"/>
  <c r="I505" i="131" s="1"/>
  <c r="G506" i="131"/>
  <c r="I506" i="131" s="1"/>
  <c r="G507" i="131"/>
  <c r="I507" i="131" s="1"/>
  <c r="G508" i="131"/>
  <c r="I508" i="131" s="1"/>
  <c r="G509" i="131"/>
  <c r="I509" i="131" s="1"/>
  <c r="G510" i="131"/>
  <c r="I510" i="131" s="1"/>
  <c r="G511" i="131"/>
  <c r="I511" i="131" s="1"/>
  <c r="G512" i="131"/>
  <c r="I512" i="131" s="1"/>
  <c r="G513" i="131"/>
  <c r="I513" i="131" s="1"/>
  <c r="G514" i="131"/>
  <c r="I514" i="131" s="1"/>
  <c r="G515" i="131"/>
  <c r="I515" i="131" s="1"/>
  <c r="G516" i="131"/>
  <c r="I516" i="131" s="1"/>
  <c r="G517" i="131"/>
  <c r="I517" i="131" s="1"/>
  <c r="G518" i="131"/>
  <c r="I518" i="131" s="1"/>
  <c r="G519" i="131"/>
  <c r="I519" i="131" s="1"/>
  <c r="G520" i="131"/>
  <c r="I520" i="131" s="1"/>
  <c r="G521" i="131"/>
  <c r="I521" i="131" s="1"/>
  <c r="G522" i="131"/>
  <c r="I522" i="131" s="1"/>
  <c r="G523" i="131"/>
  <c r="I523" i="131" s="1"/>
  <c r="D52" i="162"/>
  <c r="E526" i="131" s="1"/>
  <c r="G528" i="131"/>
  <c r="I528" i="131" s="1"/>
  <c r="G532" i="131"/>
  <c r="I532" i="131" s="1"/>
  <c r="G540" i="131"/>
  <c r="I540" i="131" s="1"/>
  <c r="G544" i="131"/>
  <c r="I544" i="131" s="1"/>
  <c r="G548" i="131"/>
  <c r="I548" i="131" s="1"/>
  <c r="D58" i="162"/>
  <c r="E560" i="131"/>
  <c r="G572" i="131"/>
  <c r="G575" i="131"/>
  <c r="I575" i="131" s="1"/>
  <c r="G579" i="131"/>
  <c r="I579" i="131" s="1"/>
  <c r="G603" i="131" s="1"/>
  <c r="I603" i="131" s="1"/>
  <c r="G256" i="105" s="1"/>
  <c r="E580" i="131"/>
  <c r="E581" i="131"/>
  <c r="E582" i="131"/>
  <c r="E583" i="131"/>
  <c r="E584" i="131"/>
  <c r="E585" i="131"/>
  <c r="E586" i="131"/>
  <c r="E587" i="131"/>
  <c r="G587" i="131"/>
  <c r="I587" i="131" s="1"/>
  <c r="G240" i="105" s="1"/>
  <c r="E588" i="131"/>
  <c r="E589" i="131"/>
  <c r="E590" i="131"/>
  <c r="E591" i="131"/>
  <c r="E592" i="131"/>
  <c r="E593" i="131"/>
  <c r="E594" i="131"/>
  <c r="E595" i="131"/>
  <c r="G595" i="131"/>
  <c r="I595" i="131" s="1"/>
  <c r="G248" i="105" s="1"/>
  <c r="H248" i="105" s="1"/>
  <c r="E596" i="131"/>
  <c r="E597" i="131"/>
  <c r="E598" i="131"/>
  <c r="E599" i="131"/>
  <c r="E600" i="131"/>
  <c r="E601" i="131"/>
  <c r="E602" i="131"/>
  <c r="E603" i="131"/>
  <c r="E604" i="131"/>
  <c r="E605" i="131"/>
  <c r="E606" i="131"/>
  <c r="E607" i="131"/>
  <c r="E608" i="131"/>
  <c r="E611" i="131"/>
  <c r="E612" i="131"/>
  <c r="E613" i="131"/>
  <c r="E614" i="131"/>
  <c r="E615" i="131"/>
  <c r="E616" i="131"/>
  <c r="E301" i="105" s="1"/>
  <c r="E617" i="131"/>
  <c r="M108" i="131"/>
  <c r="K108" i="131"/>
  <c r="I108" i="131"/>
  <c r="C108" i="131"/>
  <c r="Q79" i="107"/>
  <c r="D79" i="107"/>
  <c r="L57" i="128"/>
  <c r="D1041" i="162"/>
  <c r="D1048" i="162"/>
  <c r="D1054" i="162"/>
  <c r="C113" i="148" s="1"/>
  <c r="D117" i="107"/>
  <c r="D1057" i="162" s="1"/>
  <c r="C116" i="148" s="1"/>
  <c r="D1059" i="162"/>
  <c r="C118" i="148" s="1"/>
  <c r="D121" i="107"/>
  <c r="D1061" i="162" s="1"/>
  <c r="D122" i="107"/>
  <c r="D1062" i="162" s="1"/>
  <c r="D51" i="162"/>
  <c r="D110" i="107" s="1"/>
  <c r="D1050" i="162" s="1"/>
  <c r="C109" i="148" s="1"/>
  <c r="D1052" i="162"/>
  <c r="C111" i="148" s="1"/>
  <c r="I111" i="148" s="1"/>
  <c r="D1042" i="162"/>
  <c r="D1043" i="162"/>
  <c r="C101" i="148" s="1"/>
  <c r="F1043" i="162"/>
  <c r="D1045" i="162"/>
  <c r="C103" i="148" s="1"/>
  <c r="D1046" i="162"/>
  <c r="D1037" i="162"/>
  <c r="C94" i="148" s="1"/>
  <c r="D1038" i="162"/>
  <c r="D1039" i="162"/>
  <c r="C97" i="148" s="1"/>
  <c r="I97" i="148" s="1"/>
  <c r="D1029" i="162"/>
  <c r="G94" i="107"/>
  <c r="E94" i="107" s="1"/>
  <c r="F1029" i="162" s="1"/>
  <c r="D1030" i="162"/>
  <c r="D1031" i="162"/>
  <c r="B257" i="133"/>
  <c r="D11" i="132"/>
  <c r="C256" i="133"/>
  <c r="D254" i="162"/>
  <c r="H254" i="162"/>
  <c r="I254" i="162"/>
  <c r="J254" i="162"/>
  <c r="K254" i="162"/>
  <c r="L254" i="162"/>
  <c r="M254" i="162"/>
  <c r="N254" i="162"/>
  <c r="O254" i="162"/>
  <c r="P254" i="162"/>
  <c r="Q254" i="162"/>
  <c r="R254" i="162"/>
  <c r="S254" i="162"/>
  <c r="D265" i="162"/>
  <c r="H265" i="162"/>
  <c r="I265" i="162"/>
  <c r="J265" i="162"/>
  <c r="J780" i="162" s="1"/>
  <c r="K265" i="162"/>
  <c r="L265" i="162"/>
  <c r="M265" i="162"/>
  <c r="N265" i="162"/>
  <c r="O265" i="162"/>
  <c r="P265" i="162"/>
  <c r="Q265" i="162"/>
  <c r="R265" i="162"/>
  <c r="R780" i="162" s="1"/>
  <c r="S265" i="162"/>
  <c r="D297" i="162"/>
  <c r="H297" i="162"/>
  <c r="H780" i="162" s="1"/>
  <c r="I297" i="162"/>
  <c r="J297" i="162"/>
  <c r="K297" i="162"/>
  <c r="L297" i="162"/>
  <c r="M297" i="162"/>
  <c r="N297" i="162"/>
  <c r="O297" i="162"/>
  <c r="P297" i="162"/>
  <c r="P780" i="162" s="1"/>
  <c r="Q297" i="162"/>
  <c r="R297" i="162"/>
  <c r="S297" i="162"/>
  <c r="T297" i="162"/>
  <c r="U297" i="162"/>
  <c r="G317" i="162"/>
  <c r="U318" i="162"/>
  <c r="T329" i="162"/>
  <c r="U329" i="162"/>
  <c r="C340" i="162"/>
  <c r="C958" i="162" s="1"/>
  <c r="AD958" i="162" s="1"/>
  <c r="T340" i="162"/>
  <c r="U340" i="162"/>
  <c r="T980" i="162"/>
  <c r="U980" i="162"/>
  <c r="H763" i="162"/>
  <c r="I763" i="162"/>
  <c r="J763" i="162"/>
  <c r="K763" i="162"/>
  <c r="L763" i="162"/>
  <c r="M763" i="162"/>
  <c r="N763" i="162"/>
  <c r="O763" i="162"/>
  <c r="P763" i="162"/>
  <c r="Q763" i="162"/>
  <c r="R763" i="162"/>
  <c r="S763" i="162"/>
  <c r="H764" i="162"/>
  <c r="I764" i="162"/>
  <c r="J764" i="162"/>
  <c r="K764" i="162"/>
  <c r="L764" i="162"/>
  <c r="M764" i="162"/>
  <c r="N764" i="162"/>
  <c r="O764" i="162"/>
  <c r="P764" i="162"/>
  <c r="Q764" i="162"/>
  <c r="R764" i="162"/>
  <c r="S764" i="162"/>
  <c r="H765" i="162"/>
  <c r="I765" i="162"/>
  <c r="J765" i="162"/>
  <c r="K765" i="162"/>
  <c r="L765" i="162"/>
  <c r="M765" i="162"/>
  <c r="N765" i="162"/>
  <c r="O765" i="162"/>
  <c r="P765" i="162"/>
  <c r="Q765" i="162"/>
  <c r="R765" i="162"/>
  <c r="S765" i="162"/>
  <c r="H767" i="162"/>
  <c r="I767" i="162"/>
  <c r="J767" i="162"/>
  <c r="K767" i="162"/>
  <c r="L767" i="162"/>
  <c r="M767" i="162"/>
  <c r="N767" i="162"/>
  <c r="O767" i="162"/>
  <c r="P767" i="162"/>
  <c r="Q767" i="162"/>
  <c r="R767" i="162"/>
  <c r="S767" i="162"/>
  <c r="G768" i="162"/>
  <c r="G769" i="162"/>
  <c r="H769" i="162"/>
  <c r="O769" i="162"/>
  <c r="P769" i="162"/>
  <c r="G805" i="162"/>
  <c r="G810" i="162" s="1"/>
  <c r="G778" i="162" s="1"/>
  <c r="G774" i="162"/>
  <c r="I774" i="162"/>
  <c r="K774" i="162"/>
  <c r="M774" i="162"/>
  <c r="O774" i="162"/>
  <c r="Q774" i="162"/>
  <c r="S774" i="162"/>
  <c r="L780" i="162"/>
  <c r="G791" i="162"/>
  <c r="G792" i="162"/>
  <c r="G793" i="162"/>
  <c r="T797" i="162"/>
  <c r="T798" i="162"/>
  <c r="T801" i="162"/>
  <c r="T806" i="162"/>
  <c r="G824" i="162"/>
  <c r="G849" i="162" s="1"/>
  <c r="G829" i="162"/>
  <c r="G845" i="162"/>
  <c r="G1009" i="162"/>
  <c r="G1008" i="162"/>
  <c r="G1007" i="162"/>
  <c r="P845" i="162" s="1"/>
  <c r="G1006" i="162"/>
  <c r="G846" i="162"/>
  <c r="K846" i="162" s="1"/>
  <c r="G850" i="162"/>
  <c r="G1019" i="162"/>
  <c r="G1018" i="162"/>
  <c r="G1017" i="162"/>
  <c r="G1016" i="162"/>
  <c r="G1015" i="162"/>
  <c r="G1014" i="162"/>
  <c r="G1013" i="162"/>
  <c r="G1012" i="162"/>
  <c r="G1011" i="162"/>
  <c r="G851" i="162"/>
  <c r="G853" i="162"/>
  <c r="C860" i="162"/>
  <c r="D860" i="162"/>
  <c r="E860" i="162"/>
  <c r="F860" i="162"/>
  <c r="F936" i="162" s="1"/>
  <c r="G860" i="162"/>
  <c r="H860" i="162"/>
  <c r="H936" i="162" s="1"/>
  <c r="I860" i="162"/>
  <c r="J860" i="162"/>
  <c r="J936" i="162" s="1"/>
  <c r="K860" i="162"/>
  <c r="L860" i="162"/>
  <c r="L936" i="162" s="1"/>
  <c r="M860" i="162"/>
  <c r="N860" i="162"/>
  <c r="N936" i="162" s="1"/>
  <c r="O860" i="162"/>
  <c r="P860" i="162"/>
  <c r="P936" i="162" s="1"/>
  <c r="Q860" i="162"/>
  <c r="R860" i="162"/>
  <c r="R936" i="162" s="1"/>
  <c r="S860" i="162"/>
  <c r="AE860" i="162"/>
  <c r="AE935" i="162" s="1"/>
  <c r="AF860" i="162"/>
  <c r="AG860" i="162"/>
  <c r="AG935" i="162" s="1"/>
  <c r="AH860" i="162"/>
  <c r="AI860" i="162"/>
  <c r="AI935" i="162" s="1"/>
  <c r="AJ860" i="162"/>
  <c r="AJ935" i="162" s="1"/>
  <c r="AJ1003" i="162" s="1"/>
  <c r="AK860" i="162"/>
  <c r="AK935" i="162" s="1"/>
  <c r="AL860" i="162"/>
  <c r="AM860" i="162"/>
  <c r="AM935" i="162" s="1"/>
  <c r="AN860" i="162"/>
  <c r="AO860" i="162"/>
  <c r="AO935" i="162" s="1"/>
  <c r="AP860" i="162"/>
  <c r="AT860" i="162"/>
  <c r="AU860" i="162"/>
  <c r="AV860" i="162"/>
  <c r="AW860" i="162"/>
  <c r="AX860" i="162"/>
  <c r="AY860" i="162"/>
  <c r="AZ860" i="162"/>
  <c r="BA860" i="162"/>
  <c r="BB860" i="162"/>
  <c r="BC860" i="162"/>
  <c r="BD860" i="162"/>
  <c r="BE860" i="162"/>
  <c r="C861" i="162"/>
  <c r="AD861" i="162" s="1"/>
  <c r="AS861" i="162" s="1"/>
  <c r="C862" i="162"/>
  <c r="AD862" i="162" s="1"/>
  <c r="AS862" i="162" s="1"/>
  <c r="C863" i="162"/>
  <c r="AD863" i="162" s="1"/>
  <c r="AS863" i="162" s="1"/>
  <c r="C864" i="162"/>
  <c r="AD864" i="162" s="1"/>
  <c r="AS864" i="162" s="1"/>
  <c r="C865" i="162"/>
  <c r="D865" i="162"/>
  <c r="O865" i="162" s="1"/>
  <c r="E865" i="162"/>
  <c r="M865" i="162"/>
  <c r="Q865" i="162"/>
  <c r="AD865" i="162"/>
  <c r="AQ865" i="162"/>
  <c r="AS865" i="162"/>
  <c r="C866" i="162"/>
  <c r="AD866" i="162" s="1"/>
  <c r="D866" i="162"/>
  <c r="E866" i="162"/>
  <c r="H866" i="162"/>
  <c r="L866" i="162"/>
  <c r="P866" i="162"/>
  <c r="AQ866" i="162"/>
  <c r="AS866" i="162"/>
  <c r="C867" i="162"/>
  <c r="AD867" i="162" s="1"/>
  <c r="AS867" i="162" s="1"/>
  <c r="D867" i="162"/>
  <c r="E867" i="162"/>
  <c r="K867" i="162" s="1"/>
  <c r="O867" i="162"/>
  <c r="AQ867" i="162"/>
  <c r="C868" i="162"/>
  <c r="D868" i="162"/>
  <c r="E868" i="162"/>
  <c r="N868" i="162" s="1"/>
  <c r="P868" i="162"/>
  <c r="AD868" i="162"/>
  <c r="AQ868" i="162"/>
  <c r="AS868" i="162"/>
  <c r="C869" i="162"/>
  <c r="D869" i="162"/>
  <c r="Q869" i="162" s="1"/>
  <c r="E869" i="162"/>
  <c r="I869" i="162"/>
  <c r="M869" i="162"/>
  <c r="O869" i="162"/>
  <c r="AD869" i="162"/>
  <c r="AS869" i="162" s="1"/>
  <c r="AQ869" i="162"/>
  <c r="C870" i="162"/>
  <c r="D870" i="162"/>
  <c r="E870" i="162"/>
  <c r="AD870" i="162"/>
  <c r="AQ870" i="162"/>
  <c r="AS870" i="162"/>
  <c r="C871" i="162"/>
  <c r="AD871" i="162" s="1"/>
  <c r="AS871" i="162" s="1"/>
  <c r="C872" i="162"/>
  <c r="AD872" i="162" s="1"/>
  <c r="AS872" i="162" s="1"/>
  <c r="C873" i="162"/>
  <c r="AD873" i="162" s="1"/>
  <c r="AS873" i="162" s="1"/>
  <c r="C874" i="162"/>
  <c r="AD874" i="162" s="1"/>
  <c r="AS874" i="162" s="1"/>
  <c r="C875" i="162"/>
  <c r="AD875" i="162" s="1"/>
  <c r="AS875" i="162" s="1"/>
  <c r="C876" i="162"/>
  <c r="AD876" i="162"/>
  <c r="AS876" i="162" s="1"/>
  <c r="C877" i="162"/>
  <c r="AD877" i="162" s="1"/>
  <c r="AS877" i="162" s="1"/>
  <c r="C878" i="162"/>
  <c r="AD878" i="162" s="1"/>
  <c r="AS878" i="162" s="1"/>
  <c r="C879" i="162"/>
  <c r="AD879" i="162" s="1"/>
  <c r="AS879" i="162" s="1"/>
  <c r="C880" i="162"/>
  <c r="AD880" i="162" s="1"/>
  <c r="AS880" i="162" s="1"/>
  <c r="C881" i="162"/>
  <c r="AD881" i="162" s="1"/>
  <c r="AS881" i="162" s="1"/>
  <c r="C882" i="162"/>
  <c r="D882" i="162"/>
  <c r="E882" i="162"/>
  <c r="L882" i="162" s="1"/>
  <c r="H882" i="162"/>
  <c r="P882" i="162"/>
  <c r="AD882" i="162"/>
  <c r="AS882" i="162" s="1"/>
  <c r="AQ882" i="162"/>
  <c r="C883" i="162"/>
  <c r="D883" i="162"/>
  <c r="E883" i="162"/>
  <c r="O883" i="162"/>
  <c r="AD883" i="162"/>
  <c r="AQ883" i="162"/>
  <c r="AS883" i="162"/>
  <c r="C884" i="162"/>
  <c r="D884" i="162"/>
  <c r="E884" i="162"/>
  <c r="H884" i="162"/>
  <c r="AD884" i="162"/>
  <c r="AQ884" i="162"/>
  <c r="AS884" i="162"/>
  <c r="C885" i="162"/>
  <c r="AD885" i="162" s="1"/>
  <c r="AS885" i="162" s="1"/>
  <c r="D885" i="162"/>
  <c r="O885" i="162" s="1"/>
  <c r="E885" i="162"/>
  <c r="K885" i="162"/>
  <c r="S885" i="162"/>
  <c r="AQ885" i="162"/>
  <c r="C886" i="162"/>
  <c r="AD886" i="162" s="1"/>
  <c r="D886" i="162"/>
  <c r="E886" i="162"/>
  <c r="P886" i="162"/>
  <c r="AQ886" i="162"/>
  <c r="AS886" i="162"/>
  <c r="C887" i="162"/>
  <c r="AD887" i="162" s="1"/>
  <c r="AS887" i="162" s="1"/>
  <c r="D887" i="162"/>
  <c r="E887" i="162"/>
  <c r="M887" i="162" s="1"/>
  <c r="I887" i="162"/>
  <c r="K887" i="162"/>
  <c r="O887" i="162"/>
  <c r="Q887" i="162"/>
  <c r="S887" i="162"/>
  <c r="AQ887" i="162"/>
  <c r="C888" i="162"/>
  <c r="D888" i="162"/>
  <c r="E888" i="162"/>
  <c r="AD888" i="162"/>
  <c r="AS888" i="162" s="1"/>
  <c r="AQ888" i="162"/>
  <c r="C889" i="162"/>
  <c r="AD889" i="162" s="1"/>
  <c r="AS889" i="162" s="1"/>
  <c r="D889" i="162"/>
  <c r="E889" i="162"/>
  <c r="K889" i="162" s="1"/>
  <c r="AQ889" i="162"/>
  <c r="C890" i="162"/>
  <c r="AD890" i="162" s="1"/>
  <c r="AS890" i="162" s="1"/>
  <c r="D890" i="162"/>
  <c r="E890" i="162"/>
  <c r="L890" i="162"/>
  <c r="N890" i="162"/>
  <c r="AQ890" i="162"/>
  <c r="C891" i="162"/>
  <c r="D891" i="162"/>
  <c r="S891" i="162" s="1"/>
  <c r="E891" i="162"/>
  <c r="K891" i="162"/>
  <c r="M891" i="162"/>
  <c r="O891" i="162"/>
  <c r="AD891" i="162"/>
  <c r="AS891" i="162" s="1"/>
  <c r="AQ891" i="162"/>
  <c r="C892" i="162"/>
  <c r="D892" i="162"/>
  <c r="E892" i="162"/>
  <c r="P892" i="162" s="1"/>
  <c r="AD892" i="162"/>
  <c r="AS892" i="162" s="1"/>
  <c r="AQ892" i="162"/>
  <c r="C893" i="162"/>
  <c r="AD893" i="162" s="1"/>
  <c r="AS893" i="162" s="1"/>
  <c r="D893" i="162"/>
  <c r="E893" i="162"/>
  <c r="S893" i="162"/>
  <c r="AQ893" i="162"/>
  <c r="C894" i="162"/>
  <c r="D894" i="162"/>
  <c r="E894" i="162"/>
  <c r="H894" i="162"/>
  <c r="AD894" i="162"/>
  <c r="AS894" i="162" s="1"/>
  <c r="AQ894" i="162"/>
  <c r="C895" i="162"/>
  <c r="AD895" i="162" s="1"/>
  <c r="AS895" i="162" s="1"/>
  <c r="D895" i="162"/>
  <c r="E895" i="162"/>
  <c r="K895" i="162"/>
  <c r="M895" i="162"/>
  <c r="S895" i="162"/>
  <c r="AQ895" i="162"/>
  <c r="C896" i="162"/>
  <c r="AD896" i="162" s="1"/>
  <c r="AS896" i="162" s="1"/>
  <c r="D896" i="162"/>
  <c r="H896" i="162" s="1"/>
  <c r="E896" i="162"/>
  <c r="L896" i="162"/>
  <c r="P896" i="162"/>
  <c r="AQ896" i="162"/>
  <c r="C897" i="162"/>
  <c r="AD897" i="162" s="1"/>
  <c r="AS897" i="162" s="1"/>
  <c r="D897" i="162"/>
  <c r="E897" i="162"/>
  <c r="O897" i="162"/>
  <c r="AQ897" i="162"/>
  <c r="C898" i="162"/>
  <c r="AD898" i="162" s="1"/>
  <c r="AS898" i="162" s="1"/>
  <c r="D898" i="162"/>
  <c r="E898" i="162"/>
  <c r="H898" i="162"/>
  <c r="N898" i="162"/>
  <c r="AQ898" i="162"/>
  <c r="C899" i="162"/>
  <c r="AD899" i="162" s="1"/>
  <c r="AS899" i="162" s="1"/>
  <c r="D899" i="162"/>
  <c r="E899" i="162"/>
  <c r="M899" i="162" s="1"/>
  <c r="I899" i="162"/>
  <c r="K899" i="162"/>
  <c r="Q899" i="162"/>
  <c r="S899" i="162"/>
  <c r="AQ899" i="162"/>
  <c r="C900" i="162"/>
  <c r="AD900" i="162" s="1"/>
  <c r="D900" i="162"/>
  <c r="E900" i="162"/>
  <c r="H900" i="162" s="1"/>
  <c r="AQ900" i="162"/>
  <c r="AS900" i="162"/>
  <c r="C901" i="162"/>
  <c r="AD901" i="162" s="1"/>
  <c r="AS901" i="162" s="1"/>
  <c r="D901" i="162"/>
  <c r="E901" i="162"/>
  <c r="S901" i="162" s="1"/>
  <c r="K901" i="162"/>
  <c r="AQ901" i="162"/>
  <c r="C902" i="162"/>
  <c r="D902" i="162"/>
  <c r="N902" i="162" s="1"/>
  <c r="E902" i="162"/>
  <c r="L902" i="162"/>
  <c r="AD902" i="162"/>
  <c r="AS902" i="162" s="1"/>
  <c r="AQ902" i="162"/>
  <c r="C903" i="162"/>
  <c r="AD903" i="162" s="1"/>
  <c r="AS903" i="162"/>
  <c r="C904" i="162"/>
  <c r="D904" i="162"/>
  <c r="E904" i="162"/>
  <c r="H904" i="162"/>
  <c r="P904" i="162"/>
  <c r="AD904" i="162"/>
  <c r="AS904" i="162" s="1"/>
  <c r="AQ904" i="162"/>
  <c r="C905" i="162"/>
  <c r="AD905" i="162" s="1"/>
  <c r="AS905" i="162" s="1"/>
  <c r="D905" i="162"/>
  <c r="O905" i="162" s="1"/>
  <c r="E905" i="162"/>
  <c r="AQ905" i="162"/>
  <c r="C906" i="162"/>
  <c r="D906" i="162"/>
  <c r="N906" i="162" s="1"/>
  <c r="E906" i="162"/>
  <c r="L906" i="162"/>
  <c r="AD906" i="162"/>
  <c r="AS906" i="162" s="1"/>
  <c r="AQ906" i="162"/>
  <c r="C907" i="162"/>
  <c r="D907" i="162"/>
  <c r="O907" i="162" s="1"/>
  <c r="E907" i="162"/>
  <c r="M907" i="162"/>
  <c r="Q907" i="162"/>
  <c r="AD907" i="162"/>
  <c r="AQ907" i="162"/>
  <c r="AS907" i="162"/>
  <c r="C908" i="162"/>
  <c r="D908" i="162"/>
  <c r="L908" i="162" s="1"/>
  <c r="E908" i="162"/>
  <c r="H908" i="162"/>
  <c r="AD908" i="162"/>
  <c r="AQ908" i="162"/>
  <c r="AS908" i="162"/>
  <c r="C909" i="162"/>
  <c r="AD909" i="162" s="1"/>
  <c r="AS909" i="162" s="1"/>
  <c r="D909" i="162"/>
  <c r="O909" i="162" s="1"/>
  <c r="E909" i="162"/>
  <c r="K909" i="162"/>
  <c r="S909" i="162"/>
  <c r="AQ909" i="162"/>
  <c r="C910" i="162"/>
  <c r="AD910" i="162" s="1"/>
  <c r="AS910" i="162" s="1"/>
  <c r="D910" i="162"/>
  <c r="E910" i="162"/>
  <c r="N910" i="162" s="1"/>
  <c r="J910" i="162"/>
  <c r="L910" i="162"/>
  <c r="R910" i="162"/>
  <c r="AQ910" i="162"/>
  <c r="C911" i="162"/>
  <c r="D911" i="162"/>
  <c r="E911" i="162"/>
  <c r="O911" i="162" s="1"/>
  <c r="K911" i="162"/>
  <c r="S911" i="162"/>
  <c r="AD911" i="162"/>
  <c r="AS911" i="162" s="1"/>
  <c r="AQ911" i="162"/>
  <c r="C912" i="162"/>
  <c r="D912" i="162"/>
  <c r="E912" i="162"/>
  <c r="AD912" i="162"/>
  <c r="AS912" i="162" s="1"/>
  <c r="AQ912" i="162"/>
  <c r="C913" i="162"/>
  <c r="AD913" i="162" s="1"/>
  <c r="AS913" i="162" s="1"/>
  <c r="D913" i="162"/>
  <c r="O913" i="162" s="1"/>
  <c r="E913" i="162"/>
  <c r="AQ913" i="162"/>
  <c r="C914" i="162"/>
  <c r="AD914" i="162" s="1"/>
  <c r="D914" i="162"/>
  <c r="E914" i="162"/>
  <c r="L914" i="162" s="1"/>
  <c r="H914" i="162"/>
  <c r="J914" i="162"/>
  <c r="N914" i="162"/>
  <c r="P914" i="162"/>
  <c r="R914" i="162"/>
  <c r="AQ914" i="162"/>
  <c r="AS914" i="162"/>
  <c r="C915" i="162"/>
  <c r="AD915" i="162" s="1"/>
  <c r="D915" i="162"/>
  <c r="E915" i="162"/>
  <c r="M915" i="162" s="1"/>
  <c r="I915" i="162"/>
  <c r="Q915" i="162"/>
  <c r="S915" i="162"/>
  <c r="AQ915" i="162"/>
  <c r="AS915" i="162"/>
  <c r="C916" i="162"/>
  <c r="AD916" i="162" s="1"/>
  <c r="AS916" i="162" s="1"/>
  <c r="D916" i="162"/>
  <c r="E916" i="162"/>
  <c r="H916" i="162"/>
  <c r="P916" i="162"/>
  <c r="AQ916" i="162"/>
  <c r="C917" i="162"/>
  <c r="AD917" i="162" s="1"/>
  <c r="AS917" i="162" s="1"/>
  <c r="D917" i="162"/>
  <c r="E917" i="162"/>
  <c r="S917" i="162" s="1"/>
  <c r="AQ917" i="162"/>
  <c r="C918" i="162"/>
  <c r="D918" i="162"/>
  <c r="N918" i="162" s="1"/>
  <c r="E918" i="162"/>
  <c r="H918" i="162"/>
  <c r="J918" i="162"/>
  <c r="L918" i="162"/>
  <c r="P918" i="162"/>
  <c r="R918" i="162"/>
  <c r="AD918" i="162"/>
  <c r="AS918" i="162" s="1"/>
  <c r="AQ918" i="162"/>
  <c r="C919" i="162"/>
  <c r="D919" i="162"/>
  <c r="O919" i="162" s="1"/>
  <c r="E919" i="162"/>
  <c r="M919" i="162"/>
  <c r="AD919" i="162"/>
  <c r="AS919" i="162" s="1"/>
  <c r="AQ919" i="162"/>
  <c r="AS922" i="162"/>
  <c r="AS923" i="162"/>
  <c r="AS924" i="162"/>
  <c r="AS925" i="162"/>
  <c r="AS928" i="162"/>
  <c r="AS929" i="162"/>
  <c r="AS930" i="162"/>
  <c r="AS931" i="162"/>
  <c r="AF935" i="162"/>
  <c r="AH935" i="162"/>
  <c r="AH1003" i="162" s="1"/>
  <c r="AL935" i="162"/>
  <c r="AL1003" i="162" s="1"/>
  <c r="AN935" i="162"/>
  <c r="AP935" i="162"/>
  <c r="AP1003" i="162" s="1"/>
  <c r="C936" i="162"/>
  <c r="E936" i="162"/>
  <c r="G936" i="162"/>
  <c r="I936" i="162"/>
  <c r="K936" i="162"/>
  <c r="M936" i="162"/>
  <c r="O936" i="162"/>
  <c r="Q936" i="162"/>
  <c r="S936" i="162"/>
  <c r="AD936" i="162"/>
  <c r="C937" i="162"/>
  <c r="AD937" i="162" s="1"/>
  <c r="C938" i="162"/>
  <c r="E938" i="162"/>
  <c r="H938" i="162"/>
  <c r="I938" i="162"/>
  <c r="J938" i="162"/>
  <c r="K938" i="162"/>
  <c r="L938" i="162"/>
  <c r="M938" i="162"/>
  <c r="N938" i="162"/>
  <c r="O938" i="162"/>
  <c r="P938" i="162"/>
  <c r="Q938" i="162"/>
  <c r="R938" i="162"/>
  <c r="S938" i="162"/>
  <c r="AD938" i="162"/>
  <c r="C939" i="162"/>
  <c r="E939" i="162"/>
  <c r="AD939" i="162"/>
  <c r="C940" i="162"/>
  <c r="AD940" i="162" s="1"/>
  <c r="E940" i="162"/>
  <c r="I940" i="162"/>
  <c r="J940" i="162"/>
  <c r="K940" i="162"/>
  <c r="M940" i="162"/>
  <c r="N940" i="162"/>
  <c r="O940" i="162"/>
  <c r="Q940" i="162"/>
  <c r="R940" i="162"/>
  <c r="S940" i="162"/>
  <c r="C941" i="162"/>
  <c r="E941" i="162"/>
  <c r="O941" i="162" s="1"/>
  <c r="AD941" i="162"/>
  <c r="C942" i="162"/>
  <c r="AD942" i="162" s="1"/>
  <c r="E942" i="162"/>
  <c r="H942" i="162"/>
  <c r="I942" i="162"/>
  <c r="J942" i="162"/>
  <c r="K942" i="162"/>
  <c r="L942" i="162"/>
  <c r="M942" i="162"/>
  <c r="N942" i="162"/>
  <c r="O942" i="162"/>
  <c r="P942" i="162"/>
  <c r="Q942" i="162"/>
  <c r="R942" i="162"/>
  <c r="S942" i="162"/>
  <c r="C943" i="162"/>
  <c r="AD943" i="162" s="1"/>
  <c r="E943" i="162"/>
  <c r="C944" i="162"/>
  <c r="AD944" i="162" s="1"/>
  <c r="E944" i="162"/>
  <c r="I944" i="162"/>
  <c r="M944" i="162"/>
  <c r="N944" i="162"/>
  <c r="R944" i="162"/>
  <c r="S944" i="162"/>
  <c r="C945" i="162"/>
  <c r="E945" i="162"/>
  <c r="O945" i="162" s="1"/>
  <c r="K945" i="162"/>
  <c r="S945" i="162"/>
  <c r="AD945" i="162"/>
  <c r="C946" i="162"/>
  <c r="E946" i="162"/>
  <c r="H946" i="162"/>
  <c r="I946" i="162"/>
  <c r="J946" i="162"/>
  <c r="K946" i="162"/>
  <c r="L946" i="162"/>
  <c r="M946" i="162"/>
  <c r="N946" i="162"/>
  <c r="O946" i="162"/>
  <c r="P946" i="162"/>
  <c r="Q946" i="162"/>
  <c r="R946" i="162"/>
  <c r="S946" i="162"/>
  <c r="AD946" i="162"/>
  <c r="C947" i="162"/>
  <c r="AD947" i="162"/>
  <c r="C948" i="162"/>
  <c r="AD948" i="162" s="1"/>
  <c r="C949" i="162"/>
  <c r="AD949" i="162" s="1"/>
  <c r="C950" i="162"/>
  <c r="E950" i="162"/>
  <c r="AD950" i="162"/>
  <c r="C951" i="162"/>
  <c r="AD951" i="162" s="1"/>
  <c r="E951" i="162"/>
  <c r="I951" i="162"/>
  <c r="J951" i="162"/>
  <c r="K951" i="162"/>
  <c r="M951" i="162"/>
  <c r="N951" i="162"/>
  <c r="O951" i="162"/>
  <c r="Q951" i="162"/>
  <c r="R951" i="162"/>
  <c r="S951" i="162"/>
  <c r="C952" i="162"/>
  <c r="E952" i="162"/>
  <c r="O952" i="162" s="1"/>
  <c r="AD952" i="162"/>
  <c r="C953" i="162"/>
  <c r="AD953" i="162" s="1"/>
  <c r="E953" i="162"/>
  <c r="H953" i="162"/>
  <c r="I953" i="162"/>
  <c r="J953" i="162"/>
  <c r="K953" i="162"/>
  <c r="L953" i="162"/>
  <c r="M953" i="162"/>
  <c r="N953" i="162"/>
  <c r="O953" i="162"/>
  <c r="P953" i="162"/>
  <c r="Q953" i="162"/>
  <c r="R953" i="162"/>
  <c r="S953" i="162"/>
  <c r="C954" i="162"/>
  <c r="AD954" i="162" s="1"/>
  <c r="E954" i="162"/>
  <c r="C955" i="162"/>
  <c r="AD955" i="162" s="1"/>
  <c r="E955" i="162"/>
  <c r="I955" i="162"/>
  <c r="M955" i="162"/>
  <c r="N955" i="162"/>
  <c r="R955" i="162"/>
  <c r="S955" i="162"/>
  <c r="C956" i="162"/>
  <c r="E956" i="162"/>
  <c r="S956" i="162" s="1"/>
  <c r="K956" i="162"/>
  <c r="O956" i="162"/>
  <c r="AD956" i="162"/>
  <c r="C957" i="162"/>
  <c r="AD957" i="162" s="1"/>
  <c r="E957" i="162"/>
  <c r="H957" i="162" s="1"/>
  <c r="K957" i="162"/>
  <c r="O957" i="162"/>
  <c r="S957" i="162"/>
  <c r="C959" i="162"/>
  <c r="E959" i="162"/>
  <c r="K959" i="162" s="1"/>
  <c r="I959" i="162"/>
  <c r="O959" i="162"/>
  <c r="Q959" i="162"/>
  <c r="AD959" i="162"/>
  <c r="C960" i="162"/>
  <c r="AD960" i="162" s="1"/>
  <c r="E960" i="162"/>
  <c r="H960" i="162" s="1"/>
  <c r="K960" i="162"/>
  <c r="O960" i="162"/>
  <c r="S960" i="162"/>
  <c r="C961" i="162"/>
  <c r="E961" i="162"/>
  <c r="I961" i="162" s="1"/>
  <c r="H961" i="162"/>
  <c r="K961" i="162"/>
  <c r="L961" i="162"/>
  <c r="O961" i="162"/>
  <c r="P961" i="162"/>
  <c r="S961" i="162"/>
  <c r="AD961" i="162"/>
  <c r="C962" i="162"/>
  <c r="E962" i="162"/>
  <c r="M962" i="162" s="1"/>
  <c r="I962" i="162"/>
  <c r="K962" i="162"/>
  <c r="O962" i="162"/>
  <c r="Q962" i="162"/>
  <c r="S962" i="162"/>
  <c r="AD962" i="162"/>
  <c r="C963" i="162"/>
  <c r="E963" i="162"/>
  <c r="I963" i="162" s="1"/>
  <c r="H963" i="162"/>
  <c r="K963" i="162"/>
  <c r="L963" i="162"/>
  <c r="O963" i="162"/>
  <c r="P963" i="162"/>
  <c r="S963" i="162"/>
  <c r="AD963" i="162"/>
  <c r="C964" i="162"/>
  <c r="E964" i="162"/>
  <c r="M964" i="162" s="1"/>
  <c r="I964" i="162"/>
  <c r="K964" i="162"/>
  <c r="O964" i="162"/>
  <c r="Q964" i="162"/>
  <c r="S964" i="162"/>
  <c r="AD964" i="162"/>
  <c r="C965" i="162"/>
  <c r="E965" i="162"/>
  <c r="I965" i="162" s="1"/>
  <c r="H965" i="162"/>
  <c r="K965" i="162"/>
  <c r="L965" i="162"/>
  <c r="O965" i="162"/>
  <c r="P965" i="162"/>
  <c r="S965" i="162"/>
  <c r="AD965" i="162"/>
  <c r="C966" i="162"/>
  <c r="E966" i="162"/>
  <c r="M966" i="162" s="1"/>
  <c r="I966" i="162"/>
  <c r="K966" i="162"/>
  <c r="O966" i="162"/>
  <c r="Q966" i="162"/>
  <c r="S966" i="162"/>
  <c r="AD966" i="162"/>
  <c r="C967" i="162"/>
  <c r="E967" i="162"/>
  <c r="I967" i="162" s="1"/>
  <c r="H967" i="162"/>
  <c r="K967" i="162"/>
  <c r="L967" i="162"/>
  <c r="O967" i="162"/>
  <c r="P967" i="162"/>
  <c r="S967" i="162"/>
  <c r="AD967" i="162"/>
  <c r="C968" i="162"/>
  <c r="E968" i="162"/>
  <c r="M968" i="162" s="1"/>
  <c r="I968" i="162"/>
  <c r="K968" i="162"/>
  <c r="O968" i="162"/>
  <c r="Q968" i="162"/>
  <c r="S968" i="162"/>
  <c r="AD968" i="162"/>
  <c r="AD983" i="162"/>
  <c r="AE983" i="162"/>
  <c r="AF983" i="162"/>
  <c r="AD984" i="162"/>
  <c r="AE984" i="162"/>
  <c r="AF984" i="162" s="1"/>
  <c r="AD985" i="162"/>
  <c r="AF985" i="162" s="1"/>
  <c r="AE985" i="162"/>
  <c r="AD986" i="162"/>
  <c r="AE986" i="162"/>
  <c r="AF986" i="162" s="1"/>
  <c r="AD987" i="162"/>
  <c r="AF987" i="162" s="1"/>
  <c r="AE987" i="162"/>
  <c r="AD988" i="162"/>
  <c r="AE988" i="162"/>
  <c r="AF988" i="162" s="1"/>
  <c r="AD989" i="162"/>
  <c r="AE989" i="162"/>
  <c r="AF989" i="162"/>
  <c r="AD990" i="162"/>
  <c r="AE990" i="162"/>
  <c r="AD991" i="162"/>
  <c r="AE991" i="162"/>
  <c r="AF991" i="162"/>
  <c r="AD992" i="162"/>
  <c r="AE992" i="162"/>
  <c r="AF992" i="162" s="1"/>
  <c r="AD993" i="162"/>
  <c r="AF993" i="162" s="1"/>
  <c r="AE993" i="162"/>
  <c r="AD994" i="162"/>
  <c r="AE994" i="162"/>
  <c r="AF994" i="162" s="1"/>
  <c r="AD995" i="162"/>
  <c r="AF995" i="162" s="1"/>
  <c r="AE995" i="162"/>
  <c r="AD996" i="162"/>
  <c r="AE996" i="162"/>
  <c r="AF996" i="162" s="1"/>
  <c r="AE1022" i="162"/>
  <c r="AF1022" i="162"/>
  <c r="AG1022" i="162"/>
  <c r="AH1022" i="162"/>
  <c r="AI1022" i="162"/>
  <c r="AJ1022" i="162"/>
  <c r="AK1022" i="162"/>
  <c r="AL1022" i="162"/>
  <c r="AM1022" i="162"/>
  <c r="AN1022" i="162"/>
  <c r="AO1022" i="162"/>
  <c r="AP1022" i="162"/>
  <c r="AE1006" i="162"/>
  <c r="AE1007" i="162"/>
  <c r="AE1008" i="162"/>
  <c r="AE1020" i="162" s="1"/>
  <c r="AE1009" i="162"/>
  <c r="AE1011" i="162"/>
  <c r="AE1012" i="162"/>
  <c r="AE1013" i="162"/>
  <c r="AE1014" i="162"/>
  <c r="AE1015" i="162"/>
  <c r="AE1016" i="162"/>
  <c r="AE1017" i="162"/>
  <c r="AE1018" i="162"/>
  <c r="AE1019" i="162"/>
  <c r="AF1006" i="162"/>
  <c r="AF1007" i="162"/>
  <c r="AF1008" i="162"/>
  <c r="AF1009" i="162"/>
  <c r="AF1011" i="162"/>
  <c r="AF1012" i="162"/>
  <c r="AF1013" i="162"/>
  <c r="AF1014" i="162"/>
  <c r="AF1015" i="162"/>
  <c r="AF1016" i="162"/>
  <c r="AF1017" i="162"/>
  <c r="AF1018" i="162"/>
  <c r="AF1019" i="162"/>
  <c r="AG1006" i="162"/>
  <c r="AG1007" i="162"/>
  <c r="AG1008" i="162"/>
  <c r="AG1020" i="162" s="1"/>
  <c r="AG1009" i="162"/>
  <c r="AG1011" i="162"/>
  <c r="AG1012" i="162"/>
  <c r="AG1013" i="162"/>
  <c r="AG1014" i="162"/>
  <c r="AG1015" i="162"/>
  <c r="AG1016" i="162"/>
  <c r="AG1017" i="162"/>
  <c r="AG1018" i="162"/>
  <c r="AG1019" i="162"/>
  <c r="AH1006" i="162"/>
  <c r="AH1007" i="162"/>
  <c r="AH1008" i="162"/>
  <c r="AH1009" i="162"/>
  <c r="AH1011" i="162"/>
  <c r="AH1012" i="162"/>
  <c r="AH1013" i="162"/>
  <c r="AH1014" i="162"/>
  <c r="AH1015" i="162"/>
  <c r="AH1016" i="162"/>
  <c r="AH1017" i="162"/>
  <c r="AH1018" i="162"/>
  <c r="AH1019" i="162"/>
  <c r="AI1006" i="162"/>
  <c r="AI1020" i="162" s="1"/>
  <c r="AI1007" i="162"/>
  <c r="AI1008" i="162"/>
  <c r="AI1009" i="162"/>
  <c r="AI1011" i="162"/>
  <c r="AI1012" i="162"/>
  <c r="AI1013" i="162"/>
  <c r="AI1014" i="162"/>
  <c r="AI1015" i="162"/>
  <c r="AI1016" i="162"/>
  <c r="AI1017" i="162"/>
  <c r="AI1018" i="162"/>
  <c r="AI1019" i="162"/>
  <c r="AJ1006" i="162"/>
  <c r="AJ1007" i="162"/>
  <c r="AJ1008" i="162"/>
  <c r="AJ1009" i="162"/>
  <c r="AJ1011" i="162"/>
  <c r="AJ1012" i="162"/>
  <c r="AJ1013" i="162"/>
  <c r="AJ1014" i="162"/>
  <c r="AJ1015" i="162"/>
  <c r="AJ1016" i="162"/>
  <c r="AJ1017" i="162"/>
  <c r="AJ1018" i="162"/>
  <c r="AJ1019" i="162"/>
  <c r="AK1006" i="162"/>
  <c r="AK1007" i="162"/>
  <c r="AK1008" i="162"/>
  <c r="AK1009" i="162"/>
  <c r="AK1011" i="162"/>
  <c r="AK1012" i="162"/>
  <c r="AK1013" i="162"/>
  <c r="AK1014" i="162"/>
  <c r="AK1015" i="162"/>
  <c r="AK1016" i="162"/>
  <c r="AK1017" i="162"/>
  <c r="AK1018" i="162"/>
  <c r="AK1019" i="162"/>
  <c r="AK1020" i="162"/>
  <c r="AL1006" i="162"/>
  <c r="AL1007" i="162"/>
  <c r="AL1008" i="162"/>
  <c r="AL1009" i="162"/>
  <c r="AL1011" i="162"/>
  <c r="AL1012" i="162"/>
  <c r="AL1013" i="162"/>
  <c r="AL1014" i="162"/>
  <c r="AL1015" i="162"/>
  <c r="AL1016" i="162"/>
  <c r="AL1017" i="162"/>
  <c r="AL1018" i="162"/>
  <c r="AL1019" i="162"/>
  <c r="AM1006" i="162"/>
  <c r="AM1007" i="162"/>
  <c r="AM1008" i="162"/>
  <c r="AM1020" i="162" s="1"/>
  <c r="AM1009" i="162"/>
  <c r="AM1011" i="162"/>
  <c r="AM1012" i="162"/>
  <c r="AM1013" i="162"/>
  <c r="AM1014" i="162"/>
  <c r="AM1015" i="162"/>
  <c r="AM1016" i="162"/>
  <c r="AM1017" i="162"/>
  <c r="AM1018" i="162"/>
  <c r="AM1019" i="162"/>
  <c r="AN1006" i="162"/>
  <c r="AN1007" i="162"/>
  <c r="AN1008" i="162"/>
  <c r="AN1009" i="162"/>
  <c r="AN1011" i="162"/>
  <c r="AN1012" i="162"/>
  <c r="AN1013" i="162"/>
  <c r="AN1014" i="162"/>
  <c r="AN1015" i="162"/>
  <c r="AN1016" i="162"/>
  <c r="AN1017" i="162"/>
  <c r="AN1018" i="162"/>
  <c r="AN1019" i="162"/>
  <c r="AO1006" i="162"/>
  <c r="AO1007" i="162"/>
  <c r="AO1008" i="162"/>
  <c r="AO1020" i="162" s="1"/>
  <c r="AO1009" i="162"/>
  <c r="AO1011" i="162"/>
  <c r="AO1012" i="162"/>
  <c r="AO1013" i="162"/>
  <c r="AO1014" i="162"/>
  <c r="AO1015" i="162"/>
  <c r="AO1016" i="162"/>
  <c r="AO1017" i="162"/>
  <c r="AO1018" i="162"/>
  <c r="AO1019" i="162"/>
  <c r="AP1006" i="162"/>
  <c r="AP1007" i="162"/>
  <c r="AP1008" i="162"/>
  <c r="AP1009" i="162"/>
  <c r="AP1011" i="162"/>
  <c r="AP1012" i="162"/>
  <c r="AP1013" i="162"/>
  <c r="AP1014" i="162"/>
  <c r="AP1015" i="162"/>
  <c r="AP1016" i="162"/>
  <c r="AP1017" i="162"/>
  <c r="AP1018" i="162"/>
  <c r="AP1019" i="162"/>
  <c r="D1003" i="162"/>
  <c r="E1003" i="162"/>
  <c r="F1003" i="162"/>
  <c r="G1003" i="162"/>
  <c r="AD1003" i="162"/>
  <c r="AE1003" i="162"/>
  <c r="AF1003" i="162"/>
  <c r="AG1003" i="162"/>
  <c r="AI1003" i="162"/>
  <c r="AK1003" i="162"/>
  <c r="AM1003" i="162"/>
  <c r="AN1003" i="162"/>
  <c r="AO1003" i="162"/>
  <c r="C1005" i="162"/>
  <c r="AD1005" i="162" s="1"/>
  <c r="C1006" i="162"/>
  <c r="D1006" i="162"/>
  <c r="E1006" i="162"/>
  <c r="F1006" i="162"/>
  <c r="H1006" i="162"/>
  <c r="I1006" i="162"/>
  <c r="J1006" i="162"/>
  <c r="K1006" i="162"/>
  <c r="L1006" i="162"/>
  <c r="M1006" i="162"/>
  <c r="N1006" i="162"/>
  <c r="O1006" i="162"/>
  <c r="P1006" i="162"/>
  <c r="Q1006" i="162"/>
  <c r="R1006" i="162"/>
  <c r="S1006" i="162"/>
  <c r="AD1006" i="162"/>
  <c r="C1007" i="162"/>
  <c r="D1007" i="162"/>
  <c r="E1007" i="162"/>
  <c r="F1007" i="162"/>
  <c r="H1007" i="162"/>
  <c r="I1007" i="162"/>
  <c r="J1007" i="162"/>
  <c r="K1007" i="162"/>
  <c r="L1007" i="162"/>
  <c r="M1007" i="162"/>
  <c r="N1007" i="162"/>
  <c r="O1007" i="162"/>
  <c r="P1007" i="162"/>
  <c r="Q1007" i="162"/>
  <c r="R1007" i="162"/>
  <c r="S1007" i="162"/>
  <c r="AD1007" i="162"/>
  <c r="C1008" i="162"/>
  <c r="D1008" i="162"/>
  <c r="E1008" i="162"/>
  <c r="F1008" i="162"/>
  <c r="H1008" i="162"/>
  <c r="I1008" i="162"/>
  <c r="J1008" i="162"/>
  <c r="K1008" i="162"/>
  <c r="L1008" i="162"/>
  <c r="M1008" i="162"/>
  <c r="N1008" i="162"/>
  <c r="O1008" i="162"/>
  <c r="P1008" i="162"/>
  <c r="Q1008" i="162"/>
  <c r="R1008" i="162"/>
  <c r="S1008" i="162"/>
  <c r="AD1008" i="162"/>
  <c r="C1009" i="162"/>
  <c r="D1009" i="162"/>
  <c r="E1009" i="162"/>
  <c r="F1009" i="162"/>
  <c r="H1009" i="162"/>
  <c r="I1009" i="162"/>
  <c r="J1009" i="162"/>
  <c r="K1009" i="162"/>
  <c r="L1009" i="162"/>
  <c r="M1009" i="162"/>
  <c r="N1009" i="162"/>
  <c r="O1009" i="162"/>
  <c r="P1009" i="162"/>
  <c r="Q1009" i="162"/>
  <c r="R1009" i="162"/>
  <c r="S1009" i="162"/>
  <c r="AD1009" i="162"/>
  <c r="C1010" i="162"/>
  <c r="AD1010" i="162" s="1"/>
  <c r="C1011" i="162"/>
  <c r="D1011" i="162"/>
  <c r="E1011" i="162"/>
  <c r="F1011" i="162"/>
  <c r="H1011" i="162"/>
  <c r="I1011" i="162"/>
  <c r="J1011" i="162"/>
  <c r="K1011" i="162"/>
  <c r="L1011" i="162"/>
  <c r="M1011" i="162"/>
  <c r="N1011" i="162"/>
  <c r="O1011" i="162"/>
  <c r="P1011" i="162"/>
  <c r="Q1011" i="162"/>
  <c r="R1011" i="162"/>
  <c r="S1011" i="162"/>
  <c r="AD1011" i="162"/>
  <c r="C1012" i="162"/>
  <c r="D1012" i="162"/>
  <c r="E1012" i="162"/>
  <c r="F1012" i="162"/>
  <c r="H1012" i="162"/>
  <c r="I1012" i="162"/>
  <c r="J1012" i="162"/>
  <c r="K1012" i="162"/>
  <c r="L1012" i="162"/>
  <c r="M1012" i="162"/>
  <c r="N1012" i="162"/>
  <c r="O1012" i="162"/>
  <c r="P1012" i="162"/>
  <c r="Q1012" i="162"/>
  <c r="R1012" i="162"/>
  <c r="S1012" i="162"/>
  <c r="AD1012" i="162"/>
  <c r="C1013" i="162"/>
  <c r="D1013" i="162"/>
  <c r="E1013" i="162"/>
  <c r="F1013" i="162"/>
  <c r="H1013" i="162"/>
  <c r="I1013" i="162"/>
  <c r="J1013" i="162"/>
  <c r="K1013" i="162"/>
  <c r="L1013" i="162"/>
  <c r="M1013" i="162"/>
  <c r="N1013" i="162"/>
  <c r="O1013" i="162"/>
  <c r="P1013" i="162"/>
  <c r="Q1013" i="162"/>
  <c r="R1013" i="162"/>
  <c r="S1013" i="162"/>
  <c r="AD1013" i="162"/>
  <c r="C1014" i="162"/>
  <c r="D1014" i="162"/>
  <c r="E1014" i="162"/>
  <c r="F1014" i="162"/>
  <c r="H1014" i="162"/>
  <c r="I1014" i="162"/>
  <c r="J1014" i="162"/>
  <c r="K1014" i="162"/>
  <c r="L1014" i="162"/>
  <c r="M1014" i="162"/>
  <c r="N1014" i="162"/>
  <c r="O1014" i="162"/>
  <c r="P1014" i="162"/>
  <c r="Q1014" i="162"/>
  <c r="R1014" i="162"/>
  <c r="S1014" i="162"/>
  <c r="AD1014" i="162"/>
  <c r="C1015" i="162"/>
  <c r="D1015" i="162"/>
  <c r="E1015" i="162"/>
  <c r="F1015" i="162"/>
  <c r="H1015" i="162"/>
  <c r="I1015" i="162"/>
  <c r="J1015" i="162"/>
  <c r="K1015" i="162"/>
  <c r="L1015" i="162"/>
  <c r="M1015" i="162"/>
  <c r="N1015" i="162"/>
  <c r="O1015" i="162"/>
  <c r="P1015" i="162"/>
  <c r="Q1015" i="162"/>
  <c r="R1015" i="162"/>
  <c r="S1015" i="162"/>
  <c r="AD1015" i="162"/>
  <c r="C1016" i="162"/>
  <c r="D1016" i="162"/>
  <c r="E1016" i="162"/>
  <c r="F1016" i="162"/>
  <c r="H1016" i="162"/>
  <c r="I1016" i="162"/>
  <c r="J1016" i="162"/>
  <c r="K1016" i="162"/>
  <c r="L1016" i="162"/>
  <c r="M1016" i="162"/>
  <c r="N1016" i="162"/>
  <c r="O1016" i="162"/>
  <c r="P1016" i="162"/>
  <c r="Q1016" i="162"/>
  <c r="R1016" i="162"/>
  <c r="S1016" i="162"/>
  <c r="AD1016" i="162"/>
  <c r="C1017" i="162"/>
  <c r="D1017" i="162"/>
  <c r="E1017" i="162"/>
  <c r="F1017" i="162"/>
  <c r="H1017" i="162"/>
  <c r="I1017" i="162"/>
  <c r="J1017" i="162"/>
  <c r="K1017" i="162"/>
  <c r="L1017" i="162"/>
  <c r="M1017" i="162"/>
  <c r="N1017" i="162"/>
  <c r="O1017" i="162"/>
  <c r="P1017" i="162"/>
  <c r="Q1017" i="162"/>
  <c r="R1017" i="162"/>
  <c r="S1017" i="162"/>
  <c r="AD1017" i="162"/>
  <c r="C1018" i="162"/>
  <c r="D1018" i="162"/>
  <c r="E1018" i="162"/>
  <c r="F1018" i="162"/>
  <c r="H1018" i="162"/>
  <c r="I1018" i="162"/>
  <c r="J1018" i="162"/>
  <c r="K1018" i="162"/>
  <c r="L1018" i="162"/>
  <c r="M1018" i="162"/>
  <c r="N1018" i="162"/>
  <c r="O1018" i="162"/>
  <c r="P1018" i="162"/>
  <c r="Q1018" i="162"/>
  <c r="R1018" i="162"/>
  <c r="S1018" i="162"/>
  <c r="AD1018" i="162"/>
  <c r="C1019" i="162"/>
  <c r="D1019" i="162"/>
  <c r="E1019" i="162"/>
  <c r="F1019" i="162"/>
  <c r="H1019" i="162"/>
  <c r="I1019" i="162"/>
  <c r="J1019" i="162"/>
  <c r="K1019" i="162"/>
  <c r="L1019" i="162"/>
  <c r="M1019" i="162"/>
  <c r="N1019" i="162"/>
  <c r="O1019" i="162"/>
  <c r="P1019" i="162"/>
  <c r="Q1019" i="162"/>
  <c r="R1019" i="162"/>
  <c r="S1019" i="162"/>
  <c r="AD1019" i="162"/>
  <c r="D105" i="162"/>
  <c r="E105" i="162"/>
  <c r="O106" i="162"/>
  <c r="Q107" i="162"/>
  <c r="Q108" i="162"/>
  <c r="Q109" i="162"/>
  <c r="O111" i="162"/>
  <c r="Q111" i="162"/>
  <c r="O112" i="162"/>
  <c r="Q112" i="162"/>
  <c r="O113" i="162"/>
  <c r="Q113" i="162"/>
  <c r="O114" i="162"/>
  <c r="Q115" i="162"/>
  <c r="Q116" i="162"/>
  <c r="Q117" i="162"/>
  <c r="O118" i="162"/>
  <c r="Q119" i="162"/>
  <c r="Q120" i="162"/>
  <c r="Q121" i="162"/>
  <c r="D142" i="162"/>
  <c r="L142" i="162"/>
  <c r="L144" i="162"/>
  <c r="I150" i="162"/>
  <c r="N150" i="162" s="1"/>
  <c r="I157" i="162"/>
  <c r="N157" i="162" s="1"/>
  <c r="I164" i="162"/>
  <c r="N164" i="162" s="1"/>
  <c r="I171" i="162"/>
  <c r="N171" i="162" s="1"/>
  <c r="I178" i="162"/>
  <c r="N178" i="162" s="1"/>
  <c r="I185" i="162"/>
  <c r="N185" i="162" s="1"/>
  <c r="F192" i="162"/>
  <c r="I192" i="162"/>
  <c r="N192" i="162" s="1"/>
  <c r="F207" i="162"/>
  <c r="T207" i="162" s="1"/>
  <c r="E15" i="162"/>
  <c r="E2" i="162" s="1"/>
  <c r="F2" i="162"/>
  <c r="P12" i="128"/>
  <c r="P11" i="128"/>
  <c r="D179" i="148"/>
  <c r="E179" i="148"/>
  <c r="F179" i="148" s="1"/>
  <c r="G179" i="148" s="1"/>
  <c r="B38" i="138"/>
  <c r="B39" i="138"/>
  <c r="E19" i="219"/>
  <c r="E21" i="219"/>
  <c r="E17" i="219"/>
  <c r="E16" i="219"/>
  <c r="J144" i="131"/>
  <c r="E13" i="131"/>
  <c r="F11" i="215"/>
  <c r="I5" i="215"/>
  <c r="I11" i="215" s="1"/>
  <c r="I23" i="215" s="1"/>
  <c r="J5" i="215"/>
  <c r="J11" i="215" s="1"/>
  <c r="J23" i="215" s="1"/>
  <c r="K5" i="215"/>
  <c r="K11" i="215" s="1"/>
  <c r="K23" i="215" s="1"/>
  <c r="L5" i="215"/>
  <c r="L11" i="215" s="1"/>
  <c r="L23" i="215" s="1"/>
  <c r="M5" i="215"/>
  <c r="M11" i="215" s="1"/>
  <c r="M23" i="215" s="1"/>
  <c r="N5" i="215"/>
  <c r="N11" i="215" s="1"/>
  <c r="N23" i="215"/>
  <c r="O5" i="215"/>
  <c r="O11" i="215" s="1"/>
  <c r="O23" i="215" s="1"/>
  <c r="P5" i="215"/>
  <c r="P11" i="215" s="1"/>
  <c r="P23" i="215"/>
  <c r="Q5" i="215"/>
  <c r="Q11" i="215" s="1"/>
  <c r="Q23" i="215" s="1"/>
  <c r="R5" i="215"/>
  <c r="R11" i="215" s="1"/>
  <c r="R23" i="215"/>
  <c r="S5" i="215"/>
  <c r="S11" i="215" s="1"/>
  <c r="S23" i="215" s="1"/>
  <c r="T5" i="215"/>
  <c r="T11" i="215" s="1"/>
  <c r="T23" i="215"/>
  <c r="U11" i="215"/>
  <c r="AB11" i="215"/>
  <c r="AC11" i="215"/>
  <c r="G280" i="105"/>
  <c r="F13" i="214"/>
  <c r="D97" i="162"/>
  <c r="D85" i="162"/>
  <c r="E18" i="162"/>
  <c r="H240" i="105"/>
  <c r="H256" i="105"/>
  <c r="E64" i="138"/>
  <c r="G373" i="105"/>
  <c r="G400" i="105" s="1"/>
  <c r="G374" i="105"/>
  <c r="G401" i="105" s="1"/>
  <c r="G375" i="105"/>
  <c r="G402" i="105" s="1"/>
  <c r="I373" i="105"/>
  <c r="K375" i="105"/>
  <c r="P225" i="133"/>
  <c r="O225" i="133"/>
  <c r="N225" i="133"/>
  <c r="M225" i="133"/>
  <c r="L225" i="133"/>
  <c r="K225" i="133"/>
  <c r="J225" i="133"/>
  <c r="I225" i="133"/>
  <c r="H225" i="133"/>
  <c r="G225" i="133"/>
  <c r="F225" i="133"/>
  <c r="E225" i="133"/>
  <c r="D240" i="133"/>
  <c r="L88" i="138"/>
  <c r="N88" i="138" s="1"/>
  <c r="M88" i="138"/>
  <c r="J110" i="138" s="1"/>
  <c r="AG80" i="138" s="1"/>
  <c r="I88" i="138"/>
  <c r="J88" i="138"/>
  <c r="AD80" i="138" s="1"/>
  <c r="K88" i="138"/>
  <c r="R124" i="138"/>
  <c r="S124" i="138"/>
  <c r="P146" i="138" s="1"/>
  <c r="AG117" i="138" s="1"/>
  <c r="T124" i="138"/>
  <c r="O124" i="138"/>
  <c r="Q124" i="138" s="1"/>
  <c r="P124" i="138"/>
  <c r="AD117" i="138" s="1"/>
  <c r="X124" i="138"/>
  <c r="Z124" i="138" s="1"/>
  <c r="Y124" i="138"/>
  <c r="V146" i="138" s="1"/>
  <c r="AG118" i="138" s="1"/>
  <c r="U124" i="138"/>
  <c r="V124" i="138"/>
  <c r="AD118" i="138" s="1"/>
  <c r="W124" i="138"/>
  <c r="C64" i="138"/>
  <c r="L89" i="138"/>
  <c r="N89" i="138" s="1"/>
  <c r="T79" i="138" s="1"/>
  <c r="M89" i="138"/>
  <c r="R125" i="138"/>
  <c r="S125" i="138"/>
  <c r="T125" i="138"/>
  <c r="T116" i="138" s="1"/>
  <c r="X125" i="138"/>
  <c r="Y125" i="138"/>
  <c r="Z125" i="138"/>
  <c r="T117" i="138" s="1"/>
  <c r="I89" i="138"/>
  <c r="K89" i="138" s="1"/>
  <c r="S79" i="138" s="1"/>
  <c r="J89" i="138"/>
  <c r="O125" i="138"/>
  <c r="Q125" i="138" s="1"/>
  <c r="S116" i="138" s="1"/>
  <c r="P125" i="138"/>
  <c r="U125" i="138"/>
  <c r="V125" i="138"/>
  <c r="W125" i="138"/>
  <c r="S117" i="138" s="1"/>
  <c r="L90" i="138"/>
  <c r="M90" i="138"/>
  <c r="N90" i="138"/>
  <c r="V79" i="138" s="1"/>
  <c r="R126" i="138"/>
  <c r="T126" i="138" s="1"/>
  <c r="V116" i="138" s="1"/>
  <c r="S126" i="138"/>
  <c r="X126" i="138"/>
  <c r="Z126" i="138" s="1"/>
  <c r="V117" i="138" s="1"/>
  <c r="Y126" i="138"/>
  <c r="I90" i="138"/>
  <c r="J90" i="138"/>
  <c r="K90" i="138"/>
  <c r="U79" i="138" s="1"/>
  <c r="O126" i="138"/>
  <c r="P126" i="138"/>
  <c r="Q126" i="138"/>
  <c r="U116" i="138" s="1"/>
  <c r="U126" i="138"/>
  <c r="W126" i="138" s="1"/>
  <c r="U117" i="138" s="1"/>
  <c r="V126" i="138"/>
  <c r="M86" i="138"/>
  <c r="N86" i="138" s="1"/>
  <c r="L91" i="138" s="1"/>
  <c r="S122" i="138"/>
  <c r="T122" i="138" s="1"/>
  <c r="R127" i="138" s="1"/>
  <c r="S127" i="138" s="1"/>
  <c r="R128" i="138" s="1"/>
  <c r="S128" i="138" s="1"/>
  <c r="R129" i="138" s="1"/>
  <c r="Y122" i="138"/>
  <c r="Z122" i="138" s="1"/>
  <c r="K86" i="138"/>
  <c r="L86" i="138" s="1"/>
  <c r="Q122" i="138"/>
  <c r="R122" i="138" s="1"/>
  <c r="O127" i="138" s="1"/>
  <c r="W122" i="138"/>
  <c r="X122" i="138" s="1"/>
  <c r="V358" i="105"/>
  <c r="P271" i="105"/>
  <c r="P274" i="105" s="1"/>
  <c r="Q271" i="105"/>
  <c r="Q274" i="105"/>
  <c r="R271" i="105"/>
  <c r="R274" i="105" s="1"/>
  <c r="G332" i="105"/>
  <c r="T348" i="105"/>
  <c r="J374" i="105"/>
  <c r="T386" i="105"/>
  <c r="T385" i="105"/>
  <c r="W377" i="105"/>
  <c r="V377" i="105"/>
  <c r="U377" i="105"/>
  <c r="BR102" i="128"/>
  <c r="BQ102" i="128"/>
  <c r="BP102" i="128"/>
  <c r="BN102" i="128"/>
  <c r="BL102" i="128"/>
  <c r="BJ102" i="128"/>
  <c r="BH102" i="128"/>
  <c r="BG102" i="128"/>
  <c r="BF102" i="128"/>
  <c r="AR102" i="128"/>
  <c r="AL109" i="132"/>
  <c r="E5" i="132" s="1"/>
  <c r="E32" i="132" s="1"/>
  <c r="AI104" i="138"/>
  <c r="AI140" i="138"/>
  <c r="AI176" i="138"/>
  <c r="AI183" i="138" s="1"/>
  <c r="D31" i="138"/>
  <c r="D230" i="133"/>
  <c r="B64" i="138"/>
  <c r="E242" i="133"/>
  <c r="P233" i="133"/>
  <c r="O233" i="133"/>
  <c r="N233" i="133"/>
  <c r="M233" i="133"/>
  <c r="L233" i="133"/>
  <c r="K233" i="133"/>
  <c r="J233" i="133"/>
  <c r="I233" i="133"/>
  <c r="H233" i="133"/>
  <c r="G233" i="133"/>
  <c r="F233" i="133"/>
  <c r="E233" i="133"/>
  <c r="V233" i="133"/>
  <c r="U233" i="133"/>
  <c r="T233" i="133"/>
  <c r="S233" i="133"/>
  <c r="R233" i="133"/>
  <c r="Q233" i="133"/>
  <c r="C213" i="133"/>
  <c r="C209" i="133"/>
  <c r="C205" i="133"/>
  <c r="C201" i="133"/>
  <c r="C197" i="133"/>
  <c r="C193" i="133"/>
  <c r="C189" i="133"/>
  <c r="C181" i="133"/>
  <c r="E2" i="133"/>
  <c r="E163" i="133" s="1"/>
  <c r="AA160" i="138"/>
  <c r="AC160" i="138" s="1"/>
  <c r="AE155" i="138" s="1"/>
  <c r="AB160" i="138"/>
  <c r="AD160" i="138"/>
  <c r="AF160" i="138" s="1"/>
  <c r="AD161" i="138"/>
  <c r="AA124" i="138"/>
  <c r="AC124" i="138" s="1"/>
  <c r="AB124" i="138"/>
  <c r="AD124" i="138"/>
  <c r="AF124" i="138" s="1"/>
  <c r="AD125" i="138"/>
  <c r="X160" i="138"/>
  <c r="Z160" i="138" s="1"/>
  <c r="Y160" i="138"/>
  <c r="X161" i="138"/>
  <c r="Y161" i="138"/>
  <c r="Z161" i="138"/>
  <c r="T153" i="138" s="1"/>
  <c r="R160" i="138"/>
  <c r="T160" i="138" s="1"/>
  <c r="S160" i="138"/>
  <c r="R161" i="138"/>
  <c r="T161" i="138" s="1"/>
  <c r="T152" i="138" s="1"/>
  <c r="S161" i="138"/>
  <c r="L160" i="138"/>
  <c r="N160" i="138" s="1"/>
  <c r="M160" i="138"/>
  <c r="L161" i="138"/>
  <c r="N161" i="138" s="1"/>
  <c r="T151" i="138" s="1"/>
  <c r="M161" i="138"/>
  <c r="L124" i="138"/>
  <c r="N124" i="138" s="1"/>
  <c r="M124" i="138"/>
  <c r="J146" i="138" s="1"/>
  <c r="AG116" i="138" s="1"/>
  <c r="L125" i="138"/>
  <c r="M125" i="138"/>
  <c r="N125" i="138"/>
  <c r="T115" i="138" s="1"/>
  <c r="AA88" i="138"/>
  <c r="AC88" i="138" s="1"/>
  <c r="AB88" i="138"/>
  <c r="AD88" i="138"/>
  <c r="AF88" i="138" s="1"/>
  <c r="AD89" i="138"/>
  <c r="AE89" i="138" s="1"/>
  <c r="X88" i="138"/>
  <c r="Z88" i="138" s="1"/>
  <c r="Y88" i="138"/>
  <c r="V110" i="138" s="1"/>
  <c r="X89" i="138"/>
  <c r="Y89" i="138"/>
  <c r="Z89" i="138"/>
  <c r="T81" i="138" s="1"/>
  <c r="R88" i="138"/>
  <c r="T88" i="138" s="1"/>
  <c r="S88" i="138"/>
  <c r="R89" i="138"/>
  <c r="T89" i="138" s="1"/>
  <c r="T80" i="138" s="1"/>
  <c r="S89" i="138"/>
  <c r="I140" i="148"/>
  <c r="E142" i="107"/>
  <c r="F142" i="107"/>
  <c r="G142" i="107"/>
  <c r="O88" i="138"/>
  <c r="Q88" i="138" s="1"/>
  <c r="P88" i="138"/>
  <c r="AD81" i="138" s="1"/>
  <c r="P110" i="138"/>
  <c r="AG81" i="138" s="1"/>
  <c r="U88" i="138"/>
  <c r="W88" i="138" s="1"/>
  <c r="AE82" i="138" s="1"/>
  <c r="V88" i="138"/>
  <c r="AD82" i="138" s="1"/>
  <c r="AG82" i="138"/>
  <c r="R90" i="138"/>
  <c r="T90" i="138" s="1"/>
  <c r="V80" i="138" s="1"/>
  <c r="S90" i="138"/>
  <c r="X90" i="138"/>
  <c r="Z90" i="138" s="1"/>
  <c r="V81" i="138" s="1"/>
  <c r="Y90" i="138"/>
  <c r="S86" i="138"/>
  <c r="T86" i="138" s="1"/>
  <c r="Y86" i="138"/>
  <c r="Z86" i="138" s="1"/>
  <c r="X91" i="138"/>
  <c r="Z91" i="138" s="1"/>
  <c r="X81" i="138" s="1"/>
  <c r="O89" i="138"/>
  <c r="Q89" i="138" s="1"/>
  <c r="S80" i="138" s="1"/>
  <c r="P89" i="138"/>
  <c r="U89" i="138"/>
  <c r="W89" i="138" s="1"/>
  <c r="S81" i="138" s="1"/>
  <c r="V89" i="138"/>
  <c r="O90" i="138"/>
  <c r="Q90" i="138" s="1"/>
  <c r="U80" i="138" s="1"/>
  <c r="P90" i="138"/>
  <c r="U90" i="138"/>
  <c r="W90" i="138" s="1"/>
  <c r="U81" i="138" s="1"/>
  <c r="V90" i="138"/>
  <c r="Q86" i="138"/>
  <c r="R86" i="138" s="1"/>
  <c r="W86" i="138"/>
  <c r="X86" i="138" s="1"/>
  <c r="U91" i="138"/>
  <c r="W91" i="138" s="1"/>
  <c r="W81" i="138" s="1"/>
  <c r="E36" i="162"/>
  <c r="F64" i="162"/>
  <c r="F83" i="162" s="1"/>
  <c r="E92" i="162"/>
  <c r="E93" i="162"/>
  <c r="E94" i="162"/>
  <c r="AE158" i="138"/>
  <c r="AF158" i="138" s="1"/>
  <c r="AC158" i="138"/>
  <c r="AD158" i="138" s="1"/>
  <c r="Y158" i="138"/>
  <c r="Z158" i="138" s="1"/>
  <c r="S158" i="138"/>
  <c r="T158" i="138" s="1"/>
  <c r="M158" i="138"/>
  <c r="N158" i="138" s="1"/>
  <c r="AC122" i="138"/>
  <c r="AD122" i="138" s="1"/>
  <c r="M122" i="138"/>
  <c r="N122" i="138" s="1"/>
  <c r="K122" i="138"/>
  <c r="L122" i="138" s="1"/>
  <c r="AA315" i="138"/>
  <c r="AC315" i="138" s="1"/>
  <c r="AD315" i="138"/>
  <c r="AF315" i="138" s="1"/>
  <c r="AE313" i="138"/>
  <c r="AF313" i="138" s="1"/>
  <c r="U315" i="138"/>
  <c r="W315" i="138" s="1"/>
  <c r="W313" i="138"/>
  <c r="X313" i="138" s="1"/>
  <c r="X315" i="138"/>
  <c r="Z315" i="138" s="1"/>
  <c r="Y313" i="138"/>
  <c r="Z313" i="138" s="1"/>
  <c r="O315" i="138"/>
  <c r="Q315" i="138" s="1"/>
  <c r="Q313" i="138"/>
  <c r="R313" i="138" s="1"/>
  <c r="R315" i="138"/>
  <c r="T315" i="138" s="1"/>
  <c r="S313" i="138"/>
  <c r="T313" i="138" s="1"/>
  <c r="AA284" i="138"/>
  <c r="AB284" i="138" s="1"/>
  <c r="AA286" i="138"/>
  <c r="AC286" i="138" s="1"/>
  <c r="AC284" i="138"/>
  <c r="AD284" i="138" s="1"/>
  <c r="AD286" i="138"/>
  <c r="AF286" i="138" s="1"/>
  <c r="AE284" i="138"/>
  <c r="AF284" i="138"/>
  <c r="U284" i="138"/>
  <c r="V284" i="138" s="1"/>
  <c r="U286" i="138"/>
  <c r="W286" i="138" s="1"/>
  <c r="W284" i="138"/>
  <c r="X284" i="138" s="1"/>
  <c r="X286" i="138"/>
  <c r="Z286" i="138" s="1"/>
  <c r="Y284" i="138"/>
  <c r="Z284" i="138" s="1"/>
  <c r="AD119" i="138"/>
  <c r="AA125" i="138"/>
  <c r="AB125" i="138"/>
  <c r="AC125" i="138"/>
  <c r="S118" i="138" s="1"/>
  <c r="AD126" i="138"/>
  <c r="AE126" i="138" s="1"/>
  <c r="AA126" i="138"/>
  <c r="P160" i="138"/>
  <c r="AD153" i="138" s="1"/>
  <c r="O161" i="138"/>
  <c r="P161" i="138"/>
  <c r="O162" i="138"/>
  <c r="P162" i="138"/>
  <c r="AA161" i="138"/>
  <c r="AC161" i="138" s="1"/>
  <c r="S154" i="138" s="1"/>
  <c r="AB161" i="138"/>
  <c r="U160" i="138"/>
  <c r="W160" i="138" s="1"/>
  <c r="V160" i="138"/>
  <c r="AD154" i="138" s="1"/>
  <c r="U161" i="138"/>
  <c r="V161" i="138"/>
  <c r="W161" i="138"/>
  <c r="Q161" i="138"/>
  <c r="S152" i="138" s="1"/>
  <c r="J160" i="138"/>
  <c r="AD152" i="138" s="1"/>
  <c r="I161" i="138"/>
  <c r="J161" i="138"/>
  <c r="K161" i="138"/>
  <c r="S151" i="138" s="1"/>
  <c r="O160" i="138"/>
  <c r="Q160" i="138" s="1"/>
  <c r="I160" i="138"/>
  <c r="K160" i="138" s="1"/>
  <c r="J124" i="138"/>
  <c r="I125" i="138"/>
  <c r="K125" i="138" s="1"/>
  <c r="S115" i="138" s="1"/>
  <c r="J125" i="138"/>
  <c r="I124" i="138"/>
  <c r="K124" i="138" s="1"/>
  <c r="AE116" i="138" s="1"/>
  <c r="AA89" i="138"/>
  <c r="AC89" i="138" s="1"/>
  <c r="S82" i="138" s="1"/>
  <c r="AB89" i="138"/>
  <c r="AE86" i="138"/>
  <c r="AF86" i="138" s="1"/>
  <c r="AC86" i="138"/>
  <c r="AB96" i="148"/>
  <c r="AD96" i="148"/>
  <c r="AE96" i="148"/>
  <c r="AG96" i="148"/>
  <c r="AH96" i="148"/>
  <c r="AJ96" i="148"/>
  <c r="AM96" i="148"/>
  <c r="AK96" i="148"/>
  <c r="Q80" i="148"/>
  <c r="B97" i="133"/>
  <c r="B98" i="133"/>
  <c r="Q82" i="148" s="1"/>
  <c r="B100" i="133"/>
  <c r="Q84" i="148" s="1"/>
  <c r="B101" i="133"/>
  <c r="Q85" i="148"/>
  <c r="B102" i="133"/>
  <c r="Q86" i="148" s="1"/>
  <c r="Q88" i="148"/>
  <c r="Q91" i="148"/>
  <c r="Q92" i="148"/>
  <c r="Q94" i="148"/>
  <c r="B114" i="133"/>
  <c r="B115" i="133"/>
  <c r="B116" i="133"/>
  <c r="Q101" i="148" s="1"/>
  <c r="C40" i="128"/>
  <c r="C41" i="128"/>
  <c r="C42" i="128"/>
  <c r="D7" i="148"/>
  <c r="H60" i="128"/>
  <c r="H66" i="128"/>
  <c r="H72" i="128"/>
  <c r="H102" i="128" s="1"/>
  <c r="H78" i="128"/>
  <c r="H84" i="128"/>
  <c r="H90" i="128"/>
  <c r="H96" i="128"/>
  <c r="F220" i="105"/>
  <c r="N218" i="105" s="1"/>
  <c r="E105" i="105"/>
  <c r="E98" i="105"/>
  <c r="E99" i="105"/>
  <c r="E100" i="105"/>
  <c r="AI297" i="138"/>
  <c r="AI143" i="138"/>
  <c r="I126" i="138"/>
  <c r="J126" i="138"/>
  <c r="K126" i="138"/>
  <c r="U115" i="138" s="1"/>
  <c r="S153" i="138"/>
  <c r="U162" i="138"/>
  <c r="V162" i="138"/>
  <c r="W162" i="138"/>
  <c r="U153" i="138"/>
  <c r="L126" i="138"/>
  <c r="M126" i="138"/>
  <c r="L127" i="138" s="1"/>
  <c r="X162" i="138"/>
  <c r="Z162" i="138" s="1"/>
  <c r="V153" i="138" s="1"/>
  <c r="Y162" i="138"/>
  <c r="X163" i="138" s="1"/>
  <c r="AD116" i="138"/>
  <c r="V182" i="138"/>
  <c r="AG154" i="138" s="1"/>
  <c r="N126" i="138"/>
  <c r="V115" i="138" s="1"/>
  <c r="AL298" i="138"/>
  <c r="AK298" i="138"/>
  <c r="C24" i="132"/>
  <c r="C25" i="132"/>
  <c r="C26" i="132"/>
  <c r="C27" i="132"/>
  <c r="C29" i="132"/>
  <c r="C30" i="132"/>
  <c r="E21" i="132"/>
  <c r="F21" i="132"/>
  <c r="G21" i="132"/>
  <c r="H21" i="132"/>
  <c r="U47" i="132"/>
  <c r="BL47" i="132" s="1"/>
  <c r="AL48" i="132"/>
  <c r="AL55" i="132"/>
  <c r="AI56" i="132"/>
  <c r="AI64" i="132"/>
  <c r="AL64" i="132"/>
  <c r="AI78" i="132"/>
  <c r="AL78" i="132"/>
  <c r="AI87" i="132"/>
  <c r="AI92" i="132"/>
  <c r="AL92" i="132"/>
  <c r="Q45" i="132"/>
  <c r="AI109" i="132" s="1"/>
  <c r="U109" i="132" s="1"/>
  <c r="W110" i="132"/>
  <c r="X110" i="132"/>
  <c r="Y110" i="132"/>
  <c r="Z110" i="132"/>
  <c r="AA110" i="132"/>
  <c r="AB110" i="132"/>
  <c r="AC110" i="132"/>
  <c r="AD110" i="132"/>
  <c r="AE110" i="132"/>
  <c r="AF110" i="132"/>
  <c r="AG110" i="132"/>
  <c r="AH110" i="132"/>
  <c r="K154" i="132"/>
  <c r="M154" i="132"/>
  <c r="V367" i="132"/>
  <c r="X367" i="132"/>
  <c r="Z367" i="132"/>
  <c r="AB367" i="132"/>
  <c r="AD367" i="132"/>
  <c r="AF367" i="132"/>
  <c r="AH367" i="132"/>
  <c r="AJ367" i="132"/>
  <c r="AL367" i="132"/>
  <c r="AN367" i="132"/>
  <c r="C175" i="148"/>
  <c r="C181" i="148" s="1"/>
  <c r="C176" i="148"/>
  <c r="C182" i="148" s="1"/>
  <c r="C177" i="148"/>
  <c r="C183" i="148" s="1"/>
  <c r="D36" i="138"/>
  <c r="C47" i="138"/>
  <c r="C46" i="138"/>
  <c r="AI294" i="138"/>
  <c r="AI293" i="138"/>
  <c r="AJ293" i="138" s="1"/>
  <c r="AK293" i="138" s="1"/>
  <c r="AL293" i="138" s="1"/>
  <c r="AM293" i="138" s="1"/>
  <c r="AN293" i="138" s="1"/>
  <c r="AO293" i="138" s="1"/>
  <c r="AP293" i="138" s="1"/>
  <c r="AQ293" i="138" s="1"/>
  <c r="AR293" i="138" s="1"/>
  <c r="AS293" i="138" s="1"/>
  <c r="AT293" i="138" s="1"/>
  <c r="P136" i="131"/>
  <c r="S142" i="131"/>
  <c r="S136" i="131" s="1"/>
  <c r="S137" i="131" s="1"/>
  <c r="S138" i="131"/>
  <c r="S139" i="131" s="1"/>
  <c r="G147" i="131"/>
  <c r="P182" i="138"/>
  <c r="AG153" i="138" s="1"/>
  <c r="E120" i="105"/>
  <c r="E121" i="105"/>
  <c r="E122" i="105"/>
  <c r="E133" i="105"/>
  <c r="F135" i="105"/>
  <c r="F146" i="105"/>
  <c r="E154" i="105"/>
  <c r="F156" i="105"/>
  <c r="F168" i="105"/>
  <c r="F172" i="105"/>
  <c r="F176" i="105"/>
  <c r="F180" i="105"/>
  <c r="F188" i="105"/>
  <c r="F192" i="105"/>
  <c r="G204" i="105"/>
  <c r="Q103" i="133"/>
  <c r="Q104" i="133"/>
  <c r="Q105" i="133"/>
  <c r="Q107" i="133"/>
  <c r="Q109" i="133"/>
  <c r="Q111" i="133"/>
  <c r="Q112" i="133"/>
  <c r="Q113" i="133"/>
  <c r="R96" i="133"/>
  <c r="R97" i="133"/>
  <c r="R98" i="133"/>
  <c r="R100" i="133"/>
  <c r="R101" i="133"/>
  <c r="R102" i="133"/>
  <c r="R103" i="133"/>
  <c r="R104" i="133"/>
  <c r="R105" i="133"/>
  <c r="R107" i="133"/>
  <c r="R108" i="133"/>
  <c r="R109" i="133"/>
  <c r="R110" i="133"/>
  <c r="R111" i="133"/>
  <c r="R112" i="133"/>
  <c r="R113" i="133"/>
  <c r="S96" i="133"/>
  <c r="S97" i="133"/>
  <c r="S98" i="133"/>
  <c r="S99" i="133"/>
  <c r="S100" i="133"/>
  <c r="S101" i="133"/>
  <c r="S102" i="133"/>
  <c r="S103" i="133"/>
  <c r="S104" i="133"/>
  <c r="S105" i="133"/>
  <c r="S106" i="133"/>
  <c r="S107" i="133"/>
  <c r="S108" i="133"/>
  <c r="S109" i="133"/>
  <c r="S110" i="133"/>
  <c r="S111" i="133"/>
  <c r="S112" i="133"/>
  <c r="S113" i="133"/>
  <c r="T96" i="133"/>
  <c r="T97" i="133"/>
  <c r="T98" i="133"/>
  <c r="T99" i="133"/>
  <c r="T100" i="133"/>
  <c r="T101" i="133"/>
  <c r="T102" i="133"/>
  <c r="T103" i="133"/>
  <c r="T104" i="133"/>
  <c r="T105" i="133"/>
  <c r="T106" i="133"/>
  <c r="T107" i="133"/>
  <c r="T108" i="133"/>
  <c r="T109" i="133"/>
  <c r="T110" i="133"/>
  <c r="T111" i="133"/>
  <c r="T112" i="133"/>
  <c r="T113" i="133"/>
  <c r="U96" i="133"/>
  <c r="U97" i="133"/>
  <c r="U98" i="133"/>
  <c r="U99" i="133"/>
  <c r="U100" i="133"/>
  <c r="U101" i="133"/>
  <c r="U102" i="133"/>
  <c r="U103" i="133"/>
  <c r="U104" i="133"/>
  <c r="U105" i="133"/>
  <c r="U106" i="133"/>
  <c r="U107" i="133"/>
  <c r="U108" i="133"/>
  <c r="U109" i="133"/>
  <c r="U110" i="133"/>
  <c r="U111" i="133"/>
  <c r="U112" i="133"/>
  <c r="U113" i="133"/>
  <c r="V96" i="133"/>
  <c r="V97" i="133"/>
  <c r="V98" i="133"/>
  <c r="V99" i="133"/>
  <c r="V100" i="133"/>
  <c r="V101" i="133"/>
  <c r="V102" i="133"/>
  <c r="V103" i="133"/>
  <c r="V104" i="133"/>
  <c r="V105" i="133"/>
  <c r="V106" i="133"/>
  <c r="V107" i="133"/>
  <c r="V108" i="133"/>
  <c r="V109" i="133"/>
  <c r="V110" i="133"/>
  <c r="V111" i="133"/>
  <c r="V112" i="133"/>
  <c r="V113" i="133"/>
  <c r="E225" i="105"/>
  <c r="J225" i="105"/>
  <c r="E227" i="105"/>
  <c r="J227" i="105"/>
  <c r="E228" i="105"/>
  <c r="J228"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F263" i="105"/>
  <c r="S263" i="105" s="1"/>
  <c r="G268" i="105"/>
  <c r="E281" i="105"/>
  <c r="E285" i="105"/>
  <c r="E289" i="105"/>
  <c r="E293" i="105"/>
  <c r="E305" i="105"/>
  <c r="G327" i="105"/>
  <c r="G333" i="105"/>
  <c r="R162" i="138"/>
  <c r="T162" i="138" s="1"/>
  <c r="V152" i="138" s="1"/>
  <c r="S162" i="138"/>
  <c r="R163" i="138" s="1"/>
  <c r="Q162" i="138"/>
  <c r="U152" i="138" s="1"/>
  <c r="H53" i="148"/>
  <c r="H62" i="148"/>
  <c r="G53" i="148"/>
  <c r="G62" i="148"/>
  <c r="F53" i="148"/>
  <c r="F58" i="148"/>
  <c r="F62" i="148"/>
  <c r="E58" i="148"/>
  <c r="AK162" i="138"/>
  <c r="AN162" i="138"/>
  <c r="AO162" i="138"/>
  <c r="AP162" i="138"/>
  <c r="AQ162" i="138"/>
  <c r="AR162" i="138"/>
  <c r="AT126" i="138"/>
  <c r="AO317" i="138"/>
  <c r="AQ317" i="138"/>
  <c r="AI298" i="138"/>
  <c r="AI323" i="138"/>
  <c r="AI147" i="138"/>
  <c r="AI301" i="138"/>
  <c r="AM26" i="138"/>
  <c r="AL26" i="138"/>
  <c r="AK26" i="138"/>
  <c r="AJ26" i="138"/>
  <c r="AE24" i="138"/>
  <c r="AM18" i="138"/>
  <c r="AL18" i="138"/>
  <c r="AK18" i="138"/>
  <c r="AJ18" i="138"/>
  <c r="AE6" i="138"/>
  <c r="AF16" i="138"/>
  <c r="AG16" i="138" s="1"/>
  <c r="AH16" i="138" s="1"/>
  <c r="AI16" i="138" s="1"/>
  <c r="AJ16" i="138" s="1"/>
  <c r="AK16" i="138" s="1"/>
  <c r="AL16" i="138" s="1"/>
  <c r="AM16" i="138" s="1"/>
  <c r="AE12" i="138"/>
  <c r="AM7" i="138"/>
  <c r="AL7" i="138"/>
  <c r="AK7" i="138"/>
  <c r="AJ7" i="138"/>
  <c r="AF5" i="138"/>
  <c r="AG5" i="138"/>
  <c r="AH5" i="138" s="1"/>
  <c r="AI5" i="138" s="1"/>
  <c r="AJ5" i="138" s="1"/>
  <c r="AK5" i="138" s="1"/>
  <c r="AL5" i="138" s="1"/>
  <c r="AM5" i="138" s="1"/>
  <c r="AI322" i="138"/>
  <c r="AJ322" i="138" s="1"/>
  <c r="AK322" i="138" s="1"/>
  <c r="AL322" i="138" s="1"/>
  <c r="AM322" i="138" s="1"/>
  <c r="AN322" i="138" s="1"/>
  <c r="AO322" i="138" s="1"/>
  <c r="AP322" i="138" s="1"/>
  <c r="AQ322" i="138" s="1"/>
  <c r="AR322" i="138" s="1"/>
  <c r="AS322" i="138" s="1"/>
  <c r="AT322" i="138" s="1"/>
  <c r="AJ321" i="138"/>
  <c r="AK321" i="138"/>
  <c r="AL321" i="138" s="1"/>
  <c r="AM321" i="138" s="1"/>
  <c r="AN321" i="138" s="1"/>
  <c r="AO321" i="138" s="1"/>
  <c r="AP321" i="138" s="1"/>
  <c r="AQ321" i="138" s="1"/>
  <c r="AR321" i="138" s="1"/>
  <c r="AS321" i="138" s="1"/>
  <c r="AT321" i="138" s="1"/>
  <c r="AJ292" i="138"/>
  <c r="AK292" i="138" s="1"/>
  <c r="AL292" i="138" s="1"/>
  <c r="AM292" i="138" s="1"/>
  <c r="AN292" i="138" s="1"/>
  <c r="AO292" i="138" s="1"/>
  <c r="AP292" i="138" s="1"/>
  <c r="AQ292" i="138" s="1"/>
  <c r="AR292" i="138" s="1"/>
  <c r="AS292" i="138" s="1"/>
  <c r="AT292" i="138" s="1"/>
  <c r="AI103" i="138"/>
  <c r="AJ103" i="138" s="1"/>
  <c r="AK103" i="138" s="1"/>
  <c r="AL103" i="138" s="1"/>
  <c r="AM103" i="138" s="1"/>
  <c r="AN103" i="138" s="1"/>
  <c r="AO103" i="138" s="1"/>
  <c r="AP103" i="138" s="1"/>
  <c r="AQ103" i="138" s="1"/>
  <c r="AR103" i="138" s="1"/>
  <c r="AS103" i="138" s="1"/>
  <c r="AT103" i="138" s="1"/>
  <c r="AJ102" i="138"/>
  <c r="AK102" i="138" s="1"/>
  <c r="AL102" i="138" s="1"/>
  <c r="AM102" i="138" s="1"/>
  <c r="AN102" i="138" s="1"/>
  <c r="AO102" i="138" s="1"/>
  <c r="AP102" i="138" s="1"/>
  <c r="AQ102" i="138" s="1"/>
  <c r="AR102" i="138" s="1"/>
  <c r="AS102" i="138" s="1"/>
  <c r="AT102" i="138" s="1"/>
  <c r="AI139" i="138"/>
  <c r="AJ139" i="138" s="1"/>
  <c r="AK139" i="138" s="1"/>
  <c r="AL139" i="138" s="1"/>
  <c r="AM139" i="138" s="1"/>
  <c r="AN139" i="138" s="1"/>
  <c r="AO139" i="138" s="1"/>
  <c r="AP139" i="138" s="1"/>
  <c r="AQ139" i="138" s="1"/>
  <c r="AR139" i="138" s="1"/>
  <c r="AS139" i="138" s="1"/>
  <c r="AT139" i="138" s="1"/>
  <c r="AJ138" i="138"/>
  <c r="AK138" i="138" s="1"/>
  <c r="AL138" i="138"/>
  <c r="AM138" i="138" s="1"/>
  <c r="AN138" i="138" s="1"/>
  <c r="AO138" i="138" s="1"/>
  <c r="AP138" i="138" s="1"/>
  <c r="AQ138" i="138" s="1"/>
  <c r="AR138" i="138" s="1"/>
  <c r="AS138" i="138" s="1"/>
  <c r="AT138" i="138" s="1"/>
  <c r="AI175" i="138"/>
  <c r="AJ175" i="138" s="1"/>
  <c r="AK175" i="138" s="1"/>
  <c r="AL175" i="138" s="1"/>
  <c r="AM175" i="138" s="1"/>
  <c r="AN175" i="138" s="1"/>
  <c r="AO175" i="138" s="1"/>
  <c r="AP175" i="138" s="1"/>
  <c r="AQ175" i="138" s="1"/>
  <c r="AR175" i="138" s="1"/>
  <c r="AS175" i="138" s="1"/>
  <c r="AT175" i="138" s="1"/>
  <c r="AJ174" i="138"/>
  <c r="AK174" i="138"/>
  <c r="AL174" i="138" s="1"/>
  <c r="AM174" i="138"/>
  <c r="AN174" i="138" s="1"/>
  <c r="AO174" i="138" s="1"/>
  <c r="AP174" i="138" s="1"/>
  <c r="AQ174" i="138" s="1"/>
  <c r="AR174" i="138" s="1"/>
  <c r="AS174" i="138" s="1"/>
  <c r="AT174" i="138" s="1"/>
  <c r="I162" i="138"/>
  <c r="J162" i="138"/>
  <c r="K162" i="138"/>
  <c r="U151" i="138" s="1"/>
  <c r="B150" i="138"/>
  <c r="B114" i="138"/>
  <c r="B78" i="138"/>
  <c r="AD162" i="138"/>
  <c r="AE162" i="138" s="1"/>
  <c r="AD163" i="138" s="1"/>
  <c r="AD90" i="138"/>
  <c r="AE90" i="138" s="1"/>
  <c r="AD91" i="138" s="1"/>
  <c r="AA90" i="138"/>
  <c r="AB90" i="138" s="1"/>
  <c r="AA162" i="138"/>
  <c r="AB162" i="138" s="1"/>
  <c r="AA163" i="138" s="1"/>
  <c r="L162" i="138"/>
  <c r="N162" i="138" s="1"/>
  <c r="V151" i="138" s="1"/>
  <c r="M162" i="138"/>
  <c r="AD83" i="138"/>
  <c r="AD155" i="138"/>
  <c r="AD86" i="138"/>
  <c r="S76" i="138"/>
  <c r="U76" i="138"/>
  <c r="W76" i="138" s="1"/>
  <c r="Y76" i="138" s="1"/>
  <c r="S112" i="138"/>
  <c r="U112" i="138"/>
  <c r="W112" i="138" s="1"/>
  <c r="Y112" i="138" s="1"/>
  <c r="S148" i="138"/>
  <c r="U148" i="138" s="1"/>
  <c r="W148" i="138" s="1"/>
  <c r="Y148" i="138" s="1"/>
  <c r="S303" i="138"/>
  <c r="U303" i="138" s="1"/>
  <c r="W303" i="138"/>
  <c r="Y303" i="138" s="1"/>
  <c r="S274" i="138"/>
  <c r="U274" i="138" s="1"/>
  <c r="W274" i="138" s="1"/>
  <c r="Y274" i="138" s="1"/>
  <c r="BA268" i="138"/>
  <c r="E283" i="138" s="1"/>
  <c r="E312" i="138"/>
  <c r="K312" i="138"/>
  <c r="K283" i="138"/>
  <c r="BA269" i="138"/>
  <c r="BA270" i="138"/>
  <c r="BA271" i="138"/>
  <c r="AI312" i="138"/>
  <c r="AI283" i="138"/>
  <c r="B306" i="138"/>
  <c r="B277" i="138"/>
  <c r="B316" i="138"/>
  <c r="B317" i="138" s="1"/>
  <c r="J306" i="138"/>
  <c r="B287" i="138"/>
  <c r="B288" i="138" s="1"/>
  <c r="I282" i="138"/>
  <c r="J277" i="138"/>
  <c r="I113" i="138"/>
  <c r="I149" i="138" s="1"/>
  <c r="H113" i="138"/>
  <c r="H149" i="138" s="1"/>
  <c r="H275" i="138"/>
  <c r="G77" i="138"/>
  <c r="G113" i="138" s="1"/>
  <c r="G149" i="138" s="1"/>
  <c r="G275" i="138"/>
  <c r="F77" i="138"/>
  <c r="F113" i="138" s="1"/>
  <c r="F149" i="138" s="1"/>
  <c r="F275" i="138"/>
  <c r="E77" i="138"/>
  <c r="E113" i="138"/>
  <c r="E149" i="138" s="1"/>
  <c r="E275" i="138"/>
  <c r="D77" i="138"/>
  <c r="D113" i="138" s="1"/>
  <c r="D149" i="138" s="1"/>
  <c r="D275" i="138"/>
  <c r="C77" i="138"/>
  <c r="C113" i="138" s="1"/>
  <c r="C149" i="138" s="1"/>
  <c r="C275" i="138"/>
  <c r="B113" i="138"/>
  <c r="B149" i="138" s="1"/>
  <c r="B275" i="138"/>
  <c r="J182" i="138"/>
  <c r="AG152" i="138" s="1"/>
  <c r="B161" i="138"/>
  <c r="B162" i="138"/>
  <c r="B163" i="138" s="1"/>
  <c r="B164" i="138" s="1"/>
  <c r="B165" i="138" s="1"/>
  <c r="B166" i="138" s="1"/>
  <c r="B167" i="138" s="1"/>
  <c r="B168" i="138" s="1"/>
  <c r="B169" i="138" s="1"/>
  <c r="B170" i="138" s="1"/>
  <c r="B171" i="138" s="1"/>
  <c r="B172" i="138" s="1"/>
  <c r="B173" i="138" s="1"/>
  <c r="B174" i="138" s="1"/>
  <c r="B175" i="138" s="1"/>
  <c r="B176" i="138" s="1"/>
  <c r="B177" i="138" s="1"/>
  <c r="B178" i="138" s="1"/>
  <c r="B179" i="138" s="1"/>
  <c r="AE153" i="138"/>
  <c r="AC151" i="138"/>
  <c r="B125" i="138"/>
  <c r="B126" i="138"/>
  <c r="B127" i="138" s="1"/>
  <c r="B128" i="138" s="1"/>
  <c r="B129" i="138" s="1"/>
  <c r="B130" i="138" s="1"/>
  <c r="B131" i="138" s="1"/>
  <c r="B132" i="138" s="1"/>
  <c r="B133" i="138" s="1"/>
  <c r="B134" i="138" s="1"/>
  <c r="B135" i="138" s="1"/>
  <c r="B136" i="138" s="1"/>
  <c r="B137" i="138" s="1"/>
  <c r="B138" i="138" s="1"/>
  <c r="B139" i="138" s="1"/>
  <c r="B140" i="138" s="1"/>
  <c r="B141" i="138" s="1"/>
  <c r="B142" i="138" s="1"/>
  <c r="B143" i="138" s="1"/>
  <c r="AE115" i="138"/>
  <c r="AC115" i="138"/>
  <c r="AC79" i="138"/>
  <c r="B89" i="138"/>
  <c r="B90" i="138" s="1"/>
  <c r="B91" i="138"/>
  <c r="B92" i="138" s="1"/>
  <c r="B93" i="138" s="1"/>
  <c r="B94" i="138" s="1"/>
  <c r="B95" i="138" s="1"/>
  <c r="B96" i="138" s="1"/>
  <c r="B97" i="138" s="1"/>
  <c r="B98" i="138" s="1"/>
  <c r="B99" i="138" s="1"/>
  <c r="B100" i="138" s="1"/>
  <c r="B101" i="138" s="1"/>
  <c r="B102" i="138" s="1"/>
  <c r="B103" i="138" s="1"/>
  <c r="B104" i="138" s="1"/>
  <c r="B105" i="138" s="1"/>
  <c r="B106" i="138" s="1"/>
  <c r="B107" i="138" s="1"/>
  <c r="R59" i="128"/>
  <c r="D5" i="128" s="1"/>
  <c r="S59" i="128"/>
  <c r="T59" i="128"/>
  <c r="F5" i="128" s="1"/>
  <c r="U59" i="128"/>
  <c r="V59" i="128"/>
  <c r="H5" i="128" s="1"/>
  <c r="W59" i="128"/>
  <c r="I5" i="128" s="1"/>
  <c r="X59" i="128"/>
  <c r="J5" i="128" s="1"/>
  <c r="Y59" i="128"/>
  <c r="Z59" i="128"/>
  <c r="L5" i="128" s="1"/>
  <c r="AA59" i="128"/>
  <c r="AB59" i="128"/>
  <c r="N5" i="128" s="1"/>
  <c r="AC59" i="128"/>
  <c r="BF59" i="128"/>
  <c r="S109" i="128"/>
  <c r="T109" i="128" s="1"/>
  <c r="S110" i="128"/>
  <c r="T110" i="128" s="1"/>
  <c r="S111" i="128"/>
  <c r="T111" i="128" s="1"/>
  <c r="S112" i="128"/>
  <c r="S113" i="128"/>
  <c r="T113" i="128" s="1"/>
  <c r="S114" i="128"/>
  <c r="S115" i="128"/>
  <c r="AY152" i="132"/>
  <c r="AY151" i="132"/>
  <c r="AY150" i="132"/>
  <c r="AY149" i="132"/>
  <c r="AY148" i="132"/>
  <c r="AY147" i="132"/>
  <c r="AY146" i="132"/>
  <c r="AY145" i="132"/>
  <c r="AY144" i="132"/>
  <c r="AY143" i="132"/>
  <c r="AY142" i="132"/>
  <c r="AY141" i="132"/>
  <c r="AY140" i="132"/>
  <c r="AY139" i="132"/>
  <c r="AY138" i="132"/>
  <c r="AY137" i="132"/>
  <c r="AY136" i="132"/>
  <c r="AY135" i="132"/>
  <c r="AY134" i="132"/>
  <c r="AY133" i="132"/>
  <c r="AY132" i="132"/>
  <c r="AY131" i="132"/>
  <c r="AY130" i="132"/>
  <c r="AY129" i="132"/>
  <c r="AY128" i="132"/>
  <c r="AY127" i="132"/>
  <c r="AY126" i="132"/>
  <c r="AY125" i="132"/>
  <c r="AY124" i="132"/>
  <c r="AY123" i="132"/>
  <c r="AY122" i="132"/>
  <c r="AY121" i="132"/>
  <c r="AY120" i="132"/>
  <c r="AY119" i="132"/>
  <c r="AY118" i="132"/>
  <c r="AY117" i="132"/>
  <c r="AY116" i="132"/>
  <c r="AY115" i="132"/>
  <c r="AY114" i="132"/>
  <c r="AY113" i="132"/>
  <c r="AY112" i="132"/>
  <c r="H367" i="132"/>
  <c r="I367" i="132"/>
  <c r="J367" i="132"/>
  <c r="K367" i="132"/>
  <c r="L367" i="132"/>
  <c r="M367" i="132"/>
  <c r="N367" i="132"/>
  <c r="P367" i="132"/>
  <c r="R367" i="132"/>
  <c r="T367" i="132"/>
  <c r="AP367" i="132"/>
  <c r="AR367" i="132"/>
  <c r="AT367" i="132"/>
  <c r="AV367" i="132"/>
  <c r="AX367" i="132"/>
  <c r="AZ367" i="132"/>
  <c r="BA367" i="132"/>
  <c r="BB367" i="132"/>
  <c r="BC367" i="132"/>
  <c r="BD367" i="132"/>
  <c r="BE367" i="132"/>
  <c r="BF367" i="132"/>
  <c r="BG154" i="132"/>
  <c r="DI154" i="132"/>
  <c r="DJ154" i="132"/>
  <c r="DK154" i="132"/>
  <c r="DL154" i="132"/>
  <c r="DM154" i="132"/>
  <c r="DO154" i="132"/>
  <c r="DQ154" i="132"/>
  <c r="DS154" i="132"/>
  <c r="DU154" i="132"/>
  <c r="DW154" i="132"/>
  <c r="DY154" i="132"/>
  <c r="EA154" i="132"/>
  <c r="EC154" i="132"/>
  <c r="EE154" i="132"/>
  <c r="EG154" i="132"/>
  <c r="EI154" i="132"/>
  <c r="EK154" i="132"/>
  <c r="EM154" i="132"/>
  <c r="EO154" i="132"/>
  <c r="EQ154" i="132"/>
  <c r="ES154" i="132"/>
  <c r="EU154" i="132"/>
  <c r="EW154" i="132"/>
  <c r="EY154" i="132"/>
  <c r="FA154" i="132"/>
  <c r="FB154" i="132"/>
  <c r="FC154" i="132"/>
  <c r="FD154" i="132"/>
  <c r="FE154" i="132"/>
  <c r="FF154" i="132"/>
  <c r="FG154" i="132"/>
  <c r="FH154" i="132"/>
  <c r="BI154" i="132"/>
  <c r="BJ154" i="132"/>
  <c r="BK154" i="132"/>
  <c r="BL154" i="132"/>
  <c r="BM154" i="132"/>
  <c r="BN154" i="132"/>
  <c r="BO154" i="132"/>
  <c r="BQ154" i="132"/>
  <c r="BS154" i="132"/>
  <c r="BU154" i="132"/>
  <c r="BW154" i="132"/>
  <c r="BY154" i="132"/>
  <c r="CA154" i="132"/>
  <c r="CC154" i="132"/>
  <c r="CE154" i="132"/>
  <c r="CG154" i="132"/>
  <c r="CI154" i="132"/>
  <c r="CK154" i="132"/>
  <c r="CM154" i="132"/>
  <c r="CO154" i="132"/>
  <c r="CQ154" i="132"/>
  <c r="CS154" i="132"/>
  <c r="CU154" i="132"/>
  <c r="CW154" i="132"/>
  <c r="CY154" i="132"/>
  <c r="DA154" i="132"/>
  <c r="DB154" i="132"/>
  <c r="DC154" i="132"/>
  <c r="DD154" i="132"/>
  <c r="DE154" i="132"/>
  <c r="DF154" i="132"/>
  <c r="DG154" i="132"/>
  <c r="B155" i="132"/>
  <c r="C101" i="128"/>
  <c r="C152" i="132" s="1"/>
  <c r="C360" i="132" s="1"/>
  <c r="C100" i="128"/>
  <c r="C151" i="132" s="1"/>
  <c r="C355" i="132" s="1"/>
  <c r="C99" i="128"/>
  <c r="C150" i="132" s="1"/>
  <c r="C350" i="132" s="1"/>
  <c r="C98" i="128"/>
  <c r="C149" i="132" s="1"/>
  <c r="C345" i="132" s="1"/>
  <c r="C97" i="128"/>
  <c r="C148" i="132" s="1"/>
  <c r="C340" i="132" s="1"/>
  <c r="C96" i="128"/>
  <c r="C147" i="132" s="1"/>
  <c r="C335" i="132" s="1"/>
  <c r="C95" i="128"/>
  <c r="C146" i="132" s="1"/>
  <c r="C330" i="132" s="1"/>
  <c r="C94" i="128"/>
  <c r="C145" i="132" s="1"/>
  <c r="C325" i="132" s="1"/>
  <c r="C93" i="128"/>
  <c r="C144" i="132" s="1"/>
  <c r="C320" i="132" s="1"/>
  <c r="C92" i="128"/>
  <c r="C143" i="132" s="1"/>
  <c r="C315" i="132" s="1"/>
  <c r="C91" i="128"/>
  <c r="C142" i="132" s="1"/>
  <c r="C310" i="132" s="1"/>
  <c r="C90" i="128"/>
  <c r="C141" i="132" s="1"/>
  <c r="C305" i="132" s="1"/>
  <c r="C89" i="128"/>
  <c r="C140" i="132" s="1"/>
  <c r="C300" i="132" s="1"/>
  <c r="C88" i="128"/>
  <c r="C139" i="132" s="1"/>
  <c r="C295" i="132" s="1"/>
  <c r="C87" i="128"/>
  <c r="C138" i="132" s="1"/>
  <c r="C290" i="132" s="1"/>
  <c r="C86" i="128"/>
  <c r="C137" i="132" s="1"/>
  <c r="C285" i="132" s="1"/>
  <c r="C85" i="128"/>
  <c r="C136" i="132" s="1"/>
  <c r="C280" i="132" s="1"/>
  <c r="C84" i="128"/>
  <c r="C135" i="132" s="1"/>
  <c r="C275" i="132" s="1"/>
  <c r="C83" i="128"/>
  <c r="C134" i="132" s="1"/>
  <c r="C270" i="132" s="1"/>
  <c r="C82" i="128"/>
  <c r="C133" i="132" s="1"/>
  <c r="C265" i="132" s="1"/>
  <c r="C81" i="128"/>
  <c r="C132" i="132"/>
  <c r="C260" i="132" s="1"/>
  <c r="C80" i="128"/>
  <c r="C131" i="132" s="1"/>
  <c r="C255" i="132" s="1"/>
  <c r="C79" i="128"/>
  <c r="C130" i="132" s="1"/>
  <c r="C250" i="132" s="1"/>
  <c r="C78" i="128"/>
  <c r="C129" i="132" s="1"/>
  <c r="C245" i="132" s="1"/>
  <c r="C77" i="128"/>
  <c r="C128" i="132" s="1"/>
  <c r="C240" i="132" s="1"/>
  <c r="C76" i="128"/>
  <c r="C127" i="132" s="1"/>
  <c r="C235" i="132" s="1"/>
  <c r="C75" i="128"/>
  <c r="C126" i="132" s="1"/>
  <c r="C230" i="132" s="1"/>
  <c r="C74" i="128"/>
  <c r="C125" i="132" s="1"/>
  <c r="C225" i="132" s="1"/>
  <c r="C73" i="128"/>
  <c r="C124" i="132"/>
  <c r="C220" i="132" s="1"/>
  <c r="C72" i="128"/>
  <c r="C123" i="132" s="1"/>
  <c r="C215" i="132" s="1"/>
  <c r="C71" i="128"/>
  <c r="C122" i="132" s="1"/>
  <c r="C210" i="132" s="1"/>
  <c r="C70" i="128"/>
  <c r="C121" i="132" s="1"/>
  <c r="C205" i="132" s="1"/>
  <c r="C69" i="128"/>
  <c r="C120" i="132" s="1"/>
  <c r="C200" i="132" s="1"/>
  <c r="C68" i="128"/>
  <c r="C119" i="132" s="1"/>
  <c r="C195" i="132" s="1"/>
  <c r="C67" i="128"/>
  <c r="C118" i="132" s="1"/>
  <c r="C190" i="132" s="1"/>
  <c r="C66" i="128"/>
  <c r="C117" i="132" s="1"/>
  <c r="C185" i="132" s="1"/>
  <c r="C65" i="128"/>
  <c r="C116" i="132" s="1"/>
  <c r="C180" i="132" s="1"/>
  <c r="C64" i="128"/>
  <c r="C115" i="132" s="1"/>
  <c r="C175" i="132" s="1"/>
  <c r="C63" i="128"/>
  <c r="C114" i="132" s="1"/>
  <c r="C170" i="132" s="1"/>
  <c r="C62" i="128"/>
  <c r="C113" i="132" s="1"/>
  <c r="C165" i="132" s="1"/>
  <c r="C61" i="128"/>
  <c r="C112" i="132" s="1"/>
  <c r="C160" i="132" s="1"/>
  <c r="C60" i="128"/>
  <c r="C111" i="132" s="1"/>
  <c r="C155" i="132" s="1"/>
  <c r="AO48" i="132"/>
  <c r="AP48" i="132"/>
  <c r="AQ48" i="132"/>
  <c r="AR48" i="132"/>
  <c r="AO50" i="132"/>
  <c r="AP50" i="132"/>
  <c r="AQ50" i="132"/>
  <c r="AR50" i="132"/>
  <c r="AO52" i="132"/>
  <c r="AP52" i="132"/>
  <c r="AQ52" i="132"/>
  <c r="AR52" i="132"/>
  <c r="AO55" i="132"/>
  <c r="AP55" i="132"/>
  <c r="AQ55" i="132"/>
  <c r="AR55" i="132"/>
  <c r="AO56" i="132"/>
  <c r="AP56" i="132"/>
  <c r="AQ56" i="132"/>
  <c r="AR56" i="132"/>
  <c r="AO59" i="132"/>
  <c r="AP59" i="132"/>
  <c r="AQ59" i="132"/>
  <c r="AR59" i="132"/>
  <c r="AO63" i="132"/>
  <c r="AP63" i="132"/>
  <c r="AQ63" i="132"/>
  <c r="AR63" i="132"/>
  <c r="AO64" i="132"/>
  <c r="AP64" i="132"/>
  <c r="AQ64" i="132"/>
  <c r="AR64" i="132"/>
  <c r="AO65" i="132"/>
  <c r="AP65" i="132"/>
  <c r="AQ65" i="132"/>
  <c r="AR65" i="132"/>
  <c r="AO66" i="132"/>
  <c r="AP66" i="132"/>
  <c r="AQ66" i="132"/>
  <c r="AR66" i="132"/>
  <c r="AO73" i="132"/>
  <c r="AP73" i="132"/>
  <c r="AQ73" i="132"/>
  <c r="AR73" i="132"/>
  <c r="AO78" i="132"/>
  <c r="AP78" i="132"/>
  <c r="AQ78" i="132"/>
  <c r="AR78" i="132"/>
  <c r="AO80" i="132"/>
  <c r="AP80" i="132"/>
  <c r="AQ80" i="132"/>
  <c r="AR80" i="132"/>
  <c r="AO83" i="132"/>
  <c r="AP83" i="132"/>
  <c r="AQ83" i="132"/>
  <c r="AR83" i="132"/>
  <c r="AO87" i="132"/>
  <c r="AP87" i="132"/>
  <c r="AQ87" i="132"/>
  <c r="AR87" i="132"/>
  <c r="AO90" i="132"/>
  <c r="AP90" i="132"/>
  <c r="AQ90" i="132"/>
  <c r="AR90" i="132"/>
  <c r="AO91" i="132"/>
  <c r="AP91" i="132"/>
  <c r="AQ91" i="132"/>
  <c r="AR91" i="132"/>
  <c r="AO92" i="132"/>
  <c r="AP92" i="132"/>
  <c r="AQ92" i="132"/>
  <c r="AR92" i="132"/>
  <c r="AO93" i="132"/>
  <c r="AP93" i="132"/>
  <c r="AQ93" i="132"/>
  <c r="AR93" i="132"/>
  <c r="AO94" i="132"/>
  <c r="AP94" i="132"/>
  <c r="AQ94" i="132"/>
  <c r="AR94" i="132"/>
  <c r="AO95" i="132"/>
  <c r="AP95" i="132"/>
  <c r="AQ95" i="132"/>
  <c r="AR95" i="132"/>
  <c r="BK58" i="128"/>
  <c r="BM58" i="128" s="1"/>
  <c r="BO58" i="128" s="1"/>
  <c r="C110" i="132"/>
  <c r="D110" i="132"/>
  <c r="AI58" i="128"/>
  <c r="AK58" i="128"/>
  <c r="AM58" i="128" s="1"/>
  <c r="B96" i="132"/>
  <c r="B89" i="132"/>
  <c r="B75" i="132"/>
  <c r="B68" i="132"/>
  <c r="B61" i="132"/>
  <c r="B54" i="132"/>
  <c r="S89" i="132"/>
  <c r="S75" i="132"/>
  <c r="S68" i="132"/>
  <c r="S61" i="132"/>
  <c r="S54" i="132"/>
  <c r="AU48" i="132"/>
  <c r="AT48" i="132"/>
  <c r="AS48" i="132"/>
  <c r="AS55" i="132"/>
  <c r="AT55" i="132"/>
  <c r="AU55" i="132"/>
  <c r="C118" i="128"/>
  <c r="C119" i="128"/>
  <c r="C120" i="128"/>
  <c r="C122" i="128"/>
  <c r="C111" i="128"/>
  <c r="I111" i="128" s="1"/>
  <c r="C112" i="128"/>
  <c r="C113" i="128"/>
  <c r="C116" i="128"/>
  <c r="C117" i="128"/>
  <c r="U79" i="148"/>
  <c r="V79" i="148"/>
  <c r="AS90" i="132"/>
  <c r="AS83" i="132"/>
  <c r="AT90" i="132"/>
  <c r="AT83" i="132"/>
  <c r="AU90" i="132"/>
  <c r="AU83" i="132"/>
  <c r="C170" i="148"/>
  <c r="B37" i="138"/>
  <c r="D37" i="138"/>
  <c r="E171" i="148" s="1"/>
  <c r="E37" i="138"/>
  <c r="F171" i="148" s="1"/>
  <c r="F37" i="138"/>
  <c r="G171" i="148" s="1"/>
  <c r="C172" i="148"/>
  <c r="G172" i="148"/>
  <c r="C173" i="148"/>
  <c r="G173" i="148"/>
  <c r="C157" i="148"/>
  <c r="C158" i="148"/>
  <c r="C160" i="148"/>
  <c r="B156" i="148"/>
  <c r="B159" i="148"/>
  <c r="B160" i="148"/>
  <c r="B161" i="148"/>
  <c r="I152" i="148"/>
  <c r="C135" i="148"/>
  <c r="I135" i="148" s="1"/>
  <c r="C139" i="148"/>
  <c r="C136" i="148"/>
  <c r="I136" i="148" s="1"/>
  <c r="C121" i="148"/>
  <c r="I121" i="148" s="1"/>
  <c r="C120" i="148"/>
  <c r="I120" i="148" s="1"/>
  <c r="I118" i="148"/>
  <c r="I116" i="148"/>
  <c r="I109" i="148"/>
  <c r="C95" i="148"/>
  <c r="I95" i="148" s="1"/>
  <c r="C91" i="148"/>
  <c r="I91" i="148" s="1"/>
  <c r="S79" i="148"/>
  <c r="T79" i="148"/>
  <c r="C81" i="148"/>
  <c r="C82" i="148"/>
  <c r="C83" i="148"/>
  <c r="C85" i="148"/>
  <c r="C89" i="148"/>
  <c r="C90" i="148"/>
  <c r="C92" i="148"/>
  <c r="C99" i="148"/>
  <c r="C100" i="148"/>
  <c r="C104" i="148"/>
  <c r="C107" i="148"/>
  <c r="C126" i="148"/>
  <c r="C128" i="148"/>
  <c r="C130" i="148"/>
  <c r="C132" i="148"/>
  <c r="C134" i="148"/>
  <c r="C143" i="148"/>
  <c r="C144" i="148"/>
  <c r="C145" i="148"/>
  <c r="C80" i="148"/>
  <c r="D51" i="105"/>
  <c r="E51" i="105"/>
  <c r="F51" i="105"/>
  <c r="G51" i="105"/>
  <c r="H51" i="105"/>
  <c r="I51" i="105"/>
  <c r="J51" i="105"/>
  <c r="K51" i="105"/>
  <c r="L51" i="105"/>
  <c r="M51" i="105"/>
  <c r="N51" i="105"/>
  <c r="O51" i="105"/>
  <c r="C45" i="148"/>
  <c r="C105" i="132"/>
  <c r="C104" i="132"/>
  <c r="AS95" i="132"/>
  <c r="AT95" i="132"/>
  <c r="AU95" i="132"/>
  <c r="D2" i="133"/>
  <c r="C44" i="133"/>
  <c r="C45" i="133"/>
  <c r="B61" i="133"/>
  <c r="B63" i="133"/>
  <c r="B66" i="133"/>
  <c r="B69" i="133"/>
  <c r="B72" i="133"/>
  <c r="B73" i="133"/>
  <c r="B75" i="133"/>
  <c r="B77" i="133"/>
  <c r="B81" i="133"/>
  <c r="E95" i="133"/>
  <c r="F95" i="133"/>
  <c r="G95" i="133"/>
  <c r="H95" i="133"/>
  <c r="I95" i="133"/>
  <c r="J95" i="133"/>
  <c r="K95" i="133"/>
  <c r="L95" i="133"/>
  <c r="M95" i="133"/>
  <c r="N95" i="133"/>
  <c r="O95" i="133"/>
  <c r="P95" i="133"/>
  <c r="R116" i="133"/>
  <c r="S116" i="133"/>
  <c r="T116" i="133"/>
  <c r="U116" i="133"/>
  <c r="V116" i="133"/>
  <c r="B134" i="133"/>
  <c r="B135" i="133"/>
  <c r="B136" i="133"/>
  <c r="B143" i="133"/>
  <c r="B145" i="133"/>
  <c r="B147" i="133"/>
  <c r="W155" i="133"/>
  <c r="C28" i="105"/>
  <c r="C30" i="105"/>
  <c r="BY47" i="132"/>
  <c r="BZ47" i="132"/>
  <c r="CA47" i="132" s="1"/>
  <c r="CB47" i="132" s="1"/>
  <c r="CC47" i="132" s="1"/>
  <c r="CD47" i="132" s="1"/>
  <c r="CE47" i="132" s="1"/>
  <c r="CF47" i="132" s="1"/>
  <c r="CG47" i="132" s="1"/>
  <c r="CH47" i="132" s="1"/>
  <c r="CI47" i="132" s="1"/>
  <c r="CK47" i="132"/>
  <c r="CL47" i="132" s="1"/>
  <c r="CM47" i="132" s="1"/>
  <c r="CN47" i="132" s="1"/>
  <c r="CO47" i="132" s="1"/>
  <c r="CP47" i="132" s="1"/>
  <c r="CQ47" i="132" s="1"/>
  <c r="CR47" i="132" s="1"/>
  <c r="CS47" i="132" s="1"/>
  <c r="CT47" i="132" s="1"/>
  <c r="CU47" i="132" s="1"/>
  <c r="B48" i="132"/>
  <c r="B50" i="132"/>
  <c r="AS50" i="132"/>
  <c r="AT50" i="132"/>
  <c r="AU50" i="132"/>
  <c r="B52" i="132"/>
  <c r="AS52" i="132"/>
  <c r="AT52" i="132"/>
  <c r="AU52" i="132"/>
  <c r="B55" i="132"/>
  <c r="B56" i="132"/>
  <c r="AS56" i="132"/>
  <c r="AT56" i="132"/>
  <c r="AU56" i="132"/>
  <c r="B59" i="132"/>
  <c r="AS59" i="132"/>
  <c r="AT59" i="132"/>
  <c r="AU59" i="132"/>
  <c r="B63" i="132"/>
  <c r="AS63" i="132"/>
  <c r="AT63" i="132"/>
  <c r="AU63" i="132"/>
  <c r="B64" i="132"/>
  <c r="AS64" i="132"/>
  <c r="AT64" i="132"/>
  <c r="AU64" i="132"/>
  <c r="B65" i="132"/>
  <c r="AS65" i="132"/>
  <c r="AT65" i="132"/>
  <c r="AU65" i="132"/>
  <c r="B66" i="132"/>
  <c r="AS66" i="132"/>
  <c r="AT66" i="132"/>
  <c r="AU66" i="132"/>
  <c r="B73" i="132"/>
  <c r="AS73" i="132"/>
  <c r="AT73" i="132"/>
  <c r="AU73" i="132"/>
  <c r="B78" i="132"/>
  <c r="AS78" i="132"/>
  <c r="AT78" i="132"/>
  <c r="AU78" i="132"/>
  <c r="B80" i="132"/>
  <c r="AS80" i="132"/>
  <c r="AT80" i="132"/>
  <c r="AU80" i="132"/>
  <c r="B83" i="132"/>
  <c r="B87" i="132"/>
  <c r="AS87" i="132"/>
  <c r="AT87" i="132"/>
  <c r="AU87" i="132"/>
  <c r="B90" i="132"/>
  <c r="B91" i="132"/>
  <c r="AS91" i="132"/>
  <c r="AT91" i="132"/>
  <c r="AU91" i="132"/>
  <c r="B92" i="132"/>
  <c r="AS92" i="132"/>
  <c r="AT92" i="132"/>
  <c r="AU92" i="132"/>
  <c r="B93" i="132"/>
  <c r="AS93" i="132"/>
  <c r="AT93" i="132"/>
  <c r="AU93" i="132"/>
  <c r="B94" i="132"/>
  <c r="AS94" i="132"/>
  <c r="AT94" i="132"/>
  <c r="AU94" i="132"/>
  <c r="B95" i="132"/>
  <c r="S96" i="132"/>
  <c r="E91" i="107"/>
  <c r="G91" i="107"/>
  <c r="M108" i="128"/>
  <c r="M116" i="128" s="1"/>
  <c r="M109" i="128"/>
  <c r="M117" i="128" s="1"/>
  <c r="M110" i="128"/>
  <c r="M118" i="128" s="1"/>
  <c r="M111" i="128"/>
  <c r="M119" i="128" s="1"/>
  <c r="M113" i="128"/>
  <c r="M121" i="128" s="1"/>
  <c r="M114" i="128"/>
  <c r="M122" i="128"/>
  <c r="E107" i="128"/>
  <c r="F107" i="128" s="1"/>
  <c r="G107" i="128" s="1"/>
  <c r="H107" i="128" s="1"/>
  <c r="I107" i="128" s="1"/>
  <c r="AI59" i="132"/>
  <c r="AL59" i="132"/>
  <c r="AI73" i="132"/>
  <c r="AL73" i="132"/>
  <c r="AL87" i="132"/>
  <c r="AL56" i="132"/>
  <c r="C110" i="128"/>
  <c r="I110" i="128" s="1"/>
  <c r="C109" i="128"/>
  <c r="I109" i="128" s="1"/>
  <c r="C108" i="128"/>
  <c r="C121" i="128"/>
  <c r="T112" i="128"/>
  <c r="AF90" i="138"/>
  <c r="V82" i="138" s="1"/>
  <c r="AS288" i="138"/>
  <c r="AT288" i="138"/>
  <c r="AJ288" i="138"/>
  <c r="AM162" i="138"/>
  <c r="AK126" i="138"/>
  <c r="AI95" i="132"/>
  <c r="AL95" i="132"/>
  <c r="AL93" i="132"/>
  <c r="AI66" i="132"/>
  <c r="AL66" i="132"/>
  <c r="AI63" i="132"/>
  <c r="AL63" i="132"/>
  <c r="AI83" i="132"/>
  <c r="AL83" i="132"/>
  <c r="BD59" i="128"/>
  <c r="BB59" i="128"/>
  <c r="AZ59" i="128"/>
  <c r="AX59" i="128"/>
  <c r="AV59" i="128"/>
  <c r="AT59" i="128"/>
  <c r="AC90" i="138"/>
  <c r="AL14" i="138"/>
  <c r="AJ14" i="138"/>
  <c r="F43" i="138"/>
  <c r="AI94" i="132"/>
  <c r="AL94" i="132"/>
  <c r="AI91" i="132"/>
  <c r="AL91" i="132"/>
  <c r="AI80" i="132"/>
  <c r="AL80" i="132"/>
  <c r="AI65" i="132"/>
  <c r="AI52" i="132"/>
  <c r="AL52" i="132"/>
  <c r="AI50" i="132"/>
  <c r="AL50" i="132"/>
  <c r="AI90" i="132"/>
  <c r="AI96" i="132" s="1"/>
  <c r="AL90" i="132"/>
  <c r="AM14" i="138"/>
  <c r="AK14" i="138"/>
  <c r="V91" i="138"/>
  <c r="U92" i="138" s="1"/>
  <c r="AE122" i="138"/>
  <c r="AF122" i="138" s="1"/>
  <c r="AD127" i="138" s="1"/>
  <c r="K158" i="138"/>
  <c r="L158" i="138"/>
  <c r="I163" i="138" s="1"/>
  <c r="Q158" i="138"/>
  <c r="R158" i="138" s="1"/>
  <c r="W158" i="138"/>
  <c r="X158" i="138" s="1"/>
  <c r="U163" i="138" s="1"/>
  <c r="D32" i="162"/>
  <c r="Q97" i="133"/>
  <c r="Y91" i="138"/>
  <c r="X92" i="138" s="1"/>
  <c r="R99" i="133"/>
  <c r="G109" i="128"/>
  <c r="H108" i="128"/>
  <c r="AP99" i="128"/>
  <c r="Q115" i="133"/>
  <c r="S115" i="133"/>
  <c r="U115" i="133"/>
  <c r="T115" i="133"/>
  <c r="R115" i="133"/>
  <c r="V115" i="133"/>
  <c r="AP66" i="128"/>
  <c r="AP75" i="128"/>
  <c r="AP67" i="128"/>
  <c r="Q99" i="133"/>
  <c r="Q102" i="133"/>
  <c r="R114" i="133"/>
  <c r="T114" i="133"/>
  <c r="V114" i="133"/>
  <c r="Q114" i="133"/>
  <c r="S114" i="133"/>
  <c r="U114" i="133"/>
  <c r="AP90" i="128"/>
  <c r="AP76" i="128"/>
  <c r="AP73" i="128"/>
  <c r="U82" i="138"/>
  <c r="Q101" i="133"/>
  <c r="Q100" i="133"/>
  <c r="AJ317" i="138"/>
  <c r="AN317" i="138"/>
  <c r="AM317" i="138"/>
  <c r="AP317" i="138"/>
  <c r="AK317" i="138"/>
  <c r="E40" i="128"/>
  <c r="Q106" i="133"/>
  <c r="R106" i="133"/>
  <c r="Q110" i="133"/>
  <c r="Q108" i="133"/>
  <c r="Q98" i="133"/>
  <c r="E53" i="148"/>
  <c r="F40" i="128"/>
  <c r="Q116" i="133"/>
  <c r="G40" i="128"/>
  <c r="AI107" i="138"/>
  <c r="H40" i="128"/>
  <c r="AL10" i="138"/>
  <c r="AI12" i="138"/>
  <c r="AH12" i="138"/>
  <c r="AJ12" i="138"/>
  <c r="AM9" i="138"/>
  <c r="AK12" i="138"/>
  <c r="AL12" i="138"/>
  <c r="AJ9" i="138"/>
  <c r="AK9" i="138"/>
  <c r="AM12" i="138"/>
  <c r="AL13" i="138"/>
  <c r="AL9" i="138"/>
  <c r="AM13" i="138"/>
  <c r="AG12" i="138"/>
  <c r="AF12" i="138"/>
  <c r="AJ11" i="138"/>
  <c r="AJ10" i="138"/>
  <c r="AK11" i="138"/>
  <c r="AK10" i="138"/>
  <c r="AM11" i="138"/>
  <c r="AM10" i="138"/>
  <c r="AL11" i="138"/>
  <c r="AI24" i="138"/>
  <c r="AG24" i="138"/>
  <c r="AJ25" i="138"/>
  <c r="AM24" i="138"/>
  <c r="AL21" i="138"/>
  <c r="AJ24" i="138"/>
  <c r="AM21" i="138"/>
  <c r="AK24" i="138"/>
  <c r="AH24" i="138"/>
  <c r="AK21" i="138"/>
  <c r="AM25" i="138"/>
  <c r="AK13" i="138"/>
  <c r="AJ13" i="138"/>
  <c r="AF24" i="138"/>
  <c r="AL24" i="138"/>
  <c r="AK25" i="138"/>
  <c r="AL25" i="138"/>
  <c r="AY85" i="148"/>
  <c r="AZ85" i="148"/>
  <c r="AL23" i="138"/>
  <c r="AL22" i="138"/>
  <c r="AJ23" i="138"/>
  <c r="AJ22" i="138"/>
  <c r="AM23" i="138"/>
  <c r="AM22" i="138"/>
  <c r="AK23" i="138"/>
  <c r="AK22" i="138"/>
  <c r="AJ90" i="138"/>
  <c r="AN90" i="138"/>
  <c r="AM90" i="138"/>
  <c r="AO90" i="138"/>
  <c r="AP90" i="138"/>
  <c r="G17" i="132"/>
  <c r="E17" i="132"/>
  <c r="F17" i="132"/>
  <c r="H17" i="132"/>
  <c r="Q276" i="105"/>
  <c r="AQ90" i="138"/>
  <c r="P49" i="128"/>
  <c r="R276" i="105"/>
  <c r="I50" i="128"/>
  <c r="Q96" i="133"/>
  <c r="C28" i="132"/>
  <c r="E297" i="105"/>
  <c r="B82" i="132"/>
  <c r="S82" i="132"/>
  <c r="M112" i="128"/>
  <c r="M120" i="128" s="1"/>
  <c r="M35" i="218"/>
  <c r="L36" i="218"/>
  <c r="M36" i="218" s="1"/>
  <c r="H89" i="107"/>
  <c r="H189" i="107" s="1"/>
  <c r="H24" i="214" s="1"/>
  <c r="I89" i="107"/>
  <c r="F517" i="105" s="1"/>
  <c r="J89" i="107"/>
  <c r="J189" i="107" s="1"/>
  <c r="J24" i="214" s="1"/>
  <c r="K89" i="107"/>
  <c r="H8" i="105" s="1"/>
  <c r="H31" i="105" s="1"/>
  <c r="H27" i="105" s="1"/>
  <c r="L89" i="107"/>
  <c r="L189" i="107" s="1"/>
  <c r="L24" i="214" s="1"/>
  <c r="M89" i="107"/>
  <c r="M189" i="107" s="1"/>
  <c r="M24" i="214" s="1"/>
  <c r="N89" i="107"/>
  <c r="N189" i="107" s="1"/>
  <c r="N24" i="214" s="1"/>
  <c r="O89" i="107"/>
  <c r="L8" i="105" s="1"/>
  <c r="L31" i="105" s="1"/>
  <c r="L27" i="105" s="1"/>
  <c r="P89" i="107"/>
  <c r="P189" i="107" s="1"/>
  <c r="P24" i="214" s="1"/>
  <c r="K189" i="107"/>
  <c r="K24" i="214" s="1"/>
  <c r="I29" i="215"/>
  <c r="E83" i="148"/>
  <c r="F83" i="148"/>
  <c r="G83" i="148"/>
  <c r="I666" i="131"/>
  <c r="H83" i="148"/>
  <c r="H111" i="148"/>
  <c r="O111" i="148" s="1"/>
  <c r="H69" i="148"/>
  <c r="H91" i="148"/>
  <c r="G111" i="148"/>
  <c r="N111" i="148" s="1"/>
  <c r="Y86" i="148" s="1"/>
  <c r="AV86" i="148" s="1"/>
  <c r="AW86" i="148" s="1"/>
  <c r="G69" i="148"/>
  <c r="G91" i="148"/>
  <c r="F111" i="148"/>
  <c r="M111" i="148" s="1"/>
  <c r="X86" i="148" s="1"/>
  <c r="AS86" i="148" s="1"/>
  <c r="AT86" i="148" s="1"/>
  <c r="F69" i="148"/>
  <c r="F91" i="148"/>
  <c r="E111" i="148"/>
  <c r="L111" i="148" s="1"/>
  <c r="W86" i="148" s="1"/>
  <c r="AP86" i="148" s="1"/>
  <c r="AQ86" i="148" s="1"/>
  <c r="E69" i="148"/>
  <c r="E91" i="148"/>
  <c r="G1048" i="162"/>
  <c r="E84" i="148"/>
  <c r="I1048" i="162"/>
  <c r="F84" i="148"/>
  <c r="G84" i="148"/>
  <c r="H84" i="148"/>
  <c r="J1033" i="162"/>
  <c r="M1052" i="162"/>
  <c r="F1034" i="162"/>
  <c r="F1033" i="162" s="1"/>
  <c r="E517" i="105"/>
  <c r="H517" i="105"/>
  <c r="I517" i="105"/>
  <c r="K517" i="105"/>
  <c r="L517" i="105"/>
  <c r="M517" i="105"/>
  <c r="S986" i="162"/>
  <c r="S840" i="162" s="1"/>
  <c r="S332" i="105" s="1"/>
  <c r="D341" i="148"/>
  <c r="I992" i="162"/>
  <c r="I985" i="162" s="1"/>
  <c r="I839" i="162" s="1"/>
  <c r="M992" i="162"/>
  <c r="M985" i="162" s="1"/>
  <c r="M839" i="162" s="1"/>
  <c r="S992" i="162"/>
  <c r="S985" i="162" s="1"/>
  <c r="S839" i="162" s="1"/>
  <c r="E89" i="148"/>
  <c r="E107" i="148"/>
  <c r="E85" i="148"/>
  <c r="E92" i="148"/>
  <c r="D337" i="148" s="1"/>
  <c r="D336" i="148" s="1"/>
  <c r="D340" i="148"/>
  <c r="D339" i="148" s="1"/>
  <c r="D347" i="148"/>
  <c r="D346" i="148"/>
  <c r="D368" i="148"/>
  <c r="D367" i="148" s="1"/>
  <c r="K190" i="148"/>
  <c r="K191" i="148"/>
  <c r="K193" i="148" s="1"/>
  <c r="E341" i="148"/>
  <c r="F89" i="148"/>
  <c r="F107" i="148"/>
  <c r="F92" i="148"/>
  <c r="E337" i="148" s="1"/>
  <c r="E336" i="148" s="1"/>
  <c r="E340" i="148"/>
  <c r="E339" i="148" s="1"/>
  <c r="E347" i="148"/>
  <c r="E346" i="148"/>
  <c r="E368" i="148"/>
  <c r="E367" i="148"/>
  <c r="F341" i="148"/>
  <c r="G89" i="148"/>
  <c r="G107" i="148"/>
  <c r="G92" i="148"/>
  <c r="F337" i="148" s="1"/>
  <c r="F336" i="148" s="1"/>
  <c r="F340" i="148"/>
  <c r="F339" i="148" s="1"/>
  <c r="F347" i="148"/>
  <c r="F346" i="148" s="1"/>
  <c r="F368" i="148"/>
  <c r="F367" i="148" s="1"/>
  <c r="G341" i="148"/>
  <c r="H89" i="148"/>
  <c r="H107" i="148"/>
  <c r="H92" i="148"/>
  <c r="G337" i="148"/>
  <c r="G336" i="148" s="1"/>
  <c r="G340" i="148"/>
  <c r="G339" i="148" s="1"/>
  <c r="G347" i="148"/>
  <c r="G346" i="148" s="1"/>
  <c r="G368" i="148"/>
  <c r="G367" i="148"/>
  <c r="H186" i="107"/>
  <c r="I186" i="107"/>
  <c r="J186" i="107"/>
  <c r="K186" i="107"/>
  <c r="L186" i="107"/>
  <c r="M186" i="107"/>
  <c r="N186" i="107"/>
  <c r="O186" i="107"/>
  <c r="P186" i="107"/>
  <c r="Q186" i="107"/>
  <c r="E8" i="105"/>
  <c r="E31" i="105" s="1"/>
  <c r="E27" i="105" s="1"/>
  <c r="F8" i="105"/>
  <c r="F31" i="105" s="1"/>
  <c r="F27" i="105" s="1"/>
  <c r="G8" i="105"/>
  <c r="G31" i="105" s="1"/>
  <c r="G27" i="105" s="1"/>
  <c r="I8" i="105"/>
  <c r="I31" i="105" s="1"/>
  <c r="I27" i="105" s="1"/>
  <c r="K8" i="105"/>
  <c r="K31" i="105" s="1"/>
  <c r="K27" i="105" s="1"/>
  <c r="M8" i="105"/>
  <c r="M31" i="105" s="1"/>
  <c r="M27" i="105" s="1"/>
  <c r="F6" i="162"/>
  <c r="G6" i="162"/>
  <c r="H6" i="162"/>
  <c r="F6" i="105" s="1"/>
  <c r="I6" i="162"/>
  <c r="G6" i="105" s="1"/>
  <c r="J6" i="162"/>
  <c r="K6" i="162"/>
  <c r="I6" i="105" s="1"/>
  <c r="L6" i="162"/>
  <c r="M6" i="162"/>
  <c r="K6" i="105" s="1"/>
  <c r="N6" i="162"/>
  <c r="O6" i="162"/>
  <c r="M6" i="105" s="1"/>
  <c r="P6" i="162"/>
  <c r="N6" i="105" s="1"/>
  <c r="Q6" i="162"/>
  <c r="O6" i="105" s="1"/>
  <c r="G8" i="162"/>
  <c r="H8" i="162"/>
  <c r="I8" i="162"/>
  <c r="J8" i="162"/>
  <c r="K8" i="162"/>
  <c r="L8" i="162"/>
  <c r="M8" i="162"/>
  <c r="N8" i="162"/>
  <c r="O8" i="162"/>
  <c r="P8" i="162"/>
  <c r="Q8" i="162"/>
  <c r="F667" i="131"/>
  <c r="G667" i="131"/>
  <c r="H667" i="131"/>
  <c r="I667" i="131"/>
  <c r="F672" i="131"/>
  <c r="G672" i="131"/>
  <c r="H672" i="131"/>
  <c r="I672" i="131"/>
  <c r="F675" i="131"/>
  <c r="G675" i="131"/>
  <c r="H675" i="131"/>
  <c r="I675" i="131"/>
  <c r="E680" i="131"/>
  <c r="F680" i="131"/>
  <c r="G680" i="131"/>
  <c r="H680" i="131"/>
  <c r="I680" i="131"/>
  <c r="G1034" i="162"/>
  <c r="H1034" i="162"/>
  <c r="I1034" i="162"/>
  <c r="J1034" i="162"/>
  <c r="F664" i="131"/>
  <c r="G1035" i="162"/>
  <c r="G664" i="131"/>
  <c r="H1035" i="162" s="1"/>
  <c r="H664" i="131"/>
  <c r="I1035" i="162"/>
  <c r="I664" i="131"/>
  <c r="J1035" i="162" s="1"/>
  <c r="G1029" i="162"/>
  <c r="H1029" i="162"/>
  <c r="I1029" i="162"/>
  <c r="J1029" i="162"/>
  <c r="G1030" i="162"/>
  <c r="H1030" i="162"/>
  <c r="I1030" i="162"/>
  <c r="J1030" i="162"/>
  <c r="G1031" i="162"/>
  <c r="H1031" i="162"/>
  <c r="I1031" i="162"/>
  <c r="J1031" i="162"/>
  <c r="E257" i="133"/>
  <c r="F257" i="133"/>
  <c r="G257" i="133"/>
  <c r="H257" i="133"/>
  <c r="I375" i="162"/>
  <c r="J375" i="162"/>
  <c r="K375" i="162"/>
  <c r="L375" i="162"/>
  <c r="M375" i="162"/>
  <c r="N375" i="162"/>
  <c r="O375" i="162"/>
  <c r="P375" i="162"/>
  <c r="Q375" i="162"/>
  <c r="R375" i="162"/>
  <c r="S375" i="162"/>
  <c r="I838" i="162"/>
  <c r="S838" i="162"/>
  <c r="I981" i="162"/>
  <c r="J981" i="162"/>
  <c r="K981" i="162"/>
  <c r="L981" i="162"/>
  <c r="M981" i="162"/>
  <c r="N981" i="162"/>
  <c r="O981" i="162"/>
  <c r="P981" i="162"/>
  <c r="Q981" i="162"/>
  <c r="R981" i="162"/>
  <c r="S981" i="162"/>
  <c r="H74" i="214"/>
  <c r="I419" i="105" s="1"/>
  <c r="I74" i="214"/>
  <c r="J419" i="105" s="1"/>
  <c r="J74" i="214"/>
  <c r="K419" i="105" s="1"/>
  <c r="K74" i="214"/>
  <c r="L419" i="105" s="1"/>
  <c r="L74" i="214"/>
  <c r="M419" i="105" s="1"/>
  <c r="M74" i="214"/>
  <c r="N419" i="105" s="1"/>
  <c r="N74" i="214"/>
  <c r="O419" i="105" s="1"/>
  <c r="O74" i="214"/>
  <c r="P419" i="105" s="1"/>
  <c r="P74" i="214"/>
  <c r="Q419" i="105" s="1"/>
  <c r="Q74" i="214"/>
  <c r="R419" i="105" s="1"/>
  <c r="R74" i="214"/>
  <c r="S419" i="105" s="1"/>
  <c r="G74" i="214"/>
  <c r="H419" i="105"/>
  <c r="F74" i="214"/>
  <c r="H6" i="105"/>
  <c r="J6" i="105"/>
  <c r="L6" i="105"/>
  <c r="D5" i="105"/>
  <c r="E5" i="105"/>
  <c r="F5" i="105"/>
  <c r="G5" i="105"/>
  <c r="H5" i="105"/>
  <c r="I5" i="105"/>
  <c r="J5" i="105"/>
  <c r="K5" i="105"/>
  <c r="L5" i="105"/>
  <c r="M5" i="105"/>
  <c r="N5" i="105"/>
  <c r="O5" i="105"/>
  <c r="I210" i="105"/>
  <c r="J210" i="105"/>
  <c r="K210" i="105"/>
  <c r="M210" i="105"/>
  <c r="N210" i="105"/>
  <c r="O210" i="105"/>
  <c r="F9" i="105"/>
  <c r="F62" i="105" s="1"/>
  <c r="G9" i="105"/>
  <c r="G62" i="105" s="1"/>
  <c r="H9" i="105"/>
  <c r="H62" i="105" s="1"/>
  <c r="J9" i="105"/>
  <c r="J62" i="105" s="1"/>
  <c r="K9" i="105"/>
  <c r="K62" i="105" s="1"/>
  <c r="L9" i="105"/>
  <c r="L62" i="105" s="1"/>
  <c r="D6" i="105"/>
  <c r="E81" i="148"/>
  <c r="E82" i="148"/>
  <c r="F81" i="148"/>
  <c r="G81" i="148"/>
  <c r="S334" i="105"/>
  <c r="F82" i="148"/>
  <c r="I334" i="105"/>
  <c r="G82" i="148"/>
  <c r="H81" i="148"/>
  <c r="H82" i="148"/>
  <c r="E90" i="148"/>
  <c r="F90" i="148"/>
  <c r="G90" i="148"/>
  <c r="H90" i="148"/>
  <c r="E4" i="162" l="1"/>
  <c r="S61" i="105" s="1"/>
  <c r="D12" i="133"/>
  <c r="G1104" i="162"/>
  <c r="S129" i="138"/>
  <c r="R130" i="138" s="1"/>
  <c r="T129" i="138"/>
  <c r="H85" i="148"/>
  <c r="K851" i="162"/>
  <c r="H850" i="162"/>
  <c r="S851" i="162"/>
  <c r="P210" i="105"/>
  <c r="L210" i="105"/>
  <c r="H210" i="105"/>
  <c r="E6" i="162"/>
  <c r="E664" i="131" s="1"/>
  <c r="J517" i="105"/>
  <c r="I189" i="107"/>
  <c r="I24" i="214" s="1"/>
  <c r="P276" i="105"/>
  <c r="H109" i="128"/>
  <c r="B65" i="133"/>
  <c r="R960" i="162"/>
  <c r="N960" i="162"/>
  <c r="J960" i="162"/>
  <c r="R957" i="162"/>
  <c r="N957" i="162"/>
  <c r="J957" i="162"/>
  <c r="H955" i="162"/>
  <c r="L955" i="162"/>
  <c r="P955" i="162"/>
  <c r="H944" i="162"/>
  <c r="L944" i="162"/>
  <c r="P944" i="162"/>
  <c r="K919" i="162"/>
  <c r="H912" i="162"/>
  <c r="J906" i="162"/>
  <c r="J902" i="162"/>
  <c r="L894" i="162"/>
  <c r="N894" i="162"/>
  <c r="P850" i="162"/>
  <c r="E561" i="131"/>
  <c r="E155" i="105" s="1"/>
  <c r="B103" i="133" s="1"/>
  <c r="D263" i="107" s="1"/>
  <c r="D115" i="107"/>
  <c r="D213" i="107" s="1"/>
  <c r="K954" i="162"/>
  <c r="O954" i="162"/>
  <c r="K943" i="162"/>
  <c r="O943" i="162"/>
  <c r="K1052" i="162"/>
  <c r="G85" i="148"/>
  <c r="J101" i="132"/>
  <c r="I127" i="138"/>
  <c r="X127" i="138"/>
  <c r="R967" i="162"/>
  <c r="N967" i="162"/>
  <c r="J967" i="162"/>
  <c r="R965" i="162"/>
  <c r="N965" i="162"/>
  <c r="J965" i="162"/>
  <c r="R963" i="162"/>
  <c r="N963" i="162"/>
  <c r="J963" i="162"/>
  <c r="R961" i="162"/>
  <c r="N961" i="162"/>
  <c r="J961" i="162"/>
  <c r="Q960" i="162"/>
  <c r="M960" i="162"/>
  <c r="I960" i="162"/>
  <c r="M959" i="162"/>
  <c r="Q957" i="162"/>
  <c r="M957" i="162"/>
  <c r="I957" i="162"/>
  <c r="Q955" i="162"/>
  <c r="K955" i="162"/>
  <c r="S952" i="162"/>
  <c r="K950" i="162"/>
  <c r="O950" i="162"/>
  <c r="Q944" i="162"/>
  <c r="K944" i="162"/>
  <c r="S941" i="162"/>
  <c r="K939" i="162"/>
  <c r="O939" i="162"/>
  <c r="S919" i="162"/>
  <c r="I919" i="162"/>
  <c r="O917" i="162"/>
  <c r="O915" i="162"/>
  <c r="P912" i="162"/>
  <c r="I911" i="162"/>
  <c r="Q911" i="162"/>
  <c r="K907" i="162"/>
  <c r="R906" i="162"/>
  <c r="H906" i="162"/>
  <c r="R902" i="162"/>
  <c r="H902" i="162"/>
  <c r="P900" i="162"/>
  <c r="J898" i="162"/>
  <c r="R898" i="162"/>
  <c r="L898" i="162"/>
  <c r="L886" i="162"/>
  <c r="H886" i="162"/>
  <c r="R886" i="162"/>
  <c r="J886" i="162"/>
  <c r="N886" i="162"/>
  <c r="G854" i="162"/>
  <c r="G834" i="162"/>
  <c r="AE80" i="138"/>
  <c r="K194" i="148"/>
  <c r="G1052" i="162"/>
  <c r="F85" i="148"/>
  <c r="O189" i="107"/>
  <c r="O24" i="214" s="1"/>
  <c r="S8" i="138"/>
  <c r="U127" i="133"/>
  <c r="B67" i="133"/>
  <c r="AA91" i="138"/>
  <c r="AB91" i="138" s="1"/>
  <c r="AA92" i="138" s="1"/>
  <c r="U127" i="138"/>
  <c r="V127" i="138" s="1"/>
  <c r="U128" i="138" s="1"/>
  <c r="V128" i="138" s="1"/>
  <c r="U129" i="138" s="1"/>
  <c r="AF990" i="162"/>
  <c r="AF982" i="162" s="1"/>
  <c r="Q967" i="162"/>
  <c r="M967" i="162"/>
  <c r="Q965" i="162"/>
  <c r="M965" i="162"/>
  <c r="Q963" i="162"/>
  <c r="M963" i="162"/>
  <c r="Q961" i="162"/>
  <c r="M961" i="162"/>
  <c r="P960" i="162"/>
  <c r="L960" i="162"/>
  <c r="S959" i="162"/>
  <c r="P957" i="162"/>
  <c r="L957" i="162"/>
  <c r="O955" i="162"/>
  <c r="J955" i="162"/>
  <c r="K952" i="162"/>
  <c r="H951" i="162"/>
  <c r="L951" i="162"/>
  <c r="P951" i="162"/>
  <c r="O944" i="162"/>
  <c r="J944" i="162"/>
  <c r="K941" i="162"/>
  <c r="H940" i="162"/>
  <c r="L940" i="162"/>
  <c r="P940" i="162"/>
  <c r="Q919" i="162"/>
  <c r="K917" i="162"/>
  <c r="K915" i="162"/>
  <c r="L912" i="162"/>
  <c r="M911" i="162"/>
  <c r="H910" i="162"/>
  <c r="P910" i="162"/>
  <c r="P908" i="162"/>
  <c r="S907" i="162"/>
  <c r="I907" i="162"/>
  <c r="P906" i="162"/>
  <c r="K905" i="162"/>
  <c r="L904" i="162"/>
  <c r="P902" i="162"/>
  <c r="O901" i="162"/>
  <c r="O899" i="162"/>
  <c r="P898" i="162"/>
  <c r="O895" i="162"/>
  <c r="I895" i="162"/>
  <c r="Q895" i="162"/>
  <c r="P894" i="162"/>
  <c r="K893" i="162"/>
  <c r="O893" i="162"/>
  <c r="H890" i="162"/>
  <c r="P890" i="162"/>
  <c r="R890" i="162"/>
  <c r="J890" i="162"/>
  <c r="O889" i="162"/>
  <c r="P888" i="162"/>
  <c r="H888" i="162"/>
  <c r="L888" i="162"/>
  <c r="K883" i="162"/>
  <c r="S883" i="162"/>
  <c r="Q883" i="162"/>
  <c r="I883" i="162"/>
  <c r="M883" i="162"/>
  <c r="M853" i="162"/>
  <c r="L870" i="162"/>
  <c r="P870" i="162"/>
  <c r="J868" i="162"/>
  <c r="R868" i="162"/>
  <c r="I769" i="162"/>
  <c r="M769" i="162"/>
  <c r="Q769" i="162"/>
  <c r="J769" i="162"/>
  <c r="T769" i="162" s="1"/>
  <c r="N769" i="162"/>
  <c r="R769" i="162"/>
  <c r="N780" i="162"/>
  <c r="E564" i="131"/>
  <c r="E167" i="105" s="1"/>
  <c r="B106" i="133" s="1"/>
  <c r="D118" i="107"/>
  <c r="D1058" i="162" s="1"/>
  <c r="C117" i="148" s="1"/>
  <c r="I117" i="148" s="1"/>
  <c r="B70" i="138"/>
  <c r="C212" i="148" s="1"/>
  <c r="H212" i="148" s="1"/>
  <c r="N245" i="133"/>
  <c r="AM969" i="162"/>
  <c r="P815" i="162" s="1"/>
  <c r="AM924" i="162"/>
  <c r="L916" i="162"/>
  <c r="K913" i="162"/>
  <c r="L900" i="162"/>
  <c r="K897" i="162"/>
  <c r="J894" i="162"/>
  <c r="R894" i="162"/>
  <c r="L892" i="162"/>
  <c r="H892" i="162"/>
  <c r="L884" i="162"/>
  <c r="P884" i="162"/>
  <c r="N882" i="162"/>
  <c r="J882" i="162"/>
  <c r="R882" i="162"/>
  <c r="L868" i="162"/>
  <c r="K865" i="162"/>
  <c r="G773" i="162"/>
  <c r="L769" i="162"/>
  <c r="E494" i="131"/>
  <c r="D109" i="107"/>
  <c r="D1049" i="162" s="1"/>
  <c r="C108" i="148" s="1"/>
  <c r="I108" i="148" s="1"/>
  <c r="U411" i="105"/>
  <c r="I891" i="162"/>
  <c r="Q891" i="162"/>
  <c r="H870" i="162"/>
  <c r="K869" i="162"/>
  <c r="S869" i="162"/>
  <c r="H868" i="162"/>
  <c r="S865" i="162"/>
  <c r="I865" i="162"/>
  <c r="L845" i="162"/>
  <c r="H845" i="162"/>
  <c r="S769" i="162"/>
  <c r="K769" i="162"/>
  <c r="J88" i="128"/>
  <c r="K88" i="128" s="1"/>
  <c r="L88" i="128"/>
  <c r="P88" i="128" s="1"/>
  <c r="AP88" i="128" s="1"/>
  <c r="M203" i="107"/>
  <c r="I203" i="107"/>
  <c r="P215" i="107"/>
  <c r="M59" i="105"/>
  <c r="L215" i="107"/>
  <c r="I59" i="105"/>
  <c r="H215" i="107"/>
  <c r="E59" i="105"/>
  <c r="E124" i="107"/>
  <c r="F1064" i="162" s="1"/>
  <c r="R123" i="107"/>
  <c r="S184" i="105"/>
  <c r="S124" i="105"/>
  <c r="R100" i="107"/>
  <c r="O24" i="105"/>
  <c r="AG25" i="215"/>
  <c r="AH25" i="215" s="1"/>
  <c r="L118" i="148"/>
  <c r="G1059" i="162"/>
  <c r="G195" i="148"/>
  <c r="E195" i="148"/>
  <c r="L60" i="128"/>
  <c r="P60" i="128" s="1"/>
  <c r="AP60" i="128" s="1"/>
  <c r="L64" i="128"/>
  <c r="P64" i="128" s="1"/>
  <c r="AP64" i="128" s="1"/>
  <c r="J79" i="128"/>
  <c r="K79" i="128" s="1"/>
  <c r="J81" i="128"/>
  <c r="K81" i="128" s="1"/>
  <c r="J83" i="128"/>
  <c r="K83" i="128" s="1"/>
  <c r="L877" i="162"/>
  <c r="O877" i="162"/>
  <c r="S877" i="162"/>
  <c r="S200" i="105"/>
  <c r="S201" i="105" s="1"/>
  <c r="R127" i="107"/>
  <c r="R184" i="105"/>
  <c r="Q123" i="107"/>
  <c r="E123" i="107" s="1"/>
  <c r="F1063" i="162" s="1"/>
  <c r="R124" i="105"/>
  <c r="Q100" i="107"/>
  <c r="N828" i="162"/>
  <c r="O828" i="162"/>
  <c r="K828" i="162"/>
  <c r="M828" i="162"/>
  <c r="L828" i="162"/>
  <c r="J828" i="162"/>
  <c r="P828" i="162"/>
  <c r="Q828" i="162"/>
  <c r="R828" i="162"/>
  <c r="S828" i="162"/>
  <c r="Q87" i="107"/>
  <c r="R108" i="105"/>
  <c r="F108" i="105" s="1"/>
  <c r="G109" i="105" s="1"/>
  <c r="J72" i="148" s="1"/>
  <c r="AG7" i="215"/>
  <c r="AH7" i="215" s="1"/>
  <c r="S949" i="162"/>
  <c r="T114" i="148"/>
  <c r="V30" i="138"/>
  <c r="E63" i="148" s="1"/>
  <c r="AV95" i="132"/>
  <c r="AV93" i="132"/>
  <c r="AV91" i="132"/>
  <c r="AV87" i="132"/>
  <c r="AV78" i="132"/>
  <c r="AV73" i="132"/>
  <c r="AV65" i="132"/>
  <c r="AV63" i="132"/>
  <c r="AV55" i="132"/>
  <c r="AV50" i="132"/>
  <c r="AV48" i="132"/>
  <c r="AM297" i="138"/>
  <c r="AM298" i="138" s="1"/>
  <c r="AJ297" i="138"/>
  <c r="AJ298" i="138" s="1"/>
  <c r="AJ296" i="138"/>
  <c r="AJ300" i="138" s="1"/>
  <c r="AK300" i="138" s="1"/>
  <c r="L70" i="128"/>
  <c r="P70" i="128" s="1"/>
  <c r="AP70" i="128" s="1"/>
  <c r="J70" i="128"/>
  <c r="K70" i="128" s="1"/>
  <c r="P62" i="128"/>
  <c r="AP62" i="128" s="1"/>
  <c r="J62" i="128"/>
  <c r="K62" i="128" s="1"/>
  <c r="L62" i="128"/>
  <c r="H881" i="162"/>
  <c r="R881" i="162"/>
  <c r="I879" i="162"/>
  <c r="H879" i="162"/>
  <c r="N879" i="162"/>
  <c r="R879" i="162"/>
  <c r="R200" i="105"/>
  <c r="F200" i="105" s="1"/>
  <c r="E85" i="162"/>
  <c r="Q127" i="107"/>
  <c r="BC906" i="162"/>
  <c r="AN924" i="162"/>
  <c r="Q141" i="105"/>
  <c r="P110" i="107"/>
  <c r="P203" i="107" s="1"/>
  <c r="P141" i="105"/>
  <c r="F141" i="105" s="1"/>
  <c r="O110" i="107"/>
  <c r="O203" i="107" s="1"/>
  <c r="E51" i="162"/>
  <c r="L850" i="162"/>
  <c r="G552" i="131"/>
  <c r="I552" i="131" s="1"/>
  <c r="D635" i="131"/>
  <c r="E628" i="131" s="1"/>
  <c r="C126" i="138"/>
  <c r="E126" i="138" s="1"/>
  <c r="U114" i="138" s="1"/>
  <c r="O949" i="162"/>
  <c r="G126" i="138"/>
  <c r="F127" i="138" s="1"/>
  <c r="F125" i="138"/>
  <c r="H125" i="138" s="1"/>
  <c r="T114" i="138" s="1"/>
  <c r="J114" i="138"/>
  <c r="AV56" i="132"/>
  <c r="AV66" i="132"/>
  <c r="AV94" i="132"/>
  <c r="J80" i="128"/>
  <c r="K80" i="128" s="1"/>
  <c r="Q64" i="128"/>
  <c r="AF64" i="128" s="1"/>
  <c r="T120" i="128"/>
  <c r="J78" i="128"/>
  <c r="K78" i="128" s="1"/>
  <c r="L82" i="128"/>
  <c r="P82" i="128" s="1"/>
  <c r="AP82" i="128" s="1"/>
  <c r="J82" i="128"/>
  <c r="K82" i="128" s="1"/>
  <c r="Q82" i="128" s="1"/>
  <c r="AF82" i="128" s="1"/>
  <c r="L74" i="128"/>
  <c r="I211" i="217"/>
  <c r="N881" i="162"/>
  <c r="Q877" i="162"/>
  <c r="AO969" i="162"/>
  <c r="R815" i="162" s="1"/>
  <c r="AN922" i="162"/>
  <c r="BC862" i="162"/>
  <c r="Q164" i="105"/>
  <c r="F164" i="105" s="1"/>
  <c r="P117" i="107"/>
  <c r="G50" i="128"/>
  <c r="AF14" i="138"/>
  <c r="T122" i="128"/>
  <c r="L96" i="128"/>
  <c r="F80" i="213"/>
  <c r="Q880" i="162"/>
  <c r="N878" i="162"/>
  <c r="H877" i="162"/>
  <c r="O876" i="162"/>
  <c r="S875" i="162"/>
  <c r="K875" i="162"/>
  <c r="BB102" i="128"/>
  <c r="L49" i="128" s="1"/>
  <c r="AW102" i="128"/>
  <c r="G49" i="128" s="1"/>
  <c r="H826" i="162"/>
  <c r="I826" i="162"/>
  <c r="E7" i="132"/>
  <c r="F8" i="132"/>
  <c r="G7" i="132"/>
  <c r="I269" i="105" s="1"/>
  <c r="H8" i="132"/>
  <c r="H7" i="132"/>
  <c r="J269" i="105" s="1"/>
  <c r="J7" i="132"/>
  <c r="L269" i="105" s="1"/>
  <c r="K8" i="132"/>
  <c r="L8" i="132"/>
  <c r="F7" i="132"/>
  <c r="H269" i="105" s="1"/>
  <c r="G8" i="132"/>
  <c r="I8" i="132"/>
  <c r="I7" i="132"/>
  <c r="K269" i="105" s="1"/>
  <c r="K7" i="132"/>
  <c r="M269" i="105" s="1"/>
  <c r="M8" i="132"/>
  <c r="E8" i="132"/>
  <c r="J8" i="132"/>
  <c r="H50" i="128"/>
  <c r="F160" i="138"/>
  <c r="H160" i="138" s="1"/>
  <c r="C88" i="138"/>
  <c r="E88" i="138" s="1"/>
  <c r="F88" i="138"/>
  <c r="H88" i="138" s="1"/>
  <c r="P98" i="128"/>
  <c r="AP98" i="128" s="1"/>
  <c r="T116" i="128"/>
  <c r="L97" i="128"/>
  <c r="P97" i="128" s="1"/>
  <c r="AP97" i="128" s="1"/>
  <c r="I878" i="162"/>
  <c r="S876" i="162"/>
  <c r="H875" i="162"/>
  <c r="N10" i="218"/>
  <c r="BD102" i="128"/>
  <c r="N49" i="128" s="1"/>
  <c r="AZ102" i="128"/>
  <c r="J49" i="128" s="1"/>
  <c r="AY102" i="128"/>
  <c r="I49" i="128" s="1"/>
  <c r="AU102" i="128"/>
  <c r="E49" i="128" s="1"/>
  <c r="R83" i="107"/>
  <c r="AR125" i="138"/>
  <c r="AR126" i="138" s="1"/>
  <c r="Q98" i="128"/>
  <c r="AF98" i="128" s="1"/>
  <c r="F18" i="214"/>
  <c r="AP969" i="162"/>
  <c r="S815" i="162" s="1"/>
  <c r="N826" i="162"/>
  <c r="J826" i="162"/>
  <c r="AV923" i="162"/>
  <c r="AF971" i="162"/>
  <c r="AF972" i="162" s="1"/>
  <c r="I816" i="162" s="1"/>
  <c r="I817" i="162" s="1"/>
  <c r="H796" i="162"/>
  <c r="T796" i="162" s="1"/>
  <c r="H228" i="105"/>
  <c r="I228" i="105" s="1"/>
  <c r="J174" i="217"/>
  <c r="I156" i="162" s="1"/>
  <c r="D53" i="132" s="1"/>
  <c r="E53" i="132" s="1"/>
  <c r="I170" i="217"/>
  <c r="F152" i="162" s="1"/>
  <c r="I178" i="217"/>
  <c r="F160" i="162" s="1"/>
  <c r="J184" i="217"/>
  <c r="I166" i="162" s="1"/>
  <c r="D63" i="132" s="1"/>
  <c r="J191" i="217"/>
  <c r="I173" i="162" s="1"/>
  <c r="D70" i="132" s="1"/>
  <c r="J198" i="217"/>
  <c r="I180" i="162" s="1"/>
  <c r="E40" i="162"/>
  <c r="F121" i="105" s="1"/>
  <c r="D149" i="132"/>
  <c r="D345" i="132" s="1"/>
  <c r="AH924" i="162"/>
  <c r="AF923" i="162"/>
  <c r="H874" i="162"/>
  <c r="T874" i="162" s="1"/>
  <c r="T268" i="162" s="1"/>
  <c r="AB14" i="215" s="1"/>
  <c r="H861" i="162"/>
  <c r="T861" i="162" s="1"/>
  <c r="T255" i="162" s="1"/>
  <c r="AB6" i="215" s="1"/>
  <c r="J170" i="217"/>
  <c r="I152" i="162" s="1"/>
  <c r="D49" i="132" s="1"/>
  <c r="J181" i="217"/>
  <c r="I163" i="162" s="1"/>
  <c r="I195" i="217"/>
  <c r="F177" i="162" s="1"/>
  <c r="I202" i="217"/>
  <c r="F184" i="162" s="1"/>
  <c r="AT924" i="162"/>
  <c r="AT930" i="162" s="1"/>
  <c r="E49" i="162"/>
  <c r="F133" i="105" s="1"/>
  <c r="AL969" i="162"/>
  <c r="O815" i="162" s="1"/>
  <c r="AL924" i="162"/>
  <c r="AK969" i="162"/>
  <c r="N815" i="162" s="1"/>
  <c r="AK924" i="162"/>
  <c r="L826" i="162"/>
  <c r="AI969" i="162"/>
  <c r="L815" i="162" s="1"/>
  <c r="AI924" i="162"/>
  <c r="AU923" i="162"/>
  <c r="T872" i="162"/>
  <c r="T266" i="162" s="1"/>
  <c r="AB12" i="215" s="1"/>
  <c r="D148" i="132"/>
  <c r="D340" i="132" s="1"/>
  <c r="D150" i="132"/>
  <c r="D350" i="132" s="1"/>
  <c r="D151" i="132"/>
  <c r="D355" i="132" s="1"/>
  <c r="AL971" i="162"/>
  <c r="M826" i="162"/>
  <c r="M984" i="162"/>
  <c r="K826" i="162"/>
  <c r="AG923" i="162"/>
  <c r="H863" i="162"/>
  <c r="T863" i="162" s="1"/>
  <c r="T257" i="162" s="1"/>
  <c r="AB8" i="215" s="1"/>
  <c r="AG8" i="215" s="1"/>
  <c r="AH8" i="215" s="1"/>
  <c r="G802" i="162"/>
  <c r="H227" i="105"/>
  <c r="I227" i="105" s="1"/>
  <c r="AB163" i="138"/>
  <c r="AA164" i="138" s="1"/>
  <c r="AB164" i="138" s="1"/>
  <c r="AA165" i="138" s="1"/>
  <c r="AC163" i="138"/>
  <c r="W154" i="138" s="1"/>
  <c r="G581" i="131"/>
  <c r="I581" i="131" s="1"/>
  <c r="G234" i="105" s="1"/>
  <c r="H234" i="105" s="1"/>
  <c r="G585" i="131"/>
  <c r="I585" i="131" s="1"/>
  <c r="G238" i="105" s="1"/>
  <c r="H238" i="105" s="1"/>
  <c r="G589" i="131"/>
  <c r="I589" i="131" s="1"/>
  <c r="G242" i="105" s="1"/>
  <c r="H242" i="105" s="1"/>
  <c r="G593" i="131"/>
  <c r="I593" i="131" s="1"/>
  <c r="G246" i="105" s="1"/>
  <c r="H246" i="105" s="1"/>
  <c r="G597" i="131"/>
  <c r="I597" i="131" s="1"/>
  <c r="G250" i="105" s="1"/>
  <c r="H250" i="105" s="1"/>
  <c r="G601" i="131"/>
  <c r="I601" i="131" s="1"/>
  <c r="G254" i="105" s="1"/>
  <c r="H254" i="105" s="1"/>
  <c r="G605" i="131"/>
  <c r="I605" i="131" s="1"/>
  <c r="G258" i="105" s="1"/>
  <c r="H258" i="105" s="1"/>
  <c r="AM326" i="138"/>
  <c r="AJ325" i="138"/>
  <c r="AF9" i="138" s="1"/>
  <c r="V21" i="138" s="1"/>
  <c r="E54" i="148" s="1"/>
  <c r="AM179" i="138"/>
  <c r="AK179" i="138"/>
  <c r="AK178" i="138"/>
  <c r="AL178" i="138"/>
  <c r="AM142" i="138"/>
  <c r="AI142" i="138"/>
  <c r="AM107" i="138"/>
  <c r="AL107" i="138"/>
  <c r="AL108" i="138" s="1"/>
  <c r="AL106" i="138"/>
  <c r="AS125" i="138"/>
  <c r="AS126" i="138" s="1"/>
  <c r="AB12" i="138"/>
  <c r="P993" i="162"/>
  <c r="P994" i="162" s="1"/>
  <c r="P987" i="162" s="1"/>
  <c r="P841" i="162" s="1"/>
  <c r="P333" i="105" s="1"/>
  <c r="M81" i="133" s="1"/>
  <c r="M116" i="133" s="1"/>
  <c r="O255" i="107" s="1"/>
  <c r="P991" i="162"/>
  <c r="O993" i="162"/>
  <c r="O991" i="162"/>
  <c r="AL125" i="138"/>
  <c r="AL126" i="138" s="1"/>
  <c r="U12" i="138"/>
  <c r="H270" i="105"/>
  <c r="C53" i="132"/>
  <c r="D65" i="128"/>
  <c r="L65" i="128" s="1"/>
  <c r="P65" i="128" s="1"/>
  <c r="AP65" i="128" s="1"/>
  <c r="G345" i="132"/>
  <c r="E349" i="132"/>
  <c r="AL96" i="132"/>
  <c r="AE88" i="138"/>
  <c r="AB110" i="138" s="1"/>
  <c r="AG83" i="138" s="1"/>
  <c r="C316" i="138"/>
  <c r="D316" i="138" s="1"/>
  <c r="C317" i="138" s="1"/>
  <c r="K313" i="138"/>
  <c r="L313" i="138" s="1"/>
  <c r="G526" i="131"/>
  <c r="I526" i="131" s="1"/>
  <c r="G139" i="105" s="1"/>
  <c r="G530" i="131"/>
  <c r="I530" i="131" s="1"/>
  <c r="G534" i="131"/>
  <c r="I534" i="131" s="1"/>
  <c r="G538" i="131"/>
  <c r="I538" i="131" s="1"/>
  <c r="G542" i="131"/>
  <c r="I542" i="131" s="1"/>
  <c r="G546" i="131"/>
  <c r="I546" i="131" s="1"/>
  <c r="G550" i="131"/>
  <c r="I550" i="131" s="1"/>
  <c r="G554" i="131"/>
  <c r="I554" i="131" s="1"/>
  <c r="E570" i="131"/>
  <c r="E191" i="105" s="1"/>
  <c r="B113" i="133" s="1"/>
  <c r="Q98" i="148" s="1"/>
  <c r="D125" i="107"/>
  <c r="D1065" i="162" s="1"/>
  <c r="C124" i="148" s="1"/>
  <c r="I124" i="148" s="1"/>
  <c r="E568" i="131"/>
  <c r="E183" i="105" s="1"/>
  <c r="B111" i="133" s="1"/>
  <c r="Q95" i="148" s="1"/>
  <c r="D123" i="107"/>
  <c r="D1063" i="162" s="1"/>
  <c r="C122" i="148" s="1"/>
  <c r="I122" i="148" s="1"/>
  <c r="H72" i="133"/>
  <c r="E119" i="107"/>
  <c r="F1059" i="162" s="1"/>
  <c r="I99" i="162"/>
  <c r="I98" i="162" s="1"/>
  <c r="G7" i="105"/>
  <c r="G14" i="105" s="1"/>
  <c r="J993" i="162"/>
  <c r="J986" i="162" s="1"/>
  <c r="J840" i="162" s="1"/>
  <c r="J332" i="105" s="1"/>
  <c r="J991" i="162"/>
  <c r="C51" i="132"/>
  <c r="D63" i="128"/>
  <c r="L63" i="128" s="1"/>
  <c r="P63" i="128" s="1"/>
  <c r="AP63" i="128" s="1"/>
  <c r="F150" i="162"/>
  <c r="E164" i="132"/>
  <c r="G160" i="132"/>
  <c r="E6" i="105"/>
  <c r="P6" i="105" s="1"/>
  <c r="J8" i="105"/>
  <c r="J31" i="105" s="1"/>
  <c r="J27" i="105" s="1"/>
  <c r="Z86" i="148"/>
  <c r="AY86" i="148" s="1"/>
  <c r="AZ86" i="148" s="1"/>
  <c r="G517" i="105"/>
  <c r="I1052" i="162"/>
  <c r="Q127" i="133"/>
  <c r="H110" i="128"/>
  <c r="AC162" i="138"/>
  <c r="U154" i="138" s="1"/>
  <c r="AI144" i="138"/>
  <c r="AE152" i="138"/>
  <c r="AE154" i="138"/>
  <c r="AE81" i="138"/>
  <c r="AE118" i="138"/>
  <c r="AE117" i="138"/>
  <c r="T765" i="162"/>
  <c r="G607" i="131"/>
  <c r="I607" i="131" s="1"/>
  <c r="G260" i="105" s="1"/>
  <c r="H260" i="105" s="1"/>
  <c r="G599" i="131"/>
  <c r="I599" i="131" s="1"/>
  <c r="G252" i="105" s="1"/>
  <c r="H252" i="105" s="1"/>
  <c r="G591" i="131"/>
  <c r="I591" i="131" s="1"/>
  <c r="G244" i="105" s="1"/>
  <c r="H244" i="105" s="1"/>
  <c r="G583" i="131"/>
  <c r="I583" i="131" s="1"/>
  <c r="G236" i="105" s="1"/>
  <c r="H236" i="105" s="1"/>
  <c r="E109" i="107"/>
  <c r="F1049" i="162" s="1"/>
  <c r="E122" i="107"/>
  <c r="F1062" i="162" s="1"/>
  <c r="BC923" i="162"/>
  <c r="AL923" i="162"/>
  <c r="AL925" i="162" s="1"/>
  <c r="M817" i="162"/>
  <c r="J112" i="107"/>
  <c r="I96" i="162"/>
  <c r="I99" i="107"/>
  <c r="J129" i="105" s="1"/>
  <c r="J130" i="105" s="1"/>
  <c r="AF922" i="162"/>
  <c r="H864" i="162"/>
  <c r="T864" i="162" s="1"/>
  <c r="T258" i="162" s="1"/>
  <c r="AB9" i="215" s="1"/>
  <c r="AG9" i="215" s="1"/>
  <c r="AH9" i="215" s="1"/>
  <c r="J192" i="217"/>
  <c r="I174" i="162" s="1"/>
  <c r="I200" i="217"/>
  <c r="F182" i="162" s="1"/>
  <c r="I206" i="217"/>
  <c r="F188" i="162" s="1"/>
  <c r="T767" i="162"/>
  <c r="AG14" i="215"/>
  <c r="AH14" i="215" s="1"/>
  <c r="AN928" i="162"/>
  <c r="L110" i="148"/>
  <c r="N140" i="148"/>
  <c r="Y100" i="148" s="1"/>
  <c r="AH100" i="148" s="1"/>
  <c r="P74" i="128"/>
  <c r="AP74" i="128" s="1"/>
  <c r="Q73" i="128"/>
  <c r="AF73" i="128" s="1"/>
  <c r="P101" i="128"/>
  <c r="AP101" i="128" s="1"/>
  <c r="AP103" i="128" s="1"/>
  <c r="P100" i="128"/>
  <c r="AP100" i="128" s="1"/>
  <c r="Q99" i="128"/>
  <c r="AF99" i="128" s="1"/>
  <c r="P96" i="128"/>
  <c r="AP96" i="128" s="1"/>
  <c r="H43" i="138"/>
  <c r="T108" i="128"/>
  <c r="T121" i="128"/>
  <c r="T118" i="128"/>
  <c r="G9" i="213"/>
  <c r="P881" i="162"/>
  <c r="J881" i="162"/>
  <c r="R880" i="162"/>
  <c r="M880" i="162"/>
  <c r="S879" i="162"/>
  <c r="Q879" i="162"/>
  <c r="O879" i="162"/>
  <c r="L879" i="162"/>
  <c r="S878" i="162"/>
  <c r="Q878" i="162"/>
  <c r="O878" i="162"/>
  <c r="M878" i="162"/>
  <c r="K878" i="162"/>
  <c r="R877" i="162"/>
  <c r="P877" i="162"/>
  <c r="N877" i="162"/>
  <c r="J877" i="162"/>
  <c r="R876" i="162"/>
  <c r="P876" i="162"/>
  <c r="H876" i="162"/>
  <c r="R875" i="162"/>
  <c r="P875" i="162"/>
  <c r="N875" i="162"/>
  <c r="L875" i="162"/>
  <c r="J875" i="162"/>
  <c r="AC24" i="215"/>
  <c r="G6" i="214"/>
  <c r="I98" i="107"/>
  <c r="I194" i="107" s="1"/>
  <c r="E115" i="107"/>
  <c r="R118" i="107"/>
  <c r="R117" i="107"/>
  <c r="AO972" i="162"/>
  <c r="R816" i="162" s="1"/>
  <c r="R817" i="162" s="1"/>
  <c r="AN923" i="162"/>
  <c r="AN925" i="162" s="1"/>
  <c r="AM922" i="162"/>
  <c r="AM928" i="162" s="1"/>
  <c r="BA872" i="162"/>
  <c r="BA923" i="162" s="1"/>
  <c r="N99" i="107"/>
  <c r="O129" i="105" s="1"/>
  <c r="O130" i="105" s="1"/>
  <c r="O131" i="105" s="1"/>
  <c r="L63" i="133" s="1"/>
  <c r="L98" i="133" s="1"/>
  <c r="N258" i="107" s="1"/>
  <c r="AI972" i="162"/>
  <c r="L816" i="162" s="1"/>
  <c r="J99" i="107"/>
  <c r="K129" i="105" s="1"/>
  <c r="AL316" i="138"/>
  <c r="AL317" i="138" s="1"/>
  <c r="AG922" i="162"/>
  <c r="AG925" i="162" s="1"/>
  <c r="AE922" i="162"/>
  <c r="AE925" i="162" s="1"/>
  <c r="F38" i="162"/>
  <c r="G111" i="132"/>
  <c r="AY111" i="132" s="1"/>
  <c r="AE91" i="138"/>
  <c r="AD92" i="138" s="1"/>
  <c r="AF91" i="138"/>
  <c r="X82" i="138" s="1"/>
  <c r="AC91" i="138"/>
  <c r="W82" i="138" s="1"/>
  <c r="F108" i="128"/>
  <c r="G108" i="128"/>
  <c r="AE17" i="138"/>
  <c r="AF6" i="138"/>
  <c r="AG6" i="138" s="1"/>
  <c r="AI330" i="138"/>
  <c r="AE14" i="138" s="1"/>
  <c r="AE7" i="138"/>
  <c r="T19" i="138" s="1"/>
  <c r="Q99" i="148"/>
  <c r="B79" i="133"/>
  <c r="AB126" i="138"/>
  <c r="AA127" i="138" s="1"/>
  <c r="AC126" i="138"/>
  <c r="U118" i="138" s="1"/>
  <c r="V286" i="138"/>
  <c r="Y286" i="138"/>
  <c r="V289" i="138" s="1"/>
  <c r="AG280" i="138" s="1"/>
  <c r="AE125" i="138"/>
  <c r="AF125" i="138"/>
  <c r="T118" i="138" s="1"/>
  <c r="AE161" i="138"/>
  <c r="AF161" i="138"/>
  <c r="T154" i="138" s="1"/>
  <c r="V129" i="138"/>
  <c r="U130" i="138" s="1"/>
  <c r="W129" i="138"/>
  <c r="E316" i="138"/>
  <c r="S305" i="138" s="1"/>
  <c r="B76" i="133"/>
  <c r="D271" i="107"/>
  <c r="E20" i="219" s="1"/>
  <c r="F469" i="105"/>
  <c r="E468" i="105"/>
  <c r="L152" i="148"/>
  <c r="W104" i="148"/>
  <c r="AC104" i="148" s="1"/>
  <c r="F640" i="131" s="1"/>
  <c r="T254" i="162"/>
  <c r="AB24" i="215"/>
  <c r="AG24" i="215" s="1"/>
  <c r="AH24" i="215" s="1"/>
  <c r="T318" i="162"/>
  <c r="M25" i="105"/>
  <c r="M23" i="105" s="1"/>
  <c r="L25" i="105"/>
  <c r="L23" i="105" s="1"/>
  <c r="K25" i="105"/>
  <c r="K23" i="105" s="1"/>
  <c r="J25" i="105"/>
  <c r="J23" i="105" s="1"/>
  <c r="I25" i="105"/>
  <c r="I23" i="105" s="1"/>
  <c r="H25" i="105"/>
  <c r="H23" i="105" s="1"/>
  <c r="G25" i="105"/>
  <c r="G23" i="105" s="1"/>
  <c r="F25" i="105"/>
  <c r="F23" i="105" s="1"/>
  <c r="E25" i="105"/>
  <c r="E23" i="105" s="1"/>
  <c r="R127" i="133"/>
  <c r="AF162" i="138"/>
  <c r="V154" i="138" s="1"/>
  <c r="AY59" i="128"/>
  <c r="AE83" i="138"/>
  <c r="M5" i="128"/>
  <c r="BC59" i="128"/>
  <c r="E5" i="128"/>
  <c r="AU59" i="128"/>
  <c r="E213" i="107"/>
  <c r="F1055" i="162"/>
  <c r="V127" i="133"/>
  <c r="T127" i="133"/>
  <c r="AF126" i="138"/>
  <c r="V118" i="138" s="1"/>
  <c r="I91" i="138"/>
  <c r="J91" i="138" s="1"/>
  <c r="I92" i="138" s="1"/>
  <c r="J92" i="138" s="1"/>
  <c r="I93" i="138" s="1"/>
  <c r="S846" i="162"/>
  <c r="S147" i="105"/>
  <c r="S148" i="105" s="1"/>
  <c r="P66" i="133" s="1"/>
  <c r="P101" i="133" s="1"/>
  <c r="R261" i="107" s="1"/>
  <c r="AT160" i="138"/>
  <c r="AT161" i="138" s="1"/>
  <c r="AT162" i="138" s="1"/>
  <c r="AT88" i="138"/>
  <c r="AL287" i="138"/>
  <c r="AL288" i="138" s="1"/>
  <c r="U6" i="138"/>
  <c r="AK287" i="138"/>
  <c r="AK288" i="138" s="1"/>
  <c r="T8" i="138" s="1"/>
  <c r="T6" i="138"/>
  <c r="N98" i="105"/>
  <c r="O98" i="105"/>
  <c r="Q98" i="105"/>
  <c r="S98" i="105"/>
  <c r="T98" i="105"/>
  <c r="M98" i="105"/>
  <c r="P98" i="105"/>
  <c r="R98" i="105"/>
  <c r="H147" i="105"/>
  <c r="Q147" i="105"/>
  <c r="W140" i="132"/>
  <c r="W139" i="132"/>
  <c r="W138" i="132"/>
  <c r="W137" i="132"/>
  <c r="W136" i="132"/>
  <c r="W135" i="132"/>
  <c r="W134" i="132"/>
  <c r="W133" i="132"/>
  <c r="W132" i="132"/>
  <c r="W131" i="132"/>
  <c r="W130" i="132"/>
  <c r="W129" i="132"/>
  <c r="W128" i="132"/>
  <c r="W127" i="132"/>
  <c r="W126" i="132"/>
  <c r="W125" i="132"/>
  <c r="W124" i="132"/>
  <c r="W123" i="132"/>
  <c r="W122" i="132"/>
  <c r="W121" i="132"/>
  <c r="W120" i="132"/>
  <c r="W119" i="132"/>
  <c r="W118" i="132"/>
  <c r="W117" i="132"/>
  <c r="W116" i="132"/>
  <c r="W115" i="132"/>
  <c r="W114" i="132"/>
  <c r="W113" i="132"/>
  <c r="W112" i="132"/>
  <c r="AG13" i="215"/>
  <c r="AH13" i="215" s="1"/>
  <c r="AH26" i="138"/>
  <c r="Q86" i="128"/>
  <c r="AF86" i="128" s="1"/>
  <c r="Q76" i="128"/>
  <c r="AF76" i="128" s="1"/>
  <c r="G96" i="128"/>
  <c r="I96" i="128" s="1"/>
  <c r="Q113" i="128"/>
  <c r="Q111" i="128"/>
  <c r="Q109" i="128"/>
  <c r="N4" i="218"/>
  <c r="L881" i="162"/>
  <c r="I881" i="162"/>
  <c r="O880" i="162"/>
  <c r="H880" i="162"/>
  <c r="M879" i="162"/>
  <c r="J879" i="162"/>
  <c r="H878" i="162"/>
  <c r="M877" i="162"/>
  <c r="K877" i="162"/>
  <c r="I877" i="162"/>
  <c r="N876" i="162"/>
  <c r="L876" i="162"/>
  <c r="I876" i="162"/>
  <c r="E110" i="107"/>
  <c r="E118" i="107"/>
  <c r="F1058" i="162" s="1"/>
  <c r="E117" i="107"/>
  <c r="F1057" i="162" s="1"/>
  <c r="Q99" i="107"/>
  <c r="R129" i="105" s="1"/>
  <c r="R130" i="105" s="1"/>
  <c r="BA929" i="162"/>
  <c r="P99" i="162"/>
  <c r="P98" i="162" s="1"/>
  <c r="P96" i="162" s="1"/>
  <c r="N7" i="105"/>
  <c r="N14" i="105" s="1"/>
  <c r="Q93" i="107" s="1"/>
  <c r="Q112" i="107"/>
  <c r="AR316" i="138"/>
  <c r="AR317" i="138" s="1"/>
  <c r="AA6" i="138"/>
  <c r="J201" i="105"/>
  <c r="J202" i="105" s="1"/>
  <c r="G80" i="133" s="1"/>
  <c r="G115" i="133" s="1"/>
  <c r="I275" i="107" s="1"/>
  <c r="N105" i="105"/>
  <c r="M109" i="105" s="1"/>
  <c r="O105" i="105"/>
  <c r="N109" i="105" s="1"/>
  <c r="P105" i="105"/>
  <c r="O109" i="105" s="1"/>
  <c r="O110" i="105" s="1"/>
  <c r="L45" i="133" s="1"/>
  <c r="N245" i="107" s="1"/>
  <c r="Q105" i="105"/>
  <c r="P109" i="105" s="1"/>
  <c r="P110" i="105" s="1"/>
  <c r="M45" i="133" s="1"/>
  <c r="O245" i="107" s="1"/>
  <c r="S105" i="105"/>
  <c r="R109" i="105" s="1"/>
  <c r="T105" i="105"/>
  <c r="S109" i="105" s="1"/>
  <c r="S110" i="105" s="1"/>
  <c r="P45" i="133" s="1"/>
  <c r="R245" i="107" s="1"/>
  <c r="L105" i="105"/>
  <c r="K109" i="105" s="1"/>
  <c r="K110" i="105" s="1"/>
  <c r="H45" i="133" s="1"/>
  <c r="J245" i="107" s="1"/>
  <c r="M105" i="105"/>
  <c r="L109" i="105" s="1"/>
  <c r="R105" i="105"/>
  <c r="Q109" i="105" s="1"/>
  <c r="Q110" i="105" s="1"/>
  <c r="N45" i="133" s="1"/>
  <c r="P245" i="107" s="1"/>
  <c r="AI148" i="138"/>
  <c r="AI159" i="138" s="1"/>
  <c r="AI123" i="138"/>
  <c r="S127" i="133"/>
  <c r="O163" i="138"/>
  <c r="E139" i="105"/>
  <c r="AI179" i="138"/>
  <c r="AE22" i="138" s="1"/>
  <c r="AI326" i="138"/>
  <c r="Q97" i="148"/>
  <c r="E132" i="105"/>
  <c r="B99" i="133" s="1"/>
  <c r="AC313" i="138"/>
  <c r="AD313" i="138" s="1"/>
  <c r="L163" i="138"/>
  <c r="AE124" i="138"/>
  <c r="AB146" i="138" s="1"/>
  <c r="AG119" i="138" s="1"/>
  <c r="AE160" i="138"/>
  <c r="AB182" i="138" s="1"/>
  <c r="AG155" i="138" s="1"/>
  <c r="B225" i="133"/>
  <c r="C225" i="133" s="1"/>
  <c r="O851" i="162"/>
  <c r="D124" i="107"/>
  <c r="D1064" i="162" s="1"/>
  <c r="C123" i="148" s="1"/>
  <c r="I123" i="148" s="1"/>
  <c r="D120" i="107"/>
  <c r="D1060" i="162" s="1"/>
  <c r="C119" i="148" s="1"/>
  <c r="I119" i="148" s="1"/>
  <c r="G553" i="131"/>
  <c r="I553" i="131" s="1"/>
  <c r="G551" i="131"/>
  <c r="I551" i="131" s="1"/>
  <c r="G549" i="131"/>
  <c r="I549" i="131" s="1"/>
  <c r="G547" i="131"/>
  <c r="I547" i="131" s="1"/>
  <c r="G545" i="131"/>
  <c r="I545" i="131" s="1"/>
  <c r="G543" i="131"/>
  <c r="I543" i="131" s="1"/>
  <c r="G541" i="131"/>
  <c r="I541" i="131" s="1"/>
  <c r="G539" i="131"/>
  <c r="I539" i="131" s="1"/>
  <c r="G537" i="131"/>
  <c r="I537" i="131" s="1"/>
  <c r="G535" i="131"/>
  <c r="I535" i="131" s="1"/>
  <c r="G533" i="131"/>
  <c r="I533" i="131" s="1"/>
  <c r="G531" i="131"/>
  <c r="I531" i="131" s="1"/>
  <c r="G529" i="131"/>
  <c r="I529" i="131" s="1"/>
  <c r="G527" i="131"/>
  <c r="I527" i="131" s="1"/>
  <c r="C365" i="148"/>
  <c r="D492" i="105"/>
  <c r="R275" i="105"/>
  <c r="P138" i="133" s="1"/>
  <c r="Q949" i="162"/>
  <c r="M949" i="162"/>
  <c r="D251" i="133"/>
  <c r="Z91" i="148"/>
  <c r="AM325" i="138"/>
  <c r="AI9" i="138" s="1"/>
  <c r="Y21" i="138" s="1"/>
  <c r="H54" i="148" s="1"/>
  <c r="AK106" i="138"/>
  <c r="AI325" i="138"/>
  <c r="AE9" i="138" s="1"/>
  <c r="T21" i="138" s="1"/>
  <c r="AI178" i="138"/>
  <c r="AI182" i="138" s="1"/>
  <c r="AJ182" i="138" s="1"/>
  <c r="AK182" i="138" s="1"/>
  <c r="AL182" i="138" s="1"/>
  <c r="AJ178" i="138"/>
  <c r="AJ180" i="138" s="1"/>
  <c r="AI329" i="138"/>
  <c r="AI146" i="138"/>
  <c r="M1059" i="162"/>
  <c r="F50" i="128"/>
  <c r="I1051" i="162"/>
  <c r="E50" i="128"/>
  <c r="G1051" i="162"/>
  <c r="J80" i="138"/>
  <c r="O151" i="138"/>
  <c r="N150" i="138" s="1"/>
  <c r="M78" i="138"/>
  <c r="O79" i="138"/>
  <c r="N78" i="138" s="1"/>
  <c r="AK78" i="138" s="1"/>
  <c r="AF26" i="138"/>
  <c r="AJ107" i="138"/>
  <c r="AJ108" i="138" s="1"/>
  <c r="AG14" i="138"/>
  <c r="AG26" i="138"/>
  <c r="AK107" i="138"/>
  <c r="AK108" i="138" s="1"/>
  <c r="AH14" i="138"/>
  <c r="AL179" i="138"/>
  <c r="N110" i="148"/>
  <c r="Y85" i="148" s="1"/>
  <c r="AM143" i="138"/>
  <c r="AM144" i="138" s="1"/>
  <c r="D196" i="148"/>
  <c r="F196" i="148"/>
  <c r="Q67" i="128"/>
  <c r="AF67" i="128" s="1"/>
  <c r="Q96" i="128"/>
  <c r="AF96" i="128" s="1"/>
  <c r="O277" i="138"/>
  <c r="I166" i="217"/>
  <c r="Z198" i="131" s="1"/>
  <c r="N114" i="128" s="1"/>
  <c r="Q114" i="128" s="1"/>
  <c r="Q112" i="128"/>
  <c r="Q110" i="128"/>
  <c r="E87" i="107"/>
  <c r="E187" i="107" s="1"/>
  <c r="E111" i="107"/>
  <c r="F1051" i="162" s="1"/>
  <c r="E125" i="107"/>
  <c r="F1065" i="162" s="1"/>
  <c r="E120" i="107"/>
  <c r="F1060" i="162" s="1"/>
  <c r="R201" i="105"/>
  <c r="R147" i="105"/>
  <c r="Q201" i="105"/>
  <c r="Q202" i="105" s="1"/>
  <c r="N80" i="133" s="1"/>
  <c r="N115" i="133" s="1"/>
  <c r="P275" i="107" s="1"/>
  <c r="BB923" i="162"/>
  <c r="P201" i="105"/>
  <c r="AK923" i="162"/>
  <c r="AK922" i="162"/>
  <c r="N147" i="105"/>
  <c r="N148" i="105" s="1"/>
  <c r="K66" i="133" s="1"/>
  <c r="K101" i="133" s="1"/>
  <c r="M261" i="107" s="1"/>
  <c r="N110" i="105"/>
  <c r="K45" i="133" s="1"/>
  <c r="M245" i="107" s="1"/>
  <c r="M147" i="105"/>
  <c r="M148" i="105" s="1"/>
  <c r="J66" i="133" s="1"/>
  <c r="J101" i="133" s="1"/>
  <c r="L261" i="107" s="1"/>
  <c r="M110" i="105"/>
  <c r="J45" i="133" s="1"/>
  <c r="L245" i="107" s="1"/>
  <c r="L817" i="162"/>
  <c r="AI923" i="162"/>
  <c r="AI922" i="162"/>
  <c r="L147" i="105"/>
  <c r="L148" i="105" s="1"/>
  <c r="I66" i="133" s="1"/>
  <c r="I101" i="133" s="1"/>
  <c r="K261" i="107" s="1"/>
  <c r="K817" i="162"/>
  <c r="AH923" i="162"/>
  <c r="AH922" i="162"/>
  <c r="K147" i="105"/>
  <c r="K148" i="105" s="1"/>
  <c r="H66" i="133" s="1"/>
  <c r="H101" i="133" s="1"/>
  <c r="J261" i="107" s="1"/>
  <c r="G9" i="138"/>
  <c r="H140" i="133" s="1"/>
  <c r="J277" i="107" s="1"/>
  <c r="K92" i="105"/>
  <c r="AF969" i="162"/>
  <c r="I815" i="162" s="1"/>
  <c r="G831" i="162"/>
  <c r="H799" i="162"/>
  <c r="H377" i="105"/>
  <c r="H388" i="105" s="1"/>
  <c r="I181" i="217"/>
  <c r="F163" i="162" s="1"/>
  <c r="J180" i="217"/>
  <c r="I162" i="162" s="1"/>
  <c r="D59" i="132" s="1"/>
  <c r="I179" i="217"/>
  <c r="F161" i="162" s="1"/>
  <c r="J178" i="217"/>
  <c r="I160" i="162" s="1"/>
  <c r="D57" i="132" s="1"/>
  <c r="I188" i="217"/>
  <c r="F170" i="162" s="1"/>
  <c r="J187" i="217"/>
  <c r="I169" i="162" s="1"/>
  <c r="D66" i="132" s="1"/>
  <c r="J186" i="217"/>
  <c r="I168" i="162" s="1"/>
  <c r="D65" i="132" s="1"/>
  <c r="E65" i="132" s="1"/>
  <c r="J185" i="217"/>
  <c r="I167" i="162" s="1"/>
  <c r="D64" i="132" s="1"/>
  <c r="E64" i="132" s="1"/>
  <c r="I183" i="217"/>
  <c r="F165" i="162" s="1"/>
  <c r="J183" i="217"/>
  <c r="I165" i="162" s="1"/>
  <c r="D62" i="132" s="1"/>
  <c r="J195" i="217"/>
  <c r="I177" i="162" s="1"/>
  <c r="D74" i="132" s="1"/>
  <c r="J194" i="217"/>
  <c r="I176" i="162" s="1"/>
  <c r="D73" i="132" s="1"/>
  <c r="E73" i="132" s="1"/>
  <c r="I193" i="217"/>
  <c r="F175" i="162" s="1"/>
  <c r="I192" i="217"/>
  <c r="F174" i="162" s="1"/>
  <c r="I191" i="217"/>
  <c r="F173" i="162" s="1"/>
  <c r="I190" i="217"/>
  <c r="F172" i="162" s="1"/>
  <c r="J190" i="217"/>
  <c r="I172" i="162" s="1"/>
  <c r="D69" i="132" s="1"/>
  <c r="J202" i="217"/>
  <c r="I184" i="162" s="1"/>
  <c r="D81" i="132" s="1"/>
  <c r="J201" i="217"/>
  <c r="I183" i="162" s="1"/>
  <c r="D80" i="132" s="1"/>
  <c r="E80" i="132" s="1"/>
  <c r="J200" i="217"/>
  <c r="I182" i="162" s="1"/>
  <c r="D79" i="132" s="1"/>
  <c r="J199" i="217"/>
  <c r="I181" i="162" s="1"/>
  <c r="D78" i="132" s="1"/>
  <c r="E78" i="132" s="1"/>
  <c r="I198" i="217"/>
  <c r="F180" i="162" s="1"/>
  <c r="I197" i="217"/>
  <c r="F179" i="162" s="1"/>
  <c r="I209" i="217"/>
  <c r="F191" i="162" s="1"/>
  <c r="I207" i="217"/>
  <c r="F189" i="162" s="1"/>
  <c r="I205" i="217"/>
  <c r="F187" i="162" s="1"/>
  <c r="D43" i="138"/>
  <c r="E52" i="162"/>
  <c r="F139" i="105" s="1"/>
  <c r="J138" i="105" s="1"/>
  <c r="N139" i="105" s="1"/>
  <c r="E39" i="162"/>
  <c r="F120" i="105" s="1"/>
  <c r="E121" i="107"/>
  <c r="F1061" i="162" s="1"/>
  <c r="AP972" i="162"/>
  <c r="S816" i="162" s="1"/>
  <c r="S817" i="162" s="1"/>
  <c r="AC6" i="138"/>
  <c r="AS316" i="138"/>
  <c r="P99" i="107"/>
  <c r="Q129" i="105" s="1"/>
  <c r="Q130" i="105" s="1"/>
  <c r="AM923" i="162"/>
  <c r="AM925" i="162" s="1"/>
  <c r="AL972" i="162"/>
  <c r="O816" i="162" s="1"/>
  <c r="O817" i="162" s="1"/>
  <c r="AZ872" i="162"/>
  <c r="AZ923" i="162" s="1"/>
  <c r="AX872" i="162"/>
  <c r="AX923" i="162" s="1"/>
  <c r="L110" i="105"/>
  <c r="I45" i="133" s="1"/>
  <c r="K245" i="107" s="1"/>
  <c r="AW872" i="162"/>
  <c r="AW923" i="162" s="1"/>
  <c r="AU929" i="162"/>
  <c r="I201" i="105"/>
  <c r="I202" i="105" s="1"/>
  <c r="I142" i="105"/>
  <c r="I143" i="105" s="1"/>
  <c r="F65" i="133" s="1"/>
  <c r="F100" i="133" s="1"/>
  <c r="H260" i="107" s="1"/>
  <c r="D52" i="132"/>
  <c r="E52" i="132" s="1"/>
  <c r="D51" i="132"/>
  <c r="E51" i="132" s="1"/>
  <c r="D50" i="132"/>
  <c r="E50" i="132" s="1"/>
  <c r="D48" i="132"/>
  <c r="E48" i="132" s="1"/>
  <c r="D60" i="132"/>
  <c r="D58" i="132"/>
  <c r="E56" i="132"/>
  <c r="D55" i="132"/>
  <c r="E55" i="132" s="1"/>
  <c r="D67" i="132"/>
  <c r="D72" i="132"/>
  <c r="D71" i="132"/>
  <c r="D77" i="132"/>
  <c r="D76" i="132"/>
  <c r="D88" i="132"/>
  <c r="D86" i="132"/>
  <c r="D84" i="132"/>
  <c r="E90" i="132"/>
  <c r="AI156" i="138"/>
  <c r="AI120" i="138"/>
  <c r="AI84" i="138"/>
  <c r="AI282" i="138"/>
  <c r="AI286" i="138" s="1"/>
  <c r="AI287" i="138" s="1"/>
  <c r="AI288" i="138" s="1"/>
  <c r="AI311" i="138"/>
  <c r="E41" i="162"/>
  <c r="F122" i="105" s="1"/>
  <c r="H122" i="105" s="1"/>
  <c r="S335" i="105"/>
  <c r="S843" i="162"/>
  <c r="M335" i="105"/>
  <c r="T419" i="105"/>
  <c r="I335" i="105"/>
  <c r="I843" i="162"/>
  <c r="Y92" i="138"/>
  <c r="X93" i="138" s="1"/>
  <c r="Z92" i="138"/>
  <c r="J163" i="138"/>
  <c r="I164" i="138" s="1"/>
  <c r="K163" i="138"/>
  <c r="AF127" i="138"/>
  <c r="AE127" i="138"/>
  <c r="AD128" i="138" s="1"/>
  <c r="V92" i="138"/>
  <c r="U93" i="138" s="1"/>
  <c r="W92" i="138"/>
  <c r="AE163" i="138"/>
  <c r="AD164" i="138" s="1"/>
  <c r="AF163" i="138"/>
  <c r="P127" i="138"/>
  <c r="O128" i="138" s="1"/>
  <c r="Q127" i="138"/>
  <c r="M91" i="138"/>
  <c r="L92" i="138" s="1"/>
  <c r="N91" i="138"/>
  <c r="S130" i="138"/>
  <c r="R131" i="138" s="1"/>
  <c r="T130" i="138"/>
  <c r="V163" i="138"/>
  <c r="U164" i="138" s="1"/>
  <c r="W163" i="138"/>
  <c r="P163" i="138"/>
  <c r="O164" i="138" s="1"/>
  <c r="Q163" i="138"/>
  <c r="AE92" i="138"/>
  <c r="AD93" i="138" s="1"/>
  <c r="AF92" i="138"/>
  <c r="Z82" i="138" s="1"/>
  <c r="AB165" i="138"/>
  <c r="AA166" i="138" s="1"/>
  <c r="AC165" i="138"/>
  <c r="V130" i="138"/>
  <c r="U131" i="138" s="1"/>
  <c r="W130" i="138"/>
  <c r="Y127" i="138"/>
  <c r="X128" i="138" s="1"/>
  <c r="Z127" i="138"/>
  <c r="T114" i="128"/>
  <c r="C114" i="128"/>
  <c r="AF17" i="138"/>
  <c r="S163" i="138"/>
  <c r="R164" i="138" s="1"/>
  <c r="T163" i="138"/>
  <c r="AE10" i="138"/>
  <c r="AI327" i="138"/>
  <c r="AE11" i="138" s="1"/>
  <c r="T23" i="138" s="1"/>
  <c r="Q100" i="148"/>
  <c r="B80" i="133"/>
  <c r="Q81" i="148"/>
  <c r="B62" i="133"/>
  <c r="E64" i="162"/>
  <c r="E83" i="162" s="1"/>
  <c r="E46" i="162"/>
  <c r="E56" i="162" s="1"/>
  <c r="C168" i="133"/>
  <c r="Q163" i="133"/>
  <c r="H968" i="162"/>
  <c r="J968" i="162"/>
  <c r="L968" i="162"/>
  <c r="N968" i="162"/>
  <c r="P968" i="162"/>
  <c r="R968" i="162"/>
  <c r="H966" i="162"/>
  <c r="J966" i="162"/>
  <c r="L966" i="162"/>
  <c r="N966" i="162"/>
  <c r="P966" i="162"/>
  <c r="R966" i="162"/>
  <c r="H964" i="162"/>
  <c r="J964" i="162"/>
  <c r="L964" i="162"/>
  <c r="N964" i="162"/>
  <c r="P964" i="162"/>
  <c r="R964" i="162"/>
  <c r="H962" i="162"/>
  <c r="J962" i="162"/>
  <c r="L962" i="162"/>
  <c r="N962" i="162"/>
  <c r="P962" i="162"/>
  <c r="R962" i="162"/>
  <c r="H956" i="162"/>
  <c r="J956" i="162"/>
  <c r="L956" i="162"/>
  <c r="N956" i="162"/>
  <c r="P956" i="162"/>
  <c r="R956" i="162"/>
  <c r="I956" i="162"/>
  <c r="M956" i="162"/>
  <c r="Q956" i="162"/>
  <c r="H952" i="162"/>
  <c r="J952" i="162"/>
  <c r="L952" i="162"/>
  <c r="N952" i="162"/>
  <c r="P952" i="162"/>
  <c r="R952" i="162"/>
  <c r="I952" i="162"/>
  <c r="M952" i="162"/>
  <c r="Q952" i="162"/>
  <c r="H945" i="162"/>
  <c r="J945" i="162"/>
  <c r="L945" i="162"/>
  <c r="N945" i="162"/>
  <c r="P945" i="162"/>
  <c r="R945" i="162"/>
  <c r="I945" i="162"/>
  <c r="M945" i="162"/>
  <c r="Q945" i="162"/>
  <c r="H941" i="162"/>
  <c r="J941" i="162"/>
  <c r="L941" i="162"/>
  <c r="N941" i="162"/>
  <c r="P941" i="162"/>
  <c r="R941" i="162"/>
  <c r="I941" i="162"/>
  <c r="M941" i="162"/>
  <c r="Q941" i="162"/>
  <c r="H917" i="162"/>
  <c r="J917" i="162"/>
  <c r="L917" i="162"/>
  <c r="N917" i="162"/>
  <c r="P917" i="162"/>
  <c r="R917" i="162"/>
  <c r="I917" i="162"/>
  <c r="M917" i="162"/>
  <c r="Q917" i="162"/>
  <c r="I912" i="162"/>
  <c r="K912" i="162"/>
  <c r="M912" i="162"/>
  <c r="O912" i="162"/>
  <c r="Q912" i="162"/>
  <c r="S912" i="162"/>
  <c r="J912" i="162"/>
  <c r="N912" i="162"/>
  <c r="R912" i="162"/>
  <c r="H909" i="162"/>
  <c r="J909" i="162"/>
  <c r="L909" i="162"/>
  <c r="N909" i="162"/>
  <c r="P909" i="162"/>
  <c r="R909" i="162"/>
  <c r="I909" i="162"/>
  <c r="M909" i="162"/>
  <c r="Q909" i="162"/>
  <c r="I904" i="162"/>
  <c r="K904" i="162"/>
  <c r="M904" i="162"/>
  <c r="O904" i="162"/>
  <c r="Q904" i="162"/>
  <c r="S904" i="162"/>
  <c r="J904" i="162"/>
  <c r="N904" i="162"/>
  <c r="R904" i="162"/>
  <c r="H901" i="162"/>
  <c r="J901" i="162"/>
  <c r="L901" i="162"/>
  <c r="N901" i="162"/>
  <c r="P901" i="162"/>
  <c r="R901" i="162"/>
  <c r="I901" i="162"/>
  <c r="M901" i="162"/>
  <c r="Q901" i="162"/>
  <c r="I896" i="162"/>
  <c r="K896" i="162"/>
  <c r="M896" i="162"/>
  <c r="O896" i="162"/>
  <c r="Q896" i="162"/>
  <c r="S896" i="162"/>
  <c r="J896" i="162"/>
  <c r="N896" i="162"/>
  <c r="R896" i="162"/>
  <c r="H893" i="162"/>
  <c r="J893" i="162"/>
  <c r="L893" i="162"/>
  <c r="N893" i="162"/>
  <c r="P893" i="162"/>
  <c r="R893" i="162"/>
  <c r="I893" i="162"/>
  <c r="M893" i="162"/>
  <c r="Q893" i="162"/>
  <c r="I888" i="162"/>
  <c r="K888" i="162"/>
  <c r="M888" i="162"/>
  <c r="O888" i="162"/>
  <c r="Q888" i="162"/>
  <c r="S888" i="162"/>
  <c r="J888" i="162"/>
  <c r="N888" i="162"/>
  <c r="R888" i="162"/>
  <c r="H885" i="162"/>
  <c r="J885" i="162"/>
  <c r="L885" i="162"/>
  <c r="N885" i="162"/>
  <c r="P885" i="162"/>
  <c r="R885" i="162"/>
  <c r="I885" i="162"/>
  <c r="M885" i="162"/>
  <c r="Q885" i="162"/>
  <c r="I866" i="162"/>
  <c r="K866" i="162"/>
  <c r="M866" i="162"/>
  <c r="O866" i="162"/>
  <c r="Q866" i="162"/>
  <c r="S866" i="162"/>
  <c r="J866" i="162"/>
  <c r="N866" i="162"/>
  <c r="R866" i="162"/>
  <c r="H851" i="162"/>
  <c r="J851" i="162"/>
  <c r="L851" i="162"/>
  <c r="N851" i="162"/>
  <c r="P851" i="162"/>
  <c r="R851" i="162"/>
  <c r="I851" i="162"/>
  <c r="M851" i="162"/>
  <c r="Q851" i="162"/>
  <c r="H846" i="162"/>
  <c r="J846" i="162"/>
  <c r="L846" i="162"/>
  <c r="N846" i="162"/>
  <c r="P846" i="162"/>
  <c r="R846" i="162"/>
  <c r="I846" i="162"/>
  <c r="M846" i="162"/>
  <c r="Q846" i="162"/>
  <c r="D127" i="138"/>
  <c r="C128" i="138" s="1"/>
  <c r="E127" i="138"/>
  <c r="I350" i="105"/>
  <c r="F146" i="133" s="1"/>
  <c r="I357" i="105"/>
  <c r="F148" i="133" s="1"/>
  <c r="J286" i="138"/>
  <c r="M286" i="138"/>
  <c r="H127" i="138"/>
  <c r="G127" i="138"/>
  <c r="F128" i="138" s="1"/>
  <c r="J115" i="138"/>
  <c r="M114" i="138"/>
  <c r="J116" i="138"/>
  <c r="Q93" i="148"/>
  <c r="B74" i="133"/>
  <c r="D265" i="107"/>
  <c r="Q89" i="148"/>
  <c r="B70" i="133"/>
  <c r="Q87" i="148"/>
  <c r="B68" i="133"/>
  <c r="L104" i="132"/>
  <c r="E492" i="105"/>
  <c r="K103" i="132"/>
  <c r="D491" i="105"/>
  <c r="M150" i="138"/>
  <c r="J152" i="138"/>
  <c r="J151" i="138"/>
  <c r="AB100" i="148"/>
  <c r="M152" i="148"/>
  <c r="X104" i="148" s="1"/>
  <c r="AF104" i="148" s="1"/>
  <c r="G640" i="131" s="1"/>
  <c r="N152" i="148"/>
  <c r="Y104" i="148" s="1"/>
  <c r="AI104" i="148" s="1"/>
  <c r="H640" i="131" s="1"/>
  <c r="N81" i="148"/>
  <c r="M74" i="148" s="1"/>
  <c r="M81" i="148"/>
  <c r="L74" i="148" s="1"/>
  <c r="L81" i="148"/>
  <c r="K74" i="148" s="1"/>
  <c r="AI10" i="138"/>
  <c r="Y22" i="138" s="1"/>
  <c r="AM327" i="138"/>
  <c r="AI11" i="138" s="1"/>
  <c r="Y23" i="138" s="1"/>
  <c r="G669" i="131"/>
  <c r="F628" i="131"/>
  <c r="E135" i="148"/>
  <c r="K66" i="148"/>
  <c r="Q94" i="128"/>
  <c r="AF94" i="128" s="1"/>
  <c r="Q65" i="128"/>
  <c r="AF65" i="128" s="1"/>
  <c r="Q63" i="128"/>
  <c r="AF63" i="128" s="1"/>
  <c r="Q60" i="128"/>
  <c r="AF60" i="128" s="1"/>
  <c r="AC164" i="138"/>
  <c r="I108" i="128"/>
  <c r="AF89" i="138"/>
  <c r="AE119" i="138"/>
  <c r="W128" i="138"/>
  <c r="Y117" i="138" s="1"/>
  <c r="K92" i="138"/>
  <c r="Y79" i="138" s="1"/>
  <c r="T128" i="138"/>
  <c r="Z116" i="138" s="1"/>
  <c r="W127" i="138"/>
  <c r="K91" i="138"/>
  <c r="T127" i="138"/>
  <c r="AP1020" i="162"/>
  <c r="S999" i="162" s="1"/>
  <c r="AN1020" i="162"/>
  <c r="Q999" i="162" s="1"/>
  <c r="AL1020" i="162"/>
  <c r="O999" i="162" s="1"/>
  <c r="AJ1020" i="162"/>
  <c r="M999" i="162" s="1"/>
  <c r="AH1020" i="162"/>
  <c r="K999" i="162" s="1"/>
  <c r="AF1020" i="162"/>
  <c r="I999" i="162" s="1"/>
  <c r="AP1023" i="162"/>
  <c r="S1000" i="162" s="1"/>
  <c r="AJ1023" i="162"/>
  <c r="M1000" i="162" s="1"/>
  <c r="AH1023" i="162"/>
  <c r="K1000" i="162" s="1"/>
  <c r="S954" i="162"/>
  <c r="S950" i="162"/>
  <c r="S943" i="162"/>
  <c r="S939" i="162"/>
  <c r="S913" i="162"/>
  <c r="S905" i="162"/>
  <c r="S897" i="162"/>
  <c r="S889" i="162"/>
  <c r="S867" i="162"/>
  <c r="Q853" i="162"/>
  <c r="I853" i="162"/>
  <c r="O846" i="162"/>
  <c r="AI22" i="138"/>
  <c r="Y27" i="138" s="1"/>
  <c r="H60" i="148" s="1"/>
  <c r="BG367" i="132"/>
  <c r="DH154" i="132"/>
  <c r="T115" i="128"/>
  <c r="C115" i="128"/>
  <c r="O5" i="128"/>
  <c r="BE59" i="128"/>
  <c r="K5" i="128"/>
  <c r="BA59" i="128"/>
  <c r="G5" i="128"/>
  <c r="AW59" i="128"/>
  <c r="O154" i="132"/>
  <c r="DN154" i="132"/>
  <c r="Y163" i="138"/>
  <c r="X164" i="138" s="1"/>
  <c r="Z163" i="138"/>
  <c r="M127" i="138"/>
  <c r="L128" i="138" s="1"/>
  <c r="N127" i="138"/>
  <c r="AB286" i="138"/>
  <c r="AE286" i="138"/>
  <c r="AE18" i="138"/>
  <c r="T25" i="138" s="1"/>
  <c r="AI111" i="138"/>
  <c r="AE26" i="138" s="1"/>
  <c r="H417" i="105"/>
  <c r="H347" i="105"/>
  <c r="R999" i="162"/>
  <c r="AO1023" i="162"/>
  <c r="R1000" i="162" s="1"/>
  <c r="P999" i="162"/>
  <c r="AM1023" i="162"/>
  <c r="P1000" i="162" s="1"/>
  <c r="N999" i="162"/>
  <c r="AK1023" i="162"/>
  <c r="N1000" i="162" s="1"/>
  <c r="L999" i="162"/>
  <c r="AI1023" i="162"/>
  <c r="L1000" i="162" s="1"/>
  <c r="J999" i="162"/>
  <c r="AG1023" i="162"/>
  <c r="J1000" i="162" s="1"/>
  <c r="H999" i="162"/>
  <c r="AE1023" i="162"/>
  <c r="H1000" i="162" s="1"/>
  <c r="H954" i="162"/>
  <c r="J954" i="162"/>
  <c r="L954" i="162"/>
  <c r="N954" i="162"/>
  <c r="P954" i="162"/>
  <c r="R954" i="162"/>
  <c r="I954" i="162"/>
  <c r="M954" i="162"/>
  <c r="Q954" i="162"/>
  <c r="H950" i="162"/>
  <c r="J950" i="162"/>
  <c r="L950" i="162"/>
  <c r="N950" i="162"/>
  <c r="P950" i="162"/>
  <c r="R950" i="162"/>
  <c r="I950" i="162"/>
  <c r="M950" i="162"/>
  <c r="Q950" i="162"/>
  <c r="H943" i="162"/>
  <c r="J943" i="162"/>
  <c r="L943" i="162"/>
  <c r="N943" i="162"/>
  <c r="P943" i="162"/>
  <c r="R943" i="162"/>
  <c r="I943" i="162"/>
  <c r="M943" i="162"/>
  <c r="Q943" i="162"/>
  <c r="H939" i="162"/>
  <c r="J939" i="162"/>
  <c r="L939" i="162"/>
  <c r="N939" i="162"/>
  <c r="P939" i="162"/>
  <c r="R939" i="162"/>
  <c r="I939" i="162"/>
  <c r="M939" i="162"/>
  <c r="Q939" i="162"/>
  <c r="I916" i="162"/>
  <c r="K916" i="162"/>
  <c r="M916" i="162"/>
  <c r="O916" i="162"/>
  <c r="Q916" i="162"/>
  <c r="S916" i="162"/>
  <c r="J916" i="162"/>
  <c r="N916" i="162"/>
  <c r="R916" i="162"/>
  <c r="H913" i="162"/>
  <c r="J913" i="162"/>
  <c r="L913" i="162"/>
  <c r="N913" i="162"/>
  <c r="P913" i="162"/>
  <c r="R913" i="162"/>
  <c r="I913" i="162"/>
  <c r="M913" i="162"/>
  <c r="Q913" i="162"/>
  <c r="I908" i="162"/>
  <c r="K908" i="162"/>
  <c r="M908" i="162"/>
  <c r="O908" i="162"/>
  <c r="Q908" i="162"/>
  <c r="S908" i="162"/>
  <c r="J908" i="162"/>
  <c r="N908" i="162"/>
  <c r="R908" i="162"/>
  <c r="H905" i="162"/>
  <c r="J905" i="162"/>
  <c r="L905" i="162"/>
  <c r="N905" i="162"/>
  <c r="P905" i="162"/>
  <c r="R905" i="162"/>
  <c r="I905" i="162"/>
  <c r="M905" i="162"/>
  <c r="Q905" i="162"/>
  <c r="I900" i="162"/>
  <c r="K900" i="162"/>
  <c r="M900" i="162"/>
  <c r="O900" i="162"/>
  <c r="Q900" i="162"/>
  <c r="S900" i="162"/>
  <c r="J900" i="162"/>
  <c r="N900" i="162"/>
  <c r="R900" i="162"/>
  <c r="H897" i="162"/>
  <c r="J897" i="162"/>
  <c r="L897" i="162"/>
  <c r="N897" i="162"/>
  <c r="P897" i="162"/>
  <c r="R897" i="162"/>
  <c r="I897" i="162"/>
  <c r="M897" i="162"/>
  <c r="Q897" i="162"/>
  <c r="I892" i="162"/>
  <c r="K892" i="162"/>
  <c r="M892" i="162"/>
  <c r="O892" i="162"/>
  <c r="Q892" i="162"/>
  <c r="S892" i="162"/>
  <c r="J892" i="162"/>
  <c r="N892" i="162"/>
  <c r="R892" i="162"/>
  <c r="H889" i="162"/>
  <c r="J889" i="162"/>
  <c r="L889" i="162"/>
  <c r="N889" i="162"/>
  <c r="P889" i="162"/>
  <c r="R889" i="162"/>
  <c r="I889" i="162"/>
  <c r="M889" i="162"/>
  <c r="Q889" i="162"/>
  <c r="I884" i="162"/>
  <c r="K884" i="162"/>
  <c r="M884" i="162"/>
  <c r="O884" i="162"/>
  <c r="Q884" i="162"/>
  <c r="S884" i="162"/>
  <c r="J884" i="162"/>
  <c r="N884" i="162"/>
  <c r="R884" i="162"/>
  <c r="I870" i="162"/>
  <c r="T870" i="162" s="1"/>
  <c r="K870" i="162"/>
  <c r="M870" i="162"/>
  <c r="O870" i="162"/>
  <c r="Q870" i="162"/>
  <c r="S870" i="162"/>
  <c r="J870" i="162"/>
  <c r="N870" i="162"/>
  <c r="R870" i="162"/>
  <c r="H867" i="162"/>
  <c r="J867" i="162"/>
  <c r="L867" i="162"/>
  <c r="N867" i="162"/>
  <c r="P867" i="162"/>
  <c r="R867" i="162"/>
  <c r="I867" i="162"/>
  <c r="M867" i="162"/>
  <c r="Q867" i="162"/>
  <c r="K853" i="162"/>
  <c r="O853" i="162"/>
  <c r="S853" i="162"/>
  <c r="I850" i="162"/>
  <c r="K850" i="162"/>
  <c r="M850" i="162"/>
  <c r="O850" i="162"/>
  <c r="Q850" i="162"/>
  <c r="S850" i="162"/>
  <c r="J850" i="162"/>
  <c r="N850" i="162"/>
  <c r="R850" i="162"/>
  <c r="I845" i="162"/>
  <c r="K845" i="162"/>
  <c r="M845" i="162"/>
  <c r="O845" i="162"/>
  <c r="Q845" i="162"/>
  <c r="S845" i="162"/>
  <c r="J845" i="162"/>
  <c r="N845" i="162"/>
  <c r="R845" i="162"/>
  <c r="T764" i="162"/>
  <c r="AR66" i="128"/>
  <c r="AR90" i="128"/>
  <c r="AR78" i="128"/>
  <c r="AR60" i="128"/>
  <c r="AR61" i="128"/>
  <c r="AR62" i="128"/>
  <c r="AR63" i="128"/>
  <c r="AR64" i="128"/>
  <c r="AR65" i="128"/>
  <c r="AR67" i="128"/>
  <c r="AR68" i="128"/>
  <c r="AR69" i="128"/>
  <c r="AR70" i="128"/>
  <c r="AR71" i="128"/>
  <c r="AR72" i="128"/>
  <c r="AR73" i="128"/>
  <c r="AR74" i="128"/>
  <c r="AR75" i="128"/>
  <c r="AR76" i="128"/>
  <c r="AR77" i="128"/>
  <c r="AR80" i="128"/>
  <c r="AR81" i="128"/>
  <c r="AR82" i="128"/>
  <c r="AR83" i="128"/>
  <c r="AR84" i="128"/>
  <c r="AR85" i="128"/>
  <c r="AR86" i="128"/>
  <c r="AR87" i="128"/>
  <c r="AR88" i="128"/>
  <c r="AR89" i="128"/>
  <c r="AR91" i="128"/>
  <c r="AR92" i="128"/>
  <c r="AR93" i="128"/>
  <c r="AR94" i="128"/>
  <c r="AR95" i="128"/>
  <c r="AR96" i="128"/>
  <c r="AR98" i="128"/>
  <c r="AR99" i="128"/>
  <c r="AR100" i="128"/>
  <c r="AR101" i="128"/>
  <c r="AR79" i="128"/>
  <c r="AR97" i="128"/>
  <c r="AS58" i="128"/>
  <c r="G580" i="131"/>
  <c r="I580" i="131" s="1"/>
  <c r="G233" i="105" s="1"/>
  <c r="H233" i="105" s="1"/>
  <c r="G582" i="131"/>
  <c r="I582" i="131" s="1"/>
  <c r="G235" i="105" s="1"/>
  <c r="H235" i="105" s="1"/>
  <c r="G584" i="131"/>
  <c r="I584" i="131" s="1"/>
  <c r="G237" i="105" s="1"/>
  <c r="H237" i="105" s="1"/>
  <c r="G586" i="131"/>
  <c r="I586" i="131" s="1"/>
  <c r="G239" i="105" s="1"/>
  <c r="H239" i="105" s="1"/>
  <c r="G588" i="131"/>
  <c r="I588" i="131" s="1"/>
  <c r="G241" i="105" s="1"/>
  <c r="H241" i="105" s="1"/>
  <c r="G590" i="131"/>
  <c r="I590" i="131" s="1"/>
  <c r="G243" i="105" s="1"/>
  <c r="H243" i="105" s="1"/>
  <c r="G592" i="131"/>
  <c r="I592" i="131" s="1"/>
  <c r="G245" i="105" s="1"/>
  <c r="H245" i="105" s="1"/>
  <c r="G594" i="131"/>
  <c r="I594" i="131" s="1"/>
  <c r="G247" i="105" s="1"/>
  <c r="H247" i="105" s="1"/>
  <c r="G596" i="131"/>
  <c r="I596" i="131" s="1"/>
  <c r="G249" i="105" s="1"/>
  <c r="H249" i="105" s="1"/>
  <c r="G598" i="131"/>
  <c r="I598" i="131" s="1"/>
  <c r="G251" i="105" s="1"/>
  <c r="H251" i="105" s="1"/>
  <c r="G600" i="131"/>
  <c r="I600" i="131" s="1"/>
  <c r="G253" i="105" s="1"/>
  <c r="H253" i="105" s="1"/>
  <c r="G602" i="131"/>
  <c r="I602" i="131" s="1"/>
  <c r="G255" i="105" s="1"/>
  <c r="H255" i="105" s="1"/>
  <c r="G604" i="131"/>
  <c r="I604" i="131" s="1"/>
  <c r="G257" i="105" s="1"/>
  <c r="H257" i="105" s="1"/>
  <c r="G606" i="131"/>
  <c r="I606" i="131" s="1"/>
  <c r="G259" i="105" s="1"/>
  <c r="H259" i="105" s="1"/>
  <c r="G608" i="131"/>
  <c r="I608" i="131" s="1"/>
  <c r="G261" i="105" s="1"/>
  <c r="H261" i="105" s="1"/>
  <c r="E556" i="131"/>
  <c r="D111" i="107"/>
  <c r="D1051" i="162" s="1"/>
  <c r="C110" i="148" s="1"/>
  <c r="I110" i="148" s="1"/>
  <c r="D56" i="162"/>
  <c r="D433" i="105"/>
  <c r="D465" i="105" s="1"/>
  <c r="F56" i="162"/>
  <c r="AC6" i="215"/>
  <c r="AG6" i="215" s="1"/>
  <c r="AH6" i="215" s="1"/>
  <c r="U254" i="162"/>
  <c r="AC12" i="215"/>
  <c r="AG12" i="215" s="1"/>
  <c r="AH12" i="215" s="1"/>
  <c r="U265" i="162"/>
  <c r="V404" i="105"/>
  <c r="V411" i="105" s="1"/>
  <c r="W404" i="105"/>
  <c r="W411" i="105" s="1"/>
  <c r="H397" i="105"/>
  <c r="H398" i="105"/>
  <c r="X287" i="138"/>
  <c r="O91" i="138"/>
  <c r="R91" i="138"/>
  <c r="D269" i="107"/>
  <c r="H246" i="133"/>
  <c r="G246" i="133"/>
  <c r="F246" i="133"/>
  <c r="H959" i="162"/>
  <c r="J959" i="162"/>
  <c r="L959" i="162"/>
  <c r="N959" i="162"/>
  <c r="P959" i="162"/>
  <c r="R959" i="162"/>
  <c r="H919" i="162"/>
  <c r="J919" i="162"/>
  <c r="L919" i="162"/>
  <c r="N919" i="162"/>
  <c r="P919" i="162"/>
  <c r="R919" i="162"/>
  <c r="I918" i="162"/>
  <c r="K918" i="162"/>
  <c r="M918" i="162"/>
  <c r="O918" i="162"/>
  <c r="Q918" i="162"/>
  <c r="S918" i="162"/>
  <c r="H915" i="162"/>
  <c r="J915" i="162"/>
  <c r="L915" i="162"/>
  <c r="N915" i="162"/>
  <c r="P915" i="162"/>
  <c r="R915" i="162"/>
  <c r="I914" i="162"/>
  <c r="K914" i="162"/>
  <c r="M914" i="162"/>
  <c r="O914" i="162"/>
  <c r="Q914" i="162"/>
  <c r="S914" i="162"/>
  <c r="H911" i="162"/>
  <c r="J911" i="162"/>
  <c r="L911" i="162"/>
  <c r="N911" i="162"/>
  <c r="P911" i="162"/>
  <c r="R911" i="162"/>
  <c r="I910" i="162"/>
  <c r="K910" i="162"/>
  <c r="M910" i="162"/>
  <c r="O910" i="162"/>
  <c r="Q910" i="162"/>
  <c r="S910" i="162"/>
  <c r="H907" i="162"/>
  <c r="J907" i="162"/>
  <c r="L907" i="162"/>
  <c r="N907" i="162"/>
  <c r="P907" i="162"/>
  <c r="R907" i="162"/>
  <c r="I906" i="162"/>
  <c r="K906" i="162"/>
  <c r="M906" i="162"/>
  <c r="O906" i="162"/>
  <c r="Q906" i="162"/>
  <c r="S906" i="162"/>
  <c r="I902" i="162"/>
  <c r="K902" i="162"/>
  <c r="M902" i="162"/>
  <c r="O902" i="162"/>
  <c r="Q902" i="162"/>
  <c r="S902" i="162"/>
  <c r="H899" i="162"/>
  <c r="J899" i="162"/>
  <c r="L899" i="162"/>
  <c r="N899" i="162"/>
  <c r="P899" i="162"/>
  <c r="R899" i="162"/>
  <c r="I898" i="162"/>
  <c r="K898" i="162"/>
  <c r="M898" i="162"/>
  <c r="O898" i="162"/>
  <c r="Q898" i="162"/>
  <c r="S898" i="162"/>
  <c r="H895" i="162"/>
  <c r="J895" i="162"/>
  <c r="L895" i="162"/>
  <c r="N895" i="162"/>
  <c r="P895" i="162"/>
  <c r="R895" i="162"/>
  <c r="I894" i="162"/>
  <c r="K894" i="162"/>
  <c r="M894" i="162"/>
  <c r="O894" i="162"/>
  <c r="Q894" i="162"/>
  <c r="S894" i="162"/>
  <c r="H891" i="162"/>
  <c r="J891" i="162"/>
  <c r="L891" i="162"/>
  <c r="N891" i="162"/>
  <c r="P891" i="162"/>
  <c r="R891" i="162"/>
  <c r="I890" i="162"/>
  <c r="K890" i="162"/>
  <c r="M890" i="162"/>
  <c r="O890" i="162"/>
  <c r="Q890" i="162"/>
  <c r="S890" i="162"/>
  <c r="H887" i="162"/>
  <c r="J887" i="162"/>
  <c r="L887" i="162"/>
  <c r="N887" i="162"/>
  <c r="P887" i="162"/>
  <c r="R887" i="162"/>
  <c r="I886" i="162"/>
  <c r="K886" i="162"/>
  <c r="M886" i="162"/>
  <c r="O886" i="162"/>
  <c r="Q886" i="162"/>
  <c r="S886" i="162"/>
  <c r="H883" i="162"/>
  <c r="J883" i="162"/>
  <c r="L883" i="162"/>
  <c r="N883" i="162"/>
  <c r="P883" i="162"/>
  <c r="R883" i="162"/>
  <c r="I882" i="162"/>
  <c r="K882" i="162"/>
  <c r="M882" i="162"/>
  <c r="O882" i="162"/>
  <c r="Q882" i="162"/>
  <c r="S882" i="162"/>
  <c r="H869" i="162"/>
  <c r="J869" i="162"/>
  <c r="L869" i="162"/>
  <c r="N869" i="162"/>
  <c r="P869" i="162"/>
  <c r="R869" i="162"/>
  <c r="I868" i="162"/>
  <c r="K868" i="162"/>
  <c r="M868" i="162"/>
  <c r="O868" i="162"/>
  <c r="Q868" i="162"/>
  <c r="S868" i="162"/>
  <c r="H865" i="162"/>
  <c r="J865" i="162"/>
  <c r="L865" i="162"/>
  <c r="N865" i="162"/>
  <c r="P865" i="162"/>
  <c r="R865" i="162"/>
  <c r="H853" i="162"/>
  <c r="J853" i="162"/>
  <c r="L853" i="162"/>
  <c r="N853" i="162"/>
  <c r="P853" i="162"/>
  <c r="R853" i="162"/>
  <c r="H774" i="162"/>
  <c r="J774" i="162"/>
  <c r="L774" i="162"/>
  <c r="N774" i="162"/>
  <c r="P774" i="162"/>
  <c r="R774" i="162"/>
  <c r="H949" i="162"/>
  <c r="J949" i="162"/>
  <c r="L949" i="162"/>
  <c r="N949" i="162"/>
  <c r="P949" i="162"/>
  <c r="R949" i="162"/>
  <c r="G315" i="138"/>
  <c r="C315" i="138"/>
  <c r="E315" i="138" s="1"/>
  <c r="L315" i="138"/>
  <c r="N315" i="138" s="1"/>
  <c r="I315" i="138"/>
  <c r="K315" i="138" s="1"/>
  <c r="M313" i="138"/>
  <c r="N313" i="138" s="1"/>
  <c r="I409" i="105"/>
  <c r="G413" i="105"/>
  <c r="F468" i="105"/>
  <c r="G469" i="105"/>
  <c r="F46" i="128"/>
  <c r="F47" i="128" s="1"/>
  <c r="Q150" i="138"/>
  <c r="AI150" i="138"/>
  <c r="AJ150" i="138"/>
  <c r="AK150" i="138"/>
  <c r="AL150" i="138"/>
  <c r="AM150" i="138"/>
  <c r="AN150" i="138"/>
  <c r="AO150" i="138"/>
  <c r="AP150" i="138"/>
  <c r="AQ150" i="138"/>
  <c r="AR150" i="138"/>
  <c r="AS150" i="138"/>
  <c r="AT150" i="138"/>
  <c r="AJ78" i="138"/>
  <c r="AN78" i="138"/>
  <c r="AR78" i="138"/>
  <c r="AE100" i="148"/>
  <c r="O152" i="148"/>
  <c r="Z104" i="148" s="1"/>
  <c r="AL104" i="148" s="1"/>
  <c r="I640" i="131" s="1"/>
  <c r="G204" i="148"/>
  <c r="G201" i="148" s="1"/>
  <c r="H162" i="148" s="1"/>
  <c r="F204" i="148"/>
  <c r="E204" i="148"/>
  <c r="D204" i="148"/>
  <c r="F96" i="148"/>
  <c r="F95" i="148" s="1"/>
  <c r="H671" i="131"/>
  <c r="Q97" i="128"/>
  <c r="AF97" i="128" s="1"/>
  <c r="AS97" i="128"/>
  <c r="BH97" i="128" s="1"/>
  <c r="O284" i="138"/>
  <c r="P284" i="138" s="1"/>
  <c r="F287" i="138"/>
  <c r="S780" i="162"/>
  <c r="Q780" i="162"/>
  <c r="O780" i="162"/>
  <c r="M780" i="162"/>
  <c r="K780" i="162"/>
  <c r="I780" i="162"/>
  <c r="Y30" i="138"/>
  <c r="H63" i="148" s="1"/>
  <c r="X30" i="138"/>
  <c r="G63" i="148" s="1"/>
  <c r="O81" i="148"/>
  <c r="N74" i="148" s="1"/>
  <c r="G193" i="148"/>
  <c r="Q90" i="128"/>
  <c r="AF90" i="128" s="1"/>
  <c r="Q75" i="128"/>
  <c r="AF75" i="128" s="1"/>
  <c r="Q66" i="128"/>
  <c r="AF66" i="128" s="1"/>
  <c r="O286" i="138"/>
  <c r="Q286" i="138" s="1"/>
  <c r="R286" i="138"/>
  <c r="T286" i="138" s="1"/>
  <c r="BD923" i="162"/>
  <c r="N108" i="128"/>
  <c r="Z191" i="131"/>
  <c r="Z208" i="131" s="1"/>
  <c r="P10" i="218"/>
  <c r="P12" i="218"/>
  <c r="P6" i="218"/>
  <c r="P8" i="218" s="1"/>
  <c r="P17" i="218"/>
  <c r="P4" i="218"/>
  <c r="I36" i="213"/>
  <c r="R206" i="107"/>
  <c r="D116" i="107"/>
  <c r="D1056" i="162" s="1"/>
  <c r="C115" i="148" s="1"/>
  <c r="I115" i="148" s="1"/>
  <c r="D1055" i="162"/>
  <c r="C114" i="148" s="1"/>
  <c r="I114" i="148" s="1"/>
  <c r="C287" i="138"/>
  <c r="K284" i="138"/>
  <c r="L284" i="138" s="1"/>
  <c r="O115" i="138"/>
  <c r="N114" i="138" s="1"/>
  <c r="O306" i="138"/>
  <c r="H113" i="148"/>
  <c r="Z100" i="148"/>
  <c r="AM178" i="138"/>
  <c r="AM180" i="138" s="1"/>
  <c r="AM106" i="138"/>
  <c r="Y91" i="148"/>
  <c r="AL325" i="138"/>
  <c r="AH9" i="138" s="1"/>
  <c r="X21" i="138" s="1"/>
  <c r="AL142" i="138"/>
  <c r="X91" i="148"/>
  <c r="X85" i="148"/>
  <c r="U114" i="148"/>
  <c r="AK325" i="138"/>
  <c r="AG9" i="138" s="1"/>
  <c r="W21" i="138" s="1"/>
  <c r="D162" i="138"/>
  <c r="C163" i="138" s="1"/>
  <c r="AK142" i="138"/>
  <c r="AG21" i="138" s="1"/>
  <c r="W26" i="138" s="1"/>
  <c r="F59" i="148" s="1"/>
  <c r="D90" i="138"/>
  <c r="C91" i="138" s="1"/>
  <c r="D18" i="132"/>
  <c r="E18" i="132" s="1"/>
  <c r="AI106" i="138"/>
  <c r="C323" i="148"/>
  <c r="D323" i="148" s="1"/>
  <c r="W91" i="148"/>
  <c r="W85" i="148"/>
  <c r="D161" i="138"/>
  <c r="AJ142" i="138"/>
  <c r="AN142" i="138" s="1"/>
  <c r="D89" i="138"/>
  <c r="M1039" i="162"/>
  <c r="M1051" i="162"/>
  <c r="M1049" i="162"/>
  <c r="M1048" i="162" s="1"/>
  <c r="M1057" i="162"/>
  <c r="M1055" i="162"/>
  <c r="M1054" i="162" s="1"/>
  <c r="K1039" i="162"/>
  <c r="K1051" i="162"/>
  <c r="K1049" i="162"/>
  <c r="K1048" i="162" s="1"/>
  <c r="K1065" i="162"/>
  <c r="K1063" i="162"/>
  <c r="K1061" i="162"/>
  <c r="K1059" i="162"/>
  <c r="K1057" i="162"/>
  <c r="K1055" i="162"/>
  <c r="K1054" i="162" s="1"/>
  <c r="I1050" i="162"/>
  <c r="I1064" i="162"/>
  <c r="I1062" i="162"/>
  <c r="I1060" i="162"/>
  <c r="I1058" i="162"/>
  <c r="G162" i="138"/>
  <c r="F163" i="138" s="1"/>
  <c r="G90" i="138"/>
  <c r="F91" i="138" s="1"/>
  <c r="G1050" i="162"/>
  <c r="G1064" i="162"/>
  <c r="G1062" i="162"/>
  <c r="G1060" i="162"/>
  <c r="G1058" i="162"/>
  <c r="F161" i="138"/>
  <c r="H161" i="138" s="1"/>
  <c r="G89" i="138"/>
  <c r="C160" i="138"/>
  <c r="E160" i="138" s="1"/>
  <c r="D88" i="138"/>
  <c r="AD79" i="138" s="1"/>
  <c r="AJ326" i="138"/>
  <c r="AJ143" i="138"/>
  <c r="E212" i="148"/>
  <c r="D203" i="148"/>
  <c r="D201" i="148" s="1"/>
  <c r="E162" i="148" s="1"/>
  <c r="E96" i="148"/>
  <c r="E95" i="148" s="1"/>
  <c r="AK326" i="138"/>
  <c r="AK143" i="138"/>
  <c r="F212" i="148"/>
  <c r="E203" i="148"/>
  <c r="E201" i="148" s="1"/>
  <c r="F162" i="148" s="1"/>
  <c r="AL326" i="138"/>
  <c r="AL143" i="138"/>
  <c r="AL144" i="138" s="1"/>
  <c r="G212" i="148"/>
  <c r="F203" i="148"/>
  <c r="D195" i="148"/>
  <c r="D193" i="148" s="1"/>
  <c r="E196" i="148"/>
  <c r="F195" i="148"/>
  <c r="F193" i="148" s="1"/>
  <c r="AP924" i="162"/>
  <c r="BE905" i="162"/>
  <c r="BE924" i="162" s="1"/>
  <c r="AO922" i="162"/>
  <c r="BD862" i="162"/>
  <c r="BD922" i="162" s="1"/>
  <c r="BD925" i="162" s="1"/>
  <c r="R786" i="162" s="1"/>
  <c r="R325" i="105" s="1"/>
  <c r="R986" i="162"/>
  <c r="R840" i="162" s="1"/>
  <c r="R332" i="105" s="1"/>
  <c r="R994" i="162"/>
  <c r="R987" i="162" s="1"/>
  <c r="R841" i="162" s="1"/>
  <c r="R991" i="162"/>
  <c r="AR89" i="138"/>
  <c r="AA12" i="138"/>
  <c r="M9" i="138" s="1"/>
  <c r="N140" i="133" s="1"/>
  <c r="P277" i="107" s="1"/>
  <c r="M7" i="105"/>
  <c r="M14" i="105" s="1"/>
  <c r="P93" i="107" s="1"/>
  <c r="P112" i="107"/>
  <c r="P202" i="105"/>
  <c r="P130" i="105"/>
  <c r="P131" i="105" s="1"/>
  <c r="M63" i="133" s="1"/>
  <c r="M98" i="133" s="1"/>
  <c r="O258" i="107" s="1"/>
  <c r="AQ287" i="138"/>
  <c r="AQ288" i="138" s="1"/>
  <c r="Z8" i="138" s="1"/>
  <c r="Z6" i="138"/>
  <c r="O147" i="105"/>
  <c r="O148" i="105" s="1"/>
  <c r="L66" i="133" s="1"/>
  <c r="L101" i="133" s="1"/>
  <c r="N261" i="107" s="1"/>
  <c r="O994" i="162"/>
  <c r="O987" i="162" s="1"/>
  <c r="O841" i="162" s="1"/>
  <c r="O986" i="162"/>
  <c r="O840" i="162" s="1"/>
  <c r="O332" i="105" s="1"/>
  <c r="Y12" i="138"/>
  <c r="AP125" i="138"/>
  <c r="AP126" i="138" s="1"/>
  <c r="Y14" i="138" s="1"/>
  <c r="K7" i="105"/>
  <c r="K14" i="105" s="1"/>
  <c r="N93" i="107" s="1"/>
  <c r="N112" i="107"/>
  <c r="O92" i="105"/>
  <c r="M99" i="162"/>
  <c r="M98" i="162" s="1"/>
  <c r="N201" i="105"/>
  <c r="N142" i="105"/>
  <c r="N143" i="105" s="1"/>
  <c r="K65" i="133" s="1"/>
  <c r="K100" i="133" s="1"/>
  <c r="M260" i="107" s="1"/>
  <c r="AO125" i="138"/>
  <c r="AO126" i="138" s="1"/>
  <c r="X14" i="138" s="1"/>
  <c r="X12" i="138"/>
  <c r="AP923" i="162"/>
  <c r="S202" i="105"/>
  <c r="AT316" i="138"/>
  <c r="R148" i="105"/>
  <c r="O66" i="133" s="1"/>
  <c r="O101" i="133" s="1"/>
  <c r="Q261" i="107" s="1"/>
  <c r="AS161" i="138"/>
  <c r="AS162" i="138" s="1"/>
  <c r="AS89" i="138"/>
  <c r="AB6" i="138"/>
  <c r="N9" i="138" s="1"/>
  <c r="O140" i="133" s="1"/>
  <c r="Q277" i="107" s="1"/>
  <c r="R92" i="105"/>
  <c r="AN969" i="162"/>
  <c r="Q815" i="162" s="1"/>
  <c r="BC924" i="162"/>
  <c r="BC930" i="162" s="1"/>
  <c r="Q148" i="105"/>
  <c r="N66" i="133" s="1"/>
  <c r="N101" i="133" s="1"/>
  <c r="P261" i="107" s="1"/>
  <c r="BA924" i="162"/>
  <c r="BA930" i="162" s="1"/>
  <c r="BA922" i="162"/>
  <c r="K17" i="105"/>
  <c r="AZ929" i="162"/>
  <c r="AP922" i="162"/>
  <c r="AP928" i="162" s="1"/>
  <c r="BE862" i="162"/>
  <c r="BE922" i="162" s="1"/>
  <c r="S92" i="105"/>
  <c r="AO924" i="162"/>
  <c r="BD905" i="162"/>
  <c r="BD924" i="162" s="1"/>
  <c r="Q993" i="162"/>
  <c r="Q986" i="162" s="1"/>
  <c r="Q840" i="162" s="1"/>
  <c r="Q332" i="105" s="1"/>
  <c r="Q991" i="162"/>
  <c r="N16" i="105"/>
  <c r="P147" i="105"/>
  <c r="P148" i="105" s="1"/>
  <c r="M66" i="133" s="1"/>
  <c r="M101" i="133" s="1"/>
  <c r="O261" i="107" s="1"/>
  <c r="Z12" i="138"/>
  <c r="AQ125" i="138"/>
  <c r="AQ126" i="138" s="1"/>
  <c r="Z14" i="138" s="1"/>
  <c r="P92" i="105"/>
  <c r="L7" i="105"/>
  <c r="L14" i="105" s="1"/>
  <c r="O93" i="107" s="1"/>
  <c r="O112" i="107"/>
  <c r="N99" i="162"/>
  <c r="N98" i="162" s="1"/>
  <c r="N96" i="162" s="1"/>
  <c r="O202" i="105"/>
  <c r="AP287" i="138"/>
  <c r="AP288" i="138" s="1"/>
  <c r="Y8" i="138" s="1"/>
  <c r="Y6" i="138"/>
  <c r="N993" i="162"/>
  <c r="N986" i="162" s="1"/>
  <c r="N840" i="162" s="1"/>
  <c r="N332" i="105" s="1"/>
  <c r="N991" i="162"/>
  <c r="X6" i="138"/>
  <c r="J9" i="138" s="1"/>
  <c r="K140" i="133" s="1"/>
  <c r="M277" i="107" s="1"/>
  <c r="AO287" i="138"/>
  <c r="AO288" i="138" s="1"/>
  <c r="X8" i="138" s="1"/>
  <c r="N92" i="105"/>
  <c r="L99" i="162"/>
  <c r="L98" i="162" s="1"/>
  <c r="J7" i="105"/>
  <c r="J14" i="105" s="1"/>
  <c r="M99" i="107"/>
  <c r="M112" i="107"/>
  <c r="S881" i="162"/>
  <c r="Q881" i="162"/>
  <c r="O881" i="162"/>
  <c r="M881" i="162"/>
  <c r="K881" i="162"/>
  <c r="P880" i="162"/>
  <c r="N880" i="162"/>
  <c r="L880" i="162"/>
  <c r="J880" i="162"/>
  <c r="K879" i="162"/>
  <c r="T879" i="162" s="1"/>
  <c r="T273" i="162" s="1"/>
  <c r="AB19" i="215" s="1"/>
  <c r="AG19" i="215" s="1"/>
  <c r="AH19" i="215" s="1"/>
  <c r="J878" i="162"/>
  <c r="J876" i="162"/>
  <c r="BE923" i="162"/>
  <c r="S994" i="162"/>
  <c r="S987" i="162" s="1"/>
  <c r="S841" i="162" s="1"/>
  <c r="AO923" i="162"/>
  <c r="R202" i="105"/>
  <c r="R131" i="105"/>
  <c r="O63" i="133" s="1"/>
  <c r="O98" i="133" s="1"/>
  <c r="Q258" i="107" s="1"/>
  <c r="R110" i="105"/>
  <c r="O45" i="133" s="1"/>
  <c r="Q245" i="107" s="1"/>
  <c r="AN971" i="162"/>
  <c r="AN972" i="162" s="1"/>
  <c r="Q816" i="162" s="1"/>
  <c r="Q817" i="162" s="1"/>
  <c r="BC929" i="162"/>
  <c r="BC922" i="162"/>
  <c r="AR287" i="138"/>
  <c r="AR288" i="138" s="1"/>
  <c r="O96" i="162"/>
  <c r="Q92" i="105"/>
  <c r="BB929" i="162"/>
  <c r="BB922" i="162"/>
  <c r="Z7" i="138"/>
  <c r="L17" i="138" s="1"/>
  <c r="Y13" i="138"/>
  <c r="K18" i="138" s="1"/>
  <c r="M96" i="162"/>
  <c r="L96" i="162"/>
  <c r="AJ924" i="162"/>
  <c r="AY930" i="162" s="1"/>
  <c r="AY905" i="162"/>
  <c r="AY924" i="162" s="1"/>
  <c r="M142" i="105"/>
  <c r="M143" i="105" s="1"/>
  <c r="J65" i="133" s="1"/>
  <c r="J100" i="133" s="1"/>
  <c r="L260" i="107" s="1"/>
  <c r="M993" i="162"/>
  <c r="M986" i="162" s="1"/>
  <c r="M840" i="162" s="1"/>
  <c r="M332" i="105" s="1"/>
  <c r="AN287" i="138"/>
  <c r="AN288" i="138" s="1"/>
  <c r="W8" i="138" s="1"/>
  <c r="W6" i="138"/>
  <c r="L201" i="105"/>
  <c r="L202" i="105" s="1"/>
  <c r="L142" i="105"/>
  <c r="L143" i="105" s="1"/>
  <c r="I65" i="133" s="1"/>
  <c r="I100" i="133" s="1"/>
  <c r="K260" i="107" s="1"/>
  <c r="L993" i="162"/>
  <c r="L986" i="162" s="1"/>
  <c r="L840" i="162" s="1"/>
  <c r="L332" i="105" s="1"/>
  <c r="L991" i="162"/>
  <c r="AM287" i="138"/>
  <c r="AM288" i="138" s="1"/>
  <c r="V8" i="138" s="1"/>
  <c r="V6" i="138"/>
  <c r="J99" i="162"/>
  <c r="J98" i="162" s="1"/>
  <c r="J96" i="162" s="1"/>
  <c r="H7" i="105"/>
  <c r="H14" i="105" s="1"/>
  <c r="K99" i="107"/>
  <c r="K112" i="107"/>
  <c r="L92" i="105"/>
  <c r="K201" i="105"/>
  <c r="K202" i="105" s="1"/>
  <c r="K142" i="105"/>
  <c r="K143" i="105" s="1"/>
  <c r="H65" i="133" s="1"/>
  <c r="H100" i="133" s="1"/>
  <c r="J260" i="107" s="1"/>
  <c r="K993" i="162"/>
  <c r="K986" i="162" s="1"/>
  <c r="K840" i="162" s="1"/>
  <c r="K332" i="105" s="1"/>
  <c r="K991" i="162"/>
  <c r="BB905" i="162"/>
  <c r="BB924" i="162" s="1"/>
  <c r="BB930" i="162" s="1"/>
  <c r="AJ923" i="162"/>
  <c r="AJ922" i="162"/>
  <c r="AY862" i="162"/>
  <c r="AY922" i="162" s="1"/>
  <c r="AN125" i="138"/>
  <c r="AN126" i="138" s="1"/>
  <c r="W14" i="138" s="1"/>
  <c r="W12" i="138"/>
  <c r="K99" i="162"/>
  <c r="K98" i="162" s="1"/>
  <c r="K96" i="162" s="1"/>
  <c r="I7" i="105"/>
  <c r="I14" i="105" s="1"/>
  <c r="L99" i="107"/>
  <c r="L112" i="107"/>
  <c r="M92" i="105"/>
  <c r="AM125" i="138"/>
  <c r="AM126" i="138" s="1"/>
  <c r="V14" i="138" s="1"/>
  <c r="V12" i="138"/>
  <c r="K130" i="105"/>
  <c r="K131" i="105" s="1"/>
  <c r="H63" i="133" s="1"/>
  <c r="H98" i="133" s="1"/>
  <c r="J258" i="107" s="1"/>
  <c r="AZ905" i="162"/>
  <c r="AZ924" i="162" s="1"/>
  <c r="AZ930" i="162" s="1"/>
  <c r="AZ862" i="162"/>
  <c r="AZ922" i="162" s="1"/>
  <c r="AY872" i="162"/>
  <c r="AY923" i="162" s="1"/>
  <c r="M201" i="105"/>
  <c r="I147" i="105"/>
  <c r="F147" i="105" s="1"/>
  <c r="I993" i="162"/>
  <c r="I986" i="162" s="1"/>
  <c r="I840" i="162" s="1"/>
  <c r="I332" i="105" s="1"/>
  <c r="I98" i="105"/>
  <c r="J98" i="105"/>
  <c r="K98" i="105"/>
  <c r="L98" i="105"/>
  <c r="I105" i="105"/>
  <c r="K105" i="105"/>
  <c r="J109" i="105" s="1"/>
  <c r="J110" i="105" s="1"/>
  <c r="G45" i="133" s="1"/>
  <c r="I245" i="107" s="1"/>
  <c r="J105" i="105"/>
  <c r="I109" i="105" s="1"/>
  <c r="AX905" i="162"/>
  <c r="AX924" i="162" s="1"/>
  <c r="AX862" i="162"/>
  <c r="AX922" i="162" s="1"/>
  <c r="AW905" i="162"/>
  <c r="AW924" i="162" s="1"/>
  <c r="AW862" i="162"/>
  <c r="AW922" i="162" s="1"/>
  <c r="AL161" i="138"/>
  <c r="AL162" i="138" s="1"/>
  <c r="AL89" i="138"/>
  <c r="AG969" i="162"/>
  <c r="J815" i="162" s="1"/>
  <c r="AV924" i="162"/>
  <c r="AV930" i="162" s="1"/>
  <c r="J148" i="105"/>
  <c r="G66" i="133" s="1"/>
  <c r="G101" i="133" s="1"/>
  <c r="I261" i="107" s="1"/>
  <c r="J131" i="105"/>
  <c r="G63" i="133" s="1"/>
  <c r="G98" i="133" s="1"/>
  <c r="I258" i="107" s="1"/>
  <c r="AU924" i="162"/>
  <c r="AU930" i="162" s="1"/>
  <c r="AU922" i="162"/>
  <c r="H821" i="162"/>
  <c r="AK89" i="138"/>
  <c r="T12" i="138"/>
  <c r="F9" i="138" s="1"/>
  <c r="G140" i="133" s="1"/>
  <c r="I277" i="107" s="1"/>
  <c r="J92" i="105"/>
  <c r="H99" i="162"/>
  <c r="H98" i="162" s="1"/>
  <c r="H96" i="162" s="1"/>
  <c r="F7" i="105"/>
  <c r="F14" i="105" s="1"/>
  <c r="I93" i="107" s="1"/>
  <c r="I112" i="107"/>
  <c r="H825" i="162"/>
  <c r="G830" i="162"/>
  <c r="H828" i="162"/>
  <c r="G833" i="162"/>
  <c r="I828" i="162"/>
  <c r="AJ125" i="138"/>
  <c r="AJ126" i="138" s="1"/>
  <c r="G99" i="162"/>
  <c r="G98" i="162" s="1"/>
  <c r="G96" i="162" s="1"/>
  <c r="E7" i="105"/>
  <c r="E14" i="105" s="1"/>
  <c r="H99" i="107"/>
  <c r="H112" i="107"/>
  <c r="I92" i="105"/>
  <c r="AG971" i="162"/>
  <c r="AV929" i="162"/>
  <c r="AV922" i="162"/>
  <c r="I110" i="105"/>
  <c r="F45" i="133" s="1"/>
  <c r="H245" i="107" s="1"/>
  <c r="G617" i="131"/>
  <c r="I617" i="131" s="1"/>
  <c r="F305" i="105" s="1"/>
  <c r="G615" i="131"/>
  <c r="I615" i="131" s="1"/>
  <c r="F297" i="105" s="1"/>
  <c r="G613" i="131"/>
  <c r="I613" i="131" s="1"/>
  <c r="F289" i="105" s="1"/>
  <c r="G611" i="131"/>
  <c r="I611" i="131" s="1"/>
  <c r="F281" i="105" s="1"/>
  <c r="G616" i="131"/>
  <c r="I616" i="131" s="1"/>
  <c r="F301" i="105" s="1"/>
  <c r="G614" i="131"/>
  <c r="I614" i="131" s="1"/>
  <c r="F293" i="105" s="1"/>
  <c r="G612" i="131"/>
  <c r="I612" i="131" s="1"/>
  <c r="F285" i="105" s="1"/>
  <c r="AI274" i="138"/>
  <c r="G345" i="105"/>
  <c r="G341" i="105"/>
  <c r="J132" i="105"/>
  <c r="N133" i="105" s="1"/>
  <c r="P136" i="105" s="1"/>
  <c r="P137" i="105" s="1"/>
  <c r="M64" i="133" s="1"/>
  <c r="M99" i="133" s="1"/>
  <c r="O259" i="107" s="1"/>
  <c r="H133" i="105"/>
  <c r="J133" i="105" s="1"/>
  <c r="J119" i="105"/>
  <c r="J121" i="105" s="1"/>
  <c r="N125" i="105" s="1"/>
  <c r="N126" i="105" s="1"/>
  <c r="K62" i="133" s="1"/>
  <c r="K97" i="133" s="1"/>
  <c r="M257" i="107" s="1"/>
  <c r="H120" i="105"/>
  <c r="G562" i="131"/>
  <c r="I562" i="131" s="1"/>
  <c r="H159" i="105" s="1"/>
  <c r="J115" i="148" s="1"/>
  <c r="G561" i="131"/>
  <c r="I561" i="131" s="1"/>
  <c r="H155" i="105" s="1"/>
  <c r="G564" i="131"/>
  <c r="I564" i="131" s="1"/>
  <c r="H167" i="105" s="1"/>
  <c r="S169" i="105" s="1"/>
  <c r="S170" i="105" s="1"/>
  <c r="P71" i="133" s="1"/>
  <c r="P106" i="133" s="1"/>
  <c r="R266" i="107" s="1"/>
  <c r="G566" i="131"/>
  <c r="I566" i="131" s="1"/>
  <c r="H175" i="105" s="1"/>
  <c r="J120" i="148" s="1"/>
  <c r="O120" i="148" s="1"/>
  <c r="Z93" i="148" s="1"/>
  <c r="G568" i="131"/>
  <c r="I568" i="131" s="1"/>
  <c r="H183" i="105" s="1"/>
  <c r="J122" i="148" s="1"/>
  <c r="O122" i="148" s="1"/>
  <c r="Z95" i="148" s="1"/>
  <c r="G570" i="131"/>
  <c r="I570" i="131" s="1"/>
  <c r="H191" i="105" s="1"/>
  <c r="J124" i="148" s="1"/>
  <c r="O124" i="148" s="1"/>
  <c r="Z98" i="148" s="1"/>
  <c r="G563" i="131"/>
  <c r="I563" i="131" s="1"/>
  <c r="H163" i="105" s="1"/>
  <c r="P165" i="105" s="1"/>
  <c r="P166" i="105" s="1"/>
  <c r="M70" i="133" s="1"/>
  <c r="M105" i="133" s="1"/>
  <c r="O265" i="107" s="1"/>
  <c r="G565" i="131"/>
  <c r="I565" i="131" s="1"/>
  <c r="H171" i="105" s="1"/>
  <c r="G567" i="131"/>
  <c r="I567" i="131" s="1"/>
  <c r="H179" i="105" s="1"/>
  <c r="R181" i="105" s="1"/>
  <c r="R182" i="105" s="1"/>
  <c r="O75" i="133" s="1"/>
  <c r="O110" i="133" s="1"/>
  <c r="Q270" i="107" s="1"/>
  <c r="Q19" i="219" s="1"/>
  <c r="G569" i="131"/>
  <c r="I569" i="131" s="1"/>
  <c r="H187" i="105" s="1"/>
  <c r="F107" i="133"/>
  <c r="H267" i="107" s="1"/>
  <c r="H17" i="219" s="1"/>
  <c r="G766" i="162"/>
  <c r="G822" i="162"/>
  <c r="G803" i="162"/>
  <c r="G823" i="162"/>
  <c r="G804" i="162"/>
  <c r="S6" i="138"/>
  <c r="AJ156" i="138"/>
  <c r="G229" i="105"/>
  <c r="G100" i="105"/>
  <c r="G99" i="105"/>
  <c r="G206" i="162"/>
  <c r="J232" i="105"/>
  <c r="J234" i="105" s="1"/>
  <c r="M264" i="105" s="1"/>
  <c r="M265" i="105" s="1"/>
  <c r="J136" i="133" s="1"/>
  <c r="K636" i="131" s="1"/>
  <c r="E59" i="132"/>
  <c r="E66" i="132"/>
  <c r="E63" i="132"/>
  <c r="E87" i="132"/>
  <c r="E95" i="132"/>
  <c r="E94" i="132"/>
  <c r="E93" i="132"/>
  <c r="E92" i="132"/>
  <c r="E91" i="132"/>
  <c r="E107" i="133"/>
  <c r="H121" i="105"/>
  <c r="AI160" i="138"/>
  <c r="AI161" i="138" s="1"/>
  <c r="AI162" i="138" s="1"/>
  <c r="AI124" i="138"/>
  <c r="AI88" i="138"/>
  <c r="AI315" i="138"/>
  <c r="H157" i="105"/>
  <c r="H158" i="105" s="1"/>
  <c r="H142" i="105"/>
  <c r="H143" i="105" s="1"/>
  <c r="G230" i="105"/>
  <c r="D135" i="133" s="1"/>
  <c r="W135" i="133" s="1"/>
  <c r="X135" i="133" s="1"/>
  <c r="F143" i="162"/>
  <c r="AT922" i="162"/>
  <c r="H202" i="105"/>
  <c r="H148" i="105"/>
  <c r="G14" i="131"/>
  <c r="F15" i="131"/>
  <c r="D360" i="132"/>
  <c r="I109" i="132"/>
  <c r="W152" i="132"/>
  <c r="W151" i="132"/>
  <c r="W149" i="132"/>
  <c r="W148" i="132"/>
  <c r="W147" i="132"/>
  <c r="W146" i="132"/>
  <c r="W145" i="132"/>
  <c r="W144" i="132"/>
  <c r="W143" i="132"/>
  <c r="W142" i="132"/>
  <c r="W141" i="132"/>
  <c r="G114" i="105"/>
  <c r="H219" i="105"/>
  <c r="H221" i="105" s="1"/>
  <c r="E17" i="162"/>
  <c r="E5" i="162"/>
  <c r="P5" i="105" s="1"/>
  <c r="G84" i="107"/>
  <c r="F7" i="162"/>
  <c r="R62" i="105"/>
  <c r="E299" i="148" s="1"/>
  <c r="R64" i="105"/>
  <c r="M17" i="105" l="1"/>
  <c r="AB92" i="138"/>
  <c r="AA93" i="138" s="1"/>
  <c r="AC92" i="138"/>
  <c r="R6" i="138"/>
  <c r="D266" i="107"/>
  <c r="Q90" i="148"/>
  <c r="B71" i="133"/>
  <c r="T7" i="138"/>
  <c r="F17" i="138" s="1"/>
  <c r="AW930" i="162"/>
  <c r="X13" i="138"/>
  <c r="J18" i="138" s="1"/>
  <c r="AA8" i="138"/>
  <c r="BD929" i="162"/>
  <c r="E193" i="148"/>
  <c r="AH23" i="138"/>
  <c r="X28" i="138" s="1"/>
  <c r="G61" i="148" s="1"/>
  <c r="AK144" i="138"/>
  <c r="AH21" i="138"/>
  <c r="X26" i="138" s="1"/>
  <c r="G59" i="148" s="1"/>
  <c r="Q78" i="138"/>
  <c r="AQ78" i="138"/>
  <c r="AQ83" i="138" s="1"/>
  <c r="AM78" i="138"/>
  <c r="AI78" i="138"/>
  <c r="D273" i="107"/>
  <c r="T884" i="162"/>
  <c r="T900" i="162"/>
  <c r="T916" i="162"/>
  <c r="AL1023" i="162"/>
  <c r="O1000" i="162" s="1"/>
  <c r="E81" i="132"/>
  <c r="R89" i="128" s="1"/>
  <c r="AL180" i="138"/>
  <c r="R50" i="128"/>
  <c r="Q74" i="128"/>
  <c r="AF74" i="128" s="1"/>
  <c r="AF925" i="162"/>
  <c r="C81" i="132"/>
  <c r="D89" i="128"/>
  <c r="D50" i="128"/>
  <c r="AE79" i="138"/>
  <c r="D20" i="138"/>
  <c r="D8" i="132"/>
  <c r="G271" i="105"/>
  <c r="H20" i="138"/>
  <c r="K271" i="105"/>
  <c r="J20" i="138"/>
  <c r="M271" i="105"/>
  <c r="I270" i="105"/>
  <c r="I273" i="105" s="1"/>
  <c r="Q215" i="107"/>
  <c r="N59" i="105"/>
  <c r="Q70" i="128"/>
  <c r="AF70" i="128" s="1"/>
  <c r="F184" i="105"/>
  <c r="E127" i="107"/>
  <c r="E215" i="107" s="1"/>
  <c r="Q88" i="128"/>
  <c r="AF88" i="128" s="1"/>
  <c r="O7" i="105"/>
  <c r="O14" i="105" s="1"/>
  <c r="R93" i="107" s="1"/>
  <c r="R193" i="107" s="1"/>
  <c r="R112" i="107"/>
  <c r="R89" i="107"/>
  <c r="R210" i="105"/>
  <c r="O9" i="105"/>
  <c r="O62" i="105" s="1"/>
  <c r="R186" i="107"/>
  <c r="I20" i="138"/>
  <c r="L271" i="105"/>
  <c r="W150" i="132"/>
  <c r="R12" i="138"/>
  <c r="Q131" i="105"/>
  <c r="N63" i="133" s="1"/>
  <c r="N98" i="133" s="1"/>
  <c r="P258" i="107" s="1"/>
  <c r="T876" i="162"/>
  <c r="T270" i="162" s="1"/>
  <c r="T780" i="162"/>
  <c r="AT78" i="138"/>
  <c r="AP78" i="138"/>
  <c r="AL78" i="138"/>
  <c r="AF1023" i="162"/>
  <c r="I1000" i="162" s="1"/>
  <c r="AN1023" i="162"/>
  <c r="Q1000" i="162" s="1"/>
  <c r="B78" i="133"/>
  <c r="AM972" i="162"/>
  <c r="P816" i="162" s="1"/>
  <c r="P817" i="162" s="1"/>
  <c r="Q101" i="128"/>
  <c r="AF101" i="128" s="1"/>
  <c r="R99" i="107"/>
  <c r="S129" i="105" s="1"/>
  <c r="T877" i="162"/>
  <c r="T271" i="162" s="1"/>
  <c r="AB17" i="215" s="1"/>
  <c r="AG17" i="215" s="1"/>
  <c r="AH17" i="215" s="1"/>
  <c r="U8" i="138"/>
  <c r="C74" i="132"/>
  <c r="D83" i="128"/>
  <c r="L83" i="128" s="1"/>
  <c r="P83" i="128" s="1"/>
  <c r="C57" i="132"/>
  <c r="D68" i="128"/>
  <c r="L68" i="128" s="1"/>
  <c r="P68" i="128" s="1"/>
  <c r="L20" i="138"/>
  <c r="O271" i="105"/>
  <c r="F20" i="138"/>
  <c r="I271" i="105"/>
  <c r="I276" i="105" s="1"/>
  <c r="L270" i="105"/>
  <c r="L273" i="105" s="1"/>
  <c r="L274" i="105"/>
  <c r="L276" i="105"/>
  <c r="E20" i="138"/>
  <c r="H271" i="105"/>
  <c r="R215" i="107"/>
  <c r="O59" i="105"/>
  <c r="K127" i="138"/>
  <c r="W115" i="138" s="1"/>
  <c r="J127" i="138"/>
  <c r="I128" i="138" s="1"/>
  <c r="H802" i="162"/>
  <c r="K802" i="162"/>
  <c r="M802" i="162"/>
  <c r="L802" i="162"/>
  <c r="G807" i="162"/>
  <c r="I802" i="162"/>
  <c r="J802" i="162"/>
  <c r="N802" i="162"/>
  <c r="O802" i="162"/>
  <c r="P802" i="162"/>
  <c r="R802" i="162"/>
  <c r="G770" i="162"/>
  <c r="S802" i="162"/>
  <c r="Q802" i="162"/>
  <c r="L103" i="107"/>
  <c r="M838" i="162"/>
  <c r="M843" i="162" s="1"/>
  <c r="K270" i="105"/>
  <c r="K273" i="105" s="1"/>
  <c r="K276" i="105"/>
  <c r="K20" i="138"/>
  <c r="N271" i="105"/>
  <c r="G20" i="138"/>
  <c r="J271" i="105"/>
  <c r="AX930" i="162"/>
  <c r="T878" i="162"/>
  <c r="T272" i="162" s="1"/>
  <c r="AB18" i="215" s="1"/>
  <c r="AG18" i="215" s="1"/>
  <c r="AH18" i="215" s="1"/>
  <c r="K9" i="138"/>
  <c r="L140" i="133" s="1"/>
  <c r="N277" i="107" s="1"/>
  <c r="Q99" i="162"/>
  <c r="Q98" i="162" s="1"/>
  <c r="Q96" i="162" s="1"/>
  <c r="F201" i="148"/>
  <c r="G162" i="148" s="1"/>
  <c r="AS78" i="138"/>
  <c r="AO78" i="138"/>
  <c r="T892" i="162"/>
  <c r="T908" i="162"/>
  <c r="U7" i="138"/>
  <c r="G17" i="138" s="1"/>
  <c r="P986" i="162"/>
  <c r="P840" i="162" s="1"/>
  <c r="J994" i="162"/>
  <c r="J987" i="162" s="1"/>
  <c r="J841" i="162" s="1"/>
  <c r="W111" i="132"/>
  <c r="W153" i="132" s="1"/>
  <c r="I377" i="132" s="1"/>
  <c r="AC12" i="138"/>
  <c r="O9" i="138" s="1"/>
  <c r="P140" i="133" s="1"/>
  <c r="R277" i="107" s="1"/>
  <c r="AK972" i="162"/>
  <c r="N816" i="162" s="1"/>
  <c r="N817" i="162" s="1"/>
  <c r="T875" i="162"/>
  <c r="T269" i="162" s="1"/>
  <c r="AB15" i="215" s="1"/>
  <c r="AG15" i="215" s="1"/>
  <c r="AH15" i="215" s="1"/>
  <c r="C49" i="132"/>
  <c r="D61" i="128"/>
  <c r="M270" i="105"/>
  <c r="M273" i="105" s="1"/>
  <c r="M276" i="105"/>
  <c r="H276" i="105"/>
  <c r="J270" i="105"/>
  <c r="J273" i="105" s="1"/>
  <c r="J275" i="105"/>
  <c r="H138" i="133" s="1"/>
  <c r="I638" i="131" s="1"/>
  <c r="J274" i="105"/>
  <c r="J276" i="105"/>
  <c r="G269" i="105"/>
  <c r="D7" i="132"/>
  <c r="Q62" i="128"/>
  <c r="AF62" i="128" s="1"/>
  <c r="Q187" i="107"/>
  <c r="N9" i="105"/>
  <c r="N62" i="105" s="1"/>
  <c r="Q89" i="107"/>
  <c r="Q210" i="105"/>
  <c r="C79" i="132"/>
  <c r="D87" i="128"/>
  <c r="K151" i="105"/>
  <c r="K152" i="105" s="1"/>
  <c r="K153" i="105" s="1"/>
  <c r="H67" i="133" s="1"/>
  <c r="H102" i="133" s="1"/>
  <c r="J262" i="107" s="1"/>
  <c r="J204" i="107"/>
  <c r="J108" i="107"/>
  <c r="J653" i="107" s="1"/>
  <c r="J984" i="162"/>
  <c r="J992" i="162"/>
  <c r="J985" i="162" s="1"/>
  <c r="J839" i="162" s="1"/>
  <c r="J335" i="105" s="1"/>
  <c r="G17" i="105"/>
  <c r="J93" i="107"/>
  <c r="S53" i="132"/>
  <c r="R53" i="132"/>
  <c r="T53" i="132" s="1"/>
  <c r="B53" i="132"/>
  <c r="H273" i="105"/>
  <c r="H274" i="105"/>
  <c r="AK925" i="162"/>
  <c r="T117" i="128"/>
  <c r="N98" i="107"/>
  <c r="N194" i="107" s="1"/>
  <c r="Q100" i="128"/>
  <c r="AF100" i="128" s="1"/>
  <c r="AF103" i="128" s="1"/>
  <c r="AK180" i="138"/>
  <c r="AG23" i="138" s="1"/>
  <c r="W28" i="138" s="1"/>
  <c r="F61" i="148" s="1"/>
  <c r="H124" i="105"/>
  <c r="F124" i="105" s="1"/>
  <c r="G100" i="107"/>
  <c r="E100" i="107" s="1"/>
  <c r="F1039" i="162" s="1"/>
  <c r="E38" i="162"/>
  <c r="D24" i="105"/>
  <c r="C85" i="132"/>
  <c r="D92" i="128"/>
  <c r="L92" i="128" s="1"/>
  <c r="P92" i="128" s="1"/>
  <c r="G16" i="138"/>
  <c r="G45" i="105"/>
  <c r="S51" i="132"/>
  <c r="R51" i="132"/>
  <c r="T51" i="132" s="1"/>
  <c r="B51" i="132"/>
  <c r="H107" i="133"/>
  <c r="J267" i="107" s="1"/>
  <c r="J17" i="219" s="1"/>
  <c r="Y107" i="133"/>
  <c r="O984" i="162"/>
  <c r="O992" i="162"/>
  <c r="O985" i="162" s="1"/>
  <c r="O839" i="162" s="1"/>
  <c r="O335" i="105" s="1"/>
  <c r="P984" i="162"/>
  <c r="P992" i="162"/>
  <c r="P985" i="162" s="1"/>
  <c r="P839" i="162" s="1"/>
  <c r="P335" i="105" s="1"/>
  <c r="H185" i="105"/>
  <c r="H186" i="105" s="1"/>
  <c r="G264" i="105"/>
  <c r="G265" i="105" s="1"/>
  <c r="D136" i="133" s="1"/>
  <c r="W7" i="138"/>
  <c r="I17" i="138" s="1"/>
  <c r="E79" i="132"/>
  <c r="R87" i="128" s="1"/>
  <c r="J98" i="107"/>
  <c r="AG928" i="162"/>
  <c r="AF928" i="162"/>
  <c r="H275" i="105"/>
  <c r="F138" i="133" s="1"/>
  <c r="G638" i="131" s="1"/>
  <c r="BX90" i="132"/>
  <c r="CJ90" i="132" s="1"/>
  <c r="U90" i="132" s="1"/>
  <c r="R96" i="128"/>
  <c r="BX55" i="132"/>
  <c r="CJ55" i="132" s="1"/>
  <c r="U55" i="132" s="1"/>
  <c r="R66" i="128"/>
  <c r="BX48" i="132"/>
  <c r="CJ48" i="132" s="1"/>
  <c r="U48" i="132" s="1"/>
  <c r="R60" i="128"/>
  <c r="BX51" i="132"/>
  <c r="CJ51" i="132" s="1"/>
  <c r="U51" i="132" s="1"/>
  <c r="R63" i="128"/>
  <c r="BX53" i="132"/>
  <c r="CJ53" i="132" s="1"/>
  <c r="U53" i="132" s="1"/>
  <c r="R65" i="128"/>
  <c r="R142" i="105"/>
  <c r="R143" i="105" s="1"/>
  <c r="O65" i="133" s="1"/>
  <c r="O100" i="133" s="1"/>
  <c r="Q260" i="107" s="1"/>
  <c r="J109" i="148"/>
  <c r="C84" i="132"/>
  <c r="D91" i="128"/>
  <c r="F185" i="162"/>
  <c r="C88" i="132"/>
  <c r="D95" i="128"/>
  <c r="C77" i="132"/>
  <c r="D85" i="128"/>
  <c r="L85" i="128" s="1"/>
  <c r="P85" i="128" s="1"/>
  <c r="BX79" i="132"/>
  <c r="CJ79" i="132" s="1"/>
  <c r="U79" i="132" s="1"/>
  <c r="BX81" i="132"/>
  <c r="CJ81" i="132" s="1"/>
  <c r="U81" i="132" s="1"/>
  <c r="C69" i="132"/>
  <c r="D78" i="128"/>
  <c r="F171" i="162"/>
  <c r="C71" i="132"/>
  <c r="D80" i="128"/>
  <c r="BX73" i="132"/>
  <c r="CJ73" i="132" s="1"/>
  <c r="U73" i="132" s="1"/>
  <c r="R82" i="128"/>
  <c r="BX64" i="132"/>
  <c r="CJ64" i="132" s="1"/>
  <c r="U64" i="132" s="1"/>
  <c r="R74" i="128"/>
  <c r="E151" i="133"/>
  <c r="G250" i="107" s="1"/>
  <c r="H83" i="105"/>
  <c r="H831" i="162"/>
  <c r="J831" i="162"/>
  <c r="K831" i="162"/>
  <c r="L831" i="162"/>
  <c r="N831" i="162"/>
  <c r="P831" i="162"/>
  <c r="I831" i="162"/>
  <c r="M831" i="162"/>
  <c r="O831" i="162"/>
  <c r="Q831" i="162"/>
  <c r="S831" i="162"/>
  <c r="R831" i="162"/>
  <c r="J333" i="105"/>
  <c r="G81" i="133" s="1"/>
  <c r="G116" i="133" s="1"/>
  <c r="I255" i="107" s="1"/>
  <c r="J842" i="162"/>
  <c r="J331" i="105" s="1"/>
  <c r="AI928" i="162"/>
  <c r="AI925" i="162"/>
  <c r="N276" i="138"/>
  <c r="AE281" i="138"/>
  <c r="AE279" i="138"/>
  <c r="AE277" i="138"/>
  <c r="AE278" i="138"/>
  <c r="AE280" i="138"/>
  <c r="Q638" i="131"/>
  <c r="N163" i="138"/>
  <c r="X151" i="138" s="1"/>
  <c r="M163" i="138"/>
  <c r="L164" i="138" s="1"/>
  <c r="B64" i="133"/>
  <c r="Q83" i="148"/>
  <c r="AI129" i="138"/>
  <c r="AI127" i="138"/>
  <c r="Q193" i="107"/>
  <c r="E203" i="107"/>
  <c r="F1050" i="162"/>
  <c r="E317" i="138"/>
  <c r="U305" i="138" s="1"/>
  <c r="D317" i="138"/>
  <c r="U287" i="138"/>
  <c r="AD280" i="138"/>
  <c r="AB127" i="138"/>
  <c r="AA128" i="138" s="1"/>
  <c r="AC127" i="138"/>
  <c r="W118" i="138" s="1"/>
  <c r="AI128" i="138"/>
  <c r="H125" i="105"/>
  <c r="H126" i="105" s="1"/>
  <c r="AI316" i="138"/>
  <c r="AI89" i="138"/>
  <c r="AI125" i="138"/>
  <c r="AI126" i="138" s="1"/>
  <c r="V7" i="138"/>
  <c r="H17" i="138" s="1"/>
  <c r="T880" i="162"/>
  <c r="T274" i="162" s="1"/>
  <c r="AB20" i="215" s="1"/>
  <c r="AG20" i="215" s="1"/>
  <c r="AH20" i="215" s="1"/>
  <c r="T881" i="162"/>
  <c r="T275" i="162" s="1"/>
  <c r="AB21" i="215" s="1"/>
  <c r="AG21" i="215" s="1"/>
  <c r="AH21" i="215" s="1"/>
  <c r="E318" i="138"/>
  <c r="AH925" i="162"/>
  <c r="Q142" i="105"/>
  <c r="Q143" i="105" s="1"/>
  <c r="N65" i="133" s="1"/>
  <c r="N100" i="133" s="1"/>
  <c r="P260" i="107" s="1"/>
  <c r="J142" i="105"/>
  <c r="J143" i="105" s="1"/>
  <c r="G65" i="133" s="1"/>
  <c r="G100" i="133" s="1"/>
  <c r="I260" i="107" s="1"/>
  <c r="O142" i="105"/>
  <c r="O143" i="105" s="1"/>
  <c r="L65" i="133" s="1"/>
  <c r="L100" i="133" s="1"/>
  <c r="N260" i="107" s="1"/>
  <c r="S142" i="105"/>
  <c r="S143" i="105" s="1"/>
  <c r="P65" i="133" s="1"/>
  <c r="P100" i="133" s="1"/>
  <c r="R260" i="107" s="1"/>
  <c r="Q98" i="107"/>
  <c r="AT89" i="138"/>
  <c r="AK928" i="162"/>
  <c r="BX56" i="132"/>
  <c r="CJ56" i="132" s="1"/>
  <c r="U56" i="132" s="1"/>
  <c r="R67" i="128"/>
  <c r="BX50" i="132"/>
  <c r="CJ50" i="132" s="1"/>
  <c r="U50" i="132" s="1"/>
  <c r="R62" i="128"/>
  <c r="BX52" i="132"/>
  <c r="CJ52" i="132" s="1"/>
  <c r="U52" i="132" s="1"/>
  <c r="R64" i="128"/>
  <c r="P332" i="105"/>
  <c r="P842" i="162"/>
  <c r="P331" i="105" s="1"/>
  <c r="AB7" i="138"/>
  <c r="N17" i="138" s="1"/>
  <c r="AS317" i="138"/>
  <c r="AB8" i="138" s="1"/>
  <c r="J43" i="138"/>
  <c r="F154" i="148" s="1"/>
  <c r="E43" i="138"/>
  <c r="C86" i="132"/>
  <c r="D93" i="128"/>
  <c r="C76" i="132"/>
  <c r="E76" i="132" s="1"/>
  <c r="D84" i="128"/>
  <c r="F178" i="162"/>
  <c r="BX78" i="132"/>
  <c r="CJ78" i="132" s="1"/>
  <c r="U78" i="132" s="1"/>
  <c r="R86" i="128"/>
  <c r="BX80" i="132"/>
  <c r="CJ80" i="132" s="1"/>
  <c r="U80" i="132" s="1"/>
  <c r="R88" i="128"/>
  <c r="C70" i="132"/>
  <c r="D79" i="128"/>
  <c r="L79" i="128" s="1"/>
  <c r="P79" i="128" s="1"/>
  <c r="C72" i="132"/>
  <c r="D81" i="128"/>
  <c r="C62" i="132"/>
  <c r="D72" i="128"/>
  <c r="F164" i="162"/>
  <c r="BX65" i="132"/>
  <c r="CJ65" i="132" s="1"/>
  <c r="U65" i="132" s="1"/>
  <c r="R75" i="128"/>
  <c r="C67" i="132"/>
  <c r="D77" i="128"/>
  <c r="C58" i="132"/>
  <c r="D69" i="128"/>
  <c r="F157" i="162"/>
  <c r="C60" i="132"/>
  <c r="D71" i="128"/>
  <c r="L71" i="128" s="1"/>
  <c r="P71" i="128" s="1"/>
  <c r="H800" i="162"/>
  <c r="AE928" i="162" s="1"/>
  <c r="T799" i="162"/>
  <c r="T800" i="162" s="1"/>
  <c r="K93" i="105"/>
  <c r="J209" i="105"/>
  <c r="Q79" i="138"/>
  <c r="O86" i="138"/>
  <c r="P86" i="138" s="1"/>
  <c r="U86" i="138"/>
  <c r="V86" i="138" s="1"/>
  <c r="AA86" i="138"/>
  <c r="AB86" i="138" s="1"/>
  <c r="R81" i="138"/>
  <c r="I86" i="138"/>
  <c r="J86" i="138" s="1"/>
  <c r="Q81" i="138"/>
  <c r="R80" i="138"/>
  <c r="R79" i="138"/>
  <c r="Q80" i="138"/>
  <c r="Q82" i="138"/>
  <c r="R82" i="138"/>
  <c r="R78" i="138"/>
  <c r="U158" i="138"/>
  <c r="V158" i="138" s="1"/>
  <c r="I158" i="138"/>
  <c r="J158" i="138" s="1"/>
  <c r="R154" i="138"/>
  <c r="R153" i="138"/>
  <c r="R152" i="138"/>
  <c r="R151" i="138"/>
  <c r="R150" i="138"/>
  <c r="AA158" i="138"/>
  <c r="AB158" i="138" s="1"/>
  <c r="Q153" i="138"/>
  <c r="Q151" i="138"/>
  <c r="O158" i="138"/>
  <c r="P158" i="138" s="1"/>
  <c r="Q154" i="138"/>
  <c r="Q152" i="138"/>
  <c r="AJ329" i="138"/>
  <c r="AF13" i="138" s="1"/>
  <c r="E29" i="138" s="1"/>
  <c r="D370" i="148" s="1"/>
  <c r="D369" i="148" s="1"/>
  <c r="AE13" i="138"/>
  <c r="AY91" i="148"/>
  <c r="AZ91" i="148" s="1"/>
  <c r="R151" i="105"/>
  <c r="Q204" i="107"/>
  <c r="Q108" i="107"/>
  <c r="Q653" i="107" s="1"/>
  <c r="N16" i="138"/>
  <c r="N45" i="105"/>
  <c r="J93" i="138"/>
  <c r="I94" i="138" s="1"/>
  <c r="K93" i="138"/>
  <c r="AY925" i="162"/>
  <c r="M786" i="162" s="1"/>
  <c r="M325" i="105" s="1"/>
  <c r="Y7" i="138"/>
  <c r="K17" i="138" s="1"/>
  <c r="E84" i="132"/>
  <c r="E88" i="132"/>
  <c r="E71" i="132"/>
  <c r="E69" i="132"/>
  <c r="AW929" i="162"/>
  <c r="AX929" i="162"/>
  <c r="P142" i="105"/>
  <c r="P143" i="105" s="1"/>
  <c r="M65" i="133" s="1"/>
  <c r="M100" i="133" s="1"/>
  <c r="O260" i="107" s="1"/>
  <c r="AI180" i="138"/>
  <c r="P98" i="107"/>
  <c r="P194" i="107" s="1"/>
  <c r="R98" i="107"/>
  <c r="AH928" i="162"/>
  <c r="H139" i="105"/>
  <c r="J139" i="105" s="1"/>
  <c r="E16" i="138"/>
  <c r="E45" i="105"/>
  <c r="I80" i="133"/>
  <c r="I115" i="133" s="1"/>
  <c r="K275" i="107" s="1"/>
  <c r="AB16" i="215"/>
  <c r="AG16" i="215" s="1"/>
  <c r="AH16" i="215" s="1"/>
  <c r="L16" i="138"/>
  <c r="L45" i="105"/>
  <c r="E62" i="133"/>
  <c r="H80" i="133"/>
  <c r="H115" i="133" s="1"/>
  <c r="J275" i="107" s="1"/>
  <c r="R333" i="105"/>
  <c r="O81" i="133" s="1"/>
  <c r="R842" i="162"/>
  <c r="R331" i="105" s="1"/>
  <c r="E300" i="148"/>
  <c r="J315" i="107"/>
  <c r="H355" i="162"/>
  <c r="E7" i="162"/>
  <c r="F8" i="162"/>
  <c r="E8" i="162" s="1"/>
  <c r="E667" i="131" s="1"/>
  <c r="G221" i="105"/>
  <c r="G222" i="105" s="1"/>
  <c r="D134" i="133" s="1"/>
  <c r="S221" i="105"/>
  <c r="S222" i="105" s="1"/>
  <c r="P134" i="133" s="1"/>
  <c r="I111" i="132"/>
  <c r="I113" i="132"/>
  <c r="AT62" i="128" s="1"/>
  <c r="I115" i="132"/>
  <c r="AT64" i="128" s="1"/>
  <c r="I117" i="132"/>
  <c r="AT66" i="128" s="1"/>
  <c r="I119" i="132"/>
  <c r="AT68" i="128" s="1"/>
  <c r="I121" i="132"/>
  <c r="AT70" i="128" s="1"/>
  <c r="I123" i="132"/>
  <c r="AT72" i="128" s="1"/>
  <c r="I125" i="132"/>
  <c r="AT74" i="128" s="1"/>
  <c r="I127" i="132"/>
  <c r="AT76" i="128" s="1"/>
  <c r="I129" i="132"/>
  <c r="AT78" i="128" s="1"/>
  <c r="I131" i="132"/>
  <c r="AT80" i="128" s="1"/>
  <c r="I133" i="132"/>
  <c r="AT82" i="128" s="1"/>
  <c r="I135" i="132"/>
  <c r="AT84" i="128" s="1"/>
  <c r="I137" i="132"/>
  <c r="AT86" i="128" s="1"/>
  <c r="I139" i="132"/>
  <c r="AT88" i="128" s="1"/>
  <c r="I141" i="132"/>
  <c r="AT90" i="128" s="1"/>
  <c r="I143" i="132"/>
  <c r="AT92" i="128" s="1"/>
  <c r="I145" i="132"/>
  <c r="AT94" i="128" s="1"/>
  <c r="I147" i="132"/>
  <c r="AT96" i="128" s="1"/>
  <c r="I149" i="132"/>
  <c r="AT98" i="128" s="1"/>
  <c r="I151" i="132"/>
  <c r="AT100" i="128" s="1"/>
  <c r="I112" i="132"/>
  <c r="AT61" i="128" s="1"/>
  <c r="I114" i="132"/>
  <c r="AT63" i="128" s="1"/>
  <c r="I116" i="132"/>
  <c r="AT65" i="128" s="1"/>
  <c r="I118" i="132"/>
  <c r="AT67" i="128" s="1"/>
  <c r="I120" i="132"/>
  <c r="AT69" i="128" s="1"/>
  <c r="I122" i="132"/>
  <c r="AT71" i="128" s="1"/>
  <c r="I124" i="132"/>
  <c r="AT73" i="128" s="1"/>
  <c r="I126" i="132"/>
  <c r="AT75" i="128" s="1"/>
  <c r="I128" i="132"/>
  <c r="AT77" i="128" s="1"/>
  <c r="I130" i="132"/>
  <c r="AT79" i="128" s="1"/>
  <c r="I132" i="132"/>
  <c r="AT81" i="128" s="1"/>
  <c r="I134" i="132"/>
  <c r="AT83" i="128" s="1"/>
  <c r="I136" i="132"/>
  <c r="AT85" i="128" s="1"/>
  <c r="I138" i="132"/>
  <c r="AT87" i="128" s="1"/>
  <c r="I140" i="132"/>
  <c r="AT89" i="128" s="1"/>
  <c r="I142" i="132"/>
  <c r="AT91" i="128" s="1"/>
  <c r="I144" i="132"/>
  <c r="AT93" i="128" s="1"/>
  <c r="I146" i="132"/>
  <c r="AT95" i="128" s="1"/>
  <c r="I148" i="132"/>
  <c r="AT97" i="128" s="1"/>
  <c r="I150" i="132"/>
  <c r="AT99" i="128" s="1"/>
  <c r="I152" i="132"/>
  <c r="AT101" i="128" s="1"/>
  <c r="C5" i="131"/>
  <c r="C3" i="131" s="1"/>
  <c r="J145" i="131"/>
  <c r="E80" i="133"/>
  <c r="E137" i="133"/>
  <c r="D9" i="138"/>
  <c r="E140" i="133" s="1"/>
  <c r="G277" i="107" s="1"/>
  <c r="S21" i="138"/>
  <c r="BX91" i="132"/>
  <c r="R97" i="128"/>
  <c r="E96" i="132"/>
  <c r="BX93" i="132"/>
  <c r="R99" i="128"/>
  <c r="BX95" i="132"/>
  <c r="R101" i="128"/>
  <c r="BX63" i="132"/>
  <c r="R73" i="128"/>
  <c r="P204" i="162"/>
  <c r="G207" i="162" s="1"/>
  <c r="I100" i="105"/>
  <c r="J100" i="105"/>
  <c r="K100" i="105"/>
  <c r="L100" i="105"/>
  <c r="M100" i="105"/>
  <c r="N100" i="105"/>
  <c r="P100" i="105"/>
  <c r="O100" i="105"/>
  <c r="Q100" i="105"/>
  <c r="R100" i="105"/>
  <c r="T100" i="105"/>
  <c r="S100" i="105"/>
  <c r="H823" i="162"/>
  <c r="I823" i="162"/>
  <c r="J823" i="162"/>
  <c r="K823" i="162"/>
  <c r="L823" i="162"/>
  <c r="M823" i="162"/>
  <c r="N823" i="162"/>
  <c r="O823" i="162"/>
  <c r="Q823" i="162"/>
  <c r="R823" i="162"/>
  <c r="P823" i="162"/>
  <c r="S823" i="162"/>
  <c r="G848" i="162"/>
  <c r="H822" i="162"/>
  <c r="I822" i="162"/>
  <c r="I824" i="162" s="1"/>
  <c r="J822" i="162"/>
  <c r="J824" i="162" s="1"/>
  <c r="K822" i="162"/>
  <c r="L822" i="162"/>
  <c r="L824" i="162" s="1"/>
  <c r="M822" i="162"/>
  <c r="M824" i="162" s="1"/>
  <c r="N822" i="162"/>
  <c r="N824" i="162" s="1"/>
  <c r="O822" i="162"/>
  <c r="Q822" i="162"/>
  <c r="Q824" i="162" s="1"/>
  <c r="R822" i="162"/>
  <c r="R824" i="162" s="1"/>
  <c r="P822" i="162"/>
  <c r="P824" i="162" s="1"/>
  <c r="S822" i="162"/>
  <c r="G847" i="162"/>
  <c r="H189" i="105"/>
  <c r="S189" i="105"/>
  <c r="S190" i="105" s="1"/>
  <c r="P77" i="133" s="1"/>
  <c r="P112" i="133" s="1"/>
  <c r="R272" i="107" s="1"/>
  <c r="J123" i="148"/>
  <c r="H173" i="105"/>
  <c r="S173" i="105"/>
  <c r="S174" i="105" s="1"/>
  <c r="P73" i="133" s="1"/>
  <c r="P108" i="133" s="1"/>
  <c r="R268" i="107" s="1"/>
  <c r="R18" i="219" s="1"/>
  <c r="J119" i="148"/>
  <c r="AY98" i="148"/>
  <c r="AZ98" i="148" s="1"/>
  <c r="AY93" i="148"/>
  <c r="AZ93" i="148" s="1"/>
  <c r="R157" i="105"/>
  <c r="R158" i="105" s="1"/>
  <c r="O68" i="133" s="1"/>
  <c r="O103" i="133" s="1"/>
  <c r="Q263" i="107" s="1"/>
  <c r="J114" i="148"/>
  <c r="G324" i="105"/>
  <c r="G342" i="105"/>
  <c r="G343" i="105"/>
  <c r="AI165" i="138"/>
  <c r="D13" i="138" s="1"/>
  <c r="D6" i="138"/>
  <c r="AI163" i="138"/>
  <c r="I93" i="105"/>
  <c r="I78" i="105" s="1"/>
  <c r="H209" i="105"/>
  <c r="I129" i="105"/>
  <c r="H98" i="107"/>
  <c r="H833" i="162"/>
  <c r="I833" i="162"/>
  <c r="J833" i="162"/>
  <c r="K833" i="162"/>
  <c r="L833" i="162"/>
  <c r="N833" i="162"/>
  <c r="O833" i="162"/>
  <c r="M833" i="162"/>
  <c r="P833" i="162"/>
  <c r="Q833" i="162"/>
  <c r="R833" i="162"/>
  <c r="S833" i="162"/>
  <c r="H830" i="162"/>
  <c r="I830" i="162"/>
  <c r="J830" i="162"/>
  <c r="K830" i="162"/>
  <c r="L830" i="162"/>
  <c r="N830" i="162"/>
  <c r="O830" i="162"/>
  <c r="M830" i="162"/>
  <c r="P830" i="162"/>
  <c r="Q830" i="162"/>
  <c r="S830" i="162"/>
  <c r="R830" i="162"/>
  <c r="J151" i="105"/>
  <c r="I204" i="107"/>
  <c r="I108" i="107"/>
  <c r="I653" i="107" s="1"/>
  <c r="F16" i="138"/>
  <c r="F45" i="105"/>
  <c r="AU928" i="162"/>
  <c r="AU931" i="162" s="1"/>
  <c r="I787" i="162" s="1"/>
  <c r="AU925" i="162"/>
  <c r="I786" i="162" s="1"/>
  <c r="I325" i="105" s="1"/>
  <c r="U13" i="138"/>
  <c r="G18" i="138" s="1"/>
  <c r="AL90" i="138"/>
  <c r="U14" i="138" s="1"/>
  <c r="M93" i="105"/>
  <c r="M78" i="105" s="1"/>
  <c r="L209" i="105"/>
  <c r="M129" i="105"/>
  <c r="L98" i="107"/>
  <c r="AY928" i="162"/>
  <c r="AJ925" i="162"/>
  <c r="H16" i="138"/>
  <c r="H45" i="105"/>
  <c r="L93" i="105"/>
  <c r="L78" i="105" s="1"/>
  <c r="K209" i="105"/>
  <c r="L129" i="105"/>
  <c r="K98" i="107"/>
  <c r="BB928" i="162"/>
  <c r="BB931" i="162" s="1"/>
  <c r="P787" i="162" s="1"/>
  <c r="BB925" i="162"/>
  <c r="P786" i="162" s="1"/>
  <c r="P325" i="105" s="1"/>
  <c r="P342" i="105" s="1"/>
  <c r="Q93" i="105"/>
  <c r="Q78" i="105" s="1"/>
  <c r="P209" i="105"/>
  <c r="O80" i="133"/>
  <c r="O115" i="133" s="1"/>
  <c r="Q275" i="107" s="1"/>
  <c r="S333" i="105"/>
  <c r="P81" i="133" s="1"/>
  <c r="S842" i="162"/>
  <c r="S331" i="105" s="1"/>
  <c r="N151" i="105"/>
  <c r="M204" i="107"/>
  <c r="M108" i="107"/>
  <c r="M653" i="107" s="1"/>
  <c r="J17" i="105"/>
  <c r="M93" i="107"/>
  <c r="N93" i="105"/>
  <c r="N78" i="105" s="1"/>
  <c r="M209" i="105"/>
  <c r="O193" i="107"/>
  <c r="P418" i="105"/>
  <c r="P420" i="105" s="1"/>
  <c r="O651" i="107"/>
  <c r="O16" i="105"/>
  <c r="N17" i="105"/>
  <c r="Q984" i="162"/>
  <c r="Q992" i="162"/>
  <c r="Q985" i="162" s="1"/>
  <c r="Q839" i="162" s="1"/>
  <c r="Q335" i="105" s="1"/>
  <c r="O16" i="138"/>
  <c r="O45" i="105"/>
  <c r="R93" i="105"/>
  <c r="R78" i="105" s="1"/>
  <c r="Q209" i="105"/>
  <c r="AB13" i="138"/>
  <c r="N18" i="138" s="1"/>
  <c r="AS90" i="138"/>
  <c r="AB14" i="138" s="1"/>
  <c r="P80" i="133"/>
  <c r="P115" i="133" s="1"/>
  <c r="R275" i="107" s="1"/>
  <c r="O151" i="105"/>
  <c r="N204" i="107"/>
  <c r="N108" i="107"/>
  <c r="N653" i="107" s="1"/>
  <c r="Q151" i="105"/>
  <c r="P204" i="107"/>
  <c r="P108" i="107"/>
  <c r="P653" i="107" s="1"/>
  <c r="R984" i="162"/>
  <c r="R992" i="162"/>
  <c r="R985" i="162" s="1"/>
  <c r="R839" i="162" s="1"/>
  <c r="R335" i="105" s="1"/>
  <c r="L95" i="148"/>
  <c r="W82" i="148" s="1"/>
  <c r="G1038" i="162"/>
  <c r="G1037" i="162" s="1"/>
  <c r="E94" i="148"/>
  <c r="AF10" i="138"/>
  <c r="V22" i="138" s="1"/>
  <c r="AJ327" i="138"/>
  <c r="AF11" i="138" s="1"/>
  <c r="V23" i="138" s="1"/>
  <c r="AE151" i="138"/>
  <c r="T150" i="138"/>
  <c r="G91" i="138"/>
  <c r="F92" i="138" s="1"/>
  <c r="H91" i="138"/>
  <c r="E323" i="148"/>
  <c r="D365" i="148"/>
  <c r="D364" i="148" s="1"/>
  <c r="F18" i="132"/>
  <c r="F54" i="148"/>
  <c r="F64" i="148" s="1"/>
  <c r="W31" i="138"/>
  <c r="AI21" i="138"/>
  <c r="Y26" i="138" s="1"/>
  <c r="AM108" i="138"/>
  <c r="AI23" i="138" s="1"/>
  <c r="Y28" i="138" s="1"/>
  <c r="H61" i="148" s="1"/>
  <c r="AK100" i="148"/>
  <c r="N305" i="138"/>
  <c r="AE309" i="138"/>
  <c r="AE307" i="138"/>
  <c r="AE310" i="138"/>
  <c r="AE306" i="138"/>
  <c r="AE308" i="138"/>
  <c r="S286" i="138"/>
  <c r="P286" i="138"/>
  <c r="I1038" i="162"/>
  <c r="I1037" i="162" s="1"/>
  <c r="M95" i="148"/>
  <c r="X82" i="148" s="1"/>
  <c r="F94" i="148"/>
  <c r="AT83" i="138"/>
  <c r="AR83" i="138"/>
  <c r="AP83" i="138"/>
  <c r="AN82" i="138"/>
  <c r="AT82" i="138" s="1"/>
  <c r="AN83" i="138"/>
  <c r="AL82" i="138"/>
  <c r="AR82" i="138" s="1"/>
  <c r="AL83" i="138"/>
  <c r="AJ80" i="138"/>
  <c r="AL80" i="138" s="1"/>
  <c r="AN80" i="138" s="1"/>
  <c r="AJ83" i="138"/>
  <c r="AJ81" i="138"/>
  <c r="AJ82" i="138"/>
  <c r="AP82" i="138" s="1"/>
  <c r="AT155" i="138"/>
  <c r="AR155" i="138"/>
  <c r="AP155" i="138"/>
  <c r="AN154" i="138"/>
  <c r="AT154" i="138" s="1"/>
  <c r="AN155" i="138"/>
  <c r="AL155" i="138"/>
  <c r="AL154" i="138"/>
  <c r="AR154" i="138" s="1"/>
  <c r="AJ154" i="138"/>
  <c r="AP154" i="138" s="1"/>
  <c r="AJ152" i="138"/>
  <c r="AL152" i="138" s="1"/>
  <c r="AN152" i="138" s="1"/>
  <c r="AP152" i="138" s="1"/>
  <c r="AR152" i="138" s="1"/>
  <c r="AT152" i="138" s="1"/>
  <c r="AJ153" i="138"/>
  <c r="AJ155" i="138"/>
  <c r="G46" i="128"/>
  <c r="G47" i="128" s="1"/>
  <c r="F316" i="138"/>
  <c r="D318" i="138"/>
  <c r="AG306" i="138" s="1"/>
  <c r="I313" i="138"/>
  <c r="J313" i="138" s="1"/>
  <c r="O313" i="138"/>
  <c r="P313" i="138" s="1"/>
  <c r="AA313" i="138"/>
  <c r="AB313" i="138" s="1"/>
  <c r="U313" i="138"/>
  <c r="V313" i="138" s="1"/>
  <c r="T774" i="162"/>
  <c r="S91" i="138"/>
  <c r="R92" i="138" s="1"/>
  <c r="T91" i="138"/>
  <c r="Z287" i="138"/>
  <c r="Y287" i="138"/>
  <c r="X288" i="138" s="1"/>
  <c r="I399" i="105"/>
  <c r="I404" i="105" s="1"/>
  <c r="I411" i="105" s="1"/>
  <c r="F153" i="133" s="1"/>
  <c r="L402" i="105"/>
  <c r="J400" i="105"/>
  <c r="K401" i="105"/>
  <c r="BR97" i="128"/>
  <c r="BR101" i="128"/>
  <c r="AS101" i="128"/>
  <c r="BH101" i="128" s="1"/>
  <c r="BR99" i="128"/>
  <c r="AS99" i="128"/>
  <c r="BH99" i="128" s="1"/>
  <c r="AS96" i="128"/>
  <c r="BH96" i="128" s="1"/>
  <c r="BR96" i="128"/>
  <c r="BR94" i="128"/>
  <c r="BR92" i="128"/>
  <c r="AS89" i="128"/>
  <c r="BH89" i="128" s="1"/>
  <c r="BR89" i="128"/>
  <c r="AS87" i="128"/>
  <c r="BH87" i="128" s="1"/>
  <c r="BR87" i="128"/>
  <c r="AS85" i="128"/>
  <c r="BH85" i="128" s="1"/>
  <c r="BR85" i="128"/>
  <c r="AS83" i="128"/>
  <c r="BH83" i="128" s="1"/>
  <c r="BR83" i="128"/>
  <c r="AS81" i="128"/>
  <c r="BH81" i="128" s="1"/>
  <c r="BR81" i="128"/>
  <c r="AS77" i="128"/>
  <c r="BH77" i="128" s="1"/>
  <c r="BR77" i="128"/>
  <c r="BR75" i="128"/>
  <c r="AS75" i="128"/>
  <c r="BH75" i="128" s="1"/>
  <c r="AS73" i="128"/>
  <c r="BH73" i="128" s="1"/>
  <c r="BR73" i="128"/>
  <c r="BR71" i="128"/>
  <c r="AS71" i="128"/>
  <c r="BH71" i="128" s="1"/>
  <c r="AS69" i="128"/>
  <c r="BH69" i="128" s="1"/>
  <c r="BR69" i="128"/>
  <c r="BR67" i="128"/>
  <c r="AS67" i="128"/>
  <c r="BH67" i="128" s="1"/>
  <c r="AS64" i="128"/>
  <c r="BH64" i="128" s="1"/>
  <c r="BR64" i="128"/>
  <c r="AS62" i="128"/>
  <c r="BH62" i="128" s="1"/>
  <c r="BR62" i="128"/>
  <c r="BR60" i="128"/>
  <c r="BR90" i="128"/>
  <c r="AS90" i="128"/>
  <c r="BH90" i="128" s="1"/>
  <c r="AA287" i="138"/>
  <c r="AD281" i="138"/>
  <c r="M128" i="138"/>
  <c r="L129" i="138" s="1"/>
  <c r="N128" i="138"/>
  <c r="Z115" i="138" s="1"/>
  <c r="Y164" i="138"/>
  <c r="X165" i="138" s="1"/>
  <c r="Z164" i="138"/>
  <c r="Z153" i="138" s="1"/>
  <c r="DP154" i="132"/>
  <c r="O367" i="132"/>
  <c r="BP154" i="132"/>
  <c r="Q154" i="132"/>
  <c r="W79" i="138"/>
  <c r="T82" i="138"/>
  <c r="Y82" i="138"/>
  <c r="H628" i="131"/>
  <c r="F135" i="148"/>
  <c r="H669" i="131"/>
  <c r="L66" i="148"/>
  <c r="H55" i="148"/>
  <c r="Y32" i="138"/>
  <c r="L103" i="132"/>
  <c r="E491" i="105"/>
  <c r="M104" i="132"/>
  <c r="F492" i="105"/>
  <c r="X114" i="138"/>
  <c r="I287" i="138"/>
  <c r="AD278" i="138"/>
  <c r="D128" i="138"/>
  <c r="C129" i="138" s="1"/>
  <c r="E128" i="138"/>
  <c r="Y114" i="138" s="1"/>
  <c r="S164" i="138"/>
  <c r="R165" i="138" s="1"/>
  <c r="T164" i="138"/>
  <c r="Z152" i="138" s="1"/>
  <c r="X117" i="138"/>
  <c r="W152" i="138"/>
  <c r="W153" i="138"/>
  <c r="M92" i="138"/>
  <c r="L93" i="138" s="1"/>
  <c r="N92" i="138"/>
  <c r="Z79" i="138" s="1"/>
  <c r="P128" i="138"/>
  <c r="O129" i="138" s="1"/>
  <c r="Q128" i="138"/>
  <c r="Y116" i="138" s="1"/>
  <c r="AF164" i="138"/>
  <c r="Z154" i="138" s="1"/>
  <c r="AE164" i="138"/>
  <c r="AD165" i="138" s="1"/>
  <c r="W93" i="138"/>
  <c r="V93" i="138"/>
  <c r="U94" i="138" s="1"/>
  <c r="X118" i="138"/>
  <c r="J164" i="138"/>
  <c r="I165" i="138" s="1"/>
  <c r="K164" i="138"/>
  <c r="Y151" i="138" s="1"/>
  <c r="Y93" i="138"/>
  <c r="X94" i="138" s="1"/>
  <c r="Z93" i="138"/>
  <c r="J120" i="105"/>
  <c r="H136" i="105"/>
  <c r="H169" i="105"/>
  <c r="H177" i="105"/>
  <c r="H193" i="105"/>
  <c r="H264" i="105"/>
  <c r="H265" i="105" s="1"/>
  <c r="E136" i="133" s="1"/>
  <c r="F636" i="131" s="1"/>
  <c r="I181" i="105"/>
  <c r="I182" i="105" s="1"/>
  <c r="F75" i="133" s="1"/>
  <c r="F110" i="133" s="1"/>
  <c r="H270" i="107" s="1"/>
  <c r="H19" i="219" s="1"/>
  <c r="J157" i="105"/>
  <c r="J158" i="105" s="1"/>
  <c r="G68" i="133" s="1"/>
  <c r="G103" i="133" s="1"/>
  <c r="I263" i="107" s="1"/>
  <c r="I221" i="105"/>
  <c r="I222" i="105" s="1"/>
  <c r="F134" i="133" s="1"/>
  <c r="H824" i="162"/>
  <c r="I125" i="105"/>
  <c r="I126" i="105" s="1"/>
  <c r="F62" i="133" s="1"/>
  <c r="F97" i="133" s="1"/>
  <c r="H257" i="107" s="1"/>
  <c r="I173" i="105"/>
  <c r="I174" i="105" s="1"/>
  <c r="F73" i="133" s="1"/>
  <c r="F108" i="133" s="1"/>
  <c r="H268" i="107" s="1"/>
  <c r="H18" i="219" s="1"/>
  <c r="I264" i="105"/>
  <c r="I265" i="105" s="1"/>
  <c r="F136" i="133" s="1"/>
  <c r="G636" i="131" s="1"/>
  <c r="F17" i="105"/>
  <c r="J181" i="105"/>
  <c r="J182" i="105" s="1"/>
  <c r="G75" i="133" s="1"/>
  <c r="G110" i="133" s="1"/>
  <c r="I270" i="107" s="1"/>
  <c r="I19" i="219" s="1"/>
  <c r="AW925" i="162"/>
  <c r="K786" i="162" s="1"/>
  <c r="K325" i="105" s="1"/>
  <c r="AX925" i="162"/>
  <c r="L786" i="162" s="1"/>
  <c r="L325" i="105" s="1"/>
  <c r="I994" i="162"/>
  <c r="I987" i="162" s="1"/>
  <c r="I841" i="162" s="1"/>
  <c r="I148" i="105"/>
  <c r="F66" i="133" s="1"/>
  <c r="F101" i="133" s="1"/>
  <c r="H261" i="107" s="1"/>
  <c r="J185" i="105"/>
  <c r="J186" i="105" s="1"/>
  <c r="G76" i="133" s="1"/>
  <c r="G111" i="133" s="1"/>
  <c r="I271" i="107" s="1"/>
  <c r="I20" i="219" s="1"/>
  <c r="K136" i="105"/>
  <c r="K137" i="105" s="1"/>
  <c r="H64" i="133" s="1"/>
  <c r="H99" i="133" s="1"/>
  <c r="J259" i="107" s="1"/>
  <c r="K177" i="105"/>
  <c r="K178" i="105" s="1"/>
  <c r="H74" i="133" s="1"/>
  <c r="H109" i="133" s="1"/>
  <c r="J269" i="107" s="1"/>
  <c r="L136" i="105"/>
  <c r="L137" i="105" s="1"/>
  <c r="I64" i="133" s="1"/>
  <c r="I99" i="133" s="1"/>
  <c r="K259" i="107" s="1"/>
  <c r="L177" i="105"/>
  <c r="L178" i="105" s="1"/>
  <c r="I74" i="133" s="1"/>
  <c r="I109" i="133" s="1"/>
  <c r="K269" i="107" s="1"/>
  <c r="M165" i="105"/>
  <c r="M166" i="105" s="1"/>
  <c r="J70" i="133" s="1"/>
  <c r="J105" i="133" s="1"/>
  <c r="L265" i="107" s="1"/>
  <c r="M181" i="105"/>
  <c r="M182" i="105" s="1"/>
  <c r="J75" i="133" s="1"/>
  <c r="J110" i="133" s="1"/>
  <c r="L270" i="107" s="1"/>
  <c r="L19" i="219" s="1"/>
  <c r="M189" i="105"/>
  <c r="M190" i="105" s="1"/>
  <c r="J77" i="133" s="1"/>
  <c r="J112" i="133" s="1"/>
  <c r="L272" i="107" s="1"/>
  <c r="AZ925" i="162"/>
  <c r="N786" i="162" s="1"/>
  <c r="N325" i="105" s="1"/>
  <c r="M221" i="105"/>
  <c r="M222" i="105" s="1"/>
  <c r="J134" i="133" s="1"/>
  <c r="M125" i="105"/>
  <c r="M126" i="105" s="1"/>
  <c r="J62" i="133" s="1"/>
  <c r="J97" i="133" s="1"/>
  <c r="L257" i="107" s="1"/>
  <c r="M157" i="105"/>
  <c r="M158" i="105" s="1"/>
  <c r="J68" i="133" s="1"/>
  <c r="J103" i="133" s="1"/>
  <c r="L263" i="107" s="1"/>
  <c r="M173" i="105"/>
  <c r="M174" i="105" s="1"/>
  <c r="J73" i="133" s="1"/>
  <c r="J108" i="133" s="1"/>
  <c r="L268" i="107" s="1"/>
  <c r="L18" i="219" s="1"/>
  <c r="J177" i="105"/>
  <c r="J178" i="105" s="1"/>
  <c r="G74" i="133" s="1"/>
  <c r="G109" i="133" s="1"/>
  <c r="I269" i="107" s="1"/>
  <c r="J264" i="105"/>
  <c r="J265" i="105" s="1"/>
  <c r="G136" i="133" s="1"/>
  <c r="H636" i="131" s="1"/>
  <c r="AW928" i="162"/>
  <c r="AW931" i="162" s="1"/>
  <c r="K787" i="162" s="1"/>
  <c r="AX928" i="162"/>
  <c r="W13" i="138"/>
  <c r="I18" i="138" s="1"/>
  <c r="M202" i="105"/>
  <c r="K994" i="162"/>
  <c r="K987" i="162" s="1"/>
  <c r="K841" i="162" s="1"/>
  <c r="L994" i="162"/>
  <c r="L987" i="162" s="1"/>
  <c r="L841" i="162" s="1"/>
  <c r="I9" i="138"/>
  <c r="J140" i="133" s="1"/>
  <c r="L277" i="107" s="1"/>
  <c r="M994" i="162"/>
  <c r="M987" i="162" s="1"/>
  <c r="M841" i="162" s="1"/>
  <c r="N165" i="105"/>
  <c r="N166" i="105" s="1"/>
  <c r="K70" i="133" s="1"/>
  <c r="K105" i="133" s="1"/>
  <c r="M265" i="107" s="1"/>
  <c r="N193" i="105"/>
  <c r="N194" i="105" s="1"/>
  <c r="K78" i="133" s="1"/>
  <c r="K113" i="133" s="1"/>
  <c r="M273" i="107" s="1"/>
  <c r="O169" i="105"/>
  <c r="O170" i="105" s="1"/>
  <c r="L71" i="133" s="1"/>
  <c r="L106" i="133" s="1"/>
  <c r="N266" i="107" s="1"/>
  <c r="P125" i="105"/>
  <c r="P126" i="105" s="1"/>
  <c r="M62" i="133" s="1"/>
  <c r="M97" i="133" s="1"/>
  <c r="O257" i="107" s="1"/>
  <c r="P173" i="105"/>
  <c r="P174" i="105" s="1"/>
  <c r="M73" i="133" s="1"/>
  <c r="M108" i="133" s="1"/>
  <c r="O268" i="107" s="1"/>
  <c r="O18" i="219" s="1"/>
  <c r="AA7" i="138"/>
  <c r="M17" i="138" s="1"/>
  <c r="Q221" i="105"/>
  <c r="Q222" i="105" s="1"/>
  <c r="N134" i="133" s="1"/>
  <c r="Q125" i="105"/>
  <c r="Q126" i="105" s="1"/>
  <c r="N62" i="133" s="1"/>
  <c r="N97" i="133" s="1"/>
  <c r="P257" i="107" s="1"/>
  <c r="Q157" i="105"/>
  <c r="Q158" i="105" s="1"/>
  <c r="N68" i="133" s="1"/>
  <c r="N103" i="133" s="1"/>
  <c r="P263" i="107" s="1"/>
  <c r="R165" i="105"/>
  <c r="R166" i="105" s="1"/>
  <c r="O70" i="133" s="1"/>
  <c r="O105" i="133" s="1"/>
  <c r="Q265" i="107" s="1"/>
  <c r="S177" i="105"/>
  <c r="S178" i="105" s="1"/>
  <c r="P74" i="133" s="1"/>
  <c r="P109" i="133" s="1"/>
  <c r="R269" i="107" s="1"/>
  <c r="S193" i="105"/>
  <c r="S194" i="105" s="1"/>
  <c r="P78" i="133" s="1"/>
  <c r="P113" i="133" s="1"/>
  <c r="R273" i="107" s="1"/>
  <c r="N342" i="105"/>
  <c r="N157" i="105"/>
  <c r="N158" i="105" s="1"/>
  <c r="K68" i="133" s="1"/>
  <c r="K103" i="133" s="1"/>
  <c r="M263" i="107" s="1"/>
  <c r="N173" i="105"/>
  <c r="N174" i="105" s="1"/>
  <c r="K73" i="133" s="1"/>
  <c r="K108" i="133" s="1"/>
  <c r="M268" i="107" s="1"/>
  <c r="M18" i="219" s="1"/>
  <c r="N189" i="105"/>
  <c r="N190" i="105" s="1"/>
  <c r="K77" i="133" s="1"/>
  <c r="K112" i="133" s="1"/>
  <c r="M272" i="107" s="1"/>
  <c r="O136" i="105"/>
  <c r="O137" i="105" s="1"/>
  <c r="L64" i="133" s="1"/>
  <c r="L99" i="133" s="1"/>
  <c r="N259" i="107" s="1"/>
  <c r="O165" i="105"/>
  <c r="O166" i="105" s="1"/>
  <c r="L70" i="133" s="1"/>
  <c r="L105" i="133" s="1"/>
  <c r="N265" i="107" s="1"/>
  <c r="O177" i="105"/>
  <c r="O178" i="105" s="1"/>
  <c r="L74" i="133" s="1"/>
  <c r="L109" i="133" s="1"/>
  <c r="N269" i="107" s="1"/>
  <c r="O193" i="105"/>
  <c r="O194" i="105" s="1"/>
  <c r="L78" i="133" s="1"/>
  <c r="L113" i="133" s="1"/>
  <c r="N273" i="107" s="1"/>
  <c r="P185" i="105"/>
  <c r="P186" i="105" s="1"/>
  <c r="M76" i="133" s="1"/>
  <c r="M111" i="133" s="1"/>
  <c r="O271" i="107" s="1"/>
  <c r="O20" i="219" s="1"/>
  <c r="BE925" i="162"/>
  <c r="S786" i="162" s="1"/>
  <c r="S325" i="105" s="1"/>
  <c r="S342" i="105" s="1"/>
  <c r="T349" i="105" s="1"/>
  <c r="X7" i="138"/>
  <c r="J17" i="138" s="1"/>
  <c r="N185" i="105"/>
  <c r="N186" i="105" s="1"/>
  <c r="K76" i="133" s="1"/>
  <c r="K111" i="133" s="1"/>
  <c r="M271" i="107" s="1"/>
  <c r="M20" i="219" s="1"/>
  <c r="O221" i="105"/>
  <c r="O222" i="105" s="1"/>
  <c r="L134" i="133" s="1"/>
  <c r="O157" i="105"/>
  <c r="O158" i="105" s="1"/>
  <c r="L68" i="133" s="1"/>
  <c r="L103" i="133" s="1"/>
  <c r="N263" i="107" s="1"/>
  <c r="O189" i="105"/>
  <c r="O190" i="105" s="1"/>
  <c r="L77" i="133" s="1"/>
  <c r="L112" i="133" s="1"/>
  <c r="N272" i="107" s="1"/>
  <c r="L17" i="105"/>
  <c r="P169" i="105"/>
  <c r="P170" i="105" s="1"/>
  <c r="M71" i="133" s="1"/>
  <c r="M106" i="133" s="1"/>
  <c r="O266" i="107" s="1"/>
  <c r="Q181" i="105"/>
  <c r="Q182" i="105" s="1"/>
  <c r="N75" i="133" s="1"/>
  <c r="N110" i="133" s="1"/>
  <c r="P270" i="107" s="1"/>
  <c r="P19" i="219" s="1"/>
  <c r="R177" i="105"/>
  <c r="R178" i="105" s="1"/>
  <c r="O74" i="133" s="1"/>
  <c r="O109" i="133" s="1"/>
  <c r="Q269" i="107" s="1"/>
  <c r="R193" i="105"/>
  <c r="R194" i="105" s="1"/>
  <c r="O78" i="133" s="1"/>
  <c r="O113" i="133" s="1"/>
  <c r="Q273" i="107" s="1"/>
  <c r="S165" i="105"/>
  <c r="S166" i="105" s="1"/>
  <c r="P70" i="133" s="1"/>
  <c r="P105" i="133" s="1"/>
  <c r="R265" i="107" s="1"/>
  <c r="N221" i="105"/>
  <c r="N222" i="105" s="1"/>
  <c r="K134" i="133" s="1"/>
  <c r="N169" i="105"/>
  <c r="N170" i="105" s="1"/>
  <c r="K71" i="133" s="1"/>
  <c r="K106" i="133" s="1"/>
  <c r="M266" i="107" s="1"/>
  <c r="N181" i="105"/>
  <c r="N182" i="105" s="1"/>
  <c r="K75" i="133" s="1"/>
  <c r="K110" i="133" s="1"/>
  <c r="M270" i="107" s="1"/>
  <c r="M19" i="219" s="1"/>
  <c r="O185" i="105"/>
  <c r="O186" i="105" s="1"/>
  <c r="L76" i="133" s="1"/>
  <c r="L111" i="133" s="1"/>
  <c r="N271" i="107" s="1"/>
  <c r="N20" i="219" s="1"/>
  <c r="L9" i="138"/>
  <c r="M140" i="133" s="1"/>
  <c r="O277" i="107" s="1"/>
  <c r="P177" i="105"/>
  <c r="P178" i="105" s="1"/>
  <c r="M74" i="133" s="1"/>
  <c r="M109" i="133" s="1"/>
  <c r="O269" i="107" s="1"/>
  <c r="P193" i="105"/>
  <c r="P194" i="105" s="1"/>
  <c r="M78" i="133" s="1"/>
  <c r="M113" i="133" s="1"/>
  <c r="O273" i="107" s="1"/>
  <c r="R342" i="105"/>
  <c r="Q994" i="162"/>
  <c r="Q987" i="162" s="1"/>
  <c r="Q841" i="162" s="1"/>
  <c r="Q185" i="105"/>
  <c r="Q186" i="105" s="1"/>
  <c r="N76" i="133" s="1"/>
  <c r="N111" i="133" s="1"/>
  <c r="P271" i="107" s="1"/>
  <c r="P20" i="219" s="1"/>
  <c r="R189" i="105"/>
  <c r="R190" i="105" s="1"/>
  <c r="O77" i="133" s="1"/>
  <c r="O112" i="133" s="1"/>
  <c r="Q272" i="107" s="1"/>
  <c r="R78" i="214"/>
  <c r="Q193" i="105"/>
  <c r="Q194" i="105" s="1"/>
  <c r="N78" i="133" s="1"/>
  <c r="N113" i="133" s="1"/>
  <c r="P273" i="107" s="1"/>
  <c r="R221" i="105"/>
  <c r="R222" i="105" s="1"/>
  <c r="O134" i="133" s="1"/>
  <c r="S157" i="105"/>
  <c r="S158" i="105" s="1"/>
  <c r="P68" i="133" s="1"/>
  <c r="P103" i="133" s="1"/>
  <c r="R263" i="107" s="1"/>
  <c r="N122" i="148"/>
  <c r="Y95" i="148" s="1"/>
  <c r="AG22" i="138"/>
  <c r="W27" i="138" s="1"/>
  <c r="F60" i="148" s="1"/>
  <c r="AK329" i="138"/>
  <c r="AL329" i="138" s="1"/>
  <c r="AM329" i="138" s="1"/>
  <c r="AM182" i="138"/>
  <c r="T865" i="162"/>
  <c r="T868" i="162"/>
  <c r="T869" i="162"/>
  <c r="T882" i="162"/>
  <c r="T883" i="162"/>
  <c r="T886" i="162"/>
  <c r="T887" i="162"/>
  <c r="T890" i="162"/>
  <c r="T891" i="162"/>
  <c r="T894" i="162"/>
  <c r="T895" i="162"/>
  <c r="T898" i="162"/>
  <c r="T899" i="162"/>
  <c r="T902" i="162"/>
  <c r="T906" i="162"/>
  <c r="T907" i="162"/>
  <c r="T910" i="162"/>
  <c r="T911" i="162"/>
  <c r="T914" i="162"/>
  <c r="T915" i="162"/>
  <c r="T918" i="162"/>
  <c r="T919" i="162"/>
  <c r="J233" i="105"/>
  <c r="T867" i="162"/>
  <c r="H65" i="148"/>
  <c r="H72" i="148" s="1"/>
  <c r="AH22" i="138"/>
  <c r="X27" i="138" s="1"/>
  <c r="G60" i="148" s="1"/>
  <c r="M122" i="148"/>
  <c r="X95" i="148" s="1"/>
  <c r="L120" i="148"/>
  <c r="W93" i="148" s="1"/>
  <c r="L124" i="148"/>
  <c r="W98" i="148" s="1"/>
  <c r="AF21" i="138"/>
  <c r="V26" i="138" s="1"/>
  <c r="T885" i="162"/>
  <c r="T893" i="162"/>
  <c r="T901" i="162"/>
  <c r="T909" i="162"/>
  <c r="T917" i="162"/>
  <c r="G85" i="107"/>
  <c r="E85" i="107" s="1"/>
  <c r="F1035" i="162" s="1"/>
  <c r="E84" i="107"/>
  <c r="G117" i="105"/>
  <c r="J91" i="148"/>
  <c r="D367" i="132"/>
  <c r="F16" i="131"/>
  <c r="G15" i="131"/>
  <c r="E66" i="133"/>
  <c r="F148" i="105"/>
  <c r="AT928" i="162"/>
  <c r="AT931" i="162" s="1"/>
  <c r="H787" i="162" s="1"/>
  <c r="AT925" i="162"/>
  <c r="H786" i="162" s="1"/>
  <c r="H325" i="105" s="1"/>
  <c r="E65" i="133"/>
  <c r="F143" i="105"/>
  <c r="E68" i="133"/>
  <c r="E76" i="133"/>
  <c r="R7" i="138"/>
  <c r="D17" i="138" s="1"/>
  <c r="AI317" i="138"/>
  <c r="R8" i="138" s="1"/>
  <c r="AI90" i="138"/>
  <c r="G267" i="107"/>
  <c r="Z107" i="133"/>
  <c r="W107" i="133"/>
  <c r="X107" i="133" s="1"/>
  <c r="BX92" i="132"/>
  <c r="R98" i="128"/>
  <c r="BX94" i="132"/>
  <c r="R100" i="128"/>
  <c r="BX87" i="132"/>
  <c r="R94" i="128"/>
  <c r="BX66" i="132"/>
  <c r="R76" i="128"/>
  <c r="BX59" i="132"/>
  <c r="R70" i="128"/>
  <c r="I99" i="105"/>
  <c r="K99" i="105"/>
  <c r="J99" i="105"/>
  <c r="I102" i="105" s="1"/>
  <c r="L99" i="105"/>
  <c r="K102" i="105" s="1"/>
  <c r="M99" i="105"/>
  <c r="L102" i="105" s="1"/>
  <c r="N99" i="105"/>
  <c r="M102" i="105" s="1"/>
  <c r="O99" i="105"/>
  <c r="Q99" i="105"/>
  <c r="P102" i="105" s="1"/>
  <c r="P99" i="105"/>
  <c r="O102" i="105" s="1"/>
  <c r="S99" i="105"/>
  <c r="R99" i="105"/>
  <c r="Q102" i="105" s="1"/>
  <c r="T99" i="105"/>
  <c r="S102" i="105" s="1"/>
  <c r="AJ160" i="138"/>
  <c r="S12" i="138" s="1"/>
  <c r="S26" i="138" s="1"/>
  <c r="D59" i="148" s="1"/>
  <c r="H804" i="162"/>
  <c r="G809" i="162"/>
  <c r="I804" i="162"/>
  <c r="J804" i="162"/>
  <c r="K804" i="162"/>
  <c r="L804" i="162"/>
  <c r="N804" i="162"/>
  <c r="O804" i="162"/>
  <c r="M804" i="162"/>
  <c r="P804" i="162"/>
  <c r="Q804" i="162"/>
  <c r="R804" i="162"/>
  <c r="S804" i="162"/>
  <c r="G772" i="162"/>
  <c r="H803" i="162"/>
  <c r="G808" i="162"/>
  <c r="I803" i="162"/>
  <c r="J803" i="162"/>
  <c r="K803" i="162"/>
  <c r="L803" i="162"/>
  <c r="N803" i="162"/>
  <c r="O803" i="162"/>
  <c r="M803" i="162"/>
  <c r="P803" i="162"/>
  <c r="R803" i="162"/>
  <c r="Q803" i="162"/>
  <c r="S803" i="162"/>
  <c r="G771" i="162"/>
  <c r="G827" i="162"/>
  <c r="H766" i="162"/>
  <c r="J766" i="162"/>
  <c r="J768" i="162" s="1"/>
  <c r="L766" i="162"/>
  <c r="L768" i="162" s="1"/>
  <c r="N766" i="162"/>
  <c r="N768" i="162" s="1"/>
  <c r="P766" i="162"/>
  <c r="P768" i="162" s="1"/>
  <c r="R766" i="162"/>
  <c r="R768" i="162" s="1"/>
  <c r="K766" i="162"/>
  <c r="K768" i="162" s="1"/>
  <c r="O766" i="162"/>
  <c r="O768" i="162" s="1"/>
  <c r="S766" i="162"/>
  <c r="S768" i="162" s="1"/>
  <c r="I766" i="162"/>
  <c r="I768" i="162" s="1"/>
  <c r="Q766" i="162"/>
  <c r="Q768" i="162" s="1"/>
  <c r="M766" i="162"/>
  <c r="M768" i="162" s="1"/>
  <c r="H181" i="105"/>
  <c r="S181" i="105"/>
  <c r="S182" i="105" s="1"/>
  <c r="P75" i="133" s="1"/>
  <c r="P110" i="133" s="1"/>
  <c r="R270" i="107" s="1"/>
  <c r="R19" i="219" s="1"/>
  <c r="J121" i="148"/>
  <c r="H165" i="105"/>
  <c r="J165" i="105"/>
  <c r="J166" i="105" s="1"/>
  <c r="G70" i="133" s="1"/>
  <c r="G105" i="133" s="1"/>
  <c r="I265" i="107" s="1"/>
  <c r="Q165" i="105"/>
  <c r="Q166" i="105" s="1"/>
  <c r="N70" i="133" s="1"/>
  <c r="N105" i="133" s="1"/>
  <c r="P265" i="107" s="1"/>
  <c r="J116" i="148"/>
  <c r="AY95" i="148"/>
  <c r="AZ95" i="148" s="1"/>
  <c r="R169" i="105"/>
  <c r="R170" i="105" s="1"/>
  <c r="O71" i="133" s="1"/>
  <c r="O106" i="133" s="1"/>
  <c r="Q266" i="107" s="1"/>
  <c r="J117" i="148"/>
  <c r="O115" i="148"/>
  <c r="N115" i="148"/>
  <c r="M115" i="148"/>
  <c r="L115" i="148"/>
  <c r="R125" i="105"/>
  <c r="R126" i="105" s="1"/>
  <c r="O62" i="133" s="1"/>
  <c r="O97" i="133" s="1"/>
  <c r="Q257" i="107" s="1"/>
  <c r="J97" i="148"/>
  <c r="J136" i="105"/>
  <c r="J137" i="105" s="1"/>
  <c r="G64" i="133" s="1"/>
  <c r="G99" i="133" s="1"/>
  <c r="I259" i="107" s="1"/>
  <c r="J108" i="148"/>
  <c r="H356" i="105"/>
  <c r="AI285" i="138"/>
  <c r="R5" i="138"/>
  <c r="D4" i="138" s="1"/>
  <c r="D45" i="138" s="1"/>
  <c r="AI303" i="138"/>
  <c r="AI314" i="138" s="1"/>
  <c r="AV928" i="162"/>
  <c r="AV931" i="162" s="1"/>
  <c r="J787" i="162" s="1"/>
  <c r="AV925" i="162"/>
  <c r="J786" i="162" s="1"/>
  <c r="J325" i="105" s="1"/>
  <c r="J342" i="105" s="1"/>
  <c r="AG972" i="162"/>
  <c r="AQ971" i="162"/>
  <c r="I151" i="105"/>
  <c r="H78" i="214"/>
  <c r="H204" i="107"/>
  <c r="H108" i="107"/>
  <c r="H653" i="107" s="1"/>
  <c r="E17" i="105"/>
  <c r="H93" i="107"/>
  <c r="F80" i="133"/>
  <c r="F115" i="133" s="1"/>
  <c r="H275" i="107" s="1"/>
  <c r="I193" i="107"/>
  <c r="J418" i="105"/>
  <c r="J420" i="105" s="1"/>
  <c r="I651" i="107"/>
  <c r="J94" i="105"/>
  <c r="G14" i="133" s="1"/>
  <c r="G15" i="133" s="1"/>
  <c r="G16" i="133" s="1"/>
  <c r="J93" i="105"/>
  <c r="J78" i="105" s="1"/>
  <c r="I209" i="105"/>
  <c r="T13" i="138"/>
  <c r="F18" i="138" s="1"/>
  <c r="AK90" i="138"/>
  <c r="T14" i="138" s="1"/>
  <c r="H109" i="105"/>
  <c r="H105" i="105"/>
  <c r="H102" i="105"/>
  <c r="H98" i="105"/>
  <c r="M151" i="105"/>
  <c r="L78" i="214"/>
  <c r="L204" i="107"/>
  <c r="L108" i="107"/>
  <c r="L653" i="107" s="1"/>
  <c r="I17" i="105"/>
  <c r="L93" i="107"/>
  <c r="I16" i="138"/>
  <c r="I45" i="105"/>
  <c r="K984" i="162"/>
  <c r="K992" i="162"/>
  <c r="K985" i="162" s="1"/>
  <c r="K839" i="162" s="1"/>
  <c r="K335" i="105" s="1"/>
  <c r="F201" i="105"/>
  <c r="L151" i="105"/>
  <c r="K204" i="107"/>
  <c r="K108" i="107"/>
  <c r="K653" i="107" s="1"/>
  <c r="H17" i="105"/>
  <c r="K93" i="107"/>
  <c r="L984" i="162"/>
  <c r="L992" i="162"/>
  <c r="L985" i="162" s="1"/>
  <c r="L839" i="162" s="1"/>
  <c r="L335" i="105" s="1"/>
  <c r="J16" i="138"/>
  <c r="J45" i="105"/>
  <c r="K16" i="138"/>
  <c r="K45" i="105"/>
  <c r="M16" i="138"/>
  <c r="M45" i="105"/>
  <c r="BC928" i="162"/>
  <c r="BC931" i="162" s="1"/>
  <c r="Q787" i="162" s="1"/>
  <c r="BC925" i="162"/>
  <c r="Q786" i="162" s="1"/>
  <c r="Q325" i="105" s="1"/>
  <c r="N129" i="105"/>
  <c r="M98" i="107"/>
  <c r="N984" i="162"/>
  <c r="N992" i="162"/>
  <c r="N985" i="162" s="1"/>
  <c r="N839" i="162" s="1"/>
  <c r="N335" i="105" s="1"/>
  <c r="L80" i="133"/>
  <c r="L115" i="133" s="1"/>
  <c r="N275" i="107" s="1"/>
  <c r="P151" i="105"/>
  <c r="O204" i="107"/>
  <c r="O108" i="107"/>
  <c r="O653" i="107" s="1"/>
  <c r="P93" i="105"/>
  <c r="P78" i="105" s="1"/>
  <c r="O209" i="105"/>
  <c r="S93" i="105"/>
  <c r="S78" i="105" s="1"/>
  <c r="R209" i="105"/>
  <c r="BE928" i="162"/>
  <c r="AP925" i="162"/>
  <c r="BA925" i="162"/>
  <c r="O786" i="162" s="1"/>
  <c r="O325" i="105" s="1"/>
  <c r="O342" i="105" s="1"/>
  <c r="BA928" i="162"/>
  <c r="BA931" i="162" s="1"/>
  <c r="O787" i="162" s="1"/>
  <c r="AC7" i="138"/>
  <c r="O17" i="138" s="1"/>
  <c r="AT317" i="138"/>
  <c r="AC8" i="138" s="1"/>
  <c r="O93" i="105"/>
  <c r="O78" i="105" s="1"/>
  <c r="N209" i="105"/>
  <c r="N193" i="107"/>
  <c r="N651" i="107"/>
  <c r="O418" i="105"/>
  <c r="O420" i="105" s="1"/>
  <c r="O333" i="105"/>
  <c r="L81" i="133" s="1"/>
  <c r="O842" i="162"/>
  <c r="O331" i="105" s="1"/>
  <c r="M80" i="133"/>
  <c r="M115" i="133" s="1"/>
  <c r="O275" i="107" s="1"/>
  <c r="P193" i="107"/>
  <c r="P651" i="107"/>
  <c r="Q418" i="105"/>
  <c r="Q420" i="105" s="1"/>
  <c r="AA13" i="138"/>
  <c r="M18" i="138" s="1"/>
  <c r="AR90" i="138"/>
  <c r="AA14" i="138" s="1"/>
  <c r="BD928" i="162"/>
  <c r="AO928" i="162"/>
  <c r="AO925" i="162"/>
  <c r="E156" i="148"/>
  <c r="E159" i="148" s="1"/>
  <c r="E160" i="148" s="1"/>
  <c r="AH10" i="138"/>
  <c r="X22" i="138" s="1"/>
  <c r="AL327" i="138"/>
  <c r="AH11" i="138" s="1"/>
  <c r="X23" i="138" s="1"/>
  <c r="AG10" i="138"/>
  <c r="W22" i="138" s="1"/>
  <c r="AK327" i="138"/>
  <c r="AG11" i="138" s="1"/>
  <c r="W23" i="138" s="1"/>
  <c r="H163" i="138"/>
  <c r="X150" i="138" s="1"/>
  <c r="G163" i="138"/>
  <c r="F164" i="138" s="1"/>
  <c r="AP85" i="148"/>
  <c r="AQ85" i="148" s="1"/>
  <c r="AP91" i="148"/>
  <c r="AQ91" i="148" s="1"/>
  <c r="AI110" i="138"/>
  <c r="AE21" i="138"/>
  <c r="T26" i="138" s="1"/>
  <c r="AI108" i="138"/>
  <c r="AE23" i="138" s="1"/>
  <c r="T28" i="138" s="1"/>
  <c r="AN106" i="138"/>
  <c r="AJ21" i="138" s="1"/>
  <c r="D91" i="138"/>
  <c r="C92" i="138" s="1"/>
  <c r="E91" i="138"/>
  <c r="D163" i="138"/>
  <c r="C164" i="138" s="1"/>
  <c r="E163" i="138"/>
  <c r="W150" i="138" s="1"/>
  <c r="AS85" i="148"/>
  <c r="AT85" i="148" s="1"/>
  <c r="AS91" i="148"/>
  <c r="AT91" i="148" s="1"/>
  <c r="G54" i="148"/>
  <c r="G64" i="148" s="1"/>
  <c r="X31" i="138"/>
  <c r="AV85" i="148"/>
  <c r="AW85" i="148" s="1"/>
  <c r="AV91" i="148"/>
  <c r="AW91" i="148" s="1"/>
  <c r="AI114" i="138"/>
  <c r="AJ114" i="138"/>
  <c r="AK114" i="138"/>
  <c r="AM114" i="138"/>
  <c r="AN114" i="138"/>
  <c r="AP114" i="138"/>
  <c r="AQ114" i="138"/>
  <c r="AS114" i="138"/>
  <c r="Q114" i="138"/>
  <c r="AL114" i="138"/>
  <c r="AO114" i="138"/>
  <c r="AR114" i="138"/>
  <c r="O122" i="138"/>
  <c r="P122" i="138" s="1"/>
  <c r="Q116" i="138"/>
  <c r="I122" i="138"/>
  <c r="J122" i="138" s="1"/>
  <c r="R118" i="138"/>
  <c r="R116" i="138"/>
  <c r="Q115" i="138"/>
  <c r="AT114" i="138"/>
  <c r="Q118" i="138"/>
  <c r="R115" i="138"/>
  <c r="U122" i="138"/>
  <c r="V122" i="138" s="1"/>
  <c r="Q117" i="138"/>
  <c r="AA122" i="138"/>
  <c r="AB122" i="138" s="1"/>
  <c r="R117" i="138"/>
  <c r="R114" i="138"/>
  <c r="E287" i="138"/>
  <c r="D287" i="138"/>
  <c r="C288" i="138" s="1"/>
  <c r="Q108" i="128"/>
  <c r="Q123" i="128" s="1"/>
  <c r="T124" i="128"/>
  <c r="Q124" i="128" s="1"/>
  <c r="H287" i="138"/>
  <c r="G287" i="138"/>
  <c r="F288" i="138" s="1"/>
  <c r="I671" i="131"/>
  <c r="H96" i="148" s="1"/>
  <c r="H95" i="148" s="1"/>
  <c r="G96" i="148"/>
  <c r="G95" i="148" s="1"/>
  <c r="AS83" i="138"/>
  <c r="AO83" i="138"/>
  <c r="AM82" i="138"/>
  <c r="AS82" i="138" s="1"/>
  <c r="AM81" i="138"/>
  <c r="AM83" i="138"/>
  <c r="AK81" i="138"/>
  <c r="AN81" i="138" s="1"/>
  <c r="AQ81" i="138" s="1"/>
  <c r="AT81" i="138" s="1"/>
  <c r="AK82" i="138"/>
  <c r="AK83" i="138"/>
  <c r="AI79" i="138"/>
  <c r="AI80" i="138"/>
  <c r="AK80" i="138" s="1"/>
  <c r="AM80" i="138" s="1"/>
  <c r="AO80" i="138" s="1"/>
  <c r="AQ80" i="138" s="1"/>
  <c r="AS80" i="138" s="1"/>
  <c r="AI81" i="138"/>
  <c r="AL81" i="138" s="1"/>
  <c r="AO81" i="138" s="1"/>
  <c r="AR81" i="138" s="1"/>
  <c r="AI83" i="138"/>
  <c r="AI82" i="138"/>
  <c r="AO82" i="138" s="1"/>
  <c r="AS155" i="138"/>
  <c r="AQ155" i="138"/>
  <c r="AO155" i="138"/>
  <c r="AM154" i="138"/>
  <c r="AS154" i="138" s="1"/>
  <c r="AM155" i="138"/>
  <c r="AM153" i="138"/>
  <c r="AP153" i="138" s="1"/>
  <c r="AS153" i="138" s="1"/>
  <c r="AK154" i="138"/>
  <c r="AQ154" i="138" s="1"/>
  <c r="AK155" i="138"/>
  <c r="AK153" i="138"/>
  <c r="AN153" i="138" s="1"/>
  <c r="AQ153" i="138" s="1"/>
  <c r="AT153" i="138" s="1"/>
  <c r="AI151" i="138"/>
  <c r="AI154" i="138"/>
  <c r="AI152" i="138"/>
  <c r="AI153" i="138"/>
  <c r="AI155" i="138"/>
  <c r="H469" i="105"/>
  <c r="G468" i="105"/>
  <c r="I246" i="133"/>
  <c r="P91" i="138"/>
  <c r="O92" i="138" s="1"/>
  <c r="Q91" i="138"/>
  <c r="I405" i="105"/>
  <c r="I412" i="105" s="1"/>
  <c r="F154" i="133" s="1"/>
  <c r="BR79" i="128"/>
  <c r="AS100" i="128"/>
  <c r="BH100" i="128" s="1"/>
  <c r="BR100" i="128"/>
  <c r="AS98" i="128"/>
  <c r="BH98" i="128" s="1"/>
  <c r="BR98" i="128"/>
  <c r="AS95" i="128"/>
  <c r="BH95" i="128" s="1"/>
  <c r="BR95" i="128"/>
  <c r="AS93" i="128"/>
  <c r="BH93" i="128" s="1"/>
  <c r="BR93" i="128"/>
  <c r="AS91" i="128"/>
  <c r="BH91" i="128" s="1"/>
  <c r="BR91" i="128"/>
  <c r="BR88" i="128"/>
  <c r="AS88" i="128"/>
  <c r="BH88" i="128" s="1"/>
  <c r="BR86" i="128"/>
  <c r="AS86" i="128"/>
  <c r="BH86" i="128" s="1"/>
  <c r="BR84" i="128"/>
  <c r="AS84" i="128"/>
  <c r="BH84" i="128" s="1"/>
  <c r="BR82" i="128"/>
  <c r="AS82" i="128"/>
  <c r="BH82" i="128" s="1"/>
  <c r="BR80" i="128"/>
  <c r="AS80" i="128"/>
  <c r="BH80" i="128" s="1"/>
  <c r="BR76" i="128"/>
  <c r="AS76" i="128"/>
  <c r="BH76" i="128" s="1"/>
  <c r="BR74" i="128"/>
  <c r="AS74" i="128"/>
  <c r="BH74" i="128" s="1"/>
  <c r="BR72" i="128"/>
  <c r="AS72" i="128"/>
  <c r="BH72" i="128" s="1"/>
  <c r="BR70" i="128"/>
  <c r="AS70" i="128"/>
  <c r="BH70" i="128" s="1"/>
  <c r="BR68" i="128"/>
  <c r="AS68" i="128"/>
  <c r="BH68" i="128" s="1"/>
  <c r="BR65" i="128"/>
  <c r="BR63" i="128"/>
  <c r="BR61" i="128"/>
  <c r="BR78" i="128"/>
  <c r="AS78" i="128"/>
  <c r="BH78" i="128" s="1"/>
  <c r="AS66" i="128"/>
  <c r="BH66" i="128" s="1"/>
  <c r="BR66" i="128"/>
  <c r="AD287" i="138"/>
  <c r="AB289" i="138"/>
  <c r="AG281" i="138" s="1"/>
  <c r="X115" i="138"/>
  <c r="X153" i="138"/>
  <c r="X116" i="138"/>
  <c r="W117" i="138"/>
  <c r="Y154" i="138"/>
  <c r="L135" i="148"/>
  <c r="K67" i="148" s="1"/>
  <c r="H56" i="148"/>
  <c r="AG13" i="138"/>
  <c r="F29" i="138" s="1"/>
  <c r="E370" i="148" s="1"/>
  <c r="E369" i="148" s="1"/>
  <c r="AL300" i="138"/>
  <c r="H128" i="138"/>
  <c r="Z114" i="138" s="1"/>
  <c r="G128" i="138"/>
  <c r="F129" i="138" s="1"/>
  <c r="J289" i="138"/>
  <c r="AG278" i="138" s="1"/>
  <c r="L287" i="138"/>
  <c r="W114" i="138"/>
  <c r="X152" i="138"/>
  <c r="AH6" i="138"/>
  <c r="AG17" i="138"/>
  <c r="Y128" i="138"/>
  <c r="X129" i="138" s="1"/>
  <c r="Z128" i="138"/>
  <c r="Z117" i="138" s="1"/>
  <c r="V131" i="138"/>
  <c r="U132" i="138" s="1"/>
  <c r="W131" i="138"/>
  <c r="AB166" i="138"/>
  <c r="AA167" i="138" s="1"/>
  <c r="AC166" i="138"/>
  <c r="AE93" i="138"/>
  <c r="AD94" i="138" s="1"/>
  <c r="AF93" i="138"/>
  <c r="P164" i="138"/>
  <c r="O165" i="138" s="1"/>
  <c r="Q164" i="138"/>
  <c r="Y152" i="138" s="1"/>
  <c r="V164" i="138"/>
  <c r="U165" i="138" s="1"/>
  <c r="W164" i="138"/>
  <c r="Y153" i="138" s="1"/>
  <c r="S131" i="138"/>
  <c r="R132" i="138" s="1"/>
  <c r="T131" i="138"/>
  <c r="X79" i="138"/>
  <c r="W116" i="138"/>
  <c r="X154" i="138"/>
  <c r="Y81" i="138"/>
  <c r="AE128" i="138"/>
  <c r="AD129" i="138" s="1"/>
  <c r="AF128" i="138"/>
  <c r="Z118" i="138" s="1"/>
  <c r="W151" i="138"/>
  <c r="Z81" i="138"/>
  <c r="H222" i="105"/>
  <c r="I169" i="105"/>
  <c r="I170" i="105" s="1"/>
  <c r="F71" i="133" s="1"/>
  <c r="F106" i="133" s="1"/>
  <c r="H266" i="107" s="1"/>
  <c r="J125" i="105"/>
  <c r="J126" i="105" s="1"/>
  <c r="G62" i="133" s="1"/>
  <c r="G97" i="133" s="1"/>
  <c r="I257" i="107" s="1"/>
  <c r="J169" i="105"/>
  <c r="J170" i="105" s="1"/>
  <c r="G71" i="133" s="1"/>
  <c r="G106" i="133" s="1"/>
  <c r="I266" i="107" s="1"/>
  <c r="I136" i="105"/>
  <c r="I137" i="105" s="1"/>
  <c r="F64" i="133" s="1"/>
  <c r="F99" i="133" s="1"/>
  <c r="H259" i="107" s="1"/>
  <c r="I165" i="105"/>
  <c r="I166" i="105" s="1"/>
  <c r="F70" i="133" s="1"/>
  <c r="F105" i="133" s="1"/>
  <c r="H265" i="107" s="1"/>
  <c r="I177" i="105"/>
  <c r="I178" i="105" s="1"/>
  <c r="F74" i="133" s="1"/>
  <c r="F109" i="133" s="1"/>
  <c r="H269" i="107" s="1"/>
  <c r="I193" i="105"/>
  <c r="I194" i="105" s="1"/>
  <c r="F78" i="133" s="1"/>
  <c r="F113" i="133" s="1"/>
  <c r="H273" i="107" s="1"/>
  <c r="I157" i="105"/>
  <c r="I158" i="105" s="1"/>
  <c r="F68" i="133" s="1"/>
  <c r="F103" i="133" s="1"/>
  <c r="H263" i="107" s="1"/>
  <c r="I189" i="105"/>
  <c r="I190" i="105" s="1"/>
  <c r="F77" i="133" s="1"/>
  <c r="F112" i="133" s="1"/>
  <c r="H272" i="107" s="1"/>
  <c r="J221" i="105"/>
  <c r="J222" i="105" s="1"/>
  <c r="G134" i="133" s="1"/>
  <c r="J173" i="105"/>
  <c r="J174" i="105" s="1"/>
  <c r="G73" i="133" s="1"/>
  <c r="G108" i="133" s="1"/>
  <c r="I268" i="107" s="1"/>
  <c r="I18" i="219" s="1"/>
  <c r="J189" i="105"/>
  <c r="J190" i="105" s="1"/>
  <c r="G77" i="133" s="1"/>
  <c r="G112" i="133" s="1"/>
  <c r="I272" i="107" s="1"/>
  <c r="J102" i="105"/>
  <c r="I342" i="105"/>
  <c r="I185" i="105"/>
  <c r="I186" i="105" s="1"/>
  <c r="F76" i="133" s="1"/>
  <c r="F111" i="133" s="1"/>
  <c r="H271" i="107" s="1"/>
  <c r="H20" i="219" s="1"/>
  <c r="K165" i="105"/>
  <c r="K166" i="105" s="1"/>
  <c r="H70" i="133" s="1"/>
  <c r="H105" i="133" s="1"/>
  <c r="J265" i="107" s="1"/>
  <c r="K193" i="105"/>
  <c r="K194" i="105" s="1"/>
  <c r="H78" i="133" s="1"/>
  <c r="H113" i="133" s="1"/>
  <c r="J273" i="107" s="1"/>
  <c r="K264" i="105"/>
  <c r="K265" i="105" s="1"/>
  <c r="H136" i="133" s="1"/>
  <c r="I636" i="131" s="1"/>
  <c r="L165" i="105"/>
  <c r="L166" i="105" s="1"/>
  <c r="I70" i="133" s="1"/>
  <c r="I105" i="133" s="1"/>
  <c r="K265" i="107" s="1"/>
  <c r="L193" i="105"/>
  <c r="L194" i="105" s="1"/>
  <c r="I78" i="133" s="1"/>
  <c r="I113" i="133" s="1"/>
  <c r="K273" i="107" s="1"/>
  <c r="L264" i="105"/>
  <c r="L265" i="105" s="1"/>
  <c r="I136" i="133" s="1"/>
  <c r="J636" i="131" s="1"/>
  <c r="M136" i="105"/>
  <c r="M137" i="105" s="1"/>
  <c r="J64" i="133" s="1"/>
  <c r="J99" i="133" s="1"/>
  <c r="L259" i="107" s="1"/>
  <c r="M177" i="105"/>
  <c r="M178" i="105" s="1"/>
  <c r="J74" i="133" s="1"/>
  <c r="J109" i="133" s="1"/>
  <c r="L269" i="107" s="1"/>
  <c r="M185" i="105"/>
  <c r="M186" i="105" s="1"/>
  <c r="J76" i="133" s="1"/>
  <c r="J111" i="133" s="1"/>
  <c r="L271" i="107" s="1"/>
  <c r="L20" i="219" s="1"/>
  <c r="M193" i="105"/>
  <c r="M194" i="105" s="1"/>
  <c r="J78" i="133" s="1"/>
  <c r="J113" i="133" s="1"/>
  <c r="L273" i="107" s="1"/>
  <c r="K221" i="105"/>
  <c r="K222" i="105" s="1"/>
  <c r="H134" i="133" s="1"/>
  <c r="K125" i="105"/>
  <c r="K126" i="105" s="1"/>
  <c r="H62" i="133" s="1"/>
  <c r="H97" i="133" s="1"/>
  <c r="J257" i="107" s="1"/>
  <c r="K157" i="105"/>
  <c r="K158" i="105" s="1"/>
  <c r="H68" i="133" s="1"/>
  <c r="H103" i="133" s="1"/>
  <c r="J263" i="107" s="1"/>
  <c r="K173" i="105"/>
  <c r="K174" i="105" s="1"/>
  <c r="H73" i="133" s="1"/>
  <c r="H108" i="133" s="1"/>
  <c r="J268" i="107" s="1"/>
  <c r="J18" i="219" s="1"/>
  <c r="K189" i="105"/>
  <c r="K190" i="105" s="1"/>
  <c r="H77" i="133" s="1"/>
  <c r="H112" i="133" s="1"/>
  <c r="J272" i="107" s="1"/>
  <c r="L221" i="105"/>
  <c r="L222" i="105" s="1"/>
  <c r="I134" i="133" s="1"/>
  <c r="L125" i="105"/>
  <c r="L126" i="105" s="1"/>
  <c r="I62" i="133" s="1"/>
  <c r="I97" i="133" s="1"/>
  <c r="K257" i="107" s="1"/>
  <c r="L157" i="105"/>
  <c r="L158" i="105" s="1"/>
  <c r="I68" i="133" s="1"/>
  <c r="I103" i="133" s="1"/>
  <c r="K263" i="107" s="1"/>
  <c r="L173" i="105"/>
  <c r="L174" i="105" s="1"/>
  <c r="I73" i="133" s="1"/>
  <c r="I108" i="133" s="1"/>
  <c r="K268" i="107" s="1"/>
  <c r="K18" i="219" s="1"/>
  <c r="L189" i="105"/>
  <c r="L190" i="105" s="1"/>
  <c r="I77" i="133" s="1"/>
  <c r="I112" i="133" s="1"/>
  <c r="K272" i="107" s="1"/>
  <c r="J193" i="105"/>
  <c r="J194" i="105" s="1"/>
  <c r="G78" i="133" s="1"/>
  <c r="G113" i="133" s="1"/>
  <c r="I273" i="107" s="1"/>
  <c r="K185" i="105"/>
  <c r="K186" i="105" s="1"/>
  <c r="H76" i="133" s="1"/>
  <c r="H111" i="133" s="1"/>
  <c r="J271" i="107" s="1"/>
  <c r="J20" i="219" s="1"/>
  <c r="V13" i="138"/>
  <c r="H18" i="138" s="1"/>
  <c r="L185" i="105"/>
  <c r="L186" i="105" s="1"/>
  <c r="I76" i="133" s="1"/>
  <c r="I111" i="133" s="1"/>
  <c r="K271" i="107" s="1"/>
  <c r="K20" i="219" s="1"/>
  <c r="AY929" i="162"/>
  <c r="K342" i="105"/>
  <c r="K169" i="105"/>
  <c r="K170" i="105" s="1"/>
  <c r="H71" i="133" s="1"/>
  <c r="H106" i="133" s="1"/>
  <c r="J266" i="107" s="1"/>
  <c r="K181" i="105"/>
  <c r="K182" i="105" s="1"/>
  <c r="H75" i="133" s="1"/>
  <c r="H110" i="133" s="1"/>
  <c r="J270" i="107" s="1"/>
  <c r="J19" i="219" s="1"/>
  <c r="H9" i="138"/>
  <c r="I140" i="133" s="1"/>
  <c r="K277" i="107" s="1"/>
  <c r="L342" i="105"/>
  <c r="L169" i="105"/>
  <c r="L170" i="105" s="1"/>
  <c r="I71" i="133" s="1"/>
  <c r="I106" i="133" s="1"/>
  <c r="K266" i="107" s="1"/>
  <c r="L181" i="105"/>
  <c r="L182" i="105" s="1"/>
  <c r="I75" i="133" s="1"/>
  <c r="I110" i="133" s="1"/>
  <c r="K270" i="107" s="1"/>
  <c r="K19" i="219" s="1"/>
  <c r="M342" i="105"/>
  <c r="M169" i="105"/>
  <c r="M170" i="105" s="1"/>
  <c r="J71" i="133" s="1"/>
  <c r="J106" i="133" s="1"/>
  <c r="L266" i="107" s="1"/>
  <c r="N136" i="105"/>
  <c r="N137" i="105" s="1"/>
  <c r="K64" i="133" s="1"/>
  <c r="K99" i="133" s="1"/>
  <c r="M259" i="107" s="1"/>
  <c r="N177" i="105"/>
  <c r="N178" i="105" s="1"/>
  <c r="K74" i="133" s="1"/>
  <c r="K109" i="133" s="1"/>
  <c r="M269" i="107" s="1"/>
  <c r="O181" i="105"/>
  <c r="O182" i="105" s="1"/>
  <c r="L75" i="133" s="1"/>
  <c r="L110" i="133" s="1"/>
  <c r="N270" i="107" s="1"/>
  <c r="N19" i="219" s="1"/>
  <c r="P157" i="105"/>
  <c r="P158" i="105" s="1"/>
  <c r="M68" i="133" s="1"/>
  <c r="M103" i="133" s="1"/>
  <c r="O263" i="107" s="1"/>
  <c r="P189" i="105"/>
  <c r="P190" i="105" s="1"/>
  <c r="M77" i="133" s="1"/>
  <c r="M112" i="133" s="1"/>
  <c r="O272" i="107" s="1"/>
  <c r="Q136" i="105"/>
  <c r="Q137" i="105" s="1"/>
  <c r="N64" i="133" s="1"/>
  <c r="N99" i="133" s="1"/>
  <c r="P259" i="107" s="1"/>
  <c r="Q169" i="105"/>
  <c r="Q170" i="105" s="1"/>
  <c r="N71" i="133" s="1"/>
  <c r="N106" i="133" s="1"/>
  <c r="P266" i="107" s="1"/>
  <c r="R136" i="105"/>
  <c r="R137" i="105" s="1"/>
  <c r="O64" i="133" s="1"/>
  <c r="O99" i="133" s="1"/>
  <c r="Q259" i="107" s="1"/>
  <c r="S185" i="105"/>
  <c r="S186" i="105" s="1"/>
  <c r="P76" i="133" s="1"/>
  <c r="P111" i="133" s="1"/>
  <c r="R271" i="107" s="1"/>
  <c r="R20" i="219" s="1"/>
  <c r="N994" i="162"/>
  <c r="N987" i="162" s="1"/>
  <c r="N841" i="162" s="1"/>
  <c r="Q342" i="105"/>
  <c r="BD930" i="162"/>
  <c r="AZ928" i="162"/>
  <c r="AZ931" i="162" s="1"/>
  <c r="N787" i="162" s="1"/>
  <c r="O125" i="105"/>
  <c r="O126" i="105" s="1"/>
  <c r="L62" i="133" s="1"/>
  <c r="L97" i="133" s="1"/>
  <c r="N257" i="107" s="1"/>
  <c r="O173" i="105"/>
  <c r="O174" i="105" s="1"/>
  <c r="L73" i="133" s="1"/>
  <c r="L108" i="133" s="1"/>
  <c r="N268" i="107" s="1"/>
  <c r="N18" i="219" s="1"/>
  <c r="Z13" i="138"/>
  <c r="L18" i="138" s="1"/>
  <c r="P221" i="105"/>
  <c r="P222" i="105" s="1"/>
  <c r="M134" i="133" s="1"/>
  <c r="P181" i="105"/>
  <c r="P182" i="105" s="1"/>
  <c r="M75" i="133" s="1"/>
  <c r="M110" i="133" s="1"/>
  <c r="O270" i="107" s="1"/>
  <c r="O19" i="219" s="1"/>
  <c r="Q173" i="105"/>
  <c r="Q174" i="105" s="1"/>
  <c r="N73" i="133" s="1"/>
  <c r="N108" i="133" s="1"/>
  <c r="P268" i="107" s="1"/>
  <c r="P18" i="219" s="1"/>
  <c r="Q189" i="105"/>
  <c r="Q190" i="105" s="1"/>
  <c r="N77" i="133" s="1"/>
  <c r="N112" i="133" s="1"/>
  <c r="P272" i="107" s="1"/>
  <c r="R185" i="105"/>
  <c r="R186" i="105" s="1"/>
  <c r="O76" i="133" s="1"/>
  <c r="O111" i="133" s="1"/>
  <c r="Q271" i="107" s="1"/>
  <c r="Q20" i="219" s="1"/>
  <c r="S136" i="105"/>
  <c r="S137" i="105" s="1"/>
  <c r="P64" i="133" s="1"/>
  <c r="P99" i="133" s="1"/>
  <c r="R259" i="107" s="1"/>
  <c r="BE929" i="162"/>
  <c r="N202" i="105"/>
  <c r="BE930" i="162"/>
  <c r="R173" i="105"/>
  <c r="R174" i="105" s="1"/>
  <c r="O73" i="133" s="1"/>
  <c r="O108" i="133" s="1"/>
  <c r="Q268" i="107" s="1"/>
  <c r="Q18" i="219" s="1"/>
  <c r="S125" i="105"/>
  <c r="S126" i="105" s="1"/>
  <c r="P62" i="133" s="1"/>
  <c r="P97" i="133" s="1"/>
  <c r="R257" i="107" s="1"/>
  <c r="AJ144" i="138"/>
  <c r="AF23" i="138" s="1"/>
  <c r="V28" i="138" s="1"/>
  <c r="E61" i="148" s="1"/>
  <c r="Q177" i="105"/>
  <c r="Q178" i="105" s="1"/>
  <c r="N74" i="133" s="1"/>
  <c r="N109" i="133" s="1"/>
  <c r="P269" i="107" s="1"/>
  <c r="T119" i="128"/>
  <c r="T123" i="128" s="1"/>
  <c r="N120" i="148"/>
  <c r="Y93" i="148" s="1"/>
  <c r="N124" i="148"/>
  <c r="Y98" i="148" s="1"/>
  <c r="AF22" i="138"/>
  <c r="V27" i="138" s="1"/>
  <c r="E60" i="148" s="1"/>
  <c r="AJ146" i="138"/>
  <c r="AK146" i="138" s="1"/>
  <c r="AL146" i="138" s="1"/>
  <c r="AM146" i="138" s="1"/>
  <c r="AJ928" i="162"/>
  <c r="T889" i="162"/>
  <c r="T897" i="162"/>
  <c r="T905" i="162"/>
  <c r="T913" i="162"/>
  <c r="M120" i="148"/>
  <c r="X93" i="148" s="1"/>
  <c r="M124" i="148"/>
  <c r="X98" i="148" s="1"/>
  <c r="L122" i="148"/>
  <c r="W95" i="148" s="1"/>
  <c r="AI92" i="138"/>
  <c r="AS60" i="128"/>
  <c r="BH60" i="128" s="1"/>
  <c r="AS61" i="128"/>
  <c r="BH61" i="128" s="1"/>
  <c r="AS63" i="128"/>
  <c r="BH63" i="128" s="1"/>
  <c r="AS65" i="128"/>
  <c r="BH65" i="128" s="1"/>
  <c r="AS79" i="128"/>
  <c r="BH79" i="128" s="1"/>
  <c r="AS92" i="128"/>
  <c r="BH92" i="128" s="1"/>
  <c r="AS94" i="128"/>
  <c r="BH94" i="128" s="1"/>
  <c r="T866" i="162"/>
  <c r="T888" i="162"/>
  <c r="T896" i="162"/>
  <c r="T904" i="162"/>
  <c r="T912" i="162"/>
  <c r="AF155" i="138" l="1"/>
  <c r="AQ82" i="138"/>
  <c r="R13" i="138"/>
  <c r="D18" i="138" s="1"/>
  <c r="AX931" i="162"/>
  <c r="L787" i="162" s="1"/>
  <c r="AP80" i="138"/>
  <c r="AR80" i="138" s="1"/>
  <c r="AT80" i="138" s="1"/>
  <c r="S824" i="162"/>
  <c r="O824" i="162"/>
  <c r="K824" i="162"/>
  <c r="M274" i="105"/>
  <c r="L61" i="128"/>
  <c r="P61" i="128" s="1"/>
  <c r="G60" i="128"/>
  <c r="I60" i="128" s="1"/>
  <c r="N274" i="105"/>
  <c r="N276" i="105"/>
  <c r="K275" i="105"/>
  <c r="I138" i="133" s="1"/>
  <c r="J638" i="131" s="1"/>
  <c r="AP68" i="128"/>
  <c r="Q68" i="128"/>
  <c r="AF68" i="128" s="1"/>
  <c r="I275" i="105"/>
  <c r="G138" i="133" s="1"/>
  <c r="H638" i="131" s="1"/>
  <c r="S81" i="132"/>
  <c r="R81" i="132"/>
  <c r="T81" i="132" s="1"/>
  <c r="B81" i="132"/>
  <c r="S49" i="132"/>
  <c r="R49" i="132"/>
  <c r="T49" i="132" s="1"/>
  <c r="B49" i="132"/>
  <c r="T802" i="162"/>
  <c r="O8" i="105"/>
  <c r="R189" i="107"/>
  <c r="R24" i="214" s="1"/>
  <c r="O517" i="105"/>
  <c r="Y33" i="138"/>
  <c r="N102" i="105"/>
  <c r="T265" i="162"/>
  <c r="F269" i="105"/>
  <c r="G276" i="105"/>
  <c r="F276" i="105" s="1"/>
  <c r="G270" i="105"/>
  <c r="G274" i="105" s="1"/>
  <c r="F274" i="105" s="1"/>
  <c r="M275" i="105"/>
  <c r="K138" i="133" s="1"/>
  <c r="L638" i="131" s="1"/>
  <c r="K770" i="162"/>
  <c r="O770" i="162"/>
  <c r="S770" i="162"/>
  <c r="H770" i="162"/>
  <c r="L770" i="162"/>
  <c r="P770" i="162"/>
  <c r="M770" i="162"/>
  <c r="N770" i="162"/>
  <c r="I770" i="162"/>
  <c r="Q770" i="162"/>
  <c r="R770" i="162"/>
  <c r="J770" i="162"/>
  <c r="K128" i="138"/>
  <c r="Y115" i="138" s="1"/>
  <c r="J128" i="138"/>
  <c r="I129" i="138" s="1"/>
  <c r="L275" i="105"/>
  <c r="J138" i="133" s="1"/>
  <c r="K638" i="131" s="1"/>
  <c r="O276" i="105"/>
  <c r="O274" i="105"/>
  <c r="AP83" i="128"/>
  <c r="Q83" i="128"/>
  <c r="AF83" i="128" s="1"/>
  <c r="S130" i="105"/>
  <c r="S131" i="105"/>
  <c r="P63" i="133" s="1"/>
  <c r="P98" i="133" s="1"/>
  <c r="R258" i="107" s="1"/>
  <c r="S151" i="105"/>
  <c r="R204" i="107"/>
  <c r="R108" i="107"/>
  <c r="R653" i="107" s="1"/>
  <c r="I274" i="105"/>
  <c r="F271" i="105"/>
  <c r="Q189" i="107"/>
  <c r="Q24" i="214" s="1"/>
  <c r="N517" i="105"/>
  <c r="N8" i="105"/>
  <c r="H807" i="162"/>
  <c r="I807" i="162"/>
  <c r="J807" i="162"/>
  <c r="N807" i="162"/>
  <c r="K807" i="162"/>
  <c r="M807" i="162"/>
  <c r="L807" i="162"/>
  <c r="L792" i="162" s="1"/>
  <c r="K105" i="107" s="1"/>
  <c r="K205" i="107" s="1"/>
  <c r="Q807" i="162"/>
  <c r="R807" i="162"/>
  <c r="S807" i="162"/>
  <c r="O807" i="162"/>
  <c r="O792" i="162" s="1"/>
  <c r="N105" i="107" s="1"/>
  <c r="N205" i="107" s="1"/>
  <c r="P807" i="162"/>
  <c r="G775" i="162"/>
  <c r="S57" i="132"/>
  <c r="R57" i="132"/>
  <c r="T57" i="132" s="1"/>
  <c r="B57" i="132"/>
  <c r="E57" i="132"/>
  <c r="E49" i="132"/>
  <c r="H792" i="162"/>
  <c r="G105" i="107" s="1"/>
  <c r="AP81" i="138"/>
  <c r="AS81" i="138" s="1"/>
  <c r="AJ161" i="138"/>
  <c r="AJ162" i="138" s="1"/>
  <c r="S14" i="138" s="1"/>
  <c r="R102" i="105"/>
  <c r="R14" i="138"/>
  <c r="K274" i="105"/>
  <c r="L206" i="107"/>
  <c r="M334" i="105"/>
  <c r="S74" i="132"/>
  <c r="R74" i="132"/>
  <c r="T74" i="132" s="1"/>
  <c r="B74" i="132"/>
  <c r="L89" i="128"/>
  <c r="P89" i="128" s="1"/>
  <c r="E74" i="132"/>
  <c r="AC93" i="138"/>
  <c r="AB93" i="138"/>
  <c r="AA94" i="138" s="1"/>
  <c r="J194" i="107"/>
  <c r="J651" i="107"/>
  <c r="O103" i="107"/>
  <c r="P838" i="162"/>
  <c r="P843" i="162" s="1"/>
  <c r="N103" i="107"/>
  <c r="O838" i="162"/>
  <c r="O843" i="162" s="1"/>
  <c r="AL51" i="132"/>
  <c r="AI51" i="132"/>
  <c r="AP92" i="128"/>
  <c r="Q92" i="128"/>
  <c r="AF92" i="128" s="1"/>
  <c r="AL53" i="132"/>
  <c r="AI53" i="132"/>
  <c r="J193" i="107"/>
  <c r="K418" i="105"/>
  <c r="K420" i="105" s="1"/>
  <c r="S79" i="132"/>
  <c r="R79" i="132"/>
  <c r="T79" i="132" s="1"/>
  <c r="B79" i="132"/>
  <c r="AA107" i="133"/>
  <c r="T91" i="148" s="1"/>
  <c r="AC107" i="133"/>
  <c r="V91" i="148" s="1"/>
  <c r="AV51" i="132"/>
  <c r="AO51" i="132"/>
  <c r="AQ51" i="132"/>
  <c r="AT51" i="132"/>
  <c r="AP51" i="132"/>
  <c r="AR51" i="132"/>
  <c r="AS51" i="132"/>
  <c r="AU51" i="132"/>
  <c r="S85" i="132"/>
  <c r="R85" i="132"/>
  <c r="T85" i="132" s="1"/>
  <c r="B85" i="132"/>
  <c r="E85" i="132"/>
  <c r="AV53" i="132"/>
  <c r="AO53" i="132"/>
  <c r="AQ53" i="132"/>
  <c r="AT53" i="132"/>
  <c r="AP53" i="132"/>
  <c r="AR53" i="132"/>
  <c r="AS53" i="132"/>
  <c r="AU53" i="132"/>
  <c r="I103" i="107"/>
  <c r="J838" i="162"/>
  <c r="J843" i="162" s="1"/>
  <c r="L87" i="128"/>
  <c r="P87" i="128" s="1"/>
  <c r="G83" i="107"/>
  <c r="R94" i="105"/>
  <c r="O14" i="133" s="1"/>
  <c r="O15" i="133" s="1"/>
  <c r="O16" i="133" s="1"/>
  <c r="Q19" i="133" s="1"/>
  <c r="L94" i="105"/>
  <c r="I14" i="133" s="1"/>
  <c r="I15" i="133" s="1"/>
  <c r="I16" i="133" s="1"/>
  <c r="BX76" i="132"/>
  <c r="CJ76" i="132" s="1"/>
  <c r="U76" i="132" s="1"/>
  <c r="R84" i="128"/>
  <c r="R194" i="107"/>
  <c r="S418" i="105"/>
  <c r="S420" i="105" s="1"/>
  <c r="R651" i="107"/>
  <c r="BX69" i="132"/>
  <c r="CJ69" i="132" s="1"/>
  <c r="U69" i="132" s="1"/>
  <c r="R78" i="128"/>
  <c r="BX88" i="132"/>
  <c r="CJ88" i="132" s="1"/>
  <c r="U88" i="132" s="1"/>
  <c r="R95" i="128"/>
  <c r="J94" i="138"/>
  <c r="I95" i="138" s="1"/>
  <c r="K94" i="138"/>
  <c r="K78" i="105"/>
  <c r="K94" i="105"/>
  <c r="H14" i="133" s="1"/>
  <c r="H15" i="133" s="1"/>
  <c r="H16" i="133" s="1"/>
  <c r="S60" i="132"/>
  <c r="R60" i="132"/>
  <c r="T60" i="132" s="1"/>
  <c r="B60" i="132"/>
  <c r="E60" i="132"/>
  <c r="L69" i="128"/>
  <c r="P69" i="128" s="1"/>
  <c r="G66" i="128"/>
  <c r="AP106" i="128"/>
  <c r="L77" i="128"/>
  <c r="P77" i="128" s="1"/>
  <c r="S62" i="132"/>
  <c r="R62" i="132"/>
  <c r="T62" i="132" s="1"/>
  <c r="B62" i="132"/>
  <c r="S72" i="132"/>
  <c r="R72" i="132"/>
  <c r="T72" i="132" s="1"/>
  <c r="B72" i="132"/>
  <c r="E72" i="132"/>
  <c r="S70" i="132"/>
  <c r="R70" i="132"/>
  <c r="T70" i="132" s="1"/>
  <c r="B70" i="132"/>
  <c r="L84" i="128"/>
  <c r="P84" i="128" s="1"/>
  <c r="G84" i="128"/>
  <c r="I84" i="128" s="1"/>
  <c r="L93" i="128"/>
  <c r="P93" i="128" s="1"/>
  <c r="Q194" i="107"/>
  <c r="Q651" i="107"/>
  <c r="AB128" i="138"/>
  <c r="AA129" i="138" s="1"/>
  <c r="AC128" i="138"/>
  <c r="Y118" i="138" s="1"/>
  <c r="V287" i="138"/>
  <c r="U288" i="138" s="1"/>
  <c r="W287" i="138"/>
  <c r="S279" i="138" s="1"/>
  <c r="Q280" i="138"/>
  <c r="Q279" i="138"/>
  <c r="R277" i="138"/>
  <c r="Q277" i="138"/>
  <c r="R279" i="138"/>
  <c r="R276" i="138"/>
  <c r="R280" i="138"/>
  <c r="R278" i="138"/>
  <c r="AL276" i="138"/>
  <c r="AN276" i="138"/>
  <c r="AP276" i="138"/>
  <c r="AP281" i="138" s="1"/>
  <c r="AR276" i="138"/>
  <c r="AR281" i="138" s="1"/>
  <c r="AT276" i="138"/>
  <c r="AT281" i="138" s="1"/>
  <c r="AI276" i="138"/>
  <c r="AK276" i="138"/>
  <c r="AM276" i="138"/>
  <c r="AO276" i="138"/>
  <c r="AQ276" i="138"/>
  <c r="AS276" i="138"/>
  <c r="AS281" i="138" s="1"/>
  <c r="Q276" i="138"/>
  <c r="AJ276" i="138"/>
  <c r="Q278" i="138"/>
  <c r="S71" i="132"/>
  <c r="R71" i="132"/>
  <c r="T71" i="132" s="1"/>
  <c r="B71" i="132"/>
  <c r="L78" i="128"/>
  <c r="P78" i="128" s="1"/>
  <c r="G78" i="128"/>
  <c r="I78" i="128" s="1"/>
  <c r="AP85" i="128"/>
  <c r="Q85" i="128"/>
  <c r="AF85" i="128" s="1"/>
  <c r="L95" i="128"/>
  <c r="P95" i="128" s="1"/>
  <c r="S84" i="132"/>
  <c r="R84" i="132"/>
  <c r="T84" i="132" s="1"/>
  <c r="B84" i="132"/>
  <c r="P94" i="105"/>
  <c r="M14" i="133" s="1"/>
  <c r="M15" i="133" s="1"/>
  <c r="M16" i="133" s="1"/>
  <c r="F142" i="105"/>
  <c r="E62" i="132"/>
  <c r="BX71" i="132"/>
  <c r="CJ71" i="132" s="1"/>
  <c r="U71" i="132" s="1"/>
  <c r="R80" i="128"/>
  <c r="BX84" i="132"/>
  <c r="CJ84" i="132" s="1"/>
  <c r="U84" i="132" s="1"/>
  <c r="R91" i="128"/>
  <c r="R152" i="105"/>
  <c r="R153" i="105" s="1"/>
  <c r="O67" i="133" s="1"/>
  <c r="O102" i="133" s="1"/>
  <c r="Q262" i="107" s="1"/>
  <c r="Q15" i="219" s="1"/>
  <c r="AP71" i="128"/>
  <c r="Q71" i="128"/>
  <c r="AF71" i="128" s="1"/>
  <c r="S58" i="132"/>
  <c r="C98" i="132"/>
  <c r="B58" i="132"/>
  <c r="R58" i="132"/>
  <c r="T58" i="132" s="1"/>
  <c r="E58" i="132"/>
  <c r="S67" i="132"/>
  <c r="R67" i="132"/>
  <c r="T67" i="132" s="1"/>
  <c r="B67" i="132"/>
  <c r="E67" i="132"/>
  <c r="L72" i="128"/>
  <c r="P72" i="128" s="1"/>
  <c r="G72" i="128"/>
  <c r="I72" i="128" s="1"/>
  <c r="L81" i="128"/>
  <c r="P81" i="128" s="1"/>
  <c r="AP79" i="128"/>
  <c r="Q79" i="128"/>
  <c r="AF79" i="128" s="1"/>
  <c r="S76" i="132"/>
  <c r="R76" i="132"/>
  <c r="T76" i="132" s="1"/>
  <c r="B76" i="132"/>
  <c r="S86" i="132"/>
  <c r="R86" i="132"/>
  <c r="T86" i="132" s="1"/>
  <c r="B86" i="132"/>
  <c r="AT90" i="138"/>
  <c r="AC14" i="138" s="1"/>
  <c r="AC13" i="138"/>
  <c r="O18" i="138" s="1"/>
  <c r="N164" i="138"/>
  <c r="Z151" i="138" s="1"/>
  <c r="M164" i="138"/>
  <c r="L165" i="138" s="1"/>
  <c r="L80" i="128"/>
  <c r="P80" i="128" s="1"/>
  <c r="S69" i="132"/>
  <c r="R69" i="132"/>
  <c r="T69" i="132" s="1"/>
  <c r="B69" i="132"/>
  <c r="S77" i="132"/>
  <c r="R77" i="132"/>
  <c r="T77" i="132" s="1"/>
  <c r="B77" i="132"/>
  <c r="E77" i="132"/>
  <c r="S88" i="132"/>
  <c r="R88" i="132"/>
  <c r="T88" i="132" s="1"/>
  <c r="B88" i="132"/>
  <c r="G90" i="128"/>
  <c r="I90" i="128" s="1"/>
  <c r="L91" i="128"/>
  <c r="P91" i="128" s="1"/>
  <c r="N109" i="148"/>
  <c r="Y84" i="148" s="1"/>
  <c r="AV84" i="148" s="1"/>
  <c r="AW84" i="148" s="1"/>
  <c r="O109" i="148"/>
  <c r="Z84" i="148" s="1"/>
  <c r="AY84" i="148" s="1"/>
  <c r="AZ84" i="148" s="1"/>
  <c r="L109" i="148"/>
  <c r="W84" i="148" s="1"/>
  <c r="AP84" i="148" s="1"/>
  <c r="AQ84" i="148" s="1"/>
  <c r="M109" i="148"/>
  <c r="X84" i="148" s="1"/>
  <c r="AS84" i="148" s="1"/>
  <c r="AT84" i="148" s="1"/>
  <c r="F202" i="105"/>
  <c r="I94" i="105"/>
  <c r="F14" i="133" s="1"/>
  <c r="F15" i="133" s="1"/>
  <c r="F16" i="133" s="1"/>
  <c r="E70" i="132"/>
  <c r="E86" i="132"/>
  <c r="R418" i="105"/>
  <c r="R420" i="105" s="1"/>
  <c r="E161" i="148"/>
  <c r="E163" i="148" s="1"/>
  <c r="F156" i="148"/>
  <c r="F159" i="148" s="1"/>
  <c r="F160" i="148" s="1"/>
  <c r="P349" i="105"/>
  <c r="M145" i="133" s="1"/>
  <c r="O281" i="107" s="1"/>
  <c r="O22" i="219" s="1"/>
  <c r="K103" i="105"/>
  <c r="H44" i="133" s="1"/>
  <c r="J248" i="107" s="1"/>
  <c r="G217" i="162"/>
  <c r="E48" i="133" s="1"/>
  <c r="I103" i="105"/>
  <c r="F44" i="133" s="1"/>
  <c r="H248" i="107" s="1"/>
  <c r="AS82" i="148"/>
  <c r="AT82" i="148" s="1"/>
  <c r="AP95" i="148"/>
  <c r="AQ95" i="148" s="1"/>
  <c r="AS98" i="148"/>
  <c r="AT98" i="148" s="1"/>
  <c r="AV98" i="148"/>
  <c r="AW98" i="148" s="1"/>
  <c r="K80" i="133"/>
  <c r="K115" i="133" s="1"/>
  <c r="M275" i="107" s="1"/>
  <c r="N326" i="105"/>
  <c r="N788" i="162"/>
  <c r="N324" i="105" s="1"/>
  <c r="R349" i="105"/>
  <c r="O145" i="133" s="1"/>
  <c r="Q281" i="107" s="1"/>
  <c r="Q22" i="219" s="1"/>
  <c r="N349" i="105"/>
  <c r="K145" i="133" s="1"/>
  <c r="M281" i="107" s="1"/>
  <c r="M22" i="219" s="1"/>
  <c r="M349" i="105"/>
  <c r="J145" i="133" s="1"/>
  <c r="L281" i="107" s="1"/>
  <c r="L22" i="219" s="1"/>
  <c r="L349" i="105"/>
  <c r="I145" i="133" s="1"/>
  <c r="K281" i="107" s="1"/>
  <c r="K22" i="219" s="1"/>
  <c r="J349" i="105"/>
  <c r="G145" i="133" s="1"/>
  <c r="I281" i="107" s="1"/>
  <c r="I22" i="219" s="1"/>
  <c r="G205" i="107"/>
  <c r="E134" i="133"/>
  <c r="F222" i="105"/>
  <c r="AE129" i="138"/>
  <c r="AD130" i="138" s="1"/>
  <c r="AF129" i="138"/>
  <c r="S132" i="138"/>
  <c r="R133" i="138" s="1"/>
  <c r="T132" i="138"/>
  <c r="W165" i="138"/>
  <c r="V165" i="138"/>
  <c r="U166" i="138" s="1"/>
  <c r="P165" i="138"/>
  <c r="O166" i="138" s="1"/>
  <c r="Q165" i="138"/>
  <c r="AE94" i="138"/>
  <c r="AD95" i="138" s="1"/>
  <c r="AF94" i="138"/>
  <c r="AB167" i="138"/>
  <c r="AA168" i="138" s="1"/>
  <c r="AC167" i="138"/>
  <c r="W132" i="138"/>
  <c r="V132" i="138"/>
  <c r="U133" i="138" s="1"/>
  <c r="Y129" i="138"/>
  <c r="X130" i="138" s="1"/>
  <c r="Z129" i="138"/>
  <c r="M287" i="138"/>
  <c r="L288" i="138" s="1"/>
  <c r="N287" i="138"/>
  <c r="G129" i="138"/>
  <c r="F130" i="138" s="1"/>
  <c r="H129" i="138"/>
  <c r="AH13" i="138"/>
  <c r="G29" i="138" s="1"/>
  <c r="F370" i="148" s="1"/>
  <c r="F369" i="148" s="1"/>
  <c r="AM300" i="138"/>
  <c r="AI13" i="138" s="1"/>
  <c r="H29" i="138" s="1"/>
  <c r="G370" i="148" s="1"/>
  <c r="G369" i="148" s="1"/>
  <c r="AE287" i="138"/>
  <c r="AD288" i="138" s="1"/>
  <c r="AF287" i="138"/>
  <c r="W80" i="138"/>
  <c r="J246" i="133"/>
  <c r="H468" i="105"/>
  <c r="I469" i="105"/>
  <c r="M1038" i="162"/>
  <c r="M1037" i="162" s="1"/>
  <c r="O95" i="148"/>
  <c r="Z82" i="148" s="1"/>
  <c r="H94" i="148"/>
  <c r="T276" i="138"/>
  <c r="U113" i="128"/>
  <c r="D113" i="128" s="1"/>
  <c r="U109" i="128"/>
  <c r="D109" i="128" s="1"/>
  <c r="U110" i="128"/>
  <c r="D110" i="128" s="1"/>
  <c r="U108" i="128"/>
  <c r="D108" i="128" s="1"/>
  <c r="U112" i="128"/>
  <c r="D112" i="128" s="1"/>
  <c r="U111" i="128"/>
  <c r="D111" i="128" s="1"/>
  <c r="U121" i="128"/>
  <c r="D121" i="128" s="1"/>
  <c r="U117" i="128"/>
  <c r="D117" i="128" s="1"/>
  <c r="U120" i="128"/>
  <c r="D120" i="128" s="1"/>
  <c r="U122" i="128"/>
  <c r="D122" i="128" s="1"/>
  <c r="U118" i="128"/>
  <c r="D118" i="128" s="1"/>
  <c r="U116" i="128"/>
  <c r="D116" i="128" s="1"/>
  <c r="E288" i="138"/>
  <c r="U276" i="138" s="1"/>
  <c r="D288" i="138"/>
  <c r="AR119" i="138"/>
  <c r="AL118" i="138"/>
  <c r="AR118" i="138" s="1"/>
  <c r="AL119" i="138"/>
  <c r="AS119" i="138"/>
  <c r="AP119" i="138"/>
  <c r="AM119" i="138"/>
  <c r="AM118" i="138"/>
  <c r="AS118" i="138" s="1"/>
  <c r="AJ117" i="138"/>
  <c r="AM117" i="138" s="1"/>
  <c r="AP117" i="138" s="1"/>
  <c r="AS117" i="138" s="1"/>
  <c r="AJ119" i="138"/>
  <c r="AJ118" i="138"/>
  <c r="AP118" i="138" s="1"/>
  <c r="AJ116" i="138"/>
  <c r="AL116" i="138" s="1"/>
  <c r="AN116" i="138" s="1"/>
  <c r="AP116" i="138" s="1"/>
  <c r="AR116" i="138" s="1"/>
  <c r="AT116" i="138" s="1"/>
  <c r="W78" i="138"/>
  <c r="H164" i="138"/>
  <c r="Z150" i="138" s="1"/>
  <c r="G164" i="138"/>
  <c r="F165" i="138" s="1"/>
  <c r="F56" i="148"/>
  <c r="W33" i="138"/>
  <c r="X33" i="138"/>
  <c r="G56" i="148"/>
  <c r="O326" i="105"/>
  <c r="O788" i="162"/>
  <c r="O324" i="105" s="1"/>
  <c r="M194" i="107"/>
  <c r="M651" i="107"/>
  <c r="K193" i="107"/>
  <c r="L418" i="105"/>
  <c r="L420" i="105" s="1"/>
  <c r="L193" i="107"/>
  <c r="M418" i="105"/>
  <c r="M420" i="105" s="1"/>
  <c r="I152" i="105"/>
  <c r="I153" i="105" s="1"/>
  <c r="F67" i="133" s="1"/>
  <c r="F102" i="133" s="1"/>
  <c r="H262" i="107" s="1"/>
  <c r="J816" i="162"/>
  <c r="J817" i="162" s="1"/>
  <c r="T817" i="162" s="1"/>
  <c r="AQ972" i="162"/>
  <c r="J326" i="105"/>
  <c r="J788" i="162"/>
  <c r="J324" i="105" s="1"/>
  <c r="J341" i="105" s="1"/>
  <c r="D46" i="138"/>
  <c r="D47" i="138"/>
  <c r="D49" i="138" s="1"/>
  <c r="D65" i="138"/>
  <c r="M108" i="148"/>
  <c r="X83" i="148" s="1"/>
  <c r="N108" i="148"/>
  <c r="Y83" i="148" s="1"/>
  <c r="L108" i="148"/>
  <c r="W83" i="148" s="1"/>
  <c r="O108" i="148"/>
  <c r="Z83" i="148" s="1"/>
  <c r="O97" i="148"/>
  <c r="Z81" i="148" s="1"/>
  <c r="L97" i="148"/>
  <c r="W81" i="148" s="1"/>
  <c r="N97" i="148"/>
  <c r="Y81" i="148" s="1"/>
  <c r="M97" i="148"/>
  <c r="X81" i="148" s="1"/>
  <c r="L117" i="148"/>
  <c r="W90" i="148" s="1"/>
  <c r="N117" i="148"/>
  <c r="Y90" i="148" s="1"/>
  <c r="O117" i="148"/>
  <c r="Z90" i="148" s="1"/>
  <c r="M117" i="148"/>
  <c r="X90" i="148" s="1"/>
  <c r="F165" i="105"/>
  <c r="H166" i="105"/>
  <c r="G832" i="162"/>
  <c r="H827" i="162"/>
  <c r="H829" i="162" s="1"/>
  <c r="I827" i="162"/>
  <c r="I829" i="162" s="1"/>
  <c r="J827" i="162"/>
  <c r="J829" i="162" s="1"/>
  <c r="K827" i="162"/>
  <c r="K829" i="162" s="1"/>
  <c r="L827" i="162"/>
  <c r="L829" i="162" s="1"/>
  <c r="N827" i="162"/>
  <c r="N829" i="162" s="1"/>
  <c r="O827" i="162"/>
  <c r="O829" i="162" s="1"/>
  <c r="M827" i="162"/>
  <c r="M829" i="162" s="1"/>
  <c r="P827" i="162"/>
  <c r="P829" i="162" s="1"/>
  <c r="Q827" i="162"/>
  <c r="Q829" i="162" s="1"/>
  <c r="R827" i="162"/>
  <c r="R829" i="162" s="1"/>
  <c r="S827" i="162"/>
  <c r="S829" i="162" s="1"/>
  <c r="G852" i="162"/>
  <c r="S805" i="162"/>
  <c r="R805" i="162"/>
  <c r="M805" i="162"/>
  <c r="N805" i="162"/>
  <c r="K805" i="162"/>
  <c r="I805" i="162"/>
  <c r="H805" i="162"/>
  <c r="T803" i="162"/>
  <c r="T804" i="162"/>
  <c r="Q103" i="105"/>
  <c r="N44" i="133" s="1"/>
  <c r="P248" i="107" s="1"/>
  <c r="O103" i="105"/>
  <c r="L44" i="133" s="1"/>
  <c r="N248" i="107" s="1"/>
  <c r="N103" i="105"/>
  <c r="K44" i="133" s="1"/>
  <c r="M248" i="107" s="1"/>
  <c r="L103" i="105"/>
  <c r="I44" i="133" s="1"/>
  <c r="K248" i="107" s="1"/>
  <c r="CJ66" i="132"/>
  <c r="U66" i="132" s="1"/>
  <c r="CJ94" i="132"/>
  <c r="U94" i="132" s="1"/>
  <c r="G17" i="219"/>
  <c r="E267" i="107"/>
  <c r="Y111" i="133"/>
  <c r="E111" i="133"/>
  <c r="Y103" i="133"/>
  <c r="E103" i="133"/>
  <c r="Y100" i="133"/>
  <c r="E100" i="133"/>
  <c r="H326" i="105"/>
  <c r="H788" i="162"/>
  <c r="E101" i="133"/>
  <c r="Y101" i="133"/>
  <c r="G16" i="131"/>
  <c r="F17" i="131"/>
  <c r="G205" i="105"/>
  <c r="G79" i="105" s="1"/>
  <c r="G118" i="105"/>
  <c r="AP98" i="148"/>
  <c r="AQ98" i="148" s="1"/>
  <c r="AS95" i="148"/>
  <c r="AT95" i="148" s="1"/>
  <c r="Q842" i="162"/>
  <c r="Q331" i="105" s="1"/>
  <c r="Q333" i="105"/>
  <c r="N81" i="133" s="1"/>
  <c r="O349" i="105"/>
  <c r="L145" i="133" s="1"/>
  <c r="N281" i="107" s="1"/>
  <c r="N22" i="219" s="1"/>
  <c r="K333" i="105"/>
  <c r="H81" i="133" s="1"/>
  <c r="K842" i="162"/>
  <c r="K331" i="105" s="1"/>
  <c r="K326" i="105"/>
  <c r="K788" i="162"/>
  <c r="K324" i="105" s="1"/>
  <c r="F177" i="105"/>
  <c r="H178" i="105"/>
  <c r="F136" i="105"/>
  <c r="H137" i="105"/>
  <c r="V94" i="138"/>
  <c r="U95" i="138" s="1"/>
  <c r="W94" i="138"/>
  <c r="AE165" i="138"/>
  <c r="AD166" i="138" s="1"/>
  <c r="AF165" i="138"/>
  <c r="S165" i="138"/>
  <c r="R166" i="138" s="1"/>
  <c r="T165" i="138"/>
  <c r="D129" i="138"/>
  <c r="C130" i="138" s="1"/>
  <c r="E129" i="138"/>
  <c r="K287" i="138"/>
  <c r="J287" i="138"/>
  <c r="I288" i="138" s="1"/>
  <c r="N104" i="132"/>
  <c r="G492" i="105"/>
  <c r="M103" i="132"/>
  <c r="F491" i="105"/>
  <c r="I669" i="131"/>
  <c r="G135" i="148"/>
  <c r="M66" i="148"/>
  <c r="J628" i="131"/>
  <c r="S154" i="132"/>
  <c r="DR154" i="132"/>
  <c r="Q367" i="132"/>
  <c r="BR154" i="132"/>
  <c r="T279" i="138"/>
  <c r="S92" i="138"/>
  <c r="R93" i="138" s="1"/>
  <c r="T92" i="138"/>
  <c r="Z80" i="138" s="1"/>
  <c r="AB315" i="138"/>
  <c r="AE315" i="138"/>
  <c r="M315" i="138"/>
  <c r="J315" i="138"/>
  <c r="H316" i="138"/>
  <c r="G316" i="138"/>
  <c r="F317" i="138" s="1"/>
  <c r="AD279" i="138"/>
  <c r="O287" i="138"/>
  <c r="AI305" i="138"/>
  <c r="AL305" i="138"/>
  <c r="AO305" i="138"/>
  <c r="AR305" i="138"/>
  <c r="AT305" i="138"/>
  <c r="Q306" i="138"/>
  <c r="AJ305" i="138"/>
  <c r="AK305" i="138"/>
  <c r="Q309" i="138"/>
  <c r="Q308" i="138"/>
  <c r="Q307" i="138"/>
  <c r="R305" i="138"/>
  <c r="AN305" i="138"/>
  <c r="AQ305" i="138"/>
  <c r="Q305" i="138"/>
  <c r="R308" i="138"/>
  <c r="R306" i="138"/>
  <c r="AM305" i="138"/>
  <c r="AP305" i="138"/>
  <c r="AS305" i="138"/>
  <c r="R309" i="138"/>
  <c r="R307" i="138"/>
  <c r="H59" i="148"/>
  <c r="H64" i="148" s="1"/>
  <c r="H66" i="148" s="1"/>
  <c r="Y31" i="138"/>
  <c r="X78" i="138"/>
  <c r="V33" i="138"/>
  <c r="E56" i="148"/>
  <c r="Q152" i="105"/>
  <c r="Q153" i="105" s="1"/>
  <c r="N67" i="133" s="1"/>
  <c r="N102" i="133" s="1"/>
  <c r="P262" i="107" s="1"/>
  <c r="P15" i="219" s="1"/>
  <c r="P103" i="107"/>
  <c r="Q838" i="162"/>
  <c r="Q843" i="162" s="1"/>
  <c r="O17" i="105"/>
  <c r="D10" i="148"/>
  <c r="N152" i="105"/>
  <c r="N153" i="105" s="1"/>
  <c r="K67" i="133" s="1"/>
  <c r="K102" i="133" s="1"/>
  <c r="M262" i="107" s="1"/>
  <c r="P116" i="133"/>
  <c r="R255" i="107" s="1"/>
  <c r="Q349" i="105"/>
  <c r="N145" i="133" s="1"/>
  <c r="P281" i="107" s="1"/>
  <c r="P22" i="219" s="1"/>
  <c r="K194" i="107"/>
  <c r="K651" i="107"/>
  <c r="M130" i="105"/>
  <c r="M131" i="105" s="1"/>
  <c r="J63" i="133" s="1"/>
  <c r="J98" i="133" s="1"/>
  <c r="L258" i="107" s="1"/>
  <c r="R792" i="162"/>
  <c r="Q105" i="107" s="1"/>
  <c r="Q205" i="107" s="1"/>
  <c r="Q792" i="162"/>
  <c r="P105" i="107" s="1"/>
  <c r="P205" i="107" s="1"/>
  <c r="M792" i="162"/>
  <c r="L105" i="107" s="1"/>
  <c r="L205" i="107" s="1"/>
  <c r="N792" i="162"/>
  <c r="M105" i="107" s="1"/>
  <c r="M205" i="107" s="1"/>
  <c r="K792" i="162"/>
  <c r="J105" i="107" s="1"/>
  <c r="J205" i="107" s="1"/>
  <c r="I792" i="162"/>
  <c r="H105" i="107" s="1"/>
  <c r="H205" i="107" s="1"/>
  <c r="H208" i="107" s="1"/>
  <c r="H28" i="214" s="1"/>
  <c r="H194" i="107"/>
  <c r="H651" i="107"/>
  <c r="E50" i="133"/>
  <c r="H349" i="105"/>
  <c r="N114" i="148"/>
  <c r="Y87" i="148" s="1"/>
  <c r="M114" i="148"/>
  <c r="X87" i="148" s="1"/>
  <c r="O114" i="148"/>
  <c r="Z87" i="148" s="1"/>
  <c r="L114" i="148"/>
  <c r="W87" i="148" s="1"/>
  <c r="O119" i="148"/>
  <c r="Z92" i="148" s="1"/>
  <c r="N119" i="148"/>
  <c r="Y92" i="148" s="1"/>
  <c r="M119" i="148"/>
  <c r="X92" i="148" s="1"/>
  <c r="L119" i="148"/>
  <c r="W92" i="148" s="1"/>
  <c r="F173" i="105"/>
  <c r="H174" i="105"/>
  <c r="I847" i="162"/>
  <c r="K847" i="162"/>
  <c r="M847" i="162"/>
  <c r="O847" i="162"/>
  <c r="Q847" i="162"/>
  <c r="S847" i="162"/>
  <c r="H847" i="162"/>
  <c r="L847" i="162"/>
  <c r="P847" i="162"/>
  <c r="N847" i="162"/>
  <c r="J847" i="162"/>
  <c r="R847" i="162"/>
  <c r="CJ95" i="132"/>
  <c r="U95" i="132" s="1"/>
  <c r="R103" i="128"/>
  <c r="D8" i="128" s="1"/>
  <c r="U21" i="138"/>
  <c r="D54" i="148"/>
  <c r="D64" i="148" s="1"/>
  <c r="S31" i="138"/>
  <c r="H993" i="162"/>
  <c r="H986" i="162" s="1"/>
  <c r="H840" i="162" s="1"/>
  <c r="H332" i="105" s="1"/>
  <c r="H991" i="162"/>
  <c r="U355" i="162"/>
  <c r="H375" i="162"/>
  <c r="H981" i="162"/>
  <c r="E301" i="148"/>
  <c r="E305" i="148" s="1"/>
  <c r="J317" i="107" s="1"/>
  <c r="S66" i="105" s="1"/>
  <c r="S69" i="105" s="1"/>
  <c r="O116" i="133"/>
  <c r="Q255" i="107" s="1"/>
  <c r="E97" i="133"/>
  <c r="Y97" i="133"/>
  <c r="J15" i="219"/>
  <c r="F125" i="105"/>
  <c r="AO154" i="138"/>
  <c r="AF154" i="138" s="1"/>
  <c r="AC155" i="138" s="1"/>
  <c r="AF83" i="138"/>
  <c r="AF80" i="138"/>
  <c r="AC81" i="138" s="1"/>
  <c r="U26" i="138"/>
  <c r="BD931" i="162"/>
  <c r="R787" i="162" s="1"/>
  <c r="O341" i="105"/>
  <c r="O94" i="105"/>
  <c r="L14" i="133" s="1"/>
  <c r="L15" i="133" s="1"/>
  <c r="L16" i="133" s="1"/>
  <c r="S94" i="105"/>
  <c r="P14" i="133" s="1"/>
  <c r="P15" i="133" s="1"/>
  <c r="P16" i="133" s="1"/>
  <c r="H99" i="105"/>
  <c r="W136" i="133"/>
  <c r="D636" i="131"/>
  <c r="E108" i="131" s="1"/>
  <c r="G108" i="131" s="1"/>
  <c r="E9" i="138"/>
  <c r="F140" i="133" s="1"/>
  <c r="H277" i="107" s="1"/>
  <c r="F157" i="105"/>
  <c r="AL153" i="138"/>
  <c r="AO153" i="138" s="1"/>
  <c r="AR153" i="138" s="1"/>
  <c r="N94" i="105"/>
  <c r="K14" i="133" s="1"/>
  <c r="K15" i="133" s="1"/>
  <c r="K16" i="133" s="1"/>
  <c r="Q94" i="105"/>
  <c r="N14" i="133" s="1"/>
  <c r="N15" i="133" s="1"/>
  <c r="N16" i="133" s="1"/>
  <c r="AY931" i="162"/>
  <c r="M787" i="162" s="1"/>
  <c r="M94" i="105"/>
  <c r="J14" i="133" s="1"/>
  <c r="J15" i="133" s="1"/>
  <c r="J16" i="133" s="1"/>
  <c r="AS93" i="148"/>
  <c r="AT93" i="148" s="1"/>
  <c r="AV93" i="148"/>
  <c r="AW93" i="148" s="1"/>
  <c r="U119" i="128"/>
  <c r="D119" i="128" s="1"/>
  <c r="N333" i="105"/>
  <c r="K81" i="133" s="1"/>
  <c r="N842" i="162"/>
  <c r="N331" i="105" s="1"/>
  <c r="N341" i="105" s="1"/>
  <c r="J103" i="105"/>
  <c r="G44" i="133" s="1"/>
  <c r="I248" i="107" s="1"/>
  <c r="AH17" i="138"/>
  <c r="AI6" i="138"/>
  <c r="P92" i="138"/>
  <c r="O93" i="138" s="1"/>
  <c r="Q92" i="138"/>
  <c r="Y80" i="138" s="1"/>
  <c r="G94" i="148"/>
  <c r="N95" i="148"/>
  <c r="Y82" i="148" s="1"/>
  <c r="K1038" i="162"/>
  <c r="K1037" i="162" s="1"/>
  <c r="H288" i="138"/>
  <c r="V276" i="138" s="1"/>
  <c r="G288" i="138"/>
  <c r="S276" i="138"/>
  <c r="E289" i="138"/>
  <c r="AT119" i="138"/>
  <c r="AO119" i="138"/>
  <c r="AQ119" i="138"/>
  <c r="AN118" i="138"/>
  <c r="AT118" i="138" s="1"/>
  <c r="AN119" i="138"/>
  <c r="AK117" i="138"/>
  <c r="AN117" i="138" s="1"/>
  <c r="AQ117" i="138" s="1"/>
  <c r="AT117" i="138" s="1"/>
  <c r="AK119" i="138"/>
  <c r="AK118" i="138"/>
  <c r="AQ118" i="138" s="1"/>
  <c r="AI115" i="138"/>
  <c r="AI118" i="138"/>
  <c r="AO118" i="138" s="1"/>
  <c r="AI116" i="138"/>
  <c r="AI117" i="138"/>
  <c r="AL117" i="138" s="1"/>
  <c r="AO117" i="138" s="1"/>
  <c r="AR117" i="138" s="1"/>
  <c r="AI119" i="138"/>
  <c r="E164" i="138"/>
  <c r="Y150" i="138" s="1"/>
  <c r="D164" i="138"/>
  <c r="C165" i="138" s="1"/>
  <c r="E92" i="138"/>
  <c r="Y78" i="138" s="1"/>
  <c r="D92" i="138"/>
  <c r="C93" i="138" s="1"/>
  <c r="AJ110" i="138"/>
  <c r="AE25" i="138"/>
  <c r="F55" i="148"/>
  <c r="F65" i="148" s="1"/>
  <c r="W32" i="138"/>
  <c r="G55" i="148"/>
  <c r="X32" i="138"/>
  <c r="L116" i="133"/>
  <c r="N255" i="107" s="1"/>
  <c r="M17" i="133"/>
  <c r="N18" i="133"/>
  <c r="P20" i="133"/>
  <c r="O19" i="133"/>
  <c r="Q21" i="133"/>
  <c r="S23" i="133"/>
  <c r="S201" i="133" s="1"/>
  <c r="R22" i="133"/>
  <c r="P152" i="105"/>
  <c r="P153" i="105" s="1"/>
  <c r="M67" i="133" s="1"/>
  <c r="M102" i="133" s="1"/>
  <c r="O262" i="107" s="1"/>
  <c r="O15" i="219" s="1"/>
  <c r="M103" i="107"/>
  <c r="N838" i="162"/>
  <c r="N843" i="162" s="1"/>
  <c r="N130" i="105"/>
  <c r="N131" i="105" s="1"/>
  <c r="K63" i="133" s="1"/>
  <c r="K98" i="133" s="1"/>
  <c r="M258" i="107" s="1"/>
  <c r="Q788" i="162"/>
  <c r="Q324" i="105" s="1"/>
  <c r="Q326" i="105"/>
  <c r="K103" i="107"/>
  <c r="L838" i="162"/>
  <c r="L843" i="162" s="1"/>
  <c r="L152" i="105"/>
  <c r="L153" i="105" s="1"/>
  <c r="I67" i="133" s="1"/>
  <c r="I102" i="133" s="1"/>
  <c r="K262" i="107" s="1"/>
  <c r="J103" i="107"/>
  <c r="K838" i="162"/>
  <c r="K843" i="162" s="1"/>
  <c r="M152" i="105"/>
  <c r="M153" i="105" s="1"/>
  <c r="J67" i="133" s="1"/>
  <c r="J102" i="133" s="1"/>
  <c r="L262" i="107" s="1"/>
  <c r="F102" i="105"/>
  <c r="H103" i="105"/>
  <c r="E44" i="133" s="1"/>
  <c r="G248" i="107" s="1"/>
  <c r="H110" i="105"/>
  <c r="E45" i="133" s="1"/>
  <c r="G245" i="107" s="1"/>
  <c r="F109" i="105"/>
  <c r="F110" i="105" s="1"/>
  <c r="G17" i="133"/>
  <c r="H18" i="133"/>
  <c r="J20" i="133"/>
  <c r="I19" i="133"/>
  <c r="K21" i="133"/>
  <c r="L22" i="133"/>
  <c r="M23" i="133"/>
  <c r="H193" i="107"/>
  <c r="I418" i="105"/>
  <c r="I420" i="105" s="1"/>
  <c r="K349" i="105"/>
  <c r="H145" i="133" s="1"/>
  <c r="J281" i="107" s="1"/>
  <c r="J22" i="219" s="1"/>
  <c r="AI320" i="138"/>
  <c r="D5" i="138"/>
  <c r="D7" i="138" s="1"/>
  <c r="AI318" i="138"/>
  <c r="AI291" i="138"/>
  <c r="AI289" i="138"/>
  <c r="AI290" i="138" s="1"/>
  <c r="E147" i="133"/>
  <c r="L116" i="148"/>
  <c r="W89" i="148" s="1"/>
  <c r="O116" i="148"/>
  <c r="Z89" i="148" s="1"/>
  <c r="M116" i="148"/>
  <c r="X89" i="148" s="1"/>
  <c r="N116" i="148"/>
  <c r="Y89" i="148" s="1"/>
  <c r="O121" i="148"/>
  <c r="Z94" i="148" s="1"/>
  <c r="L121" i="148"/>
  <c r="W94" i="148" s="1"/>
  <c r="N121" i="148"/>
  <c r="Y94" i="148" s="1"/>
  <c r="M121" i="148"/>
  <c r="X94" i="148" s="1"/>
  <c r="F181" i="105"/>
  <c r="H182" i="105"/>
  <c r="T766" i="162"/>
  <c r="T768" i="162" s="1"/>
  <c r="H768" i="162"/>
  <c r="I771" i="162"/>
  <c r="K771" i="162"/>
  <c r="M771" i="162"/>
  <c r="O771" i="162"/>
  <c r="Q771" i="162"/>
  <c r="S771" i="162"/>
  <c r="H771" i="162"/>
  <c r="L771" i="162"/>
  <c r="P771" i="162"/>
  <c r="N771" i="162"/>
  <c r="J771" i="162"/>
  <c r="R771" i="162"/>
  <c r="Q805" i="162"/>
  <c r="P805" i="162"/>
  <c r="O805" i="162"/>
  <c r="L805" i="162"/>
  <c r="J805" i="162"/>
  <c r="H808" i="162"/>
  <c r="I808" i="162"/>
  <c r="J808" i="162"/>
  <c r="K808" i="162"/>
  <c r="L808" i="162"/>
  <c r="M808" i="162"/>
  <c r="N808" i="162"/>
  <c r="O808" i="162"/>
  <c r="Q808" i="162"/>
  <c r="R808" i="162"/>
  <c r="S808" i="162"/>
  <c r="P808" i="162"/>
  <c r="G776" i="162"/>
  <c r="I772" i="162"/>
  <c r="K772" i="162"/>
  <c r="M772" i="162"/>
  <c r="O772" i="162"/>
  <c r="Q772" i="162"/>
  <c r="S772" i="162"/>
  <c r="J772" i="162"/>
  <c r="N772" i="162"/>
  <c r="R772" i="162"/>
  <c r="H772" i="162"/>
  <c r="P772" i="162"/>
  <c r="L772" i="162"/>
  <c r="H809" i="162"/>
  <c r="I809" i="162"/>
  <c r="E37" i="105" s="1"/>
  <c r="J809" i="162"/>
  <c r="F37" i="105" s="1"/>
  <c r="K809" i="162"/>
  <c r="G37" i="105" s="1"/>
  <c r="L809" i="162"/>
  <c r="H37" i="105" s="1"/>
  <c r="M809" i="162"/>
  <c r="I37" i="105" s="1"/>
  <c r="N809" i="162"/>
  <c r="J37" i="105" s="1"/>
  <c r="O809" i="162"/>
  <c r="K37" i="105" s="1"/>
  <c r="Q809" i="162"/>
  <c r="M37" i="105" s="1"/>
  <c r="R809" i="162"/>
  <c r="N37" i="105" s="1"/>
  <c r="P809" i="162"/>
  <c r="L37" i="105" s="1"/>
  <c r="S809" i="162"/>
  <c r="O37" i="105" s="1"/>
  <c r="G777" i="162"/>
  <c r="S103" i="105"/>
  <c r="P44" i="133" s="1"/>
  <c r="R248" i="107" s="1"/>
  <c r="R103" i="105"/>
  <c r="O44" i="133" s="1"/>
  <c r="Q248" i="107" s="1"/>
  <c r="P103" i="105"/>
  <c r="M44" i="133" s="1"/>
  <c r="O248" i="107" s="1"/>
  <c r="M103" i="105"/>
  <c r="J44" i="133" s="1"/>
  <c r="L248" i="107" s="1"/>
  <c r="CJ59" i="132"/>
  <c r="U59" i="132" s="1"/>
  <c r="CJ87" i="132"/>
  <c r="U87" i="132" s="1"/>
  <c r="CJ92" i="132"/>
  <c r="U92" i="132" s="1"/>
  <c r="AB107" i="133"/>
  <c r="U91" i="148" s="1"/>
  <c r="AA91" i="148" s="1"/>
  <c r="S91" i="148"/>
  <c r="D5" i="131"/>
  <c r="D3" i="131" s="1"/>
  <c r="J146" i="131"/>
  <c r="N91" i="148"/>
  <c r="M91" i="148"/>
  <c r="L91" i="148"/>
  <c r="O91" i="148"/>
  <c r="E83" i="107"/>
  <c r="F95" i="107"/>
  <c r="F129" i="107"/>
  <c r="D84" i="148" s="1"/>
  <c r="F93" i="107"/>
  <c r="D7" i="105"/>
  <c r="G112" i="107"/>
  <c r="F99" i="162"/>
  <c r="F98" i="162" s="1"/>
  <c r="H92" i="105"/>
  <c r="G89" i="107"/>
  <c r="G210" i="105"/>
  <c r="F210" i="105" s="1"/>
  <c r="D9" i="105"/>
  <c r="G186" i="107"/>
  <c r="G99" i="107"/>
  <c r="E59" i="148"/>
  <c r="E64" i="148" s="1"/>
  <c r="V31" i="138"/>
  <c r="AP93" i="148"/>
  <c r="AQ93" i="148" s="1"/>
  <c r="AV95" i="148"/>
  <c r="AW95" i="148" s="1"/>
  <c r="S349" i="105"/>
  <c r="P145" i="133" s="1"/>
  <c r="R281" i="107" s="1"/>
  <c r="R22" i="219" s="1"/>
  <c r="M333" i="105"/>
  <c r="J81" i="133" s="1"/>
  <c r="M842" i="162"/>
  <c r="M331" i="105" s="1"/>
  <c r="L333" i="105"/>
  <c r="I81" i="133" s="1"/>
  <c r="L842" i="162"/>
  <c r="L331" i="105" s="1"/>
  <c r="J80" i="133"/>
  <c r="J115" i="133" s="1"/>
  <c r="L275" i="107" s="1"/>
  <c r="L326" i="105"/>
  <c r="L788" i="162"/>
  <c r="L324" i="105" s="1"/>
  <c r="I333" i="105"/>
  <c r="F81" i="133" s="1"/>
  <c r="I842" i="162"/>
  <c r="I331" i="105" s="1"/>
  <c r="F193" i="105"/>
  <c r="H194" i="105"/>
  <c r="F169" i="105"/>
  <c r="H170" i="105"/>
  <c r="Y94" i="138"/>
  <c r="X95" i="138" s="1"/>
  <c r="Z94" i="138"/>
  <c r="J165" i="138"/>
  <c r="I166" i="138" s="1"/>
  <c r="K165" i="138"/>
  <c r="P129" i="138"/>
  <c r="O130" i="138" s="1"/>
  <c r="Q129" i="138"/>
  <c r="M93" i="138"/>
  <c r="L94" i="138" s="1"/>
  <c r="N93" i="138"/>
  <c r="M135" i="148"/>
  <c r="L67" i="148" s="1"/>
  <c r="Y165" i="138"/>
  <c r="X166" i="138" s="1"/>
  <c r="Z165" i="138"/>
  <c r="M129" i="138"/>
  <c r="L130" i="138" s="1"/>
  <c r="N129" i="138"/>
  <c r="AC287" i="138"/>
  <c r="AB287" i="138"/>
  <c r="AA288" i="138" s="1"/>
  <c r="Y288" i="138"/>
  <c r="Z288" i="138"/>
  <c r="V279" i="138" s="1"/>
  <c r="X80" i="138"/>
  <c r="Y315" i="138"/>
  <c r="V315" i="138"/>
  <c r="P315" i="138"/>
  <c r="S315" i="138"/>
  <c r="H46" i="128"/>
  <c r="H47" i="128" s="1"/>
  <c r="P289" i="138"/>
  <c r="AG279" i="138" s="1"/>
  <c r="R287" i="138"/>
  <c r="G18" i="132"/>
  <c r="E365" i="148"/>
  <c r="E364" i="148" s="1"/>
  <c r="F323" i="148"/>
  <c r="H92" i="138"/>
  <c r="Z78" i="138" s="1"/>
  <c r="G92" i="138"/>
  <c r="F93" i="138" s="1"/>
  <c r="E55" i="148"/>
  <c r="V32" i="138"/>
  <c r="AP82" i="148"/>
  <c r="AQ82" i="148" s="1"/>
  <c r="Q103" i="107"/>
  <c r="R838" i="162"/>
  <c r="R843" i="162" s="1"/>
  <c r="O152" i="105"/>
  <c r="O153" i="105" s="1"/>
  <c r="L67" i="133" s="1"/>
  <c r="L102" i="133" s="1"/>
  <c r="N262" i="107" s="1"/>
  <c r="N15" i="219" s="1"/>
  <c r="O17" i="133"/>
  <c r="S21" i="133"/>
  <c r="M193" i="107"/>
  <c r="N418" i="105"/>
  <c r="N420" i="105" s="1"/>
  <c r="P326" i="105"/>
  <c r="P788" i="162"/>
  <c r="P324" i="105" s="1"/>
  <c r="P341" i="105" s="1"/>
  <c r="L130" i="105"/>
  <c r="L131" i="105" s="1"/>
  <c r="I63" i="133" s="1"/>
  <c r="I98" i="133" s="1"/>
  <c r="K258" i="107" s="1"/>
  <c r="J18" i="133"/>
  <c r="I17" i="133"/>
  <c r="K19" i="133"/>
  <c r="L20" i="133"/>
  <c r="M21" i="133"/>
  <c r="N22" i="133"/>
  <c r="O23" i="133"/>
  <c r="L194" i="107"/>
  <c r="L651" i="107"/>
  <c r="I326" i="105"/>
  <c r="I788" i="162"/>
  <c r="I324" i="105" s="1"/>
  <c r="J152" i="105"/>
  <c r="J153" i="105" s="1"/>
  <c r="G67" i="133" s="1"/>
  <c r="G102" i="133" s="1"/>
  <c r="I262" i="107" s="1"/>
  <c r="I15" i="219" s="1"/>
  <c r="S792" i="162"/>
  <c r="R105" i="107" s="1"/>
  <c r="R205" i="107" s="1"/>
  <c r="R208" i="107" s="1"/>
  <c r="R28" i="214" s="1"/>
  <c r="P792" i="162"/>
  <c r="O105" i="107" s="1"/>
  <c r="O205" i="107" s="1"/>
  <c r="J792" i="162"/>
  <c r="I105" i="107" s="1"/>
  <c r="I205" i="107" s="1"/>
  <c r="I130" i="105"/>
  <c r="I131" i="105" s="1"/>
  <c r="F63" i="133" s="1"/>
  <c r="F98" i="133" s="1"/>
  <c r="H258" i="107" s="1"/>
  <c r="F17" i="133"/>
  <c r="G18" i="133"/>
  <c r="H19" i="133"/>
  <c r="I20" i="133"/>
  <c r="J21" i="133"/>
  <c r="K22" i="133"/>
  <c r="L23" i="133"/>
  <c r="AI164" i="138"/>
  <c r="R16" i="138" s="1"/>
  <c r="D26" i="138" s="1"/>
  <c r="D478" i="105" s="1"/>
  <c r="D477" i="105" s="1"/>
  <c r="D476" i="105" s="1"/>
  <c r="D475" i="105" s="1"/>
  <c r="R15" i="138"/>
  <c r="G325" i="105"/>
  <c r="G326" i="105" s="1"/>
  <c r="D143" i="133" s="1"/>
  <c r="G328" i="105"/>
  <c r="O123" i="148"/>
  <c r="Z97" i="148" s="1"/>
  <c r="N123" i="148"/>
  <c r="Y97" i="148" s="1"/>
  <c r="M123" i="148"/>
  <c r="X97" i="148" s="1"/>
  <c r="L123" i="148"/>
  <c r="W97" i="148" s="1"/>
  <c r="F189" i="105"/>
  <c r="H190" i="105"/>
  <c r="H848" i="162"/>
  <c r="J848" i="162"/>
  <c r="L848" i="162"/>
  <c r="N848" i="162"/>
  <c r="P848" i="162"/>
  <c r="R848" i="162"/>
  <c r="K848" i="162"/>
  <c r="O848" i="162"/>
  <c r="S848" i="162"/>
  <c r="I848" i="162"/>
  <c r="Q848" i="162"/>
  <c r="M848" i="162"/>
  <c r="CJ63" i="132"/>
  <c r="U63" i="132" s="1"/>
  <c r="CJ93" i="132"/>
  <c r="U93" i="132" s="1"/>
  <c r="D436" i="105"/>
  <c r="CJ91" i="132"/>
  <c r="U91" i="132" s="1"/>
  <c r="E277" i="107"/>
  <c r="E115" i="133"/>
  <c r="C6" i="131"/>
  <c r="F41" i="133"/>
  <c r="F46" i="133" s="1"/>
  <c r="F47" i="133" s="1"/>
  <c r="H249" i="107" s="1"/>
  <c r="E9" i="132"/>
  <c r="AT60" i="128"/>
  <c r="S63" i="105"/>
  <c r="E666" i="131"/>
  <c r="E672" i="131" s="1"/>
  <c r="E65" i="148"/>
  <c r="E72" i="148" s="1"/>
  <c r="AK152" i="138"/>
  <c r="AM152" i="138" s="1"/>
  <c r="AO152" i="138" s="1"/>
  <c r="AQ152" i="138" s="1"/>
  <c r="AS152" i="138" s="1"/>
  <c r="AF82" i="138"/>
  <c r="AC83" i="138" s="1"/>
  <c r="AF81" i="138"/>
  <c r="AC82" i="138" s="1"/>
  <c r="BE931" i="162"/>
  <c r="S787" i="162" s="1"/>
  <c r="L208" i="107"/>
  <c r="L28" i="214" s="1"/>
  <c r="R791" i="162"/>
  <c r="P791" i="162"/>
  <c r="O791" i="162"/>
  <c r="L791" i="162"/>
  <c r="J791" i="162"/>
  <c r="F265" i="105"/>
  <c r="S28" i="138"/>
  <c r="D61" i="148" s="1"/>
  <c r="S23" i="138"/>
  <c r="F186" i="105"/>
  <c r="F158" i="105"/>
  <c r="T325" i="105"/>
  <c r="G65" i="148"/>
  <c r="G72" i="148" s="1"/>
  <c r="S13" i="138"/>
  <c r="E18" i="138" s="1"/>
  <c r="F264" i="105"/>
  <c r="F185" i="105"/>
  <c r="F221" i="105"/>
  <c r="U114" i="128"/>
  <c r="D114" i="128" s="1"/>
  <c r="U115" i="128"/>
  <c r="D115" i="128" s="1"/>
  <c r="AJ151" i="138"/>
  <c r="AK151" i="138" s="1"/>
  <c r="AL151" i="138" s="1"/>
  <c r="AM151" i="138" s="1"/>
  <c r="AN151" i="138" s="1"/>
  <c r="AO151" i="138" s="1"/>
  <c r="AP151" i="138" s="1"/>
  <c r="AQ151" i="138" s="1"/>
  <c r="AR151" i="138" s="1"/>
  <c r="AS151" i="138" s="1"/>
  <c r="AT151" i="138" s="1"/>
  <c r="AJ79" i="138"/>
  <c r="AK79" i="138" s="1"/>
  <c r="AL79" i="138" s="1"/>
  <c r="AM79" i="138" s="1"/>
  <c r="AN79" i="138" s="1"/>
  <c r="AO79" i="138" s="1"/>
  <c r="AP79" i="138" s="1"/>
  <c r="AQ79" i="138" s="1"/>
  <c r="AR79" i="138" s="1"/>
  <c r="AS79" i="138" s="1"/>
  <c r="AT79" i="138" s="1"/>
  <c r="H100" i="105"/>
  <c r="W134" i="133"/>
  <c r="X134" i="133" s="1"/>
  <c r="F126" i="105"/>
  <c r="AP61" i="128" l="1"/>
  <c r="Q61" i="128"/>
  <c r="AF61" i="128" s="1"/>
  <c r="AP89" i="128"/>
  <c r="Q89" i="128"/>
  <c r="AF89" i="128" s="1"/>
  <c r="AI57" i="132"/>
  <c r="AL57" i="132"/>
  <c r="Y115" i="133"/>
  <c r="AA115" i="133" s="1"/>
  <c r="H15" i="219"/>
  <c r="T22" i="133"/>
  <c r="P18" i="133"/>
  <c r="AV74" i="132"/>
  <c r="AQ74" i="132"/>
  <c r="AU74" i="132"/>
  <c r="AR74" i="132"/>
  <c r="AP74" i="132"/>
  <c r="AT74" i="132"/>
  <c r="AO74" i="132"/>
  <c r="AS74" i="132"/>
  <c r="N31" i="105"/>
  <c r="N27" i="105" s="1"/>
  <c r="N25" i="105"/>
  <c r="N23" i="105" s="1"/>
  <c r="S152" i="105"/>
  <c r="S153" i="105"/>
  <c r="P67" i="133" s="1"/>
  <c r="P102" i="133" s="1"/>
  <c r="R262" i="107" s="1"/>
  <c r="R15" i="219" s="1"/>
  <c r="K129" i="138"/>
  <c r="J129" i="138"/>
  <c r="I130" i="138" s="1"/>
  <c r="AL81" i="132"/>
  <c r="AI81" i="132"/>
  <c r="AI49" i="132"/>
  <c r="AL49" i="132"/>
  <c r="K15" i="219"/>
  <c r="R20" i="133"/>
  <c r="R61" i="128"/>
  <c r="E54" i="132"/>
  <c r="BX49" i="132"/>
  <c r="CJ49" i="132" s="1"/>
  <c r="U49" i="132" s="1"/>
  <c r="AV57" i="132"/>
  <c r="AQ57" i="132"/>
  <c r="AU57" i="132"/>
  <c r="AT57" i="132"/>
  <c r="AR57" i="132"/>
  <c r="AP57" i="132"/>
  <c r="AO57" i="132"/>
  <c r="AS57" i="132"/>
  <c r="T770" i="162"/>
  <c r="O31" i="105"/>
  <c r="O27" i="105" s="1"/>
  <c r="O25" i="105"/>
  <c r="O23" i="105" s="1"/>
  <c r="AV49" i="132"/>
  <c r="AQ49" i="132"/>
  <c r="AR49" i="132"/>
  <c r="AS49" i="132"/>
  <c r="AP49" i="132"/>
  <c r="AO49" i="132"/>
  <c r="AT49" i="132"/>
  <c r="AU49" i="132"/>
  <c r="AB94" i="138"/>
  <c r="AA95" i="138" s="1"/>
  <c r="AC94" i="138"/>
  <c r="AV81" i="132"/>
  <c r="AQ81" i="132"/>
  <c r="AU81" i="132"/>
  <c r="AP81" i="132"/>
  <c r="AR81" i="132"/>
  <c r="AT81" i="132"/>
  <c r="AO81" i="132"/>
  <c r="AS81" i="132"/>
  <c r="U23" i="133"/>
  <c r="U209" i="133" s="1"/>
  <c r="BX74" i="132"/>
  <c r="CJ74" i="132" s="1"/>
  <c r="U74" i="132" s="1"/>
  <c r="R83" i="128"/>
  <c r="AL74" i="132"/>
  <c r="AI74" i="132"/>
  <c r="BX57" i="132"/>
  <c r="CJ57" i="132" s="1"/>
  <c r="U57" i="132" s="1"/>
  <c r="R68" i="128"/>
  <c r="K775" i="162"/>
  <c r="L775" i="162"/>
  <c r="I775" i="162"/>
  <c r="O775" i="162"/>
  <c r="J775" i="162"/>
  <c r="R775" i="162"/>
  <c r="N775" i="162"/>
  <c r="M775" i="162"/>
  <c r="S775" i="162"/>
  <c r="H775" i="162"/>
  <c r="T775" i="162" s="1"/>
  <c r="P775" i="162"/>
  <c r="Q775" i="162"/>
  <c r="T807" i="162"/>
  <c r="G273" i="105"/>
  <c r="F273" i="105" s="1"/>
  <c r="F270" i="105"/>
  <c r="F275" i="105" s="1"/>
  <c r="G275" i="105"/>
  <c r="E138" i="133" s="1"/>
  <c r="AP87" i="128"/>
  <c r="Q87" i="128"/>
  <c r="AF87" i="128" s="1"/>
  <c r="R92" i="128"/>
  <c r="BX85" i="132"/>
  <c r="CJ85" i="132" s="1"/>
  <c r="U85" i="132" s="1"/>
  <c r="AL85" i="132"/>
  <c r="AI85" i="132"/>
  <c r="AD91" i="148"/>
  <c r="AF91" i="148" s="1"/>
  <c r="AG91" i="148"/>
  <c r="AI91" i="148" s="1"/>
  <c r="AM91" i="148"/>
  <c r="AJ91" i="148"/>
  <c r="AL91" i="148" s="1"/>
  <c r="AV79" i="132"/>
  <c r="AO79" i="132"/>
  <c r="AQ79" i="132"/>
  <c r="AT79" i="132"/>
  <c r="AP79" i="132"/>
  <c r="AR79" i="132"/>
  <c r="AS79" i="132"/>
  <c r="AU79" i="132"/>
  <c r="N206" i="107"/>
  <c r="N208" i="107" s="1"/>
  <c r="N28" i="214" s="1"/>
  <c r="O334" i="105"/>
  <c r="N78" i="214"/>
  <c r="O206" i="107"/>
  <c r="O208" i="107" s="1"/>
  <c r="O28" i="214" s="1"/>
  <c r="P334" i="105"/>
  <c r="O78" i="214"/>
  <c r="I341" i="105"/>
  <c r="P352" i="105"/>
  <c r="L496" i="105" s="1"/>
  <c r="AL54" i="132"/>
  <c r="I206" i="107"/>
  <c r="I208" i="107" s="1"/>
  <c r="I28" i="214" s="1"/>
  <c r="J334" i="105"/>
  <c r="I78" i="214"/>
  <c r="AV85" i="132"/>
  <c r="AO85" i="132"/>
  <c r="AQ85" i="132"/>
  <c r="AS85" i="132"/>
  <c r="AU85" i="132"/>
  <c r="AP85" i="132"/>
  <c r="AR85" i="132"/>
  <c r="AT85" i="132"/>
  <c r="AH91" i="148"/>
  <c r="AK91" i="148"/>
  <c r="AB91" i="148"/>
  <c r="AC91" i="148" s="1"/>
  <c r="AE91" i="148"/>
  <c r="AI79" i="132"/>
  <c r="AL79" i="132"/>
  <c r="L15" i="219"/>
  <c r="AI54" i="132"/>
  <c r="AP91" i="128"/>
  <c r="Q91" i="128"/>
  <c r="AF91" i="128" s="1"/>
  <c r="AP80" i="128"/>
  <c r="Q80" i="128"/>
  <c r="AF80" i="128" s="1"/>
  <c r="AP95" i="128"/>
  <c r="Q95" i="128"/>
  <c r="AF95" i="128" s="1"/>
  <c r="BX86" i="132"/>
  <c r="CJ86" i="132" s="1"/>
  <c r="U86" i="132" s="1"/>
  <c r="R93" i="128"/>
  <c r="E89" i="132"/>
  <c r="AI88" i="132"/>
  <c r="AL88" i="132"/>
  <c r="R85" i="128"/>
  <c r="BX77" i="132"/>
  <c r="CJ77" i="132" s="1"/>
  <c r="U77" i="132" s="1"/>
  <c r="AI77" i="132"/>
  <c r="AL77" i="132"/>
  <c r="AP69" i="132"/>
  <c r="AR69" i="132"/>
  <c r="AT69" i="132"/>
  <c r="AV69" i="132"/>
  <c r="AO69" i="132"/>
  <c r="AQ69" i="132"/>
  <c r="AS69" i="132"/>
  <c r="AU69" i="132"/>
  <c r="AI86" i="132"/>
  <c r="AL86" i="132"/>
  <c r="AP76" i="132"/>
  <c r="AR76" i="132"/>
  <c r="AS76" i="132"/>
  <c r="AV76" i="132"/>
  <c r="AO76" i="132"/>
  <c r="AU76" i="132"/>
  <c r="AQ76" i="132"/>
  <c r="AT76" i="132"/>
  <c r="R77" i="128"/>
  <c r="BX67" i="132"/>
  <c r="CJ67" i="132" s="1"/>
  <c r="U67" i="132" s="1"/>
  <c r="AL67" i="132"/>
  <c r="AI67" i="132"/>
  <c r="E61" i="132"/>
  <c r="D442" i="105" s="1"/>
  <c r="R69" i="128"/>
  <c r="BX58" i="132"/>
  <c r="CJ58" i="132" s="1"/>
  <c r="U58" i="132" s="1"/>
  <c r="U61" i="132" s="1"/>
  <c r="G286" i="105" s="1"/>
  <c r="AP58" i="132"/>
  <c r="AR58" i="132"/>
  <c r="AT58" i="132"/>
  <c r="AV58" i="132"/>
  <c r="AO58" i="132"/>
  <c r="AQ58" i="132"/>
  <c r="AS58" i="132"/>
  <c r="AU58" i="132"/>
  <c r="AP84" i="132"/>
  <c r="AR84" i="132"/>
  <c r="AS84" i="132"/>
  <c r="AU84" i="132"/>
  <c r="AV84" i="132"/>
  <c r="AO84" i="132"/>
  <c r="AQ84" i="132"/>
  <c r="AT84" i="132"/>
  <c r="AP78" i="128"/>
  <c r="Q78" i="128"/>
  <c r="AF78" i="128" s="1"/>
  <c r="AL71" i="132"/>
  <c r="AI71" i="132"/>
  <c r="AQ281" i="138"/>
  <c r="AM281" i="138"/>
  <c r="AM280" i="138"/>
  <c r="AS280" i="138" s="1"/>
  <c r="AI277" i="138"/>
  <c r="AJ277" i="138" s="1"/>
  <c r="AK277" i="138" s="1"/>
  <c r="AL277" i="138" s="1"/>
  <c r="AM277" i="138" s="1"/>
  <c r="AN277" i="138" s="1"/>
  <c r="AO277" i="138" s="1"/>
  <c r="AP277" i="138" s="1"/>
  <c r="AQ277" i="138" s="1"/>
  <c r="AR277" i="138" s="1"/>
  <c r="AS277" i="138" s="1"/>
  <c r="AT277" i="138" s="1"/>
  <c r="AI278" i="138"/>
  <c r="AK278" i="138" s="1"/>
  <c r="AM278" i="138" s="1"/>
  <c r="AO278" i="138" s="1"/>
  <c r="AQ278" i="138" s="1"/>
  <c r="AS278" i="138" s="1"/>
  <c r="AI279" i="138"/>
  <c r="AI280" i="138"/>
  <c r="AI281" i="138"/>
  <c r="AN280" i="138"/>
  <c r="AT280" i="138" s="1"/>
  <c r="AN281" i="138"/>
  <c r="AP93" i="128"/>
  <c r="Q93" i="128"/>
  <c r="AF93" i="128" s="1"/>
  <c r="AP70" i="132"/>
  <c r="AR70" i="132"/>
  <c r="AS70" i="132"/>
  <c r="AU70" i="132"/>
  <c r="AV70" i="132"/>
  <c r="AO70" i="132"/>
  <c r="AQ70" i="132"/>
  <c r="AT70" i="132"/>
  <c r="AP72" i="132"/>
  <c r="AR72" i="132"/>
  <c r="AS72" i="132"/>
  <c r="AU72" i="132"/>
  <c r="AV72" i="132"/>
  <c r="AO72" i="132"/>
  <c r="AQ72" i="132"/>
  <c r="AT72" i="132"/>
  <c r="AL62" i="132"/>
  <c r="AI62" i="132"/>
  <c r="AP77" i="128"/>
  <c r="Q77" i="128"/>
  <c r="AF77" i="128" s="1"/>
  <c r="AP69" i="128"/>
  <c r="Q69" i="128"/>
  <c r="AF69" i="128" s="1"/>
  <c r="AP60" i="132"/>
  <c r="AR60" i="132"/>
  <c r="AS60" i="132"/>
  <c r="AU60" i="132"/>
  <c r="AV60" i="132"/>
  <c r="AO60" i="132"/>
  <c r="AQ60" i="132"/>
  <c r="AT60" i="132"/>
  <c r="J95" i="138"/>
  <c r="I96" i="138" s="1"/>
  <c r="K95" i="138"/>
  <c r="S352" i="105"/>
  <c r="O496" i="105" s="1"/>
  <c r="C380" i="148" s="1"/>
  <c r="Z119" i="148" s="1"/>
  <c r="K352" i="105"/>
  <c r="G496" i="105" s="1"/>
  <c r="Q352" i="105"/>
  <c r="M496" i="105" s="1"/>
  <c r="E82" i="132"/>
  <c r="D445" i="105" s="1"/>
  <c r="BX70" i="132"/>
  <c r="CJ70" i="132" s="1"/>
  <c r="U70" i="132" s="1"/>
  <c r="R79" i="128"/>
  <c r="E75" i="132"/>
  <c r="D444" i="105" s="1"/>
  <c r="AP88" i="132"/>
  <c r="AR88" i="132"/>
  <c r="AS88" i="132"/>
  <c r="AU88" i="132"/>
  <c r="AV88" i="132"/>
  <c r="AO88" i="132"/>
  <c r="AQ88" i="132"/>
  <c r="AT88" i="132"/>
  <c r="AP77" i="132"/>
  <c r="AR77" i="132"/>
  <c r="AT77" i="132"/>
  <c r="AV77" i="132"/>
  <c r="AO77" i="132"/>
  <c r="AU77" i="132"/>
  <c r="AQ77" i="132"/>
  <c r="AS77" i="132"/>
  <c r="AL69" i="132"/>
  <c r="AI69" i="132"/>
  <c r="M165" i="138"/>
  <c r="L166" i="138" s="1"/>
  <c r="N165" i="138"/>
  <c r="AP86" i="132"/>
  <c r="AR86" i="132"/>
  <c r="AS86" i="132"/>
  <c r="AU86" i="132"/>
  <c r="AV86" i="132"/>
  <c r="AQ86" i="132"/>
  <c r="AT86" i="132"/>
  <c r="AO86" i="132"/>
  <c r="AL76" i="132"/>
  <c r="AL82" i="132" s="1"/>
  <c r="AI76" i="132"/>
  <c r="AI82" i="132" s="1"/>
  <c r="AP81" i="128"/>
  <c r="Q81" i="128"/>
  <c r="AF81" i="128" s="1"/>
  <c r="AP72" i="128"/>
  <c r="Q72" i="128"/>
  <c r="AF72" i="128" s="1"/>
  <c r="AP67" i="132"/>
  <c r="AR67" i="132"/>
  <c r="AT67" i="132"/>
  <c r="AV67" i="132"/>
  <c r="AO67" i="132"/>
  <c r="AQ67" i="132"/>
  <c r="AU67" i="132"/>
  <c r="AS67" i="132"/>
  <c r="AL58" i="132"/>
  <c r="AI58" i="132"/>
  <c r="H102" i="132"/>
  <c r="BX62" i="132"/>
  <c r="CJ62" i="132" s="1"/>
  <c r="U62" i="132" s="1"/>
  <c r="R72" i="128"/>
  <c r="E68" i="132"/>
  <c r="D443" i="105" s="1"/>
  <c r="AI84" i="132"/>
  <c r="AI89" i="132" s="1"/>
  <c r="AL84" i="132"/>
  <c r="AP71" i="132"/>
  <c r="AR71" i="132"/>
  <c r="AS71" i="132"/>
  <c r="AU71" i="132"/>
  <c r="AV71" i="132"/>
  <c r="AO71" i="132"/>
  <c r="AQ71" i="132"/>
  <c r="AT71" i="132"/>
  <c r="AJ278" i="138"/>
  <c r="AL278" i="138" s="1"/>
  <c r="AN278" i="138" s="1"/>
  <c r="AP278" i="138" s="1"/>
  <c r="AR278" i="138" s="1"/>
  <c r="AT278" i="138" s="1"/>
  <c r="AJ280" i="138"/>
  <c r="AP280" i="138" s="1"/>
  <c r="AJ279" i="138"/>
  <c r="AM279" i="138" s="1"/>
  <c r="AP279" i="138" s="1"/>
  <c r="AS279" i="138" s="1"/>
  <c r="AJ281" i="138"/>
  <c r="AO280" i="138"/>
  <c r="AO281" i="138"/>
  <c r="AK279" i="138"/>
  <c r="AN279" i="138" s="1"/>
  <c r="AQ279" i="138" s="1"/>
  <c r="AT279" i="138" s="1"/>
  <c r="AK280" i="138"/>
  <c r="AQ280" i="138" s="1"/>
  <c r="AK281" i="138"/>
  <c r="AL279" i="138"/>
  <c r="AO279" i="138" s="1"/>
  <c r="AR279" i="138" s="1"/>
  <c r="AL280" i="138"/>
  <c r="AR280" i="138" s="1"/>
  <c r="AL281" i="138"/>
  <c r="W288" i="138"/>
  <c r="V288" i="138"/>
  <c r="AB129" i="138"/>
  <c r="AA130" i="138" s="1"/>
  <c r="AC129" i="138"/>
  <c r="AP84" i="128"/>
  <c r="Q84" i="128"/>
  <c r="AF84" i="128" s="1"/>
  <c r="AI70" i="132"/>
  <c r="AL70" i="132"/>
  <c r="BX72" i="132"/>
  <c r="CJ72" i="132" s="1"/>
  <c r="U72" i="132" s="1"/>
  <c r="R81" i="128"/>
  <c r="AL72" i="132"/>
  <c r="AI72" i="132"/>
  <c r="AP62" i="132"/>
  <c r="AR62" i="132"/>
  <c r="AS62" i="132"/>
  <c r="AU62" i="132"/>
  <c r="AV62" i="132"/>
  <c r="AO62" i="132"/>
  <c r="AQ62" i="132"/>
  <c r="AT62" i="132"/>
  <c r="I66" i="128"/>
  <c r="I59" i="128" s="1"/>
  <c r="G102" i="128"/>
  <c r="D98" i="132" s="1"/>
  <c r="BX60" i="132"/>
  <c r="CJ60" i="132" s="1"/>
  <c r="U60" i="132" s="1"/>
  <c r="R71" i="128"/>
  <c r="AI60" i="132"/>
  <c r="AL60" i="132"/>
  <c r="H17" i="133"/>
  <c r="K20" i="133"/>
  <c r="M22" i="133"/>
  <c r="I18" i="133"/>
  <c r="J19" i="133"/>
  <c r="L21" i="133"/>
  <c r="N23" i="133"/>
  <c r="F72" i="148"/>
  <c r="F66" i="148"/>
  <c r="AV82" i="148"/>
  <c r="AW82" i="148" s="1"/>
  <c r="N104" i="107"/>
  <c r="S326" i="105"/>
  <c r="S788" i="162"/>
  <c r="S324" i="105" s="1"/>
  <c r="S341" i="105" s="1"/>
  <c r="J318" i="107"/>
  <c r="S65" i="105"/>
  <c r="S67" i="105" s="1"/>
  <c r="J320" i="107" s="1"/>
  <c r="H115" i="128"/>
  <c r="E115" i="128"/>
  <c r="G115" i="128"/>
  <c r="I115" i="128"/>
  <c r="F115" i="128"/>
  <c r="E114" i="128"/>
  <c r="G114" i="128"/>
  <c r="F114" i="128"/>
  <c r="H114" i="128"/>
  <c r="I114" i="128"/>
  <c r="D56" i="148"/>
  <c r="S33" i="138"/>
  <c r="U23" i="138"/>
  <c r="K104" i="107"/>
  <c r="K195" i="107" s="1"/>
  <c r="O104" i="107"/>
  <c r="E473" i="105"/>
  <c r="E472" i="105" s="1"/>
  <c r="AC115" i="133"/>
  <c r="V100" i="148" s="1"/>
  <c r="E77" i="133"/>
  <c r="F190" i="105"/>
  <c r="AP97" i="148"/>
  <c r="AQ97" i="148" s="1"/>
  <c r="AV97" i="148"/>
  <c r="AW97" i="148" s="1"/>
  <c r="F365" i="148"/>
  <c r="F364" i="148" s="1"/>
  <c r="H18" i="132"/>
  <c r="G365" i="148" s="1"/>
  <c r="G364" i="148" s="1"/>
  <c r="O316" i="138"/>
  <c r="AD308" i="138"/>
  <c r="V318" i="138"/>
  <c r="AG309" i="138" s="1"/>
  <c r="X316" i="138"/>
  <c r="S280" i="138"/>
  <c r="M130" i="138"/>
  <c r="L131" i="138" s="1"/>
  <c r="N130" i="138"/>
  <c r="Z166" i="138"/>
  <c r="Y166" i="138"/>
  <c r="X167" i="138" s="1"/>
  <c r="M94" i="138"/>
  <c r="L95" i="138" s="1"/>
  <c r="N94" i="138"/>
  <c r="P130" i="138"/>
  <c r="O131" i="138" s="1"/>
  <c r="Q130" i="138"/>
  <c r="J166" i="138"/>
  <c r="I167" i="138" s="1"/>
  <c r="K166" i="138"/>
  <c r="Y95" i="138"/>
  <c r="X96" i="138" s="1"/>
  <c r="Z95" i="138"/>
  <c r="F116" i="133"/>
  <c r="H255" i="107" s="1"/>
  <c r="I143" i="133"/>
  <c r="K254" i="107" s="1"/>
  <c r="L343" i="105"/>
  <c r="I116" i="133"/>
  <c r="K255" i="107" s="1"/>
  <c r="J116" i="133"/>
  <c r="L255" i="107" s="1"/>
  <c r="H93" i="105"/>
  <c r="H94" i="105" s="1"/>
  <c r="E14" i="133" s="1"/>
  <c r="T92" i="105"/>
  <c r="U93" i="105" s="1"/>
  <c r="D17" i="148" s="1"/>
  <c r="F92" i="105"/>
  <c r="G209" i="105"/>
  <c r="F209" i="105" s="1"/>
  <c r="P208" i="105" s="1"/>
  <c r="H151" i="105"/>
  <c r="E112" i="107"/>
  <c r="G204" i="107"/>
  <c r="G108" i="107"/>
  <c r="Z80" i="148"/>
  <c r="W156" i="148"/>
  <c r="U156" i="148"/>
  <c r="X80" i="148"/>
  <c r="H777" i="162"/>
  <c r="J777" i="162"/>
  <c r="L777" i="162"/>
  <c r="N777" i="162"/>
  <c r="P777" i="162"/>
  <c r="R777" i="162"/>
  <c r="I777" i="162"/>
  <c r="M777" i="162"/>
  <c r="Q777" i="162"/>
  <c r="K777" i="162"/>
  <c r="S777" i="162"/>
  <c r="O777" i="162"/>
  <c r="D37" i="105"/>
  <c r="T809" i="162"/>
  <c r="AL929" i="162"/>
  <c r="K36" i="105"/>
  <c r="L36" i="105"/>
  <c r="AM929" i="162"/>
  <c r="E75" i="133"/>
  <c r="F182" i="105"/>
  <c r="AS94" i="148"/>
  <c r="AT94" i="148" s="1"/>
  <c r="AP94" i="148"/>
  <c r="AQ94" i="148" s="1"/>
  <c r="AV89" i="148"/>
  <c r="AW89" i="148" s="1"/>
  <c r="AY89" i="148"/>
  <c r="AZ89" i="148" s="1"/>
  <c r="AI319" i="138"/>
  <c r="R10" i="138" s="1"/>
  <c r="D25" i="138" s="1"/>
  <c r="D486" i="105" s="1"/>
  <c r="R9" i="138"/>
  <c r="J78" i="214"/>
  <c r="J206" i="107"/>
  <c r="J208" i="107" s="1"/>
  <c r="J28" i="214" s="1"/>
  <c r="K334" i="105"/>
  <c r="K206" i="107"/>
  <c r="K208" i="107" s="1"/>
  <c r="K28" i="214" s="1"/>
  <c r="L334" i="105"/>
  <c r="K78" i="214"/>
  <c r="D93" i="138"/>
  <c r="C94" i="138" s="1"/>
  <c r="E93" i="138"/>
  <c r="D165" i="138"/>
  <c r="C166" i="138" s="1"/>
  <c r="E165" i="138"/>
  <c r="AI17" i="138"/>
  <c r="AJ6" i="138"/>
  <c r="J17" i="133"/>
  <c r="K18" i="133"/>
  <c r="L19" i="133"/>
  <c r="M20" i="133"/>
  <c r="O22" i="133"/>
  <c r="P23" i="133"/>
  <c r="N21" i="133"/>
  <c r="K17" i="133"/>
  <c r="L18" i="133"/>
  <c r="M19" i="133"/>
  <c r="N20" i="133"/>
  <c r="P22" i="133"/>
  <c r="O21" i="133"/>
  <c r="Q23" i="133"/>
  <c r="Q193" i="133" s="1"/>
  <c r="L17" i="133"/>
  <c r="M18" i="133"/>
  <c r="M24" i="133" s="1"/>
  <c r="M26" i="133" s="1"/>
  <c r="O20" i="133"/>
  <c r="N19" i="133"/>
  <c r="P21" i="133"/>
  <c r="Q22" i="133"/>
  <c r="R23" i="133"/>
  <c r="R197" i="133" s="1"/>
  <c r="AA97" i="133"/>
  <c r="T81" i="148" s="1"/>
  <c r="AB81" i="148" s="1"/>
  <c r="AC97" i="133"/>
  <c r="V81" i="148" s="1"/>
  <c r="AG81" i="148" s="1"/>
  <c r="AI81" i="148" s="1"/>
  <c r="U981" i="162"/>
  <c r="U375" i="162" s="1"/>
  <c r="AC29" i="215"/>
  <c r="T355" i="162"/>
  <c r="D15" i="128"/>
  <c r="G438" i="131"/>
  <c r="AS92" i="148"/>
  <c r="AT92" i="148" s="1"/>
  <c r="AY92" i="148"/>
  <c r="AZ92" i="148" s="1"/>
  <c r="AY87" i="148"/>
  <c r="AZ87" i="148" s="1"/>
  <c r="AV87" i="148"/>
  <c r="AW87" i="148" s="1"/>
  <c r="E145" i="133"/>
  <c r="P206" i="107"/>
  <c r="P208" i="107" s="1"/>
  <c r="P28" i="214" s="1"/>
  <c r="Q334" i="105"/>
  <c r="P78" i="214"/>
  <c r="AS310" i="138"/>
  <c r="AM310" i="138"/>
  <c r="AM309" i="138"/>
  <c r="AS309" i="138" s="1"/>
  <c r="AQ310" i="138"/>
  <c r="AK310" i="138"/>
  <c r="AK309" i="138"/>
  <c r="AQ309" i="138" s="1"/>
  <c r="AK308" i="138"/>
  <c r="AR310" i="138"/>
  <c r="AL309" i="138"/>
  <c r="AR309" i="138" s="1"/>
  <c r="AL310" i="138"/>
  <c r="Q287" i="138"/>
  <c r="P287" i="138"/>
  <c r="O288" i="138" s="1"/>
  <c r="H317" i="138"/>
  <c r="V305" i="138" s="1"/>
  <c r="G317" i="138"/>
  <c r="I316" i="138"/>
  <c r="AD307" i="138"/>
  <c r="AD316" i="138"/>
  <c r="AB318" i="138"/>
  <c r="AG310" i="138" s="1"/>
  <c r="K288" i="138"/>
  <c r="U277" i="138" s="1"/>
  <c r="J288" i="138"/>
  <c r="E64" i="133"/>
  <c r="F137" i="105"/>
  <c r="E74" i="133"/>
  <c r="F178" i="105"/>
  <c r="N116" i="133"/>
  <c r="P255" i="107" s="1"/>
  <c r="E5" i="131"/>
  <c r="E3" i="131" s="1"/>
  <c r="J147" i="131"/>
  <c r="G261" i="107"/>
  <c r="E261" i="107" s="1"/>
  <c r="Z101" i="133"/>
  <c r="S85" i="148" s="1"/>
  <c r="W101" i="133"/>
  <c r="X101" i="133" s="1"/>
  <c r="E143" i="133"/>
  <c r="G254" i="107" s="1"/>
  <c r="U82" i="132"/>
  <c r="G298" i="105" s="1"/>
  <c r="AA100" i="133"/>
  <c r="T84" i="148" s="1"/>
  <c r="AC100" i="133"/>
  <c r="V84" i="148" s="1"/>
  <c r="AA103" i="133"/>
  <c r="T87" i="148" s="1"/>
  <c r="AK87" i="148" s="1"/>
  <c r="AC103" i="133"/>
  <c r="V87" i="148" s="1"/>
  <c r="AM87" i="148" s="1"/>
  <c r="AA111" i="133"/>
  <c r="T95" i="148" s="1"/>
  <c r="AC111" i="133"/>
  <c r="V95" i="148" s="1"/>
  <c r="AF929" i="162"/>
  <c r="E36" i="105"/>
  <c r="J36" i="105"/>
  <c r="AK929" i="162"/>
  <c r="AP929" i="162"/>
  <c r="O36" i="105"/>
  <c r="I852" i="162"/>
  <c r="I854" i="162" s="1"/>
  <c r="K852" i="162"/>
  <c r="K854" i="162" s="1"/>
  <c r="M852" i="162"/>
  <c r="M854" i="162" s="1"/>
  <c r="O852" i="162"/>
  <c r="O854" i="162" s="1"/>
  <c r="Q852" i="162"/>
  <c r="Q854" i="162" s="1"/>
  <c r="S852" i="162"/>
  <c r="S854" i="162" s="1"/>
  <c r="H852" i="162"/>
  <c r="H854" i="162" s="1"/>
  <c r="L852" i="162"/>
  <c r="L854" i="162" s="1"/>
  <c r="P852" i="162"/>
  <c r="P854" i="162" s="1"/>
  <c r="N852" i="162"/>
  <c r="N854" i="162" s="1"/>
  <c r="J852" i="162"/>
  <c r="J854" i="162" s="1"/>
  <c r="R852" i="162"/>
  <c r="R854" i="162" s="1"/>
  <c r="E70" i="133"/>
  <c r="F166" i="105"/>
  <c r="AS90" i="148"/>
  <c r="AT90" i="148" s="1"/>
  <c r="AV90" i="148"/>
  <c r="AW90" i="148" s="1"/>
  <c r="AE81" i="148"/>
  <c r="AS81" i="148"/>
  <c r="AT81" i="148" s="1"/>
  <c r="AD81" i="148"/>
  <c r="AF81" i="148" s="1"/>
  <c r="AP81" i="148"/>
  <c r="AQ81" i="148" s="1"/>
  <c r="AY83" i="148"/>
  <c r="AZ83" i="148" s="1"/>
  <c r="AV83" i="148"/>
  <c r="AW83" i="148" s="1"/>
  <c r="D50" i="138"/>
  <c r="D48" i="138"/>
  <c r="D52" i="138" s="1"/>
  <c r="G143" i="133"/>
  <c r="I254" i="107" s="1"/>
  <c r="J343" i="105"/>
  <c r="L143" i="133"/>
  <c r="N254" i="107" s="1"/>
  <c r="O343" i="105"/>
  <c r="F118" i="128"/>
  <c r="I118" i="128"/>
  <c r="H118" i="128"/>
  <c r="E118" i="128"/>
  <c r="G118" i="128"/>
  <c r="G120" i="128"/>
  <c r="H120" i="128"/>
  <c r="E120" i="128"/>
  <c r="F120" i="128"/>
  <c r="I120" i="128"/>
  <c r="I121" i="128"/>
  <c r="F121" i="128"/>
  <c r="E121" i="128"/>
  <c r="H121" i="128"/>
  <c r="G121" i="128"/>
  <c r="G112" i="128"/>
  <c r="H112" i="128"/>
  <c r="F112" i="128"/>
  <c r="I112" i="128"/>
  <c r="E112" i="128"/>
  <c r="F110" i="128"/>
  <c r="E110" i="128"/>
  <c r="G110" i="128"/>
  <c r="I113" i="128"/>
  <c r="F113" i="128"/>
  <c r="E113" i="128"/>
  <c r="H113" i="128"/>
  <c r="G113" i="128"/>
  <c r="T280" i="138"/>
  <c r="T277" i="138"/>
  <c r="W133" i="138"/>
  <c r="V133" i="138"/>
  <c r="U134" i="138" s="1"/>
  <c r="W166" i="138"/>
  <c r="V166" i="138"/>
  <c r="U167" i="138" s="1"/>
  <c r="G246" i="107"/>
  <c r="E54" i="133"/>
  <c r="E55" i="133" s="1"/>
  <c r="D460" i="105" s="1"/>
  <c r="U28" i="138"/>
  <c r="AF79" i="138"/>
  <c r="AC80" i="138" s="1"/>
  <c r="AF151" i="138"/>
  <c r="AC152" i="138" s="1"/>
  <c r="E66" i="148"/>
  <c r="P810" i="162"/>
  <c r="AM930" i="162" s="1"/>
  <c r="R810" i="162"/>
  <c r="AO930" i="162" s="1"/>
  <c r="O810" i="162"/>
  <c r="AL930" i="162" s="1"/>
  <c r="M810" i="162"/>
  <c r="AJ930" i="162" s="1"/>
  <c r="K810" i="162"/>
  <c r="AH930" i="162" s="1"/>
  <c r="I810" i="162"/>
  <c r="AF930" i="162" s="1"/>
  <c r="R773" i="162"/>
  <c r="N773" i="162"/>
  <c r="L773" i="162"/>
  <c r="S773" i="162"/>
  <c r="O773" i="162"/>
  <c r="K773" i="162"/>
  <c r="D12" i="138"/>
  <c r="E248" i="107"/>
  <c r="AF119" i="138"/>
  <c r="AK116" i="138"/>
  <c r="AM116" i="138" s="1"/>
  <c r="AO116" i="138" s="1"/>
  <c r="AQ116" i="138" s="1"/>
  <c r="AS116" i="138" s="1"/>
  <c r="AF278" i="138"/>
  <c r="J279" i="138" s="1"/>
  <c r="X136" i="133"/>
  <c r="K791" i="162"/>
  <c r="M791" i="162"/>
  <c r="S791" i="162"/>
  <c r="H994" i="162"/>
  <c r="H987" i="162" s="1"/>
  <c r="H841" i="162" s="1"/>
  <c r="J849" i="162"/>
  <c r="P849" i="162"/>
  <c r="H849" i="162"/>
  <c r="Q849" i="162"/>
  <c r="M849" i="162"/>
  <c r="I849" i="162"/>
  <c r="K341" i="105"/>
  <c r="O352" i="105"/>
  <c r="K496" i="105" s="1"/>
  <c r="T805" i="162"/>
  <c r="K197" i="107"/>
  <c r="H289" i="138"/>
  <c r="J352" i="105"/>
  <c r="F496" i="105" s="1"/>
  <c r="L352" i="105"/>
  <c r="H496" i="105" s="1"/>
  <c r="M352" i="105"/>
  <c r="I496" i="105" s="1"/>
  <c r="N352" i="105"/>
  <c r="J496" i="105" s="1"/>
  <c r="R352" i="105"/>
  <c r="N496" i="105" s="1"/>
  <c r="I104" i="107"/>
  <c r="Q104" i="107"/>
  <c r="Q195" i="107" s="1"/>
  <c r="Q197" i="107" s="1"/>
  <c r="F45" i="132"/>
  <c r="G23" i="162"/>
  <c r="G36" i="162" s="1"/>
  <c r="AJ76" i="138"/>
  <c r="G89" i="162"/>
  <c r="G15" i="162" s="1"/>
  <c r="H81" i="107"/>
  <c r="H234" i="107"/>
  <c r="I77" i="105"/>
  <c r="V47" i="132"/>
  <c r="P137" i="131"/>
  <c r="G148" i="131"/>
  <c r="G275" i="107"/>
  <c r="Z115" i="133"/>
  <c r="S100" i="148" s="1"/>
  <c r="W115" i="133"/>
  <c r="X115" i="133" s="1"/>
  <c r="U96" i="132"/>
  <c r="U89" i="132"/>
  <c r="G302" i="105" s="1"/>
  <c r="U68" i="132"/>
  <c r="G290" i="105" s="1"/>
  <c r="U54" i="132"/>
  <c r="G282" i="105" s="1"/>
  <c r="AS97" i="148"/>
  <c r="AT97" i="148" s="1"/>
  <c r="AY97" i="148"/>
  <c r="AZ97" i="148" s="1"/>
  <c r="F143" i="133"/>
  <c r="H254" i="107" s="1"/>
  <c r="I343" i="105"/>
  <c r="M143" i="133"/>
  <c r="O254" i="107" s="1"/>
  <c r="P343" i="105"/>
  <c r="Q206" i="107"/>
  <c r="Q208" i="107" s="1"/>
  <c r="Q28" i="214" s="1"/>
  <c r="Q78" i="214"/>
  <c r="R334" i="105"/>
  <c r="G93" i="138"/>
  <c r="F94" i="138" s="1"/>
  <c r="H93" i="138"/>
  <c r="G323" i="148"/>
  <c r="S287" i="138"/>
  <c r="R288" i="138" s="1"/>
  <c r="T287" i="138"/>
  <c r="I46" i="128"/>
  <c r="I47" i="128" s="1"/>
  <c r="J47" i="128" s="1"/>
  <c r="R316" i="138"/>
  <c r="P318" i="138"/>
  <c r="AG308" i="138" s="1"/>
  <c r="U316" i="138"/>
  <c r="AD309" i="138"/>
  <c r="AB288" i="138"/>
  <c r="AC288" i="138"/>
  <c r="U280" i="138" s="1"/>
  <c r="E71" i="133"/>
  <c r="F170" i="105"/>
  <c r="E78" i="133"/>
  <c r="F194" i="105"/>
  <c r="H129" i="105"/>
  <c r="G98" i="107"/>
  <c r="E99" i="107"/>
  <c r="F1038" i="162" s="1"/>
  <c r="D62" i="105"/>
  <c r="P9" i="105"/>
  <c r="P62" i="105" s="1"/>
  <c r="D517" i="105"/>
  <c r="P517" i="105" s="1"/>
  <c r="G648" i="107"/>
  <c r="H648" i="107" s="1"/>
  <c r="I648" i="107" s="1"/>
  <c r="J648" i="107" s="1"/>
  <c r="K648" i="107" s="1"/>
  <c r="L648" i="107" s="1"/>
  <c r="M648" i="107" s="1"/>
  <c r="N648" i="107" s="1"/>
  <c r="O648" i="107" s="1"/>
  <c r="P648" i="107" s="1"/>
  <c r="Q648" i="107" s="1"/>
  <c r="R648" i="107" s="1"/>
  <c r="G189" i="107"/>
  <c r="D8" i="105"/>
  <c r="F96" i="162"/>
  <c r="E98" i="162"/>
  <c r="E675" i="131" s="1"/>
  <c r="D14" i="105"/>
  <c r="P7" i="105"/>
  <c r="P14" i="105" s="1"/>
  <c r="D8" i="148" s="1"/>
  <c r="D11" i="148" s="1"/>
  <c r="D12" i="148" s="1"/>
  <c r="D13" i="148" s="1"/>
  <c r="D5" i="148"/>
  <c r="F103" i="107"/>
  <c r="F147" i="107"/>
  <c r="F229" i="107" s="1"/>
  <c r="F144" i="107"/>
  <c r="F225" i="107" s="1"/>
  <c r="F98" i="107"/>
  <c r="F115" i="107"/>
  <c r="F111" i="107"/>
  <c r="F109" i="107"/>
  <c r="F105" i="107"/>
  <c r="E186" i="107"/>
  <c r="F108" i="107"/>
  <c r="F117" i="107"/>
  <c r="F120" i="107"/>
  <c r="F122" i="107"/>
  <c r="F124" i="107"/>
  <c r="F127" i="107"/>
  <c r="F135" i="107"/>
  <c r="F131" i="107"/>
  <c r="F99" i="107"/>
  <c r="F114" i="107"/>
  <c r="F119" i="107"/>
  <c r="F106" i="107"/>
  <c r="F112" i="107"/>
  <c r="F110" i="107"/>
  <c r="F104" i="107"/>
  <c r="E635" i="131"/>
  <c r="E634" i="131"/>
  <c r="F137" i="107"/>
  <c r="F102" i="107"/>
  <c r="F116" i="107"/>
  <c r="F118" i="107"/>
  <c r="F121" i="107"/>
  <c r="F123" i="107"/>
  <c r="F125" i="107"/>
  <c r="F133" i="107"/>
  <c r="F138" i="107"/>
  <c r="F100" i="107"/>
  <c r="E89" i="107"/>
  <c r="T156" i="148"/>
  <c r="W80" i="148"/>
  <c r="V156" i="148"/>
  <c r="Y80" i="148"/>
  <c r="D6" i="131"/>
  <c r="G41" i="133"/>
  <c r="G46" i="133" s="1"/>
  <c r="G47" i="133" s="1"/>
  <c r="I249" i="107" s="1"/>
  <c r="F473" i="105" s="1"/>
  <c r="F472" i="105" s="1"/>
  <c r="H776" i="162"/>
  <c r="J776" i="162"/>
  <c r="J778" i="162" s="1"/>
  <c r="L776" i="162"/>
  <c r="N776" i="162"/>
  <c r="N778" i="162" s="1"/>
  <c r="P776" i="162"/>
  <c r="R776" i="162"/>
  <c r="K776" i="162"/>
  <c r="K778" i="162" s="1"/>
  <c r="O776" i="162"/>
  <c r="O778" i="162" s="1"/>
  <c r="O779" i="162" s="1"/>
  <c r="S776" i="162"/>
  <c r="I776" i="162"/>
  <c r="Q776" i="162"/>
  <c r="M776" i="162"/>
  <c r="M778" i="162" s="1"/>
  <c r="H810" i="162"/>
  <c r="AE930" i="162" s="1"/>
  <c r="T808" i="162"/>
  <c r="T810" i="162" s="1"/>
  <c r="F36" i="105"/>
  <c r="AG929" i="162"/>
  <c r="H36" i="105"/>
  <c r="AI929" i="162"/>
  <c r="AN929" i="162"/>
  <c r="M36" i="105"/>
  <c r="T771" i="162"/>
  <c r="H773" i="162"/>
  <c r="AV94" i="148"/>
  <c r="AW94" i="148" s="1"/>
  <c r="AY94" i="148"/>
  <c r="AZ94" i="148" s="1"/>
  <c r="AS89" i="148"/>
  <c r="AT89" i="148" s="1"/>
  <c r="AP89" i="148"/>
  <c r="AQ89" i="148" s="1"/>
  <c r="G274" i="107"/>
  <c r="E49" i="133"/>
  <c r="E245" i="107"/>
  <c r="F103" i="105"/>
  <c r="N143" i="133"/>
  <c r="P254" i="107" s="1"/>
  <c r="Q343" i="105"/>
  <c r="M206" i="107"/>
  <c r="M208" i="107" s="1"/>
  <c r="M28" i="214" s="1"/>
  <c r="N334" i="105"/>
  <c r="M78" i="214"/>
  <c r="AF25" i="138"/>
  <c r="E30" i="138" s="1"/>
  <c r="D362" i="148" s="1"/>
  <c r="D361" i="148" s="1"/>
  <c r="D360" i="148" s="1"/>
  <c r="D359" i="148" s="1"/>
  <c r="AK110" i="138"/>
  <c r="P93" i="138"/>
  <c r="O94" i="138" s="1"/>
  <c r="Q93" i="138"/>
  <c r="K116" i="133"/>
  <c r="M255" i="107" s="1"/>
  <c r="E119" i="128"/>
  <c r="H119" i="128"/>
  <c r="I119" i="128"/>
  <c r="G119" i="128"/>
  <c r="F119" i="128"/>
  <c r="M326" i="105"/>
  <c r="M788" i="162"/>
  <c r="M324" i="105" s="1"/>
  <c r="M341" i="105" s="1"/>
  <c r="O18" i="133"/>
  <c r="P19" i="133"/>
  <c r="N17" i="133"/>
  <c r="Q20" i="133"/>
  <c r="R21" i="133"/>
  <c r="S22" i="133"/>
  <c r="T23" i="133"/>
  <c r="T205" i="133" s="1"/>
  <c r="P17" i="133"/>
  <c r="Q18" i="133"/>
  <c r="R19" i="133"/>
  <c r="S20" i="133"/>
  <c r="T21" i="133"/>
  <c r="U22" i="133"/>
  <c r="V23" i="133"/>
  <c r="R326" i="105"/>
  <c r="R788" i="162"/>
  <c r="R324" i="105" s="1"/>
  <c r="R341" i="105" s="1"/>
  <c r="G257" i="107"/>
  <c r="Z97" i="133"/>
  <c r="S81" i="148" s="1"/>
  <c r="W97" i="133"/>
  <c r="X97" i="133" s="1"/>
  <c r="J314" i="107"/>
  <c r="D325" i="107" s="1"/>
  <c r="D292" i="148"/>
  <c r="F292" i="148"/>
  <c r="H292" i="148"/>
  <c r="J292" i="148"/>
  <c r="E292" i="148"/>
  <c r="I292" i="148"/>
  <c r="C292" i="148"/>
  <c r="K292" i="148"/>
  <c r="G292" i="148"/>
  <c r="E302" i="148"/>
  <c r="H984" i="162"/>
  <c r="H992" i="162"/>
  <c r="H985" i="162" s="1"/>
  <c r="H839" i="162" s="1"/>
  <c r="H335" i="105" s="1"/>
  <c r="T335" i="105" s="1"/>
  <c r="H342" i="105"/>
  <c r="T332" i="105"/>
  <c r="U332" i="105" s="1"/>
  <c r="R102" i="148" s="1"/>
  <c r="E73" i="133"/>
  <c r="F174" i="105"/>
  <c r="AP92" i="148"/>
  <c r="AQ92" i="148" s="1"/>
  <c r="AV92" i="148"/>
  <c r="AW92" i="148" s="1"/>
  <c r="AD87" i="148"/>
  <c r="AF87" i="148" s="1"/>
  <c r="AP87" i="148"/>
  <c r="AQ87" i="148" s="1"/>
  <c r="AE87" i="148"/>
  <c r="AG87" i="148"/>
  <c r="AI87" i="148" s="1"/>
  <c r="AS87" i="148"/>
  <c r="AT87" i="148" s="1"/>
  <c r="AP310" i="138"/>
  <c r="AN308" i="138"/>
  <c r="AQ308" i="138" s="1"/>
  <c r="AT308" i="138" s="1"/>
  <c r="AN310" i="138"/>
  <c r="AN309" i="138"/>
  <c r="AJ308" i="138"/>
  <c r="AM308" i="138" s="1"/>
  <c r="AP308" i="138" s="1"/>
  <c r="AS308" i="138" s="1"/>
  <c r="AJ307" i="138"/>
  <c r="AL307" i="138" s="1"/>
  <c r="AN307" i="138" s="1"/>
  <c r="AP307" i="138" s="1"/>
  <c r="AR307" i="138" s="1"/>
  <c r="AT307" i="138" s="1"/>
  <c r="AJ310" i="138"/>
  <c r="AJ309" i="138"/>
  <c r="AP309" i="138" s="1"/>
  <c r="AT310" i="138"/>
  <c r="AT309" i="138"/>
  <c r="AO310" i="138"/>
  <c r="AI307" i="138"/>
  <c r="AI310" i="138"/>
  <c r="AI309" i="138"/>
  <c r="AI308" i="138"/>
  <c r="AI306" i="138"/>
  <c r="AJ306" i="138" s="1"/>
  <c r="AK306" i="138" s="1"/>
  <c r="AL306" i="138" s="1"/>
  <c r="AM306" i="138" s="1"/>
  <c r="AN306" i="138" s="1"/>
  <c r="AO306" i="138" s="1"/>
  <c r="AP306" i="138" s="1"/>
  <c r="AQ306" i="138" s="1"/>
  <c r="AR306" i="138" s="1"/>
  <c r="AS306" i="138" s="1"/>
  <c r="AT306" i="138" s="1"/>
  <c r="T305" i="138"/>
  <c r="L316" i="138"/>
  <c r="J318" i="138"/>
  <c r="AG307" i="138" s="1"/>
  <c r="AD310" i="138"/>
  <c r="AA316" i="138"/>
  <c r="S93" i="138"/>
  <c r="R94" i="138" s="1"/>
  <c r="T93" i="138"/>
  <c r="DT154" i="132"/>
  <c r="U154" i="132"/>
  <c r="S367" i="132"/>
  <c r="BT154" i="132"/>
  <c r="N135" i="148"/>
  <c r="M67" i="148" s="1"/>
  <c r="N66" i="148"/>
  <c r="L628" i="131"/>
  <c r="H135" i="148"/>
  <c r="N103" i="132"/>
  <c r="G491" i="105"/>
  <c r="O104" i="132"/>
  <c r="I492" i="105" s="1"/>
  <c r="J492" i="105" s="1"/>
  <c r="K492" i="105" s="1"/>
  <c r="L492" i="105" s="1"/>
  <c r="M492" i="105" s="1"/>
  <c r="N492" i="105" s="1"/>
  <c r="O492" i="105" s="1"/>
  <c r="C376" i="148" s="1"/>
  <c r="H492" i="105"/>
  <c r="S277" i="138"/>
  <c r="K289" i="138"/>
  <c r="D130" i="138"/>
  <c r="C131" i="138" s="1"/>
  <c r="E130" i="138"/>
  <c r="S166" i="138"/>
  <c r="R167" i="138" s="1"/>
  <c r="T166" i="138"/>
  <c r="AE166" i="138"/>
  <c r="AD167" i="138" s="1"/>
  <c r="AF166" i="138"/>
  <c r="W95" i="138"/>
  <c r="V95" i="138"/>
  <c r="U96" i="138" s="1"/>
  <c r="H143" i="133"/>
  <c r="J254" i="107" s="1"/>
  <c r="K343" i="105"/>
  <c r="H116" i="133"/>
  <c r="J255" i="107" s="1"/>
  <c r="D61" i="133"/>
  <c r="G206" i="105"/>
  <c r="F18" i="131"/>
  <c r="G17" i="131"/>
  <c r="AA101" i="133"/>
  <c r="T85" i="148" s="1"/>
  <c r="AC101" i="133"/>
  <c r="V85" i="148" s="1"/>
  <c r="H324" i="105"/>
  <c r="G260" i="107"/>
  <c r="E260" i="107" s="1"/>
  <c r="Z100" i="133"/>
  <c r="S84" i="148" s="1"/>
  <c r="W100" i="133"/>
  <c r="X100" i="133" s="1"/>
  <c r="G263" i="107"/>
  <c r="E263" i="107" s="1"/>
  <c r="Z103" i="133"/>
  <c r="S87" i="148" s="1"/>
  <c r="W103" i="133"/>
  <c r="X103" i="133" s="1"/>
  <c r="G271" i="107"/>
  <c r="Z111" i="133"/>
  <c r="S95" i="148" s="1"/>
  <c r="W111" i="133"/>
  <c r="X111" i="133" s="1"/>
  <c r="D36" i="105"/>
  <c r="AE929" i="162"/>
  <c r="AH929" i="162"/>
  <c r="K784" i="162"/>
  <c r="G36" i="105"/>
  <c r="AJ929" i="162"/>
  <c r="M784" i="162"/>
  <c r="I36" i="105"/>
  <c r="N36" i="105"/>
  <c r="AO929" i="162"/>
  <c r="AO931" i="162" s="1"/>
  <c r="R785" i="162" s="1"/>
  <c r="R784" i="162"/>
  <c r="H832" i="162"/>
  <c r="H834" i="162" s="1"/>
  <c r="H835" i="162" s="1"/>
  <c r="I832" i="162"/>
  <c r="I834" i="162" s="1"/>
  <c r="I835" i="162" s="1"/>
  <c r="J832" i="162"/>
  <c r="J834" i="162" s="1"/>
  <c r="J835" i="162" s="1"/>
  <c r="K832" i="162"/>
  <c r="K834" i="162" s="1"/>
  <c r="K835" i="162" s="1"/>
  <c r="L832" i="162"/>
  <c r="L834" i="162" s="1"/>
  <c r="L835" i="162" s="1"/>
  <c r="N832" i="162"/>
  <c r="N834" i="162" s="1"/>
  <c r="N835" i="162" s="1"/>
  <c r="O832" i="162"/>
  <c r="M832" i="162"/>
  <c r="M834" i="162" s="1"/>
  <c r="M835" i="162" s="1"/>
  <c r="P832" i="162"/>
  <c r="R832" i="162"/>
  <c r="R834" i="162" s="1"/>
  <c r="R835" i="162" s="1"/>
  <c r="Q832" i="162"/>
  <c r="Q834" i="162" s="1"/>
  <c r="Q835" i="162" s="1"/>
  <c r="S832" i="162"/>
  <c r="S834" i="162" s="1"/>
  <c r="S835" i="162" s="1"/>
  <c r="AY90" i="148"/>
  <c r="AZ90" i="148" s="1"/>
  <c r="AP90" i="148"/>
  <c r="AQ90" i="148" s="1"/>
  <c r="AJ81" i="148"/>
  <c r="AL81" i="148" s="1"/>
  <c r="AH81" i="148"/>
  <c r="AV81" i="148"/>
  <c r="AW81" i="148" s="1"/>
  <c r="AY81" i="148"/>
  <c r="AZ81" i="148" s="1"/>
  <c r="AP83" i="148"/>
  <c r="AQ83" i="148" s="1"/>
  <c r="AS83" i="148"/>
  <c r="AT83" i="148" s="1"/>
  <c r="G165" i="138"/>
  <c r="F166" i="138" s="1"/>
  <c r="H165" i="138"/>
  <c r="F116" i="128"/>
  <c r="I116" i="128"/>
  <c r="H116" i="128"/>
  <c r="G116" i="128"/>
  <c r="E116" i="128"/>
  <c r="F122" i="128"/>
  <c r="I122" i="128"/>
  <c r="H122" i="128"/>
  <c r="E122" i="128"/>
  <c r="G122" i="128"/>
  <c r="I117" i="128"/>
  <c r="F117" i="128"/>
  <c r="G117" i="128"/>
  <c r="E117" i="128"/>
  <c r="H117" i="128"/>
  <c r="H111" i="128"/>
  <c r="E111" i="128"/>
  <c r="G111" i="128"/>
  <c r="F111" i="128"/>
  <c r="E108" i="128"/>
  <c r="D123" i="128"/>
  <c r="F109" i="128"/>
  <c r="E109" i="128"/>
  <c r="AY82" i="148"/>
  <c r="AZ82" i="148" s="1"/>
  <c r="J469" i="105"/>
  <c r="I468" i="105"/>
  <c r="K246" i="133"/>
  <c r="AF288" i="138"/>
  <c r="V280" i="138" s="1"/>
  <c r="AE288" i="138"/>
  <c r="G130" i="138"/>
  <c r="F131" i="138" s="1"/>
  <c r="H130" i="138"/>
  <c r="N288" i="138"/>
  <c r="V277" i="138" s="1"/>
  <c r="M288" i="138"/>
  <c r="Y130" i="138"/>
  <c r="X131" i="138" s="1"/>
  <c r="Z130" i="138"/>
  <c r="AC168" i="138"/>
  <c r="AB168" i="138"/>
  <c r="AA169" i="138" s="1"/>
  <c r="AF95" i="138"/>
  <c r="AE95" i="138"/>
  <c r="AD96" i="138" s="1"/>
  <c r="P166" i="138"/>
  <c r="O167" i="138" s="1"/>
  <c r="Q166" i="138"/>
  <c r="S133" i="138"/>
  <c r="R134" i="138" s="1"/>
  <c r="T133" i="138"/>
  <c r="AE130" i="138"/>
  <c r="AD131" i="138" s="1"/>
  <c r="AF130" i="138"/>
  <c r="K143" i="133"/>
  <c r="M254" i="107" s="1"/>
  <c r="N343" i="105"/>
  <c r="F161" i="148"/>
  <c r="F163" i="148" s="1"/>
  <c r="G156" i="148"/>
  <c r="G159" i="148" s="1"/>
  <c r="G160" i="148" s="1"/>
  <c r="AF152" i="138"/>
  <c r="AC153" i="138" s="1"/>
  <c r="L341" i="105"/>
  <c r="T772" i="162"/>
  <c r="S810" i="162"/>
  <c r="AP930" i="162" s="1"/>
  <c r="Q810" i="162"/>
  <c r="AN930" i="162" s="1"/>
  <c r="N810" i="162"/>
  <c r="AK930" i="162" s="1"/>
  <c r="L810" i="162"/>
  <c r="AI930" i="162" s="1"/>
  <c r="J810" i="162"/>
  <c r="AG930" i="162" s="1"/>
  <c r="J773" i="162"/>
  <c r="P773" i="162"/>
  <c r="Q773" i="162"/>
  <c r="M773" i="162"/>
  <c r="I773" i="162"/>
  <c r="M15" i="219"/>
  <c r="AF117" i="138"/>
  <c r="AC118" i="138" s="1"/>
  <c r="AF118" i="138"/>
  <c r="AC119" i="138" s="1"/>
  <c r="I791" i="162"/>
  <c r="N791" i="162"/>
  <c r="Q791" i="162"/>
  <c r="AF153" i="138"/>
  <c r="AC154" i="138" s="1"/>
  <c r="R849" i="162"/>
  <c r="N849" i="162"/>
  <c r="L849" i="162"/>
  <c r="S849" i="162"/>
  <c r="O849" i="162"/>
  <c r="K849" i="162"/>
  <c r="Z289" i="138"/>
  <c r="Q341" i="105"/>
  <c r="H791" i="162"/>
  <c r="H793" i="162"/>
  <c r="G106" i="107" s="1"/>
  <c r="I793" i="162"/>
  <c r="H106" i="107" s="1"/>
  <c r="H212" i="107" s="1"/>
  <c r="D51" i="138"/>
  <c r="D54" i="138" s="1"/>
  <c r="AJ115" i="138"/>
  <c r="AK115" i="138" s="1"/>
  <c r="AL115" i="138" s="1"/>
  <c r="AM115" i="138" s="1"/>
  <c r="AN115" i="138" s="1"/>
  <c r="AO115" i="138" s="1"/>
  <c r="AP115" i="138" s="1"/>
  <c r="AQ115" i="138" s="1"/>
  <c r="AR115" i="138" s="1"/>
  <c r="AS115" i="138" s="1"/>
  <c r="AT115" i="138" s="1"/>
  <c r="E105" i="107"/>
  <c r="G66" i="148"/>
  <c r="K779" i="162" l="1"/>
  <c r="U75" i="132"/>
  <c r="G294" i="105" s="1"/>
  <c r="S793" i="162"/>
  <c r="R106" i="107" s="1"/>
  <c r="R212" i="107" s="1"/>
  <c r="AJ931" i="162"/>
  <c r="M785" i="162" s="1"/>
  <c r="H784" i="162"/>
  <c r="T788" i="162"/>
  <c r="AB101" i="133"/>
  <c r="U85" i="148" s="1"/>
  <c r="AA85" i="148" s="1"/>
  <c r="AK81" i="148"/>
  <c r="I778" i="162"/>
  <c r="R778" i="162"/>
  <c r="R779" i="162" s="1"/>
  <c r="F638" i="131"/>
  <c r="D638" i="131" s="1"/>
  <c r="E640" i="131" s="1"/>
  <c r="W138" i="133"/>
  <c r="X138" i="133" s="1"/>
  <c r="AB95" i="138"/>
  <c r="AA96" i="138" s="1"/>
  <c r="AC95" i="138"/>
  <c r="H318" i="138"/>
  <c r="AL68" i="132"/>
  <c r="BX54" i="132"/>
  <c r="CJ54" i="132" s="1"/>
  <c r="D441" i="105"/>
  <c r="K130" i="138"/>
  <c r="J130" i="138"/>
  <c r="I131" i="138" s="1"/>
  <c r="AE931" i="162"/>
  <c r="H785" i="162" s="1"/>
  <c r="G361" i="105"/>
  <c r="N779" i="162"/>
  <c r="AI68" i="132"/>
  <c r="AN91" i="148"/>
  <c r="N793" i="162"/>
  <c r="M106" i="107" s="1"/>
  <c r="M212" i="107" s="1"/>
  <c r="M166" i="138"/>
  <c r="L167" i="138" s="1"/>
  <c r="N166" i="138"/>
  <c r="D446" i="105"/>
  <c r="E98" i="132"/>
  <c r="AL75" i="132"/>
  <c r="AF102" i="128"/>
  <c r="AF280" i="138"/>
  <c r="J281" i="138" s="1"/>
  <c r="R102" i="128"/>
  <c r="D6" i="128" s="1"/>
  <c r="D7" i="128" s="1"/>
  <c r="D9" i="128" s="1"/>
  <c r="G436" i="131" s="1"/>
  <c r="G444" i="131" s="1"/>
  <c r="AL89" i="132"/>
  <c r="AB130" i="138"/>
  <c r="AA131" i="138" s="1"/>
  <c r="AC130" i="138"/>
  <c r="U279" i="138"/>
  <c r="W289" i="138"/>
  <c r="K96" i="138"/>
  <c r="J96" i="138"/>
  <c r="I97" i="138" s="1"/>
  <c r="AL61" i="132"/>
  <c r="F123" i="128"/>
  <c r="F124" i="128" s="1"/>
  <c r="H123" i="128"/>
  <c r="H124" i="128" s="1"/>
  <c r="J117" i="128"/>
  <c r="K117" i="128" s="1"/>
  <c r="AM81" i="148"/>
  <c r="AN81" i="148" s="1"/>
  <c r="AH931" i="162"/>
  <c r="K785" i="162" s="1"/>
  <c r="K789" i="162" s="1"/>
  <c r="T324" i="105"/>
  <c r="AB87" i="148"/>
  <c r="Q778" i="162"/>
  <c r="S778" i="162"/>
  <c r="S779" i="162" s="1"/>
  <c r="P778" i="162"/>
  <c r="L778" i="162"/>
  <c r="L779" i="162" s="1"/>
  <c r="J110" i="128"/>
  <c r="K110" i="128" s="1"/>
  <c r="J112" i="128"/>
  <c r="K112" i="128" s="1"/>
  <c r="J118" i="128"/>
  <c r="K118" i="128" s="1"/>
  <c r="AN87" i="148"/>
  <c r="AI61" i="132"/>
  <c r="AI75" i="132"/>
  <c r="AI98" i="132" s="1"/>
  <c r="AP102" i="128"/>
  <c r="AF281" i="138"/>
  <c r="AF279" i="138"/>
  <c r="J280" i="138" s="1"/>
  <c r="AF277" i="138"/>
  <c r="J278" i="138" s="1"/>
  <c r="E15" i="133"/>
  <c r="E16" i="133" s="1"/>
  <c r="W14" i="133"/>
  <c r="P104" i="107"/>
  <c r="H104" i="107"/>
  <c r="I794" i="162"/>
  <c r="M13" i="219"/>
  <c r="E205" i="107"/>
  <c r="F1045" i="162"/>
  <c r="G104" i="107"/>
  <c r="H794" i="162"/>
  <c r="M104" i="107"/>
  <c r="N794" i="162"/>
  <c r="G161" i="148"/>
  <c r="G163" i="148" s="1"/>
  <c r="H156" i="148"/>
  <c r="H159" i="148" s="1"/>
  <c r="H160" i="148" s="1"/>
  <c r="H161" i="148" s="1"/>
  <c r="H163" i="148" s="1"/>
  <c r="AE96" i="138"/>
  <c r="AD97" i="138" s="1"/>
  <c r="AF96" i="138"/>
  <c r="AB169" i="138"/>
  <c r="AA170" i="138" s="1"/>
  <c r="AC169" i="138"/>
  <c r="L246" i="133"/>
  <c r="J468" i="105"/>
  <c r="K469" i="105"/>
  <c r="G166" i="138"/>
  <c r="F167" i="138" s="1"/>
  <c r="H166" i="138"/>
  <c r="Q813" i="162"/>
  <c r="AN974" i="162"/>
  <c r="Q814" i="162" s="1"/>
  <c r="P793" i="162"/>
  <c r="P834" i="162"/>
  <c r="P835" i="162" s="1"/>
  <c r="O793" i="162"/>
  <c r="O834" i="162"/>
  <c r="O835" i="162" s="1"/>
  <c r="AI974" i="162"/>
  <c r="L814" i="162" s="1"/>
  <c r="L813" i="162"/>
  <c r="AG974" i="162"/>
  <c r="J814" i="162" s="1"/>
  <c r="J813" i="162"/>
  <c r="AE974" i="162"/>
  <c r="T835" i="162"/>
  <c r="H813" i="162"/>
  <c r="H327" i="105" s="1"/>
  <c r="H789" i="162"/>
  <c r="AM85" i="148"/>
  <c r="AJ85" i="148"/>
  <c r="AL85" i="148" s="1"/>
  <c r="AD85" i="148"/>
  <c r="AF85" i="148" s="1"/>
  <c r="AG85" i="148"/>
  <c r="AI85" i="148" s="1"/>
  <c r="G18" i="131"/>
  <c r="F19" i="131"/>
  <c r="V96" i="138"/>
  <c r="U97" i="138" s="1"/>
  <c r="W96" i="138"/>
  <c r="O135" i="148"/>
  <c r="N67" i="148" s="1"/>
  <c r="T94" i="138"/>
  <c r="S94" i="138"/>
  <c r="R95" i="138" s="1"/>
  <c r="N316" i="138"/>
  <c r="M316" i="138"/>
  <c r="L317" i="138" s="1"/>
  <c r="E108" i="133"/>
  <c r="Y108" i="133"/>
  <c r="I349" i="105"/>
  <c r="I352" i="105" s="1"/>
  <c r="E496" i="105" s="1"/>
  <c r="F342" i="105"/>
  <c r="H352" i="105"/>
  <c r="D496" i="105" s="1"/>
  <c r="G103" i="107"/>
  <c r="H838" i="162"/>
  <c r="G294" i="148"/>
  <c r="G296" i="148"/>
  <c r="C294" i="148"/>
  <c r="C296" i="148"/>
  <c r="E294" i="148"/>
  <c r="E296" i="148"/>
  <c r="H296" i="148"/>
  <c r="H294" i="148"/>
  <c r="D296" i="148"/>
  <c r="D294" i="148"/>
  <c r="E257" i="107"/>
  <c r="O143" i="133"/>
  <c r="Q254" i="107" s="1"/>
  <c r="R343" i="105"/>
  <c r="U24" i="133"/>
  <c r="U26" i="133" s="1"/>
  <c r="S24" i="133"/>
  <c r="S26" i="133" s="1"/>
  <c r="Q24" i="133"/>
  <c r="N24" i="133"/>
  <c r="N26" i="133" s="1"/>
  <c r="J143" i="133"/>
  <c r="L254" i="107" s="1"/>
  <c r="M343" i="105"/>
  <c r="AG25" i="138"/>
  <c r="F30" i="138" s="1"/>
  <c r="E362" i="148" s="1"/>
  <c r="E361" i="148" s="1"/>
  <c r="E360" i="148" s="1"/>
  <c r="E359" i="148" s="1"/>
  <c r="AL110" i="138"/>
  <c r="P13" i="219"/>
  <c r="G247" i="107"/>
  <c r="E52" i="133"/>
  <c r="T776" i="162"/>
  <c r="H778" i="162"/>
  <c r="H779" i="162" s="1"/>
  <c r="G45" i="132"/>
  <c r="H23" i="162"/>
  <c r="H36" i="162" s="1"/>
  <c r="AK76" i="138"/>
  <c r="H89" i="162"/>
  <c r="H15" i="162" s="1"/>
  <c r="J77" i="105"/>
  <c r="I81" i="107"/>
  <c r="I234" i="107"/>
  <c r="G149" i="131"/>
  <c r="P138" i="131"/>
  <c r="W47" i="132"/>
  <c r="D213" i="148"/>
  <c r="D214" i="148"/>
  <c r="D17" i="105"/>
  <c r="D18" i="105" s="1"/>
  <c r="G93" i="107"/>
  <c r="G651" i="107" s="1"/>
  <c r="R14" i="105"/>
  <c r="D16" i="138"/>
  <c r="D45" i="105"/>
  <c r="E96" i="162"/>
  <c r="G24" i="214"/>
  <c r="G194" i="107"/>
  <c r="E98" i="107"/>
  <c r="T278" i="138"/>
  <c r="O13" i="219"/>
  <c r="H13" i="219"/>
  <c r="BM47" i="132"/>
  <c r="K101" i="132"/>
  <c r="H16" i="213"/>
  <c r="H12" i="214"/>
  <c r="G2" i="162"/>
  <c r="G29" i="162"/>
  <c r="G46" i="162"/>
  <c r="G64" i="162"/>
  <c r="G83" i="162" s="1"/>
  <c r="K26" i="214"/>
  <c r="H518" i="105"/>
  <c r="K199" i="107"/>
  <c r="L104" i="107"/>
  <c r="N13" i="219"/>
  <c r="I13" i="219"/>
  <c r="E105" i="133"/>
  <c r="Y105" i="133"/>
  <c r="AM95" i="148"/>
  <c r="AD95" i="148"/>
  <c r="AF95" i="148" s="1"/>
  <c r="AG95" i="148"/>
  <c r="AI95" i="148" s="1"/>
  <c r="AJ95" i="148"/>
  <c r="AL95" i="148" s="1"/>
  <c r="AM84" i="148"/>
  <c r="AG84" i="148"/>
  <c r="AI84" i="148" s="1"/>
  <c r="AJ84" i="148"/>
  <c r="AL84" i="148" s="1"/>
  <c r="AD84" i="148"/>
  <c r="AF84" i="148" s="1"/>
  <c r="P288" i="138"/>
  <c r="Q288" i="138"/>
  <c r="U278" i="138" s="1"/>
  <c r="AB29" i="215"/>
  <c r="T981" i="162"/>
  <c r="T375" i="162" s="1"/>
  <c r="L24" i="133"/>
  <c r="L26" i="133" s="1"/>
  <c r="D166" i="138"/>
  <c r="C167" i="138" s="1"/>
  <c r="E166" i="138"/>
  <c r="D94" i="138"/>
  <c r="C95" i="138" s="1"/>
  <c r="E94" i="138"/>
  <c r="E110" i="133"/>
  <c r="Y110" i="133"/>
  <c r="AY80" i="148"/>
  <c r="AZ80" i="148" s="1"/>
  <c r="AD107" i="148"/>
  <c r="F1052" i="162"/>
  <c r="E204" i="107"/>
  <c r="O80" i="148"/>
  <c r="O83" i="148" s="1"/>
  <c r="W155" i="148" s="1"/>
  <c r="N80" i="148"/>
  <c r="N83" i="148" s="1"/>
  <c r="V155" i="148" s="1"/>
  <c r="M80" i="148"/>
  <c r="M83" i="148" s="1"/>
  <c r="U155" i="148" s="1"/>
  <c r="L80" i="148"/>
  <c r="L83" i="148" s="1"/>
  <c r="T155" i="148" s="1"/>
  <c r="K13" i="219"/>
  <c r="Y96" i="138"/>
  <c r="X97" i="138" s="1"/>
  <c r="Z96" i="138"/>
  <c r="J167" i="138"/>
  <c r="I168" i="138" s="1"/>
  <c r="K167" i="138"/>
  <c r="Q131" i="138"/>
  <c r="P131" i="138"/>
  <c r="O132" i="138" s="1"/>
  <c r="M95" i="138"/>
  <c r="L96" i="138" s="1"/>
  <c r="N95" i="138"/>
  <c r="M131" i="138"/>
  <c r="L132" i="138" s="1"/>
  <c r="N131" i="138"/>
  <c r="P316" i="138"/>
  <c r="O317" i="138" s="1"/>
  <c r="Q316" i="138"/>
  <c r="E112" i="133"/>
  <c r="Y112" i="133"/>
  <c r="AG100" i="148"/>
  <c r="AI100" i="148" s="1"/>
  <c r="AJ100" i="148"/>
  <c r="AL100" i="148" s="1"/>
  <c r="AD100" i="148"/>
  <c r="AF100" i="148" s="1"/>
  <c r="AM100" i="148"/>
  <c r="AN100" i="148" s="1"/>
  <c r="P143" i="133"/>
  <c r="R254" i="107" s="1"/>
  <c r="S343" i="105"/>
  <c r="N195" i="107"/>
  <c r="N197" i="107" s="1"/>
  <c r="J109" i="128"/>
  <c r="K109" i="128" s="1"/>
  <c r="J111" i="128"/>
  <c r="K111" i="128" s="1"/>
  <c r="J122" i="128"/>
  <c r="K122" i="128" s="1"/>
  <c r="J116" i="128"/>
  <c r="K116" i="128" s="1"/>
  <c r="AF310" i="138"/>
  <c r="Q784" i="162"/>
  <c r="AN931" i="162"/>
  <c r="Q785" i="162" s="1"/>
  <c r="Q328" i="105" s="1"/>
  <c r="AI931" i="162"/>
  <c r="L785" i="162" s="1"/>
  <c r="J784" i="162"/>
  <c r="Q779" i="162"/>
  <c r="P779" i="162"/>
  <c r="M793" i="162"/>
  <c r="L106" i="107" s="1"/>
  <c r="L212" i="107" s="1"/>
  <c r="AF115" i="138"/>
  <c r="AC116" i="138" s="1"/>
  <c r="G123" i="128"/>
  <c r="G124" i="128" s="1"/>
  <c r="I123" i="128"/>
  <c r="I124" i="128" s="1"/>
  <c r="J121" i="128"/>
  <c r="K121" i="128" s="1"/>
  <c r="J855" i="162"/>
  <c r="P855" i="162"/>
  <c r="H855" i="162"/>
  <c r="Q855" i="162"/>
  <c r="M855" i="162"/>
  <c r="I855" i="162"/>
  <c r="N784" i="162"/>
  <c r="I784" i="162"/>
  <c r="AB111" i="133"/>
  <c r="U95" i="148" s="1"/>
  <c r="AA95" i="148" s="1"/>
  <c r="AB100" i="133"/>
  <c r="U84" i="148" s="1"/>
  <c r="AA84" i="148" s="1"/>
  <c r="AJ87" i="148"/>
  <c r="AL87" i="148" s="1"/>
  <c r="AM931" i="162"/>
  <c r="P785" i="162" s="1"/>
  <c r="O784" i="162"/>
  <c r="AL931" i="162"/>
  <c r="O785" i="162" s="1"/>
  <c r="T777" i="162"/>
  <c r="L793" i="162"/>
  <c r="D57" i="138"/>
  <c r="G32" i="219"/>
  <c r="G212" i="107"/>
  <c r="AE131" i="138"/>
  <c r="AD132" i="138" s="1"/>
  <c r="AF131" i="138"/>
  <c r="S134" i="138"/>
  <c r="R135" i="138" s="1"/>
  <c r="T134" i="138"/>
  <c r="P167" i="138"/>
  <c r="O168" i="138" s="1"/>
  <c r="Q167" i="138"/>
  <c r="Z131" i="138"/>
  <c r="Y131" i="138"/>
  <c r="X132" i="138" s="1"/>
  <c r="G131" i="138"/>
  <c r="F132" i="138" s="1"/>
  <c r="H131" i="138"/>
  <c r="E123" i="128"/>
  <c r="E124" i="128" s="1"/>
  <c r="J108" i="128"/>
  <c r="S813" i="162"/>
  <c r="AP974" i="162"/>
  <c r="S814" i="162" s="1"/>
  <c r="AO974" i="162"/>
  <c r="R814" i="162" s="1"/>
  <c r="R328" i="105" s="1"/>
  <c r="R813" i="162"/>
  <c r="M813" i="162"/>
  <c r="M327" i="105" s="1"/>
  <c r="AJ974" i="162"/>
  <c r="M814" i="162" s="1"/>
  <c r="M328" i="105" s="1"/>
  <c r="AK974" i="162"/>
  <c r="N814" i="162" s="1"/>
  <c r="N813" i="162"/>
  <c r="K813" i="162"/>
  <c r="AH974" i="162"/>
  <c r="K814" i="162" s="1"/>
  <c r="I813" i="162"/>
  <c r="AF974" i="162"/>
  <c r="I814" i="162" s="1"/>
  <c r="R789" i="162"/>
  <c r="R327" i="105"/>
  <c r="M789" i="162"/>
  <c r="G20" i="219"/>
  <c r="E271" i="107"/>
  <c r="AK85" i="148"/>
  <c r="AB85" i="148"/>
  <c r="AE85" i="148"/>
  <c r="AH85" i="148"/>
  <c r="F5" i="131"/>
  <c r="F3" i="131" s="1"/>
  <c r="J148" i="131"/>
  <c r="D96" i="133"/>
  <c r="J13" i="219"/>
  <c r="AE167" i="138"/>
  <c r="AD168" i="138" s="1"/>
  <c r="AF167" i="138"/>
  <c r="S167" i="138"/>
  <c r="R168" i="138" s="1"/>
  <c r="T167" i="138"/>
  <c r="D131" i="138"/>
  <c r="C132" i="138" s="1"/>
  <c r="E131" i="138"/>
  <c r="O103" i="132"/>
  <c r="H491" i="105"/>
  <c r="DV154" i="132"/>
  <c r="BV154" i="132"/>
  <c r="U367" i="132"/>
  <c r="W154" i="132"/>
  <c r="AB316" i="138"/>
  <c r="AA317" i="138" s="1"/>
  <c r="AC316" i="138"/>
  <c r="V102" i="148"/>
  <c r="T102" i="148"/>
  <c r="U337" i="105"/>
  <c r="S110" i="148" s="1"/>
  <c r="K294" i="148"/>
  <c r="K296" i="148"/>
  <c r="I294" i="148"/>
  <c r="I296" i="148"/>
  <c r="J296" i="148"/>
  <c r="J294" i="148"/>
  <c r="F296" i="148"/>
  <c r="F294" i="148"/>
  <c r="V24" i="133"/>
  <c r="V26" i="133" s="1"/>
  <c r="V213" i="133"/>
  <c r="T24" i="133"/>
  <c r="T26" i="133" s="1"/>
  <c r="R24" i="133"/>
  <c r="R26" i="133" s="1"/>
  <c r="P24" i="133"/>
  <c r="P26" i="133" s="1"/>
  <c r="P94" i="138"/>
  <c r="O95" i="138" s="1"/>
  <c r="Q94" i="138"/>
  <c r="M27" i="133"/>
  <c r="M228" i="133"/>
  <c r="G21" i="219"/>
  <c r="AC107" i="148"/>
  <c r="AV80" i="148"/>
  <c r="AW80" i="148" s="1"/>
  <c r="AA107" i="148"/>
  <c r="AP80" i="148"/>
  <c r="AQ80" i="148" s="1"/>
  <c r="E189" i="107"/>
  <c r="F83" i="107"/>
  <c r="F186" i="107" s="1"/>
  <c r="F87" i="107"/>
  <c r="F187" i="107" s="1"/>
  <c r="F84" i="107"/>
  <c r="F85" i="107"/>
  <c r="G34" i="131"/>
  <c r="G674" i="131"/>
  <c r="F100" i="148" s="1"/>
  <c r="I674" i="131"/>
  <c r="H100" i="148" s="1"/>
  <c r="F674" i="131"/>
  <c r="E100" i="148" s="1"/>
  <c r="H674" i="131"/>
  <c r="G100" i="148" s="1"/>
  <c r="D31" i="105"/>
  <c r="D27" i="105" s="1"/>
  <c r="D25" i="105"/>
  <c r="D23" i="105" s="1"/>
  <c r="P8" i="105"/>
  <c r="R13" i="105" s="1"/>
  <c r="H130" i="105"/>
  <c r="F130" i="105" s="1"/>
  <c r="F129" i="105"/>
  <c r="Y113" i="133"/>
  <c r="E113" i="133"/>
  <c r="Y106" i="133"/>
  <c r="E106" i="133"/>
  <c r="W316" i="138"/>
  <c r="V316" i="138"/>
  <c r="U317" i="138" s="1"/>
  <c r="T316" i="138"/>
  <c r="S316" i="138"/>
  <c r="R317" i="138" s="1"/>
  <c r="S288" i="138"/>
  <c r="T288" i="138"/>
  <c r="V278" i="138" s="1"/>
  <c r="G94" i="138"/>
  <c r="F95" i="138" s="1"/>
  <c r="H94" i="138"/>
  <c r="G283" i="105"/>
  <c r="G287" i="105"/>
  <c r="G291" i="105"/>
  <c r="G303" i="105"/>
  <c r="G306" i="105"/>
  <c r="U98" i="132"/>
  <c r="J102" i="132" s="1"/>
  <c r="E275" i="107"/>
  <c r="F2" i="133"/>
  <c r="F163" i="133" s="1"/>
  <c r="H268" i="105"/>
  <c r="I393" i="105"/>
  <c r="H280" i="105"/>
  <c r="H184" i="107"/>
  <c r="H191" i="107" s="1"/>
  <c r="H201" i="107" s="1"/>
  <c r="H210" i="107" s="1"/>
  <c r="H91" i="107"/>
  <c r="H142" i="107"/>
  <c r="AJ112" i="138"/>
  <c r="AJ87" i="138"/>
  <c r="X109" i="132"/>
  <c r="F90" i="132"/>
  <c r="F91" i="132"/>
  <c r="F92" i="132"/>
  <c r="F93" i="132"/>
  <c r="F94" i="132"/>
  <c r="F95" i="132"/>
  <c r="F83" i="132"/>
  <c r="F84" i="132"/>
  <c r="F85" i="132"/>
  <c r="F86" i="132"/>
  <c r="F87" i="132"/>
  <c r="F88" i="132"/>
  <c r="F76" i="132"/>
  <c r="F77" i="132"/>
  <c r="F78" i="132"/>
  <c r="F79" i="132"/>
  <c r="F80" i="132"/>
  <c r="F81" i="132"/>
  <c r="F69" i="132"/>
  <c r="F70" i="132"/>
  <c r="F71" i="132"/>
  <c r="F72" i="132"/>
  <c r="F73" i="132"/>
  <c r="F74" i="132"/>
  <c r="F62" i="132"/>
  <c r="F63" i="132"/>
  <c r="F64" i="132"/>
  <c r="F65" i="132"/>
  <c r="F66" i="132"/>
  <c r="F67" i="132"/>
  <c r="F55" i="132"/>
  <c r="F56" i="132"/>
  <c r="F57" i="132"/>
  <c r="F58" i="132"/>
  <c r="F59" i="132"/>
  <c r="F60" i="132"/>
  <c r="F48" i="132"/>
  <c r="F49" i="132"/>
  <c r="F50" i="132"/>
  <c r="F51" i="132"/>
  <c r="F52" i="132"/>
  <c r="F53" i="132"/>
  <c r="Q26" i="214"/>
  <c r="N518" i="105"/>
  <c r="Q199" i="107"/>
  <c r="I195" i="107"/>
  <c r="I197" i="107" s="1"/>
  <c r="H333" i="105"/>
  <c r="H842" i="162"/>
  <c r="R104" i="107"/>
  <c r="S794" i="162"/>
  <c r="J104" i="107"/>
  <c r="V167" i="138"/>
  <c r="U168" i="138" s="1"/>
  <c r="W167" i="138"/>
  <c r="V134" i="138"/>
  <c r="U135" i="138" s="1"/>
  <c r="W134" i="138"/>
  <c r="AK95" i="148"/>
  <c r="AB95" i="148"/>
  <c r="AE95" i="148"/>
  <c r="AH95" i="148"/>
  <c r="AK84" i="148"/>
  <c r="AB84" i="148"/>
  <c r="AE84" i="148"/>
  <c r="AH84" i="148"/>
  <c r="G295" i="105"/>
  <c r="G299" i="105"/>
  <c r="E6" i="131"/>
  <c r="H41" i="133"/>
  <c r="H46" i="133" s="1"/>
  <c r="H47" i="133" s="1"/>
  <c r="J249" i="107" s="1"/>
  <c r="G473" i="105" s="1"/>
  <c r="G472" i="105" s="1"/>
  <c r="Y109" i="133"/>
  <c r="E109" i="133"/>
  <c r="Y99" i="133"/>
  <c r="E99" i="133"/>
  <c r="AF316" i="138"/>
  <c r="AE316" i="138"/>
  <c r="AD317" i="138" s="1"/>
  <c r="K316" i="138"/>
  <c r="J316" i="138"/>
  <c r="I317" i="138" s="1"/>
  <c r="S278" i="138"/>
  <c r="Q289" i="138"/>
  <c r="G281" i="107"/>
  <c r="G437" i="131"/>
  <c r="D14" i="128"/>
  <c r="D17" i="128" s="1"/>
  <c r="D447" i="105" s="1"/>
  <c r="D18" i="128"/>
  <c r="D439" i="105" s="1"/>
  <c r="D435" i="105" s="1"/>
  <c r="AJ17" i="138"/>
  <c r="AK6" i="138"/>
  <c r="AS80" i="148"/>
  <c r="AT80" i="148" s="1"/>
  <c r="AB107" i="148"/>
  <c r="E108" i="107"/>
  <c r="G653" i="107"/>
  <c r="H152" i="105"/>
  <c r="F152" i="105" s="1"/>
  <c r="H153" i="105"/>
  <c r="F151" i="105"/>
  <c r="F93" i="105"/>
  <c r="H90" i="105"/>
  <c r="F94" i="105"/>
  <c r="C22" i="148" s="1"/>
  <c r="C25" i="148" s="1"/>
  <c r="H78" i="105"/>
  <c r="T93" i="105"/>
  <c r="Y167" i="138"/>
  <c r="X168" i="138" s="1"/>
  <c r="Z167" i="138"/>
  <c r="Y316" i="138"/>
  <c r="X317" i="138" s="1"/>
  <c r="Z316" i="138"/>
  <c r="O195" i="107"/>
  <c r="O197" i="107" s="1"/>
  <c r="AF306" i="138"/>
  <c r="J307" i="138" s="1"/>
  <c r="AO309" i="138"/>
  <c r="AF309" i="138" s="1"/>
  <c r="J310" i="138" s="1"/>
  <c r="J119" i="128"/>
  <c r="K119" i="128" s="1"/>
  <c r="T773" i="162"/>
  <c r="L784" i="162"/>
  <c r="AG931" i="162"/>
  <c r="J785" i="162" s="1"/>
  <c r="M779" i="162"/>
  <c r="I779" i="162"/>
  <c r="J779" i="162"/>
  <c r="R793" i="162"/>
  <c r="K793" i="162"/>
  <c r="J106" i="107" s="1"/>
  <c r="J212" i="107" s="1"/>
  <c r="AF116" i="138"/>
  <c r="AC117" i="138" s="1"/>
  <c r="N289" i="138"/>
  <c r="AF289" i="138"/>
  <c r="J113" i="128"/>
  <c r="K113" i="128" s="1"/>
  <c r="J120" i="128"/>
  <c r="K120" i="128" s="1"/>
  <c r="D58" i="138"/>
  <c r="R855" i="162"/>
  <c r="N855" i="162"/>
  <c r="L855" i="162"/>
  <c r="S855" i="162"/>
  <c r="O855" i="162"/>
  <c r="K855" i="162"/>
  <c r="S784" i="162"/>
  <c r="AP931" i="162"/>
  <c r="S785" i="162" s="1"/>
  <c r="S328" i="105" s="1"/>
  <c r="AK931" i="162"/>
  <c r="N785" i="162" s="1"/>
  <c r="N328" i="105" s="1"/>
  <c r="AF931" i="162"/>
  <c r="I785" i="162" s="1"/>
  <c r="I328" i="105" s="1"/>
  <c r="AB103" i="133"/>
  <c r="U87" i="148" s="1"/>
  <c r="AA87" i="148" s="1"/>
  <c r="AL308" i="138"/>
  <c r="AO308" i="138" s="1"/>
  <c r="AR308" i="138" s="1"/>
  <c r="AK307" i="138"/>
  <c r="AM307" i="138" s="1"/>
  <c r="AO307" i="138" s="1"/>
  <c r="AQ307" i="138" s="1"/>
  <c r="AS307" i="138" s="1"/>
  <c r="AH87" i="148"/>
  <c r="AB97" i="133"/>
  <c r="U81" i="148" s="1"/>
  <c r="AA81" i="148" s="1"/>
  <c r="AC81" i="148" s="1"/>
  <c r="P784" i="162"/>
  <c r="AC289" i="138"/>
  <c r="O24" i="133"/>
  <c r="O26" i="133" s="1"/>
  <c r="AB115" i="133"/>
  <c r="U100" i="148" s="1"/>
  <c r="AA100" i="148" s="1"/>
  <c r="AC100" i="148" s="1"/>
  <c r="J114" i="128"/>
  <c r="K114" i="128" s="1"/>
  <c r="J115" i="128"/>
  <c r="K115" i="128" s="1"/>
  <c r="J793" i="162"/>
  <c r="Q793" i="162"/>
  <c r="P106" i="107" s="1"/>
  <c r="P212" i="107" s="1"/>
  <c r="W143" i="133" l="1"/>
  <c r="J328" i="105"/>
  <c r="J131" i="138"/>
  <c r="I132" i="138" s="1"/>
  <c r="K131" i="138"/>
  <c r="K328" i="105"/>
  <c r="AC85" i="148"/>
  <c r="AC96" i="138"/>
  <c r="AB96" i="138"/>
  <c r="AA97" i="138" s="1"/>
  <c r="AC87" i="148"/>
  <c r="D440" i="105"/>
  <c r="L328" i="105"/>
  <c r="E254" i="107"/>
  <c r="J97" i="138"/>
  <c r="I98" i="138" s="1"/>
  <c r="K97" i="138"/>
  <c r="M167" i="138"/>
  <c r="L168" i="138" s="1"/>
  <c r="N167" i="138"/>
  <c r="AL98" i="132"/>
  <c r="AB131" i="138"/>
  <c r="AA132" i="138" s="1"/>
  <c r="AC131" i="138"/>
  <c r="I106" i="107"/>
  <c r="J794" i="162"/>
  <c r="O27" i="133"/>
  <c r="O228" i="133"/>
  <c r="P789" i="162"/>
  <c r="S789" i="162"/>
  <c r="S327" i="105"/>
  <c r="AL1025" i="162"/>
  <c r="O998" i="162" s="1"/>
  <c r="O997" i="162"/>
  <c r="L997" i="162"/>
  <c r="AI1025" i="162"/>
  <c r="L998" i="162" s="1"/>
  <c r="R997" i="162"/>
  <c r="AO1025" i="162"/>
  <c r="R998" i="162" s="1"/>
  <c r="Q106" i="107"/>
  <c r="R794" i="162"/>
  <c r="Z317" i="138"/>
  <c r="V308" i="138" s="1"/>
  <c r="Y317" i="138"/>
  <c r="Y168" i="138"/>
  <c r="X169" i="138" s="1"/>
  <c r="Z168" i="138"/>
  <c r="U78" i="105"/>
  <c r="F78" i="105"/>
  <c r="E653" i="107"/>
  <c r="F1048" i="162"/>
  <c r="J317" i="138"/>
  <c r="K317" i="138"/>
  <c r="U306" i="138" s="1"/>
  <c r="AE317" i="138"/>
  <c r="AF317" i="138"/>
  <c r="V309" i="138" s="1"/>
  <c r="G259" i="107"/>
  <c r="E259" i="107" s="1"/>
  <c r="Z99" i="133"/>
  <c r="S83" i="148" s="1"/>
  <c r="W99" i="133"/>
  <c r="X99" i="133" s="1"/>
  <c r="G269" i="107"/>
  <c r="E269" i="107" s="1"/>
  <c r="Z109" i="133"/>
  <c r="S93" i="148" s="1"/>
  <c r="W109" i="133"/>
  <c r="X109" i="133" s="1"/>
  <c r="J195" i="107"/>
  <c r="J197" i="107" s="1"/>
  <c r="J102" i="107"/>
  <c r="R195" i="107"/>
  <c r="R197" i="107" s="1"/>
  <c r="R102" i="107"/>
  <c r="E81" i="133"/>
  <c r="H343" i="105"/>
  <c r="I26" i="214"/>
  <c r="F518" i="105"/>
  <c r="I199" i="107"/>
  <c r="S65" i="128"/>
  <c r="BY53" i="132"/>
  <c r="S63" i="128"/>
  <c r="BY51" i="132"/>
  <c r="S61" i="128"/>
  <c r="BY49" i="132"/>
  <c r="S71" i="128"/>
  <c r="BY60" i="132"/>
  <c r="S69" i="128"/>
  <c r="BY58" i="132"/>
  <c r="S67" i="128"/>
  <c r="BY56" i="132"/>
  <c r="S77" i="128"/>
  <c r="BY67" i="132"/>
  <c r="BY65" i="132"/>
  <c r="S75" i="128"/>
  <c r="S73" i="128"/>
  <c r="BY63" i="132"/>
  <c r="BY74" i="132"/>
  <c r="S83" i="128"/>
  <c r="S81" i="128"/>
  <c r="BY72" i="132"/>
  <c r="S79" i="128"/>
  <c r="BY70" i="132"/>
  <c r="BY81" i="132"/>
  <c r="S89" i="128"/>
  <c r="BY79" i="132"/>
  <c r="S87" i="128"/>
  <c r="S85" i="128"/>
  <c r="BY77" i="132"/>
  <c r="S95" i="128"/>
  <c r="BY88" i="132"/>
  <c r="S93" i="128"/>
  <c r="BY86" i="132"/>
  <c r="S91" i="128"/>
  <c r="BY84" i="132"/>
  <c r="S101" i="128"/>
  <c r="BY95" i="132"/>
  <c r="S99" i="128"/>
  <c r="BY93" i="132"/>
  <c r="S97" i="128"/>
  <c r="BY91" i="132"/>
  <c r="X152" i="132"/>
  <c r="X151" i="132"/>
  <c r="X150" i="132"/>
  <c r="X149" i="132"/>
  <c r="X148" i="132"/>
  <c r="X147" i="132"/>
  <c r="X146" i="132"/>
  <c r="X145" i="132"/>
  <c r="X144" i="132"/>
  <c r="X143" i="132"/>
  <c r="X142" i="132"/>
  <c r="X140" i="132"/>
  <c r="X139" i="132"/>
  <c r="X138" i="132"/>
  <c r="X137" i="132"/>
  <c r="X136" i="132"/>
  <c r="X135" i="132"/>
  <c r="X134" i="132"/>
  <c r="X133" i="132"/>
  <c r="X132" i="132"/>
  <c r="X131" i="132"/>
  <c r="X130" i="132"/>
  <c r="X129" i="132"/>
  <c r="X128" i="132"/>
  <c r="X127" i="132"/>
  <c r="X126" i="132"/>
  <c r="X125" i="132"/>
  <c r="X124" i="132"/>
  <c r="X123" i="132"/>
  <c r="X122" i="132"/>
  <c r="X121" i="132"/>
  <c r="X120" i="132"/>
  <c r="X119" i="132"/>
  <c r="X118" i="132"/>
  <c r="X117" i="132"/>
  <c r="X116" i="132"/>
  <c r="X115" i="132"/>
  <c r="X114" i="132"/>
  <c r="X141" i="132"/>
  <c r="X113" i="132"/>
  <c r="X112" i="132"/>
  <c r="X111" i="132"/>
  <c r="J109" i="132"/>
  <c r="AM109" i="132"/>
  <c r="AJ93" i="138"/>
  <c r="AJ91" i="138"/>
  <c r="I394" i="105"/>
  <c r="I348" i="105"/>
  <c r="R163" i="133"/>
  <c r="C173" i="133"/>
  <c r="G307" i="105"/>
  <c r="G304" i="105"/>
  <c r="G292" i="105"/>
  <c r="G288" i="105"/>
  <c r="G284" i="105"/>
  <c r="H95" i="138"/>
  <c r="G95" i="138"/>
  <c r="F96" i="138" s="1"/>
  <c r="T307" i="138"/>
  <c r="S308" i="138"/>
  <c r="AA106" i="133"/>
  <c r="T90" i="148" s="1"/>
  <c r="AC106" i="133"/>
  <c r="V90" i="148" s="1"/>
  <c r="AA113" i="133"/>
  <c r="T98" i="148" s="1"/>
  <c r="AC113" i="133"/>
  <c r="V98" i="148" s="1"/>
  <c r="T109" i="148"/>
  <c r="E99" i="148"/>
  <c r="E126" i="148" s="1"/>
  <c r="E128" i="148" s="1"/>
  <c r="G1042" i="162"/>
  <c r="G1041" i="162" s="1"/>
  <c r="G1067" i="162" s="1"/>
  <c r="I1042" i="162"/>
  <c r="I1041" i="162" s="1"/>
  <c r="I1067" i="162" s="1"/>
  <c r="F99" i="148"/>
  <c r="F126" i="148" s="1"/>
  <c r="F128" i="148" s="1"/>
  <c r="U109" i="148"/>
  <c r="F206" i="107"/>
  <c r="F220" i="107"/>
  <c r="F197" i="107"/>
  <c r="F195" i="107"/>
  <c r="F193" i="107"/>
  <c r="F208" i="107"/>
  <c r="F204" i="107"/>
  <c r="F216" i="107"/>
  <c r="F214" i="107"/>
  <c r="F212" i="107"/>
  <c r="F218" i="107"/>
  <c r="F24" i="214"/>
  <c r="F199" i="107"/>
  <c r="F196" i="107"/>
  <c r="F194" i="107"/>
  <c r="F203" i="107"/>
  <c r="F205" i="107"/>
  <c r="F222" i="107"/>
  <c r="F215" i="107"/>
  <c r="F213" i="107"/>
  <c r="F223" i="107"/>
  <c r="P228" i="133"/>
  <c r="P27" i="133"/>
  <c r="V229" i="133"/>
  <c r="V230" i="133" s="1"/>
  <c r="AC317" i="138"/>
  <c r="U309" i="138" s="1"/>
  <c r="AB317" i="138"/>
  <c r="P103" i="132"/>
  <c r="I491" i="105"/>
  <c r="E132" i="138"/>
  <c r="D132" i="138"/>
  <c r="C133" i="138" s="1"/>
  <c r="T168" i="138"/>
  <c r="S168" i="138"/>
  <c r="R169" i="138" s="1"/>
  <c r="AE168" i="138"/>
  <c r="AD169" i="138" s="1"/>
  <c r="AF168" i="138"/>
  <c r="D127" i="133"/>
  <c r="D157" i="133" s="1"/>
  <c r="F6" i="131"/>
  <c r="I41" i="133"/>
  <c r="I46" i="133" s="1"/>
  <c r="I47" i="133" s="1"/>
  <c r="K249" i="107" s="1"/>
  <c r="H473" i="105" s="1"/>
  <c r="H472" i="105" s="1"/>
  <c r="I818" i="162"/>
  <c r="E38" i="105"/>
  <c r="K818" i="162"/>
  <c r="G38" i="105"/>
  <c r="M818" i="162"/>
  <c r="I38" i="105"/>
  <c r="S818" i="162"/>
  <c r="O38" i="105"/>
  <c r="G132" i="138"/>
  <c r="F133" i="138" s="1"/>
  <c r="H132" i="138"/>
  <c r="Q168" i="138"/>
  <c r="P168" i="138"/>
  <c r="O169" i="138" s="1"/>
  <c r="S135" i="138"/>
  <c r="R136" i="138" s="1"/>
  <c r="T135" i="138"/>
  <c r="AF132" i="138"/>
  <c r="AE132" i="138"/>
  <c r="AD133" i="138" s="1"/>
  <c r="K106" i="107"/>
  <c r="L794" i="162"/>
  <c r="I789" i="162"/>
  <c r="I327" i="105"/>
  <c r="AF1025" i="162"/>
  <c r="I998" i="162" s="1"/>
  <c r="I997" i="162"/>
  <c r="AN1025" i="162"/>
  <c r="Q998" i="162" s="1"/>
  <c r="Q997" i="162"/>
  <c r="P997" i="162"/>
  <c r="AM1025" i="162"/>
  <c r="P998" i="162" s="1"/>
  <c r="Q789" i="162"/>
  <c r="Q327" i="105"/>
  <c r="AA112" i="133"/>
  <c r="T97" i="148" s="1"/>
  <c r="AC112" i="133"/>
  <c r="V97" i="148" s="1"/>
  <c r="S307" i="138"/>
  <c r="Q132" i="138"/>
  <c r="P132" i="138"/>
  <c r="O133" i="138" s="1"/>
  <c r="T171" i="148"/>
  <c r="T157" i="148"/>
  <c r="V171" i="148"/>
  <c r="V157" i="148"/>
  <c r="AA110" i="133"/>
  <c r="T94" i="148" s="1"/>
  <c r="AC110" i="133"/>
  <c r="V94" i="148" s="1"/>
  <c r="G265" i="107"/>
  <c r="E265" i="107" s="1"/>
  <c r="Z105" i="133"/>
  <c r="S89" i="148" s="1"/>
  <c r="W105" i="133"/>
  <c r="X105" i="133" s="1"/>
  <c r="L195" i="107"/>
  <c r="L197" i="107" s="1"/>
  <c r="L102" i="107"/>
  <c r="H206" i="162"/>
  <c r="H207" i="162" s="1"/>
  <c r="G105" i="162"/>
  <c r="G142" i="162" s="1"/>
  <c r="G143" i="162" s="1"/>
  <c r="H23" i="214"/>
  <c r="H25" i="214" s="1"/>
  <c r="H6" i="214"/>
  <c r="H9" i="213"/>
  <c r="G214" i="148"/>
  <c r="G216" i="148" s="1"/>
  <c r="G68" i="148" s="1"/>
  <c r="F214" i="148"/>
  <c r="F216" i="148" s="1"/>
  <c r="F68" i="148" s="1"/>
  <c r="E214" i="148"/>
  <c r="E216" i="148" s="1"/>
  <c r="E68" i="148" s="1"/>
  <c r="H214" i="148"/>
  <c r="H216" i="148" s="1"/>
  <c r="H68" i="148" s="1"/>
  <c r="BN47" i="132"/>
  <c r="L101" i="132"/>
  <c r="I184" i="107"/>
  <c r="I191" i="107" s="1"/>
  <c r="I201" i="107" s="1"/>
  <c r="I210" i="107" s="1"/>
  <c r="I142" i="107"/>
  <c r="I91" i="107"/>
  <c r="I16" i="213"/>
  <c r="I12" i="214"/>
  <c r="H2" i="162"/>
  <c r="H29" i="162"/>
  <c r="H46" i="162"/>
  <c r="H64" i="162"/>
  <c r="H83" i="162" s="1"/>
  <c r="AH25" i="138"/>
  <c r="G30" i="138" s="1"/>
  <c r="F362" i="148" s="1"/>
  <c r="F361" i="148" s="1"/>
  <c r="F360" i="148" s="1"/>
  <c r="F359" i="148" s="1"/>
  <c r="AM110" i="138"/>
  <c r="AI25" i="138" s="1"/>
  <c r="H30" i="138" s="1"/>
  <c r="G362" i="148" s="1"/>
  <c r="G361" i="148" s="1"/>
  <c r="G360" i="148" s="1"/>
  <c r="G359" i="148" s="1"/>
  <c r="H843" i="162"/>
  <c r="T843" i="162" s="1"/>
  <c r="T838" i="162"/>
  <c r="G856" i="162" s="1"/>
  <c r="F145" i="133"/>
  <c r="V349" i="105"/>
  <c r="W349" i="105" s="1"/>
  <c r="Y349" i="105"/>
  <c r="G268" i="107"/>
  <c r="Z108" i="133"/>
  <c r="S92" i="148" s="1"/>
  <c r="W108" i="133"/>
  <c r="X108" i="133" s="1"/>
  <c r="T306" i="138"/>
  <c r="V97" i="138"/>
  <c r="U98" i="138" s="1"/>
  <c r="W97" i="138"/>
  <c r="G5" i="131"/>
  <c r="G3" i="131" s="1"/>
  <c r="J149" i="131"/>
  <c r="J818" i="162"/>
  <c r="F38" i="105"/>
  <c r="L818" i="162"/>
  <c r="H38" i="105"/>
  <c r="O813" i="162"/>
  <c r="O327" i="105" s="1"/>
  <c r="AL974" i="162"/>
  <c r="O814" i="162" s="1"/>
  <c r="AM974" i="162"/>
  <c r="P814" i="162" s="1"/>
  <c r="P328" i="105" s="1"/>
  <c r="P813" i="162"/>
  <c r="P327" i="105" s="1"/>
  <c r="L469" i="105"/>
  <c r="K468" i="105"/>
  <c r="M246" i="133"/>
  <c r="AB170" i="138"/>
  <c r="AA171" i="138" s="1"/>
  <c r="AC170" i="138"/>
  <c r="AF97" i="138"/>
  <c r="AE97" i="138"/>
  <c r="AD98" i="138" s="1"/>
  <c r="M195" i="107"/>
  <c r="M197" i="107" s="1"/>
  <c r="M102" i="107"/>
  <c r="E104" i="107"/>
  <c r="G195" i="107"/>
  <c r="H102" i="107"/>
  <c r="H195" i="107"/>
  <c r="H197" i="107" s="1"/>
  <c r="P195" i="107"/>
  <c r="P197" i="107" s="1"/>
  <c r="P102" i="107"/>
  <c r="E17" i="133"/>
  <c r="F18" i="133"/>
  <c r="G19" i="133"/>
  <c r="H20" i="133"/>
  <c r="J22" i="133"/>
  <c r="I21" i="133"/>
  <c r="K23" i="133"/>
  <c r="D16" i="128"/>
  <c r="G133" i="107" s="1"/>
  <c r="H131" i="105"/>
  <c r="O328" i="105"/>
  <c r="AC84" i="148"/>
  <c r="AF308" i="138"/>
  <c r="J309" i="138" s="1"/>
  <c r="AN84" i="148"/>
  <c r="AN95" i="148"/>
  <c r="T289" i="138"/>
  <c r="AN85" i="148"/>
  <c r="AH1025" i="162"/>
  <c r="K998" i="162" s="1"/>
  <c r="K997" i="162"/>
  <c r="AP1025" i="162"/>
  <c r="S998" i="162" s="1"/>
  <c r="S997" i="162"/>
  <c r="N997" i="162"/>
  <c r="AK1025" i="162"/>
  <c r="N998" i="162" s="1"/>
  <c r="D59" i="138"/>
  <c r="D19" i="138" s="1"/>
  <c r="G139" i="107" s="1"/>
  <c r="D487" i="105"/>
  <c r="D485" i="105" s="1"/>
  <c r="L789" i="162"/>
  <c r="L327" i="105"/>
  <c r="O26" i="214"/>
  <c r="L518" i="105"/>
  <c r="O199" i="107"/>
  <c r="T308" i="138"/>
  <c r="D28" i="148"/>
  <c r="D35" i="148"/>
  <c r="D33" i="148"/>
  <c r="D23" i="148"/>
  <c r="D36" i="148"/>
  <c r="D34" i="148"/>
  <c r="D24" i="148"/>
  <c r="D22" i="148"/>
  <c r="E67" i="133"/>
  <c r="F153" i="105"/>
  <c r="AL6" i="138"/>
  <c r="AK17" i="138"/>
  <c r="G22" i="219"/>
  <c r="S306" i="138"/>
  <c r="K318" i="138"/>
  <c r="AF318" i="138"/>
  <c r="T309" i="138"/>
  <c r="AB99" i="133"/>
  <c r="U83" i="148" s="1"/>
  <c r="AA83" i="148" s="1"/>
  <c r="AA99" i="133"/>
  <c r="T83" i="148" s="1"/>
  <c r="AC99" i="133"/>
  <c r="V83" i="148" s="1"/>
  <c r="AA109" i="133"/>
  <c r="T93" i="148" s="1"/>
  <c r="AC109" i="133"/>
  <c r="V93" i="148" s="1"/>
  <c r="H45" i="132"/>
  <c r="I23" i="162"/>
  <c r="I36" i="162" s="1"/>
  <c r="AL76" i="138"/>
  <c r="I89" i="162"/>
  <c r="I15" i="162" s="1"/>
  <c r="J81" i="107"/>
  <c r="J234" i="107"/>
  <c r="G150" i="131"/>
  <c r="P139" i="131"/>
  <c r="K77" i="105"/>
  <c r="X47" i="132"/>
  <c r="G300" i="105"/>
  <c r="G296" i="105"/>
  <c r="V135" i="138"/>
  <c r="U136" i="138" s="1"/>
  <c r="W135" i="138"/>
  <c r="W168" i="138"/>
  <c r="V168" i="138"/>
  <c r="U169" i="138" s="1"/>
  <c r="H331" i="105"/>
  <c r="T842" i="162"/>
  <c r="I844" i="162" s="1"/>
  <c r="Q27" i="214"/>
  <c r="N519" i="105"/>
  <c r="S64" i="128"/>
  <c r="BY52" i="132"/>
  <c r="S62" i="128"/>
  <c r="BY50" i="132"/>
  <c r="S60" i="128"/>
  <c r="F54" i="132"/>
  <c r="E441" i="105" s="1"/>
  <c r="BY48" i="132"/>
  <c r="S70" i="128"/>
  <c r="BY59" i="132"/>
  <c r="S68" i="128"/>
  <c r="BY57" i="132"/>
  <c r="S66" i="128"/>
  <c r="F61" i="132"/>
  <c r="E442" i="105" s="1"/>
  <c r="BY55" i="132"/>
  <c r="S76" i="128"/>
  <c r="BY66" i="132"/>
  <c r="BY64" i="132"/>
  <c r="S74" i="128"/>
  <c r="S72" i="128"/>
  <c r="F68" i="132"/>
  <c r="E443" i="105" s="1"/>
  <c r="BY62" i="132"/>
  <c r="BY73" i="132"/>
  <c r="S82" i="128"/>
  <c r="S80" i="128"/>
  <c r="BY71" i="132"/>
  <c r="S78" i="128"/>
  <c r="F75" i="132"/>
  <c r="E444" i="105" s="1"/>
  <c r="BY69" i="132"/>
  <c r="BY80" i="132"/>
  <c r="S88" i="128"/>
  <c r="BY78" i="132"/>
  <c r="S86" i="128"/>
  <c r="S84" i="128"/>
  <c r="F82" i="132"/>
  <c r="E445" i="105" s="1"/>
  <c r="BY76" i="132"/>
  <c r="S94" i="128"/>
  <c r="BY87" i="132"/>
  <c r="S92" i="128"/>
  <c r="BY85" i="132"/>
  <c r="BY83" i="132"/>
  <c r="S90" i="128"/>
  <c r="F89" i="132"/>
  <c r="E446" i="105" s="1"/>
  <c r="S100" i="128"/>
  <c r="BY94" i="132"/>
  <c r="S98" i="128"/>
  <c r="BY92" i="132"/>
  <c r="S96" i="128"/>
  <c r="F96" i="132"/>
  <c r="BY90" i="132"/>
  <c r="AJ148" i="138"/>
  <c r="AJ123" i="138"/>
  <c r="I417" i="105"/>
  <c r="I347" i="105"/>
  <c r="D490" i="105"/>
  <c r="S317" i="138"/>
  <c r="T317" i="138"/>
  <c r="V307" i="138" s="1"/>
  <c r="V317" i="138"/>
  <c r="W317" i="138"/>
  <c r="U308" i="138" s="1"/>
  <c r="G266" i="107"/>
  <c r="E266" i="107" s="1"/>
  <c r="Z106" i="133"/>
  <c r="S90" i="148" s="1"/>
  <c r="W106" i="133"/>
  <c r="X106" i="133" s="1"/>
  <c r="G273" i="107"/>
  <c r="E273" i="107" s="1"/>
  <c r="Z113" i="133"/>
  <c r="S98" i="148" s="1"/>
  <c r="W113" i="133"/>
  <c r="X113" i="133" s="1"/>
  <c r="K1042" i="162"/>
  <c r="K1041" i="162" s="1"/>
  <c r="K1067" i="162" s="1"/>
  <c r="V109" i="148"/>
  <c r="G99" i="148"/>
  <c r="G126" i="148" s="1"/>
  <c r="G128" i="148" s="1"/>
  <c r="M1042" i="162"/>
  <c r="M1041" i="162" s="1"/>
  <c r="M1067" i="162" s="1"/>
  <c r="H99" i="148"/>
  <c r="H126" i="148" s="1"/>
  <c r="H128" i="148" s="1"/>
  <c r="W109" i="148"/>
  <c r="O241" i="107"/>
  <c r="O242" i="107" s="1"/>
  <c r="M28" i="133" s="1"/>
  <c r="M29" i="133" s="1"/>
  <c r="P95" i="138"/>
  <c r="O96" i="138" s="1"/>
  <c r="Q95" i="138"/>
  <c r="R228" i="133"/>
  <c r="R27" i="133"/>
  <c r="T228" i="133"/>
  <c r="T27" i="133"/>
  <c r="V228" i="133"/>
  <c r="V27" i="133"/>
  <c r="T110" i="148"/>
  <c r="U110" i="148"/>
  <c r="V110" i="148"/>
  <c r="W110" i="148"/>
  <c r="AC318" i="138"/>
  <c r="S309" i="138"/>
  <c r="Y154" i="132"/>
  <c r="DX154" i="132"/>
  <c r="W367" i="132"/>
  <c r="BX154" i="132"/>
  <c r="N818" i="162"/>
  <c r="J38" i="105"/>
  <c r="R818" i="162"/>
  <c r="N38" i="105"/>
  <c r="K108" i="128"/>
  <c r="K123" i="128" s="1"/>
  <c r="J123" i="128"/>
  <c r="Y132" i="138"/>
  <c r="X133" i="138" s="1"/>
  <c r="Z132" i="138"/>
  <c r="O789" i="162"/>
  <c r="N789" i="162"/>
  <c r="N327" i="105"/>
  <c r="AJ1025" i="162"/>
  <c r="M998" i="162" s="1"/>
  <c r="M997" i="162"/>
  <c r="T855" i="162"/>
  <c r="H997" i="162"/>
  <c r="AE1025" i="162"/>
  <c r="H998" i="162" s="1"/>
  <c r="J997" i="162"/>
  <c r="AG1025" i="162"/>
  <c r="J998" i="162" s="1"/>
  <c r="J789" i="162"/>
  <c r="J327" i="105"/>
  <c r="N26" i="214"/>
  <c r="K518" i="105"/>
  <c r="N199" i="107"/>
  <c r="R13" i="219"/>
  <c r="G272" i="107"/>
  <c r="E272" i="107" s="1"/>
  <c r="Z112" i="133"/>
  <c r="S97" i="148" s="1"/>
  <c r="W112" i="133"/>
  <c r="X112" i="133" s="1"/>
  <c r="Q317" i="138"/>
  <c r="U307" i="138" s="1"/>
  <c r="P317" i="138"/>
  <c r="N132" i="138"/>
  <c r="M132" i="138"/>
  <c r="L133" i="138" s="1"/>
  <c r="M96" i="138"/>
  <c r="L97" i="138" s="1"/>
  <c r="N96" i="138"/>
  <c r="K168" i="138"/>
  <c r="J168" i="138"/>
  <c r="I169" i="138" s="1"/>
  <c r="Y97" i="138"/>
  <c r="X98" i="138" s="1"/>
  <c r="Z97" i="138"/>
  <c r="U171" i="148"/>
  <c r="U157" i="148"/>
  <c r="W171" i="148"/>
  <c r="W157" i="148"/>
  <c r="G270" i="107"/>
  <c r="Z110" i="133"/>
  <c r="S94" i="148" s="1"/>
  <c r="W110" i="133"/>
  <c r="X110" i="133" s="1"/>
  <c r="D95" i="138"/>
  <c r="C96" i="138" s="1"/>
  <c r="E95" i="138"/>
  <c r="D167" i="138"/>
  <c r="C168" i="138" s="1"/>
  <c r="E167" i="138"/>
  <c r="L27" i="133"/>
  <c r="L228" i="133"/>
  <c r="AB105" i="133"/>
  <c r="U89" i="148" s="1"/>
  <c r="AA89" i="148" s="1"/>
  <c r="AA105" i="133"/>
  <c r="T89" i="148" s="1"/>
  <c r="AC105" i="133"/>
  <c r="V89" i="148" s="1"/>
  <c r="K27" i="214"/>
  <c r="H519" i="105"/>
  <c r="E433" i="105"/>
  <c r="E465" i="105" s="1"/>
  <c r="G56" i="162"/>
  <c r="H4" i="219"/>
  <c r="H29" i="219" s="1"/>
  <c r="E516" i="105"/>
  <c r="E194" i="107"/>
  <c r="F1037" i="162"/>
  <c r="E93" i="107"/>
  <c r="E193" i="107" s="1"/>
  <c r="G193" i="107"/>
  <c r="H418" i="105"/>
  <c r="D19" i="105"/>
  <c r="G213" i="148"/>
  <c r="F213" i="148"/>
  <c r="E213" i="148"/>
  <c r="H213" i="148"/>
  <c r="G2" i="133"/>
  <c r="G163" i="133" s="1"/>
  <c r="J393" i="105"/>
  <c r="I280" i="105"/>
  <c r="I268" i="105"/>
  <c r="AK112" i="138"/>
  <c r="AK87" i="138"/>
  <c r="Y109" i="132"/>
  <c r="G90" i="132"/>
  <c r="G91" i="132"/>
  <c r="T97" i="128" s="1"/>
  <c r="G92" i="132"/>
  <c r="G93" i="132"/>
  <c r="T99" i="128" s="1"/>
  <c r="G94" i="132"/>
  <c r="T100" i="128" s="1"/>
  <c r="G95" i="132"/>
  <c r="T101" i="128" s="1"/>
  <c r="G83" i="132"/>
  <c r="G84" i="132"/>
  <c r="T91" i="128" s="1"/>
  <c r="G85" i="132"/>
  <c r="G86" i="132"/>
  <c r="T93" i="128" s="1"/>
  <c r="G87" i="132"/>
  <c r="G88" i="132"/>
  <c r="T95" i="128" s="1"/>
  <c r="G76" i="132"/>
  <c r="G77" i="132"/>
  <c r="T85" i="128" s="1"/>
  <c r="G78" i="132"/>
  <c r="G79" i="132"/>
  <c r="T87" i="128" s="1"/>
  <c r="G80" i="132"/>
  <c r="G81" i="132"/>
  <c r="T89" i="128" s="1"/>
  <c r="G69" i="132"/>
  <c r="G70" i="132"/>
  <c r="T79" i="128" s="1"/>
  <c r="G71" i="132"/>
  <c r="G72" i="132"/>
  <c r="T81" i="128" s="1"/>
  <c r="G73" i="132"/>
  <c r="T82" i="128" s="1"/>
  <c r="G74" i="132"/>
  <c r="T83" i="128" s="1"/>
  <c r="G62" i="132"/>
  <c r="G63" i="132"/>
  <c r="T73" i="128" s="1"/>
  <c r="G64" i="132"/>
  <c r="G65" i="132"/>
  <c r="T75" i="128" s="1"/>
  <c r="G66" i="132"/>
  <c r="T76" i="128" s="1"/>
  <c r="G67" i="132"/>
  <c r="T77" i="128" s="1"/>
  <c r="G55" i="132"/>
  <c r="G56" i="132"/>
  <c r="T67" i="128" s="1"/>
  <c r="G57" i="132"/>
  <c r="G58" i="132"/>
  <c r="T69" i="128" s="1"/>
  <c r="G59" i="132"/>
  <c r="G60" i="132"/>
  <c r="T71" i="128" s="1"/>
  <c r="G48" i="132"/>
  <c r="G49" i="132"/>
  <c r="T61" i="128" s="1"/>
  <c r="G50" i="132"/>
  <c r="T62" i="128" s="1"/>
  <c r="G51" i="132"/>
  <c r="T63" i="128" s="1"/>
  <c r="G52" i="132"/>
  <c r="G53" i="132"/>
  <c r="T65" i="128" s="1"/>
  <c r="G244" i="107"/>
  <c r="L13" i="219"/>
  <c r="N27" i="133"/>
  <c r="N228" i="133"/>
  <c r="G6" i="133"/>
  <c r="Q26" i="133"/>
  <c r="S228" i="133"/>
  <c r="S27" i="133"/>
  <c r="U228" i="133"/>
  <c r="U27" i="133"/>
  <c r="Q13" i="219"/>
  <c r="G102" i="107"/>
  <c r="E103" i="107"/>
  <c r="G206" i="107"/>
  <c r="G208" i="107" s="1"/>
  <c r="G28" i="214" s="1"/>
  <c r="D38" i="105"/>
  <c r="H334" i="105"/>
  <c r="G78" i="214"/>
  <c r="F78" i="214" s="1"/>
  <c r="AB108" i="133"/>
  <c r="U92" i="148" s="1"/>
  <c r="AA92" i="148" s="1"/>
  <c r="AA108" i="133"/>
  <c r="T92" i="148" s="1"/>
  <c r="AC108" i="133"/>
  <c r="V92" i="148" s="1"/>
  <c r="M317" i="138"/>
  <c r="N317" i="138"/>
  <c r="V306" i="138" s="1"/>
  <c r="S95" i="138"/>
  <c r="R96" i="138" s="1"/>
  <c r="T95" i="138"/>
  <c r="F20" i="131"/>
  <c r="G19" i="131"/>
  <c r="H5" i="131" s="1"/>
  <c r="H3" i="131" s="1"/>
  <c r="H814" i="162"/>
  <c r="H328" i="105" s="1"/>
  <c r="N106" i="107"/>
  <c r="O794" i="162"/>
  <c r="O106" i="107"/>
  <c r="P794" i="162"/>
  <c r="Q818" i="162"/>
  <c r="M38" i="105"/>
  <c r="H167" i="138"/>
  <c r="G167" i="138"/>
  <c r="F168" i="138" s="1"/>
  <c r="AF307" i="138"/>
  <c r="J308" i="138" s="1"/>
  <c r="K794" i="162"/>
  <c r="D57" i="105"/>
  <c r="AC95" i="148"/>
  <c r="M794" i="162"/>
  <c r="T778" i="162"/>
  <c r="T779" i="162" s="1"/>
  <c r="I781" i="162" s="1"/>
  <c r="T784" i="162"/>
  <c r="K327" i="105"/>
  <c r="T794" i="162"/>
  <c r="Q794" i="162"/>
  <c r="X14" i="133"/>
  <c r="V231" i="133" l="1"/>
  <c r="V232" i="133" s="1"/>
  <c r="V234" i="133" s="1"/>
  <c r="T98" i="128"/>
  <c r="AB109" i="133"/>
  <c r="U93" i="148" s="1"/>
  <c r="AA93" i="148" s="1"/>
  <c r="AB97" i="138"/>
  <c r="AA98" i="138" s="1"/>
  <c r="AC97" i="138"/>
  <c r="J132" i="138"/>
  <c r="I133" i="138" s="1"/>
  <c r="K132" i="138"/>
  <c r="T64" i="128"/>
  <c r="AQ974" i="162"/>
  <c r="AR971" i="162" s="1"/>
  <c r="T813" i="162"/>
  <c r="T70" i="128"/>
  <c r="T68" i="128"/>
  <c r="T74" i="128"/>
  <c r="T80" i="128"/>
  <c r="T88" i="128"/>
  <c r="T86" i="128"/>
  <c r="T94" i="128"/>
  <c r="T92" i="128"/>
  <c r="G197" i="107"/>
  <c r="D518" i="105" s="1"/>
  <c r="Z318" i="138"/>
  <c r="N168" i="138"/>
  <c r="M168" i="138"/>
  <c r="L169" i="138" s="1"/>
  <c r="K98" i="138"/>
  <c r="J98" i="138"/>
  <c r="I99" i="138" s="1"/>
  <c r="T328" i="105"/>
  <c r="U330" i="105" s="1"/>
  <c r="S115" i="148" s="1"/>
  <c r="AC132" i="138"/>
  <c r="AB132" i="138"/>
  <c r="AA133" i="138" s="1"/>
  <c r="T789" i="162"/>
  <c r="I790" i="162" s="1"/>
  <c r="V111" i="148"/>
  <c r="V112" i="148" s="1"/>
  <c r="V113" i="148" s="1"/>
  <c r="Y101" i="148" s="1"/>
  <c r="T793" i="162"/>
  <c r="I795" i="162" s="1"/>
  <c r="P37" i="105"/>
  <c r="O212" i="107"/>
  <c r="O102" i="107"/>
  <c r="N212" i="107"/>
  <c r="N102" i="107"/>
  <c r="U335" i="105"/>
  <c r="R103" i="148" s="1"/>
  <c r="G20" i="131"/>
  <c r="I5" i="131" s="1"/>
  <c r="I3" i="131" s="1"/>
  <c r="F21" i="131"/>
  <c r="T96" i="138"/>
  <c r="S96" i="138"/>
  <c r="R97" i="138" s="1"/>
  <c r="AE92" i="148"/>
  <c r="AK92" i="148"/>
  <c r="AB92" i="148"/>
  <c r="AH92" i="148"/>
  <c r="D35" i="105"/>
  <c r="E206" i="107"/>
  <c r="E208" i="107" s="1"/>
  <c r="E674" i="131"/>
  <c r="F1042" i="162"/>
  <c r="S28" i="133"/>
  <c r="S30" i="133" s="1"/>
  <c r="Q228" i="133"/>
  <c r="Q27" i="133"/>
  <c r="G9" i="219"/>
  <c r="Y152" i="132"/>
  <c r="Y151" i="132"/>
  <c r="Y150" i="132"/>
  <c r="Y149" i="132"/>
  <c r="Y148" i="132"/>
  <c r="Y147" i="132"/>
  <c r="Y146" i="132"/>
  <c r="Y145" i="132"/>
  <c r="Y144" i="132"/>
  <c r="Y143" i="132"/>
  <c r="Y142" i="132"/>
  <c r="Y141" i="132"/>
  <c r="Y140" i="132"/>
  <c r="Y138" i="132"/>
  <c r="Y136" i="132"/>
  <c r="Y134" i="132"/>
  <c r="Y132" i="132"/>
  <c r="Y130" i="132"/>
  <c r="Y128" i="132"/>
  <c r="Y126" i="132"/>
  <c r="Y124" i="132"/>
  <c r="Y122" i="132"/>
  <c r="Y120" i="132"/>
  <c r="Y118" i="132"/>
  <c r="Y116" i="132"/>
  <c r="Y114" i="132"/>
  <c r="Y113" i="132"/>
  <c r="Y112" i="132"/>
  <c r="Y111" i="132"/>
  <c r="Y139" i="132"/>
  <c r="Y137" i="132"/>
  <c r="Y135" i="132"/>
  <c r="Y133" i="132"/>
  <c r="Y131" i="132"/>
  <c r="Y129" i="132"/>
  <c r="Y127" i="132"/>
  <c r="Y125" i="132"/>
  <c r="Y123" i="132"/>
  <c r="Y121" i="132"/>
  <c r="Y119" i="132"/>
  <c r="Y117" i="132"/>
  <c r="Y115" i="132"/>
  <c r="K109" i="132"/>
  <c r="AN109" i="132"/>
  <c r="AK148" i="138"/>
  <c r="AK123" i="138"/>
  <c r="J417" i="105"/>
  <c r="J347" i="105"/>
  <c r="C177" i="133"/>
  <c r="S163" i="133"/>
  <c r="E217" i="148"/>
  <c r="E71" i="148" s="1"/>
  <c r="E215" i="148"/>
  <c r="G215" i="148"/>
  <c r="G217" i="148"/>
  <c r="G71" i="148" s="1"/>
  <c r="D20" i="105"/>
  <c r="F25" i="162"/>
  <c r="G26" i="214"/>
  <c r="G199" i="107"/>
  <c r="AD89" i="148"/>
  <c r="AF89" i="148" s="1"/>
  <c r="AJ89" i="148"/>
  <c r="AL89" i="148" s="1"/>
  <c r="AM89" i="148"/>
  <c r="AG89" i="148"/>
  <c r="AI89" i="148" s="1"/>
  <c r="N241" i="107"/>
  <c r="N242" i="107" s="1"/>
  <c r="L28" i="133" s="1"/>
  <c r="L29" i="133" s="1"/>
  <c r="D168" i="138"/>
  <c r="C169" i="138" s="1"/>
  <c r="E168" i="138"/>
  <c r="E96" i="138"/>
  <c r="D96" i="138"/>
  <c r="C97" i="138" s="1"/>
  <c r="W160" i="148"/>
  <c r="W162" i="148" s="1"/>
  <c r="U160" i="148"/>
  <c r="U162" i="148" s="1"/>
  <c r="K169" i="138"/>
  <c r="J169" i="138"/>
  <c r="I170" i="138" s="1"/>
  <c r="N133" i="138"/>
  <c r="M133" i="138"/>
  <c r="L134" i="138" s="1"/>
  <c r="Y133" i="138"/>
  <c r="X134" i="138" s="1"/>
  <c r="Z133" i="138"/>
  <c r="AA154" i="132"/>
  <c r="BZ154" i="132"/>
  <c r="Y367" i="132"/>
  <c r="DZ154" i="132"/>
  <c r="T28" i="133"/>
  <c r="T30" i="133" s="1"/>
  <c r="AJ274" i="138"/>
  <c r="AJ159" i="138"/>
  <c r="S103" i="128"/>
  <c r="E8" i="128" s="1"/>
  <c r="CK94" i="132"/>
  <c r="V94" i="132" s="1"/>
  <c r="BZ94" i="132"/>
  <c r="CK83" i="132"/>
  <c r="V83" i="132" s="1"/>
  <c r="BZ83" i="132"/>
  <c r="CK87" i="132"/>
  <c r="V87" i="132" s="1"/>
  <c r="BZ87" i="132"/>
  <c r="CK80" i="132"/>
  <c r="V80" i="132" s="1"/>
  <c r="BZ80" i="132"/>
  <c r="CK73" i="132"/>
  <c r="V73" i="132" s="1"/>
  <c r="BZ73" i="132"/>
  <c r="CK66" i="132"/>
  <c r="V66" i="132" s="1"/>
  <c r="BZ66" i="132"/>
  <c r="CK59" i="132"/>
  <c r="V59" i="132" s="1"/>
  <c r="BZ59" i="132"/>
  <c r="S102" i="128"/>
  <c r="E6" i="128" s="1"/>
  <c r="CK52" i="132"/>
  <c r="V52" i="132" s="1"/>
  <c r="BZ52" i="132"/>
  <c r="V169" i="138"/>
  <c r="U170" i="138" s="1"/>
  <c r="W169" i="138"/>
  <c r="BO47" i="132"/>
  <c r="M101" i="132"/>
  <c r="J16" i="213"/>
  <c r="J12" i="214"/>
  <c r="I2" i="162"/>
  <c r="I29" i="162"/>
  <c r="I46" i="162"/>
  <c r="I64" i="162"/>
  <c r="I83" i="162" s="1"/>
  <c r="AM93" i="148"/>
  <c r="AD93" i="148"/>
  <c r="AF93" i="148" s="1"/>
  <c r="AG93" i="148"/>
  <c r="AI93" i="148" s="1"/>
  <c r="AJ93" i="148"/>
  <c r="AL93" i="148" s="1"/>
  <c r="AE83" i="148"/>
  <c r="AK83" i="148"/>
  <c r="AH83" i="148"/>
  <c r="AB83" i="148"/>
  <c r="AC83" i="148" s="1"/>
  <c r="AM6" i="138"/>
  <c r="AM17" i="138" s="1"/>
  <c r="AL17" i="138"/>
  <c r="E102" i="133"/>
  <c r="Y102" i="133"/>
  <c r="G222" i="107"/>
  <c r="G31" i="214" s="1"/>
  <c r="D43" i="105"/>
  <c r="I169" i="133"/>
  <c r="W21" i="133"/>
  <c r="X21" i="133" s="1"/>
  <c r="I24" i="133"/>
  <c r="I26" i="133" s="1"/>
  <c r="H169" i="133"/>
  <c r="W20" i="133"/>
  <c r="X20" i="133" s="1"/>
  <c r="H24" i="133"/>
  <c r="H26" i="133" s="1"/>
  <c r="F169" i="133"/>
  <c r="W18" i="133"/>
  <c r="X18" i="133" s="1"/>
  <c r="F24" i="133"/>
  <c r="F26" i="133" s="1"/>
  <c r="Q344" i="105"/>
  <c r="Q345" i="105" s="1"/>
  <c r="P652" i="107"/>
  <c r="H26" i="214"/>
  <c r="E518" i="105"/>
  <c r="H199" i="107"/>
  <c r="N344" i="105"/>
  <c r="N345" i="105" s="1"/>
  <c r="M652" i="107"/>
  <c r="AE98" i="138"/>
  <c r="AD99" i="138" s="1"/>
  <c r="AF98" i="138"/>
  <c r="N246" i="133"/>
  <c r="L468" i="105"/>
  <c r="M469" i="105"/>
  <c r="O818" i="162"/>
  <c r="K38" i="105"/>
  <c r="G6" i="131"/>
  <c r="J41" i="133"/>
  <c r="J46" i="133" s="1"/>
  <c r="J47" i="133" s="1"/>
  <c r="L249" i="107" s="1"/>
  <c r="V98" i="138"/>
  <c r="U99" i="138" s="1"/>
  <c r="W98" i="138"/>
  <c r="H281" i="107"/>
  <c r="W145" i="133"/>
  <c r="X145" i="133" s="1"/>
  <c r="F433" i="105"/>
  <c r="F465" i="105" s="1"/>
  <c r="H56" i="162"/>
  <c r="I4" i="219"/>
  <c r="I29" i="219" s="1"/>
  <c r="F516" i="105"/>
  <c r="H74" i="148"/>
  <c r="H76" i="148"/>
  <c r="L630" i="131" s="1"/>
  <c r="F74" i="148"/>
  <c r="F76" i="148"/>
  <c r="H630" i="131" s="1"/>
  <c r="H217" i="162"/>
  <c r="F48" i="133" s="1"/>
  <c r="L26" i="214"/>
  <c r="I518" i="105"/>
  <c r="L199" i="107"/>
  <c r="AG94" i="148"/>
  <c r="AI94" i="148" s="1"/>
  <c r="AJ94" i="148"/>
  <c r="AL94" i="148" s="1"/>
  <c r="AD94" i="148"/>
  <c r="AF94" i="148" s="1"/>
  <c r="AM94" i="148"/>
  <c r="AK97" i="148"/>
  <c r="AB97" i="148"/>
  <c r="AH97" i="148"/>
  <c r="AE97" i="148"/>
  <c r="AE133" i="138"/>
  <c r="AD134" i="138" s="1"/>
  <c r="AF133" i="138"/>
  <c r="P169" i="138"/>
  <c r="O170" i="138" s="1"/>
  <c r="Q169" i="138"/>
  <c r="O57" i="105"/>
  <c r="O35" i="105"/>
  <c r="I57" i="105"/>
  <c r="I35" i="105"/>
  <c r="G57" i="105"/>
  <c r="G35" i="105"/>
  <c r="E57" i="105"/>
  <c r="E35" i="105"/>
  <c r="S169" i="138"/>
  <c r="R170" i="138" s="1"/>
  <c r="T169" i="138"/>
  <c r="E133" i="138"/>
  <c r="D133" i="138"/>
  <c r="C134" i="138" s="1"/>
  <c r="R241" i="107"/>
  <c r="R242" i="107" s="1"/>
  <c r="P28" i="133" s="1"/>
  <c r="P29" i="133" s="1"/>
  <c r="AM98" i="148"/>
  <c r="AG98" i="148"/>
  <c r="AI98" i="148" s="1"/>
  <c r="AJ98" i="148"/>
  <c r="AL98" i="148" s="1"/>
  <c r="AD98" i="148"/>
  <c r="AF98" i="148" s="1"/>
  <c r="AB90" i="148"/>
  <c r="AE90" i="148"/>
  <c r="AH90" i="148"/>
  <c r="AK90" i="148"/>
  <c r="G96" i="138"/>
  <c r="F97" i="138" s="1"/>
  <c r="H96" i="138"/>
  <c r="J357" i="105"/>
  <c r="G148" i="133" s="1"/>
  <c r="J350" i="105"/>
  <c r="G146" i="133" s="1"/>
  <c r="AJ92" i="138"/>
  <c r="J112" i="132"/>
  <c r="AU61" i="128" s="1"/>
  <c r="J114" i="132"/>
  <c r="AU63" i="128" s="1"/>
  <c r="J116" i="132"/>
  <c r="AU65" i="128" s="1"/>
  <c r="J118" i="132"/>
  <c r="AU67" i="128" s="1"/>
  <c r="J120" i="132"/>
  <c r="AU69" i="128" s="1"/>
  <c r="J122" i="132"/>
  <c r="AU71" i="128" s="1"/>
  <c r="J124" i="132"/>
  <c r="AU73" i="128" s="1"/>
  <c r="J126" i="132"/>
  <c r="AU75" i="128" s="1"/>
  <c r="J128" i="132"/>
  <c r="AU77" i="128" s="1"/>
  <c r="J130" i="132"/>
  <c r="AU79" i="128" s="1"/>
  <c r="J132" i="132"/>
  <c r="AU81" i="128" s="1"/>
  <c r="J134" i="132"/>
  <c r="AU83" i="128" s="1"/>
  <c r="J136" i="132"/>
  <c r="AU85" i="128" s="1"/>
  <c r="J138" i="132"/>
  <c r="AU87" i="128" s="1"/>
  <c r="J140" i="132"/>
  <c r="AU89" i="128" s="1"/>
  <c r="J142" i="132"/>
  <c r="AU91" i="128" s="1"/>
  <c r="J144" i="132"/>
  <c r="AU93" i="128" s="1"/>
  <c r="J146" i="132"/>
  <c r="AU95" i="128" s="1"/>
  <c r="J148" i="132"/>
  <c r="AU97" i="128" s="1"/>
  <c r="J150" i="132"/>
  <c r="AU99" i="128" s="1"/>
  <c r="J152" i="132"/>
  <c r="AU101" i="128" s="1"/>
  <c r="J111" i="132"/>
  <c r="J113" i="132"/>
  <c r="AU62" i="128" s="1"/>
  <c r="J115" i="132"/>
  <c r="AU64" i="128" s="1"/>
  <c r="J117" i="132"/>
  <c r="AU66" i="128" s="1"/>
  <c r="J119" i="132"/>
  <c r="AU68" i="128" s="1"/>
  <c r="J121" i="132"/>
  <c r="AU70" i="128" s="1"/>
  <c r="J123" i="132"/>
  <c r="AU72" i="128" s="1"/>
  <c r="J125" i="132"/>
  <c r="AU74" i="128" s="1"/>
  <c r="J127" i="132"/>
  <c r="AU76" i="128" s="1"/>
  <c r="J129" i="132"/>
  <c r="AU78" i="128" s="1"/>
  <c r="J131" i="132"/>
  <c r="AU80" i="128" s="1"/>
  <c r="J133" i="132"/>
  <c r="AU82" i="128" s="1"/>
  <c r="J135" i="132"/>
  <c r="AU84" i="128" s="1"/>
  <c r="J137" i="132"/>
  <c r="AU86" i="128" s="1"/>
  <c r="J139" i="132"/>
  <c r="AU88" i="128" s="1"/>
  <c r="J141" i="132"/>
  <c r="AU90" i="128" s="1"/>
  <c r="J143" i="132"/>
  <c r="AU92" i="128" s="1"/>
  <c r="J145" i="132"/>
  <c r="AU94" i="128" s="1"/>
  <c r="J147" i="132"/>
  <c r="AU96" i="128" s="1"/>
  <c r="J149" i="132"/>
  <c r="AU98" i="128" s="1"/>
  <c r="J151" i="132"/>
  <c r="AU100" i="128" s="1"/>
  <c r="CK93" i="132"/>
  <c r="V93" i="132" s="1"/>
  <c r="BZ93" i="132"/>
  <c r="CK84" i="132"/>
  <c r="V84" i="132" s="1"/>
  <c r="BZ84" i="132"/>
  <c r="CK88" i="132"/>
  <c r="V88" i="132" s="1"/>
  <c r="BZ88" i="132"/>
  <c r="CK79" i="132"/>
  <c r="V79" i="132" s="1"/>
  <c r="BZ79" i="132"/>
  <c r="CK70" i="132"/>
  <c r="V70" i="132" s="1"/>
  <c r="BZ70" i="132"/>
  <c r="CK74" i="132"/>
  <c r="V74" i="132" s="1"/>
  <c r="BZ74" i="132"/>
  <c r="CK65" i="132"/>
  <c r="V65" i="132" s="1"/>
  <c r="BZ65" i="132"/>
  <c r="CK56" i="132"/>
  <c r="V56" i="132" s="1"/>
  <c r="BZ56" i="132"/>
  <c r="CK60" i="132"/>
  <c r="V60" i="132" s="1"/>
  <c r="BZ60" i="132"/>
  <c r="CK51" i="132"/>
  <c r="V51" i="132" s="1"/>
  <c r="BZ51" i="132"/>
  <c r="I27" i="214"/>
  <c r="F519" i="105"/>
  <c r="E116" i="133"/>
  <c r="E130" i="133" s="1"/>
  <c r="Y116" i="133"/>
  <c r="R26" i="214"/>
  <c r="O518" i="105"/>
  <c r="R199" i="107"/>
  <c r="J26" i="214"/>
  <c r="G518" i="105"/>
  <c r="J199" i="107"/>
  <c r="R155" i="148"/>
  <c r="H818" i="162"/>
  <c r="AB110" i="133"/>
  <c r="U94" i="148" s="1"/>
  <c r="AA94" i="148" s="1"/>
  <c r="Q318" i="138"/>
  <c r="U111" i="148"/>
  <c r="AB113" i="133"/>
  <c r="U98" i="148" s="1"/>
  <c r="AA98" i="148" s="1"/>
  <c r="G168" i="138"/>
  <c r="F169" i="138" s="1"/>
  <c r="H168" i="138"/>
  <c r="M57" i="105"/>
  <c r="M35" i="105"/>
  <c r="H6" i="131"/>
  <c r="K41" i="133"/>
  <c r="K46" i="133" s="1"/>
  <c r="K47" i="133" s="1"/>
  <c r="M249" i="107" s="1"/>
  <c r="AD92" i="148"/>
  <c r="AF92" i="148" s="1"/>
  <c r="AJ92" i="148"/>
  <c r="AL92" i="148" s="1"/>
  <c r="AG92" i="148"/>
  <c r="AI92" i="148" s="1"/>
  <c r="AM92" i="148"/>
  <c r="AN92" i="148" s="1"/>
  <c r="H344" i="105"/>
  <c r="G652" i="107"/>
  <c r="U28" i="133"/>
  <c r="U29" i="133" s="1"/>
  <c r="P241" i="107"/>
  <c r="P242" i="107" s="1"/>
  <c r="N28" i="133" s="1"/>
  <c r="N29" i="133" s="1"/>
  <c r="T60" i="128"/>
  <c r="G54" i="132"/>
  <c r="F441" i="105" s="1"/>
  <c r="T66" i="128"/>
  <c r="G61" i="132"/>
  <c r="F442" i="105" s="1"/>
  <c r="T72" i="128"/>
  <c r="G68" i="132"/>
  <c r="F443" i="105" s="1"/>
  <c r="T78" i="128"/>
  <c r="G75" i="132"/>
  <c r="T84" i="128"/>
  <c r="G82" i="132"/>
  <c r="F445" i="105" s="1"/>
  <c r="T90" i="128"/>
  <c r="G89" i="132"/>
  <c r="F446" i="105" s="1"/>
  <c r="T96" i="128"/>
  <c r="T103" i="128" s="1"/>
  <c r="F8" i="128" s="1"/>
  <c r="G96" i="132"/>
  <c r="G98" i="132" s="1"/>
  <c r="AK93" i="138"/>
  <c r="AK91" i="138"/>
  <c r="G393" i="105"/>
  <c r="J348" i="105"/>
  <c r="H217" i="148"/>
  <c r="H71" i="148" s="1"/>
  <c r="H215" i="148"/>
  <c r="F215" i="148"/>
  <c r="F217" i="148"/>
  <c r="F71" i="148" s="1"/>
  <c r="T418" i="105"/>
  <c r="H420" i="105"/>
  <c r="T420" i="105" s="1"/>
  <c r="AH89" i="148"/>
  <c r="AK89" i="148"/>
  <c r="AE89" i="148"/>
  <c r="AB89" i="148"/>
  <c r="AC89" i="148" s="1"/>
  <c r="G19" i="219"/>
  <c r="E270" i="107"/>
  <c r="Y98" i="138"/>
  <c r="X99" i="138" s="1"/>
  <c r="Z98" i="138"/>
  <c r="M97" i="138"/>
  <c r="L98" i="138" s="1"/>
  <c r="N97" i="138"/>
  <c r="N27" i="214"/>
  <c r="K519" i="105"/>
  <c r="N57" i="105"/>
  <c r="N35" i="105"/>
  <c r="J57" i="105"/>
  <c r="J35" i="105"/>
  <c r="V28" i="133"/>
  <c r="V30" i="133" s="1"/>
  <c r="R28" i="133"/>
  <c r="R30" i="133" s="1"/>
  <c r="Q96" i="138"/>
  <c r="P96" i="138"/>
  <c r="O97" i="138" s="1"/>
  <c r="O129" i="107"/>
  <c r="O243" i="107"/>
  <c r="AJ129" i="138"/>
  <c r="AJ127" i="138"/>
  <c r="AJ128" i="138" s="1"/>
  <c r="CK90" i="132"/>
  <c r="V90" i="132" s="1"/>
  <c r="BZ90" i="132"/>
  <c r="F98" i="132"/>
  <c r="E436" i="105"/>
  <c r="CK92" i="132"/>
  <c r="V92" i="132" s="1"/>
  <c r="BZ92" i="132"/>
  <c r="CK85" i="132"/>
  <c r="V85" i="132" s="1"/>
  <c r="BZ85" i="132"/>
  <c r="CK76" i="132"/>
  <c r="V76" i="132" s="1"/>
  <c r="BZ76" i="132"/>
  <c r="CK78" i="132"/>
  <c r="V78" i="132" s="1"/>
  <c r="BZ78" i="132"/>
  <c r="CK69" i="132"/>
  <c r="V69" i="132" s="1"/>
  <c r="BZ69" i="132"/>
  <c r="CK71" i="132"/>
  <c r="V71" i="132" s="1"/>
  <c r="BZ71" i="132"/>
  <c r="CK62" i="132"/>
  <c r="V62" i="132" s="1"/>
  <c r="BZ62" i="132"/>
  <c r="CK64" i="132"/>
  <c r="V64" i="132" s="1"/>
  <c r="BZ64" i="132"/>
  <c r="CK55" i="132"/>
  <c r="V55" i="132" s="1"/>
  <c r="BZ55" i="132"/>
  <c r="CK57" i="132"/>
  <c r="V57" i="132" s="1"/>
  <c r="BZ57" i="132"/>
  <c r="CK48" i="132"/>
  <c r="V48" i="132" s="1"/>
  <c r="BZ48" i="132"/>
  <c r="CK50" i="132"/>
  <c r="V50" i="132" s="1"/>
  <c r="BZ50" i="132"/>
  <c r="H341" i="105"/>
  <c r="F341" i="105" s="1"/>
  <c r="T331" i="105"/>
  <c r="T337" i="105" s="1"/>
  <c r="V337" i="105" s="1"/>
  <c r="W136" i="138"/>
  <c r="V136" i="138"/>
  <c r="U137" i="138" s="1"/>
  <c r="K393" i="105"/>
  <c r="J268" i="105"/>
  <c r="H2" i="133"/>
  <c r="H163" i="133" s="1"/>
  <c r="T163" i="133" s="1"/>
  <c r="J280" i="105"/>
  <c r="J184" i="107"/>
  <c r="J191" i="107" s="1"/>
  <c r="J201" i="107" s="1"/>
  <c r="J210" i="107" s="1"/>
  <c r="J142" i="107"/>
  <c r="J91" i="107"/>
  <c r="AL112" i="138"/>
  <c r="AL87" i="138"/>
  <c r="Z109" i="132"/>
  <c r="H90" i="132"/>
  <c r="H91" i="132"/>
  <c r="U97" i="128" s="1"/>
  <c r="H92" i="132"/>
  <c r="U98" i="128" s="1"/>
  <c r="H93" i="132"/>
  <c r="U99" i="128" s="1"/>
  <c r="H94" i="132"/>
  <c r="U100" i="128" s="1"/>
  <c r="H95" i="132"/>
  <c r="U101" i="128" s="1"/>
  <c r="H83" i="132"/>
  <c r="H84" i="132"/>
  <c r="U91" i="128" s="1"/>
  <c r="H85" i="132"/>
  <c r="U92" i="128" s="1"/>
  <c r="H86" i="132"/>
  <c r="U93" i="128" s="1"/>
  <c r="H87" i="132"/>
  <c r="U94" i="128" s="1"/>
  <c r="H88" i="132"/>
  <c r="U95" i="128" s="1"/>
  <c r="H76" i="132"/>
  <c r="H77" i="132"/>
  <c r="U85" i="128" s="1"/>
  <c r="H78" i="132"/>
  <c r="U86" i="128" s="1"/>
  <c r="H79" i="132"/>
  <c r="U87" i="128" s="1"/>
  <c r="H80" i="132"/>
  <c r="U88" i="128" s="1"/>
  <c r="H81" i="132"/>
  <c r="U89" i="128" s="1"/>
  <c r="H69" i="132"/>
  <c r="H70" i="132"/>
  <c r="U79" i="128" s="1"/>
  <c r="H71" i="132"/>
  <c r="U80" i="128" s="1"/>
  <c r="H72" i="132"/>
  <c r="U81" i="128" s="1"/>
  <c r="H73" i="132"/>
  <c r="U82" i="128" s="1"/>
  <c r="H74" i="132"/>
  <c r="U83" i="128" s="1"/>
  <c r="H62" i="132"/>
  <c r="H63" i="132"/>
  <c r="U73" i="128" s="1"/>
  <c r="H64" i="132"/>
  <c r="U74" i="128" s="1"/>
  <c r="H65" i="132"/>
  <c r="U75" i="128" s="1"/>
  <c r="H66" i="132"/>
  <c r="U76" i="128" s="1"/>
  <c r="H67" i="132"/>
  <c r="U77" i="128" s="1"/>
  <c r="H55" i="132"/>
  <c r="H56" i="132"/>
  <c r="U67" i="128" s="1"/>
  <c r="H57" i="132"/>
  <c r="H58" i="132"/>
  <c r="U69" i="128" s="1"/>
  <c r="H59" i="132"/>
  <c r="U70" i="128" s="1"/>
  <c r="H60" i="132"/>
  <c r="U71" i="128" s="1"/>
  <c r="H48" i="132"/>
  <c r="H49" i="132"/>
  <c r="U61" i="128" s="1"/>
  <c r="H50" i="132"/>
  <c r="U62" i="128" s="1"/>
  <c r="H51" i="132"/>
  <c r="U63" i="128" s="1"/>
  <c r="H52" i="132"/>
  <c r="H53" i="132"/>
  <c r="U65" i="128" s="1"/>
  <c r="AK93" i="148"/>
  <c r="AE93" i="148"/>
  <c r="AH93" i="148"/>
  <c r="AB93" i="148"/>
  <c r="AC93" i="148" s="1"/>
  <c r="AJ83" i="148"/>
  <c r="AL83" i="148" s="1"/>
  <c r="AD83" i="148"/>
  <c r="AF83" i="148" s="1"/>
  <c r="AM83" i="148"/>
  <c r="AN83" i="148" s="1"/>
  <c r="AG83" i="148"/>
  <c r="AI83" i="148" s="1"/>
  <c r="O27" i="214"/>
  <c r="L519" i="105"/>
  <c r="E63" i="133"/>
  <c r="F131" i="105"/>
  <c r="K169" i="133"/>
  <c r="W23" i="133"/>
  <c r="X23" i="133" s="1"/>
  <c r="K24" i="133"/>
  <c r="K26" i="133" s="1"/>
  <c r="J169" i="133"/>
  <c r="W22" i="133"/>
  <c r="X22" i="133" s="1"/>
  <c r="J24" i="133"/>
  <c r="J26" i="133" s="1"/>
  <c r="G169" i="133"/>
  <c r="W19" i="133"/>
  <c r="X19" i="133" s="1"/>
  <c r="G24" i="133"/>
  <c r="G26" i="133" s="1"/>
  <c r="E168" i="133"/>
  <c r="E24" i="133"/>
  <c r="W17" i="133"/>
  <c r="X17" i="133" s="1"/>
  <c r="P26" i="214"/>
  <c r="M518" i="105"/>
  <c r="P199" i="107"/>
  <c r="I344" i="105"/>
  <c r="I345" i="105" s="1"/>
  <c r="H652" i="107"/>
  <c r="E195" i="107"/>
  <c r="F1044" i="162"/>
  <c r="M26" i="214"/>
  <c r="J518" i="105"/>
  <c r="M199" i="107"/>
  <c r="AB171" i="138"/>
  <c r="AA172" i="138" s="1"/>
  <c r="AC171" i="138"/>
  <c r="P818" i="162"/>
  <c r="L38" i="105"/>
  <c r="H57" i="105"/>
  <c r="H35" i="105"/>
  <c r="F57" i="105"/>
  <c r="F35" i="105"/>
  <c r="G18" i="219"/>
  <c r="E268" i="107"/>
  <c r="I206" i="162"/>
  <c r="I207" i="162" s="1"/>
  <c r="I217" i="162" s="1"/>
  <c r="G48" i="133" s="1"/>
  <c r="I246" i="107" s="1"/>
  <c r="H105" i="162"/>
  <c r="H142" i="162" s="1"/>
  <c r="H143" i="162" s="1"/>
  <c r="G137" i="133" s="1"/>
  <c r="I23" i="214"/>
  <c r="I25" i="214" s="1"/>
  <c r="I6" i="214"/>
  <c r="I9" i="213"/>
  <c r="E74" i="148"/>
  <c r="E76" i="148"/>
  <c r="F630" i="131" s="1"/>
  <c r="G74" i="148"/>
  <c r="G76" i="148"/>
  <c r="J630" i="131" s="1"/>
  <c r="F137" i="133"/>
  <c r="M344" i="105"/>
  <c r="M345" i="105" s="1"/>
  <c r="L652" i="107"/>
  <c r="AB94" i="148"/>
  <c r="AE94" i="148"/>
  <c r="AH94" i="148"/>
  <c r="AK94" i="148"/>
  <c r="V160" i="148"/>
  <c r="V162" i="148" s="1"/>
  <c r="T160" i="148"/>
  <c r="T162" i="148" s="1"/>
  <c r="P133" i="138"/>
  <c r="O134" i="138" s="1"/>
  <c r="Q133" i="138"/>
  <c r="AD97" i="148"/>
  <c r="AF97" i="148" s="1"/>
  <c r="AJ97" i="148"/>
  <c r="AL97" i="148" s="1"/>
  <c r="AG97" i="148"/>
  <c r="AI97" i="148" s="1"/>
  <c r="AM97" i="148"/>
  <c r="K212" i="107"/>
  <c r="K102" i="107"/>
  <c r="S136" i="138"/>
  <c r="R137" i="138" s="1"/>
  <c r="T136" i="138"/>
  <c r="G133" i="138"/>
  <c r="F134" i="138" s="1"/>
  <c r="H133" i="138"/>
  <c r="I45" i="132"/>
  <c r="J23" i="162"/>
  <c r="J36" i="162" s="1"/>
  <c r="AM76" i="138"/>
  <c r="J89" i="162"/>
  <c r="J15" i="162" s="1"/>
  <c r="L77" i="105"/>
  <c r="K81" i="107"/>
  <c r="G151" i="131"/>
  <c r="K234" i="107"/>
  <c r="P140" i="131"/>
  <c r="Y47" i="132"/>
  <c r="E250" i="133"/>
  <c r="D250" i="133" s="1"/>
  <c r="E641" i="131" s="1"/>
  <c r="AE169" i="138"/>
  <c r="AD170" i="138" s="1"/>
  <c r="AF169" i="138"/>
  <c r="Q103" i="132"/>
  <c r="J491" i="105"/>
  <c r="AK98" i="148"/>
  <c r="AE98" i="148"/>
  <c r="AH98" i="148"/>
  <c r="AB98" i="148"/>
  <c r="AG90" i="148"/>
  <c r="AI90" i="148" s="1"/>
  <c r="AJ90" i="148"/>
  <c r="AL90" i="148" s="1"/>
  <c r="AM90" i="148"/>
  <c r="AN90" i="148" s="1"/>
  <c r="AD90" i="148"/>
  <c r="AF90" i="148" s="1"/>
  <c r="G308" i="105"/>
  <c r="G309" i="105"/>
  <c r="I397" i="105"/>
  <c r="I398" i="105"/>
  <c r="AM112" i="132"/>
  <c r="AM116" i="132"/>
  <c r="AM120" i="132"/>
  <c r="AM124" i="132"/>
  <c r="AM128" i="132"/>
  <c r="AM132" i="132"/>
  <c r="AM136" i="132"/>
  <c r="AM140" i="132"/>
  <c r="AM144" i="132"/>
  <c r="AM148" i="132"/>
  <c r="AM152" i="132"/>
  <c r="AM113" i="132"/>
  <c r="AM117" i="132"/>
  <c r="AM121" i="132"/>
  <c r="AM125" i="132"/>
  <c r="AM129" i="132"/>
  <c r="AM133" i="132"/>
  <c r="AM137" i="132"/>
  <c r="AM141" i="132"/>
  <c r="AM145" i="132"/>
  <c r="AM149" i="132"/>
  <c r="F5" i="132"/>
  <c r="F32" i="132" s="1"/>
  <c r="AM114" i="132"/>
  <c r="AM118" i="132"/>
  <c r="AM122" i="132"/>
  <c r="AM126" i="132"/>
  <c r="AM130" i="132"/>
  <c r="AM134" i="132"/>
  <c r="AM138" i="132"/>
  <c r="AM142" i="132"/>
  <c r="AM146" i="132"/>
  <c r="AM150" i="132"/>
  <c r="AM111" i="132"/>
  <c r="AM115" i="132"/>
  <c r="AM119" i="132"/>
  <c r="AM123" i="132"/>
  <c r="AM127" i="132"/>
  <c r="AM131" i="132"/>
  <c r="AM135" i="132"/>
  <c r="AM139" i="132"/>
  <c r="AM143" i="132"/>
  <c r="AM147" i="132"/>
  <c r="AM151" i="132"/>
  <c r="X153" i="132"/>
  <c r="J377" i="132" s="1"/>
  <c r="CK91" i="132"/>
  <c r="V91" i="132" s="1"/>
  <c r="BZ91" i="132"/>
  <c r="CK95" i="132"/>
  <c r="V95" i="132" s="1"/>
  <c r="BZ95" i="132"/>
  <c r="CK86" i="132"/>
  <c r="V86" i="132" s="1"/>
  <c r="BZ86" i="132"/>
  <c r="CK77" i="132"/>
  <c r="V77" i="132" s="1"/>
  <c r="BZ77" i="132"/>
  <c r="CK81" i="132"/>
  <c r="V81" i="132" s="1"/>
  <c r="BZ81" i="132"/>
  <c r="CK72" i="132"/>
  <c r="V72" i="132" s="1"/>
  <c r="BZ72" i="132"/>
  <c r="CK63" i="132"/>
  <c r="V63" i="132" s="1"/>
  <c r="BZ63" i="132"/>
  <c r="CK67" i="132"/>
  <c r="V67" i="132" s="1"/>
  <c r="BZ67" i="132"/>
  <c r="CK58" i="132"/>
  <c r="V58" i="132" s="1"/>
  <c r="BZ58" i="132"/>
  <c r="CK49" i="132"/>
  <c r="V49" i="132" s="1"/>
  <c r="BZ49" i="132"/>
  <c r="CK53" i="132"/>
  <c r="V53" i="132" s="1"/>
  <c r="BZ53" i="132"/>
  <c r="F343" i="105"/>
  <c r="X143" i="133" s="1"/>
  <c r="S344" i="105"/>
  <c r="S345" i="105" s="1"/>
  <c r="T356" i="105" s="1"/>
  <c r="R652" i="107"/>
  <c r="K344" i="105"/>
  <c r="K345" i="105" s="1"/>
  <c r="J652" i="107"/>
  <c r="Z169" i="138"/>
  <c r="Y169" i="138"/>
  <c r="X170" i="138" s="1"/>
  <c r="Q212" i="107"/>
  <c r="Q102" i="107"/>
  <c r="Q241" i="107"/>
  <c r="Q242" i="107" s="1"/>
  <c r="O28" i="133" s="1"/>
  <c r="O29" i="133" s="1"/>
  <c r="I212" i="107"/>
  <c r="I102" i="107"/>
  <c r="E106" i="107"/>
  <c r="AC92" i="148"/>
  <c r="E197" i="107"/>
  <c r="E651" i="107"/>
  <c r="W111" i="148"/>
  <c r="F444" i="105"/>
  <c r="N318" i="138"/>
  <c r="AB112" i="133"/>
  <c r="U97" i="148" s="1"/>
  <c r="AA97" i="148" s="1"/>
  <c r="AC97" i="148" s="1"/>
  <c r="T111" i="148"/>
  <c r="AB106" i="133"/>
  <c r="U90" i="148" s="1"/>
  <c r="AA90" i="148" s="1"/>
  <c r="AC90" i="148" s="1"/>
  <c r="W318" i="138"/>
  <c r="T318" i="138"/>
  <c r="AB98" i="138" l="1"/>
  <c r="AA99" i="138" s="1"/>
  <c r="AC98" i="138"/>
  <c r="AN97" i="148"/>
  <c r="U64" i="128"/>
  <c r="U68" i="128"/>
  <c r="K133" i="138"/>
  <c r="J133" i="138"/>
  <c r="I134" i="138" s="1"/>
  <c r="T29" i="133"/>
  <c r="T330" i="105"/>
  <c r="V330" i="105" s="1"/>
  <c r="AC133" i="138"/>
  <c r="AB133" i="138"/>
  <c r="AA134" i="138" s="1"/>
  <c r="J99" i="138"/>
  <c r="I100" i="138" s="1"/>
  <c r="K99" i="138"/>
  <c r="M169" i="138"/>
  <c r="L170" i="138" s="1"/>
  <c r="N169" i="138"/>
  <c r="V29" i="133"/>
  <c r="AC112" i="148"/>
  <c r="AV101" i="148"/>
  <c r="AW101" i="148" s="1"/>
  <c r="N129" i="107"/>
  <c r="N243" i="107"/>
  <c r="T112" i="148"/>
  <c r="T113" i="148" s="1"/>
  <c r="W101" i="148" s="1"/>
  <c r="G4" i="213"/>
  <c r="I4" i="213" s="1"/>
  <c r="E199" i="107"/>
  <c r="E212" i="107"/>
  <c r="F1046" i="162"/>
  <c r="Q129" i="107"/>
  <c r="Q243" i="107"/>
  <c r="R344" i="105"/>
  <c r="R345" i="105" s="1"/>
  <c r="Q652" i="107"/>
  <c r="CL49" i="132"/>
  <c r="W49" i="132" s="1"/>
  <c r="CA49" i="132"/>
  <c r="CL67" i="132"/>
  <c r="W67" i="132" s="1"/>
  <c r="CA67" i="132"/>
  <c r="CL72" i="132"/>
  <c r="W72" i="132" s="1"/>
  <c r="CA72" i="132"/>
  <c r="CL95" i="132"/>
  <c r="W95" i="132" s="1"/>
  <c r="CA95" i="132"/>
  <c r="J344" i="105"/>
  <c r="J345" i="105" s="1"/>
  <c r="I652" i="107"/>
  <c r="L356" i="105"/>
  <c r="J399" i="105"/>
  <c r="J404" i="105" s="1"/>
  <c r="J411" i="105" s="1"/>
  <c r="G153" i="133" s="1"/>
  <c r="K400" i="105"/>
  <c r="M402" i="105"/>
  <c r="L401" i="105"/>
  <c r="G310" i="105"/>
  <c r="R103" i="132"/>
  <c r="K491" i="105"/>
  <c r="AE170" i="138"/>
  <c r="AD171" i="138" s="1"/>
  <c r="AF170" i="138"/>
  <c r="L393" i="105"/>
  <c r="I2" i="133"/>
  <c r="I163" i="133" s="1"/>
  <c r="K280" i="105"/>
  <c r="K268" i="105"/>
  <c r="AM112" i="138"/>
  <c r="AM87" i="138"/>
  <c r="AA109" i="132"/>
  <c r="I90" i="132"/>
  <c r="I91" i="132"/>
  <c r="V97" i="128" s="1"/>
  <c r="I92" i="132"/>
  <c r="V98" i="128" s="1"/>
  <c r="I93" i="132"/>
  <c r="I94" i="132"/>
  <c r="I95" i="132"/>
  <c r="V101" i="128" s="1"/>
  <c r="I83" i="132"/>
  <c r="I84" i="132"/>
  <c r="I85" i="132"/>
  <c r="V92" i="128" s="1"/>
  <c r="I86" i="132"/>
  <c r="V93" i="128" s="1"/>
  <c r="I87" i="132"/>
  <c r="I88" i="132"/>
  <c r="I76" i="132"/>
  <c r="I77" i="132"/>
  <c r="V85" i="128" s="1"/>
  <c r="I78" i="132"/>
  <c r="I79" i="132"/>
  <c r="V87" i="128" s="1"/>
  <c r="I80" i="132"/>
  <c r="V88" i="128" s="1"/>
  <c r="I81" i="132"/>
  <c r="I69" i="132"/>
  <c r="I70" i="132"/>
  <c r="I71" i="132"/>
  <c r="V80" i="128" s="1"/>
  <c r="I72" i="132"/>
  <c r="V81" i="128" s="1"/>
  <c r="I73" i="132"/>
  <c r="V82" i="128" s="1"/>
  <c r="I74" i="132"/>
  <c r="V83" i="128" s="1"/>
  <c r="I62" i="132"/>
  <c r="I63" i="132"/>
  <c r="V73" i="128" s="1"/>
  <c r="I64" i="132"/>
  <c r="I65" i="132"/>
  <c r="V75" i="128" s="1"/>
  <c r="I66" i="132"/>
  <c r="I67" i="132"/>
  <c r="V77" i="128" s="1"/>
  <c r="I55" i="132"/>
  <c r="I56" i="132"/>
  <c r="I57" i="132"/>
  <c r="V68" i="128" s="1"/>
  <c r="I58" i="132"/>
  <c r="V69" i="128" s="1"/>
  <c r="I59" i="132"/>
  <c r="I60" i="132"/>
  <c r="I48" i="132"/>
  <c r="I49" i="132"/>
  <c r="V61" i="128" s="1"/>
  <c r="I50" i="132"/>
  <c r="V62" i="128" s="1"/>
  <c r="I51" i="132"/>
  <c r="I52" i="132"/>
  <c r="I53" i="132"/>
  <c r="V65" i="128" s="1"/>
  <c r="G134" i="138"/>
  <c r="F135" i="138" s="1"/>
  <c r="H134" i="138"/>
  <c r="S137" i="138"/>
  <c r="R138" i="138" s="1"/>
  <c r="T137" i="138"/>
  <c r="P134" i="138"/>
  <c r="O135" i="138" s="1"/>
  <c r="Q134" i="138"/>
  <c r="V165" i="148"/>
  <c r="V166" i="148"/>
  <c r="N356" i="105"/>
  <c r="N363" i="105" s="1"/>
  <c r="J497" i="105" s="1"/>
  <c r="G136" i="148"/>
  <c r="J629" i="131"/>
  <c r="E136" i="148"/>
  <c r="F629" i="131"/>
  <c r="L57" i="105"/>
  <c r="L35" i="105"/>
  <c r="M27" i="214"/>
  <c r="J519" i="105"/>
  <c r="J356" i="105"/>
  <c r="J363" i="105" s="1"/>
  <c r="F497" i="105" s="1"/>
  <c r="E229" i="133"/>
  <c r="W168" i="133"/>
  <c r="W169" i="133" s="1"/>
  <c r="J27" i="133"/>
  <c r="J228" i="133"/>
  <c r="U60" i="128"/>
  <c r="H54" i="132"/>
  <c r="G441" i="105" s="1"/>
  <c r="U66" i="128"/>
  <c r="H61" i="132"/>
  <c r="G442" i="105" s="1"/>
  <c r="U72" i="128"/>
  <c r="H68" i="132"/>
  <c r="U78" i="128"/>
  <c r="H75" i="132"/>
  <c r="G444" i="105" s="1"/>
  <c r="U84" i="128"/>
  <c r="H82" i="132"/>
  <c r="U90" i="128"/>
  <c r="H89" i="132"/>
  <c r="G446" i="105" s="1"/>
  <c r="U96" i="128"/>
  <c r="U103" i="128" s="1"/>
  <c r="G8" i="128" s="1"/>
  <c r="H96" i="132"/>
  <c r="AL148" i="138"/>
  <c r="AL123" i="138"/>
  <c r="K417" i="105"/>
  <c r="K347" i="105"/>
  <c r="V137" i="138"/>
  <c r="U138" i="138" s="1"/>
  <c r="W137" i="138"/>
  <c r="CL50" i="132"/>
  <c r="W50" i="132" s="1"/>
  <c r="CA50" i="132"/>
  <c r="CL48" i="132"/>
  <c r="W48" i="132" s="1"/>
  <c r="CA48" i="132"/>
  <c r="CL57" i="132"/>
  <c r="W57" i="132" s="1"/>
  <c r="CA57" i="132"/>
  <c r="CL55" i="132"/>
  <c r="W55" i="132" s="1"/>
  <c r="CA55" i="132"/>
  <c r="CL64" i="132"/>
  <c r="W64" i="132" s="1"/>
  <c r="CA64" i="132"/>
  <c r="CL62" i="132"/>
  <c r="W62" i="132" s="1"/>
  <c r="CA62" i="132"/>
  <c r="CL71" i="132"/>
  <c r="W71" i="132" s="1"/>
  <c r="CA71" i="132"/>
  <c r="CL69" i="132"/>
  <c r="W69" i="132" s="1"/>
  <c r="CA69" i="132"/>
  <c r="CL78" i="132"/>
  <c r="W78" i="132" s="1"/>
  <c r="CA78" i="132"/>
  <c r="CL76" i="132"/>
  <c r="W76" i="132" s="1"/>
  <c r="CA76" i="132"/>
  <c r="CL85" i="132"/>
  <c r="W85" i="132" s="1"/>
  <c r="CA85" i="132"/>
  <c r="CL92" i="132"/>
  <c r="W92" i="132" s="1"/>
  <c r="CA92" i="132"/>
  <c r="F436" i="105"/>
  <c r="CL90" i="132"/>
  <c r="W90" i="132" s="1"/>
  <c r="CA90" i="132"/>
  <c r="O216" i="107"/>
  <c r="K350" i="105"/>
  <c r="H146" i="133" s="1"/>
  <c r="G348" i="105"/>
  <c r="G394" i="105"/>
  <c r="H409" i="105"/>
  <c r="H345" i="105"/>
  <c r="K45" i="132"/>
  <c r="L23" i="162"/>
  <c r="L36" i="162" s="1"/>
  <c r="AO76" i="138"/>
  <c r="L89" i="162"/>
  <c r="L15" i="162" s="1"/>
  <c r="M81" i="107"/>
  <c r="M234" i="107"/>
  <c r="G153" i="131"/>
  <c r="N77" i="105"/>
  <c r="P142" i="131"/>
  <c r="AA47" i="132"/>
  <c r="G169" i="138"/>
  <c r="F170" i="138" s="1"/>
  <c r="H169" i="138"/>
  <c r="J27" i="214"/>
  <c r="G519" i="105"/>
  <c r="AC116" i="133"/>
  <c r="V101" i="148" s="1"/>
  <c r="AJ101" i="148" s="1"/>
  <c r="AL101" i="148" s="1"/>
  <c r="AD113" i="148" s="1"/>
  <c r="AA116" i="133"/>
  <c r="T101" i="148" s="1"/>
  <c r="AH101" i="148" s="1"/>
  <c r="G255" i="107"/>
  <c r="Z116" i="133"/>
  <c r="S101" i="148" s="1"/>
  <c r="CL51" i="132"/>
  <c r="W51" i="132" s="1"/>
  <c r="CA51" i="132"/>
  <c r="CL60" i="132"/>
  <c r="W60" i="132" s="1"/>
  <c r="CA60" i="132"/>
  <c r="CL56" i="132"/>
  <c r="W56" i="132" s="1"/>
  <c r="CA56" i="132"/>
  <c r="CL65" i="132"/>
  <c r="W65" i="132" s="1"/>
  <c r="CA65" i="132"/>
  <c r="CL74" i="132"/>
  <c r="W74" i="132" s="1"/>
  <c r="CA74" i="132"/>
  <c r="CL70" i="132"/>
  <c r="W70" i="132" s="1"/>
  <c r="CA70" i="132"/>
  <c r="CL79" i="132"/>
  <c r="W79" i="132" s="1"/>
  <c r="CA79" i="132"/>
  <c r="CL88" i="132"/>
  <c r="W88" i="132" s="1"/>
  <c r="CA88" i="132"/>
  <c r="CL84" i="132"/>
  <c r="W84" i="132" s="1"/>
  <c r="CA84" i="132"/>
  <c r="CL93" i="132"/>
  <c r="W93" i="132" s="1"/>
  <c r="CA93" i="132"/>
  <c r="AU60" i="128"/>
  <c r="F9" i="132"/>
  <c r="S170" i="138"/>
  <c r="R171" i="138" s="1"/>
  <c r="T170" i="138"/>
  <c r="Q170" i="138"/>
  <c r="P170" i="138"/>
  <c r="O171" i="138" s="1"/>
  <c r="AF134" i="138"/>
  <c r="AE134" i="138"/>
  <c r="AD135" i="138" s="1"/>
  <c r="I473" i="105"/>
  <c r="I472" i="105" s="1"/>
  <c r="K57" i="105"/>
  <c r="K35" i="105"/>
  <c r="N469" i="105"/>
  <c r="M468" i="105"/>
  <c r="O246" i="133"/>
  <c r="AE99" i="138"/>
  <c r="AD100" i="138" s="1"/>
  <c r="AF99" i="138"/>
  <c r="O356" i="105"/>
  <c r="F27" i="133"/>
  <c r="F228" i="133"/>
  <c r="F170" i="133"/>
  <c r="E219" i="133"/>
  <c r="I27" i="133"/>
  <c r="I228" i="133"/>
  <c r="AA102" i="133"/>
  <c r="T86" i="148" s="1"/>
  <c r="AC102" i="133"/>
  <c r="V86" i="148" s="1"/>
  <c r="J206" i="162"/>
  <c r="J207" i="162" s="1"/>
  <c r="J217" i="162" s="1"/>
  <c r="H48" i="133" s="1"/>
  <c r="J246" i="107" s="1"/>
  <c r="I105" i="162"/>
  <c r="I142" i="162" s="1"/>
  <c r="I143" i="162" s="1"/>
  <c r="J23" i="214"/>
  <c r="J25" i="214" s="1"/>
  <c r="J6" i="214"/>
  <c r="J9" i="213"/>
  <c r="CL52" i="132"/>
  <c r="W52" i="132" s="1"/>
  <c r="CA52" i="132"/>
  <c r="CL59" i="132"/>
  <c r="W59" i="132" s="1"/>
  <c r="CA59" i="132"/>
  <c r="CL66" i="132"/>
  <c r="W66" i="132" s="1"/>
  <c r="CA66" i="132"/>
  <c r="CL73" i="132"/>
  <c r="W73" i="132" s="1"/>
  <c r="CA73" i="132"/>
  <c r="CL80" i="132"/>
  <c r="W80" i="132" s="1"/>
  <c r="CA80" i="132"/>
  <c r="CL87" i="132"/>
  <c r="W87" i="132" s="1"/>
  <c r="CA87" i="132"/>
  <c r="CL83" i="132"/>
  <c r="W83" i="132" s="1"/>
  <c r="CA83" i="132"/>
  <c r="CL94" i="132"/>
  <c r="W94" i="132" s="1"/>
  <c r="CA94" i="132"/>
  <c r="AJ165" i="138"/>
  <c r="E13" i="138" s="1"/>
  <c r="AJ163" i="138"/>
  <c r="AJ164" i="138" s="1"/>
  <c r="AA367" i="132"/>
  <c r="CB154" i="132"/>
  <c r="AC154" i="132"/>
  <c r="EB154" i="132"/>
  <c r="Y134" i="138"/>
  <c r="X135" i="138" s="1"/>
  <c r="Z134" i="138"/>
  <c r="D169" i="138"/>
  <c r="C170" i="138" s="1"/>
  <c r="E169" i="138"/>
  <c r="G27" i="214"/>
  <c r="D519" i="105"/>
  <c r="H115" i="105"/>
  <c r="G95" i="107"/>
  <c r="D21" i="105"/>
  <c r="AK274" i="138"/>
  <c r="AK159" i="138"/>
  <c r="K111" i="132"/>
  <c r="K113" i="132"/>
  <c r="AV62" i="128" s="1"/>
  <c r="K115" i="132"/>
  <c r="AV64" i="128" s="1"/>
  <c r="K117" i="132"/>
  <c r="AV66" i="128" s="1"/>
  <c r="K119" i="132"/>
  <c r="AV68" i="128" s="1"/>
  <c r="K121" i="132"/>
  <c r="AV70" i="128" s="1"/>
  <c r="K123" i="132"/>
  <c r="AV72" i="128" s="1"/>
  <c r="K125" i="132"/>
  <c r="AV74" i="128" s="1"/>
  <c r="K127" i="132"/>
  <c r="AV76" i="128" s="1"/>
  <c r="K129" i="132"/>
  <c r="AV78" i="128" s="1"/>
  <c r="K131" i="132"/>
  <c r="AV80" i="128" s="1"/>
  <c r="K133" i="132"/>
  <c r="AV82" i="128" s="1"/>
  <c r="K135" i="132"/>
  <c r="AV84" i="128" s="1"/>
  <c r="K137" i="132"/>
  <c r="AV86" i="128" s="1"/>
  <c r="K139" i="132"/>
  <c r="AV88" i="128" s="1"/>
  <c r="K141" i="132"/>
  <c r="AV90" i="128" s="1"/>
  <c r="K143" i="132"/>
  <c r="AV92" i="128" s="1"/>
  <c r="K145" i="132"/>
  <c r="AV94" i="128" s="1"/>
  <c r="K147" i="132"/>
  <c r="AV96" i="128" s="1"/>
  <c r="K149" i="132"/>
  <c r="AV98" i="128" s="1"/>
  <c r="K151" i="132"/>
  <c r="AV100" i="128" s="1"/>
  <c r="K112" i="132"/>
  <c r="AV61" i="128" s="1"/>
  <c r="K116" i="132"/>
  <c r="AV65" i="128" s="1"/>
  <c r="K120" i="132"/>
  <c r="AV69" i="128" s="1"/>
  <c r="K124" i="132"/>
  <c r="AV73" i="128" s="1"/>
  <c r="K128" i="132"/>
  <c r="AV77" i="128" s="1"/>
  <c r="K132" i="132"/>
  <c r="AV81" i="128" s="1"/>
  <c r="K136" i="132"/>
  <c r="AV85" i="128" s="1"/>
  <c r="K140" i="132"/>
  <c r="AV89" i="128" s="1"/>
  <c r="K144" i="132"/>
  <c r="AV93" i="128" s="1"/>
  <c r="K148" i="132"/>
  <c r="AV97" i="128" s="1"/>
  <c r="K152" i="132"/>
  <c r="AV101" i="128" s="1"/>
  <c r="K114" i="132"/>
  <c r="AV63" i="128" s="1"/>
  <c r="K118" i="132"/>
  <c r="AV67" i="128" s="1"/>
  <c r="K122" i="132"/>
  <c r="AV71" i="128" s="1"/>
  <c r="K126" i="132"/>
  <c r="AV75" i="128" s="1"/>
  <c r="K130" i="132"/>
  <c r="AV79" i="128" s="1"/>
  <c r="K134" i="132"/>
  <c r="AV83" i="128" s="1"/>
  <c r="K138" i="132"/>
  <c r="AV87" i="128" s="1"/>
  <c r="K142" i="132"/>
  <c r="AV91" i="128" s="1"/>
  <c r="K146" i="132"/>
  <c r="AV95" i="128" s="1"/>
  <c r="K150" i="132"/>
  <c r="AV99" i="128" s="1"/>
  <c r="F28" i="214"/>
  <c r="G14" i="213"/>
  <c r="I14" i="213" s="1"/>
  <c r="I6" i="131"/>
  <c r="L41" i="133"/>
  <c r="L46" i="133" s="1"/>
  <c r="L47" i="133" s="1"/>
  <c r="N249" i="107" s="1"/>
  <c r="T103" i="148"/>
  <c r="V103" i="148"/>
  <c r="O344" i="105"/>
  <c r="O345" i="105" s="1"/>
  <c r="N652" i="107"/>
  <c r="P344" i="105"/>
  <c r="P345" i="105" s="1"/>
  <c r="O652" i="107"/>
  <c r="G443" i="105"/>
  <c r="G445" i="105"/>
  <c r="R29" i="133"/>
  <c r="E102" i="107"/>
  <c r="S15" i="138"/>
  <c r="F26" i="214"/>
  <c r="Y153" i="132"/>
  <c r="K377" i="132" s="1"/>
  <c r="E6" i="138"/>
  <c r="U30" i="133"/>
  <c r="W112" i="148"/>
  <c r="W113" i="148" s="1"/>
  <c r="Z101" i="148" s="1"/>
  <c r="Z170" i="138"/>
  <c r="Y170" i="138"/>
  <c r="X171" i="138" s="1"/>
  <c r="CL53" i="132"/>
  <c r="W53" i="132" s="1"/>
  <c r="CA53" i="132"/>
  <c r="CL58" i="132"/>
  <c r="W58" i="132" s="1"/>
  <c r="CA58" i="132"/>
  <c r="CL63" i="132"/>
  <c r="W63" i="132" s="1"/>
  <c r="CA63" i="132"/>
  <c r="CL81" i="132"/>
  <c r="W81" i="132" s="1"/>
  <c r="CA81" i="132"/>
  <c r="CL77" i="132"/>
  <c r="W77" i="132" s="1"/>
  <c r="CA77" i="132"/>
  <c r="CL86" i="132"/>
  <c r="W86" i="132" s="1"/>
  <c r="CA86" i="132"/>
  <c r="CL91" i="132"/>
  <c r="W91" i="132" s="1"/>
  <c r="CA91" i="132"/>
  <c r="J405" i="105"/>
  <c r="J412" i="105" s="1"/>
  <c r="G154" i="133" s="1"/>
  <c r="BP47" i="132"/>
  <c r="N101" i="132"/>
  <c r="K184" i="107"/>
  <c r="K191" i="107" s="1"/>
  <c r="K201" i="107" s="1"/>
  <c r="K210" i="107" s="1"/>
  <c r="K142" i="107"/>
  <c r="K91" i="107"/>
  <c r="K16" i="213"/>
  <c r="K12" i="214"/>
  <c r="J2" i="162"/>
  <c r="J29" i="162"/>
  <c r="J46" i="162"/>
  <c r="J64" i="162"/>
  <c r="J83" i="162" s="1"/>
  <c r="L344" i="105"/>
  <c r="L345" i="105" s="1"/>
  <c r="K652" i="107"/>
  <c r="T165" i="148"/>
  <c r="T166" i="148"/>
  <c r="AC172" i="138"/>
  <c r="AB172" i="138"/>
  <c r="AA173" i="138" s="1"/>
  <c r="P27" i="214"/>
  <c r="M519" i="105"/>
  <c r="E26" i="133"/>
  <c r="B24" i="133"/>
  <c r="G5" i="133"/>
  <c r="G7" i="133" s="1"/>
  <c r="E51" i="133"/>
  <c r="G27" i="133"/>
  <c r="G228" i="133"/>
  <c r="K27" i="133"/>
  <c r="K228" i="133"/>
  <c r="Y98" i="133"/>
  <c r="E98" i="133"/>
  <c r="Z152" i="132"/>
  <c r="Z151" i="132"/>
  <c r="Z150" i="132"/>
  <c r="Z149" i="132"/>
  <c r="Z148" i="132"/>
  <c r="Z147" i="132"/>
  <c r="Z146" i="132"/>
  <c r="Z145" i="132"/>
  <c r="Z144" i="132"/>
  <c r="Z143" i="132"/>
  <c r="Z141" i="132"/>
  <c r="Z140" i="132"/>
  <c r="Z139" i="132"/>
  <c r="Z138" i="132"/>
  <c r="Z137" i="132"/>
  <c r="Z136" i="132"/>
  <c r="Z135" i="132"/>
  <c r="Z134" i="132"/>
  <c r="Z133" i="132"/>
  <c r="Z132" i="132"/>
  <c r="Z131" i="132"/>
  <c r="Z130" i="132"/>
  <c r="Z129" i="132"/>
  <c r="Z128" i="132"/>
  <c r="Z127" i="132"/>
  <c r="Z126" i="132"/>
  <c r="Z125" i="132"/>
  <c r="Z124" i="132"/>
  <c r="Z123" i="132"/>
  <c r="Z122" i="132"/>
  <c r="Z121" i="132"/>
  <c r="Z120" i="132"/>
  <c r="Z119" i="132"/>
  <c r="Z118" i="132"/>
  <c r="Z117" i="132"/>
  <c r="Z116" i="132"/>
  <c r="Z115" i="132"/>
  <c r="Z114" i="132"/>
  <c r="Z142" i="132"/>
  <c r="Z113" i="132"/>
  <c r="Z112" i="132"/>
  <c r="Z111" i="132"/>
  <c r="L109" i="132"/>
  <c r="AO109" i="132"/>
  <c r="AL93" i="138"/>
  <c r="K394" i="105"/>
  <c r="K348" i="105"/>
  <c r="V54" i="132"/>
  <c r="H282" i="105" s="1"/>
  <c r="V61" i="132"/>
  <c r="H286" i="105" s="1"/>
  <c r="V68" i="132"/>
  <c r="H290" i="105" s="1"/>
  <c r="V75" i="132"/>
  <c r="H294" i="105" s="1"/>
  <c r="V82" i="132"/>
  <c r="H298" i="105" s="1"/>
  <c r="V96" i="132"/>
  <c r="Q97" i="138"/>
  <c r="P97" i="138"/>
  <c r="O98" i="138" s="1"/>
  <c r="M98" i="138"/>
  <c r="L99" i="138" s="1"/>
  <c r="N98" i="138"/>
  <c r="Y99" i="138"/>
  <c r="X100" i="138" s="1"/>
  <c r="Z99" i="138"/>
  <c r="AK92" i="138"/>
  <c r="F15" i="128"/>
  <c r="I438" i="131"/>
  <c r="P129" i="107"/>
  <c r="P243" i="107"/>
  <c r="U112" i="148"/>
  <c r="R27" i="214"/>
  <c r="O519" i="105"/>
  <c r="D495" i="105"/>
  <c r="F130" i="133"/>
  <c r="G97" i="138"/>
  <c r="F98" i="138" s="1"/>
  <c r="H97" i="138"/>
  <c r="R129" i="107"/>
  <c r="R243" i="107"/>
  <c r="D134" i="138"/>
  <c r="C135" i="138" s="1"/>
  <c r="E134" i="138"/>
  <c r="L27" i="214"/>
  <c r="I519" i="105"/>
  <c r="H246" i="107"/>
  <c r="F54" i="133"/>
  <c r="F136" i="148"/>
  <c r="H629" i="131"/>
  <c r="H136" i="148"/>
  <c r="L629" i="131"/>
  <c r="H22" i="219"/>
  <c r="S102" i="148"/>
  <c r="U102" i="148" s="1"/>
  <c r="AA102" i="148" s="1"/>
  <c r="E281" i="107"/>
  <c r="W99" i="138"/>
  <c r="V99" i="138"/>
  <c r="U100" i="138" s="1"/>
  <c r="J45" i="132"/>
  <c r="K23" i="162"/>
  <c r="K36" i="162" s="1"/>
  <c r="AN76" i="138"/>
  <c r="K89" i="162"/>
  <c r="K15" i="162" s="1"/>
  <c r="L81" i="107"/>
  <c r="L234" i="107"/>
  <c r="M77" i="105"/>
  <c r="Z47" i="132"/>
  <c r="P141" i="131"/>
  <c r="G152" i="131"/>
  <c r="H27" i="214"/>
  <c r="E519" i="105"/>
  <c r="R356" i="105"/>
  <c r="H27" i="133"/>
  <c r="H228" i="133"/>
  <c r="G262" i="107"/>
  <c r="E262" i="107" s="1"/>
  <c r="Z102" i="133"/>
  <c r="S86" i="148" s="1"/>
  <c r="W102" i="133"/>
  <c r="X102" i="133" s="1"/>
  <c r="G433" i="105"/>
  <c r="G465" i="105" s="1"/>
  <c r="I56" i="162"/>
  <c r="J4" i="219"/>
  <c r="J29" i="219" s="1"/>
  <c r="G516" i="105"/>
  <c r="W170" i="138"/>
  <c r="V170" i="138"/>
  <c r="U171" i="138" s="1"/>
  <c r="E7" i="128"/>
  <c r="V89" i="132"/>
  <c r="H302" i="105" s="1"/>
  <c r="H438" i="131"/>
  <c r="E15" i="128"/>
  <c r="S5" i="138"/>
  <c r="E4" i="138" s="1"/>
  <c r="E45" i="138" s="1"/>
  <c r="AJ303" i="138"/>
  <c r="AJ314" i="138" s="1"/>
  <c r="AJ285" i="138"/>
  <c r="M134" i="138"/>
  <c r="L135" i="138" s="1"/>
  <c r="N134" i="138"/>
  <c r="J170" i="138"/>
  <c r="I171" i="138" s="1"/>
  <c r="K170" i="138"/>
  <c r="U166" i="148"/>
  <c r="U165" i="148"/>
  <c r="W166" i="148"/>
  <c r="W165" i="148"/>
  <c r="D97" i="138"/>
  <c r="C98" i="138" s="1"/>
  <c r="E97" i="138"/>
  <c r="F26" i="162"/>
  <c r="AK129" i="138"/>
  <c r="AK127" i="138"/>
  <c r="AK128" i="138" s="1"/>
  <c r="G5" i="132"/>
  <c r="G32" i="132" s="1"/>
  <c r="AN113" i="132"/>
  <c r="AN117" i="132"/>
  <c r="AN121" i="132"/>
  <c r="AN125" i="132"/>
  <c r="AN129" i="132"/>
  <c r="AN133" i="132"/>
  <c r="AN137" i="132"/>
  <c r="AN141" i="132"/>
  <c r="AN145" i="132"/>
  <c r="AN149" i="132"/>
  <c r="AN112" i="132"/>
  <c r="AN116" i="132"/>
  <c r="AN120" i="132"/>
  <c r="AN124" i="132"/>
  <c r="AN128" i="132"/>
  <c r="AN132" i="132"/>
  <c r="AN136" i="132"/>
  <c r="AN140" i="132"/>
  <c r="AN144" i="132"/>
  <c r="AN148" i="132"/>
  <c r="AN152" i="132"/>
  <c r="AN111" i="132"/>
  <c r="AN119" i="132"/>
  <c r="AN127" i="132"/>
  <c r="AN135" i="132"/>
  <c r="AN143" i="132"/>
  <c r="AN151" i="132"/>
  <c r="AN118" i="132"/>
  <c r="AN126" i="132"/>
  <c r="AN134" i="132"/>
  <c r="AN142" i="132"/>
  <c r="AN150" i="132"/>
  <c r="AN115" i="132"/>
  <c r="AN123" i="132"/>
  <c r="AN131" i="132"/>
  <c r="AN139" i="132"/>
  <c r="AN147" i="132"/>
  <c r="AN114" i="132"/>
  <c r="AN122" i="132"/>
  <c r="AN130" i="132"/>
  <c r="AN138" i="132"/>
  <c r="AN146" i="132"/>
  <c r="Q28" i="133"/>
  <c r="Q30" i="133" s="1"/>
  <c r="T97" i="138"/>
  <c r="S97" i="138"/>
  <c r="R98" i="138" s="1"/>
  <c r="F22" i="131"/>
  <c r="G21" i="131"/>
  <c r="J5" i="131" s="1"/>
  <c r="J3" i="131" s="1"/>
  <c r="W115" i="148"/>
  <c r="T115" i="148"/>
  <c r="U115" i="148"/>
  <c r="V115" i="148"/>
  <c r="G170" i="133"/>
  <c r="H170" i="133" s="1"/>
  <c r="I170" i="133" s="1"/>
  <c r="T102" i="128"/>
  <c r="F6" i="128" s="1"/>
  <c r="F7" i="128" s="1"/>
  <c r="J473" i="105"/>
  <c r="J472" i="105" s="1"/>
  <c r="AC98" i="148"/>
  <c r="AC94" i="148"/>
  <c r="T818" i="162"/>
  <c r="I819" i="162" s="1"/>
  <c r="S16" i="138"/>
  <c r="E26" i="138" s="1"/>
  <c r="E478" i="105" s="1"/>
  <c r="E477" i="105" s="1"/>
  <c r="E476" i="105" s="1"/>
  <c r="E475" i="105" s="1"/>
  <c r="AN98" i="148"/>
  <c r="AN94" i="148"/>
  <c r="AN93" i="148"/>
  <c r="AN89" i="148"/>
  <c r="S29" i="133"/>
  <c r="P38" i="105"/>
  <c r="K134" i="138" l="1"/>
  <c r="J134" i="138"/>
  <c r="I135" i="138" s="1"/>
  <c r="R363" i="105"/>
  <c r="N497" i="105" s="1"/>
  <c r="H98" i="132"/>
  <c r="AV60" i="128"/>
  <c r="AB99" i="138"/>
  <c r="AA100" i="138" s="1"/>
  <c r="AC99" i="138"/>
  <c r="N170" i="138"/>
  <c r="M170" i="138"/>
  <c r="L171" i="138" s="1"/>
  <c r="K100" i="138"/>
  <c r="J100" i="138"/>
  <c r="I101" i="138" s="1"/>
  <c r="AC134" i="138"/>
  <c r="AB134" i="138"/>
  <c r="AA135" i="138" s="1"/>
  <c r="I171" i="133"/>
  <c r="I173" i="133" s="1"/>
  <c r="J170" i="133"/>
  <c r="AA112" i="148"/>
  <c r="AD101" i="148"/>
  <c r="AF101" i="148" s="1"/>
  <c r="AB113" i="148" s="1"/>
  <c r="AP101" i="148"/>
  <c r="AQ101" i="148" s="1"/>
  <c r="AB101" i="148"/>
  <c r="I437" i="131"/>
  <c r="F14" i="128"/>
  <c r="G171" i="133"/>
  <c r="G173" i="133" s="1"/>
  <c r="V116" i="148"/>
  <c r="Y103" i="148"/>
  <c r="T116" i="148"/>
  <c r="W103" i="148"/>
  <c r="J6" i="131"/>
  <c r="M41" i="133"/>
  <c r="M46" i="133" s="1"/>
  <c r="M47" i="133" s="1"/>
  <c r="O249" i="107" s="1"/>
  <c r="T98" i="138"/>
  <c r="S98" i="138"/>
  <c r="R99" i="138" s="1"/>
  <c r="AJ291" i="138"/>
  <c r="AJ289" i="138"/>
  <c r="AJ290" i="138" s="1"/>
  <c r="E47" i="138"/>
  <c r="E49" i="138" s="1"/>
  <c r="E46" i="138"/>
  <c r="E65" i="138"/>
  <c r="E18" i="128"/>
  <c r="E439" i="105" s="1"/>
  <c r="E435" i="105" s="1"/>
  <c r="H303" i="105"/>
  <c r="E14" i="128"/>
  <c r="E17" i="128" s="1"/>
  <c r="E447" i="105" s="1"/>
  <c r="E440" i="105" s="1"/>
  <c r="H437" i="131"/>
  <c r="M393" i="105"/>
  <c r="J2" i="133"/>
  <c r="J163" i="133" s="1"/>
  <c r="V163" i="133" s="1"/>
  <c r="L280" i="105"/>
  <c r="L268" i="105"/>
  <c r="L184" i="107"/>
  <c r="L191" i="107" s="1"/>
  <c r="L201" i="107" s="1"/>
  <c r="L210" i="107" s="1"/>
  <c r="L91" i="107"/>
  <c r="L142" i="107"/>
  <c r="AN112" i="138"/>
  <c r="AN87" i="138"/>
  <c r="AB109" i="132"/>
  <c r="J90" i="132"/>
  <c r="J91" i="132"/>
  <c r="J92" i="132"/>
  <c r="J93" i="132"/>
  <c r="J94" i="132"/>
  <c r="J95" i="132"/>
  <c r="J83" i="132"/>
  <c r="J84" i="132"/>
  <c r="J85" i="132"/>
  <c r="J86" i="132"/>
  <c r="J87" i="132"/>
  <c r="J88" i="132"/>
  <c r="J76" i="132"/>
  <c r="J77" i="132"/>
  <c r="J78" i="132"/>
  <c r="J79" i="132"/>
  <c r="J80" i="132"/>
  <c r="J81" i="132"/>
  <c r="J69" i="132"/>
  <c r="J70" i="132"/>
  <c r="J71" i="132"/>
  <c r="J72" i="132"/>
  <c r="J73" i="132"/>
  <c r="J74" i="132"/>
  <c r="J62" i="132"/>
  <c r="J63" i="132"/>
  <c r="J64" i="132"/>
  <c r="J65" i="132"/>
  <c r="J66" i="132"/>
  <c r="J67" i="132"/>
  <c r="J55" i="132"/>
  <c r="J56" i="132"/>
  <c r="J57" i="132"/>
  <c r="J58" i="132"/>
  <c r="J59" i="132"/>
  <c r="J60" i="132"/>
  <c r="J48" i="132"/>
  <c r="J49" i="132"/>
  <c r="J50" i="132"/>
  <c r="J51" i="132"/>
  <c r="J52" i="132"/>
  <c r="J53" i="132"/>
  <c r="L631" i="131"/>
  <c r="L626" i="131"/>
  <c r="H631" i="131"/>
  <c r="H626" i="131"/>
  <c r="G54" i="133"/>
  <c r="F55" i="133"/>
  <c r="E460" i="105" s="1"/>
  <c r="E135" i="138"/>
  <c r="D135" i="138"/>
  <c r="C136" i="138" s="1"/>
  <c r="G130" i="133"/>
  <c r="E495" i="105"/>
  <c r="F16" i="128"/>
  <c r="I133" i="107" s="1"/>
  <c r="Z100" i="138"/>
  <c r="Y100" i="138"/>
  <c r="X101" i="138" s="1"/>
  <c r="N99" i="138"/>
  <c r="M99" i="138"/>
  <c r="L100" i="138" s="1"/>
  <c r="H306" i="105"/>
  <c r="V98" i="132"/>
  <c r="K102" i="132" s="1"/>
  <c r="H299" i="105"/>
  <c r="H295" i="105"/>
  <c r="H291" i="105"/>
  <c r="H287" i="105"/>
  <c r="H283" i="105"/>
  <c r="K398" i="105"/>
  <c r="K397" i="105"/>
  <c r="L405" i="105" s="1"/>
  <c r="L412" i="105" s="1"/>
  <c r="I154" i="133" s="1"/>
  <c r="H5" i="132"/>
  <c r="H32" i="132" s="1"/>
  <c r="AO112" i="132"/>
  <c r="AO116" i="132"/>
  <c r="AO120" i="132"/>
  <c r="AO124" i="132"/>
  <c r="AO128" i="132"/>
  <c r="AO132" i="132"/>
  <c r="AO136" i="132"/>
  <c r="AO140" i="132"/>
  <c r="AO144" i="132"/>
  <c r="AO148" i="132"/>
  <c r="AO152" i="132"/>
  <c r="AO113" i="132"/>
  <c r="AO117" i="132"/>
  <c r="AO121" i="132"/>
  <c r="AO125" i="132"/>
  <c r="AO129" i="132"/>
  <c r="AO133" i="132"/>
  <c r="AO137" i="132"/>
  <c r="AO141" i="132"/>
  <c r="AO145" i="132"/>
  <c r="AO149" i="132"/>
  <c r="AO114" i="132"/>
  <c r="AO118" i="132"/>
  <c r="AO122" i="132"/>
  <c r="AO126" i="132"/>
  <c r="AO130" i="132"/>
  <c r="AO134" i="132"/>
  <c r="AO138" i="132"/>
  <c r="AO142" i="132"/>
  <c r="AO146" i="132"/>
  <c r="AO150" i="132"/>
  <c r="AO111" i="132"/>
  <c r="AO115" i="132"/>
  <c r="AO119" i="132"/>
  <c r="AO123" i="132"/>
  <c r="AO127" i="132"/>
  <c r="AO131" i="132"/>
  <c r="AO135" i="132"/>
  <c r="AO139" i="132"/>
  <c r="AO143" i="132"/>
  <c r="AO147" i="132"/>
  <c r="AO151" i="132"/>
  <c r="Z153" i="132"/>
  <c r="L377" i="132" s="1"/>
  <c r="G258" i="107"/>
  <c r="Z98" i="133"/>
  <c r="S82" i="148" s="1"/>
  <c r="W98" i="133"/>
  <c r="X98" i="133" s="1"/>
  <c r="M356" i="105"/>
  <c r="M363" i="105" s="1"/>
  <c r="I497" i="105" s="1"/>
  <c r="H433" i="105"/>
  <c r="H465" i="105" s="1"/>
  <c r="J56" i="162"/>
  <c r="K4" i="219"/>
  <c r="K29" i="219" s="1"/>
  <c r="H516" i="105"/>
  <c r="CM91" i="132"/>
  <c r="X91" i="132" s="1"/>
  <c r="CB91" i="132"/>
  <c r="CM86" i="132"/>
  <c r="X86" i="132" s="1"/>
  <c r="CB86" i="132"/>
  <c r="CM77" i="132"/>
  <c r="X77" i="132" s="1"/>
  <c r="CB77" i="132"/>
  <c r="CM81" i="132"/>
  <c r="X81" i="132" s="1"/>
  <c r="CB81" i="132"/>
  <c r="CM63" i="132"/>
  <c r="X63" i="132" s="1"/>
  <c r="CB63" i="132"/>
  <c r="CM58" i="132"/>
  <c r="X58" i="132" s="1"/>
  <c r="CB58" i="132"/>
  <c r="CM53" i="132"/>
  <c r="X53" i="132" s="1"/>
  <c r="CB53" i="132"/>
  <c r="Z171" i="138"/>
  <c r="Y171" i="138"/>
  <c r="X172" i="138" s="1"/>
  <c r="AM101" i="148"/>
  <c r="AK101" i="148"/>
  <c r="AD112" i="148"/>
  <c r="AY101" i="148"/>
  <c r="AZ101" i="148" s="1"/>
  <c r="F50" i="133"/>
  <c r="F51" i="133" s="1"/>
  <c r="Q356" i="105"/>
  <c r="Q363" i="105" s="1"/>
  <c r="M497" i="105" s="1"/>
  <c r="P356" i="105"/>
  <c r="P363" i="105" s="1"/>
  <c r="L497" i="105" s="1"/>
  <c r="AK165" i="138"/>
  <c r="F13" i="138" s="1"/>
  <c r="AK163" i="138"/>
  <c r="AK164" i="138" s="1"/>
  <c r="F6" i="138"/>
  <c r="E15" i="105"/>
  <c r="D452" i="105"/>
  <c r="D451" i="105" s="1"/>
  <c r="G96" i="107"/>
  <c r="E170" i="138"/>
  <c r="D170" i="138"/>
  <c r="C171" i="138" s="1"/>
  <c r="Y135" i="138"/>
  <c r="X136" i="138" s="1"/>
  <c r="Z135" i="138"/>
  <c r="AC367" i="132"/>
  <c r="ED154" i="132"/>
  <c r="CD154" i="132"/>
  <c r="AE154" i="132"/>
  <c r="H137" i="133"/>
  <c r="AG86" i="148"/>
  <c r="AJ86" i="148"/>
  <c r="AM86" i="148"/>
  <c r="AD86" i="148"/>
  <c r="K241" i="107"/>
  <c r="K242" i="107" s="1"/>
  <c r="I28" i="133" s="1"/>
  <c r="I29" i="133" s="1"/>
  <c r="F171" i="133"/>
  <c r="F238" i="133"/>
  <c r="F39" i="133" s="1"/>
  <c r="H241" i="107"/>
  <c r="H242" i="107" s="1"/>
  <c r="F28" i="133" s="1"/>
  <c r="F29" i="133" s="1"/>
  <c r="L147" i="133"/>
  <c r="N274" i="107" s="1"/>
  <c r="N21" i="219" s="1"/>
  <c r="AE100" i="138"/>
  <c r="AD101" i="138" s="1"/>
  <c r="AF100" i="138"/>
  <c r="AF135" i="138"/>
  <c r="AE135" i="138"/>
  <c r="AD136" i="138" s="1"/>
  <c r="P171" i="138"/>
  <c r="O172" i="138" s="1"/>
  <c r="Q171" i="138"/>
  <c r="G9" i="132"/>
  <c r="CM93" i="132"/>
  <c r="X93" i="132" s="1"/>
  <c r="CB93" i="132"/>
  <c r="CM84" i="132"/>
  <c r="X84" i="132" s="1"/>
  <c r="CB84" i="132"/>
  <c r="CM88" i="132"/>
  <c r="X88" i="132" s="1"/>
  <c r="CB88" i="132"/>
  <c r="CM79" i="132"/>
  <c r="X79" i="132" s="1"/>
  <c r="CB79" i="132"/>
  <c r="CM70" i="132"/>
  <c r="X70" i="132" s="1"/>
  <c r="CB70" i="132"/>
  <c r="CM74" i="132"/>
  <c r="X74" i="132" s="1"/>
  <c r="CB74" i="132"/>
  <c r="CM65" i="132"/>
  <c r="X65" i="132" s="1"/>
  <c r="CB65" i="132"/>
  <c r="CM56" i="132"/>
  <c r="X56" i="132" s="1"/>
  <c r="CB56" i="132"/>
  <c r="CM60" i="132"/>
  <c r="X60" i="132" s="1"/>
  <c r="CB60" i="132"/>
  <c r="CM51" i="132"/>
  <c r="X51" i="132" s="1"/>
  <c r="CB51" i="132"/>
  <c r="P101" i="132"/>
  <c r="BR47" i="132"/>
  <c r="N393" i="105"/>
  <c r="M280" i="105"/>
  <c r="K2" i="133"/>
  <c r="K163" i="133" s="1"/>
  <c r="M268" i="105"/>
  <c r="M16" i="213"/>
  <c r="M12" i="214"/>
  <c r="L2" i="162"/>
  <c r="L29" i="162"/>
  <c r="M206" i="162" s="1"/>
  <c r="M207" i="162" s="1"/>
  <c r="M217" i="162" s="1"/>
  <c r="K48" i="133" s="1"/>
  <c r="M246" i="107" s="1"/>
  <c r="L46" i="162"/>
  <c r="L64" i="162"/>
  <c r="L83" i="162" s="1"/>
  <c r="H357" i="105"/>
  <c r="H350" i="105"/>
  <c r="G436" i="105"/>
  <c r="V138" i="138"/>
  <c r="U139" i="138" s="1"/>
  <c r="W138" i="138"/>
  <c r="AL274" i="138"/>
  <c r="AL159" i="138"/>
  <c r="J438" i="131"/>
  <c r="G15" i="128"/>
  <c r="L241" i="107"/>
  <c r="L242" i="107" s="1"/>
  <c r="J28" i="133" s="1"/>
  <c r="J29" i="133" s="1"/>
  <c r="G240" i="107"/>
  <c r="E38" i="133"/>
  <c r="E230" i="133"/>
  <c r="G147" i="133"/>
  <c r="I274" i="107" s="1"/>
  <c r="I21" i="219" s="1"/>
  <c r="F631" i="131"/>
  <c r="F626" i="131"/>
  <c r="J631" i="131"/>
  <c r="J626" i="131"/>
  <c r="V63" i="128"/>
  <c r="V71" i="128"/>
  <c r="V67" i="128"/>
  <c r="V79" i="128"/>
  <c r="V89" i="128"/>
  <c r="V95" i="128"/>
  <c r="V91" i="128"/>
  <c r="V99" i="128"/>
  <c r="AA152" i="132"/>
  <c r="AA151" i="132"/>
  <c r="AA150" i="132"/>
  <c r="AA149" i="132"/>
  <c r="AA148" i="132"/>
  <c r="AA147" i="132"/>
  <c r="AA146" i="132"/>
  <c r="AA145" i="132"/>
  <c r="AA144" i="132"/>
  <c r="AA143" i="132"/>
  <c r="AA142" i="132"/>
  <c r="AA141" i="132"/>
  <c r="AA140" i="132"/>
  <c r="AA139" i="132"/>
  <c r="AA137" i="132"/>
  <c r="AA135" i="132"/>
  <c r="AA133" i="132"/>
  <c r="AA131" i="132"/>
  <c r="AA129" i="132"/>
  <c r="AA127" i="132"/>
  <c r="AA125" i="132"/>
  <c r="AA123" i="132"/>
  <c r="AA121" i="132"/>
  <c r="AA119" i="132"/>
  <c r="AA117" i="132"/>
  <c r="AA115" i="132"/>
  <c r="AA113" i="132"/>
  <c r="AA112" i="132"/>
  <c r="AA111" i="132"/>
  <c r="AA138" i="132"/>
  <c r="AA136" i="132"/>
  <c r="AA134" i="132"/>
  <c r="AA132" i="132"/>
  <c r="AA130" i="132"/>
  <c r="AA128" i="132"/>
  <c r="AA126" i="132"/>
  <c r="AA124" i="132"/>
  <c r="AA122" i="132"/>
  <c r="AA120" i="132"/>
  <c r="AA118" i="132"/>
  <c r="AA116" i="132"/>
  <c r="AA114" i="132"/>
  <c r="M109" i="132"/>
  <c r="AP109" i="132"/>
  <c r="AM148" i="138"/>
  <c r="AM123" i="138"/>
  <c r="L417" i="105"/>
  <c r="L347" i="105"/>
  <c r="L394" i="105"/>
  <c r="L348" i="105"/>
  <c r="AF171" i="138"/>
  <c r="AE171" i="138"/>
  <c r="AD172" i="138" s="1"/>
  <c r="S103" i="132"/>
  <c r="L491" i="105"/>
  <c r="E139" i="133"/>
  <c r="I147" i="133"/>
  <c r="K274" i="107" s="1"/>
  <c r="K21" i="219" s="1"/>
  <c r="K356" i="105"/>
  <c r="K363" i="105" s="1"/>
  <c r="G497" i="105" s="1"/>
  <c r="S356" i="105"/>
  <c r="S363" i="105" s="1"/>
  <c r="O497" i="105" s="1"/>
  <c r="C381" i="148" s="1"/>
  <c r="Z123" i="148" s="1"/>
  <c r="F27" i="214"/>
  <c r="N216" i="107"/>
  <c r="Q29" i="133"/>
  <c r="F9" i="128"/>
  <c r="I436" i="131" s="1"/>
  <c r="I444" i="131" s="1"/>
  <c r="T16" i="138"/>
  <c r="F26" i="138" s="1"/>
  <c r="F478" i="105" s="1"/>
  <c r="F477" i="105" s="1"/>
  <c r="F476" i="105" s="1"/>
  <c r="F475" i="105" s="1"/>
  <c r="K473" i="105"/>
  <c r="K472" i="105" s="1"/>
  <c r="W89" i="132"/>
  <c r="I302" i="105" s="1"/>
  <c r="I303" i="105" s="1"/>
  <c r="I304" i="105" s="1"/>
  <c r="AB102" i="133"/>
  <c r="U86" i="148" s="1"/>
  <c r="AA86" i="148" s="1"/>
  <c r="AB116" i="133"/>
  <c r="U101" i="148" s="1"/>
  <c r="AA101" i="148" s="1"/>
  <c r="F344" i="105"/>
  <c r="W96" i="132"/>
  <c r="W82" i="132"/>
  <c r="I298" i="105" s="1"/>
  <c r="I299" i="105" s="1"/>
  <c r="I300" i="105" s="1"/>
  <c r="W75" i="132"/>
  <c r="I294" i="105" s="1"/>
  <c r="I295" i="105" s="1"/>
  <c r="I296" i="105" s="1"/>
  <c r="W68" i="132"/>
  <c r="I290" i="105" s="1"/>
  <c r="I291" i="105" s="1"/>
  <c r="I292" i="105" s="1"/>
  <c r="W61" i="132"/>
  <c r="I286" i="105" s="1"/>
  <c r="I287" i="105" s="1"/>
  <c r="I288" i="105" s="1"/>
  <c r="W54" i="132"/>
  <c r="I282" i="105" s="1"/>
  <c r="I283" i="105" s="1"/>
  <c r="I284" i="105" s="1"/>
  <c r="U102" i="128"/>
  <c r="G6" i="128" s="1"/>
  <c r="G7" i="128" s="1"/>
  <c r="G9" i="128" s="1"/>
  <c r="J436" i="131" s="1"/>
  <c r="J444" i="131" s="1"/>
  <c r="H171" i="133"/>
  <c r="H173" i="133" s="1"/>
  <c r="U116" i="148"/>
  <c r="X103" i="148"/>
  <c r="W116" i="148"/>
  <c r="Z103" i="148"/>
  <c r="G22" i="131"/>
  <c r="K5" i="131" s="1"/>
  <c r="K3" i="131" s="1"/>
  <c r="F23" i="131"/>
  <c r="D98" i="138"/>
  <c r="C99" i="138" s="1"/>
  <c r="E98" i="138"/>
  <c r="J171" i="138"/>
  <c r="I172" i="138" s="1"/>
  <c r="K171" i="138"/>
  <c r="N135" i="138"/>
  <c r="M135" i="138"/>
  <c r="L136" i="138" s="1"/>
  <c r="E5" i="138"/>
  <c r="AJ320" i="138"/>
  <c r="E12" i="138" s="1"/>
  <c r="AJ318" i="138"/>
  <c r="V171" i="138"/>
  <c r="U172" i="138" s="1"/>
  <c r="W171" i="138"/>
  <c r="J241" i="107"/>
  <c r="J242" i="107" s="1"/>
  <c r="H28" i="133" s="1"/>
  <c r="H29" i="133" s="1"/>
  <c r="O147" i="133"/>
  <c r="Q274" i="107" s="1"/>
  <c r="Q21" i="219" s="1"/>
  <c r="BQ47" i="132"/>
  <c r="O101" i="132"/>
  <c r="L16" i="213"/>
  <c r="L12" i="214"/>
  <c r="K2" i="162"/>
  <c r="K29" i="162"/>
  <c r="K46" i="162"/>
  <c r="K64" i="162"/>
  <c r="K83" i="162" s="1"/>
  <c r="V100" i="138"/>
  <c r="U101" i="138" s="1"/>
  <c r="W100" i="138"/>
  <c r="O136" i="148"/>
  <c r="Z99" i="148" s="1"/>
  <c r="M136" i="148"/>
  <c r="X99" i="148" s="1"/>
  <c r="R216" i="107"/>
  <c r="G98" i="138"/>
  <c r="F99" i="138" s="1"/>
  <c r="H98" i="138"/>
  <c r="P216" i="107"/>
  <c r="P98" i="138"/>
  <c r="O99" i="138" s="1"/>
  <c r="Q98" i="138"/>
  <c r="L357" i="105"/>
  <c r="I148" i="133" s="1"/>
  <c r="L350" i="105"/>
  <c r="I146" i="133" s="1"/>
  <c r="L111" i="132"/>
  <c r="AW60" i="128" s="1"/>
  <c r="L113" i="132"/>
  <c r="AW62" i="128" s="1"/>
  <c r="L115" i="132"/>
  <c r="AW64" i="128" s="1"/>
  <c r="L117" i="132"/>
  <c r="AW66" i="128" s="1"/>
  <c r="L119" i="132"/>
  <c r="AW68" i="128" s="1"/>
  <c r="L121" i="132"/>
  <c r="AW70" i="128" s="1"/>
  <c r="L123" i="132"/>
  <c r="AW72" i="128" s="1"/>
  <c r="L125" i="132"/>
  <c r="AW74" i="128" s="1"/>
  <c r="L127" i="132"/>
  <c r="AW76" i="128" s="1"/>
  <c r="L129" i="132"/>
  <c r="AW78" i="128" s="1"/>
  <c r="L131" i="132"/>
  <c r="AW80" i="128" s="1"/>
  <c r="L133" i="132"/>
  <c r="AW82" i="128" s="1"/>
  <c r="L135" i="132"/>
  <c r="AW84" i="128" s="1"/>
  <c r="L137" i="132"/>
  <c r="AW86" i="128" s="1"/>
  <c r="L139" i="132"/>
  <c r="AW88" i="128" s="1"/>
  <c r="L141" i="132"/>
  <c r="AW90" i="128" s="1"/>
  <c r="L143" i="132"/>
  <c r="AW92" i="128" s="1"/>
  <c r="L145" i="132"/>
  <c r="AW94" i="128" s="1"/>
  <c r="L147" i="132"/>
  <c r="AW96" i="128" s="1"/>
  <c r="L149" i="132"/>
  <c r="AW98" i="128" s="1"/>
  <c r="L151" i="132"/>
  <c r="AW100" i="128" s="1"/>
  <c r="L112" i="132"/>
  <c r="AW61" i="128" s="1"/>
  <c r="L114" i="132"/>
  <c r="AW63" i="128" s="1"/>
  <c r="L116" i="132"/>
  <c r="AW65" i="128" s="1"/>
  <c r="L118" i="132"/>
  <c r="AW67" i="128" s="1"/>
  <c r="L120" i="132"/>
  <c r="AW69" i="128" s="1"/>
  <c r="L122" i="132"/>
  <c r="AW71" i="128" s="1"/>
  <c r="L124" i="132"/>
  <c r="AW73" i="128" s="1"/>
  <c r="L126" i="132"/>
  <c r="AW75" i="128" s="1"/>
  <c r="L128" i="132"/>
  <c r="AW77" i="128" s="1"/>
  <c r="L130" i="132"/>
  <c r="AW79" i="128" s="1"/>
  <c r="L132" i="132"/>
  <c r="AW81" i="128" s="1"/>
  <c r="L134" i="132"/>
  <c r="AW83" i="128" s="1"/>
  <c r="L136" i="132"/>
  <c r="AW85" i="128" s="1"/>
  <c r="L138" i="132"/>
  <c r="AW87" i="128" s="1"/>
  <c r="L140" i="132"/>
  <c r="AW89" i="128" s="1"/>
  <c r="L142" i="132"/>
  <c r="AW91" i="128" s="1"/>
  <c r="L144" i="132"/>
  <c r="AW93" i="128" s="1"/>
  <c r="L146" i="132"/>
  <c r="AW95" i="128" s="1"/>
  <c r="L148" i="132"/>
  <c r="AW97" i="128" s="1"/>
  <c r="L150" i="132"/>
  <c r="AW99" i="128" s="1"/>
  <c r="L152" i="132"/>
  <c r="AW101" i="128" s="1"/>
  <c r="AA98" i="133"/>
  <c r="T82" i="148" s="1"/>
  <c r="AC98" i="133"/>
  <c r="V82" i="148" s="1"/>
  <c r="M241" i="107"/>
  <c r="M242" i="107" s="1"/>
  <c r="K28" i="133" s="1"/>
  <c r="K29" i="133" s="1"/>
  <c r="I241" i="107"/>
  <c r="I242" i="107" s="1"/>
  <c r="G28" i="133" s="1"/>
  <c r="G29" i="133" s="1"/>
  <c r="H6" i="133"/>
  <c r="H5" i="133"/>
  <c r="E228" i="133"/>
  <c r="E27" i="133"/>
  <c r="W26" i="133"/>
  <c r="W27" i="133" s="1"/>
  <c r="E34" i="133"/>
  <c r="AB173" i="138"/>
  <c r="AA174" i="138" s="1"/>
  <c r="AC173" i="138"/>
  <c r="K206" i="162"/>
  <c r="K207" i="162" s="1"/>
  <c r="J105" i="162"/>
  <c r="J142" i="162" s="1"/>
  <c r="J143" i="162" s="1"/>
  <c r="I137" i="133" s="1"/>
  <c r="K23" i="214"/>
  <c r="K25" i="214" s="1"/>
  <c r="K6" i="214"/>
  <c r="K9" i="213"/>
  <c r="G31" i="215"/>
  <c r="E652" i="107"/>
  <c r="F1041" i="162"/>
  <c r="L45" i="132"/>
  <c r="M23" i="162"/>
  <c r="M36" i="162" s="1"/>
  <c r="AP76" i="138"/>
  <c r="M89" i="162"/>
  <c r="M15" i="162" s="1"/>
  <c r="N81" i="107"/>
  <c r="N234" i="107"/>
  <c r="O77" i="105"/>
  <c r="AB47" i="132"/>
  <c r="P143" i="131"/>
  <c r="G154" i="131"/>
  <c r="AK303" i="138"/>
  <c r="AK314" i="138" s="1"/>
  <c r="AK285" i="138"/>
  <c r="T5" i="138"/>
  <c r="F4" i="138" s="1"/>
  <c r="F45" i="138" s="1"/>
  <c r="H116" i="105"/>
  <c r="CM94" i="132"/>
  <c r="X94" i="132" s="1"/>
  <c r="CB94" i="132"/>
  <c r="CM83" i="132"/>
  <c r="X83" i="132" s="1"/>
  <c r="CB83" i="132"/>
  <c r="CM87" i="132"/>
  <c r="X87" i="132" s="1"/>
  <c r="CB87" i="132"/>
  <c r="CM80" i="132"/>
  <c r="X80" i="132" s="1"/>
  <c r="CB80" i="132"/>
  <c r="CM73" i="132"/>
  <c r="X73" i="132" s="1"/>
  <c r="CB73" i="132"/>
  <c r="CM66" i="132"/>
  <c r="X66" i="132" s="1"/>
  <c r="CB66" i="132"/>
  <c r="CM59" i="132"/>
  <c r="X59" i="132" s="1"/>
  <c r="CB59" i="132"/>
  <c r="CM52" i="132"/>
  <c r="X52" i="132" s="1"/>
  <c r="CB52" i="132"/>
  <c r="AB86" i="148"/>
  <c r="AE86" i="148"/>
  <c r="AK86" i="148"/>
  <c r="AH86" i="148"/>
  <c r="E220" i="133"/>
  <c r="D255" i="133"/>
  <c r="D435" i="107" s="1"/>
  <c r="D254" i="133" s="1"/>
  <c r="E224" i="133"/>
  <c r="E222" i="133" s="1"/>
  <c r="P246" i="133"/>
  <c r="N468" i="105"/>
  <c r="O469" i="105"/>
  <c r="S171" i="138"/>
  <c r="R172" i="138" s="1"/>
  <c r="T171" i="138"/>
  <c r="E255" i="107"/>
  <c r="G13" i="219"/>
  <c r="H170" i="138"/>
  <c r="G170" i="138"/>
  <c r="F171" i="138" s="1"/>
  <c r="M184" i="107"/>
  <c r="M191" i="107" s="1"/>
  <c r="M201" i="107" s="1"/>
  <c r="M210" i="107" s="1"/>
  <c r="M142" i="107"/>
  <c r="M91" i="107"/>
  <c r="AO112" i="138"/>
  <c r="AO87" i="138"/>
  <c r="AC109" i="132"/>
  <c r="K90" i="132"/>
  <c r="K91" i="132"/>
  <c r="K92" i="132"/>
  <c r="K93" i="132"/>
  <c r="K94" i="132"/>
  <c r="K95" i="132"/>
  <c r="K83" i="132"/>
  <c r="K84" i="132"/>
  <c r="K85" i="132"/>
  <c r="K86" i="132"/>
  <c r="K87" i="132"/>
  <c r="K88" i="132"/>
  <c r="K76" i="132"/>
  <c r="K77" i="132"/>
  <c r="K78" i="132"/>
  <c r="K79" i="132"/>
  <c r="K80" i="132"/>
  <c r="K81" i="132"/>
  <c r="K69" i="132"/>
  <c r="K70" i="132"/>
  <c r="K71" i="132"/>
  <c r="K72" i="132"/>
  <c r="K73" i="132"/>
  <c r="K74" i="132"/>
  <c r="K62" i="132"/>
  <c r="K63" i="132"/>
  <c r="K64" i="132"/>
  <c r="K65" i="132"/>
  <c r="K66" i="132"/>
  <c r="K67" i="132"/>
  <c r="K55" i="132"/>
  <c r="K56" i="132"/>
  <c r="K57" i="132"/>
  <c r="K58" i="132"/>
  <c r="K59" i="132"/>
  <c r="K60" i="132"/>
  <c r="K48" i="132"/>
  <c r="K49" i="132"/>
  <c r="K50" i="132"/>
  <c r="K51" i="132"/>
  <c r="K52" i="132"/>
  <c r="K53" i="132"/>
  <c r="I356" i="105"/>
  <c r="I363" i="105" s="1"/>
  <c r="E497" i="105" s="1"/>
  <c r="H363" i="105"/>
  <c r="D497" i="105" s="1"/>
  <c r="H364" i="105"/>
  <c r="I364" i="105" s="1"/>
  <c r="J364" i="105" s="1"/>
  <c r="F345" i="105"/>
  <c r="G397" i="105"/>
  <c r="H405" i="105" s="1"/>
  <c r="G398" i="105"/>
  <c r="G395" i="105"/>
  <c r="CM90" i="132"/>
  <c r="X90" i="132" s="1"/>
  <c r="CB90" i="132"/>
  <c r="CM92" i="132"/>
  <c r="X92" i="132" s="1"/>
  <c r="CB92" i="132"/>
  <c r="CM85" i="132"/>
  <c r="X85" i="132" s="1"/>
  <c r="CB85" i="132"/>
  <c r="CM76" i="132"/>
  <c r="X76" i="132" s="1"/>
  <c r="CB76" i="132"/>
  <c r="CM78" i="132"/>
  <c r="X78" i="132" s="1"/>
  <c r="CB78" i="132"/>
  <c r="CM69" i="132"/>
  <c r="X69" i="132" s="1"/>
  <c r="CB69" i="132"/>
  <c r="CM71" i="132"/>
  <c r="X71" i="132" s="1"/>
  <c r="CB71" i="132"/>
  <c r="CM62" i="132"/>
  <c r="X62" i="132" s="1"/>
  <c r="CB62" i="132"/>
  <c r="CM64" i="132"/>
  <c r="X64" i="132" s="1"/>
  <c r="CB64" i="132"/>
  <c r="CM55" i="132"/>
  <c r="X55" i="132" s="1"/>
  <c r="CB55" i="132"/>
  <c r="CM57" i="132"/>
  <c r="X57" i="132" s="1"/>
  <c r="CB57" i="132"/>
  <c r="CM48" i="132"/>
  <c r="X48" i="132" s="1"/>
  <c r="CB48" i="132"/>
  <c r="CM50" i="132"/>
  <c r="X50" i="132" s="1"/>
  <c r="CB50" i="132"/>
  <c r="AL129" i="138"/>
  <c r="AL127" i="138"/>
  <c r="AL128" i="138" s="1"/>
  <c r="L136" i="148"/>
  <c r="W99" i="148" s="1"/>
  <c r="N136" i="148"/>
  <c r="Y99" i="148" s="1"/>
  <c r="K147" i="133"/>
  <c r="M274" i="107" s="1"/>
  <c r="M21" i="219" s="1"/>
  <c r="P135" i="138"/>
  <c r="O136" i="138" s="1"/>
  <c r="Q135" i="138"/>
  <c r="T138" i="138"/>
  <c r="S138" i="138"/>
  <c r="R139" i="138" s="1"/>
  <c r="G135" i="138"/>
  <c r="F136" i="138" s="1"/>
  <c r="H135" i="138"/>
  <c r="V64" i="128"/>
  <c r="V60" i="128"/>
  <c r="I54" i="132"/>
  <c r="H441" i="105" s="1"/>
  <c r="V70" i="128"/>
  <c r="V66" i="128"/>
  <c r="I61" i="132"/>
  <c r="H442" i="105" s="1"/>
  <c r="V76" i="128"/>
  <c r="V74" i="128"/>
  <c r="V72" i="128"/>
  <c r="I68" i="132"/>
  <c r="V78" i="128"/>
  <c r="I75" i="132"/>
  <c r="H444" i="105" s="1"/>
  <c r="V86" i="128"/>
  <c r="V84" i="128"/>
  <c r="I82" i="132"/>
  <c r="H445" i="105" s="1"/>
  <c r="V94" i="128"/>
  <c r="V90" i="128"/>
  <c r="I89" i="132"/>
  <c r="H446" i="105" s="1"/>
  <c r="V100" i="128"/>
  <c r="V96" i="128"/>
  <c r="I96" i="132"/>
  <c r="AM93" i="138"/>
  <c r="C185" i="133"/>
  <c r="U163" i="133"/>
  <c r="CM95" i="132"/>
  <c r="X95" i="132" s="1"/>
  <c r="CB95" i="132"/>
  <c r="CM72" i="132"/>
  <c r="X72" i="132" s="1"/>
  <c r="CB72" i="132"/>
  <c r="CM67" i="132"/>
  <c r="X67" i="132" s="1"/>
  <c r="CB67" i="132"/>
  <c r="CM49" i="132"/>
  <c r="X49" i="132" s="1"/>
  <c r="CB49" i="132"/>
  <c r="Q216" i="107"/>
  <c r="E9" i="128"/>
  <c r="H436" i="131" s="1"/>
  <c r="H444" i="131" s="1"/>
  <c r="U113" i="148"/>
  <c r="X101" i="148" s="1"/>
  <c r="T15" i="138"/>
  <c r="AL91" i="138"/>
  <c r="H443" i="105"/>
  <c r="O363" i="105"/>
  <c r="K497" i="105" s="1"/>
  <c r="K357" i="105"/>
  <c r="H148" i="133" s="1"/>
  <c r="L363" i="105"/>
  <c r="H497" i="105" s="1"/>
  <c r="AC100" i="138" l="1"/>
  <c r="AB100" i="138"/>
  <c r="AA101" i="138" s="1"/>
  <c r="K135" i="138"/>
  <c r="J135" i="138"/>
  <c r="I136" i="138" s="1"/>
  <c r="AC101" i="148"/>
  <c r="AA113" i="148" s="1"/>
  <c r="AB98" i="133"/>
  <c r="U82" i="148" s="1"/>
  <c r="AA82" i="148" s="1"/>
  <c r="F18" i="128"/>
  <c r="F439" i="105" s="1"/>
  <c r="F435" i="105" s="1"/>
  <c r="AC135" i="138"/>
  <c r="AB135" i="138"/>
  <c r="AA136" i="138" s="1"/>
  <c r="K101" i="138"/>
  <c r="J101" i="138"/>
  <c r="I102" i="138" s="1"/>
  <c r="N171" i="138"/>
  <c r="M171" i="138"/>
  <c r="L172" i="138" s="1"/>
  <c r="I129" i="107"/>
  <c r="I243" i="107"/>
  <c r="AE99" i="148"/>
  <c r="K129" i="107"/>
  <c r="K243" i="107"/>
  <c r="AH99" i="148"/>
  <c r="AK99" i="148"/>
  <c r="G136" i="138"/>
  <c r="F137" i="138" s="1"/>
  <c r="H136" i="138"/>
  <c r="P136" i="138"/>
  <c r="O137" i="138" s="1"/>
  <c r="Q136" i="138"/>
  <c r="X54" i="132"/>
  <c r="J282" i="105" s="1"/>
  <c r="J283" i="105" s="1"/>
  <c r="J284" i="105" s="1"/>
  <c r="X61" i="132"/>
  <c r="J286" i="105" s="1"/>
  <c r="J287" i="105" s="1"/>
  <c r="J288" i="105" s="1"/>
  <c r="X68" i="132"/>
  <c r="J290" i="105" s="1"/>
  <c r="J291" i="105" s="1"/>
  <c r="J292" i="105" s="1"/>
  <c r="X75" i="132"/>
  <c r="J294" i="105" s="1"/>
  <c r="J295" i="105" s="1"/>
  <c r="J296" i="105" s="1"/>
  <c r="X82" i="132"/>
  <c r="J298" i="105" s="1"/>
  <c r="J299" i="105" s="1"/>
  <c r="J300" i="105" s="1"/>
  <c r="X96" i="132"/>
  <c r="H399" i="105"/>
  <c r="I400" i="105"/>
  <c r="K402" i="105"/>
  <c r="J401" i="105"/>
  <c r="F147" i="133"/>
  <c r="Y356" i="105"/>
  <c r="V356" i="105"/>
  <c r="W356" i="105" s="1"/>
  <c r="K54" i="132"/>
  <c r="K61" i="132"/>
  <c r="K68" i="132"/>
  <c r="K75" i="132"/>
  <c r="K82" i="132"/>
  <c r="K89" i="132"/>
  <c r="K96" i="132"/>
  <c r="AO93" i="138"/>
  <c r="O468" i="105"/>
  <c r="C354" i="148"/>
  <c r="D354" i="148" s="1"/>
  <c r="CN52" i="132"/>
  <c r="Y52" i="132" s="1"/>
  <c r="CC52" i="132"/>
  <c r="CN59" i="132"/>
  <c r="Y59" i="132" s="1"/>
  <c r="CC59" i="132"/>
  <c r="CN66" i="132"/>
  <c r="Y66" i="132" s="1"/>
  <c r="CC66" i="132"/>
  <c r="CN73" i="132"/>
  <c r="Y73" i="132" s="1"/>
  <c r="CC73" i="132"/>
  <c r="CN80" i="132"/>
  <c r="Y80" i="132" s="1"/>
  <c r="CC80" i="132"/>
  <c r="CN87" i="132"/>
  <c r="Y87" i="132" s="1"/>
  <c r="CC87" i="132"/>
  <c r="CN83" i="132"/>
  <c r="Y83" i="132" s="1"/>
  <c r="CC83" i="132"/>
  <c r="CN94" i="132"/>
  <c r="Y94" i="132" s="1"/>
  <c r="CC94" i="132"/>
  <c r="F46" i="138"/>
  <c r="F47" i="138"/>
  <c r="F49" i="138" s="1"/>
  <c r="F65" i="138"/>
  <c r="F5" i="138"/>
  <c r="G49" i="133" s="1"/>
  <c r="AK320" i="138"/>
  <c r="O393" i="105"/>
  <c r="N268" i="105"/>
  <c r="N280" i="105"/>
  <c r="L2" i="133"/>
  <c r="L163" i="133" s="1"/>
  <c r="N184" i="107"/>
  <c r="N191" i="107" s="1"/>
  <c r="N201" i="107" s="1"/>
  <c r="N210" i="107" s="1"/>
  <c r="N142" i="107"/>
  <c r="N91" i="107"/>
  <c r="AP112" i="138"/>
  <c r="AP87" i="138"/>
  <c r="AD109" i="132"/>
  <c r="L90" i="132"/>
  <c r="L91" i="132"/>
  <c r="L92" i="132"/>
  <c r="L93" i="132"/>
  <c r="L94" i="132"/>
  <c r="L95" i="132"/>
  <c r="L83" i="132"/>
  <c r="L84" i="132"/>
  <c r="L85" i="132"/>
  <c r="L86" i="132"/>
  <c r="L87" i="132"/>
  <c r="L88" i="132"/>
  <c r="L76" i="132"/>
  <c r="L77" i="132"/>
  <c r="L78" i="132"/>
  <c r="L79" i="132"/>
  <c r="L80" i="132"/>
  <c r="L81" i="132"/>
  <c r="L69" i="132"/>
  <c r="L70" i="132"/>
  <c r="L71" i="132"/>
  <c r="L72" i="132"/>
  <c r="L73" i="132"/>
  <c r="L74" i="132"/>
  <c r="L62" i="132"/>
  <c r="L63" i="132"/>
  <c r="L64" i="132"/>
  <c r="L65" i="132"/>
  <c r="L66" i="132"/>
  <c r="L67" i="132"/>
  <c r="L55" i="132"/>
  <c r="L56" i="132"/>
  <c r="L57" i="132"/>
  <c r="L58" i="132"/>
  <c r="L59" i="132"/>
  <c r="L60" i="132"/>
  <c r="L48" i="132"/>
  <c r="L49" i="132"/>
  <c r="L50" i="132"/>
  <c r="L51" i="132"/>
  <c r="L52" i="132"/>
  <c r="L53" i="132"/>
  <c r="K217" i="162"/>
  <c r="I48" i="133" s="1"/>
  <c r="K246" i="107" s="1"/>
  <c r="AB174" i="138"/>
  <c r="AA175" i="138" s="1"/>
  <c r="AC174" i="138"/>
  <c r="W28" i="133"/>
  <c r="W29" i="133" s="1"/>
  <c r="E231" i="133"/>
  <c r="W228" i="133"/>
  <c r="D228" i="133"/>
  <c r="AE82" i="148"/>
  <c r="AB82" i="148"/>
  <c r="AK82" i="148"/>
  <c r="AH82" i="148"/>
  <c r="L206" i="162"/>
  <c r="L207" i="162" s="1"/>
  <c r="L217" i="162" s="1"/>
  <c r="J48" i="133" s="1"/>
  <c r="L246" i="107" s="1"/>
  <c r="K105" i="162"/>
  <c r="K142" i="162" s="1"/>
  <c r="K143" i="162" s="1"/>
  <c r="J137" i="133" s="1"/>
  <c r="L23" i="214"/>
  <c r="L25" i="214" s="1"/>
  <c r="L6" i="214"/>
  <c r="L9" i="213"/>
  <c r="W172" i="138"/>
  <c r="V172" i="138"/>
  <c r="U173" i="138" s="1"/>
  <c r="M136" i="138"/>
  <c r="L137" i="138" s="1"/>
  <c r="N136" i="138"/>
  <c r="F24" i="131"/>
  <c r="G24" i="131" s="1"/>
  <c r="M5" i="131" s="1"/>
  <c r="M3" i="131" s="1"/>
  <c r="G23" i="131"/>
  <c r="L5" i="131" s="1"/>
  <c r="L3" i="131" s="1"/>
  <c r="AK103" i="148"/>
  <c r="AY103" i="148"/>
  <c r="AZ103" i="148" s="1"/>
  <c r="AM103" i="148"/>
  <c r="AD121" i="148"/>
  <c r="AS103" i="148"/>
  <c r="AT103" i="148" s="1"/>
  <c r="AE103" i="148"/>
  <c r="AB121" i="148"/>
  <c r="AG103" i="148"/>
  <c r="I306" i="105"/>
  <c r="I307" i="105" s="1"/>
  <c r="W98" i="132"/>
  <c r="P147" i="133"/>
  <c r="R274" i="107" s="1"/>
  <c r="R21" i="219" s="1"/>
  <c r="H147" i="133"/>
  <c r="J274" i="107" s="1"/>
  <c r="J21" i="219" s="1"/>
  <c r="G279" i="107"/>
  <c r="T103" i="132"/>
  <c r="M491" i="105"/>
  <c r="L397" i="105"/>
  <c r="M405" i="105" s="1"/>
  <c r="M412" i="105" s="1"/>
  <c r="J154" i="133" s="1"/>
  <c r="L398" i="105"/>
  <c r="AM274" i="138"/>
  <c r="AM159" i="138"/>
  <c r="M111" i="132"/>
  <c r="AX60" i="128" s="1"/>
  <c r="M113" i="132"/>
  <c r="AX62" i="128" s="1"/>
  <c r="M115" i="132"/>
  <c r="AX64" i="128" s="1"/>
  <c r="M117" i="132"/>
  <c r="AX66" i="128" s="1"/>
  <c r="M119" i="132"/>
  <c r="AX68" i="128" s="1"/>
  <c r="M121" i="132"/>
  <c r="AX70" i="128" s="1"/>
  <c r="M123" i="132"/>
  <c r="AX72" i="128" s="1"/>
  <c r="M125" i="132"/>
  <c r="AX74" i="128" s="1"/>
  <c r="M127" i="132"/>
  <c r="AX76" i="128" s="1"/>
  <c r="M129" i="132"/>
  <c r="AX78" i="128" s="1"/>
  <c r="M131" i="132"/>
  <c r="AX80" i="128" s="1"/>
  <c r="M133" i="132"/>
  <c r="AX82" i="128" s="1"/>
  <c r="M135" i="132"/>
  <c r="AX84" i="128" s="1"/>
  <c r="M137" i="132"/>
  <c r="AX86" i="128" s="1"/>
  <c r="M139" i="132"/>
  <c r="AX88" i="128" s="1"/>
  <c r="M141" i="132"/>
  <c r="AX90" i="128" s="1"/>
  <c r="M143" i="132"/>
  <c r="AX92" i="128" s="1"/>
  <c r="M145" i="132"/>
  <c r="AX94" i="128" s="1"/>
  <c r="M147" i="132"/>
  <c r="AX96" i="128" s="1"/>
  <c r="M149" i="132"/>
  <c r="AX98" i="128" s="1"/>
  <c r="M151" i="132"/>
  <c r="AX100" i="128" s="1"/>
  <c r="M112" i="132"/>
  <c r="AX61" i="128" s="1"/>
  <c r="M114" i="132"/>
  <c r="AX63" i="128" s="1"/>
  <c r="M116" i="132"/>
  <c r="AX65" i="128" s="1"/>
  <c r="M118" i="132"/>
  <c r="AX67" i="128" s="1"/>
  <c r="M120" i="132"/>
  <c r="AX69" i="128" s="1"/>
  <c r="M122" i="132"/>
  <c r="AX71" i="128" s="1"/>
  <c r="M124" i="132"/>
  <c r="AX73" i="128" s="1"/>
  <c r="M126" i="132"/>
  <c r="AX75" i="128" s="1"/>
  <c r="M128" i="132"/>
  <c r="AX77" i="128" s="1"/>
  <c r="M130" i="132"/>
  <c r="AX79" i="128" s="1"/>
  <c r="M132" i="132"/>
  <c r="AX81" i="128" s="1"/>
  <c r="M134" i="132"/>
  <c r="AX83" i="128" s="1"/>
  <c r="M136" i="132"/>
  <c r="AX85" i="128" s="1"/>
  <c r="M138" i="132"/>
  <c r="AX87" i="128" s="1"/>
  <c r="M140" i="132"/>
  <c r="AX89" i="128" s="1"/>
  <c r="M142" i="132"/>
  <c r="AX91" i="128" s="1"/>
  <c r="M144" i="132"/>
  <c r="AX93" i="128" s="1"/>
  <c r="M146" i="132"/>
  <c r="AX95" i="128" s="1"/>
  <c r="M148" i="132"/>
  <c r="AX97" i="128" s="1"/>
  <c r="M150" i="132"/>
  <c r="AX99" i="128" s="1"/>
  <c r="M152" i="132"/>
  <c r="AX101" i="128" s="1"/>
  <c r="AL165" i="138"/>
  <c r="G13" i="138" s="1"/>
  <c r="AL163" i="138"/>
  <c r="AL164" i="138" s="1"/>
  <c r="G6" i="138"/>
  <c r="E146" i="133"/>
  <c r="H353" i="105"/>
  <c r="I353" i="105" s="1"/>
  <c r="J353" i="105" s="1"/>
  <c r="K353" i="105" s="1"/>
  <c r="L353" i="105" s="1"/>
  <c r="M23" i="214"/>
  <c r="M25" i="214" s="1"/>
  <c r="M6" i="214"/>
  <c r="M9" i="213"/>
  <c r="N417" i="105"/>
  <c r="N347" i="105"/>
  <c r="CN51" i="132"/>
  <c r="Y51" i="132" s="1"/>
  <c r="CC51" i="132"/>
  <c r="CN60" i="132"/>
  <c r="Y60" i="132" s="1"/>
  <c r="CC60" i="132"/>
  <c r="CN56" i="132"/>
  <c r="Y56" i="132" s="1"/>
  <c r="CC56" i="132"/>
  <c r="CN65" i="132"/>
  <c r="Y65" i="132" s="1"/>
  <c r="CC65" i="132"/>
  <c r="CN74" i="132"/>
  <c r="Y74" i="132" s="1"/>
  <c r="CC74" i="132"/>
  <c r="CN70" i="132"/>
  <c r="Y70" i="132" s="1"/>
  <c r="CC70" i="132"/>
  <c r="CN79" i="132"/>
  <c r="Y79" i="132" s="1"/>
  <c r="CC79" i="132"/>
  <c r="CN88" i="132"/>
  <c r="Y88" i="132" s="1"/>
  <c r="CC88" i="132"/>
  <c r="CN84" i="132"/>
  <c r="Y84" i="132" s="1"/>
  <c r="CC84" i="132"/>
  <c r="CN93" i="132"/>
  <c r="Y93" i="132" s="1"/>
  <c r="CC93" i="132"/>
  <c r="AE136" i="138"/>
  <c r="AD137" i="138" s="1"/>
  <c r="AF136" i="138"/>
  <c r="F172" i="133"/>
  <c r="AG154" i="132"/>
  <c r="EF154" i="132"/>
  <c r="CF154" i="132"/>
  <c r="AE367" i="132"/>
  <c r="D171" i="138"/>
  <c r="C172" i="138" s="1"/>
  <c r="E171" i="138"/>
  <c r="E18" i="105"/>
  <c r="H94" i="107"/>
  <c r="J147" i="133"/>
  <c r="L274" i="107" s="1"/>
  <c r="L21" i="219" s="1"/>
  <c r="L102" i="132"/>
  <c r="E490" i="105"/>
  <c r="N100" i="138"/>
  <c r="M100" i="138"/>
  <c r="L101" i="138" s="1"/>
  <c r="Y101" i="138"/>
  <c r="X102" i="138" s="1"/>
  <c r="Z101" i="138"/>
  <c r="D136" i="138"/>
  <c r="C137" i="138" s="1"/>
  <c r="E136" i="138"/>
  <c r="W62" i="128"/>
  <c r="W60" i="128"/>
  <c r="J54" i="132"/>
  <c r="I441" i="105" s="1"/>
  <c r="W68" i="128"/>
  <c r="W66" i="128"/>
  <c r="X66" i="128" s="1"/>
  <c r="J61" i="132"/>
  <c r="I442" i="105" s="1"/>
  <c r="W72" i="128"/>
  <c r="X72" i="128" s="1"/>
  <c r="J68" i="132"/>
  <c r="W82" i="128"/>
  <c r="W80" i="128"/>
  <c r="W78" i="128"/>
  <c r="X78" i="128" s="1"/>
  <c r="J75" i="132"/>
  <c r="I444" i="105" s="1"/>
  <c r="J444" i="105" s="1"/>
  <c r="W88" i="128"/>
  <c r="W84" i="128"/>
  <c r="X84" i="128" s="1"/>
  <c r="J82" i="132"/>
  <c r="I445" i="105" s="1"/>
  <c r="J445" i="105" s="1"/>
  <c r="W92" i="128"/>
  <c r="W90" i="128"/>
  <c r="X90" i="128" s="1"/>
  <c r="J89" i="132"/>
  <c r="I446" i="105" s="1"/>
  <c r="J446" i="105" s="1"/>
  <c r="W98" i="128"/>
  <c r="W96" i="128"/>
  <c r="X96" i="128" s="1"/>
  <c r="J96" i="132"/>
  <c r="AN93" i="138"/>
  <c r="M417" i="105"/>
  <c r="M347" i="105"/>
  <c r="M348" i="105"/>
  <c r="M45" i="132"/>
  <c r="N23" i="162"/>
  <c r="N36" i="162" s="1"/>
  <c r="AQ76" i="138"/>
  <c r="N89" i="162"/>
  <c r="N15" i="162" s="1"/>
  <c r="P77" i="105"/>
  <c r="O81" i="107"/>
  <c r="G155" i="131"/>
  <c r="O234" i="107"/>
  <c r="AC47" i="132"/>
  <c r="P144" i="131"/>
  <c r="T117" i="148"/>
  <c r="W102" i="148" s="1"/>
  <c r="V117" i="148"/>
  <c r="Y102" i="148" s="1"/>
  <c r="J171" i="133"/>
  <c r="J173" i="133" s="1"/>
  <c r="K170" i="133"/>
  <c r="I443" i="105"/>
  <c r="J443" i="105" s="1"/>
  <c r="I98" i="132"/>
  <c r="V102" i="128"/>
  <c r="H6" i="128" s="1"/>
  <c r="X62" i="128"/>
  <c r="X68" i="128"/>
  <c r="X82" i="128"/>
  <c r="X80" i="128"/>
  <c r="X88" i="128"/>
  <c r="X92" i="128"/>
  <c r="X98" i="128"/>
  <c r="AC86" i="148"/>
  <c r="AA153" i="132"/>
  <c r="M377" i="132" s="1"/>
  <c r="AF86" i="148"/>
  <c r="AL86" i="148"/>
  <c r="L143" i="162"/>
  <c r="AN101" i="148"/>
  <c r="W64" i="128"/>
  <c r="X64" i="128" s="1"/>
  <c r="W70" i="128"/>
  <c r="X70" i="128" s="1"/>
  <c r="W76" i="128"/>
  <c r="X76" i="128" s="1"/>
  <c r="W74" i="128"/>
  <c r="X74" i="128" s="1"/>
  <c r="W86" i="128"/>
  <c r="X86" i="128" s="1"/>
  <c r="W94" i="128"/>
  <c r="X94" i="128" s="1"/>
  <c r="W100" i="128"/>
  <c r="X100" i="128" s="1"/>
  <c r="AL92" i="138"/>
  <c r="U15" i="138"/>
  <c r="AE101" i="148"/>
  <c r="AB112" i="148"/>
  <c r="AG101" i="148"/>
  <c r="AI101" i="148" s="1"/>
  <c r="AC113" i="148" s="1"/>
  <c r="AS101" i="148"/>
  <c r="AT101" i="148" s="1"/>
  <c r="CN49" i="132"/>
  <c r="Y49" i="132" s="1"/>
  <c r="CC49" i="132"/>
  <c r="CN67" i="132"/>
  <c r="Y67" i="132" s="1"/>
  <c r="CC67" i="132"/>
  <c r="CN72" i="132"/>
  <c r="Y72" i="132" s="1"/>
  <c r="CC72" i="132"/>
  <c r="CN95" i="132"/>
  <c r="Y95" i="132" s="1"/>
  <c r="CC95" i="132"/>
  <c r="V103" i="128"/>
  <c r="H8" i="128" s="1"/>
  <c r="T139" i="138"/>
  <c r="S139" i="138"/>
  <c r="R140" i="138" s="1"/>
  <c r="AB99" i="148"/>
  <c r="CN50" i="132"/>
  <c r="Y50" i="132" s="1"/>
  <c r="CC50" i="132"/>
  <c r="CN48" i="132"/>
  <c r="Y48" i="132" s="1"/>
  <c r="CC48" i="132"/>
  <c r="CN57" i="132"/>
  <c r="Y57" i="132" s="1"/>
  <c r="CC57" i="132"/>
  <c r="CN55" i="132"/>
  <c r="Y55" i="132" s="1"/>
  <c r="CC55" i="132"/>
  <c r="CN64" i="132"/>
  <c r="Y64" i="132" s="1"/>
  <c r="CC64" i="132"/>
  <c r="CN62" i="132"/>
  <c r="Y62" i="132" s="1"/>
  <c r="CC62" i="132"/>
  <c r="CN71" i="132"/>
  <c r="Y71" i="132" s="1"/>
  <c r="CC71" i="132"/>
  <c r="CN69" i="132"/>
  <c r="Y69" i="132" s="1"/>
  <c r="Y75" i="132" s="1"/>
  <c r="K294" i="105" s="1"/>
  <c r="K295" i="105" s="1"/>
  <c r="K296" i="105" s="1"/>
  <c r="CC69" i="132"/>
  <c r="CN78" i="132"/>
  <c r="Y78" i="132" s="1"/>
  <c r="CC78" i="132"/>
  <c r="CN76" i="132"/>
  <c r="Y76" i="132" s="1"/>
  <c r="CC76" i="132"/>
  <c r="CN85" i="132"/>
  <c r="Y85" i="132" s="1"/>
  <c r="CC85" i="132"/>
  <c r="CN92" i="132"/>
  <c r="Y92" i="132" s="1"/>
  <c r="CC92" i="132"/>
  <c r="CN90" i="132"/>
  <c r="Y90" i="132" s="1"/>
  <c r="CC90" i="132"/>
  <c r="H412" i="105"/>
  <c r="E154" i="133" s="1"/>
  <c r="AC152" i="132"/>
  <c r="AC151" i="132"/>
  <c r="AC150" i="132"/>
  <c r="AC149" i="132"/>
  <c r="AC148" i="132"/>
  <c r="AC147" i="132"/>
  <c r="AC146" i="132"/>
  <c r="AC145" i="132"/>
  <c r="AC144" i="132"/>
  <c r="AC143" i="132"/>
  <c r="AC142" i="132"/>
  <c r="AC141" i="132"/>
  <c r="AC140" i="132"/>
  <c r="AC138" i="132"/>
  <c r="AC136" i="132"/>
  <c r="AC134" i="132"/>
  <c r="AC132" i="132"/>
  <c r="AC130" i="132"/>
  <c r="AC128" i="132"/>
  <c r="AC126" i="132"/>
  <c r="AC124" i="132"/>
  <c r="AC122" i="132"/>
  <c r="AC120" i="132"/>
  <c r="AC118" i="132"/>
  <c r="AC116" i="132"/>
  <c r="AC114" i="132"/>
  <c r="AC113" i="132"/>
  <c r="AC112" i="132"/>
  <c r="AC111" i="132"/>
  <c r="AC139" i="132"/>
  <c r="AC137" i="132"/>
  <c r="AC135" i="132"/>
  <c r="AC133" i="132"/>
  <c r="AC131" i="132"/>
  <c r="AC129" i="132"/>
  <c r="AC127" i="132"/>
  <c r="AC125" i="132"/>
  <c r="AC123" i="132"/>
  <c r="AC121" i="132"/>
  <c r="AC119" i="132"/>
  <c r="AC117" i="132"/>
  <c r="AC115" i="132"/>
  <c r="O109" i="132"/>
  <c r="AR109" i="132"/>
  <c r="AO148" i="138"/>
  <c r="AO123" i="138"/>
  <c r="G171" i="138"/>
  <c r="F172" i="138" s="1"/>
  <c r="H171" i="138"/>
  <c r="T172" i="138"/>
  <c r="S172" i="138"/>
  <c r="R173" i="138" s="1"/>
  <c r="X89" i="132"/>
  <c r="J302" i="105" s="1"/>
  <c r="J303" i="105" s="1"/>
  <c r="J304" i="105" s="1"/>
  <c r="H117" i="105"/>
  <c r="H118" i="105" s="1"/>
  <c r="AK291" i="138"/>
  <c r="AK289" i="138"/>
  <c r="AK290" i="138" s="1"/>
  <c r="BS47" i="132"/>
  <c r="Q101" i="132"/>
  <c r="N16" i="213"/>
  <c r="N12" i="214"/>
  <c r="M2" i="162"/>
  <c r="M29" i="162"/>
  <c r="N206" i="162" s="1"/>
  <c r="N207" i="162" s="1"/>
  <c r="N217" i="162" s="1"/>
  <c r="L48" i="133" s="1"/>
  <c r="N246" i="107" s="1"/>
  <c r="M46" i="162"/>
  <c r="M64" i="162"/>
  <c r="M83" i="162" s="1"/>
  <c r="F34" i="133"/>
  <c r="D455" i="105"/>
  <c r="G241" i="107"/>
  <c r="X27" i="133"/>
  <c r="Y28" i="133" s="1"/>
  <c r="M129" i="107"/>
  <c r="M243" i="107"/>
  <c r="AG82" i="148"/>
  <c r="AI82" i="148" s="1"/>
  <c r="AD82" i="148"/>
  <c r="AF82" i="148" s="1"/>
  <c r="AJ82" i="148"/>
  <c r="AL82" i="148" s="1"/>
  <c r="AM82" i="148"/>
  <c r="AN82" i="148" s="1"/>
  <c r="P99" i="138"/>
  <c r="O100" i="138" s="1"/>
  <c r="Q99" i="138"/>
  <c r="G99" i="138"/>
  <c r="F100" i="138" s="1"/>
  <c r="H99" i="138"/>
  <c r="V101" i="138"/>
  <c r="U102" i="138" s="1"/>
  <c r="W101" i="138"/>
  <c r="I433" i="105"/>
  <c r="I465" i="105" s="1"/>
  <c r="K56" i="162"/>
  <c r="L4" i="219"/>
  <c r="L29" i="219" s="1"/>
  <c r="I516" i="105"/>
  <c r="J129" i="107"/>
  <c r="J243" i="107"/>
  <c r="AJ319" i="138"/>
  <c r="S10" i="138" s="1"/>
  <c r="E25" i="138" s="1"/>
  <c r="E486" i="105" s="1"/>
  <c r="S9" i="138"/>
  <c r="F49" i="133"/>
  <c r="H247" i="107" s="1"/>
  <c r="J172" i="138"/>
  <c r="I173" i="138" s="1"/>
  <c r="K172" i="138"/>
  <c r="E99" i="138"/>
  <c r="D99" i="138"/>
  <c r="C100" i="138" s="1"/>
  <c r="K6" i="131"/>
  <c r="N41" i="133"/>
  <c r="N46" i="133" s="1"/>
  <c r="N47" i="133" s="1"/>
  <c r="P249" i="107" s="1"/>
  <c r="W117" i="148"/>
  <c r="Z102" i="148" s="1"/>
  <c r="U117" i="148"/>
  <c r="X102" i="148" s="1"/>
  <c r="G14" i="128"/>
  <c r="G16" i="128" s="1"/>
  <c r="J133" i="107" s="1"/>
  <c r="J437" i="131"/>
  <c r="AE172" i="138"/>
  <c r="AD173" i="138" s="1"/>
  <c r="AF172" i="138"/>
  <c r="M350" i="105"/>
  <c r="J146" i="133" s="1"/>
  <c r="M357" i="105"/>
  <c r="J148" i="133" s="1"/>
  <c r="AM129" i="138"/>
  <c r="AM127" i="138"/>
  <c r="AM128" i="138" s="1"/>
  <c r="I5" i="132"/>
  <c r="I32" i="132" s="1"/>
  <c r="AP113" i="132"/>
  <c r="AP117" i="132"/>
  <c r="AP121" i="132"/>
  <c r="AP125" i="132"/>
  <c r="AP129" i="132"/>
  <c r="AP133" i="132"/>
  <c r="AP137" i="132"/>
  <c r="AP141" i="132"/>
  <c r="AP145" i="132"/>
  <c r="AP149" i="132"/>
  <c r="AP112" i="132"/>
  <c r="AP116" i="132"/>
  <c r="AP120" i="132"/>
  <c r="AP124" i="132"/>
  <c r="AP128" i="132"/>
  <c r="AP132" i="132"/>
  <c r="AP136" i="132"/>
  <c r="AP140" i="132"/>
  <c r="AP144" i="132"/>
  <c r="AP148" i="132"/>
  <c r="AP152" i="132"/>
  <c r="AP111" i="132"/>
  <c r="AP119" i="132"/>
  <c r="AP127" i="132"/>
  <c r="AP135" i="132"/>
  <c r="AP143" i="132"/>
  <c r="AP151" i="132"/>
  <c r="AP118" i="132"/>
  <c r="AP126" i="132"/>
  <c r="AP134" i="132"/>
  <c r="AP142" i="132"/>
  <c r="AP150" i="132"/>
  <c r="AP115" i="132"/>
  <c r="AP123" i="132"/>
  <c r="AP131" i="132"/>
  <c r="AP139" i="132"/>
  <c r="AP147" i="132"/>
  <c r="AP114" i="132"/>
  <c r="AP122" i="132"/>
  <c r="AP130" i="132"/>
  <c r="AP138" i="132"/>
  <c r="AP146" i="132"/>
  <c r="L129" i="107"/>
  <c r="L243" i="107"/>
  <c r="G18" i="128"/>
  <c r="G439" i="105" s="1"/>
  <c r="G435" i="105" s="1"/>
  <c r="U5" i="138"/>
  <c r="G4" i="138" s="1"/>
  <c r="G45" i="138" s="1"/>
  <c r="AL303" i="138"/>
  <c r="AL314" i="138" s="1"/>
  <c r="AL285" i="138"/>
  <c r="W139" i="138"/>
  <c r="V139" i="138"/>
  <c r="U140" i="138" s="1"/>
  <c r="H436" i="105"/>
  <c r="E148" i="133"/>
  <c r="J433" i="105"/>
  <c r="J465" i="105" s="1"/>
  <c r="L56" i="162"/>
  <c r="M4" i="219"/>
  <c r="M29" i="219" s="1"/>
  <c r="J516" i="105"/>
  <c r="N394" i="105"/>
  <c r="N348" i="105"/>
  <c r="H9" i="132"/>
  <c r="P172" i="138"/>
  <c r="O173" i="138" s="1"/>
  <c r="Q172" i="138"/>
  <c r="AE101" i="138"/>
  <c r="AD102" i="138" s="1"/>
  <c r="AF101" i="138"/>
  <c r="H129" i="107"/>
  <c r="H243" i="107"/>
  <c r="E66" i="138"/>
  <c r="D256" i="133"/>
  <c r="F242" i="133"/>
  <c r="Y136" i="138"/>
  <c r="X137" i="138" s="1"/>
  <c r="Z136" i="138"/>
  <c r="G50" i="133"/>
  <c r="G51" i="133" s="1"/>
  <c r="M147" i="133"/>
  <c r="O274" i="107" s="1"/>
  <c r="O21" i="219" s="1"/>
  <c r="N147" i="133"/>
  <c r="P274" i="107" s="1"/>
  <c r="P21" i="219" s="1"/>
  <c r="Y172" i="138"/>
  <c r="X173" i="138" s="1"/>
  <c r="Z172" i="138"/>
  <c r="CN53" i="132"/>
  <c r="Y53" i="132" s="1"/>
  <c r="CC53" i="132"/>
  <c r="CN58" i="132"/>
  <c r="Y58" i="132" s="1"/>
  <c r="CC58" i="132"/>
  <c r="CN63" i="132"/>
  <c r="Y63" i="132" s="1"/>
  <c r="CC63" i="132"/>
  <c r="CN81" i="132"/>
  <c r="Y81" i="132" s="1"/>
  <c r="CC81" i="132"/>
  <c r="CN77" i="132"/>
  <c r="Y77" i="132" s="1"/>
  <c r="CC77" i="132"/>
  <c r="CN86" i="132"/>
  <c r="Y86" i="132" s="1"/>
  <c r="CC86" i="132"/>
  <c r="CN91" i="132"/>
  <c r="Y91" i="132" s="1"/>
  <c r="CC91" i="132"/>
  <c r="E258" i="107"/>
  <c r="G15" i="219"/>
  <c r="L399" i="105"/>
  <c r="L404" i="105" s="1"/>
  <c r="L411" i="105" s="1"/>
  <c r="I153" i="133" s="1"/>
  <c r="M400" i="105"/>
  <c r="O402" i="105"/>
  <c r="N401" i="105"/>
  <c r="H284" i="105"/>
  <c r="H288" i="105"/>
  <c r="H292" i="105"/>
  <c r="H296" i="105"/>
  <c r="H300" i="105"/>
  <c r="H307" i="105"/>
  <c r="I222" i="107"/>
  <c r="I31" i="214" s="1"/>
  <c r="F43" i="105"/>
  <c r="F495" i="105"/>
  <c r="H130" i="133"/>
  <c r="G55" i="133"/>
  <c r="F460" i="105" s="1"/>
  <c r="H54" i="133"/>
  <c r="W65" i="128"/>
  <c r="W61" i="128"/>
  <c r="W69" i="128"/>
  <c r="W77" i="128"/>
  <c r="W75" i="128"/>
  <c r="W73" i="128"/>
  <c r="W83" i="128"/>
  <c r="W81" i="128"/>
  <c r="W87" i="128"/>
  <c r="W85" i="128"/>
  <c r="W93" i="128"/>
  <c r="W101" i="128"/>
  <c r="W97" i="128"/>
  <c r="AB152" i="132"/>
  <c r="AB151" i="132"/>
  <c r="AB150" i="132"/>
  <c r="AB149" i="132"/>
  <c r="AB148" i="132"/>
  <c r="AB147" i="132"/>
  <c r="AB146" i="132"/>
  <c r="AB145" i="132"/>
  <c r="AB144" i="132"/>
  <c r="AB143" i="132"/>
  <c r="AB142" i="132"/>
  <c r="AB140" i="132"/>
  <c r="AB139" i="132"/>
  <c r="AB138" i="132"/>
  <c r="AB137" i="132"/>
  <c r="AB136" i="132"/>
  <c r="AB135" i="132"/>
  <c r="AB134" i="132"/>
  <c r="AB133" i="132"/>
  <c r="AB132" i="132"/>
  <c r="AB131" i="132"/>
  <c r="AB130" i="132"/>
  <c r="AB129" i="132"/>
  <c r="AB128" i="132"/>
  <c r="AB127" i="132"/>
  <c r="AB126" i="132"/>
  <c r="AB125" i="132"/>
  <c r="AB124" i="132"/>
  <c r="AB123" i="132"/>
  <c r="AB122" i="132"/>
  <c r="AB121" i="132"/>
  <c r="AB120" i="132"/>
  <c r="AB119" i="132"/>
  <c r="AB118" i="132"/>
  <c r="AB117" i="132"/>
  <c r="AB116" i="132"/>
  <c r="AB115" i="132"/>
  <c r="AB114" i="132"/>
  <c r="AB141" i="132"/>
  <c r="AB113" i="132"/>
  <c r="AB112" i="132"/>
  <c r="AB111" i="132"/>
  <c r="N109" i="132"/>
  <c r="AQ109" i="132"/>
  <c r="AN148" i="138"/>
  <c r="AN123" i="138"/>
  <c r="H304" i="105"/>
  <c r="E50" i="138"/>
  <c r="E48" i="138"/>
  <c r="E52" i="138" s="1"/>
  <c r="S99" i="138"/>
  <c r="R100" i="138" s="1"/>
  <c r="T99" i="138"/>
  <c r="AB103" i="148"/>
  <c r="AD103" i="148"/>
  <c r="AF103" i="148" s="1"/>
  <c r="AB122" i="148" s="1"/>
  <c r="AA121" i="148"/>
  <c r="AP103" i="148"/>
  <c r="AQ103" i="148" s="1"/>
  <c r="AH103" i="148"/>
  <c r="AC121" i="148"/>
  <c r="AJ103" i="148"/>
  <c r="AL103" i="148" s="1"/>
  <c r="AD122" i="148" s="1"/>
  <c r="AV103" i="148"/>
  <c r="AW103" i="148" s="1"/>
  <c r="G174" i="133"/>
  <c r="K364" i="105"/>
  <c r="L364" i="105" s="1"/>
  <c r="X65" i="128"/>
  <c r="X61" i="128"/>
  <c r="X69" i="128"/>
  <c r="X77" i="128"/>
  <c r="X75" i="128"/>
  <c r="X73" i="128"/>
  <c r="X83" i="128"/>
  <c r="X81" i="128"/>
  <c r="X87" i="128"/>
  <c r="X85" i="128"/>
  <c r="X93" i="128"/>
  <c r="X101" i="128"/>
  <c r="X97" i="128"/>
  <c r="AC82" i="148"/>
  <c r="H174" i="133"/>
  <c r="I174" i="133" s="1"/>
  <c r="AN86" i="148"/>
  <c r="AI86" i="148"/>
  <c r="W137" i="133"/>
  <c r="E7" i="138"/>
  <c r="W63" i="128"/>
  <c r="X63" i="128" s="1"/>
  <c r="W71" i="128"/>
  <c r="X71" i="128" s="1"/>
  <c r="W67" i="128"/>
  <c r="X67" i="128" s="1"/>
  <c r="W79" i="128"/>
  <c r="X79" i="128" s="1"/>
  <c r="W89" i="128"/>
  <c r="X89" i="128" s="1"/>
  <c r="W95" i="128"/>
  <c r="X95" i="128" s="1"/>
  <c r="W91" i="128"/>
  <c r="X91" i="128" s="1"/>
  <c r="W99" i="128"/>
  <c r="X99" i="128" s="1"/>
  <c r="E16" i="128"/>
  <c r="H133" i="107" s="1"/>
  <c r="L473" i="105"/>
  <c r="L472" i="105" s="1"/>
  <c r="F17" i="128"/>
  <c r="F447" i="105" s="1"/>
  <c r="F440" i="105" s="1"/>
  <c r="K136" i="138" l="1"/>
  <c r="J136" i="138"/>
  <c r="I137" i="138" s="1"/>
  <c r="M364" i="105"/>
  <c r="N364" i="105" s="1"/>
  <c r="O364" i="105" s="1"/>
  <c r="F7" i="138"/>
  <c r="AC101" i="138"/>
  <c r="AB101" i="138"/>
  <c r="AA102" i="138" s="1"/>
  <c r="AN103" i="148"/>
  <c r="AB153" i="132"/>
  <c r="N377" i="132" s="1"/>
  <c r="K98" i="132"/>
  <c r="N172" i="138"/>
  <c r="M172" i="138"/>
  <c r="L173" i="138" s="1"/>
  <c r="J102" i="138"/>
  <c r="I103" i="138" s="1"/>
  <c r="K102" i="138"/>
  <c r="AB136" i="138"/>
  <c r="AA137" i="138" s="1"/>
  <c r="AC136" i="138"/>
  <c r="U118" i="148"/>
  <c r="V118" i="148"/>
  <c r="T118" i="148"/>
  <c r="I175" i="133"/>
  <c r="I177" i="133" s="1"/>
  <c r="E61" i="133"/>
  <c r="X103" i="128"/>
  <c r="J8" i="128" s="1"/>
  <c r="G175" i="133"/>
  <c r="G238" i="133"/>
  <c r="G39" i="133" s="1"/>
  <c r="S100" i="138"/>
  <c r="R101" i="138" s="1"/>
  <c r="T100" i="138"/>
  <c r="AN274" i="138"/>
  <c r="AN159" i="138"/>
  <c r="I6" i="138" s="1"/>
  <c r="N111" i="132"/>
  <c r="AY60" i="128" s="1"/>
  <c r="N113" i="132"/>
  <c r="AY62" i="128" s="1"/>
  <c r="N115" i="132"/>
  <c r="AY64" i="128" s="1"/>
  <c r="N117" i="132"/>
  <c r="AY66" i="128" s="1"/>
  <c r="N119" i="132"/>
  <c r="AY68" i="128" s="1"/>
  <c r="N121" i="132"/>
  <c r="AY70" i="128" s="1"/>
  <c r="N123" i="132"/>
  <c r="AY72" i="128" s="1"/>
  <c r="N125" i="132"/>
  <c r="AY74" i="128" s="1"/>
  <c r="N127" i="132"/>
  <c r="AY76" i="128" s="1"/>
  <c r="N129" i="132"/>
  <c r="AY78" i="128" s="1"/>
  <c r="N131" i="132"/>
  <c r="AY80" i="128" s="1"/>
  <c r="N133" i="132"/>
  <c r="AY82" i="128" s="1"/>
  <c r="N135" i="132"/>
  <c r="AY84" i="128" s="1"/>
  <c r="N137" i="132"/>
  <c r="AY86" i="128" s="1"/>
  <c r="N139" i="132"/>
  <c r="AY88" i="128" s="1"/>
  <c r="N141" i="132"/>
  <c r="AY90" i="128" s="1"/>
  <c r="N143" i="132"/>
  <c r="AY92" i="128" s="1"/>
  <c r="N145" i="132"/>
  <c r="AY94" i="128" s="1"/>
  <c r="N147" i="132"/>
  <c r="AY96" i="128" s="1"/>
  <c r="N149" i="132"/>
  <c r="AY98" i="128" s="1"/>
  <c r="N151" i="132"/>
  <c r="AY100" i="128" s="1"/>
  <c r="N112" i="132"/>
  <c r="AY61" i="128" s="1"/>
  <c r="N114" i="132"/>
  <c r="AY63" i="128" s="1"/>
  <c r="N116" i="132"/>
  <c r="AY65" i="128" s="1"/>
  <c r="N118" i="132"/>
  <c r="AY67" i="128" s="1"/>
  <c r="N120" i="132"/>
  <c r="AY69" i="128" s="1"/>
  <c r="N122" i="132"/>
  <c r="AY71" i="128" s="1"/>
  <c r="N124" i="132"/>
  <c r="AY73" i="128" s="1"/>
  <c r="N126" i="132"/>
  <c r="AY75" i="128" s="1"/>
  <c r="N128" i="132"/>
  <c r="AY77" i="128" s="1"/>
  <c r="N130" i="132"/>
  <c r="AY79" i="128" s="1"/>
  <c r="N132" i="132"/>
  <c r="AY81" i="128" s="1"/>
  <c r="N134" i="132"/>
  <c r="AY83" i="128" s="1"/>
  <c r="N136" i="132"/>
  <c r="AY85" i="128" s="1"/>
  <c r="N138" i="132"/>
  <c r="AY87" i="128" s="1"/>
  <c r="N140" i="132"/>
  <c r="AY89" i="128" s="1"/>
  <c r="N142" i="132"/>
  <c r="AY91" i="128" s="1"/>
  <c r="N144" i="132"/>
  <c r="AY93" i="128" s="1"/>
  <c r="N146" i="132"/>
  <c r="AY95" i="128" s="1"/>
  <c r="N148" i="132"/>
  <c r="AY97" i="128" s="1"/>
  <c r="N150" i="132"/>
  <c r="AY99" i="128" s="1"/>
  <c r="N152" i="132"/>
  <c r="AY101" i="128" s="1"/>
  <c r="H308" i="105"/>
  <c r="H309" i="105"/>
  <c r="Y173" i="138"/>
  <c r="X174" i="138" s="1"/>
  <c r="Z173" i="138"/>
  <c r="Y137" i="138"/>
  <c r="X138" i="138" s="1"/>
  <c r="Z137" i="138"/>
  <c r="H216" i="107"/>
  <c r="H655" i="107"/>
  <c r="AF102" i="138"/>
  <c r="AE102" i="138"/>
  <c r="AD103" i="138" s="1"/>
  <c r="P173" i="138"/>
  <c r="O174" i="138" s="1"/>
  <c r="Q173" i="138"/>
  <c r="I9" i="132"/>
  <c r="O350" i="105"/>
  <c r="L146" i="133" s="1"/>
  <c r="O357" i="105"/>
  <c r="L148" i="133" s="1"/>
  <c r="I436" i="105"/>
  <c r="G5" i="138"/>
  <c r="AL320" i="138"/>
  <c r="L216" i="107"/>
  <c r="AE102" i="148"/>
  <c r="AS102" i="148"/>
  <c r="AT102" i="148" s="1"/>
  <c r="AB117" i="148"/>
  <c r="AG102" i="148"/>
  <c r="AI102" i="148" s="1"/>
  <c r="AC118" i="148" s="1"/>
  <c r="E100" i="138"/>
  <c r="D100" i="138"/>
  <c r="C101" i="138" s="1"/>
  <c r="J216" i="107"/>
  <c r="J655" i="107"/>
  <c r="V102" i="138"/>
  <c r="U103" i="138" s="1"/>
  <c r="W102" i="138"/>
  <c r="G100" i="138"/>
  <c r="F101" i="138" s="1"/>
  <c r="H100" i="138"/>
  <c r="Q100" i="138"/>
  <c r="P100" i="138"/>
  <c r="O101" i="138" s="1"/>
  <c r="N23" i="214"/>
  <c r="N25" i="214" s="1"/>
  <c r="N6" i="214"/>
  <c r="N9" i="213"/>
  <c r="S173" i="138"/>
  <c r="R174" i="138" s="1"/>
  <c r="T173" i="138"/>
  <c r="AO129" i="138"/>
  <c r="K5" i="132"/>
  <c r="K32" i="132" s="1"/>
  <c r="AR111" i="132"/>
  <c r="AR115" i="132"/>
  <c r="AR119" i="132"/>
  <c r="AR123" i="132"/>
  <c r="AR127" i="132"/>
  <c r="AR131" i="132"/>
  <c r="AR135" i="132"/>
  <c r="AR139" i="132"/>
  <c r="AR143" i="132"/>
  <c r="AR147" i="132"/>
  <c r="AR151" i="132"/>
  <c r="AR114" i="132"/>
  <c r="AR118" i="132"/>
  <c r="AR122" i="132"/>
  <c r="AR126" i="132"/>
  <c r="AR130" i="132"/>
  <c r="AR134" i="132"/>
  <c r="AR138" i="132"/>
  <c r="AR142" i="132"/>
  <c r="AR146" i="132"/>
  <c r="AR150" i="132"/>
  <c r="AR113" i="132"/>
  <c r="AR121" i="132"/>
  <c r="AR129" i="132"/>
  <c r="AR137" i="132"/>
  <c r="AR145" i="132"/>
  <c r="AR112" i="132"/>
  <c r="AR120" i="132"/>
  <c r="AR128" i="132"/>
  <c r="AR136" i="132"/>
  <c r="AR144" i="132"/>
  <c r="AR152" i="132"/>
  <c r="AR117" i="132"/>
  <c r="AR125" i="132"/>
  <c r="AR133" i="132"/>
  <c r="AR141" i="132"/>
  <c r="AR149" i="132"/>
  <c r="AR116" i="132"/>
  <c r="AR124" i="132"/>
  <c r="AR132" i="132"/>
  <c r="AR140" i="132"/>
  <c r="AR148" i="132"/>
  <c r="CO90" i="132"/>
  <c r="Z90" i="132" s="1"/>
  <c r="CD90" i="132"/>
  <c r="CO92" i="132"/>
  <c r="Z92" i="132" s="1"/>
  <c r="CD92" i="132"/>
  <c r="CO85" i="132"/>
  <c r="Z85" i="132" s="1"/>
  <c r="CD85" i="132"/>
  <c r="CO76" i="132"/>
  <c r="Z76" i="132" s="1"/>
  <c r="CD76" i="132"/>
  <c r="CO78" i="132"/>
  <c r="Z78" i="132" s="1"/>
  <c r="CD78" i="132"/>
  <c r="CO69" i="132"/>
  <c r="Z69" i="132" s="1"/>
  <c r="CD69" i="132"/>
  <c r="CO71" i="132"/>
  <c r="Z71" i="132" s="1"/>
  <c r="CD71" i="132"/>
  <c r="CO62" i="132"/>
  <c r="Z62" i="132" s="1"/>
  <c r="CD62" i="132"/>
  <c r="CO64" i="132"/>
  <c r="Z64" i="132" s="1"/>
  <c r="CD64" i="132"/>
  <c r="CO55" i="132"/>
  <c r="Z55" i="132" s="1"/>
  <c r="CD55" i="132"/>
  <c r="CO57" i="132"/>
  <c r="Z57" i="132" s="1"/>
  <c r="CD57" i="132"/>
  <c r="CO48" i="132"/>
  <c r="Z48" i="132" s="1"/>
  <c r="CD48" i="132"/>
  <c r="CO50" i="132"/>
  <c r="Z50" i="132" s="1"/>
  <c r="CD50" i="132"/>
  <c r="S140" i="138"/>
  <c r="R141" i="138" s="1"/>
  <c r="T140" i="138"/>
  <c r="CO95" i="132"/>
  <c r="Z95" i="132" s="1"/>
  <c r="CD95" i="132"/>
  <c r="CO72" i="132"/>
  <c r="Z72" i="132" s="1"/>
  <c r="CD72" i="132"/>
  <c r="CO67" i="132"/>
  <c r="Z67" i="132" s="1"/>
  <c r="CD67" i="132"/>
  <c r="CO49" i="132"/>
  <c r="Z49" i="132" s="1"/>
  <c r="CD49" i="132"/>
  <c r="AH102" i="148"/>
  <c r="AC117" i="148"/>
  <c r="AV102" i="148"/>
  <c r="AW102" i="148" s="1"/>
  <c r="AJ102" i="148"/>
  <c r="AL102" i="148" s="1"/>
  <c r="AD118" i="148" s="1"/>
  <c r="AB102" i="148"/>
  <c r="AC102" i="148" s="1"/>
  <c r="AA118" i="148" s="1"/>
  <c r="AA117" i="148"/>
  <c r="AD102" i="148"/>
  <c r="AF102" i="148" s="1"/>
  <c r="AB118" i="148" s="1"/>
  <c r="AP102" i="148"/>
  <c r="AQ102" i="148" s="1"/>
  <c r="O184" i="107"/>
  <c r="O191" i="107" s="1"/>
  <c r="O201" i="107" s="1"/>
  <c r="O210" i="107" s="1"/>
  <c r="O142" i="107"/>
  <c r="O91" i="107"/>
  <c r="O16" i="213"/>
  <c r="O12" i="214"/>
  <c r="N2" i="162"/>
  <c r="N29" i="162"/>
  <c r="O206" i="162" s="1"/>
  <c r="O207" i="162" s="1"/>
  <c r="O217" i="162" s="1"/>
  <c r="M48" i="133" s="1"/>
  <c r="O246" i="107" s="1"/>
  <c r="N46" i="162"/>
  <c r="N64" i="162"/>
  <c r="N83" i="162" s="1"/>
  <c r="W102" i="128"/>
  <c r="I6" i="128" s="1"/>
  <c r="I7" i="128" s="1"/>
  <c r="D137" i="138"/>
  <c r="C138" i="138" s="1"/>
  <c r="E137" i="138"/>
  <c r="Z102" i="138"/>
  <c r="Y102" i="138"/>
  <c r="X103" i="138" s="1"/>
  <c r="F490" i="105"/>
  <c r="F229" i="133"/>
  <c r="W172" i="133"/>
  <c r="CO93" i="132"/>
  <c r="Z93" i="132" s="1"/>
  <c r="CD93" i="132"/>
  <c r="CO84" i="132"/>
  <c r="Z84" i="132" s="1"/>
  <c r="CD84" i="132"/>
  <c r="CO88" i="132"/>
  <c r="Z88" i="132" s="1"/>
  <c r="CD88" i="132"/>
  <c r="CO79" i="132"/>
  <c r="Z79" i="132" s="1"/>
  <c r="CD79" i="132"/>
  <c r="CO70" i="132"/>
  <c r="Z70" i="132" s="1"/>
  <c r="CD70" i="132"/>
  <c r="CO74" i="132"/>
  <c r="Z74" i="132" s="1"/>
  <c r="CD74" i="132"/>
  <c r="CO65" i="132"/>
  <c r="Z65" i="132" s="1"/>
  <c r="CD65" i="132"/>
  <c r="CO56" i="132"/>
  <c r="Z56" i="132" s="1"/>
  <c r="CD56" i="132"/>
  <c r="CO60" i="132"/>
  <c r="Z60" i="132" s="1"/>
  <c r="CD60" i="132"/>
  <c r="CO51" i="132"/>
  <c r="Z51" i="132" s="1"/>
  <c r="CD51" i="132"/>
  <c r="AM165" i="138"/>
  <c r="H13" i="138" s="1"/>
  <c r="AM163" i="138"/>
  <c r="AM164" i="138" s="1"/>
  <c r="H6" i="138"/>
  <c r="M399" i="105"/>
  <c r="M404" i="105" s="1"/>
  <c r="M411" i="105" s="1"/>
  <c r="J153" i="133" s="1"/>
  <c r="N400" i="105"/>
  <c r="P402" i="105"/>
  <c r="O401" i="105"/>
  <c r="I308" i="105"/>
  <c r="I310" i="105" s="1"/>
  <c r="I309" i="105"/>
  <c r="M6" i="131"/>
  <c r="P41" i="133"/>
  <c r="P46" i="133" s="1"/>
  <c r="P47" i="133" s="1"/>
  <c r="R249" i="107" s="1"/>
  <c r="N137" i="138"/>
  <c r="M137" i="138"/>
  <c r="L138" i="138" s="1"/>
  <c r="V173" i="138"/>
  <c r="U174" i="138" s="1"/>
  <c r="W173" i="138"/>
  <c r="AD152" i="132"/>
  <c r="AD151" i="132"/>
  <c r="AD150" i="132"/>
  <c r="AD149" i="132"/>
  <c r="AD148" i="132"/>
  <c r="AD147" i="132"/>
  <c r="AD146" i="132"/>
  <c r="AD145" i="132"/>
  <c r="AD144" i="132"/>
  <c r="AD143" i="132"/>
  <c r="AD141" i="132"/>
  <c r="AD140" i="132"/>
  <c r="AD139" i="132"/>
  <c r="AD138" i="132"/>
  <c r="AD137" i="132"/>
  <c r="AD136" i="132"/>
  <c r="AD135" i="132"/>
  <c r="AD134" i="132"/>
  <c r="AD133" i="132"/>
  <c r="AD132" i="132"/>
  <c r="AD131" i="132"/>
  <c r="AD130" i="132"/>
  <c r="AD129" i="132"/>
  <c r="AD128" i="132"/>
  <c r="AD127" i="132"/>
  <c r="AD126" i="132"/>
  <c r="AD125" i="132"/>
  <c r="AD124" i="132"/>
  <c r="AD123" i="132"/>
  <c r="AD122" i="132"/>
  <c r="AD121" i="132"/>
  <c r="AD120" i="132"/>
  <c r="AD119" i="132"/>
  <c r="AD118" i="132"/>
  <c r="AD117" i="132"/>
  <c r="AD116" i="132"/>
  <c r="AD115" i="132"/>
  <c r="AD114" i="132"/>
  <c r="AD142" i="132"/>
  <c r="AD113" i="132"/>
  <c r="AD112" i="132"/>
  <c r="AD111" i="132"/>
  <c r="P109" i="132"/>
  <c r="AS109" i="132"/>
  <c r="AP148" i="138"/>
  <c r="AP123" i="138"/>
  <c r="CO94" i="132"/>
  <c r="Z94" i="132" s="1"/>
  <c r="CD94" i="132"/>
  <c r="CO83" i="132"/>
  <c r="Z83" i="132" s="1"/>
  <c r="CD83" i="132"/>
  <c r="CO87" i="132"/>
  <c r="Z87" i="132" s="1"/>
  <c r="CD87" i="132"/>
  <c r="CO80" i="132"/>
  <c r="Z80" i="132" s="1"/>
  <c r="CD80" i="132"/>
  <c r="CO73" i="132"/>
  <c r="Z73" i="132" s="1"/>
  <c r="CD73" i="132"/>
  <c r="CO66" i="132"/>
  <c r="Z66" i="132" s="1"/>
  <c r="CD66" i="132"/>
  <c r="CO59" i="132"/>
  <c r="Z59" i="132" s="1"/>
  <c r="CD59" i="132"/>
  <c r="CO52" i="132"/>
  <c r="Z52" i="132" s="1"/>
  <c r="CD52" i="132"/>
  <c r="D353" i="148"/>
  <c r="E354" i="148"/>
  <c r="H274" i="107"/>
  <c r="W147" i="133"/>
  <c r="X147" i="133" s="1"/>
  <c r="I216" i="107"/>
  <c r="I655" i="107"/>
  <c r="W118" i="148"/>
  <c r="M473" i="105"/>
  <c r="M472" i="105" s="1"/>
  <c r="J98" i="132"/>
  <c r="W30" i="133"/>
  <c r="Y65" i="128"/>
  <c r="Y63" i="128"/>
  <c r="Y61" i="128"/>
  <c r="Y71" i="128"/>
  <c r="Y69" i="128"/>
  <c r="Y67" i="128"/>
  <c r="Y77" i="128"/>
  <c r="Y75" i="128"/>
  <c r="Y73" i="128"/>
  <c r="Y83" i="128"/>
  <c r="Y81" i="128"/>
  <c r="Y79" i="128"/>
  <c r="Y89" i="128"/>
  <c r="Y87" i="128"/>
  <c r="Y85" i="128"/>
  <c r="Y95" i="128"/>
  <c r="Y93" i="128"/>
  <c r="Y91" i="128"/>
  <c r="Y101" i="128"/>
  <c r="Y99" i="128"/>
  <c r="Y97" i="128"/>
  <c r="AK318" i="138"/>
  <c r="I247" i="107"/>
  <c r="X60" i="128"/>
  <c r="X102" i="128" s="1"/>
  <c r="J6" i="128" s="1"/>
  <c r="J7" i="128" s="1"/>
  <c r="H222" i="107"/>
  <c r="H31" i="214" s="1"/>
  <c r="E43" i="105"/>
  <c r="H175" i="133"/>
  <c r="H177" i="133" s="1"/>
  <c r="AN129" i="138"/>
  <c r="AN127" i="138"/>
  <c r="AN128" i="138" s="1"/>
  <c r="AO127" i="138" s="1"/>
  <c r="AO128" i="138" s="1"/>
  <c r="AQ112" i="132"/>
  <c r="AQ116" i="132"/>
  <c r="AQ120" i="132"/>
  <c r="AQ124" i="132"/>
  <c r="AQ128" i="132"/>
  <c r="AQ132" i="132"/>
  <c r="AQ136" i="132"/>
  <c r="AQ140" i="132"/>
  <c r="AQ144" i="132"/>
  <c r="AQ148" i="132"/>
  <c r="AQ152" i="132"/>
  <c r="AQ113" i="132"/>
  <c r="AQ117" i="132"/>
  <c r="AQ121" i="132"/>
  <c r="AQ125" i="132"/>
  <c r="AQ129" i="132"/>
  <c r="AQ133" i="132"/>
  <c r="AQ137" i="132"/>
  <c r="AQ141" i="132"/>
  <c r="AQ145" i="132"/>
  <c r="AQ149" i="132"/>
  <c r="J5" i="132"/>
  <c r="J32" i="132" s="1"/>
  <c r="AQ114" i="132"/>
  <c r="AQ118" i="132"/>
  <c r="AQ122" i="132"/>
  <c r="AQ126" i="132"/>
  <c r="AQ130" i="132"/>
  <c r="AQ134" i="132"/>
  <c r="AQ138" i="132"/>
  <c r="AQ142" i="132"/>
  <c r="AQ146" i="132"/>
  <c r="AQ150" i="132"/>
  <c r="AQ111" i="132"/>
  <c r="AQ115" i="132"/>
  <c r="AQ119" i="132"/>
  <c r="AQ123" i="132"/>
  <c r="AQ127" i="132"/>
  <c r="AQ131" i="132"/>
  <c r="AQ135" i="132"/>
  <c r="AQ139" i="132"/>
  <c r="AQ143" i="132"/>
  <c r="AQ147" i="132"/>
  <c r="AQ151" i="132"/>
  <c r="I54" i="133"/>
  <c r="H55" i="133"/>
  <c r="G460" i="105" s="1"/>
  <c r="G495" i="105"/>
  <c r="I130" i="133"/>
  <c r="CO91" i="132"/>
  <c r="Z91" i="132" s="1"/>
  <c r="CD91" i="132"/>
  <c r="CO86" i="132"/>
  <c r="Z86" i="132" s="1"/>
  <c r="CD86" i="132"/>
  <c r="CO77" i="132"/>
  <c r="Z77" i="132" s="1"/>
  <c r="CD77" i="132"/>
  <c r="CO81" i="132"/>
  <c r="Z81" i="132" s="1"/>
  <c r="CD81" i="132"/>
  <c r="CO63" i="132"/>
  <c r="Z63" i="132" s="1"/>
  <c r="CD63" i="132"/>
  <c r="CO58" i="132"/>
  <c r="Z58" i="132" s="1"/>
  <c r="CD58" i="132"/>
  <c r="CO53" i="132"/>
  <c r="Z53" i="132" s="1"/>
  <c r="CD53" i="132"/>
  <c r="E67" i="138"/>
  <c r="N398" i="105"/>
  <c r="N397" i="105"/>
  <c r="O405" i="105" s="1"/>
  <c r="O412" i="105" s="1"/>
  <c r="L154" i="133" s="1"/>
  <c r="V140" i="138"/>
  <c r="U141" i="138" s="1"/>
  <c r="W140" i="138"/>
  <c r="AL291" i="138"/>
  <c r="AL289" i="138"/>
  <c r="AL290" i="138" s="1"/>
  <c r="G47" i="138"/>
  <c r="G49" i="138" s="1"/>
  <c r="G46" i="138"/>
  <c r="G65" i="138"/>
  <c r="J222" i="107"/>
  <c r="J31" i="214" s="1"/>
  <c r="G43" i="105"/>
  <c r="AF173" i="138"/>
  <c r="AE173" i="138"/>
  <c r="AD174" i="138" s="1"/>
  <c r="AK102" i="148"/>
  <c r="AY102" i="148"/>
  <c r="AZ102" i="148" s="1"/>
  <c r="AM102" i="148"/>
  <c r="AD117" i="148"/>
  <c r="N45" i="132"/>
  <c r="O23" i="162"/>
  <c r="O36" i="162" s="1"/>
  <c r="AR76" i="138"/>
  <c r="O89" i="162"/>
  <c r="O15" i="162" s="1"/>
  <c r="P81" i="107"/>
  <c r="P234" i="107"/>
  <c r="AD47" i="132"/>
  <c r="P145" i="131"/>
  <c r="G156" i="131"/>
  <c r="Q77" i="105"/>
  <c r="K173" i="138"/>
  <c r="J173" i="138"/>
  <c r="I174" i="138" s="1"/>
  <c r="M216" i="107"/>
  <c r="G242" i="107"/>
  <c r="E241" i="107"/>
  <c r="G34" i="133"/>
  <c r="E455" i="105"/>
  <c r="K433" i="105"/>
  <c r="K465" i="105" s="1"/>
  <c r="M56" i="162"/>
  <c r="N4" i="219"/>
  <c r="N29" i="219" s="1"/>
  <c r="K516" i="105"/>
  <c r="G172" i="138"/>
  <c r="F173" i="138" s="1"/>
  <c r="H172" i="138"/>
  <c r="AO274" i="138"/>
  <c r="AO159" i="138"/>
  <c r="J6" i="138" s="1"/>
  <c r="O112" i="132"/>
  <c r="O114" i="132"/>
  <c r="AZ63" i="128" s="1"/>
  <c r="O116" i="132"/>
  <c r="AZ65" i="128" s="1"/>
  <c r="O118" i="132"/>
  <c r="AZ67" i="128" s="1"/>
  <c r="O120" i="132"/>
  <c r="O122" i="132"/>
  <c r="AZ71" i="128" s="1"/>
  <c r="O124" i="132"/>
  <c r="AZ73" i="128" s="1"/>
  <c r="O126" i="132"/>
  <c r="AZ75" i="128" s="1"/>
  <c r="O128" i="132"/>
  <c r="O130" i="132"/>
  <c r="AZ79" i="128" s="1"/>
  <c r="O132" i="132"/>
  <c r="AZ81" i="128" s="1"/>
  <c r="O134" i="132"/>
  <c r="AZ83" i="128" s="1"/>
  <c r="O136" i="132"/>
  <c r="O138" i="132"/>
  <c r="AZ87" i="128" s="1"/>
  <c r="O140" i="132"/>
  <c r="AZ89" i="128" s="1"/>
  <c r="O142" i="132"/>
  <c r="AZ91" i="128" s="1"/>
  <c r="O144" i="132"/>
  <c r="O146" i="132"/>
  <c r="AZ95" i="128" s="1"/>
  <c r="O148" i="132"/>
  <c r="AZ97" i="128" s="1"/>
  <c r="O150" i="132"/>
  <c r="AZ99" i="128" s="1"/>
  <c r="O152" i="132"/>
  <c r="O111" i="132"/>
  <c r="AZ60" i="128" s="1"/>
  <c r="O113" i="132"/>
  <c r="AZ62" i="128" s="1"/>
  <c r="O115" i="132"/>
  <c r="AZ64" i="128" s="1"/>
  <c r="O117" i="132"/>
  <c r="AZ66" i="128" s="1"/>
  <c r="O119" i="132"/>
  <c r="AZ68" i="128" s="1"/>
  <c r="O121" i="132"/>
  <c r="AZ70" i="128" s="1"/>
  <c r="O123" i="132"/>
  <c r="AZ72" i="128" s="1"/>
  <c r="O125" i="132"/>
  <c r="AZ74" i="128" s="1"/>
  <c r="O127" i="132"/>
  <c r="AZ76" i="128" s="1"/>
  <c r="O129" i="132"/>
  <c r="AZ78" i="128" s="1"/>
  <c r="O131" i="132"/>
  <c r="AZ80" i="128" s="1"/>
  <c r="O133" i="132"/>
  <c r="AZ82" i="128" s="1"/>
  <c r="O135" i="132"/>
  <c r="AZ84" i="128" s="1"/>
  <c r="O137" i="132"/>
  <c r="AZ86" i="128" s="1"/>
  <c r="O139" i="132"/>
  <c r="AZ88" i="128" s="1"/>
  <c r="O141" i="132"/>
  <c r="AZ90" i="128" s="1"/>
  <c r="O143" i="132"/>
  <c r="AZ92" i="128" s="1"/>
  <c r="O145" i="132"/>
  <c r="AZ94" i="128" s="1"/>
  <c r="O147" i="132"/>
  <c r="AZ96" i="128" s="1"/>
  <c r="O149" i="132"/>
  <c r="AZ98" i="128" s="1"/>
  <c r="O151" i="132"/>
  <c r="AZ100" i="128" s="1"/>
  <c r="H15" i="128"/>
  <c r="K438" i="131"/>
  <c r="U16" i="138"/>
  <c r="G26" i="138" s="1"/>
  <c r="G478" i="105" s="1"/>
  <c r="G477" i="105" s="1"/>
  <c r="G476" i="105" s="1"/>
  <c r="G475" i="105" s="1"/>
  <c r="AM91" i="138"/>
  <c r="D449" i="105"/>
  <c r="H105" i="132"/>
  <c r="I105" i="132" s="1"/>
  <c r="J105" i="132" s="1"/>
  <c r="H7" i="128"/>
  <c r="H9" i="128" s="1"/>
  <c r="K436" i="131" s="1"/>
  <c r="K444" i="131" s="1"/>
  <c r="K171" i="133"/>
  <c r="K173" i="133" s="1"/>
  <c r="L170" i="133"/>
  <c r="R101" i="132"/>
  <c r="BT47" i="132"/>
  <c r="P393" i="105"/>
  <c r="O280" i="105"/>
  <c r="M2" i="133"/>
  <c r="M163" i="133" s="1"/>
  <c r="O268" i="105"/>
  <c r="AQ112" i="138"/>
  <c r="AQ87" i="138"/>
  <c r="AE109" i="132"/>
  <c r="M90" i="132"/>
  <c r="M91" i="132"/>
  <c r="M92" i="132"/>
  <c r="M93" i="132"/>
  <c r="M94" i="132"/>
  <c r="M95" i="132"/>
  <c r="M83" i="132"/>
  <c r="M84" i="132"/>
  <c r="M85" i="132"/>
  <c r="M86" i="132"/>
  <c r="M87" i="132"/>
  <c r="M88" i="132"/>
  <c r="M76" i="132"/>
  <c r="M77" i="132"/>
  <c r="M78" i="132"/>
  <c r="M79" i="132"/>
  <c r="M80" i="132"/>
  <c r="M81" i="132"/>
  <c r="M69" i="132"/>
  <c r="M70" i="132"/>
  <c r="M71" i="132"/>
  <c r="M72" i="132"/>
  <c r="M73" i="132"/>
  <c r="M74" i="132"/>
  <c r="M62" i="132"/>
  <c r="M63" i="132"/>
  <c r="M64" i="132"/>
  <c r="M65" i="132"/>
  <c r="M66" i="132"/>
  <c r="M67" i="132"/>
  <c r="Z77" i="128" s="1"/>
  <c r="M55" i="132"/>
  <c r="M56" i="132"/>
  <c r="M57" i="132"/>
  <c r="M58" i="132"/>
  <c r="Z69" i="128" s="1"/>
  <c r="M59" i="132"/>
  <c r="M60" i="132"/>
  <c r="M48" i="132"/>
  <c r="M49" i="132"/>
  <c r="Z61" i="128" s="1"/>
  <c r="M50" i="132"/>
  <c r="M51" i="132"/>
  <c r="M52" i="132"/>
  <c r="M53" i="132"/>
  <c r="N350" i="105"/>
  <c r="K146" i="133" s="1"/>
  <c r="N357" i="105"/>
  <c r="M101" i="138"/>
  <c r="L102" i="138" s="1"/>
  <c r="N101" i="138"/>
  <c r="E19" i="105"/>
  <c r="D172" i="138"/>
  <c r="C173" i="138" s="1"/>
  <c r="E172" i="138"/>
  <c r="AI154" i="132"/>
  <c r="CH154" i="132"/>
  <c r="AG367" i="132"/>
  <c r="EH154" i="132"/>
  <c r="AE137" i="138"/>
  <c r="AD138" i="138" s="1"/>
  <c r="AF137" i="138"/>
  <c r="H50" i="133"/>
  <c r="H51" i="133" s="1"/>
  <c r="G7" i="138"/>
  <c r="V5" i="138"/>
  <c r="H4" i="138" s="1"/>
  <c r="H45" i="138" s="1"/>
  <c r="AM303" i="138"/>
  <c r="AM314" i="138" s="1"/>
  <c r="AM285" i="138"/>
  <c r="U103" i="132"/>
  <c r="O491" i="105" s="1"/>
  <c r="C375" i="148" s="1"/>
  <c r="N491" i="105"/>
  <c r="L6" i="131"/>
  <c r="O41" i="133"/>
  <c r="O46" i="133" s="1"/>
  <c r="O47" i="133" s="1"/>
  <c r="Q249" i="107" s="1"/>
  <c r="N473" i="105" s="1"/>
  <c r="N472" i="105" s="1"/>
  <c r="E232" i="133"/>
  <c r="E239" i="133"/>
  <c r="AB175" i="138"/>
  <c r="AA176" i="138" s="1"/>
  <c r="AC175" i="138"/>
  <c r="Y64" i="128"/>
  <c r="L54" i="132"/>
  <c r="Y70" i="128"/>
  <c r="Y66" i="128"/>
  <c r="L61" i="132"/>
  <c r="Y76" i="128"/>
  <c r="Y74" i="128"/>
  <c r="Y72" i="128"/>
  <c r="L68" i="132"/>
  <c r="K443" i="105" s="1"/>
  <c r="Y78" i="128"/>
  <c r="L75" i="132"/>
  <c r="K444" i="105" s="1"/>
  <c r="Y86" i="128"/>
  <c r="Y84" i="128"/>
  <c r="L82" i="132"/>
  <c r="K445" i="105" s="1"/>
  <c r="Y94" i="128"/>
  <c r="Y90" i="128"/>
  <c r="L89" i="132"/>
  <c r="K446" i="105" s="1"/>
  <c r="Y100" i="128"/>
  <c r="Y96" i="128"/>
  <c r="L96" i="132"/>
  <c r="AP93" i="138"/>
  <c r="O417" i="105"/>
  <c r="O347" i="105"/>
  <c r="O394" i="105"/>
  <c r="O348" i="105"/>
  <c r="F50" i="138"/>
  <c r="F48" i="138"/>
  <c r="F52" i="138" s="1"/>
  <c r="C353" i="148"/>
  <c r="H404" i="105"/>
  <c r="J306" i="105"/>
  <c r="X98" i="132"/>
  <c r="M102" i="132" s="1"/>
  <c r="P137" i="138"/>
  <c r="O138" i="138" s="1"/>
  <c r="Q137" i="138"/>
  <c r="G137" i="138"/>
  <c r="F138" i="138" s="1"/>
  <c r="H137" i="138"/>
  <c r="K216" i="107"/>
  <c r="G17" i="128"/>
  <c r="G447" i="105" s="1"/>
  <c r="G440" i="105" s="1"/>
  <c r="AC153" i="132"/>
  <c r="O377" i="132" s="1"/>
  <c r="Y96" i="132"/>
  <c r="Y82" i="132"/>
  <c r="K298" i="105" s="1"/>
  <c r="Y68" i="132"/>
  <c r="K290" i="105" s="1"/>
  <c r="Y61" i="132"/>
  <c r="K286" i="105" s="1"/>
  <c r="Y54" i="132"/>
  <c r="K282" i="105" s="1"/>
  <c r="E51" i="138"/>
  <c r="E54" i="138" s="1"/>
  <c r="J174" i="133"/>
  <c r="W103" i="128"/>
  <c r="I8" i="128" s="1"/>
  <c r="M353" i="105"/>
  <c r="AI103" i="148"/>
  <c r="AC122" i="148" s="1"/>
  <c r="Y62" i="128"/>
  <c r="Y68" i="128"/>
  <c r="Y82" i="128"/>
  <c r="Y80" i="128"/>
  <c r="Y88" i="128"/>
  <c r="Y92" i="128"/>
  <c r="Y98" i="128"/>
  <c r="F12" i="138"/>
  <c r="Y89" i="132"/>
  <c r="K302" i="105" s="1"/>
  <c r="K303" i="105" s="1"/>
  <c r="J442" i="105"/>
  <c r="J441" i="105"/>
  <c r="Z71" i="128" l="1"/>
  <c r="Z99" i="128"/>
  <c r="AN102" i="148"/>
  <c r="AB102" i="138"/>
  <c r="AA103" i="138" s="1"/>
  <c r="AC102" i="138"/>
  <c r="K137" i="138"/>
  <c r="J137" i="138"/>
  <c r="I138" i="138" s="1"/>
  <c r="Y60" i="128"/>
  <c r="Z60" i="128" s="1"/>
  <c r="N353" i="105"/>
  <c r="O353" i="105" s="1"/>
  <c r="AZ101" i="128"/>
  <c r="AZ93" i="128"/>
  <c r="AZ85" i="128"/>
  <c r="AZ77" i="128"/>
  <c r="AZ69" i="128"/>
  <c r="AZ61" i="128"/>
  <c r="Z70" i="128"/>
  <c r="M173" i="138"/>
  <c r="L174" i="138" s="1"/>
  <c r="N173" i="138"/>
  <c r="Y103" i="128"/>
  <c r="K8" i="128" s="1"/>
  <c r="AC137" i="138"/>
  <c r="AB137" i="138"/>
  <c r="AA138" i="138" s="1"/>
  <c r="K103" i="138"/>
  <c r="J103" i="138"/>
  <c r="I104" i="138" s="1"/>
  <c r="K441" i="105"/>
  <c r="Z64" i="128"/>
  <c r="Z76" i="128"/>
  <c r="Z74" i="128"/>
  <c r="Z86" i="128"/>
  <c r="Z94" i="128"/>
  <c r="Z98" i="128"/>
  <c r="G490" i="105"/>
  <c r="J50" i="133"/>
  <c r="J51" i="133" s="1"/>
  <c r="K304" i="105"/>
  <c r="K283" i="105"/>
  <c r="AM291" i="138"/>
  <c r="AM289" i="138"/>
  <c r="AM290" i="138" s="1"/>
  <c r="AE138" i="138"/>
  <c r="AD139" i="138" s="1"/>
  <c r="AF138" i="138"/>
  <c r="AK154" i="132"/>
  <c r="EJ154" i="132"/>
  <c r="AI367" i="132"/>
  <c r="CJ154" i="132"/>
  <c r="D173" i="138"/>
  <c r="C174" i="138" s="1"/>
  <c r="E173" i="138"/>
  <c r="E20" i="105"/>
  <c r="G25" i="162"/>
  <c r="N102" i="138"/>
  <c r="M102" i="138"/>
  <c r="L103" i="138" s="1"/>
  <c r="M54" i="132"/>
  <c r="Z72" i="128"/>
  <c r="M68" i="132"/>
  <c r="L443" i="105" s="1"/>
  <c r="Z80" i="128"/>
  <c r="Z88" i="128"/>
  <c r="Z84" i="128"/>
  <c r="M82" i="132"/>
  <c r="L445" i="105" s="1"/>
  <c r="Z90" i="128"/>
  <c r="M89" i="132"/>
  <c r="L446" i="105" s="1"/>
  <c r="Z96" i="128"/>
  <c r="M96" i="132"/>
  <c r="AQ93" i="138"/>
  <c r="P417" i="105"/>
  <c r="P347" i="105"/>
  <c r="H18" i="128"/>
  <c r="H439" i="105" s="1"/>
  <c r="H435" i="105" s="1"/>
  <c r="L438" i="131"/>
  <c r="I9" i="128"/>
  <c r="L436" i="131" s="1"/>
  <c r="L444" i="131" s="1"/>
  <c r="I15" i="128"/>
  <c r="J175" i="133"/>
  <c r="J177" i="133" s="1"/>
  <c r="E57" i="138"/>
  <c r="H32" i="219"/>
  <c r="K287" i="105"/>
  <c r="K299" i="105"/>
  <c r="G138" i="138"/>
  <c r="F139" i="138" s="1"/>
  <c r="H138" i="138"/>
  <c r="P138" i="138"/>
  <c r="O139" i="138" s="1"/>
  <c r="Q138" i="138"/>
  <c r="J307" i="105"/>
  <c r="O398" i="105"/>
  <c r="O397" i="105"/>
  <c r="P405" i="105" s="1"/>
  <c r="P412" i="105" s="1"/>
  <c r="M154" i="133" s="1"/>
  <c r="AB176" i="138"/>
  <c r="AA177" i="138" s="1"/>
  <c r="AC176" i="138"/>
  <c r="D68" i="138"/>
  <c r="D69" i="138" s="1"/>
  <c r="E234" i="133"/>
  <c r="E235" i="133" s="1"/>
  <c r="O45" i="132"/>
  <c r="AS76" i="138"/>
  <c r="P89" i="162"/>
  <c r="P15" i="162" s="1"/>
  <c r="R77" i="105"/>
  <c r="Q81" i="107"/>
  <c r="Q234" i="107"/>
  <c r="P146" i="131"/>
  <c r="AE47" i="132"/>
  <c r="P23" i="162"/>
  <c r="P36" i="162" s="1"/>
  <c r="G157" i="131"/>
  <c r="H5" i="138"/>
  <c r="I49" i="133" s="1"/>
  <c r="AM320" i="138"/>
  <c r="H12" i="138" s="1"/>
  <c r="K148" i="133"/>
  <c r="Z65" i="128"/>
  <c r="Z63" i="128"/>
  <c r="Z67" i="128"/>
  <c r="Z75" i="128"/>
  <c r="Z83" i="128"/>
  <c r="Z79" i="128"/>
  <c r="Z89" i="128"/>
  <c r="Z87" i="128"/>
  <c r="Z95" i="128"/>
  <c r="Z93" i="128"/>
  <c r="Z91" i="128"/>
  <c r="AE152" i="132"/>
  <c r="AE151" i="132"/>
  <c r="AE150" i="132"/>
  <c r="AE149" i="132"/>
  <c r="AE148" i="132"/>
  <c r="AE147" i="132"/>
  <c r="AE146" i="132"/>
  <c r="AE145" i="132"/>
  <c r="AE144" i="132"/>
  <c r="AE143" i="132"/>
  <c r="AE142" i="132"/>
  <c r="AE141" i="132"/>
  <c r="AE140" i="132"/>
  <c r="AE139" i="132"/>
  <c r="AE137" i="132"/>
  <c r="AE135" i="132"/>
  <c r="AE133" i="132"/>
  <c r="AE131" i="132"/>
  <c r="AE129" i="132"/>
  <c r="AE127" i="132"/>
  <c r="AE125" i="132"/>
  <c r="AE123" i="132"/>
  <c r="AE121" i="132"/>
  <c r="AE119" i="132"/>
  <c r="AE117" i="132"/>
  <c r="AE115" i="132"/>
  <c r="AE113" i="132"/>
  <c r="AE112" i="132"/>
  <c r="AE111" i="132"/>
  <c r="AE138" i="132"/>
  <c r="AE136" i="132"/>
  <c r="AE134" i="132"/>
  <c r="AE132" i="132"/>
  <c r="AE130" i="132"/>
  <c r="AE128" i="132"/>
  <c r="AE126" i="132"/>
  <c r="AE124" i="132"/>
  <c r="AE122" i="132"/>
  <c r="AE120" i="132"/>
  <c r="AE118" i="132"/>
  <c r="AE116" i="132"/>
  <c r="AE114" i="132"/>
  <c r="Q109" i="132"/>
  <c r="AT109" i="132"/>
  <c r="AQ148" i="138"/>
  <c r="AQ123" i="138"/>
  <c r="P348" i="105"/>
  <c r="K174" i="133"/>
  <c r="K105" i="132"/>
  <c r="D493" i="105"/>
  <c r="AM92" i="138"/>
  <c r="V15" i="138"/>
  <c r="AO165" i="138"/>
  <c r="J13" i="138" s="1"/>
  <c r="C30" i="148"/>
  <c r="F242" i="107"/>
  <c r="J174" i="138"/>
  <c r="I175" i="138" s="1"/>
  <c r="K174" i="138"/>
  <c r="Q393" i="105"/>
  <c r="P268" i="105"/>
  <c r="P280" i="105"/>
  <c r="N2" i="133"/>
  <c r="N163" i="133" s="1"/>
  <c r="P16" i="213"/>
  <c r="P12" i="214"/>
  <c r="O2" i="162"/>
  <c r="O29" i="162"/>
  <c r="P206" i="162" s="1"/>
  <c r="P207" i="162" s="1"/>
  <c r="O46" i="162"/>
  <c r="O64" i="162"/>
  <c r="O83" i="162" s="1"/>
  <c r="AE174" i="138"/>
  <c r="AD175" i="138" s="1"/>
  <c r="AF174" i="138"/>
  <c r="W141" i="138"/>
  <c r="V141" i="138"/>
  <c r="U142" i="138" s="1"/>
  <c r="O399" i="105"/>
  <c r="O404" i="105" s="1"/>
  <c r="O411" i="105" s="1"/>
  <c r="L153" i="133" s="1"/>
  <c r="R402" i="105"/>
  <c r="P400" i="105"/>
  <c r="Q401" i="105"/>
  <c r="I55" i="133"/>
  <c r="H460" i="105" s="1"/>
  <c r="J54" i="133"/>
  <c r="M437" i="131"/>
  <c r="J14" i="128"/>
  <c r="AK319" i="138"/>
  <c r="T9" i="138"/>
  <c r="E353" i="148"/>
  <c r="F354" i="148"/>
  <c r="CP52" i="132"/>
  <c r="AA52" i="132" s="1"/>
  <c r="CE52" i="132"/>
  <c r="CP59" i="132"/>
  <c r="AA59" i="132" s="1"/>
  <c r="CE59" i="132"/>
  <c r="CP66" i="132"/>
  <c r="AA66" i="132" s="1"/>
  <c r="CE66" i="132"/>
  <c r="CP73" i="132"/>
  <c r="AA73" i="132" s="1"/>
  <c r="CE73" i="132"/>
  <c r="CP80" i="132"/>
  <c r="AA80" i="132" s="1"/>
  <c r="CE80" i="132"/>
  <c r="CP87" i="132"/>
  <c r="AA87" i="132" s="1"/>
  <c r="CE87" i="132"/>
  <c r="CP83" i="132"/>
  <c r="AA83" i="132" s="1"/>
  <c r="CE83" i="132"/>
  <c r="CP94" i="132"/>
  <c r="AA94" i="132" s="1"/>
  <c r="CE94" i="132"/>
  <c r="AP129" i="138"/>
  <c r="AP127" i="138"/>
  <c r="AP128" i="138" s="1"/>
  <c r="L5" i="132"/>
  <c r="L32" i="132" s="1"/>
  <c r="AS112" i="132"/>
  <c r="AS116" i="132"/>
  <c r="AS120" i="132"/>
  <c r="AS124" i="132"/>
  <c r="AS128" i="132"/>
  <c r="AS132" i="132"/>
  <c r="AS136" i="132"/>
  <c r="AS140" i="132"/>
  <c r="AS144" i="132"/>
  <c r="AS148" i="132"/>
  <c r="AS152" i="132"/>
  <c r="AS113" i="132"/>
  <c r="AS117" i="132"/>
  <c r="AS121" i="132"/>
  <c r="AS125" i="132"/>
  <c r="AS129" i="132"/>
  <c r="AS133" i="132"/>
  <c r="AS137" i="132"/>
  <c r="AS141" i="132"/>
  <c r="AS145" i="132"/>
  <c r="AS149" i="132"/>
  <c r="AS114" i="132"/>
  <c r="AS118" i="132"/>
  <c r="AS122" i="132"/>
  <c r="AS126" i="132"/>
  <c r="AS130" i="132"/>
  <c r="AS134" i="132"/>
  <c r="AS138" i="132"/>
  <c r="AS142" i="132"/>
  <c r="AS146" i="132"/>
  <c r="AS150" i="132"/>
  <c r="AS111" i="132"/>
  <c r="AS115" i="132"/>
  <c r="AS119" i="132"/>
  <c r="AS123" i="132"/>
  <c r="AS127" i="132"/>
  <c r="AS131" i="132"/>
  <c r="AS135" i="132"/>
  <c r="AS139" i="132"/>
  <c r="AS143" i="132"/>
  <c r="AS147" i="132"/>
  <c r="AS151" i="132"/>
  <c r="M138" i="138"/>
  <c r="L139" i="138" s="1"/>
  <c r="N138" i="138"/>
  <c r="O473" i="105"/>
  <c r="E249" i="107"/>
  <c r="I50" i="133"/>
  <c r="I51" i="133" s="1"/>
  <c r="H7" i="138"/>
  <c r="H240" i="107"/>
  <c r="F38" i="133"/>
  <c r="F230" i="133"/>
  <c r="F231" i="133"/>
  <c r="D138" i="138"/>
  <c r="C139" i="138" s="1"/>
  <c r="E138" i="138"/>
  <c r="I14" i="128"/>
  <c r="L437" i="131"/>
  <c r="L433" i="105"/>
  <c r="L465" i="105" s="1"/>
  <c r="N56" i="162"/>
  <c r="O4" i="219"/>
  <c r="O29" i="219" s="1"/>
  <c r="L516" i="105"/>
  <c r="CP49" i="132"/>
  <c r="AA49" i="132" s="1"/>
  <c r="CE49" i="132"/>
  <c r="CP67" i="132"/>
  <c r="AA67" i="132" s="1"/>
  <c r="CE67" i="132"/>
  <c r="CP72" i="132"/>
  <c r="AA72" i="132" s="1"/>
  <c r="CE72" i="132"/>
  <c r="CP95" i="132"/>
  <c r="AA95" i="132" s="1"/>
  <c r="CE95" i="132"/>
  <c r="CP50" i="132"/>
  <c r="AA50" i="132" s="1"/>
  <c r="CE50" i="132"/>
  <c r="CP48" i="132"/>
  <c r="AA48" i="132" s="1"/>
  <c r="CE48" i="132"/>
  <c r="CP57" i="132"/>
  <c r="AA57" i="132" s="1"/>
  <c r="CE57" i="132"/>
  <c r="CP55" i="132"/>
  <c r="AA55" i="132" s="1"/>
  <c r="CE55" i="132"/>
  <c r="CP64" i="132"/>
  <c r="AA64" i="132" s="1"/>
  <c r="CE64" i="132"/>
  <c r="CP62" i="132"/>
  <c r="AA62" i="132" s="1"/>
  <c r="CE62" i="132"/>
  <c r="CP71" i="132"/>
  <c r="AA71" i="132" s="1"/>
  <c r="CE71" i="132"/>
  <c r="CP69" i="132"/>
  <c r="AA69" i="132" s="1"/>
  <c r="CE69" i="132"/>
  <c r="CP78" i="132"/>
  <c r="AA78" i="132" s="1"/>
  <c r="CE78" i="132"/>
  <c r="CP76" i="132"/>
  <c r="AA76" i="132" s="1"/>
  <c r="CE76" i="132"/>
  <c r="CP85" i="132"/>
  <c r="AA85" i="132" s="1"/>
  <c r="CE85" i="132"/>
  <c r="CP92" i="132"/>
  <c r="AA92" i="132" s="1"/>
  <c r="CE92" i="132"/>
  <c r="CP90" i="132"/>
  <c r="AA90" i="132" s="1"/>
  <c r="CE90" i="132"/>
  <c r="S174" i="138"/>
  <c r="R175" i="138" s="1"/>
  <c r="T174" i="138"/>
  <c r="Q101" i="138"/>
  <c r="P101" i="138"/>
  <c r="O102" i="138" s="1"/>
  <c r="D101" i="138"/>
  <c r="C102" i="138" s="1"/>
  <c r="E101" i="138"/>
  <c r="H49" i="133"/>
  <c r="J247" i="107" s="1"/>
  <c r="J436" i="105"/>
  <c r="J9" i="132"/>
  <c r="AE103" i="138"/>
  <c r="AD104" i="138" s="1"/>
  <c r="AF103" i="138"/>
  <c r="H310" i="105"/>
  <c r="W5" i="138"/>
  <c r="I4" i="138" s="1"/>
  <c r="I45" i="138" s="1"/>
  <c r="AN303" i="138"/>
  <c r="AN314" i="138" s="1"/>
  <c r="AN285" i="138"/>
  <c r="S101" i="138"/>
  <c r="R102" i="138" s="1"/>
  <c r="T101" i="138"/>
  <c r="G176" i="133"/>
  <c r="E96" i="133"/>
  <c r="Z68" i="128"/>
  <c r="Z92" i="128"/>
  <c r="L98" i="132"/>
  <c r="Y102" i="128"/>
  <c r="K6" i="128" s="1"/>
  <c r="Z73" i="128"/>
  <c r="Z81" i="128"/>
  <c r="Z85" i="128"/>
  <c r="Z101" i="128"/>
  <c r="Z97" i="128"/>
  <c r="F51" i="138"/>
  <c r="AD153" i="132"/>
  <c r="P377" i="132" s="1"/>
  <c r="AA119" i="148"/>
  <c r="D380" i="148" s="1"/>
  <c r="K291" i="105"/>
  <c r="K306" i="105"/>
  <c r="K307" i="105" s="1"/>
  <c r="Y98" i="132"/>
  <c r="N102" i="132" s="1"/>
  <c r="H411" i="105"/>
  <c r="E153" i="133" s="1"/>
  <c r="P357" i="105"/>
  <c r="M148" i="133" s="1"/>
  <c r="P350" i="105"/>
  <c r="M146" i="133" s="1"/>
  <c r="N438" i="131"/>
  <c r="K15" i="128"/>
  <c r="E243" i="133"/>
  <c r="E240" i="133"/>
  <c r="H47" i="138"/>
  <c r="H49" i="138" s="1"/>
  <c r="H46" i="138"/>
  <c r="H65" i="138"/>
  <c r="Z62" i="128"/>
  <c r="Z66" i="128"/>
  <c r="M61" i="132"/>
  <c r="Z82" i="128"/>
  <c r="Z78" i="128"/>
  <c r="M75" i="132"/>
  <c r="L444" i="105" s="1"/>
  <c r="L171" i="133"/>
  <c r="M170" i="133"/>
  <c r="K437" i="131"/>
  <c r="H14" i="128"/>
  <c r="H17" i="128" s="1"/>
  <c r="H447" i="105" s="1"/>
  <c r="H440" i="105" s="1"/>
  <c r="D448" i="105"/>
  <c r="D434" i="105" s="1"/>
  <c r="E449" i="105"/>
  <c r="AO303" i="138"/>
  <c r="AO314" i="138" s="1"/>
  <c r="AO285" i="138"/>
  <c r="X5" i="138"/>
  <c r="J4" i="138" s="1"/>
  <c r="J45" i="138" s="1"/>
  <c r="G173" i="138"/>
  <c r="F174" i="138" s="1"/>
  <c r="H173" i="138"/>
  <c r="H34" i="133"/>
  <c r="F455" i="105"/>
  <c r="E28" i="133"/>
  <c r="E242" i="107"/>
  <c r="C31" i="148" s="1"/>
  <c r="G239" i="107"/>
  <c r="BU47" i="132"/>
  <c r="S101" i="132"/>
  <c r="P184" i="107"/>
  <c r="P191" i="107" s="1"/>
  <c r="P201" i="107" s="1"/>
  <c r="P210" i="107" s="1"/>
  <c r="P91" i="107"/>
  <c r="P142" i="107"/>
  <c r="AR112" i="138"/>
  <c r="AR87" i="138"/>
  <c r="AF109" i="132"/>
  <c r="N90" i="132"/>
  <c r="N91" i="132"/>
  <c r="AA97" i="128" s="1"/>
  <c r="N92" i="132"/>
  <c r="AA98" i="128" s="1"/>
  <c r="N93" i="132"/>
  <c r="AA99" i="128" s="1"/>
  <c r="N94" i="132"/>
  <c r="N95" i="132"/>
  <c r="N83" i="132"/>
  <c r="N84" i="132"/>
  <c r="AA91" i="128" s="1"/>
  <c r="N85" i="132"/>
  <c r="AA92" i="128" s="1"/>
  <c r="N86" i="132"/>
  <c r="AA93" i="128" s="1"/>
  <c r="N87" i="132"/>
  <c r="AA94" i="128" s="1"/>
  <c r="N88" i="132"/>
  <c r="AA95" i="128" s="1"/>
  <c r="N76" i="132"/>
  <c r="N77" i="132"/>
  <c r="AA85" i="128" s="1"/>
  <c r="N78" i="132"/>
  <c r="N79" i="132"/>
  <c r="N80" i="132"/>
  <c r="AA88" i="128" s="1"/>
  <c r="N81" i="132"/>
  <c r="AA89" i="128" s="1"/>
  <c r="N69" i="132"/>
  <c r="N70" i="132"/>
  <c r="AA79" i="128" s="1"/>
  <c r="N71" i="132"/>
  <c r="AA80" i="128" s="1"/>
  <c r="N72" i="132"/>
  <c r="AA81" i="128" s="1"/>
  <c r="N73" i="132"/>
  <c r="AA82" i="128" s="1"/>
  <c r="N74" i="132"/>
  <c r="AA83" i="128" s="1"/>
  <c r="N62" i="132"/>
  <c r="N63" i="132"/>
  <c r="AA73" i="128" s="1"/>
  <c r="N64" i="132"/>
  <c r="N65" i="132"/>
  <c r="N66" i="132"/>
  <c r="AA76" i="128" s="1"/>
  <c r="N67" i="132"/>
  <c r="AA77" i="128" s="1"/>
  <c r="N55" i="132"/>
  <c r="N56" i="132"/>
  <c r="AA67" i="128" s="1"/>
  <c r="N57" i="132"/>
  <c r="AA68" i="128" s="1"/>
  <c r="N58" i="132"/>
  <c r="AA69" i="128" s="1"/>
  <c r="N59" i="132"/>
  <c r="N60" i="132"/>
  <c r="AA71" i="128" s="1"/>
  <c r="N48" i="132"/>
  <c r="N49" i="132"/>
  <c r="AA61" i="128" s="1"/>
  <c r="N50" i="132"/>
  <c r="AA62" i="128" s="1"/>
  <c r="N51" i="132"/>
  <c r="AA63" i="128" s="1"/>
  <c r="N52" i="132"/>
  <c r="N53" i="132"/>
  <c r="AA65" i="128" s="1"/>
  <c r="G50" i="138"/>
  <c r="G48" i="138"/>
  <c r="G52" i="138" s="1"/>
  <c r="CP53" i="132"/>
  <c r="AA53" i="132" s="1"/>
  <c r="CE53" i="132"/>
  <c r="CP58" i="132"/>
  <c r="AA58" i="132" s="1"/>
  <c r="CE58" i="132"/>
  <c r="CP63" i="132"/>
  <c r="AA63" i="132" s="1"/>
  <c r="CE63" i="132"/>
  <c r="CP81" i="132"/>
  <c r="AA81" i="132" s="1"/>
  <c r="CE81" i="132"/>
  <c r="CP77" i="132"/>
  <c r="AA77" i="132" s="1"/>
  <c r="CE77" i="132"/>
  <c r="CP86" i="132"/>
  <c r="AA86" i="132" s="1"/>
  <c r="CE86" i="132"/>
  <c r="CP91" i="132"/>
  <c r="AA91" i="132" s="1"/>
  <c r="CE91" i="132"/>
  <c r="H495" i="105"/>
  <c r="J130" i="133"/>
  <c r="H178" i="133"/>
  <c r="K50" i="133"/>
  <c r="K51" i="133" s="1"/>
  <c r="H21" i="219"/>
  <c r="S103" i="148"/>
  <c r="U103" i="148" s="1"/>
  <c r="AA103" i="148" s="1"/>
  <c r="AC103" i="148" s="1"/>
  <c r="AA122" i="148" s="1"/>
  <c r="AA123" i="148" s="1"/>
  <c r="E274" i="107"/>
  <c r="Z89" i="132"/>
  <c r="L302" i="105" s="1"/>
  <c r="L303" i="105" s="1"/>
  <c r="L304" i="105" s="1"/>
  <c r="AP274" i="138"/>
  <c r="AP159" i="138"/>
  <c r="P111" i="132"/>
  <c r="BA60" i="128" s="1"/>
  <c r="P113" i="132"/>
  <c r="BA62" i="128" s="1"/>
  <c r="P115" i="132"/>
  <c r="BA64" i="128" s="1"/>
  <c r="P117" i="132"/>
  <c r="BA66" i="128" s="1"/>
  <c r="P119" i="132"/>
  <c r="BA68" i="128" s="1"/>
  <c r="P121" i="132"/>
  <c r="BA70" i="128" s="1"/>
  <c r="P123" i="132"/>
  <c r="BA72" i="128" s="1"/>
  <c r="P125" i="132"/>
  <c r="BA74" i="128" s="1"/>
  <c r="P127" i="132"/>
  <c r="BA76" i="128" s="1"/>
  <c r="P129" i="132"/>
  <c r="BA78" i="128" s="1"/>
  <c r="P131" i="132"/>
  <c r="BA80" i="128" s="1"/>
  <c r="P133" i="132"/>
  <c r="BA82" i="128" s="1"/>
  <c r="P135" i="132"/>
  <c r="BA84" i="128" s="1"/>
  <c r="P137" i="132"/>
  <c r="BA86" i="128" s="1"/>
  <c r="P139" i="132"/>
  <c r="BA88" i="128" s="1"/>
  <c r="P141" i="132"/>
  <c r="BA90" i="128" s="1"/>
  <c r="P143" i="132"/>
  <c r="BA92" i="128" s="1"/>
  <c r="P145" i="132"/>
  <c r="BA94" i="128" s="1"/>
  <c r="P147" i="132"/>
  <c r="BA96" i="128" s="1"/>
  <c r="P149" i="132"/>
  <c r="BA98" i="128" s="1"/>
  <c r="P151" i="132"/>
  <c r="BA100" i="128" s="1"/>
  <c r="P112" i="132"/>
  <c r="BA61" i="128" s="1"/>
  <c r="P114" i="132"/>
  <c r="BA63" i="128" s="1"/>
  <c r="P116" i="132"/>
  <c r="BA65" i="128" s="1"/>
  <c r="P118" i="132"/>
  <c r="BA67" i="128" s="1"/>
  <c r="P120" i="132"/>
  <c r="BA69" i="128" s="1"/>
  <c r="P122" i="132"/>
  <c r="BA71" i="128" s="1"/>
  <c r="P124" i="132"/>
  <c r="BA73" i="128" s="1"/>
  <c r="P126" i="132"/>
  <c r="BA75" i="128" s="1"/>
  <c r="P128" i="132"/>
  <c r="BA77" i="128" s="1"/>
  <c r="P130" i="132"/>
  <c r="BA79" i="128" s="1"/>
  <c r="P132" i="132"/>
  <c r="BA81" i="128" s="1"/>
  <c r="P134" i="132"/>
  <c r="BA83" i="128" s="1"/>
  <c r="P136" i="132"/>
  <c r="P138" i="132"/>
  <c r="BA87" i="128" s="1"/>
  <c r="P140" i="132"/>
  <c r="BA89" i="128" s="1"/>
  <c r="P142" i="132"/>
  <c r="BA91" i="128" s="1"/>
  <c r="P144" i="132"/>
  <c r="BA93" i="128" s="1"/>
  <c r="P146" i="132"/>
  <c r="BA95" i="128" s="1"/>
  <c r="P148" i="132"/>
  <c r="BA97" i="128" s="1"/>
  <c r="P150" i="132"/>
  <c r="BA99" i="128" s="1"/>
  <c r="P152" i="132"/>
  <c r="BA101" i="128" s="1"/>
  <c r="V174" i="138"/>
  <c r="U175" i="138" s="1"/>
  <c r="W174" i="138"/>
  <c r="P45" i="132"/>
  <c r="AT76" i="138"/>
  <c r="Q89" i="162"/>
  <c r="Q15" i="162" s="1"/>
  <c r="R81" i="107"/>
  <c r="R234" i="107"/>
  <c r="Q23" i="162"/>
  <c r="Q36" i="162" s="1"/>
  <c r="G158" i="131"/>
  <c r="P147" i="131"/>
  <c r="S77" i="105"/>
  <c r="AF47" i="132"/>
  <c r="G139" i="133"/>
  <c r="I279" i="107" s="1"/>
  <c r="CP51" i="132"/>
  <c r="AA51" i="132" s="1"/>
  <c r="CE51" i="132"/>
  <c r="CP60" i="132"/>
  <c r="AA60" i="132" s="1"/>
  <c r="CE60" i="132"/>
  <c r="CP56" i="132"/>
  <c r="AA56" i="132" s="1"/>
  <c r="CE56" i="132"/>
  <c r="CP65" i="132"/>
  <c r="AA65" i="132" s="1"/>
  <c r="CE65" i="132"/>
  <c r="CP74" i="132"/>
  <c r="AA74" i="132" s="1"/>
  <c r="CE74" i="132"/>
  <c r="CP70" i="132"/>
  <c r="AA70" i="132" s="1"/>
  <c r="CE70" i="132"/>
  <c r="CP79" i="132"/>
  <c r="AA79" i="132" s="1"/>
  <c r="CE79" i="132"/>
  <c r="CP88" i="132"/>
  <c r="AA88" i="132" s="1"/>
  <c r="CE88" i="132"/>
  <c r="CP84" i="132"/>
  <c r="AA84" i="132" s="1"/>
  <c r="CE84" i="132"/>
  <c r="CP93" i="132"/>
  <c r="AA93" i="132" s="1"/>
  <c r="CE93" i="132"/>
  <c r="Y103" i="138"/>
  <c r="X104" i="138" s="1"/>
  <c r="Z103" i="138"/>
  <c r="O23" i="214"/>
  <c r="O25" i="214" s="1"/>
  <c r="O6" i="214"/>
  <c r="O9" i="213"/>
  <c r="S141" i="138"/>
  <c r="R142" i="138" s="1"/>
  <c r="T141" i="138"/>
  <c r="H101" i="138"/>
  <c r="G101" i="138"/>
  <c r="F102" i="138" s="1"/>
  <c r="W103" i="138"/>
  <c r="V103" i="138"/>
  <c r="U104" i="138" s="1"/>
  <c r="Q174" i="138"/>
  <c r="P174" i="138"/>
  <c r="O175" i="138" s="1"/>
  <c r="Y138" i="138"/>
  <c r="X139" i="138" s="1"/>
  <c r="Z138" i="138"/>
  <c r="Z174" i="138"/>
  <c r="Y174" i="138"/>
  <c r="X175" i="138" s="1"/>
  <c r="AN165" i="138"/>
  <c r="I13" i="138" s="1"/>
  <c r="AN163" i="138"/>
  <c r="AN164" i="138" s="1"/>
  <c r="AO163" i="138" s="1"/>
  <c r="AO164" i="138" s="1"/>
  <c r="F66" i="138"/>
  <c r="E256" i="133"/>
  <c r="G242" i="133"/>
  <c r="J15" i="128"/>
  <c r="M438" i="131"/>
  <c r="J9" i="128"/>
  <c r="M436" i="131" s="1"/>
  <c r="M444" i="131" s="1"/>
  <c r="P353" i="105"/>
  <c r="P364" i="105"/>
  <c r="K442" i="105"/>
  <c r="Z100" i="128"/>
  <c r="Z54" i="132"/>
  <c r="L282" i="105" s="1"/>
  <c r="L283" i="105" s="1"/>
  <c r="L284" i="105" s="1"/>
  <c r="Z61" i="132"/>
  <c r="L286" i="105" s="1"/>
  <c r="L287" i="105" s="1"/>
  <c r="L288" i="105" s="1"/>
  <c r="Z68" i="132"/>
  <c r="L290" i="105" s="1"/>
  <c r="L291" i="105" s="1"/>
  <c r="L292" i="105" s="1"/>
  <c r="Z75" i="132"/>
  <c r="L294" i="105" s="1"/>
  <c r="Z82" i="132"/>
  <c r="L298" i="105" s="1"/>
  <c r="L299" i="105" s="1"/>
  <c r="L300" i="105" s="1"/>
  <c r="Z96" i="132"/>
  <c r="AB119" i="148"/>
  <c r="E380" i="148" s="1"/>
  <c r="G12" i="138"/>
  <c r="AA75" i="128" l="1"/>
  <c r="AA87" i="128"/>
  <c r="J138" i="138"/>
  <c r="I139" i="138" s="1"/>
  <c r="K138" i="138"/>
  <c r="AA70" i="128"/>
  <c r="L441" i="105"/>
  <c r="AC103" i="138"/>
  <c r="AB103" i="138"/>
  <c r="AA104" i="138" s="1"/>
  <c r="BA85" i="128"/>
  <c r="AA101" i="128"/>
  <c r="K104" i="138"/>
  <c r="J104" i="138"/>
  <c r="I105" i="138" s="1"/>
  <c r="AC138" i="138"/>
  <c r="AB138" i="138"/>
  <c r="AA139" i="138" s="1"/>
  <c r="M174" i="138"/>
  <c r="L175" i="138" s="1"/>
  <c r="N174" i="138"/>
  <c r="H490" i="105"/>
  <c r="L306" i="105"/>
  <c r="L307" i="105" s="1"/>
  <c r="Z98" i="132"/>
  <c r="O102" i="132" s="1"/>
  <c r="L295" i="105"/>
  <c r="J16" i="128"/>
  <c r="M133" i="107" s="1"/>
  <c r="Z175" i="138"/>
  <c r="Y175" i="138"/>
  <c r="X176" i="138" s="1"/>
  <c r="P175" i="138"/>
  <c r="O176" i="138" s="1"/>
  <c r="Q175" i="138"/>
  <c r="V104" i="138"/>
  <c r="U105" i="138" s="1"/>
  <c r="W104" i="138"/>
  <c r="H102" i="138"/>
  <c r="G102" i="138"/>
  <c r="F103" i="138" s="1"/>
  <c r="Z104" i="138"/>
  <c r="Y104" i="138"/>
  <c r="X105" i="138" s="1"/>
  <c r="R280" i="105"/>
  <c r="S393" i="105"/>
  <c r="R268" i="105"/>
  <c r="P2" i="133"/>
  <c r="P163" i="133" s="1"/>
  <c r="R16" i="213"/>
  <c r="R12" i="214"/>
  <c r="Q2" i="162"/>
  <c r="AH109" i="132"/>
  <c r="P90" i="132"/>
  <c r="P91" i="132"/>
  <c r="P92" i="132"/>
  <c r="P93" i="132"/>
  <c r="P94" i="132"/>
  <c r="P95" i="132"/>
  <c r="P83" i="132"/>
  <c r="P84" i="132"/>
  <c r="P85" i="132"/>
  <c r="P86" i="132"/>
  <c r="P87" i="132"/>
  <c r="P88" i="132"/>
  <c r="P76" i="132"/>
  <c r="P77" i="132"/>
  <c r="P78" i="132"/>
  <c r="P79" i="132"/>
  <c r="P80" i="132"/>
  <c r="P81" i="132"/>
  <c r="P69" i="132"/>
  <c r="P70" i="132"/>
  <c r="P71" i="132"/>
  <c r="P72" i="132"/>
  <c r="P73" i="132"/>
  <c r="P74" i="132"/>
  <c r="P62" i="132"/>
  <c r="P63" i="132"/>
  <c r="P64" i="132"/>
  <c r="P65" i="132"/>
  <c r="P66" i="132"/>
  <c r="P67" i="132"/>
  <c r="P55" i="132"/>
  <c r="P56" i="132"/>
  <c r="P57" i="132"/>
  <c r="P58" i="132"/>
  <c r="P59" i="132"/>
  <c r="P60" i="132"/>
  <c r="P48" i="132"/>
  <c r="P49" i="132"/>
  <c r="P50" i="132"/>
  <c r="P51" i="132"/>
  <c r="P52" i="132"/>
  <c r="P53" i="132"/>
  <c r="AW94" i="132"/>
  <c r="AX94" i="132" s="1"/>
  <c r="AW74" i="132"/>
  <c r="AX74" i="132" s="1"/>
  <c r="AW91" i="132"/>
  <c r="AX91" i="132" s="1"/>
  <c r="AW55" i="132"/>
  <c r="AX55" i="132" s="1"/>
  <c r="AW84" i="132"/>
  <c r="AX84" i="132" s="1"/>
  <c r="AW48" i="132"/>
  <c r="AX48" i="132" s="1"/>
  <c r="AW79" i="132"/>
  <c r="AX79" i="132" s="1"/>
  <c r="AW57" i="132"/>
  <c r="AX57" i="132" s="1"/>
  <c r="AW72" i="132"/>
  <c r="AX72" i="132" s="1"/>
  <c r="AW50" i="132"/>
  <c r="AX50" i="132" s="1"/>
  <c r="AW81" i="132"/>
  <c r="AX81" i="132" s="1"/>
  <c r="AW86" i="132"/>
  <c r="AX86" i="132" s="1"/>
  <c r="AW92" i="132"/>
  <c r="AX92" i="132" s="1"/>
  <c r="AW65" i="132"/>
  <c r="AX65" i="132" s="1"/>
  <c r="AW95" i="132"/>
  <c r="AX95" i="132" s="1"/>
  <c r="AW64" i="132"/>
  <c r="AX64" i="132" s="1"/>
  <c r="AW53" i="132"/>
  <c r="AX53" i="132" s="1"/>
  <c r="AW78" i="132"/>
  <c r="AX78" i="132" s="1"/>
  <c r="AW85" i="132"/>
  <c r="AX85" i="132" s="1"/>
  <c r="AW70" i="132"/>
  <c r="AX70" i="132" s="1"/>
  <c r="AW93" i="132"/>
  <c r="AX93" i="132" s="1"/>
  <c r="AW77" i="132"/>
  <c r="AX77" i="132" s="1"/>
  <c r="AW60" i="132"/>
  <c r="AX60" i="132" s="1"/>
  <c r="AW80" i="132"/>
  <c r="AX80" i="132" s="1"/>
  <c r="AW49" i="132"/>
  <c r="AX49" i="132" s="1"/>
  <c r="AW69" i="132"/>
  <c r="AX69" i="132" s="1"/>
  <c r="AW73" i="132"/>
  <c r="AX73" i="132" s="1"/>
  <c r="AW63" i="132"/>
  <c r="AX63" i="132" s="1"/>
  <c r="AW83" i="132"/>
  <c r="AX83" i="132" s="1"/>
  <c r="AW66" i="132"/>
  <c r="AX66" i="132" s="1"/>
  <c r="AW56" i="132"/>
  <c r="AX56" i="132" s="1"/>
  <c r="AW67" i="132"/>
  <c r="AX67" i="132" s="1"/>
  <c r="AW87" i="132"/>
  <c r="AX87" i="132" s="1"/>
  <c r="AW58" i="132"/>
  <c r="AX58" i="132" s="1"/>
  <c r="AW88" i="132"/>
  <c r="AX88" i="132" s="1"/>
  <c r="AW59" i="132"/>
  <c r="AX59" i="132" s="1"/>
  <c r="AW76" i="132"/>
  <c r="AX76" i="132" s="1"/>
  <c r="AW51" i="132"/>
  <c r="AX51" i="132" s="1"/>
  <c r="AW90" i="132"/>
  <c r="AX90" i="132" s="1"/>
  <c r="AW71" i="132"/>
  <c r="AX71" i="132" s="1"/>
  <c r="AW62" i="132"/>
  <c r="AX62" i="132" s="1"/>
  <c r="V175" i="138"/>
  <c r="U176" i="138" s="1"/>
  <c r="W175" i="138"/>
  <c r="AP303" i="138"/>
  <c r="AP314" i="138" s="1"/>
  <c r="AP285" i="138"/>
  <c r="Y5" i="138"/>
  <c r="K4" i="138" s="1"/>
  <c r="K45" i="138" s="1"/>
  <c r="D381" i="148"/>
  <c r="AB123" i="148"/>
  <c r="I495" i="105"/>
  <c r="K130" i="133"/>
  <c r="CQ91" i="132"/>
  <c r="AB91" i="132" s="1"/>
  <c r="CF91" i="132"/>
  <c r="CQ86" i="132"/>
  <c r="AB86" i="132" s="1"/>
  <c r="CF86" i="132"/>
  <c r="CQ77" i="132"/>
  <c r="AB77" i="132" s="1"/>
  <c r="CF77" i="132"/>
  <c r="CQ81" i="132"/>
  <c r="AB81" i="132" s="1"/>
  <c r="CF81" i="132"/>
  <c r="CQ63" i="132"/>
  <c r="AB63" i="132" s="1"/>
  <c r="CF63" i="132"/>
  <c r="CQ58" i="132"/>
  <c r="AB58" i="132" s="1"/>
  <c r="CF58" i="132"/>
  <c r="CQ53" i="132"/>
  <c r="AB53" i="132" s="1"/>
  <c r="CF53" i="132"/>
  <c r="AA64" i="128"/>
  <c r="AA60" i="128"/>
  <c r="N54" i="132"/>
  <c r="M441" i="105" s="1"/>
  <c r="AA66" i="128"/>
  <c r="N61" i="132"/>
  <c r="AA74" i="128"/>
  <c r="AA72" i="128"/>
  <c r="N68" i="132"/>
  <c r="M443" i="105" s="1"/>
  <c r="AA78" i="128"/>
  <c r="N75" i="132"/>
  <c r="M444" i="105" s="1"/>
  <c r="AA86" i="128"/>
  <c r="AA84" i="128"/>
  <c r="N82" i="132"/>
  <c r="M445" i="105" s="1"/>
  <c r="AA90" i="128"/>
  <c r="N89" i="132"/>
  <c r="M446" i="105" s="1"/>
  <c r="AA96" i="128"/>
  <c r="N96" i="132"/>
  <c r="AR93" i="138"/>
  <c r="J46" i="138"/>
  <c r="J47" i="138"/>
  <c r="J49" i="138" s="1"/>
  <c r="J65" i="138"/>
  <c r="J5" i="138"/>
  <c r="AO320" i="138"/>
  <c r="M171" i="133"/>
  <c r="M173" i="133" s="1"/>
  <c r="N170" i="133"/>
  <c r="L173" i="133"/>
  <c r="H50" i="138"/>
  <c r="H48" i="138"/>
  <c r="H52" i="138" s="1"/>
  <c r="K309" i="105"/>
  <c r="K308" i="105"/>
  <c r="K292" i="105"/>
  <c r="K7" i="128"/>
  <c r="S102" i="138"/>
  <c r="R103" i="138" s="1"/>
  <c r="T102" i="138"/>
  <c r="I5" i="138"/>
  <c r="AN320" i="138"/>
  <c r="K436" i="105"/>
  <c r="D102" i="138"/>
  <c r="C103" i="138" s="1"/>
  <c r="E102" i="138"/>
  <c r="S175" i="138"/>
  <c r="R176" i="138" s="1"/>
  <c r="T175" i="138"/>
  <c r="AA75" i="132"/>
  <c r="M294" i="105" s="1"/>
  <c r="M295" i="105" s="1"/>
  <c r="M296" i="105" s="1"/>
  <c r="D139" i="138"/>
  <c r="C140" i="138" s="1"/>
  <c r="E139" i="138"/>
  <c r="H239" i="107"/>
  <c r="O472" i="105"/>
  <c r="C356" i="148" s="1"/>
  <c r="C357" i="148"/>
  <c r="D357" i="148" s="1"/>
  <c r="M139" i="138"/>
  <c r="L140" i="138" s="1"/>
  <c r="N139" i="138"/>
  <c r="CQ94" i="132"/>
  <c r="AB94" i="132" s="1"/>
  <c r="CF94" i="132"/>
  <c r="CQ83" i="132"/>
  <c r="AB83" i="132" s="1"/>
  <c r="CF83" i="132"/>
  <c r="CQ87" i="132"/>
  <c r="AB87" i="132" s="1"/>
  <c r="CF87" i="132"/>
  <c r="CQ80" i="132"/>
  <c r="AB80" i="132" s="1"/>
  <c r="CF80" i="132"/>
  <c r="CQ73" i="132"/>
  <c r="AB73" i="132" s="1"/>
  <c r="CF73" i="132"/>
  <c r="CQ66" i="132"/>
  <c r="AB66" i="132" s="1"/>
  <c r="CF66" i="132"/>
  <c r="CQ59" i="132"/>
  <c r="AB59" i="132" s="1"/>
  <c r="CF59" i="132"/>
  <c r="CQ52" i="132"/>
  <c r="AB52" i="132" s="1"/>
  <c r="CF52" i="132"/>
  <c r="F353" i="148"/>
  <c r="G354" i="148"/>
  <c r="G353" i="148" s="1"/>
  <c r="K54" i="133"/>
  <c r="J55" i="133"/>
  <c r="I460" i="105" s="1"/>
  <c r="W142" i="138"/>
  <c r="V142" i="138"/>
  <c r="U143" i="138" s="1"/>
  <c r="P217" i="162"/>
  <c r="N48" i="133" s="1"/>
  <c r="P246" i="107" s="1"/>
  <c r="Q207" i="162"/>
  <c r="Q217" i="162" s="1"/>
  <c r="L204" i="162" s="1"/>
  <c r="P23" i="214"/>
  <c r="P25" i="214" s="1"/>
  <c r="P6" i="214"/>
  <c r="P9" i="213"/>
  <c r="Q350" i="105"/>
  <c r="N146" i="133" s="1"/>
  <c r="Q357" i="105"/>
  <c r="N148" i="133" s="1"/>
  <c r="AQ129" i="138"/>
  <c r="AQ127" i="138"/>
  <c r="AQ128" i="138" s="1"/>
  <c r="M5" i="132"/>
  <c r="M32" i="132" s="1"/>
  <c r="AT113" i="132"/>
  <c r="AT117" i="132"/>
  <c r="AT121" i="132"/>
  <c r="AT125" i="132"/>
  <c r="AT129" i="132"/>
  <c r="AT133" i="132"/>
  <c r="AT137" i="132"/>
  <c r="AT141" i="132"/>
  <c r="AT145" i="132"/>
  <c r="AT149" i="132"/>
  <c r="AT112" i="132"/>
  <c r="AT116" i="132"/>
  <c r="AT120" i="132"/>
  <c r="AT124" i="132"/>
  <c r="AT128" i="132"/>
  <c r="AT132" i="132"/>
  <c r="AT136" i="132"/>
  <c r="AT140" i="132"/>
  <c r="AT144" i="132"/>
  <c r="AT148" i="132"/>
  <c r="AT152" i="132"/>
  <c r="AT115" i="132"/>
  <c r="AT123" i="132"/>
  <c r="AT131" i="132"/>
  <c r="AT139" i="132"/>
  <c r="AT147" i="132"/>
  <c r="AT114" i="132"/>
  <c r="AT122" i="132"/>
  <c r="AT130" i="132"/>
  <c r="AT138" i="132"/>
  <c r="AT146" i="132"/>
  <c r="AT111" i="132"/>
  <c r="AT119" i="132"/>
  <c r="AT127" i="132"/>
  <c r="AT135" i="132"/>
  <c r="AT143" i="132"/>
  <c r="AT151" i="132"/>
  <c r="AT118" i="132"/>
  <c r="AT126" i="132"/>
  <c r="AT134" i="132"/>
  <c r="AT142" i="132"/>
  <c r="AT150" i="132"/>
  <c r="BV47" i="132"/>
  <c r="T101" i="132"/>
  <c r="R393" i="105"/>
  <c r="Q280" i="105"/>
  <c r="O2" i="133"/>
  <c r="O163" i="133" s="1"/>
  <c r="Q268" i="105"/>
  <c r="AS112" i="138"/>
  <c r="AS87" i="138"/>
  <c r="I16" i="128"/>
  <c r="L133" i="107" s="1"/>
  <c r="I18" i="128"/>
  <c r="I439" i="105" s="1"/>
  <c r="I435" i="105" s="1"/>
  <c r="I115" i="105"/>
  <c r="H95" i="107"/>
  <c r="E21" i="105"/>
  <c r="E174" i="138"/>
  <c r="D174" i="138"/>
  <c r="C175" i="138" s="1"/>
  <c r="AK367" i="132"/>
  <c r="EL154" i="132"/>
  <c r="AM154" i="132"/>
  <c r="CL154" i="132"/>
  <c r="AE139" i="138"/>
  <c r="AD140" i="138" s="1"/>
  <c r="AF139" i="138"/>
  <c r="K284" i="105"/>
  <c r="Q364" i="105"/>
  <c r="AW52" i="132"/>
  <c r="AX52" i="132" s="1"/>
  <c r="AA100" i="128"/>
  <c r="AA96" i="132"/>
  <c r="AA82" i="132"/>
  <c r="M298" i="105" s="1"/>
  <c r="M299" i="105" s="1"/>
  <c r="M300" i="105" s="1"/>
  <c r="AA68" i="132"/>
  <c r="M290" i="105" s="1"/>
  <c r="M291" i="105" s="1"/>
  <c r="M292" i="105" s="1"/>
  <c r="AA61" i="132"/>
  <c r="M286" i="105" s="1"/>
  <c r="M287" i="105" s="1"/>
  <c r="M288" i="105" s="1"/>
  <c r="AA54" i="132"/>
  <c r="M282" i="105" s="1"/>
  <c r="M283" i="105" s="1"/>
  <c r="M284" i="105" s="1"/>
  <c r="I17" i="128"/>
  <c r="I447" i="105" s="1"/>
  <c r="I440" i="105" s="1"/>
  <c r="Z103" i="128"/>
  <c r="L8" i="128" s="1"/>
  <c r="Z102" i="128"/>
  <c r="L6" i="128" s="1"/>
  <c r="L7" i="128" s="1"/>
  <c r="F67" i="138"/>
  <c r="Y139" i="138"/>
  <c r="X140" i="138" s="1"/>
  <c r="Z139" i="138"/>
  <c r="S142" i="138"/>
  <c r="R143" i="138" s="1"/>
  <c r="T142" i="138"/>
  <c r="CQ93" i="132"/>
  <c r="AB93" i="132" s="1"/>
  <c r="CF93" i="132"/>
  <c r="CQ84" i="132"/>
  <c r="AB84" i="132" s="1"/>
  <c r="CF84" i="132"/>
  <c r="CQ88" i="132"/>
  <c r="AB88" i="132" s="1"/>
  <c r="CF88" i="132"/>
  <c r="CQ79" i="132"/>
  <c r="AB79" i="132" s="1"/>
  <c r="CF79" i="132"/>
  <c r="CQ70" i="132"/>
  <c r="AB70" i="132" s="1"/>
  <c r="CF70" i="132"/>
  <c r="CQ74" i="132"/>
  <c r="AB74" i="132" s="1"/>
  <c r="CF74" i="132"/>
  <c r="CQ65" i="132"/>
  <c r="AB65" i="132" s="1"/>
  <c r="CF65" i="132"/>
  <c r="CQ56" i="132"/>
  <c r="AB56" i="132" s="1"/>
  <c r="CF56" i="132"/>
  <c r="CQ60" i="132"/>
  <c r="AB60" i="132" s="1"/>
  <c r="CF60" i="132"/>
  <c r="CQ51" i="132"/>
  <c r="AB51" i="132" s="1"/>
  <c r="CF51" i="132"/>
  <c r="U101" i="132"/>
  <c r="BW47" i="132"/>
  <c r="Q46" i="162"/>
  <c r="Q29" i="162"/>
  <c r="Q64" i="162"/>
  <c r="Q83" i="162" s="1"/>
  <c r="R184" i="107"/>
  <c r="R191" i="107" s="1"/>
  <c r="R201" i="107" s="1"/>
  <c r="R210" i="107" s="1"/>
  <c r="R142" i="107"/>
  <c r="R91" i="107"/>
  <c r="AT112" i="138"/>
  <c r="AT87" i="138"/>
  <c r="O305" i="138"/>
  <c r="O114" i="138"/>
  <c r="O150" i="138"/>
  <c r="O276" i="138"/>
  <c r="O78" i="138"/>
  <c r="AP165" i="138"/>
  <c r="K13" i="138" s="1"/>
  <c r="AP163" i="138"/>
  <c r="AP164" i="138" s="1"/>
  <c r="K6" i="138"/>
  <c r="H179" i="133"/>
  <c r="H238" i="133"/>
  <c r="H39" i="133" s="1"/>
  <c r="AF152" i="132"/>
  <c r="AF151" i="132"/>
  <c r="AF150" i="132"/>
  <c r="AF149" i="132"/>
  <c r="AF148" i="132"/>
  <c r="AF147" i="132"/>
  <c r="AF146" i="132"/>
  <c r="AF145" i="132"/>
  <c r="AF144" i="132"/>
  <c r="AF143" i="132"/>
  <c r="AF142" i="132"/>
  <c r="AF140" i="132"/>
  <c r="AF139" i="132"/>
  <c r="AF138" i="132"/>
  <c r="AF137" i="132"/>
  <c r="AF136" i="132"/>
  <c r="AF135" i="132"/>
  <c r="AF134" i="132"/>
  <c r="AF133" i="132"/>
  <c r="AF132" i="132"/>
  <c r="AF131" i="132"/>
  <c r="AF130" i="132"/>
  <c r="AF129" i="132"/>
  <c r="AF128" i="132"/>
  <c r="AF127" i="132"/>
  <c r="AF126" i="132"/>
  <c r="AF125" i="132"/>
  <c r="AF124" i="132"/>
  <c r="AF123" i="132"/>
  <c r="AF122" i="132"/>
  <c r="AF121" i="132"/>
  <c r="AF120" i="132"/>
  <c r="AF119" i="132"/>
  <c r="AF118" i="132"/>
  <c r="AF117" i="132"/>
  <c r="AF116" i="132"/>
  <c r="AF115" i="132"/>
  <c r="AF114" i="132"/>
  <c r="AF141" i="132"/>
  <c r="AF113" i="132"/>
  <c r="AF112" i="132"/>
  <c r="AF111" i="132"/>
  <c r="R109" i="132"/>
  <c r="AU109" i="132"/>
  <c r="AR148" i="138"/>
  <c r="AR123" i="138"/>
  <c r="G8" i="219"/>
  <c r="E30" i="133"/>
  <c r="G238" i="107"/>
  <c r="X28" i="133"/>
  <c r="E29" i="133"/>
  <c r="E32" i="133"/>
  <c r="I34" i="133"/>
  <c r="G455" i="105"/>
  <c r="G174" i="138"/>
  <c r="F175" i="138" s="1"/>
  <c r="H174" i="138"/>
  <c r="AO291" i="138"/>
  <c r="F449" i="105"/>
  <c r="E448" i="105"/>
  <c r="E434" i="105" s="1"/>
  <c r="G256" i="107"/>
  <c r="G229" i="133"/>
  <c r="W176" i="133"/>
  <c r="AN291" i="138"/>
  <c r="AN289" i="138"/>
  <c r="AN290" i="138" s="1"/>
  <c r="AO289" i="138" s="1"/>
  <c r="AO290" i="138" s="1"/>
  <c r="I47" i="138"/>
  <c r="I49" i="138" s="1"/>
  <c r="I46" i="138"/>
  <c r="I65" i="138"/>
  <c r="F139" i="133"/>
  <c r="AF104" i="138"/>
  <c r="AE104" i="138"/>
  <c r="AD105" i="138" s="1"/>
  <c r="K9" i="132"/>
  <c r="Q102" i="138"/>
  <c r="P102" i="138"/>
  <c r="O103" i="138" s="1"/>
  <c r="CQ90" i="132"/>
  <c r="AB90" i="132" s="1"/>
  <c r="CF90" i="132"/>
  <c r="CQ92" i="132"/>
  <c r="AB92" i="132" s="1"/>
  <c r="CF92" i="132"/>
  <c r="CQ85" i="132"/>
  <c r="AB85" i="132" s="1"/>
  <c r="CF85" i="132"/>
  <c r="CQ76" i="132"/>
  <c r="AB76" i="132" s="1"/>
  <c r="CF76" i="132"/>
  <c r="CQ78" i="132"/>
  <c r="AB78" i="132" s="1"/>
  <c r="CF78" i="132"/>
  <c r="CQ69" i="132"/>
  <c r="AB69" i="132" s="1"/>
  <c r="CF69" i="132"/>
  <c r="CQ71" i="132"/>
  <c r="AB71" i="132" s="1"/>
  <c r="CF71" i="132"/>
  <c r="CQ62" i="132"/>
  <c r="AB62" i="132" s="1"/>
  <c r="CF62" i="132"/>
  <c r="CQ64" i="132"/>
  <c r="AB64" i="132" s="1"/>
  <c r="CF64" i="132"/>
  <c r="CQ55" i="132"/>
  <c r="AB55" i="132" s="1"/>
  <c r="CF55" i="132"/>
  <c r="CQ57" i="132"/>
  <c r="AB57" i="132" s="1"/>
  <c r="CF57" i="132"/>
  <c r="CQ48" i="132"/>
  <c r="AB48" i="132" s="1"/>
  <c r="CF48" i="132"/>
  <c r="CQ50" i="132"/>
  <c r="AB50" i="132" s="1"/>
  <c r="CF50" i="132"/>
  <c r="CQ95" i="132"/>
  <c r="AB95" i="132" s="1"/>
  <c r="CF95" i="132"/>
  <c r="CQ72" i="132"/>
  <c r="AB72" i="132" s="1"/>
  <c r="CF72" i="132"/>
  <c r="CQ67" i="132"/>
  <c r="AB67" i="132" s="1"/>
  <c r="CF67" i="132"/>
  <c r="CQ49" i="132"/>
  <c r="AB49" i="132" s="1"/>
  <c r="CF49" i="132"/>
  <c r="F232" i="133"/>
  <c r="E68" i="138" s="1"/>
  <c r="E69" i="138" s="1"/>
  <c r="E14" i="138" s="1"/>
  <c r="F239" i="133"/>
  <c r="T10" i="138"/>
  <c r="F25" i="138" s="1"/>
  <c r="F486" i="105" s="1"/>
  <c r="AL318" i="138"/>
  <c r="AE175" i="138"/>
  <c r="AD176" i="138" s="1"/>
  <c r="AF175" i="138"/>
  <c r="M433" i="105"/>
  <c r="M465" i="105" s="1"/>
  <c r="O56" i="162"/>
  <c r="P4" i="219"/>
  <c r="P29" i="219" s="1"/>
  <c r="M516" i="105"/>
  <c r="Q417" i="105"/>
  <c r="Q347" i="105"/>
  <c r="Q394" i="105"/>
  <c r="Q348" i="105"/>
  <c r="J175" i="138"/>
  <c r="I176" i="138" s="1"/>
  <c r="K175" i="138"/>
  <c r="D31" i="148"/>
  <c r="D32" i="148"/>
  <c r="V16" i="138"/>
  <c r="H26" i="138" s="1"/>
  <c r="H478" i="105" s="1"/>
  <c r="H477" i="105" s="1"/>
  <c r="H476" i="105" s="1"/>
  <c r="H475" i="105" s="1"/>
  <c r="AN91" i="138"/>
  <c r="L105" i="132"/>
  <c r="E493" i="105"/>
  <c r="K175" i="133"/>
  <c r="AQ274" i="138"/>
  <c r="AQ159" i="138"/>
  <c r="Q111" i="132"/>
  <c r="BB60" i="128" s="1"/>
  <c r="Q113" i="132"/>
  <c r="BB62" i="128" s="1"/>
  <c r="Q115" i="132"/>
  <c r="BB64" i="128" s="1"/>
  <c r="Q117" i="132"/>
  <c r="BB66" i="128" s="1"/>
  <c r="Q119" i="132"/>
  <c r="BB68" i="128" s="1"/>
  <c r="Q121" i="132"/>
  <c r="BB70" i="128" s="1"/>
  <c r="Q123" i="132"/>
  <c r="BB72" i="128" s="1"/>
  <c r="Q125" i="132"/>
  <c r="BB74" i="128" s="1"/>
  <c r="Q127" i="132"/>
  <c r="BB76" i="128" s="1"/>
  <c r="Q129" i="132"/>
  <c r="BB78" i="128" s="1"/>
  <c r="Q131" i="132"/>
  <c r="BB80" i="128" s="1"/>
  <c r="Q133" i="132"/>
  <c r="BB82" i="128" s="1"/>
  <c r="Q135" i="132"/>
  <c r="BB84" i="128" s="1"/>
  <c r="Q137" i="132"/>
  <c r="BB86" i="128" s="1"/>
  <c r="Q139" i="132"/>
  <c r="BB88" i="128" s="1"/>
  <c r="Q141" i="132"/>
  <c r="BB90" i="128" s="1"/>
  <c r="Q143" i="132"/>
  <c r="BB92" i="128" s="1"/>
  <c r="Q145" i="132"/>
  <c r="BB94" i="128" s="1"/>
  <c r="Q147" i="132"/>
  <c r="BB96" i="128" s="1"/>
  <c r="Q149" i="132"/>
  <c r="BB98" i="128" s="1"/>
  <c r="Q151" i="132"/>
  <c r="BB100" i="128" s="1"/>
  <c r="Q112" i="132"/>
  <c r="BB61" i="128" s="1"/>
  <c r="Q114" i="132"/>
  <c r="BB63" i="128" s="1"/>
  <c r="Q116" i="132"/>
  <c r="BB65" i="128" s="1"/>
  <c r="Q118" i="132"/>
  <c r="BB67" i="128" s="1"/>
  <c r="Q120" i="132"/>
  <c r="BB69" i="128" s="1"/>
  <c r="Q122" i="132"/>
  <c r="BB71" i="128" s="1"/>
  <c r="Q124" i="132"/>
  <c r="BB73" i="128" s="1"/>
  <c r="Q126" i="132"/>
  <c r="BB75" i="128" s="1"/>
  <c r="Q128" i="132"/>
  <c r="BB77" i="128" s="1"/>
  <c r="Q130" i="132"/>
  <c r="BB79" i="128" s="1"/>
  <c r="Q132" i="132"/>
  <c r="BB81" i="128" s="1"/>
  <c r="Q134" i="132"/>
  <c r="BB83" i="128" s="1"/>
  <c r="Q136" i="132"/>
  <c r="BB85" i="128" s="1"/>
  <c r="Q138" i="132"/>
  <c r="BB87" i="128" s="1"/>
  <c r="Q140" i="132"/>
  <c r="BB89" i="128" s="1"/>
  <c r="Q142" i="132"/>
  <c r="BB91" i="128" s="1"/>
  <c r="Q144" i="132"/>
  <c r="BB93" i="128" s="1"/>
  <c r="Q146" i="132"/>
  <c r="BB95" i="128" s="1"/>
  <c r="Q148" i="132"/>
  <c r="BB97" i="128" s="1"/>
  <c r="Q150" i="132"/>
  <c r="BB99" i="128" s="1"/>
  <c r="Q152" i="132"/>
  <c r="BB101" i="128" s="1"/>
  <c r="AE153" i="132"/>
  <c r="Q377" i="132" s="1"/>
  <c r="P46" i="162"/>
  <c r="P64" i="162"/>
  <c r="P83" i="162" s="1"/>
  <c r="P29" i="162"/>
  <c r="Q184" i="107"/>
  <c r="Q191" i="107" s="1"/>
  <c r="Q201" i="107" s="1"/>
  <c r="Q210" i="107" s="1"/>
  <c r="Q142" i="107"/>
  <c r="Q91" i="107"/>
  <c r="Q16" i="213"/>
  <c r="Q12" i="214"/>
  <c r="P2" i="162"/>
  <c r="AG109" i="132"/>
  <c r="O90" i="132"/>
  <c r="O91" i="132"/>
  <c r="AB97" i="128" s="1"/>
  <c r="O92" i="132"/>
  <c r="AB98" i="128" s="1"/>
  <c r="O93" i="132"/>
  <c r="AB99" i="128" s="1"/>
  <c r="O94" i="132"/>
  <c r="AB100" i="128" s="1"/>
  <c r="O95" i="132"/>
  <c r="AB101" i="128" s="1"/>
  <c r="O83" i="132"/>
  <c r="O84" i="132"/>
  <c r="AB91" i="128" s="1"/>
  <c r="O85" i="132"/>
  <c r="AB92" i="128" s="1"/>
  <c r="O86" i="132"/>
  <c r="AB93" i="128" s="1"/>
  <c r="O87" i="132"/>
  <c r="AB94" i="128" s="1"/>
  <c r="O88" i="132"/>
  <c r="AB95" i="128" s="1"/>
  <c r="O76" i="132"/>
  <c r="O77" i="132"/>
  <c r="AB85" i="128" s="1"/>
  <c r="O78" i="132"/>
  <c r="AB86" i="128" s="1"/>
  <c r="O79" i="132"/>
  <c r="AB87" i="128" s="1"/>
  <c r="O80" i="132"/>
  <c r="AB88" i="128" s="1"/>
  <c r="O81" i="132"/>
  <c r="AB89" i="128" s="1"/>
  <c r="O69" i="132"/>
  <c r="O70" i="132"/>
  <c r="AB79" i="128" s="1"/>
  <c r="O71" i="132"/>
  <c r="AB80" i="128" s="1"/>
  <c r="O72" i="132"/>
  <c r="AB81" i="128" s="1"/>
  <c r="O73" i="132"/>
  <c r="AB82" i="128" s="1"/>
  <c r="O74" i="132"/>
  <c r="AB83" i="128" s="1"/>
  <c r="O62" i="132"/>
  <c r="O63" i="132"/>
  <c r="AB73" i="128" s="1"/>
  <c r="O64" i="132"/>
  <c r="AB74" i="128" s="1"/>
  <c r="O65" i="132"/>
  <c r="AB75" i="128" s="1"/>
  <c r="O66" i="132"/>
  <c r="AB76" i="128" s="1"/>
  <c r="O67" i="132"/>
  <c r="AB77" i="128" s="1"/>
  <c r="O55" i="132"/>
  <c r="O56" i="132"/>
  <c r="AB67" i="128" s="1"/>
  <c r="O57" i="132"/>
  <c r="AB68" i="128" s="1"/>
  <c r="O58" i="132"/>
  <c r="AB69" i="128" s="1"/>
  <c r="O59" i="132"/>
  <c r="AB70" i="128" s="1"/>
  <c r="O60" i="132"/>
  <c r="AB71" i="128" s="1"/>
  <c r="O48" i="132"/>
  <c r="O49" i="132"/>
  <c r="AB61" i="128" s="1"/>
  <c r="O50" i="132"/>
  <c r="AB62" i="128" s="1"/>
  <c r="O51" i="132"/>
  <c r="AB63" i="128" s="1"/>
  <c r="O52" i="132"/>
  <c r="AB64" i="128" s="1"/>
  <c r="O53" i="132"/>
  <c r="AB65" i="128" s="1"/>
  <c r="D14" i="138"/>
  <c r="AB177" i="138"/>
  <c r="AA178" i="138" s="1"/>
  <c r="AC177" i="138"/>
  <c r="P399" i="105"/>
  <c r="P404" i="105" s="1"/>
  <c r="P411" i="105" s="1"/>
  <c r="M153" i="133" s="1"/>
  <c r="Q400" i="105"/>
  <c r="S402" i="105"/>
  <c r="R401" i="105"/>
  <c r="J309" i="105"/>
  <c r="J308" i="105"/>
  <c r="P139" i="138"/>
  <c r="O140" i="138" s="1"/>
  <c r="Q139" i="138"/>
  <c r="G139" i="138"/>
  <c r="F140" i="138" s="1"/>
  <c r="H139" i="138"/>
  <c r="K300" i="105"/>
  <c r="K288" i="105"/>
  <c r="F54" i="138"/>
  <c r="E58" i="138"/>
  <c r="N103" i="138"/>
  <c r="M103" i="138"/>
  <c r="L104" i="138" s="1"/>
  <c r="G26" i="162"/>
  <c r="Q353" i="105"/>
  <c r="L442" i="105"/>
  <c r="H51" i="138"/>
  <c r="I178" i="133"/>
  <c r="J178" i="133" s="1"/>
  <c r="AC119" i="148"/>
  <c r="G51" i="138"/>
  <c r="AA89" i="132"/>
  <c r="M302" i="105" s="1"/>
  <c r="M303" i="105" s="1"/>
  <c r="M304" i="105" s="1"/>
  <c r="K247" i="107"/>
  <c r="H16" i="128"/>
  <c r="K133" i="107" s="1"/>
  <c r="M98" i="132"/>
  <c r="J17" i="128" l="1"/>
  <c r="J447" i="105" s="1"/>
  <c r="J440" i="105" s="1"/>
  <c r="AC104" i="138"/>
  <c r="AB104" i="138"/>
  <c r="AA105" i="138" s="1"/>
  <c r="N98" i="132"/>
  <c r="J139" i="138"/>
  <c r="I140" i="138" s="1"/>
  <c r="K139" i="138"/>
  <c r="N175" i="138"/>
  <c r="M175" i="138"/>
  <c r="L176" i="138" s="1"/>
  <c r="AF153" i="132"/>
  <c r="R377" i="132" s="1"/>
  <c r="AC139" i="138"/>
  <c r="AB139" i="138"/>
  <c r="AA140" i="138" s="1"/>
  <c r="J105" i="138"/>
  <c r="I106" i="138" s="1"/>
  <c r="K105" i="138"/>
  <c r="I490" i="105"/>
  <c r="CR51" i="132"/>
  <c r="AC51" i="132" s="1"/>
  <c r="CG51" i="132"/>
  <c r="CR60" i="132"/>
  <c r="AC60" i="132" s="1"/>
  <c r="CG60" i="132"/>
  <c r="CR56" i="132"/>
  <c r="AC56" i="132" s="1"/>
  <c r="CG56" i="132"/>
  <c r="CR65" i="132"/>
  <c r="AC65" i="132" s="1"/>
  <c r="CG65" i="132"/>
  <c r="CR74" i="132"/>
  <c r="AC74" i="132" s="1"/>
  <c r="CG74" i="132"/>
  <c r="CR70" i="132"/>
  <c r="AC70" i="132" s="1"/>
  <c r="CG70" i="132"/>
  <c r="CR79" i="132"/>
  <c r="AC79" i="132" s="1"/>
  <c r="CG79" i="132"/>
  <c r="CR88" i="132"/>
  <c r="AC88" i="132" s="1"/>
  <c r="CG88" i="132"/>
  <c r="CR84" i="132"/>
  <c r="AC84" i="132" s="1"/>
  <c r="CG84" i="132"/>
  <c r="CR93" i="132"/>
  <c r="AC93" i="132" s="1"/>
  <c r="CG93" i="132"/>
  <c r="L15" i="128"/>
  <c r="O438" i="131"/>
  <c r="L9" i="128"/>
  <c r="O436" i="131" s="1"/>
  <c r="O444" i="131" s="1"/>
  <c r="M306" i="105"/>
  <c r="AA98" i="132"/>
  <c r="P102" i="132" s="1"/>
  <c r="D175" i="138"/>
  <c r="C176" i="138" s="1"/>
  <c r="E175" i="138"/>
  <c r="F15" i="105"/>
  <c r="H96" i="107"/>
  <c r="E452" i="105"/>
  <c r="E451" i="105" s="1"/>
  <c r="AS93" i="138"/>
  <c r="R417" i="105"/>
  <c r="R347" i="105"/>
  <c r="V143" i="138"/>
  <c r="U144" i="138" s="1"/>
  <c r="W143" i="138"/>
  <c r="CR52" i="132"/>
  <c r="AC52" i="132" s="1"/>
  <c r="CG52" i="132"/>
  <c r="CR59" i="132"/>
  <c r="AC59" i="132" s="1"/>
  <c r="CG59" i="132"/>
  <c r="CR66" i="132"/>
  <c r="AC66" i="132" s="1"/>
  <c r="CG66" i="132"/>
  <c r="CR73" i="132"/>
  <c r="AC73" i="132" s="1"/>
  <c r="CG73" i="132"/>
  <c r="CR80" i="132"/>
  <c r="AC80" i="132" s="1"/>
  <c r="CG80" i="132"/>
  <c r="CR87" i="132"/>
  <c r="AC87" i="132" s="1"/>
  <c r="CG87" i="132"/>
  <c r="CR83" i="132"/>
  <c r="AC83" i="132" s="1"/>
  <c r="CG83" i="132"/>
  <c r="CR94" i="132"/>
  <c r="AC94" i="132" s="1"/>
  <c r="CG94" i="132"/>
  <c r="D356" i="148"/>
  <c r="E357" i="148"/>
  <c r="J49" i="133"/>
  <c r="L247" i="107" s="1"/>
  <c r="I7" i="138"/>
  <c r="S103" i="138"/>
  <c r="R104" i="138" s="1"/>
  <c r="T103" i="138"/>
  <c r="K14" i="128"/>
  <c r="N437" i="131"/>
  <c r="K9" i="128"/>
  <c r="N436" i="131" s="1"/>
  <c r="N444" i="131" s="1"/>
  <c r="L174" i="133"/>
  <c r="K49" i="133"/>
  <c r="M247" i="107" s="1"/>
  <c r="J7" i="138"/>
  <c r="AP291" i="138"/>
  <c r="AP289" i="138"/>
  <c r="AP290" i="138" s="1"/>
  <c r="AY62" i="132"/>
  <c r="BL62" i="132" s="1"/>
  <c r="AZ62" i="132"/>
  <c r="BA62" i="132"/>
  <c r="BB62" i="132"/>
  <c r="BC62" i="132"/>
  <c r="BD62" i="132"/>
  <c r="BE62" i="132"/>
  <c r="BF62" i="132"/>
  <c r="BG62" i="132"/>
  <c r="BH62" i="132"/>
  <c r="BI62" i="132"/>
  <c r="BJ62" i="132"/>
  <c r="AY90" i="132"/>
  <c r="BL90" i="132" s="1"/>
  <c r="AZ90" i="132"/>
  <c r="BA90" i="132"/>
  <c r="BB90" i="132"/>
  <c r="BC90" i="132"/>
  <c r="BD90" i="132"/>
  <c r="BE90" i="132"/>
  <c r="BF90" i="132"/>
  <c r="BG90" i="132"/>
  <c r="BH90" i="132"/>
  <c r="BI90" i="132"/>
  <c r="BJ90" i="132"/>
  <c r="AY76" i="132"/>
  <c r="BL76" i="132" s="1"/>
  <c r="AZ76" i="132"/>
  <c r="BA76" i="132"/>
  <c r="BB76" i="132"/>
  <c r="BC76" i="132"/>
  <c r="BD76" i="132"/>
  <c r="BE76" i="132"/>
  <c r="BF76" i="132"/>
  <c r="BG76" i="132"/>
  <c r="BH76" i="132"/>
  <c r="BI76" i="132"/>
  <c r="BJ76" i="132"/>
  <c r="AY88" i="132"/>
  <c r="BL88" i="132" s="1"/>
  <c r="AZ88" i="132"/>
  <c r="BA88" i="132"/>
  <c r="BC88" i="132"/>
  <c r="BE88" i="132"/>
  <c r="BG88" i="132"/>
  <c r="BI88" i="132"/>
  <c r="BB88" i="132"/>
  <c r="BF88" i="132"/>
  <c r="BJ88" i="132"/>
  <c r="BD88" i="132"/>
  <c r="BH88" i="132"/>
  <c r="AY87" i="132"/>
  <c r="BL87" i="132" s="1"/>
  <c r="AZ87" i="132"/>
  <c r="BB87" i="132"/>
  <c r="BD87" i="132"/>
  <c r="BF87" i="132"/>
  <c r="BH87" i="132"/>
  <c r="BJ87" i="132"/>
  <c r="BA87" i="132"/>
  <c r="BE87" i="132"/>
  <c r="BI87" i="132"/>
  <c r="BC87" i="132"/>
  <c r="BG87" i="132"/>
  <c r="AY56" i="132"/>
  <c r="BL56" i="132" s="1"/>
  <c r="AZ56" i="132"/>
  <c r="BA56" i="132"/>
  <c r="BC56" i="132"/>
  <c r="BE56" i="132"/>
  <c r="BG56" i="132"/>
  <c r="BI56" i="132"/>
  <c r="BB56" i="132"/>
  <c r="BF56" i="132"/>
  <c r="BJ56" i="132"/>
  <c r="BD56" i="132"/>
  <c r="BH56" i="132"/>
  <c r="AY83" i="132"/>
  <c r="BL83" i="132" s="1"/>
  <c r="AZ83" i="132"/>
  <c r="BA83" i="132"/>
  <c r="BB83" i="132"/>
  <c r="BC83" i="132"/>
  <c r="BD83" i="132"/>
  <c r="BE83" i="132"/>
  <c r="BF83" i="132"/>
  <c r="BG83" i="132"/>
  <c r="BH83" i="132"/>
  <c r="BI83" i="132"/>
  <c r="BJ83" i="132"/>
  <c r="AY73" i="132"/>
  <c r="BL73" i="132" s="1"/>
  <c r="AZ73" i="132"/>
  <c r="BB73" i="132"/>
  <c r="BD73" i="132"/>
  <c r="BF73" i="132"/>
  <c r="BH73" i="132"/>
  <c r="BJ73" i="132"/>
  <c r="BC73" i="132"/>
  <c r="BG73" i="132"/>
  <c r="BA73" i="132"/>
  <c r="BE73" i="132"/>
  <c r="BI73" i="132"/>
  <c r="AY49" i="132"/>
  <c r="BL49" i="132" s="1"/>
  <c r="BA49" i="132"/>
  <c r="BC49" i="132"/>
  <c r="BE49" i="132"/>
  <c r="BG49" i="132"/>
  <c r="BI49" i="132"/>
  <c r="BB49" i="132"/>
  <c r="BF49" i="132"/>
  <c r="BJ49" i="132"/>
  <c r="AZ49" i="132"/>
  <c r="BD49" i="132"/>
  <c r="BH49" i="132"/>
  <c r="AY60" i="132"/>
  <c r="BL60" i="132" s="1"/>
  <c r="AZ60" i="132"/>
  <c r="BA60" i="132"/>
  <c r="BC60" i="132"/>
  <c r="BE60" i="132"/>
  <c r="BG60" i="132"/>
  <c r="BI60" i="132"/>
  <c r="BB60" i="132"/>
  <c r="BF60" i="132"/>
  <c r="BJ60" i="132"/>
  <c r="BD60" i="132"/>
  <c r="BH60" i="132"/>
  <c r="AY93" i="132"/>
  <c r="BL93" i="132" s="1"/>
  <c r="BH93" i="132"/>
  <c r="BF93" i="132"/>
  <c r="BD93" i="132"/>
  <c r="BB93" i="132"/>
  <c r="AZ93" i="132"/>
  <c r="BG93" i="132"/>
  <c r="BE93" i="132"/>
  <c r="BC93" i="132"/>
  <c r="BA93" i="132"/>
  <c r="BI93" i="132"/>
  <c r="BJ93" i="132"/>
  <c r="AY85" i="132"/>
  <c r="BL85" i="132" s="1"/>
  <c r="BA85" i="132"/>
  <c r="BG85" i="132"/>
  <c r="BI85" i="132"/>
  <c r="BD85" i="132"/>
  <c r="AZ85" i="132"/>
  <c r="BE85" i="132"/>
  <c r="BF85" i="132"/>
  <c r="BJ85" i="132"/>
  <c r="BC85" i="132"/>
  <c r="BH85" i="132"/>
  <c r="BB85" i="132"/>
  <c r="AY53" i="132"/>
  <c r="BL53" i="132" s="1"/>
  <c r="AZ53" i="132"/>
  <c r="BA53" i="132"/>
  <c r="BB53" i="132"/>
  <c r="BC53" i="132"/>
  <c r="BD53" i="132"/>
  <c r="BE53" i="132"/>
  <c r="BF53" i="132"/>
  <c r="BG53" i="132"/>
  <c r="BH53" i="132"/>
  <c r="BI53" i="132"/>
  <c r="BJ53" i="132"/>
  <c r="AY95" i="132"/>
  <c r="BL95" i="132" s="1"/>
  <c r="BJ95" i="132"/>
  <c r="BH95" i="132"/>
  <c r="BF95" i="132"/>
  <c r="BD95" i="132"/>
  <c r="BB95" i="132"/>
  <c r="AZ95" i="132"/>
  <c r="BM95" i="132" s="1"/>
  <c r="BI95" i="132"/>
  <c r="BG95" i="132"/>
  <c r="BE95" i="132"/>
  <c r="BC95" i="132"/>
  <c r="BA95" i="132"/>
  <c r="BF92" i="132"/>
  <c r="BD92" i="132"/>
  <c r="BB92" i="132"/>
  <c r="AZ92" i="132"/>
  <c r="AY92" i="132"/>
  <c r="BL92" i="132" s="1"/>
  <c r="BG92" i="132"/>
  <c r="BE92" i="132"/>
  <c r="BC92" i="132"/>
  <c r="BA92" i="132"/>
  <c r="BI92" i="132"/>
  <c r="BH92" i="132"/>
  <c r="BJ92" i="132"/>
  <c r="AY81" i="132"/>
  <c r="BL81" i="132" s="1"/>
  <c r="AZ81" i="132"/>
  <c r="BA81" i="132"/>
  <c r="BC81" i="132"/>
  <c r="BE81" i="132"/>
  <c r="BG81" i="132"/>
  <c r="BI81" i="132"/>
  <c r="BD81" i="132"/>
  <c r="BH81" i="132"/>
  <c r="BB81" i="132"/>
  <c r="BF81" i="132"/>
  <c r="BJ81" i="132"/>
  <c r="AY72" i="132"/>
  <c r="BL72" i="132" s="1"/>
  <c r="AZ72" i="132"/>
  <c r="BA72" i="132"/>
  <c r="BC72" i="132"/>
  <c r="BE72" i="132"/>
  <c r="BG72" i="132"/>
  <c r="BI72" i="132"/>
  <c r="BB72" i="132"/>
  <c r="BF72" i="132"/>
  <c r="BJ72" i="132"/>
  <c r="BD72" i="132"/>
  <c r="BH72" i="132"/>
  <c r="AY79" i="132"/>
  <c r="BL79" i="132" s="1"/>
  <c r="AZ79" i="132"/>
  <c r="BA79" i="132"/>
  <c r="BC79" i="132"/>
  <c r="BE79" i="132"/>
  <c r="BG79" i="132"/>
  <c r="BI79" i="132"/>
  <c r="BB79" i="132"/>
  <c r="BF79" i="132"/>
  <c r="BJ79" i="132"/>
  <c r="BD79" i="132"/>
  <c r="BH79" i="132"/>
  <c r="AY84" i="132"/>
  <c r="BL84" i="132" s="1"/>
  <c r="AZ84" i="132"/>
  <c r="BA84" i="132"/>
  <c r="BB84" i="132"/>
  <c r="BC84" i="132"/>
  <c r="BD84" i="132"/>
  <c r="BE84" i="132"/>
  <c r="BF84" i="132"/>
  <c r="BG84" i="132"/>
  <c r="BH84" i="132"/>
  <c r="BI84" i="132"/>
  <c r="BJ84" i="132"/>
  <c r="AY91" i="132"/>
  <c r="BL91" i="132" s="1"/>
  <c r="AZ91" i="132"/>
  <c r="BA91" i="132"/>
  <c r="BB91" i="132"/>
  <c r="BC91" i="132"/>
  <c r="BD91" i="132"/>
  <c r="BE91" i="132"/>
  <c r="BF91" i="132"/>
  <c r="BG91" i="132"/>
  <c r="BH91" i="132"/>
  <c r="BI91" i="132"/>
  <c r="BJ91" i="132"/>
  <c r="BH94" i="132"/>
  <c r="BF94" i="132"/>
  <c r="BD94" i="132"/>
  <c r="BB94" i="132"/>
  <c r="AZ94" i="132"/>
  <c r="AY94" i="132"/>
  <c r="BL94" i="132" s="1"/>
  <c r="BI94" i="132"/>
  <c r="BG94" i="132"/>
  <c r="BE94" i="132"/>
  <c r="BC94" i="132"/>
  <c r="BA94" i="132"/>
  <c r="BJ94" i="132"/>
  <c r="AC62" i="128"/>
  <c r="AD62" i="128" s="1"/>
  <c r="AE62" i="128" s="1"/>
  <c r="Q50" i="132"/>
  <c r="P54" i="132"/>
  <c r="Q48" i="132"/>
  <c r="AC70" i="128"/>
  <c r="AD70" i="128" s="1"/>
  <c r="AE70" i="128" s="1"/>
  <c r="Q59" i="132"/>
  <c r="AC68" i="128"/>
  <c r="AD68" i="128" s="1"/>
  <c r="AE68" i="128" s="1"/>
  <c r="Q57" i="132"/>
  <c r="P61" i="132"/>
  <c r="Q55" i="132"/>
  <c r="AC76" i="128"/>
  <c r="AD76" i="128" s="1"/>
  <c r="AE76" i="128" s="1"/>
  <c r="Q66" i="132"/>
  <c r="P68" i="132"/>
  <c r="Q62" i="132"/>
  <c r="AC82" i="128"/>
  <c r="AD82" i="128" s="1"/>
  <c r="AE82" i="128" s="1"/>
  <c r="Q73" i="132"/>
  <c r="AC80" i="128"/>
  <c r="AD80" i="128" s="1"/>
  <c r="AE80" i="128" s="1"/>
  <c r="Q71" i="132"/>
  <c r="P75" i="132"/>
  <c r="Q69" i="132"/>
  <c r="AC88" i="128"/>
  <c r="AD88" i="128" s="1"/>
  <c r="AE88" i="128" s="1"/>
  <c r="Q80" i="132"/>
  <c r="P82" i="132"/>
  <c r="Q76" i="132"/>
  <c r="AC94" i="128"/>
  <c r="AD94" i="128" s="1"/>
  <c r="AE94" i="128" s="1"/>
  <c r="Q87" i="132"/>
  <c r="AC92" i="128"/>
  <c r="AD92" i="128" s="1"/>
  <c r="AE92" i="128" s="1"/>
  <c r="Q85" i="132"/>
  <c r="P89" i="132"/>
  <c r="Q83" i="132"/>
  <c r="AC100" i="128"/>
  <c r="AD100" i="128" s="1"/>
  <c r="AE100" i="128" s="1"/>
  <c r="Q94" i="132"/>
  <c r="AC98" i="128"/>
  <c r="AD98" i="128" s="1"/>
  <c r="AE98" i="128" s="1"/>
  <c r="Q92" i="132"/>
  <c r="P96" i="132"/>
  <c r="Q90" i="132"/>
  <c r="R4" i="219"/>
  <c r="R29" i="219" s="1"/>
  <c r="O516" i="105"/>
  <c r="S347" i="105"/>
  <c r="G347" i="105" s="1"/>
  <c r="S417" i="105"/>
  <c r="V105" i="138"/>
  <c r="U106" i="138" s="1"/>
  <c r="W105" i="138"/>
  <c r="Q176" i="138"/>
  <c r="P176" i="138"/>
  <c r="O177" i="138" s="1"/>
  <c r="M222" i="107"/>
  <c r="M31" i="214" s="1"/>
  <c r="J43" i="105"/>
  <c r="M655" i="107"/>
  <c r="L296" i="105"/>
  <c r="L308" i="105"/>
  <c r="L309" i="105"/>
  <c r="F234" i="133"/>
  <c r="F235" i="133" s="1"/>
  <c r="M174" i="133"/>
  <c r="AA103" i="128"/>
  <c r="M8" i="128" s="1"/>
  <c r="AA102" i="128"/>
  <c r="M6" i="128" s="1"/>
  <c r="M7" i="128" s="1"/>
  <c r="AC64" i="128"/>
  <c r="AD64" i="128" s="1"/>
  <c r="AE64" i="128" s="1"/>
  <c r="AC74" i="128"/>
  <c r="AD74" i="128" s="1"/>
  <c r="AE74" i="128" s="1"/>
  <c r="AC86" i="128"/>
  <c r="AD86" i="128" s="1"/>
  <c r="AE86" i="128" s="1"/>
  <c r="K222" i="107"/>
  <c r="K31" i="214" s="1"/>
  <c r="H43" i="105"/>
  <c r="K655" i="107"/>
  <c r="J179" i="133"/>
  <c r="J181" i="133" s="1"/>
  <c r="I179" i="133"/>
  <c r="I181" i="133" s="1"/>
  <c r="M104" i="138"/>
  <c r="L105" i="138" s="1"/>
  <c r="N104" i="138"/>
  <c r="E59" i="138"/>
  <c r="E19" i="138" s="1"/>
  <c r="H139" i="107" s="1"/>
  <c r="E487" i="105"/>
  <c r="E485" i="105" s="1"/>
  <c r="AB178" i="138"/>
  <c r="AA179" i="138" s="1"/>
  <c r="AC178" i="138"/>
  <c r="AB60" i="128"/>
  <c r="AC60" i="128" s="1"/>
  <c r="O54" i="132"/>
  <c r="N441" i="105" s="1"/>
  <c r="AB66" i="128"/>
  <c r="AC66" i="128" s="1"/>
  <c r="AD66" i="128" s="1"/>
  <c r="AE66" i="128" s="1"/>
  <c r="O61" i="132"/>
  <c r="AB72" i="128"/>
  <c r="AC72" i="128" s="1"/>
  <c r="AD72" i="128" s="1"/>
  <c r="AE72" i="128" s="1"/>
  <c r="O68" i="132"/>
  <c r="N443" i="105" s="1"/>
  <c r="O443" i="105" s="1"/>
  <c r="C328" i="148" s="1"/>
  <c r="D328" i="148" s="1"/>
  <c r="E328" i="148" s="1"/>
  <c r="F328" i="148" s="1"/>
  <c r="G328" i="148" s="1"/>
  <c r="AB78" i="128"/>
  <c r="AC78" i="128" s="1"/>
  <c r="AD78" i="128" s="1"/>
  <c r="AE78" i="128" s="1"/>
  <c r="O75" i="132"/>
  <c r="N444" i="105" s="1"/>
  <c r="O444" i="105" s="1"/>
  <c r="C329" i="148" s="1"/>
  <c r="D329" i="148" s="1"/>
  <c r="E329" i="148" s="1"/>
  <c r="F329" i="148" s="1"/>
  <c r="G329" i="148" s="1"/>
  <c r="AB84" i="128"/>
  <c r="AC84" i="128" s="1"/>
  <c r="AD84" i="128" s="1"/>
  <c r="AE84" i="128" s="1"/>
  <c r="O82" i="132"/>
  <c r="N445" i="105" s="1"/>
  <c r="O445" i="105" s="1"/>
  <c r="C330" i="148" s="1"/>
  <c r="D330" i="148" s="1"/>
  <c r="E330" i="148" s="1"/>
  <c r="F330" i="148" s="1"/>
  <c r="G330" i="148" s="1"/>
  <c r="AB90" i="128"/>
  <c r="AC90" i="128" s="1"/>
  <c r="AD90" i="128" s="1"/>
  <c r="AE90" i="128" s="1"/>
  <c r="O89" i="132"/>
  <c r="N446" i="105" s="1"/>
  <c r="O446" i="105" s="1"/>
  <c r="C331" i="148" s="1"/>
  <c r="D331" i="148" s="1"/>
  <c r="E331" i="148" s="1"/>
  <c r="F331" i="148" s="1"/>
  <c r="G331" i="148" s="1"/>
  <c r="AB96" i="128"/>
  <c r="AB103" i="128" s="1"/>
  <c r="N8" i="128" s="1"/>
  <c r="O96" i="132"/>
  <c r="Q4" i="219"/>
  <c r="Q29" i="219" s="1"/>
  <c r="N516" i="105"/>
  <c r="N433" i="105"/>
  <c r="N465" i="105" s="1"/>
  <c r="P56" i="162"/>
  <c r="AQ303" i="138"/>
  <c r="AQ314" i="138" s="1"/>
  <c r="AQ285" i="138"/>
  <c r="Z5" i="138"/>
  <c r="L4" i="138" s="1"/>
  <c r="L45" i="138" s="1"/>
  <c r="K177" i="133"/>
  <c r="M105" i="132"/>
  <c r="F493" i="105"/>
  <c r="J176" i="138"/>
  <c r="I177" i="138" s="1"/>
  <c r="K176" i="138"/>
  <c r="Q398" i="105"/>
  <c r="Q397" i="105"/>
  <c r="R405" i="105" s="1"/>
  <c r="R412" i="105" s="1"/>
  <c r="O154" i="133" s="1"/>
  <c r="AE176" i="138"/>
  <c r="AD177" i="138" s="1"/>
  <c r="AF176" i="138"/>
  <c r="E21" i="138"/>
  <c r="H138" i="107" s="1"/>
  <c r="H140" i="107"/>
  <c r="AF105" i="138"/>
  <c r="AE105" i="138"/>
  <c r="AD106" i="138" s="1"/>
  <c r="I240" i="107"/>
  <c r="G38" i="133"/>
  <c r="G230" i="133"/>
  <c r="G231" i="133"/>
  <c r="G14" i="219"/>
  <c r="F448" i="105"/>
  <c r="F434" i="105" s="1"/>
  <c r="G449" i="105"/>
  <c r="G175" i="138"/>
  <c r="F176" i="138" s="1"/>
  <c r="H175" i="138"/>
  <c r="J34" i="133"/>
  <c r="H455" i="105"/>
  <c r="G129" i="107"/>
  <c r="D484" i="105"/>
  <c r="G243" i="107"/>
  <c r="E243" i="107" s="1"/>
  <c r="C32" i="148" s="1"/>
  <c r="X29" i="133"/>
  <c r="G6" i="219"/>
  <c r="AR129" i="138"/>
  <c r="AR127" i="138"/>
  <c r="AR128" i="138" s="1"/>
  <c r="AU112" i="132"/>
  <c r="AU116" i="132"/>
  <c r="AU120" i="132"/>
  <c r="AU124" i="132"/>
  <c r="AU128" i="132"/>
  <c r="AU132" i="132"/>
  <c r="AU136" i="132"/>
  <c r="AU140" i="132"/>
  <c r="AU144" i="132"/>
  <c r="AU148" i="132"/>
  <c r="AU152" i="132"/>
  <c r="AU113" i="132"/>
  <c r="AU117" i="132"/>
  <c r="AU121" i="132"/>
  <c r="AU125" i="132"/>
  <c r="AU129" i="132"/>
  <c r="AU133" i="132"/>
  <c r="AU137" i="132"/>
  <c r="AU141" i="132"/>
  <c r="AU145" i="132"/>
  <c r="AU149" i="132"/>
  <c r="N5" i="132"/>
  <c r="N32" i="132" s="1"/>
  <c r="AU114" i="132"/>
  <c r="AU118" i="132"/>
  <c r="AU122" i="132"/>
  <c r="AU126" i="132"/>
  <c r="AU130" i="132"/>
  <c r="AU134" i="132"/>
  <c r="AU138" i="132"/>
  <c r="AU142" i="132"/>
  <c r="AU146" i="132"/>
  <c r="AU150" i="132"/>
  <c r="AU111" i="132"/>
  <c r="AU115" i="132"/>
  <c r="AU119" i="132"/>
  <c r="AU123" i="132"/>
  <c r="AU127" i="132"/>
  <c r="AU131" i="132"/>
  <c r="AU135" i="132"/>
  <c r="AU139" i="132"/>
  <c r="AU143" i="132"/>
  <c r="AU147" i="132"/>
  <c r="AU151" i="132"/>
  <c r="G66" i="138"/>
  <c r="F256" i="133"/>
  <c r="H242" i="133"/>
  <c r="L50" i="133"/>
  <c r="L51" i="133" s="1"/>
  <c r="AT93" i="138"/>
  <c r="F380" i="148"/>
  <c r="AD119" i="148"/>
  <c r="G380" i="148" s="1"/>
  <c r="F57" i="138"/>
  <c r="I32" i="219"/>
  <c r="G140" i="138"/>
  <c r="F141" i="138" s="1"/>
  <c r="H140" i="138"/>
  <c r="P140" i="138"/>
  <c r="O141" i="138" s="1"/>
  <c r="Q140" i="138"/>
  <c r="J310" i="105"/>
  <c r="G140" i="107"/>
  <c r="D21" i="138"/>
  <c r="AG152" i="132"/>
  <c r="AG151" i="132"/>
  <c r="AG150" i="132"/>
  <c r="AG149" i="132"/>
  <c r="AG148" i="132"/>
  <c r="AG147" i="132"/>
  <c r="AG146" i="132"/>
  <c r="AG145" i="132"/>
  <c r="AG144" i="132"/>
  <c r="AG143" i="132"/>
  <c r="AG142" i="132"/>
  <c r="AG141" i="132"/>
  <c r="AG140" i="132"/>
  <c r="AG138" i="132"/>
  <c r="AG136" i="132"/>
  <c r="AG134" i="132"/>
  <c r="AG132" i="132"/>
  <c r="AG130" i="132"/>
  <c r="AG128" i="132"/>
  <c r="AG126" i="132"/>
  <c r="AG124" i="132"/>
  <c r="AG122" i="132"/>
  <c r="AG120" i="132"/>
  <c r="AG118" i="132"/>
  <c r="AG116" i="132"/>
  <c r="AG114" i="132"/>
  <c r="AG113" i="132"/>
  <c r="AG112" i="132"/>
  <c r="AG111" i="132"/>
  <c r="AG139" i="132"/>
  <c r="AG137" i="132"/>
  <c r="AG135" i="132"/>
  <c r="AG133" i="132"/>
  <c r="AG131" i="132"/>
  <c r="AG129" i="132"/>
  <c r="AG127" i="132"/>
  <c r="AG125" i="132"/>
  <c r="AG123" i="132"/>
  <c r="AG121" i="132"/>
  <c r="AG119" i="132"/>
  <c r="AG117" i="132"/>
  <c r="AG115" i="132"/>
  <c r="S109" i="132"/>
  <c r="AV109" i="132"/>
  <c r="Q23" i="214"/>
  <c r="Q25" i="214" s="1"/>
  <c r="Q6" i="214"/>
  <c r="Q9" i="213"/>
  <c r="AQ165" i="138"/>
  <c r="L13" i="138" s="1"/>
  <c r="AQ163" i="138"/>
  <c r="AQ164" i="138" s="1"/>
  <c r="AN92" i="138"/>
  <c r="W15" i="138"/>
  <c r="R357" i="105"/>
  <c r="R350" i="105"/>
  <c r="AL319" i="138"/>
  <c r="U9" i="138"/>
  <c r="F240" i="133"/>
  <c r="F221" i="133"/>
  <c r="F241" i="133"/>
  <c r="E252" i="133" s="1"/>
  <c r="F243" i="133"/>
  <c r="CR49" i="132"/>
  <c r="AC49" i="132" s="1"/>
  <c r="CG49" i="132"/>
  <c r="CR67" i="132"/>
  <c r="AC67" i="132" s="1"/>
  <c r="CG67" i="132"/>
  <c r="CR72" i="132"/>
  <c r="AC72" i="132" s="1"/>
  <c r="CG72" i="132"/>
  <c r="CR95" i="132"/>
  <c r="AC95" i="132" s="1"/>
  <c r="CG95" i="132"/>
  <c r="CR50" i="132"/>
  <c r="AC50" i="132" s="1"/>
  <c r="CG50" i="132"/>
  <c r="CR48" i="132"/>
  <c r="AC48" i="132" s="1"/>
  <c r="CG48" i="132"/>
  <c r="CR57" i="132"/>
  <c r="AC57" i="132" s="1"/>
  <c r="CG57" i="132"/>
  <c r="CR55" i="132"/>
  <c r="AC55" i="132" s="1"/>
  <c r="CG55" i="132"/>
  <c r="CR64" i="132"/>
  <c r="AC64" i="132" s="1"/>
  <c r="CG64" i="132"/>
  <c r="CR62" i="132"/>
  <c r="AC62" i="132" s="1"/>
  <c r="CG62" i="132"/>
  <c r="CR71" i="132"/>
  <c r="AC71" i="132" s="1"/>
  <c r="CG71" i="132"/>
  <c r="CR69" i="132"/>
  <c r="AC69" i="132" s="1"/>
  <c r="CG69" i="132"/>
  <c r="CR78" i="132"/>
  <c r="AC78" i="132" s="1"/>
  <c r="CG78" i="132"/>
  <c r="CR76" i="132"/>
  <c r="AC76" i="132" s="1"/>
  <c r="CG76" i="132"/>
  <c r="CR85" i="132"/>
  <c r="AC85" i="132" s="1"/>
  <c r="CG85" i="132"/>
  <c r="CR92" i="132"/>
  <c r="AC92" i="132" s="1"/>
  <c r="CG92" i="132"/>
  <c r="CR90" i="132"/>
  <c r="AC90" i="132" s="1"/>
  <c r="CG90" i="132"/>
  <c r="P103" i="138"/>
  <c r="O104" i="138" s="1"/>
  <c r="Q103" i="138"/>
  <c r="L9" i="132"/>
  <c r="H279" i="107"/>
  <c r="I50" i="138"/>
  <c r="I48" i="138"/>
  <c r="I52" i="138" s="1"/>
  <c r="D456" i="105"/>
  <c r="D454" i="105" s="1"/>
  <c r="F32" i="133"/>
  <c r="AR274" i="138"/>
  <c r="AR159" i="138"/>
  <c r="M6" i="138" s="1"/>
  <c r="R111" i="132"/>
  <c r="BC60" i="128" s="1"/>
  <c r="R113" i="132"/>
  <c r="BC62" i="128" s="1"/>
  <c r="R115" i="132"/>
  <c r="BC64" i="128" s="1"/>
  <c r="R117" i="132"/>
  <c r="BC66" i="128" s="1"/>
  <c r="R119" i="132"/>
  <c r="BC68" i="128" s="1"/>
  <c r="R121" i="132"/>
  <c r="BC70" i="128" s="1"/>
  <c r="R123" i="132"/>
  <c r="BC72" i="128" s="1"/>
  <c r="R125" i="132"/>
  <c r="BC74" i="128" s="1"/>
  <c r="R127" i="132"/>
  <c r="BC76" i="128" s="1"/>
  <c r="R129" i="132"/>
  <c r="BC78" i="128" s="1"/>
  <c r="R131" i="132"/>
  <c r="BC80" i="128" s="1"/>
  <c r="R133" i="132"/>
  <c r="BC82" i="128" s="1"/>
  <c r="R135" i="132"/>
  <c r="BC84" i="128" s="1"/>
  <c r="R137" i="132"/>
  <c r="BC86" i="128" s="1"/>
  <c r="R139" i="132"/>
  <c r="BC88" i="128" s="1"/>
  <c r="R141" i="132"/>
  <c r="BC90" i="128" s="1"/>
  <c r="R143" i="132"/>
  <c r="BC92" i="128" s="1"/>
  <c r="R145" i="132"/>
  <c r="BC94" i="128" s="1"/>
  <c r="R147" i="132"/>
  <c r="BC96" i="128" s="1"/>
  <c r="R149" i="132"/>
  <c r="BC98" i="128" s="1"/>
  <c r="R151" i="132"/>
  <c r="BC100" i="128" s="1"/>
  <c r="R112" i="132"/>
  <c r="BC61" i="128" s="1"/>
  <c r="R116" i="132"/>
  <c r="BC65" i="128" s="1"/>
  <c r="R120" i="132"/>
  <c r="BC69" i="128" s="1"/>
  <c r="R124" i="132"/>
  <c r="BC73" i="128" s="1"/>
  <c r="R128" i="132"/>
  <c r="BC77" i="128" s="1"/>
  <c r="R132" i="132"/>
  <c r="BC81" i="128" s="1"/>
  <c r="R136" i="132"/>
  <c r="BC85" i="128" s="1"/>
  <c r="R140" i="132"/>
  <c r="BC89" i="128" s="1"/>
  <c r="R144" i="132"/>
  <c r="BC93" i="128" s="1"/>
  <c r="R148" i="132"/>
  <c r="BC97" i="128" s="1"/>
  <c r="R152" i="132"/>
  <c r="BC101" i="128" s="1"/>
  <c r="R114" i="132"/>
  <c r="BC63" i="128" s="1"/>
  <c r="R118" i="132"/>
  <c r="BC67" i="128" s="1"/>
  <c r="R122" i="132"/>
  <c r="BC71" i="128" s="1"/>
  <c r="R126" i="132"/>
  <c r="BC75" i="128" s="1"/>
  <c r="R130" i="132"/>
  <c r="BC79" i="128" s="1"/>
  <c r="R134" i="132"/>
  <c r="BC83" i="128" s="1"/>
  <c r="R138" i="132"/>
  <c r="BC87" i="128" s="1"/>
  <c r="R142" i="132"/>
  <c r="BC91" i="128" s="1"/>
  <c r="R146" i="132"/>
  <c r="BC95" i="128" s="1"/>
  <c r="R150" i="132"/>
  <c r="BC99" i="128" s="1"/>
  <c r="H180" i="133"/>
  <c r="AT148" i="138"/>
  <c r="AT123" i="138"/>
  <c r="O433" i="105"/>
  <c r="O465" i="105" s="1"/>
  <c r="Q56" i="162"/>
  <c r="S143" i="138"/>
  <c r="R144" i="138" s="1"/>
  <c r="T143" i="138"/>
  <c r="Y140" i="138"/>
  <c r="X141" i="138" s="1"/>
  <c r="Z140" i="138"/>
  <c r="O437" i="131"/>
  <c r="L14" i="128"/>
  <c r="AY52" i="132"/>
  <c r="BL52" i="132" s="1"/>
  <c r="AZ52" i="132"/>
  <c r="BA52" i="132"/>
  <c r="BC52" i="132"/>
  <c r="BE52" i="132"/>
  <c r="BG52" i="132"/>
  <c r="BI52" i="132"/>
  <c r="BB52" i="132"/>
  <c r="BF52" i="132"/>
  <c r="BJ52" i="132"/>
  <c r="BD52" i="132"/>
  <c r="BH52" i="132"/>
  <c r="AE140" i="138"/>
  <c r="AD141" i="138" s="1"/>
  <c r="AF140" i="138"/>
  <c r="AM367" i="132"/>
  <c r="EN154" i="132"/>
  <c r="CN154" i="132"/>
  <c r="AO154" i="132"/>
  <c r="I116" i="105"/>
  <c r="L222" i="107"/>
  <c r="L31" i="214" s="1"/>
  <c r="I43" i="105"/>
  <c r="L655" i="107"/>
  <c r="AS148" i="138"/>
  <c r="AS123" i="138"/>
  <c r="R394" i="105"/>
  <c r="R348" i="105"/>
  <c r="E246" i="107"/>
  <c r="K55" i="133"/>
  <c r="J460" i="105" s="1"/>
  <c r="L54" i="133"/>
  <c r="AB89" i="132"/>
  <c r="N302" i="105" s="1"/>
  <c r="N303" i="105" s="1"/>
  <c r="N304" i="105" s="1"/>
  <c r="M140" i="138"/>
  <c r="L141" i="138" s="1"/>
  <c r="N140" i="138"/>
  <c r="H8" i="219"/>
  <c r="F30" i="133"/>
  <c r="E140" i="138"/>
  <c r="D140" i="138"/>
  <c r="C141" i="138" s="1"/>
  <c r="T176" i="138"/>
  <c r="S176" i="138"/>
  <c r="R177" i="138" s="1"/>
  <c r="D103" i="138"/>
  <c r="C104" i="138" s="1"/>
  <c r="E103" i="138"/>
  <c r="L436" i="105"/>
  <c r="N171" i="133"/>
  <c r="O170" i="133"/>
  <c r="J50" i="138"/>
  <c r="J48" i="138"/>
  <c r="CR53" i="132"/>
  <c r="AC53" i="132" s="1"/>
  <c r="CG53" i="132"/>
  <c r="CR58" i="132"/>
  <c r="AC58" i="132" s="1"/>
  <c r="CG58" i="132"/>
  <c r="CR63" i="132"/>
  <c r="AC63" i="132" s="1"/>
  <c r="CG63" i="132"/>
  <c r="CR81" i="132"/>
  <c r="AC81" i="132" s="1"/>
  <c r="CG81" i="132"/>
  <c r="CR77" i="132"/>
  <c r="AC77" i="132" s="1"/>
  <c r="CG77" i="132"/>
  <c r="CR86" i="132"/>
  <c r="AC86" i="132" s="1"/>
  <c r="CG86" i="132"/>
  <c r="CR91" i="132"/>
  <c r="AC91" i="132" s="1"/>
  <c r="CG91" i="132"/>
  <c r="J495" i="105"/>
  <c r="L130" i="133"/>
  <c r="E381" i="148"/>
  <c r="AC123" i="148"/>
  <c r="K46" i="138"/>
  <c r="K47" i="138"/>
  <c r="K49" i="138" s="1"/>
  <c r="K65" i="138"/>
  <c r="K5" i="138"/>
  <c r="L49" i="133" s="1"/>
  <c r="AP320" i="138"/>
  <c r="K12" i="138" s="1"/>
  <c r="W176" i="138"/>
  <c r="V176" i="138"/>
  <c r="U177" i="138" s="1"/>
  <c r="AY71" i="132"/>
  <c r="BL71" i="132" s="1"/>
  <c r="BD71" i="132"/>
  <c r="BF71" i="132"/>
  <c r="BH71" i="132"/>
  <c r="BB71" i="132"/>
  <c r="BJ71" i="132"/>
  <c r="BE71" i="132"/>
  <c r="BI71" i="132"/>
  <c r="BC71" i="132"/>
  <c r="BA71" i="132"/>
  <c r="BG71" i="132"/>
  <c r="AZ71" i="132"/>
  <c r="AY51" i="132"/>
  <c r="BL51" i="132" s="1"/>
  <c r="AZ51" i="132"/>
  <c r="BB51" i="132"/>
  <c r="BD51" i="132"/>
  <c r="BF51" i="132"/>
  <c r="BH51" i="132"/>
  <c r="BJ51" i="132"/>
  <c r="BC51" i="132"/>
  <c r="BG51" i="132"/>
  <c r="BA51" i="132"/>
  <c r="BE51" i="132"/>
  <c r="BI51" i="132"/>
  <c r="AY59" i="132"/>
  <c r="BL59" i="132" s="1"/>
  <c r="AZ59" i="132"/>
  <c r="BB59" i="132"/>
  <c r="BD59" i="132"/>
  <c r="BF59" i="132"/>
  <c r="BH59" i="132"/>
  <c r="BJ59" i="132"/>
  <c r="BA59" i="132"/>
  <c r="BE59" i="132"/>
  <c r="BI59" i="132"/>
  <c r="BC59" i="132"/>
  <c r="BG59" i="132"/>
  <c r="AY58" i="132"/>
  <c r="BL58" i="132" s="1"/>
  <c r="AZ58" i="132"/>
  <c r="BA58" i="132"/>
  <c r="BC58" i="132"/>
  <c r="BE58" i="132"/>
  <c r="BG58" i="132"/>
  <c r="BI58" i="132"/>
  <c r="BB58" i="132"/>
  <c r="BF58" i="132"/>
  <c r="BJ58" i="132"/>
  <c r="BD58" i="132"/>
  <c r="BH58" i="132"/>
  <c r="AY67" i="132"/>
  <c r="BL67" i="132" s="1"/>
  <c r="AZ67" i="132"/>
  <c r="BA67" i="132"/>
  <c r="BC67" i="132"/>
  <c r="BE67" i="132"/>
  <c r="BG67" i="132"/>
  <c r="BI67" i="132"/>
  <c r="BB67" i="132"/>
  <c r="BF67" i="132"/>
  <c r="BJ67" i="132"/>
  <c r="BD67" i="132"/>
  <c r="BH67" i="132"/>
  <c r="AY66" i="132"/>
  <c r="BL66" i="132" s="1"/>
  <c r="BA66" i="132"/>
  <c r="BC66" i="132"/>
  <c r="BE66" i="132"/>
  <c r="BG66" i="132"/>
  <c r="BI66" i="132"/>
  <c r="BB66" i="132"/>
  <c r="BF66" i="132"/>
  <c r="BJ66" i="132"/>
  <c r="AZ66" i="132"/>
  <c r="BD66" i="132"/>
  <c r="BH66" i="132"/>
  <c r="AY63" i="132"/>
  <c r="BL63" i="132" s="1"/>
  <c r="AZ63" i="132"/>
  <c r="BA63" i="132"/>
  <c r="BB63" i="132"/>
  <c r="BC63" i="132"/>
  <c r="BD63" i="132"/>
  <c r="BE63" i="132"/>
  <c r="BF63" i="132"/>
  <c r="BG63" i="132"/>
  <c r="BH63" i="132"/>
  <c r="BI63" i="132"/>
  <c r="BJ63" i="132"/>
  <c r="AY69" i="132"/>
  <c r="BL69" i="132" s="1"/>
  <c r="AZ69" i="132"/>
  <c r="BA69" i="132"/>
  <c r="BB69" i="132"/>
  <c r="BC69" i="132"/>
  <c r="BD69" i="132"/>
  <c r="BE69" i="132"/>
  <c r="BF69" i="132"/>
  <c r="BG69" i="132"/>
  <c r="BH69" i="132"/>
  <c r="BI69" i="132"/>
  <c r="BJ69" i="132"/>
  <c r="AY80" i="132"/>
  <c r="BL80" i="132" s="1"/>
  <c r="BA80" i="132"/>
  <c r="BC80" i="132"/>
  <c r="BE80" i="132"/>
  <c r="BG80" i="132"/>
  <c r="BI80" i="132"/>
  <c r="AZ80" i="132"/>
  <c r="BM80" i="132" s="1"/>
  <c r="BD80" i="132"/>
  <c r="BH80" i="132"/>
  <c r="BB80" i="132"/>
  <c r="BF80" i="132"/>
  <c r="BJ80" i="132"/>
  <c r="AY77" i="132"/>
  <c r="BL77" i="132" s="1"/>
  <c r="AZ77" i="132"/>
  <c r="BA77" i="132"/>
  <c r="BB77" i="132"/>
  <c r="BC77" i="132"/>
  <c r="BD77" i="132"/>
  <c r="BE77" i="132"/>
  <c r="BF77" i="132"/>
  <c r="BG77" i="132"/>
  <c r="BH77" i="132"/>
  <c r="BI77" i="132"/>
  <c r="BJ77" i="132"/>
  <c r="AY70" i="132"/>
  <c r="BL70" i="132" s="1"/>
  <c r="AZ70" i="132"/>
  <c r="BA70" i="132"/>
  <c r="BB70" i="132"/>
  <c r="BC70" i="132"/>
  <c r="BD70" i="132"/>
  <c r="BE70" i="132"/>
  <c r="BF70" i="132"/>
  <c r="BG70" i="132"/>
  <c r="BH70" i="132"/>
  <c r="BI70" i="132"/>
  <c r="BJ70" i="132"/>
  <c r="AY78" i="132"/>
  <c r="BL78" i="132" s="1"/>
  <c r="BB78" i="132"/>
  <c r="BE78" i="132"/>
  <c r="BG78" i="132"/>
  <c r="BI78" i="132"/>
  <c r="BA78" i="132"/>
  <c r="BJ78" i="132"/>
  <c r="AZ78" i="132"/>
  <c r="BH78" i="132"/>
  <c r="BD78" i="132"/>
  <c r="BF78" i="132"/>
  <c r="BC78" i="132"/>
  <c r="AY64" i="132"/>
  <c r="BL64" i="132" s="1"/>
  <c r="BD64" i="132"/>
  <c r="BF64" i="132"/>
  <c r="BJ64" i="132"/>
  <c r="BA64" i="132"/>
  <c r="BC64" i="132"/>
  <c r="BE64" i="132"/>
  <c r="BH64" i="132"/>
  <c r="BI64" i="132"/>
  <c r="AZ64" i="132"/>
  <c r="BG64" i="132"/>
  <c r="BB64" i="132"/>
  <c r="AY65" i="132"/>
  <c r="BL65" i="132" s="1"/>
  <c r="AZ65" i="132"/>
  <c r="BA65" i="132"/>
  <c r="BC65" i="132"/>
  <c r="BE65" i="132"/>
  <c r="BG65" i="132"/>
  <c r="BI65" i="132"/>
  <c r="BB65" i="132"/>
  <c r="BF65" i="132"/>
  <c r="BJ65" i="132"/>
  <c r="BD65" i="132"/>
  <c r="BH65" i="132"/>
  <c r="AY86" i="132"/>
  <c r="BL86" i="132" s="1"/>
  <c r="AZ86" i="132"/>
  <c r="BA86" i="132"/>
  <c r="BC86" i="132"/>
  <c r="BE86" i="132"/>
  <c r="BG86" i="132"/>
  <c r="BI86" i="132"/>
  <c r="BB86" i="132"/>
  <c r="BF86" i="132"/>
  <c r="BJ86" i="132"/>
  <c r="BD86" i="132"/>
  <c r="BH86" i="132"/>
  <c r="AY50" i="132"/>
  <c r="BL50" i="132" s="1"/>
  <c r="AZ50" i="132"/>
  <c r="BB50" i="132"/>
  <c r="BD50" i="132"/>
  <c r="BF50" i="132"/>
  <c r="BH50" i="132"/>
  <c r="BJ50" i="132"/>
  <c r="BA50" i="132"/>
  <c r="BC50" i="132"/>
  <c r="BE50" i="132"/>
  <c r="BG50" i="132"/>
  <c r="BI50" i="132"/>
  <c r="AY57" i="132"/>
  <c r="BL57" i="132" s="1"/>
  <c r="BA57" i="132"/>
  <c r="BC57" i="132"/>
  <c r="BE57" i="132"/>
  <c r="BG57" i="132"/>
  <c r="BI57" i="132"/>
  <c r="AZ57" i="132"/>
  <c r="BM57" i="132" s="1"/>
  <c r="BD57" i="132"/>
  <c r="BH57" i="132"/>
  <c r="BB57" i="132"/>
  <c r="BF57" i="132"/>
  <c r="BJ57" i="132"/>
  <c r="AY48" i="132"/>
  <c r="BL48" i="132" s="1"/>
  <c r="AZ48" i="132"/>
  <c r="BA48" i="132"/>
  <c r="BB48" i="132"/>
  <c r="BC48" i="132"/>
  <c r="BD48" i="132"/>
  <c r="BE48" i="132"/>
  <c r="BF48" i="132"/>
  <c r="BG48" i="132"/>
  <c r="BH48" i="132"/>
  <c r="BI48" i="132"/>
  <c r="BJ48" i="132"/>
  <c r="AY55" i="132"/>
  <c r="BL55" i="132" s="1"/>
  <c r="AZ55" i="132"/>
  <c r="BA55" i="132"/>
  <c r="BB55" i="132"/>
  <c r="BC55" i="132"/>
  <c r="BD55" i="132"/>
  <c r="BE55" i="132"/>
  <c r="BF55" i="132"/>
  <c r="BG55" i="132"/>
  <c r="BH55" i="132"/>
  <c r="BI55" i="132"/>
  <c r="BJ55" i="132"/>
  <c r="AY74" i="132"/>
  <c r="BL74" i="132" s="1"/>
  <c r="AZ74" i="132"/>
  <c r="BA74" i="132"/>
  <c r="BC74" i="132"/>
  <c r="BE74" i="132"/>
  <c r="BG74" i="132"/>
  <c r="BI74" i="132"/>
  <c r="BB74" i="132"/>
  <c r="BF74" i="132"/>
  <c r="BJ74" i="132"/>
  <c r="BD74" i="132"/>
  <c r="BH74" i="132"/>
  <c r="AC65" i="128"/>
  <c r="AD65" i="128" s="1"/>
  <c r="AE65" i="128" s="1"/>
  <c r="Q53" i="132"/>
  <c r="AC63" i="128"/>
  <c r="AD63" i="128" s="1"/>
  <c r="AE63" i="128" s="1"/>
  <c r="Q51" i="132"/>
  <c r="AC61" i="128"/>
  <c r="AD61" i="128" s="1"/>
  <c r="AE61" i="128" s="1"/>
  <c r="Q49" i="132"/>
  <c r="AC71" i="128"/>
  <c r="AD71" i="128" s="1"/>
  <c r="AE71" i="128" s="1"/>
  <c r="Q60" i="132"/>
  <c r="AC69" i="128"/>
  <c r="AD69" i="128" s="1"/>
  <c r="AE69" i="128" s="1"/>
  <c r="Q58" i="132"/>
  <c r="AC67" i="128"/>
  <c r="AD67" i="128" s="1"/>
  <c r="AE67" i="128" s="1"/>
  <c r="Q56" i="132"/>
  <c r="AC77" i="128"/>
  <c r="AD77" i="128" s="1"/>
  <c r="AE77" i="128" s="1"/>
  <c r="Q67" i="132"/>
  <c r="AC75" i="128"/>
  <c r="AD75" i="128" s="1"/>
  <c r="AE75" i="128" s="1"/>
  <c r="Q65" i="132"/>
  <c r="AC73" i="128"/>
  <c r="AD73" i="128" s="1"/>
  <c r="AE73" i="128" s="1"/>
  <c r="Q63" i="132"/>
  <c r="AC83" i="128"/>
  <c r="AD83" i="128" s="1"/>
  <c r="AE83" i="128" s="1"/>
  <c r="Q74" i="132"/>
  <c r="AC81" i="128"/>
  <c r="AD81" i="128" s="1"/>
  <c r="AE81" i="128" s="1"/>
  <c r="Q72" i="132"/>
  <c r="AC79" i="128"/>
  <c r="AD79" i="128" s="1"/>
  <c r="AE79" i="128" s="1"/>
  <c r="Q70" i="132"/>
  <c r="AC89" i="128"/>
  <c r="AD89" i="128" s="1"/>
  <c r="AE89" i="128" s="1"/>
  <c r="Q81" i="132"/>
  <c r="AC87" i="128"/>
  <c r="AD87" i="128" s="1"/>
  <c r="AE87" i="128" s="1"/>
  <c r="Q79" i="132"/>
  <c r="AC85" i="128"/>
  <c r="AD85" i="128" s="1"/>
  <c r="AE85" i="128" s="1"/>
  <c r="Q77" i="132"/>
  <c r="AC95" i="128"/>
  <c r="AD95" i="128" s="1"/>
  <c r="AE95" i="128" s="1"/>
  <c r="Q88" i="132"/>
  <c r="AC93" i="128"/>
  <c r="AD93" i="128" s="1"/>
  <c r="AE93" i="128" s="1"/>
  <c r="Q86" i="132"/>
  <c r="AC91" i="128"/>
  <c r="AD91" i="128" s="1"/>
  <c r="AE91" i="128" s="1"/>
  <c r="Q84" i="132"/>
  <c r="AC101" i="128"/>
  <c r="AD101" i="128" s="1"/>
  <c r="AE101" i="128" s="1"/>
  <c r="Q95" i="132"/>
  <c r="AC99" i="128"/>
  <c r="AD99" i="128" s="1"/>
  <c r="AE99" i="128" s="1"/>
  <c r="Q93" i="132"/>
  <c r="AC97" i="128"/>
  <c r="AD97" i="128" s="1"/>
  <c r="AE97" i="128" s="1"/>
  <c r="Q91" i="132"/>
  <c r="AH152" i="132"/>
  <c r="AH151" i="132"/>
  <c r="AH150" i="132"/>
  <c r="AH149" i="132"/>
  <c r="AH148" i="132"/>
  <c r="AH147" i="132"/>
  <c r="AH146" i="132"/>
  <c r="AH145" i="132"/>
  <c r="AH144" i="132"/>
  <c r="AH143" i="132"/>
  <c r="AH141" i="132"/>
  <c r="AH140" i="132"/>
  <c r="AH139" i="132"/>
  <c r="AH138" i="132"/>
  <c r="AH137" i="132"/>
  <c r="AH136" i="132"/>
  <c r="AH135" i="132"/>
  <c r="AH134" i="132"/>
  <c r="AH133" i="132"/>
  <c r="AH132" i="132"/>
  <c r="AH131" i="132"/>
  <c r="AH130" i="132"/>
  <c r="AH129" i="132"/>
  <c r="AH128" i="132"/>
  <c r="AH127" i="132"/>
  <c r="AH126" i="132"/>
  <c r="AH125" i="132"/>
  <c r="AH124" i="132"/>
  <c r="AH123" i="132"/>
  <c r="AH122" i="132"/>
  <c r="AH121" i="132"/>
  <c r="AH120" i="132"/>
  <c r="AH119" i="132"/>
  <c r="AH118" i="132"/>
  <c r="AH117" i="132"/>
  <c r="AH116" i="132"/>
  <c r="AH115" i="132"/>
  <c r="AH114" i="132"/>
  <c r="AH142" i="132"/>
  <c r="AH113" i="132"/>
  <c r="AH112" i="132"/>
  <c r="AH111" i="132"/>
  <c r="T109" i="132"/>
  <c r="AW109" i="132"/>
  <c r="R23" i="214"/>
  <c r="R25" i="214" s="1"/>
  <c r="R6" i="214"/>
  <c r="R9" i="213"/>
  <c r="S348" i="105"/>
  <c r="Y105" i="138"/>
  <c r="X106" i="138" s="1"/>
  <c r="Z105" i="138"/>
  <c r="H103" i="138"/>
  <c r="G103" i="138"/>
  <c r="F104" i="138" s="1"/>
  <c r="Z176" i="138"/>
  <c r="Y176" i="138"/>
  <c r="X177" i="138" s="1"/>
  <c r="AB54" i="132"/>
  <c r="N282" i="105" s="1"/>
  <c r="N283" i="105" s="1"/>
  <c r="N284" i="105" s="1"/>
  <c r="AB61" i="132"/>
  <c r="N286" i="105" s="1"/>
  <c r="N287" i="105" s="1"/>
  <c r="AB68" i="132"/>
  <c r="N290" i="105" s="1"/>
  <c r="N291" i="105" s="1"/>
  <c r="N292" i="105" s="1"/>
  <c r="AB75" i="132"/>
  <c r="N294" i="105" s="1"/>
  <c r="N295" i="105" s="1"/>
  <c r="N296" i="105" s="1"/>
  <c r="AB82" i="132"/>
  <c r="N298" i="105" s="1"/>
  <c r="N299" i="105" s="1"/>
  <c r="AB96" i="132"/>
  <c r="R353" i="105"/>
  <c r="L6" i="138"/>
  <c r="R364" i="105"/>
  <c r="I12" i="138"/>
  <c r="K310" i="105"/>
  <c r="J12" i="138"/>
  <c r="Q78" i="132"/>
  <c r="Q64" i="132"/>
  <c r="M442" i="105"/>
  <c r="Q52" i="132"/>
  <c r="J18" i="128"/>
  <c r="AB105" i="138" l="1"/>
  <c r="AA106" i="138" s="1"/>
  <c r="AC105" i="138"/>
  <c r="AC75" i="132"/>
  <c r="O294" i="105" s="1"/>
  <c r="O295" i="105" s="1"/>
  <c r="O296" i="105" s="1"/>
  <c r="O98" i="132"/>
  <c r="J140" i="138"/>
  <c r="I141" i="138" s="1"/>
  <c r="K140" i="138"/>
  <c r="AB140" i="138"/>
  <c r="AA141" i="138" s="1"/>
  <c r="AC140" i="138"/>
  <c r="L310" i="105"/>
  <c r="J139" i="133" s="1"/>
  <c r="L279" i="107" s="1"/>
  <c r="Q82" i="132"/>
  <c r="Q54" i="132"/>
  <c r="BM94" i="132"/>
  <c r="BN94" i="132" s="1"/>
  <c r="BO94" i="132" s="1"/>
  <c r="BP94" i="132" s="1"/>
  <c r="BQ94" i="132" s="1"/>
  <c r="BR94" i="132" s="1"/>
  <c r="BS94" i="132" s="1"/>
  <c r="BT94" i="132" s="1"/>
  <c r="BU94" i="132" s="1"/>
  <c r="BV94" i="132" s="1"/>
  <c r="BW94" i="132" s="1"/>
  <c r="J106" i="138"/>
  <c r="I107" i="138" s="1"/>
  <c r="K106" i="138"/>
  <c r="N176" i="138"/>
  <c r="M176" i="138"/>
  <c r="L177" i="138" s="1"/>
  <c r="N442" i="105"/>
  <c r="Q96" i="132"/>
  <c r="AC96" i="128"/>
  <c r="AD96" i="128" s="1"/>
  <c r="AH90" i="128"/>
  <c r="AG90" i="128"/>
  <c r="AG78" i="128"/>
  <c r="AH78" i="128" s="1"/>
  <c r="AH66" i="128"/>
  <c r="AG66" i="128"/>
  <c r="J439" i="105"/>
  <c r="J435" i="105" s="1"/>
  <c r="K18" i="128"/>
  <c r="K439" i="105" s="1"/>
  <c r="K435" i="105" s="1"/>
  <c r="N50" i="133"/>
  <c r="N51" i="133" s="1"/>
  <c r="N306" i="105"/>
  <c r="N307" i="105" s="1"/>
  <c r="AB98" i="132"/>
  <c r="Q102" i="132" s="1"/>
  <c r="N288" i="105"/>
  <c r="Z177" i="138"/>
  <c r="Y177" i="138"/>
  <c r="X178" i="138" s="1"/>
  <c r="G104" i="138"/>
  <c r="F105" i="138" s="1"/>
  <c r="H104" i="138"/>
  <c r="T112" i="132"/>
  <c r="T114" i="132"/>
  <c r="T116" i="132"/>
  <c r="T118" i="132"/>
  <c r="T120" i="132"/>
  <c r="T122" i="132"/>
  <c r="T124" i="132"/>
  <c r="T126" i="132"/>
  <c r="T128" i="132"/>
  <c r="T130" i="132"/>
  <c r="T132" i="132"/>
  <c r="T134" i="132"/>
  <c r="T136" i="132"/>
  <c r="T138" i="132"/>
  <c r="T140" i="132"/>
  <c r="T142" i="132"/>
  <c r="T144" i="132"/>
  <c r="T146" i="132"/>
  <c r="T148" i="132"/>
  <c r="T150" i="132"/>
  <c r="T152" i="132"/>
  <c r="T111" i="132"/>
  <c r="T115" i="132"/>
  <c r="T119" i="132"/>
  <c r="T123" i="132"/>
  <c r="T127" i="132"/>
  <c r="T131" i="132"/>
  <c r="T135" i="132"/>
  <c r="T139" i="132"/>
  <c r="T143" i="132"/>
  <c r="T147" i="132"/>
  <c r="T151" i="132"/>
  <c r="T113" i="132"/>
  <c r="T117" i="132"/>
  <c r="T121" i="132"/>
  <c r="T125" i="132"/>
  <c r="T129" i="132"/>
  <c r="T133" i="132"/>
  <c r="T137" i="132"/>
  <c r="T141" i="132"/>
  <c r="T145" i="132"/>
  <c r="T149" i="132"/>
  <c r="H160" i="132"/>
  <c r="I160" i="132" s="1"/>
  <c r="AI112" i="132"/>
  <c r="H310" i="132"/>
  <c r="I310" i="132" s="1"/>
  <c r="AI142" i="132"/>
  <c r="H175" i="132"/>
  <c r="I175" i="132" s="1"/>
  <c r="AI115" i="132"/>
  <c r="H185" i="132"/>
  <c r="I185" i="132" s="1"/>
  <c r="AI117" i="132"/>
  <c r="H195" i="132"/>
  <c r="I195" i="132" s="1"/>
  <c r="AI119" i="132"/>
  <c r="H205" i="132"/>
  <c r="I205" i="132" s="1"/>
  <c r="AI121" i="132"/>
  <c r="H215" i="132"/>
  <c r="I215" i="132" s="1"/>
  <c r="AI123" i="132"/>
  <c r="H225" i="132"/>
  <c r="I225" i="132" s="1"/>
  <c r="AI125" i="132"/>
  <c r="H235" i="132"/>
  <c r="I235" i="132" s="1"/>
  <c r="AI127" i="132"/>
  <c r="H245" i="132"/>
  <c r="I245" i="132" s="1"/>
  <c r="AI129" i="132"/>
  <c r="H255" i="132"/>
  <c r="I255" i="132" s="1"/>
  <c r="AI131" i="132"/>
  <c r="H265" i="132"/>
  <c r="I265" i="132" s="1"/>
  <c r="AI133" i="132"/>
  <c r="H275" i="132"/>
  <c r="I275" i="132" s="1"/>
  <c r="AI135" i="132"/>
  <c r="H285" i="132"/>
  <c r="I285" i="132" s="1"/>
  <c r="AI137" i="132"/>
  <c r="H295" i="132"/>
  <c r="I295" i="132" s="1"/>
  <c r="AI139" i="132"/>
  <c r="H305" i="132"/>
  <c r="I305" i="132" s="1"/>
  <c r="AI141" i="132"/>
  <c r="H320" i="132"/>
  <c r="I320" i="132" s="1"/>
  <c r="AI144" i="132"/>
  <c r="H330" i="132"/>
  <c r="I330" i="132" s="1"/>
  <c r="AI146" i="132"/>
  <c r="H340" i="132"/>
  <c r="I340" i="132" s="1"/>
  <c r="AI148" i="132"/>
  <c r="H350" i="132"/>
  <c r="I350" i="132" s="1"/>
  <c r="AI150" i="132"/>
  <c r="AI152" i="132"/>
  <c r="H360" i="132"/>
  <c r="I360" i="132" s="1"/>
  <c r="AG97" i="128"/>
  <c r="AH97" i="128" s="1"/>
  <c r="AG99" i="128"/>
  <c r="AH99" i="128" s="1"/>
  <c r="AG101" i="128"/>
  <c r="AH101" i="128" s="1"/>
  <c r="AG91" i="128"/>
  <c r="AH91" i="128" s="1"/>
  <c r="AG93" i="128"/>
  <c r="AH93" i="128" s="1"/>
  <c r="AG95" i="128"/>
  <c r="AH95" i="128" s="1"/>
  <c r="AG85" i="128"/>
  <c r="AH85" i="128" s="1"/>
  <c r="AG87" i="128"/>
  <c r="AH87" i="128" s="1"/>
  <c r="AG89" i="128"/>
  <c r="AH89" i="128" s="1"/>
  <c r="AG79" i="128"/>
  <c r="AH79" i="128" s="1"/>
  <c r="AG81" i="128"/>
  <c r="AH81" i="128" s="1"/>
  <c r="AG83" i="128"/>
  <c r="AH83" i="128" s="1"/>
  <c r="AG73" i="128"/>
  <c r="AH73" i="128" s="1"/>
  <c r="AG75" i="128"/>
  <c r="AH75" i="128" s="1"/>
  <c r="AG77" i="128"/>
  <c r="AH77" i="128" s="1"/>
  <c r="AG67" i="128"/>
  <c r="AH67" i="128" s="1"/>
  <c r="AG69" i="128"/>
  <c r="AH69" i="128" s="1"/>
  <c r="AG71" i="128"/>
  <c r="AH71" i="128" s="1"/>
  <c r="AG61" i="128"/>
  <c r="AH61" i="128" s="1"/>
  <c r="AG63" i="128"/>
  <c r="AH63" i="128" s="1"/>
  <c r="AG65" i="128"/>
  <c r="AH65" i="128" s="1"/>
  <c r="K50" i="138"/>
  <c r="K48" i="138"/>
  <c r="S177" i="138"/>
  <c r="R178" i="138" s="1"/>
  <c r="T177" i="138"/>
  <c r="E141" i="138"/>
  <c r="D141" i="138"/>
  <c r="C142" i="138" s="1"/>
  <c r="M54" i="133"/>
  <c r="L55" i="133"/>
  <c r="K460" i="105" s="1"/>
  <c r="S350" i="105"/>
  <c r="P146" i="133" s="1"/>
  <c r="S357" i="105"/>
  <c r="P148" i="133" s="1"/>
  <c r="AS129" i="138"/>
  <c r="AS127" i="138"/>
  <c r="AS128" i="138" s="1"/>
  <c r="AT127" i="138" s="1"/>
  <c r="AT128" i="138" s="1"/>
  <c r="I117" i="105"/>
  <c r="I118" i="105"/>
  <c r="AE141" i="138"/>
  <c r="AD142" i="138" s="1"/>
  <c r="AF141" i="138"/>
  <c r="Y141" i="138"/>
  <c r="X142" i="138" s="1"/>
  <c r="Z141" i="138"/>
  <c r="S144" i="138"/>
  <c r="R145" i="138" s="1"/>
  <c r="T144" i="138"/>
  <c r="AT274" i="138"/>
  <c r="AT159" i="138"/>
  <c r="AR285" i="138"/>
  <c r="AR303" i="138"/>
  <c r="AR314" i="138" s="1"/>
  <c r="AA5" i="138"/>
  <c r="M4" i="138" s="1"/>
  <c r="M45" i="138" s="1"/>
  <c r="P104" i="138"/>
  <c r="O105" i="138" s="1"/>
  <c r="Q104" i="138"/>
  <c r="U10" i="138"/>
  <c r="G25" i="138" s="1"/>
  <c r="G486" i="105" s="1"/>
  <c r="AM318" i="138"/>
  <c r="O148" i="133"/>
  <c r="W148" i="133" s="1"/>
  <c r="W16" i="138"/>
  <c r="I26" i="138" s="1"/>
  <c r="I478" i="105" s="1"/>
  <c r="I477" i="105" s="1"/>
  <c r="I476" i="105" s="1"/>
  <c r="I475" i="105" s="1"/>
  <c r="AO91" i="138"/>
  <c r="O5" i="132"/>
  <c r="O32" i="132" s="1"/>
  <c r="AV111" i="132"/>
  <c r="AV115" i="132"/>
  <c r="AV119" i="132"/>
  <c r="AV123" i="132"/>
  <c r="AV127" i="132"/>
  <c r="AV131" i="132"/>
  <c r="AV135" i="132"/>
  <c r="AV139" i="132"/>
  <c r="AV143" i="132"/>
  <c r="AV147" i="132"/>
  <c r="AV151" i="132"/>
  <c r="AV114" i="132"/>
  <c r="AV118" i="132"/>
  <c r="AV122" i="132"/>
  <c r="AV126" i="132"/>
  <c r="AV130" i="132"/>
  <c r="AV134" i="132"/>
  <c r="AV138" i="132"/>
  <c r="AV142" i="132"/>
  <c r="AV146" i="132"/>
  <c r="AV150" i="132"/>
  <c r="AV117" i="132"/>
  <c r="AV125" i="132"/>
  <c r="AV133" i="132"/>
  <c r="AV141" i="132"/>
  <c r="AV149" i="132"/>
  <c r="AV116" i="132"/>
  <c r="AV124" i="132"/>
  <c r="AV132" i="132"/>
  <c r="AV140" i="132"/>
  <c r="AV148" i="132"/>
  <c r="AV113" i="132"/>
  <c r="AV121" i="132"/>
  <c r="AV129" i="132"/>
  <c r="AV137" i="132"/>
  <c r="AV145" i="132"/>
  <c r="AV112" i="132"/>
  <c r="AV120" i="132"/>
  <c r="AV128" i="132"/>
  <c r="AV136" i="132"/>
  <c r="AV144" i="132"/>
  <c r="AV152" i="132"/>
  <c r="G138" i="107"/>
  <c r="D483" i="105"/>
  <c r="E484" i="105"/>
  <c r="H449" i="105"/>
  <c r="G448" i="105"/>
  <c r="G434" i="105" s="1"/>
  <c r="I239" i="107"/>
  <c r="I196" i="105"/>
  <c r="H223" i="107"/>
  <c r="H32" i="214" s="1"/>
  <c r="E58" i="105"/>
  <c r="H137" i="107"/>
  <c r="H656" i="107" s="1"/>
  <c r="AE177" i="138"/>
  <c r="AD178" i="138" s="1"/>
  <c r="AF177" i="138"/>
  <c r="U402" i="105"/>
  <c r="S400" i="105"/>
  <c r="R399" i="105"/>
  <c r="R404" i="105" s="1"/>
  <c r="R411" i="105" s="1"/>
  <c r="O153" i="133" s="1"/>
  <c r="T401" i="105"/>
  <c r="K177" i="138"/>
  <c r="J177" i="138"/>
  <c r="I178" i="138" s="1"/>
  <c r="N105" i="132"/>
  <c r="G493" i="105"/>
  <c r="K178" i="133"/>
  <c r="AQ291" i="138"/>
  <c r="AQ289" i="138"/>
  <c r="AQ290" i="138" s="1"/>
  <c r="AG86" i="128"/>
  <c r="AH86" i="128" s="1"/>
  <c r="AG64" i="128"/>
  <c r="AH64" i="128" s="1"/>
  <c r="M14" i="128"/>
  <c r="P437" i="131"/>
  <c r="M175" i="133"/>
  <c r="M177" i="133" s="1"/>
  <c r="P177" i="138"/>
  <c r="O178" i="138" s="1"/>
  <c r="Q177" i="138"/>
  <c r="AG98" i="128"/>
  <c r="AH98" i="128" s="1"/>
  <c r="AG100" i="128"/>
  <c r="AH100" i="128" s="1"/>
  <c r="AG84" i="128"/>
  <c r="AH84" i="128" s="1"/>
  <c r="AG88" i="128"/>
  <c r="AH88" i="128" s="1"/>
  <c r="AG72" i="128"/>
  <c r="AH72" i="128" s="1"/>
  <c r="AG76" i="128"/>
  <c r="AH76" i="128" s="1"/>
  <c r="AC102" i="128"/>
  <c r="O6" i="128" s="1"/>
  <c r="AD60" i="128"/>
  <c r="AG62" i="128"/>
  <c r="AH62" i="128" s="1"/>
  <c r="V144" i="138"/>
  <c r="U145" i="138" s="1"/>
  <c r="W144" i="138"/>
  <c r="F18" i="105"/>
  <c r="I94" i="107"/>
  <c r="E176" i="138"/>
  <c r="D176" i="138"/>
  <c r="C177" i="138" s="1"/>
  <c r="M307" i="105"/>
  <c r="L16" i="128"/>
  <c r="O133" i="107" s="1"/>
  <c r="J490" i="105"/>
  <c r="I139" i="133"/>
  <c r="K279" i="107" s="1"/>
  <c r="M50" i="133"/>
  <c r="M51" i="133" s="1"/>
  <c r="N300" i="105"/>
  <c r="Z106" i="138"/>
  <c r="Y106" i="138"/>
  <c r="X107" i="138" s="1"/>
  <c r="P5" i="132"/>
  <c r="P32" i="132" s="1"/>
  <c r="AW112" i="132"/>
  <c r="AW116" i="132"/>
  <c r="AW120" i="132"/>
  <c r="AW124" i="132"/>
  <c r="AW128" i="132"/>
  <c r="AW132" i="132"/>
  <c r="AW136" i="132"/>
  <c r="AW140" i="132"/>
  <c r="AW144" i="132"/>
  <c r="AW148" i="132"/>
  <c r="AW152" i="132"/>
  <c r="AW113" i="132"/>
  <c r="AW117" i="132"/>
  <c r="AW121" i="132"/>
  <c r="AW125" i="132"/>
  <c r="AW129" i="132"/>
  <c r="AW133" i="132"/>
  <c r="AW137" i="132"/>
  <c r="AW141" i="132"/>
  <c r="AW145" i="132"/>
  <c r="AW149" i="132"/>
  <c r="AW114" i="132"/>
  <c r="AW118" i="132"/>
  <c r="AW122" i="132"/>
  <c r="AW126" i="132"/>
  <c r="AW130" i="132"/>
  <c r="AW134" i="132"/>
  <c r="AW138" i="132"/>
  <c r="AW142" i="132"/>
  <c r="AW146" i="132"/>
  <c r="AW150" i="132"/>
  <c r="AW111" i="132"/>
  <c r="AW115" i="132"/>
  <c r="AW119" i="132"/>
  <c r="AW123" i="132"/>
  <c r="AW127" i="132"/>
  <c r="AW131" i="132"/>
  <c r="AW135" i="132"/>
  <c r="AW139" i="132"/>
  <c r="AW143" i="132"/>
  <c r="AW147" i="132"/>
  <c r="AW151" i="132"/>
  <c r="AH153" i="132"/>
  <c r="T377" i="132" s="1"/>
  <c r="H155" i="132"/>
  <c r="I155" i="132" s="1"/>
  <c r="AI111" i="132"/>
  <c r="H165" i="132"/>
  <c r="I165" i="132" s="1"/>
  <c r="AI113" i="132"/>
  <c r="H170" i="132"/>
  <c r="I170" i="132" s="1"/>
  <c r="AI114" i="132"/>
  <c r="H180" i="132"/>
  <c r="I180" i="132" s="1"/>
  <c r="AI116" i="132"/>
  <c r="H190" i="132"/>
  <c r="I190" i="132" s="1"/>
  <c r="AI118" i="132"/>
  <c r="H200" i="132"/>
  <c r="I200" i="132" s="1"/>
  <c r="AI120" i="132"/>
  <c r="H210" i="132"/>
  <c r="I210" i="132" s="1"/>
  <c r="AI122" i="132"/>
  <c r="H220" i="132"/>
  <c r="I220" i="132" s="1"/>
  <c r="AI124" i="132"/>
  <c r="H230" i="132"/>
  <c r="I230" i="132" s="1"/>
  <c r="AI126" i="132"/>
  <c r="H240" i="132"/>
  <c r="I240" i="132" s="1"/>
  <c r="AI128" i="132"/>
  <c r="H250" i="132"/>
  <c r="I250" i="132" s="1"/>
  <c r="AI130" i="132"/>
  <c r="H260" i="132"/>
  <c r="I260" i="132" s="1"/>
  <c r="AI132" i="132"/>
  <c r="H270" i="132"/>
  <c r="I270" i="132" s="1"/>
  <c r="AI134" i="132"/>
  <c r="H280" i="132"/>
  <c r="I280" i="132" s="1"/>
  <c r="AI136" i="132"/>
  <c r="H290" i="132"/>
  <c r="I290" i="132" s="1"/>
  <c r="AI138" i="132"/>
  <c r="H300" i="132"/>
  <c r="I300" i="132" s="1"/>
  <c r="AI140" i="132"/>
  <c r="AI143" i="132"/>
  <c r="H315" i="132"/>
  <c r="I315" i="132" s="1"/>
  <c r="AI145" i="132"/>
  <c r="H325" i="132"/>
  <c r="I325" i="132" s="1"/>
  <c r="AI147" i="132"/>
  <c r="H335" i="132"/>
  <c r="I335" i="132" s="1"/>
  <c r="AI149" i="132"/>
  <c r="H345" i="132"/>
  <c r="I345" i="132" s="1"/>
  <c r="AI151" i="132"/>
  <c r="H355" i="132"/>
  <c r="I355" i="132" s="1"/>
  <c r="V177" i="138"/>
  <c r="U178" i="138" s="1"/>
  <c r="W177" i="138"/>
  <c r="F381" i="148"/>
  <c r="AD123" i="148"/>
  <c r="G381" i="148" s="1"/>
  <c r="M130" i="133"/>
  <c r="K495" i="105"/>
  <c r="CS91" i="132"/>
  <c r="AD91" i="132" s="1"/>
  <c r="CH91" i="132"/>
  <c r="CS86" i="132"/>
  <c r="AD86" i="132" s="1"/>
  <c r="CH86" i="132"/>
  <c r="CS77" i="132"/>
  <c r="AD77" i="132" s="1"/>
  <c r="CH77" i="132"/>
  <c r="CS81" i="132"/>
  <c r="AD81" i="132" s="1"/>
  <c r="CH81" i="132"/>
  <c r="CS63" i="132"/>
  <c r="AD63" i="132" s="1"/>
  <c r="CH63" i="132"/>
  <c r="CS58" i="132"/>
  <c r="AD58" i="132" s="1"/>
  <c r="CH58" i="132"/>
  <c r="CS53" i="132"/>
  <c r="AD53" i="132" s="1"/>
  <c r="CH53" i="132"/>
  <c r="O171" i="133"/>
  <c r="O173" i="133" s="1"/>
  <c r="P170" i="133"/>
  <c r="N173" i="133"/>
  <c r="M436" i="105"/>
  <c r="E104" i="138"/>
  <c r="D104" i="138"/>
  <c r="C105" i="138" s="1"/>
  <c r="M141" i="138"/>
  <c r="L142" i="138" s="1"/>
  <c r="N141" i="138"/>
  <c r="R398" i="105"/>
  <c r="R397" i="105"/>
  <c r="S405" i="105" s="1"/>
  <c r="S412" i="105" s="1"/>
  <c r="P154" i="133" s="1"/>
  <c r="AS274" i="138"/>
  <c r="AS159" i="138"/>
  <c r="AO367" i="132"/>
  <c r="EP154" i="132"/>
  <c r="AQ154" i="132"/>
  <c r="CP154" i="132"/>
  <c r="AT129" i="138"/>
  <c r="H229" i="133"/>
  <c r="W180" i="133"/>
  <c r="AR165" i="138"/>
  <c r="M13" i="138" s="1"/>
  <c r="AR163" i="138"/>
  <c r="AR164" i="138" s="1"/>
  <c r="E456" i="105"/>
  <c r="E454" i="105" s="1"/>
  <c r="G32" i="133"/>
  <c r="M9" i="132"/>
  <c r="CS90" i="132"/>
  <c r="AD90" i="132" s="1"/>
  <c r="CH90" i="132"/>
  <c r="CS92" i="132"/>
  <c r="AD92" i="132" s="1"/>
  <c r="CH92" i="132"/>
  <c r="CS85" i="132"/>
  <c r="AD85" i="132" s="1"/>
  <c r="CH85" i="132"/>
  <c r="CS76" i="132"/>
  <c r="AD76" i="132" s="1"/>
  <c r="CH76" i="132"/>
  <c r="CS78" i="132"/>
  <c r="AD78" i="132" s="1"/>
  <c r="CH78" i="132"/>
  <c r="CS69" i="132"/>
  <c r="AD69" i="132" s="1"/>
  <c r="CH69" i="132"/>
  <c r="CS71" i="132"/>
  <c r="AD71" i="132" s="1"/>
  <c r="CH71" i="132"/>
  <c r="CS62" i="132"/>
  <c r="AD62" i="132" s="1"/>
  <c r="CH62" i="132"/>
  <c r="CS64" i="132"/>
  <c r="AD64" i="132" s="1"/>
  <c r="CH64" i="132"/>
  <c r="CS55" i="132"/>
  <c r="AD55" i="132" s="1"/>
  <c r="CH55" i="132"/>
  <c r="CS57" i="132"/>
  <c r="AD57" i="132" s="1"/>
  <c r="CH57" i="132"/>
  <c r="CS48" i="132"/>
  <c r="AD48" i="132" s="1"/>
  <c r="CH48" i="132"/>
  <c r="CS50" i="132"/>
  <c r="AD50" i="132" s="1"/>
  <c r="CH50" i="132"/>
  <c r="CS95" i="132"/>
  <c r="AD95" i="132" s="1"/>
  <c r="CH95" i="132"/>
  <c r="CS72" i="132"/>
  <c r="AD72" i="132" s="1"/>
  <c r="CH72" i="132"/>
  <c r="CS67" i="132"/>
  <c r="AD67" i="132" s="1"/>
  <c r="CH67" i="132"/>
  <c r="CS49" i="132"/>
  <c r="AD49" i="132" s="1"/>
  <c r="CH49" i="132"/>
  <c r="O146" i="133"/>
  <c r="V350" i="105"/>
  <c r="Y350" i="105"/>
  <c r="S112" i="132"/>
  <c r="BD61" i="128" s="1"/>
  <c r="S114" i="132"/>
  <c r="BD63" i="128" s="1"/>
  <c r="S116" i="132"/>
  <c r="BD65" i="128" s="1"/>
  <c r="S118" i="132"/>
  <c r="BD67" i="128" s="1"/>
  <c r="S120" i="132"/>
  <c r="BD69" i="128" s="1"/>
  <c r="S122" i="132"/>
  <c r="BD71" i="128" s="1"/>
  <c r="S124" i="132"/>
  <c r="BD73" i="128" s="1"/>
  <c r="S126" i="132"/>
  <c r="BD75" i="128" s="1"/>
  <c r="S128" i="132"/>
  <c r="BD77" i="128" s="1"/>
  <c r="S130" i="132"/>
  <c r="BD79" i="128" s="1"/>
  <c r="S132" i="132"/>
  <c r="BD81" i="128" s="1"/>
  <c r="S134" i="132"/>
  <c r="BD83" i="128" s="1"/>
  <c r="S136" i="132"/>
  <c r="BD85" i="128" s="1"/>
  <c r="S138" i="132"/>
  <c r="BD87" i="128" s="1"/>
  <c r="S140" i="132"/>
  <c r="BD89" i="128" s="1"/>
  <c r="S142" i="132"/>
  <c r="BD91" i="128" s="1"/>
  <c r="S144" i="132"/>
  <c r="BD93" i="128" s="1"/>
  <c r="S146" i="132"/>
  <c r="BD95" i="128" s="1"/>
  <c r="S148" i="132"/>
  <c r="BD97" i="128" s="1"/>
  <c r="S150" i="132"/>
  <c r="BD99" i="128" s="1"/>
  <c r="S152" i="132"/>
  <c r="BD101" i="128" s="1"/>
  <c r="S113" i="132"/>
  <c r="BD62" i="128" s="1"/>
  <c r="S117" i="132"/>
  <c r="BD66" i="128" s="1"/>
  <c r="S121" i="132"/>
  <c r="BD70" i="128" s="1"/>
  <c r="S125" i="132"/>
  <c r="BD74" i="128" s="1"/>
  <c r="S129" i="132"/>
  <c r="BD78" i="128" s="1"/>
  <c r="S133" i="132"/>
  <c r="BD82" i="128" s="1"/>
  <c r="S137" i="132"/>
  <c r="BD86" i="128" s="1"/>
  <c r="S141" i="132"/>
  <c r="BD90" i="128" s="1"/>
  <c r="S145" i="132"/>
  <c r="BD94" i="128" s="1"/>
  <c r="S149" i="132"/>
  <c r="BD98" i="128" s="1"/>
  <c r="S111" i="132"/>
  <c r="BD60" i="128" s="1"/>
  <c r="S115" i="132"/>
  <c r="BD64" i="128" s="1"/>
  <c r="S119" i="132"/>
  <c r="BD68" i="128" s="1"/>
  <c r="S123" i="132"/>
  <c r="BD72" i="128" s="1"/>
  <c r="S127" i="132"/>
  <c r="BD76" i="128" s="1"/>
  <c r="S131" i="132"/>
  <c r="BD80" i="128" s="1"/>
  <c r="S135" i="132"/>
  <c r="BD84" i="128" s="1"/>
  <c r="S139" i="132"/>
  <c r="BD88" i="128" s="1"/>
  <c r="S143" i="132"/>
  <c r="BD92" i="128" s="1"/>
  <c r="S147" i="132"/>
  <c r="BD96" i="128" s="1"/>
  <c r="S151" i="132"/>
  <c r="BD100" i="128" s="1"/>
  <c r="H139" i="133"/>
  <c r="P141" i="138"/>
  <c r="O142" i="138" s="1"/>
  <c r="Q141" i="138"/>
  <c r="G141" i="138"/>
  <c r="F142" i="138" s="1"/>
  <c r="H141" i="138"/>
  <c r="G54" i="138"/>
  <c r="F58" i="138"/>
  <c r="G67" i="138"/>
  <c r="E129" i="107"/>
  <c r="G216" i="107"/>
  <c r="G655" i="107"/>
  <c r="K34" i="133"/>
  <c r="I455" i="105"/>
  <c r="H176" i="138"/>
  <c r="G176" i="138"/>
  <c r="F177" i="138" s="1"/>
  <c r="G232" i="133"/>
  <c r="F68" i="138" s="1"/>
  <c r="F69" i="138" s="1"/>
  <c r="G239" i="133"/>
  <c r="AE106" i="138"/>
  <c r="AD107" i="138" s="1"/>
  <c r="AF106" i="138"/>
  <c r="L46" i="138"/>
  <c r="L47" i="138"/>
  <c r="L49" i="138" s="1"/>
  <c r="L65" i="138"/>
  <c r="L5" i="138"/>
  <c r="AQ320" i="138"/>
  <c r="L12" i="138" s="1"/>
  <c r="N15" i="128"/>
  <c r="Q438" i="131"/>
  <c r="AB179" i="138"/>
  <c r="AA180" i="138" s="1"/>
  <c r="AC179" i="138"/>
  <c r="M105" i="138"/>
  <c r="L106" i="138" s="1"/>
  <c r="N105" i="138"/>
  <c r="I182" i="133"/>
  <c r="AG74" i="128"/>
  <c r="AH74" i="128" s="1"/>
  <c r="P438" i="131"/>
  <c r="M9" i="128"/>
  <c r="P436" i="131" s="1"/>
  <c r="P444" i="131" s="1"/>
  <c r="M15" i="128"/>
  <c r="V106" i="138"/>
  <c r="U107" i="138" s="1"/>
  <c r="W106" i="138"/>
  <c r="AG92" i="128"/>
  <c r="AH92" i="128" s="1"/>
  <c r="AG94" i="128"/>
  <c r="AH94" i="128" s="1"/>
  <c r="AG80" i="128"/>
  <c r="AH80" i="128" s="1"/>
  <c r="AG82" i="128"/>
  <c r="AH82" i="128" s="1"/>
  <c r="AG68" i="128"/>
  <c r="AH68" i="128" s="1"/>
  <c r="AG70" i="128"/>
  <c r="AH70" i="128" s="1"/>
  <c r="L175" i="133"/>
  <c r="K17" i="128"/>
  <c r="K447" i="105" s="1"/>
  <c r="K440" i="105" s="1"/>
  <c r="K16" i="128"/>
  <c r="N133" i="107" s="1"/>
  <c r="S104" i="138"/>
  <c r="R105" i="138" s="1"/>
  <c r="T104" i="138"/>
  <c r="E356" i="148"/>
  <c r="F357" i="148"/>
  <c r="CS94" i="132"/>
  <c r="AD94" i="132" s="1"/>
  <c r="CH94" i="132"/>
  <c r="CS83" i="132"/>
  <c r="AD83" i="132" s="1"/>
  <c r="CH83" i="132"/>
  <c r="CS87" i="132"/>
  <c r="AD87" i="132" s="1"/>
  <c r="CH87" i="132"/>
  <c r="CS80" i="132"/>
  <c r="AD80" i="132" s="1"/>
  <c r="CH80" i="132"/>
  <c r="CS73" i="132"/>
  <c r="AD73" i="132" s="1"/>
  <c r="CH73" i="132"/>
  <c r="CS66" i="132"/>
  <c r="AD66" i="132" s="1"/>
  <c r="CH66" i="132"/>
  <c r="CS59" i="132"/>
  <c r="AD59" i="132" s="1"/>
  <c r="CH59" i="132"/>
  <c r="CS52" i="132"/>
  <c r="AD52" i="132" s="1"/>
  <c r="CH52" i="132"/>
  <c r="CS93" i="132"/>
  <c r="AD93" i="132" s="1"/>
  <c r="CH93" i="132"/>
  <c r="CS84" i="132"/>
  <c r="AD84" i="132" s="1"/>
  <c r="CH84" i="132"/>
  <c r="CS88" i="132"/>
  <c r="AD88" i="132" s="1"/>
  <c r="CH88" i="132"/>
  <c r="CS79" i="132"/>
  <c r="AD79" i="132" s="1"/>
  <c r="CH79" i="132"/>
  <c r="CS70" i="132"/>
  <c r="AD70" i="132" s="1"/>
  <c r="CH70" i="132"/>
  <c r="CS74" i="132"/>
  <c r="AD74" i="132" s="1"/>
  <c r="CH74" i="132"/>
  <c r="CS65" i="132"/>
  <c r="AD65" i="132" s="1"/>
  <c r="CH65" i="132"/>
  <c r="CS56" i="132"/>
  <c r="AD56" i="132" s="1"/>
  <c r="CH56" i="132"/>
  <c r="CS60" i="132"/>
  <c r="AD60" i="132" s="1"/>
  <c r="CH60" i="132"/>
  <c r="CS51" i="132"/>
  <c r="AD51" i="132" s="1"/>
  <c r="CH51" i="132"/>
  <c r="S353" i="105"/>
  <c r="AC96" i="132"/>
  <c r="AC82" i="132"/>
  <c r="O298" i="105" s="1"/>
  <c r="O299" i="105" s="1"/>
  <c r="O300" i="105" s="1"/>
  <c r="AC68" i="132"/>
  <c r="O290" i="105" s="1"/>
  <c r="O291" i="105" s="1"/>
  <c r="AC61" i="132"/>
  <c r="O286" i="105" s="1"/>
  <c r="O287" i="105" s="1"/>
  <c r="O288" i="105" s="1"/>
  <c r="AC54" i="132"/>
  <c r="O282" i="105" s="1"/>
  <c r="O283" i="105" s="1"/>
  <c r="O284" i="105" s="1"/>
  <c r="Q68" i="132"/>
  <c r="O442" i="105"/>
  <c r="C327" i="148" s="1"/>
  <c r="D327" i="148" s="1"/>
  <c r="E327" i="148" s="1"/>
  <c r="F327" i="148" s="1"/>
  <c r="G327" i="148" s="1"/>
  <c r="AC89" i="132"/>
  <c r="O302" i="105" s="1"/>
  <c r="O303" i="105" s="1"/>
  <c r="O304" i="105" s="1"/>
  <c r="I51" i="138"/>
  <c r="BM74" i="132"/>
  <c r="BN74" i="132" s="1"/>
  <c r="BO74" i="132" s="1"/>
  <c r="BP74" i="132" s="1"/>
  <c r="BQ74" i="132" s="1"/>
  <c r="BR74" i="132" s="1"/>
  <c r="BS74" i="132" s="1"/>
  <c r="BT74" i="132" s="1"/>
  <c r="BU74" i="132" s="1"/>
  <c r="BV74" i="132" s="1"/>
  <c r="BW74" i="132" s="1"/>
  <c r="BM55" i="132"/>
  <c r="BN55" i="132" s="1"/>
  <c r="BO55" i="132" s="1"/>
  <c r="BP55" i="132" s="1"/>
  <c r="BQ55" i="132" s="1"/>
  <c r="BR55" i="132" s="1"/>
  <c r="BS55" i="132" s="1"/>
  <c r="BT55" i="132" s="1"/>
  <c r="BU55" i="132" s="1"/>
  <c r="BV55" i="132" s="1"/>
  <c r="BW55" i="132" s="1"/>
  <c r="BM48" i="132"/>
  <c r="BN48" i="132" s="1"/>
  <c r="BO48" i="132" s="1"/>
  <c r="BP48" i="132" s="1"/>
  <c r="BQ48" i="132" s="1"/>
  <c r="BR48" i="132" s="1"/>
  <c r="BS48" i="132" s="1"/>
  <c r="BT48" i="132" s="1"/>
  <c r="BU48" i="132" s="1"/>
  <c r="BV48" i="132" s="1"/>
  <c r="BW48" i="132" s="1"/>
  <c r="BN57" i="132"/>
  <c r="BO57" i="132" s="1"/>
  <c r="BP57" i="132" s="1"/>
  <c r="BQ57" i="132" s="1"/>
  <c r="BR57" i="132" s="1"/>
  <c r="BS57" i="132" s="1"/>
  <c r="BT57" i="132" s="1"/>
  <c r="BU57" i="132" s="1"/>
  <c r="BV57" i="132" s="1"/>
  <c r="BW57" i="132" s="1"/>
  <c r="BM50" i="132"/>
  <c r="BN50" i="132" s="1"/>
  <c r="BO50" i="132" s="1"/>
  <c r="BP50" i="132" s="1"/>
  <c r="BQ50" i="132" s="1"/>
  <c r="BR50" i="132" s="1"/>
  <c r="BS50" i="132" s="1"/>
  <c r="BT50" i="132" s="1"/>
  <c r="BU50" i="132" s="1"/>
  <c r="BV50" i="132" s="1"/>
  <c r="BW50" i="132" s="1"/>
  <c r="BM86" i="132"/>
  <c r="BN86" i="132" s="1"/>
  <c r="BO86" i="132" s="1"/>
  <c r="BP86" i="132" s="1"/>
  <c r="BQ86" i="132" s="1"/>
  <c r="BR86" i="132" s="1"/>
  <c r="BS86" i="132" s="1"/>
  <c r="BT86" i="132" s="1"/>
  <c r="BU86" i="132" s="1"/>
  <c r="BV86" i="132" s="1"/>
  <c r="BW86" i="132" s="1"/>
  <c r="BM65" i="132"/>
  <c r="BN65" i="132" s="1"/>
  <c r="BO65" i="132" s="1"/>
  <c r="BP65" i="132" s="1"/>
  <c r="BQ65" i="132" s="1"/>
  <c r="BR65" i="132" s="1"/>
  <c r="BS65" i="132" s="1"/>
  <c r="BT65" i="132" s="1"/>
  <c r="BU65" i="132" s="1"/>
  <c r="BV65" i="132" s="1"/>
  <c r="BW65" i="132" s="1"/>
  <c r="BM64" i="132"/>
  <c r="BN64" i="132" s="1"/>
  <c r="BO64" i="132" s="1"/>
  <c r="BP64" i="132" s="1"/>
  <c r="BQ64" i="132" s="1"/>
  <c r="BR64" i="132" s="1"/>
  <c r="BS64" i="132" s="1"/>
  <c r="BT64" i="132" s="1"/>
  <c r="BU64" i="132" s="1"/>
  <c r="BV64" i="132" s="1"/>
  <c r="BW64" i="132" s="1"/>
  <c r="BM78" i="132"/>
  <c r="BN78" i="132" s="1"/>
  <c r="BO78" i="132" s="1"/>
  <c r="BP78" i="132" s="1"/>
  <c r="BQ78" i="132" s="1"/>
  <c r="BR78" i="132" s="1"/>
  <c r="BS78" i="132" s="1"/>
  <c r="BT78" i="132" s="1"/>
  <c r="BU78" i="132" s="1"/>
  <c r="BV78" i="132" s="1"/>
  <c r="BW78" i="132" s="1"/>
  <c r="BM70" i="132"/>
  <c r="BN70" i="132" s="1"/>
  <c r="BO70" i="132" s="1"/>
  <c r="BP70" i="132" s="1"/>
  <c r="BQ70" i="132" s="1"/>
  <c r="BR70" i="132" s="1"/>
  <c r="BS70" i="132" s="1"/>
  <c r="BT70" i="132" s="1"/>
  <c r="BU70" i="132" s="1"/>
  <c r="BV70" i="132" s="1"/>
  <c r="BW70" i="132" s="1"/>
  <c r="BM77" i="132"/>
  <c r="BN77" i="132" s="1"/>
  <c r="BO77" i="132" s="1"/>
  <c r="BP77" i="132" s="1"/>
  <c r="BQ77" i="132" s="1"/>
  <c r="BR77" i="132" s="1"/>
  <c r="BS77" i="132" s="1"/>
  <c r="BT77" i="132" s="1"/>
  <c r="BU77" i="132" s="1"/>
  <c r="BV77" i="132" s="1"/>
  <c r="BW77" i="132" s="1"/>
  <c r="BN80" i="132"/>
  <c r="BO80" i="132" s="1"/>
  <c r="BP80" i="132" s="1"/>
  <c r="BQ80" i="132" s="1"/>
  <c r="BR80" i="132" s="1"/>
  <c r="BS80" i="132" s="1"/>
  <c r="BT80" i="132" s="1"/>
  <c r="BU80" i="132" s="1"/>
  <c r="BV80" i="132" s="1"/>
  <c r="BW80" i="132" s="1"/>
  <c r="BM69" i="132"/>
  <c r="BN69" i="132" s="1"/>
  <c r="BO69" i="132" s="1"/>
  <c r="BP69" i="132" s="1"/>
  <c r="BQ69" i="132" s="1"/>
  <c r="BR69" i="132" s="1"/>
  <c r="BS69" i="132" s="1"/>
  <c r="BT69" i="132" s="1"/>
  <c r="BU69" i="132" s="1"/>
  <c r="BV69" i="132" s="1"/>
  <c r="BW69" i="132" s="1"/>
  <c r="BM63" i="132"/>
  <c r="BN63" i="132" s="1"/>
  <c r="BO63" i="132" s="1"/>
  <c r="BP63" i="132" s="1"/>
  <c r="BQ63" i="132" s="1"/>
  <c r="BR63" i="132" s="1"/>
  <c r="BS63" i="132" s="1"/>
  <c r="BT63" i="132" s="1"/>
  <c r="BU63" i="132" s="1"/>
  <c r="BV63" i="132" s="1"/>
  <c r="BW63" i="132" s="1"/>
  <c r="BM66" i="132"/>
  <c r="BN66" i="132" s="1"/>
  <c r="BO66" i="132" s="1"/>
  <c r="BP66" i="132" s="1"/>
  <c r="BQ66" i="132" s="1"/>
  <c r="BR66" i="132" s="1"/>
  <c r="BS66" i="132" s="1"/>
  <c r="BT66" i="132" s="1"/>
  <c r="BU66" i="132" s="1"/>
  <c r="BV66" i="132" s="1"/>
  <c r="BW66" i="132" s="1"/>
  <c r="BM67" i="132"/>
  <c r="BN67" i="132" s="1"/>
  <c r="BO67" i="132" s="1"/>
  <c r="BP67" i="132" s="1"/>
  <c r="BQ67" i="132" s="1"/>
  <c r="BR67" i="132" s="1"/>
  <c r="BS67" i="132" s="1"/>
  <c r="BT67" i="132" s="1"/>
  <c r="BU67" i="132" s="1"/>
  <c r="BV67" i="132" s="1"/>
  <c r="BW67" i="132" s="1"/>
  <c r="BM58" i="132"/>
  <c r="BN58" i="132" s="1"/>
  <c r="BO58" i="132" s="1"/>
  <c r="BP58" i="132" s="1"/>
  <c r="BQ58" i="132" s="1"/>
  <c r="BR58" i="132" s="1"/>
  <c r="BS58" i="132" s="1"/>
  <c r="BT58" i="132" s="1"/>
  <c r="BU58" i="132" s="1"/>
  <c r="BV58" i="132" s="1"/>
  <c r="BW58" i="132" s="1"/>
  <c r="BM59" i="132"/>
  <c r="BN59" i="132" s="1"/>
  <c r="BO59" i="132" s="1"/>
  <c r="BP59" i="132" s="1"/>
  <c r="BQ59" i="132" s="1"/>
  <c r="BR59" i="132" s="1"/>
  <c r="BS59" i="132" s="1"/>
  <c r="BT59" i="132" s="1"/>
  <c r="BU59" i="132" s="1"/>
  <c r="BV59" i="132" s="1"/>
  <c r="BW59" i="132" s="1"/>
  <c r="BM51" i="132"/>
  <c r="BN51" i="132" s="1"/>
  <c r="BO51" i="132" s="1"/>
  <c r="BP51" i="132" s="1"/>
  <c r="BQ51" i="132" s="1"/>
  <c r="BR51" i="132" s="1"/>
  <c r="BS51" i="132" s="1"/>
  <c r="BT51" i="132" s="1"/>
  <c r="BU51" i="132" s="1"/>
  <c r="BV51" i="132" s="1"/>
  <c r="BW51" i="132" s="1"/>
  <c r="BM71" i="132"/>
  <c r="BN71" i="132"/>
  <c r="BO71" i="132" s="1"/>
  <c r="BP71" i="132" s="1"/>
  <c r="BQ71" i="132" s="1"/>
  <c r="BR71" i="132" s="1"/>
  <c r="BS71" i="132" s="1"/>
  <c r="BT71" i="132" s="1"/>
  <c r="BU71" i="132" s="1"/>
  <c r="BV71" i="132" s="1"/>
  <c r="BW71" i="132" s="1"/>
  <c r="N247" i="107"/>
  <c r="K51" i="138"/>
  <c r="J52" i="138"/>
  <c r="BM52" i="132"/>
  <c r="BN52" i="132" s="1"/>
  <c r="BO52" i="132" s="1"/>
  <c r="BP52" i="132" s="1"/>
  <c r="BQ52" i="132" s="1"/>
  <c r="BR52" i="132" s="1"/>
  <c r="BS52" i="132" s="1"/>
  <c r="BT52" i="132" s="1"/>
  <c r="BU52" i="132" s="1"/>
  <c r="BV52" i="132" s="1"/>
  <c r="BW52" i="132" s="1"/>
  <c r="AG153" i="132"/>
  <c r="S377" i="132" s="1"/>
  <c r="K7" i="138"/>
  <c r="AB102" i="128"/>
  <c r="N6" i="128" s="1"/>
  <c r="N7" i="128" s="1"/>
  <c r="J51" i="138"/>
  <c r="P98" i="132"/>
  <c r="Q89" i="132"/>
  <c r="Q75" i="132"/>
  <c r="Q61" i="132"/>
  <c r="O441" i="105"/>
  <c r="BM91" i="132"/>
  <c r="BN91" i="132" s="1"/>
  <c r="BO91" i="132" s="1"/>
  <c r="BP91" i="132" s="1"/>
  <c r="BQ91" i="132" s="1"/>
  <c r="BR91" i="132" s="1"/>
  <c r="BS91" i="132" s="1"/>
  <c r="BT91" i="132" s="1"/>
  <c r="BU91" i="132" s="1"/>
  <c r="BV91" i="132" s="1"/>
  <c r="BW91" i="132" s="1"/>
  <c r="BM84" i="132"/>
  <c r="BN84" i="132" s="1"/>
  <c r="BO84" i="132" s="1"/>
  <c r="BP84" i="132" s="1"/>
  <c r="BQ84" i="132" s="1"/>
  <c r="BR84" i="132" s="1"/>
  <c r="BS84" i="132" s="1"/>
  <c r="BT84" i="132" s="1"/>
  <c r="BU84" i="132" s="1"/>
  <c r="BV84" i="132" s="1"/>
  <c r="BW84" i="132" s="1"/>
  <c r="BM79" i="132"/>
  <c r="BN79" i="132" s="1"/>
  <c r="BO79" i="132" s="1"/>
  <c r="BP79" i="132" s="1"/>
  <c r="BQ79" i="132" s="1"/>
  <c r="BR79" i="132" s="1"/>
  <c r="BS79" i="132" s="1"/>
  <c r="BT79" i="132" s="1"/>
  <c r="BU79" i="132" s="1"/>
  <c r="BV79" i="132" s="1"/>
  <c r="BW79" i="132" s="1"/>
  <c r="BM72" i="132"/>
  <c r="BN72" i="132" s="1"/>
  <c r="BO72" i="132" s="1"/>
  <c r="BP72" i="132" s="1"/>
  <c r="BQ72" i="132" s="1"/>
  <c r="BR72" i="132" s="1"/>
  <c r="BS72" i="132" s="1"/>
  <c r="BT72" i="132" s="1"/>
  <c r="BU72" i="132" s="1"/>
  <c r="BV72" i="132" s="1"/>
  <c r="BW72" i="132" s="1"/>
  <c r="BM81" i="132"/>
  <c r="BN81" i="132" s="1"/>
  <c r="BO81" i="132" s="1"/>
  <c r="BP81" i="132" s="1"/>
  <c r="BQ81" i="132" s="1"/>
  <c r="BR81" i="132" s="1"/>
  <c r="BS81" i="132" s="1"/>
  <c r="BT81" i="132" s="1"/>
  <c r="BU81" i="132" s="1"/>
  <c r="BV81" i="132" s="1"/>
  <c r="BW81" i="132" s="1"/>
  <c r="BM92" i="132"/>
  <c r="BN92" i="132" s="1"/>
  <c r="BO92" i="132" s="1"/>
  <c r="BP92" i="132" s="1"/>
  <c r="BQ92" i="132" s="1"/>
  <c r="BR92" i="132" s="1"/>
  <c r="BS92" i="132" s="1"/>
  <c r="BT92" i="132" s="1"/>
  <c r="BU92" i="132" s="1"/>
  <c r="BV92" i="132" s="1"/>
  <c r="BW92" i="132" s="1"/>
  <c r="BN95" i="132"/>
  <c r="BO95" i="132" s="1"/>
  <c r="BP95" i="132" s="1"/>
  <c r="BQ95" i="132" s="1"/>
  <c r="BR95" i="132" s="1"/>
  <c r="BS95" i="132" s="1"/>
  <c r="BT95" i="132" s="1"/>
  <c r="BU95" i="132" s="1"/>
  <c r="BV95" i="132" s="1"/>
  <c r="BW95" i="132" s="1"/>
  <c r="BM53" i="132"/>
  <c r="BN53" i="132" s="1"/>
  <c r="BO53" i="132" s="1"/>
  <c r="BP53" i="132" s="1"/>
  <c r="BQ53" i="132" s="1"/>
  <c r="BR53" i="132" s="1"/>
  <c r="BS53" i="132" s="1"/>
  <c r="BT53" i="132" s="1"/>
  <c r="BU53" i="132" s="1"/>
  <c r="BV53" i="132" s="1"/>
  <c r="BW53" i="132" s="1"/>
  <c r="BM85" i="132"/>
  <c r="BN85" i="132" s="1"/>
  <c r="BO85" i="132" s="1"/>
  <c r="BP85" i="132" s="1"/>
  <c r="BQ85" i="132" s="1"/>
  <c r="BR85" i="132" s="1"/>
  <c r="BS85" i="132" s="1"/>
  <c r="BT85" i="132" s="1"/>
  <c r="BU85" i="132" s="1"/>
  <c r="BV85" i="132" s="1"/>
  <c r="BW85" i="132" s="1"/>
  <c r="BM93" i="132"/>
  <c r="BN93" i="132" s="1"/>
  <c r="BO93" i="132" s="1"/>
  <c r="BP93" i="132" s="1"/>
  <c r="BQ93" i="132" s="1"/>
  <c r="BR93" i="132" s="1"/>
  <c r="BS93" i="132" s="1"/>
  <c r="BT93" i="132" s="1"/>
  <c r="BU93" i="132" s="1"/>
  <c r="BV93" i="132" s="1"/>
  <c r="BW93" i="132" s="1"/>
  <c r="BM60" i="132"/>
  <c r="BN60" i="132" s="1"/>
  <c r="BO60" i="132" s="1"/>
  <c r="BP60" i="132" s="1"/>
  <c r="BQ60" i="132" s="1"/>
  <c r="BR60" i="132" s="1"/>
  <c r="BS60" i="132" s="1"/>
  <c r="BT60" i="132" s="1"/>
  <c r="BU60" i="132" s="1"/>
  <c r="BV60" i="132" s="1"/>
  <c r="BW60" i="132" s="1"/>
  <c r="BM49" i="132"/>
  <c r="BN49" i="132" s="1"/>
  <c r="BO49" i="132" s="1"/>
  <c r="BP49" i="132" s="1"/>
  <c r="BQ49" i="132" s="1"/>
  <c r="BR49" i="132" s="1"/>
  <c r="BS49" i="132" s="1"/>
  <c r="BT49" i="132" s="1"/>
  <c r="BU49" i="132" s="1"/>
  <c r="BV49" i="132" s="1"/>
  <c r="BW49" i="132" s="1"/>
  <c r="BM73" i="132"/>
  <c r="BN73" i="132" s="1"/>
  <c r="BO73" i="132" s="1"/>
  <c r="BP73" i="132" s="1"/>
  <c r="BQ73" i="132" s="1"/>
  <c r="BR73" i="132" s="1"/>
  <c r="BS73" i="132" s="1"/>
  <c r="BT73" i="132" s="1"/>
  <c r="BU73" i="132" s="1"/>
  <c r="BV73" i="132" s="1"/>
  <c r="BW73" i="132" s="1"/>
  <c r="BM83" i="132"/>
  <c r="BN83" i="132" s="1"/>
  <c r="BO83" i="132" s="1"/>
  <c r="BP83" i="132" s="1"/>
  <c r="BQ83" i="132" s="1"/>
  <c r="BR83" i="132" s="1"/>
  <c r="BS83" i="132" s="1"/>
  <c r="BT83" i="132" s="1"/>
  <c r="BU83" i="132" s="1"/>
  <c r="BV83" i="132" s="1"/>
  <c r="BW83" i="132" s="1"/>
  <c r="BM56" i="132"/>
  <c r="BN56" i="132" s="1"/>
  <c r="BO56" i="132" s="1"/>
  <c r="BP56" i="132" s="1"/>
  <c r="BQ56" i="132" s="1"/>
  <c r="BR56" i="132" s="1"/>
  <c r="BS56" i="132" s="1"/>
  <c r="BT56" i="132" s="1"/>
  <c r="BU56" i="132" s="1"/>
  <c r="BV56" i="132" s="1"/>
  <c r="BW56" i="132" s="1"/>
  <c r="BM87" i="132"/>
  <c r="BN87" i="132" s="1"/>
  <c r="BO87" i="132" s="1"/>
  <c r="BP87" i="132" s="1"/>
  <c r="BQ87" i="132" s="1"/>
  <c r="BR87" i="132" s="1"/>
  <c r="BS87" i="132" s="1"/>
  <c r="BT87" i="132" s="1"/>
  <c r="BU87" i="132" s="1"/>
  <c r="BV87" i="132" s="1"/>
  <c r="BW87" i="132" s="1"/>
  <c r="BM88" i="132"/>
  <c r="BN88" i="132" s="1"/>
  <c r="BO88" i="132" s="1"/>
  <c r="BP88" i="132" s="1"/>
  <c r="BQ88" i="132" s="1"/>
  <c r="BR88" i="132" s="1"/>
  <c r="BS88" i="132" s="1"/>
  <c r="BT88" i="132" s="1"/>
  <c r="BU88" i="132" s="1"/>
  <c r="BV88" i="132" s="1"/>
  <c r="BW88" i="132" s="1"/>
  <c r="BM76" i="132"/>
  <c r="BN76" i="132" s="1"/>
  <c r="BO76" i="132" s="1"/>
  <c r="BP76" i="132" s="1"/>
  <c r="BQ76" i="132" s="1"/>
  <c r="BR76" i="132" s="1"/>
  <c r="BS76" i="132" s="1"/>
  <c r="BT76" i="132" s="1"/>
  <c r="BU76" i="132" s="1"/>
  <c r="BV76" i="132" s="1"/>
  <c r="BW76" i="132" s="1"/>
  <c r="BM90" i="132"/>
  <c r="BN90" i="132" s="1"/>
  <c r="BO90" i="132" s="1"/>
  <c r="BP90" i="132" s="1"/>
  <c r="BQ90" i="132" s="1"/>
  <c r="BR90" i="132" s="1"/>
  <c r="BS90" i="132" s="1"/>
  <c r="BT90" i="132" s="1"/>
  <c r="BU90" i="132" s="1"/>
  <c r="BV90" i="132" s="1"/>
  <c r="BW90" i="132" s="1"/>
  <c r="BM62" i="132"/>
  <c r="BN62" i="132" s="1"/>
  <c r="BO62" i="132" s="1"/>
  <c r="BP62" i="132" s="1"/>
  <c r="BQ62" i="132" s="1"/>
  <c r="BR62" i="132" s="1"/>
  <c r="BS62" i="132" s="1"/>
  <c r="BT62" i="132" s="1"/>
  <c r="BU62" i="132" s="1"/>
  <c r="BV62" i="132" s="1"/>
  <c r="BW62" i="132" s="1"/>
  <c r="N6" i="138"/>
  <c r="G234" i="133" l="1"/>
  <c r="G235" i="133" s="1"/>
  <c r="AC103" i="128"/>
  <c r="O8" i="128" s="1"/>
  <c r="K141" i="138"/>
  <c r="J141" i="138"/>
  <c r="I142" i="138" s="1"/>
  <c r="AB106" i="138"/>
  <c r="AA107" i="138" s="1"/>
  <c r="AC106" i="138"/>
  <c r="K52" i="138"/>
  <c r="N177" i="138"/>
  <c r="M177" i="138"/>
  <c r="L178" i="138" s="1"/>
  <c r="AB141" i="138"/>
  <c r="AA142" i="138" s="1"/>
  <c r="AC141" i="138"/>
  <c r="K107" i="138"/>
  <c r="J107" i="138"/>
  <c r="I108" i="138" s="1"/>
  <c r="Q98" i="132"/>
  <c r="L17" i="128"/>
  <c r="L447" i="105" s="1"/>
  <c r="L440" i="105" s="1"/>
  <c r="V357" i="105"/>
  <c r="BE100" i="128"/>
  <c r="BF100" i="128" s="1"/>
  <c r="BG100" i="128" s="1"/>
  <c r="BI100" i="128" s="1"/>
  <c r="BJ100" i="128" s="1"/>
  <c r="BE92" i="128"/>
  <c r="BF92" i="128" s="1"/>
  <c r="BG92" i="128" s="1"/>
  <c r="BE84" i="128"/>
  <c r="BF84" i="128" s="1"/>
  <c r="BG84" i="128" s="1"/>
  <c r="BE76" i="128"/>
  <c r="BF76" i="128" s="1"/>
  <c r="BG76" i="128" s="1"/>
  <c r="BE68" i="128"/>
  <c r="BF68" i="128" s="1"/>
  <c r="BG68" i="128" s="1"/>
  <c r="BI68" i="128" s="1"/>
  <c r="BJ68" i="128" s="1"/>
  <c r="BE60" i="128"/>
  <c r="BF60" i="128" s="1"/>
  <c r="BG60" i="128" s="1"/>
  <c r="BE99" i="128"/>
  <c r="BF99" i="128" s="1"/>
  <c r="BG99" i="128" s="1"/>
  <c r="BE95" i="128"/>
  <c r="BF95" i="128" s="1"/>
  <c r="BG95" i="128" s="1"/>
  <c r="BE91" i="128"/>
  <c r="BF91" i="128" s="1"/>
  <c r="BG91" i="128" s="1"/>
  <c r="BI91" i="128" s="1"/>
  <c r="BJ91" i="128" s="1"/>
  <c r="BE87" i="128"/>
  <c r="BF87" i="128" s="1"/>
  <c r="BG87" i="128" s="1"/>
  <c r="BE83" i="128"/>
  <c r="BF83" i="128" s="1"/>
  <c r="BG83" i="128" s="1"/>
  <c r="BE79" i="128"/>
  <c r="BF79" i="128" s="1"/>
  <c r="BG79" i="128" s="1"/>
  <c r="BE75" i="128"/>
  <c r="BF75" i="128" s="1"/>
  <c r="BG75" i="128" s="1"/>
  <c r="BI75" i="128" s="1"/>
  <c r="BJ75" i="128" s="1"/>
  <c r="BE71" i="128"/>
  <c r="BF71" i="128" s="1"/>
  <c r="BG71" i="128" s="1"/>
  <c r="BE67" i="128"/>
  <c r="BF67" i="128" s="1"/>
  <c r="BG67" i="128" s="1"/>
  <c r="BE63" i="128"/>
  <c r="BF63" i="128" s="1"/>
  <c r="BG63" i="128" s="1"/>
  <c r="AI70" i="128"/>
  <c r="AJ70" i="128" s="1"/>
  <c r="AI82" i="128"/>
  <c r="AJ82" i="128" s="1"/>
  <c r="AI94" i="128"/>
  <c r="AJ94" i="128" s="1"/>
  <c r="AI62" i="128"/>
  <c r="AJ62" i="128" s="1"/>
  <c r="AI72" i="128"/>
  <c r="AJ72" i="128" s="1"/>
  <c r="AI84" i="128"/>
  <c r="AJ84" i="128" s="1"/>
  <c r="AI98" i="128"/>
  <c r="AJ98" i="128" s="1"/>
  <c r="AI86" i="128"/>
  <c r="AJ86" i="128" s="1"/>
  <c r="AI65" i="128"/>
  <c r="AJ65" i="128" s="1"/>
  <c r="AI61" i="128"/>
  <c r="AJ61" i="128" s="1"/>
  <c r="AI69" i="128"/>
  <c r="AJ69" i="128" s="1"/>
  <c r="AI77" i="128"/>
  <c r="AJ77" i="128" s="1"/>
  <c r="AI73" i="128"/>
  <c r="AJ73" i="128" s="1"/>
  <c r="AI81" i="128"/>
  <c r="AJ81" i="128" s="1"/>
  <c r="AI89" i="128"/>
  <c r="AJ89" i="128" s="1"/>
  <c r="AI85" i="128"/>
  <c r="AJ85" i="128" s="1"/>
  <c r="AI93" i="128"/>
  <c r="AJ93" i="128" s="1"/>
  <c r="AI101" i="128"/>
  <c r="AJ101" i="128" s="1"/>
  <c r="AI97" i="128"/>
  <c r="AJ97" i="128" s="1"/>
  <c r="AI68" i="128"/>
  <c r="AJ68" i="128" s="1"/>
  <c r="AI80" i="128"/>
  <c r="AJ80" i="128" s="1"/>
  <c r="AI92" i="128"/>
  <c r="AJ92" i="128" s="1"/>
  <c r="AI76" i="128"/>
  <c r="AJ76" i="128" s="1"/>
  <c r="AI88" i="128"/>
  <c r="AJ88" i="128" s="1"/>
  <c r="AI100" i="128"/>
  <c r="AJ100" i="128" s="1"/>
  <c r="AI64" i="128"/>
  <c r="AJ64" i="128" s="1"/>
  <c r="AI63" i="128"/>
  <c r="AJ63" i="128" s="1"/>
  <c r="AI71" i="128"/>
  <c r="AJ71" i="128" s="1"/>
  <c r="AI67" i="128"/>
  <c r="AJ67" i="128" s="1"/>
  <c r="AI75" i="128"/>
  <c r="AJ75" i="128" s="1"/>
  <c r="AI83" i="128"/>
  <c r="AJ83" i="128" s="1"/>
  <c r="AI79" i="128"/>
  <c r="AJ79" i="128" s="1"/>
  <c r="AI87" i="128"/>
  <c r="AJ87" i="128" s="1"/>
  <c r="AI95" i="128"/>
  <c r="AJ95" i="128" s="1"/>
  <c r="AI91" i="128"/>
  <c r="AJ91" i="128" s="1"/>
  <c r="AI99" i="128"/>
  <c r="AJ99" i="128" s="1"/>
  <c r="CI51" i="132"/>
  <c r="CU51" i="132" s="1"/>
  <c r="AF51" i="132" s="1"/>
  <c r="CT51" i="132"/>
  <c r="AE51" i="132" s="1"/>
  <c r="CI56" i="132"/>
  <c r="CU56" i="132" s="1"/>
  <c r="AF56" i="132" s="1"/>
  <c r="CT56" i="132"/>
  <c r="AE56" i="132" s="1"/>
  <c r="CI74" i="132"/>
  <c r="CU74" i="132" s="1"/>
  <c r="AF74" i="132" s="1"/>
  <c r="CT74" i="132"/>
  <c r="AE74" i="132" s="1"/>
  <c r="CI79" i="132"/>
  <c r="CU79" i="132" s="1"/>
  <c r="AF79" i="132" s="1"/>
  <c r="CT79" i="132"/>
  <c r="AE79" i="132" s="1"/>
  <c r="CI84" i="132"/>
  <c r="CU84" i="132" s="1"/>
  <c r="AF84" i="132" s="1"/>
  <c r="CT84" i="132"/>
  <c r="AE84" i="132" s="1"/>
  <c r="CI52" i="132"/>
  <c r="CU52" i="132" s="1"/>
  <c r="AF52" i="132" s="1"/>
  <c r="CT52" i="132"/>
  <c r="AE52" i="132" s="1"/>
  <c r="CI66" i="132"/>
  <c r="CU66" i="132" s="1"/>
  <c r="AF66" i="132" s="1"/>
  <c r="CT66" i="132"/>
  <c r="AE66" i="132" s="1"/>
  <c r="CI87" i="132"/>
  <c r="CU87" i="132" s="1"/>
  <c r="AF87" i="132" s="1"/>
  <c r="CT87" i="132"/>
  <c r="AE87" i="132" s="1"/>
  <c r="CI94" i="132"/>
  <c r="CU94" i="132" s="1"/>
  <c r="AF94" i="132" s="1"/>
  <c r="CT94" i="132"/>
  <c r="AE94" i="132" s="1"/>
  <c r="I183" i="133"/>
  <c r="I238" i="133"/>
  <c r="I39" i="133" s="1"/>
  <c r="M106" i="138"/>
  <c r="L107" i="138" s="1"/>
  <c r="N106" i="138"/>
  <c r="M49" i="133"/>
  <c r="O247" i="107" s="1"/>
  <c r="E216" i="107"/>
  <c r="CI60" i="132"/>
  <c r="CU60" i="132" s="1"/>
  <c r="AF60" i="132" s="1"/>
  <c r="CT60" i="132"/>
  <c r="AE60" i="132" s="1"/>
  <c r="CI65" i="132"/>
  <c r="CU65" i="132" s="1"/>
  <c r="AF65" i="132" s="1"/>
  <c r="CT65" i="132"/>
  <c r="AE65" i="132" s="1"/>
  <c r="CI70" i="132"/>
  <c r="CU70" i="132" s="1"/>
  <c r="AF70" i="132" s="1"/>
  <c r="CT70" i="132"/>
  <c r="AE70" i="132" s="1"/>
  <c r="CI88" i="132"/>
  <c r="CU88" i="132" s="1"/>
  <c r="AF88" i="132" s="1"/>
  <c r="CT88" i="132"/>
  <c r="AE88" i="132" s="1"/>
  <c r="CI93" i="132"/>
  <c r="CU93" i="132" s="1"/>
  <c r="AF93" i="132" s="1"/>
  <c r="CT93" i="132"/>
  <c r="AE93" i="132" s="1"/>
  <c r="CI59" i="132"/>
  <c r="CU59" i="132" s="1"/>
  <c r="AF59" i="132" s="1"/>
  <c r="CT59" i="132"/>
  <c r="AE59" i="132" s="1"/>
  <c r="CI73" i="132"/>
  <c r="CU73" i="132" s="1"/>
  <c r="AF73" i="132" s="1"/>
  <c r="CT73" i="132"/>
  <c r="AE73" i="132" s="1"/>
  <c r="CI80" i="132"/>
  <c r="CU80" i="132" s="1"/>
  <c r="AF80" i="132" s="1"/>
  <c r="CT80" i="132"/>
  <c r="AE80" i="132" s="1"/>
  <c r="CI83" i="132"/>
  <c r="CU83" i="132" s="1"/>
  <c r="AF83" i="132" s="1"/>
  <c r="CT83" i="132"/>
  <c r="AE83" i="132" s="1"/>
  <c r="F356" i="148"/>
  <c r="G357" i="148"/>
  <c r="G356" i="148" s="1"/>
  <c r="N222" i="107"/>
  <c r="N31" i="214" s="1"/>
  <c r="K43" i="105"/>
  <c r="N655" i="107"/>
  <c r="M16" i="128"/>
  <c r="P133" i="107" s="1"/>
  <c r="AI74" i="128"/>
  <c r="AJ74" i="128" s="1"/>
  <c r="AC180" i="138"/>
  <c r="AB180" i="138"/>
  <c r="AA181" i="138" s="1"/>
  <c r="G240" i="133"/>
  <c r="G221" i="133"/>
  <c r="G241" i="133"/>
  <c r="F252" i="133" s="1"/>
  <c r="G243" i="133"/>
  <c r="G177" i="138"/>
  <c r="F178" i="138" s="1"/>
  <c r="H177" i="138"/>
  <c r="G57" i="138"/>
  <c r="J32" i="219"/>
  <c r="G142" i="138"/>
  <c r="F143" i="138" s="1"/>
  <c r="H142" i="138"/>
  <c r="P142" i="138"/>
  <c r="O143" i="138" s="1"/>
  <c r="Q142" i="138"/>
  <c r="J279" i="107"/>
  <c r="CI49" i="132"/>
  <c r="CU49" i="132" s="1"/>
  <c r="AF49" i="132" s="1"/>
  <c r="CT49" i="132"/>
  <c r="AE49" i="132" s="1"/>
  <c r="CI67" i="132"/>
  <c r="CU67" i="132" s="1"/>
  <c r="AF67" i="132" s="1"/>
  <c r="CT67" i="132"/>
  <c r="AE67" i="132" s="1"/>
  <c r="CI72" i="132"/>
  <c r="CU72" i="132" s="1"/>
  <c r="AF72" i="132" s="1"/>
  <c r="CT72" i="132"/>
  <c r="AE72" i="132" s="1"/>
  <c r="CI95" i="132"/>
  <c r="CU95" i="132" s="1"/>
  <c r="AF95" i="132" s="1"/>
  <c r="CT95" i="132"/>
  <c r="AE95" i="132" s="1"/>
  <c r="CI50" i="132"/>
  <c r="CU50" i="132" s="1"/>
  <c r="AF50" i="132" s="1"/>
  <c r="CT50" i="132"/>
  <c r="AE50" i="132" s="1"/>
  <c r="CI48" i="132"/>
  <c r="CU48" i="132" s="1"/>
  <c r="AF48" i="132" s="1"/>
  <c r="CT48" i="132"/>
  <c r="AE48" i="132" s="1"/>
  <c r="CI57" i="132"/>
  <c r="CU57" i="132" s="1"/>
  <c r="AF57" i="132" s="1"/>
  <c r="AG57" i="132" s="1"/>
  <c r="AH57" i="132" s="1"/>
  <c r="CT57" i="132"/>
  <c r="AE57" i="132" s="1"/>
  <c r="CI55" i="132"/>
  <c r="CU55" i="132" s="1"/>
  <c r="AF55" i="132" s="1"/>
  <c r="CT55" i="132"/>
  <c r="AE55" i="132" s="1"/>
  <c r="CI64" i="132"/>
  <c r="CU64" i="132" s="1"/>
  <c r="AF64" i="132" s="1"/>
  <c r="AG64" i="132" s="1"/>
  <c r="AH64" i="132" s="1"/>
  <c r="CT64" i="132"/>
  <c r="AE64" i="132" s="1"/>
  <c r="CI62" i="132"/>
  <c r="CU62" i="132" s="1"/>
  <c r="AF62" i="132" s="1"/>
  <c r="CT62" i="132"/>
  <c r="AE62" i="132" s="1"/>
  <c r="CI71" i="132"/>
  <c r="CU71" i="132" s="1"/>
  <c r="AF71" i="132" s="1"/>
  <c r="AG71" i="132" s="1"/>
  <c r="AH71" i="132" s="1"/>
  <c r="CT71" i="132"/>
  <c r="AE71" i="132" s="1"/>
  <c r="CI69" i="132"/>
  <c r="CU69" i="132" s="1"/>
  <c r="AF69" i="132" s="1"/>
  <c r="CT69" i="132"/>
  <c r="AE69" i="132" s="1"/>
  <c r="CI78" i="132"/>
  <c r="CU78" i="132" s="1"/>
  <c r="AF78" i="132" s="1"/>
  <c r="AG78" i="132" s="1"/>
  <c r="AH78" i="132" s="1"/>
  <c r="CT78" i="132"/>
  <c r="AE78" i="132" s="1"/>
  <c r="CI76" i="132"/>
  <c r="CU76" i="132" s="1"/>
  <c r="AF76" i="132" s="1"/>
  <c r="CT76" i="132"/>
  <c r="AE76" i="132" s="1"/>
  <c r="CI85" i="132"/>
  <c r="CU85" i="132" s="1"/>
  <c r="AF85" i="132" s="1"/>
  <c r="AG85" i="132" s="1"/>
  <c r="AH85" i="132" s="1"/>
  <c r="CT85" i="132"/>
  <c r="AE85" i="132" s="1"/>
  <c r="CI92" i="132"/>
  <c r="CU92" i="132" s="1"/>
  <c r="AF92" i="132" s="1"/>
  <c r="AG92" i="132" s="1"/>
  <c r="AH92" i="132" s="1"/>
  <c r="CT92" i="132"/>
  <c r="AE92" i="132" s="1"/>
  <c r="CI90" i="132"/>
  <c r="CU90" i="132" s="1"/>
  <c r="AF90" i="132" s="1"/>
  <c r="CT90" i="132"/>
  <c r="AE90" i="132" s="1"/>
  <c r="J240" i="107"/>
  <c r="H38" i="133"/>
  <c r="H230" i="133"/>
  <c r="H231" i="133"/>
  <c r="AQ367" i="132"/>
  <c r="ER154" i="132"/>
  <c r="AS154" i="132"/>
  <c r="CR154" i="132"/>
  <c r="AS303" i="138"/>
  <c r="AS314" i="138" s="1"/>
  <c r="AS285" i="138"/>
  <c r="AB5" i="138"/>
  <c r="N4" i="138" s="1"/>
  <c r="N45" i="138" s="1"/>
  <c r="S399" i="105"/>
  <c r="S404" i="105" s="1"/>
  <c r="S411" i="105" s="1"/>
  <c r="P153" i="133" s="1"/>
  <c r="T400" i="105"/>
  <c r="V402" i="105"/>
  <c r="U401" i="105"/>
  <c r="M142" i="138"/>
  <c r="L143" i="138" s="1"/>
  <c r="N142" i="138"/>
  <c r="N436" i="105"/>
  <c r="N174" i="133"/>
  <c r="O174" i="133" s="1"/>
  <c r="P171" i="133"/>
  <c r="CI53" i="132"/>
  <c r="CU53" i="132" s="1"/>
  <c r="AF53" i="132" s="1"/>
  <c r="AG53" i="132" s="1"/>
  <c r="AH53" i="132" s="1"/>
  <c r="CT53" i="132"/>
  <c r="AE53" i="132" s="1"/>
  <c r="CI58" i="132"/>
  <c r="CU58" i="132" s="1"/>
  <c r="AF58" i="132" s="1"/>
  <c r="AG58" i="132" s="1"/>
  <c r="AH58" i="132" s="1"/>
  <c r="CT58" i="132"/>
  <c r="AE58" i="132" s="1"/>
  <c r="CI63" i="132"/>
  <c r="CU63" i="132" s="1"/>
  <c r="AF63" i="132" s="1"/>
  <c r="AG63" i="132" s="1"/>
  <c r="AH63" i="132" s="1"/>
  <c r="CT63" i="132"/>
  <c r="AE63" i="132" s="1"/>
  <c r="CI81" i="132"/>
  <c r="CU81" i="132" s="1"/>
  <c r="AF81" i="132" s="1"/>
  <c r="AG81" i="132" s="1"/>
  <c r="AH81" i="132" s="1"/>
  <c r="CT81" i="132"/>
  <c r="AE81" i="132" s="1"/>
  <c r="CI77" i="132"/>
  <c r="CU77" i="132" s="1"/>
  <c r="AF77" i="132" s="1"/>
  <c r="AG77" i="132" s="1"/>
  <c r="AH77" i="132" s="1"/>
  <c r="CT77" i="132"/>
  <c r="AE77" i="132" s="1"/>
  <c r="CI86" i="132"/>
  <c r="CU86" i="132" s="1"/>
  <c r="AF86" i="132" s="1"/>
  <c r="AG86" i="132" s="1"/>
  <c r="AH86" i="132" s="1"/>
  <c r="CT86" i="132"/>
  <c r="AE86" i="132" s="1"/>
  <c r="CI91" i="132"/>
  <c r="CU91" i="132" s="1"/>
  <c r="AF91" i="132" s="1"/>
  <c r="AG91" i="132" s="1"/>
  <c r="AH91" i="132" s="1"/>
  <c r="CT91" i="132"/>
  <c r="AE91" i="132" s="1"/>
  <c r="I356" i="132"/>
  <c r="J355" i="132"/>
  <c r="K355" i="132" s="1"/>
  <c r="I346" i="132"/>
  <c r="J345" i="132"/>
  <c r="K345" i="132" s="1"/>
  <c r="I336" i="132"/>
  <c r="J335" i="132"/>
  <c r="K335" i="132" s="1"/>
  <c r="I326" i="132"/>
  <c r="J325" i="132"/>
  <c r="K325" i="132" s="1"/>
  <c r="I316" i="132"/>
  <c r="J315" i="132"/>
  <c r="K315" i="132" s="1"/>
  <c r="Y107" i="138"/>
  <c r="X108" i="138" s="1"/>
  <c r="Z107" i="138"/>
  <c r="K490" i="105"/>
  <c r="O222" i="107"/>
  <c r="O31" i="214" s="1"/>
  <c r="L43" i="105"/>
  <c r="O655" i="107"/>
  <c r="M308" i="105"/>
  <c r="M309" i="105"/>
  <c r="AD102" i="128"/>
  <c r="P6" i="128" s="1"/>
  <c r="AE60" i="128"/>
  <c r="AE96" i="128"/>
  <c r="AD103" i="128"/>
  <c r="P8" i="128" s="1"/>
  <c r="J178" i="138"/>
  <c r="I179" i="138" s="1"/>
  <c r="K178" i="138"/>
  <c r="I197" i="105"/>
  <c r="I198" i="105" s="1"/>
  <c r="I8" i="219"/>
  <c r="G30" i="133"/>
  <c r="H448" i="105"/>
  <c r="H434" i="105" s="1"/>
  <c r="I449" i="105"/>
  <c r="H196" i="105"/>
  <c r="G223" i="107"/>
  <c r="G32" i="214" s="1"/>
  <c r="D58" i="105"/>
  <c r="G137" i="107"/>
  <c r="G656" i="107" s="1"/>
  <c r="AO92" i="138"/>
  <c r="X15" i="138"/>
  <c r="Q105" i="138"/>
  <c r="P105" i="138"/>
  <c r="O106" i="138" s="1"/>
  <c r="M5" i="138"/>
  <c r="AR320" i="138"/>
  <c r="AT165" i="138"/>
  <c r="O13" i="138" s="1"/>
  <c r="O6" i="138"/>
  <c r="F61" i="133"/>
  <c r="D142" i="138"/>
  <c r="C143" i="138" s="1"/>
  <c r="E142" i="138"/>
  <c r="I361" i="132"/>
  <c r="J360" i="132"/>
  <c r="K360" i="132" s="1"/>
  <c r="BI92" i="128"/>
  <c r="BI84" i="128"/>
  <c r="BJ84" i="128" s="1"/>
  <c r="BI76" i="128"/>
  <c r="BI60" i="128"/>
  <c r="BI99" i="128"/>
  <c r="BJ99" i="128" s="1"/>
  <c r="BI95" i="128"/>
  <c r="BI87" i="128"/>
  <c r="BI83" i="128"/>
  <c r="BJ83" i="128" s="1"/>
  <c r="BI79" i="128"/>
  <c r="BI71" i="128"/>
  <c r="BI67" i="128"/>
  <c r="BJ67" i="128" s="1"/>
  <c r="BI63" i="128"/>
  <c r="Z178" i="138"/>
  <c r="Y178" i="138"/>
  <c r="X179" i="138" s="1"/>
  <c r="AI66" i="128"/>
  <c r="AJ66" i="128" s="1"/>
  <c r="AI78" i="128"/>
  <c r="AJ78" i="128" s="1"/>
  <c r="AI90" i="128"/>
  <c r="AJ90" i="128" s="1"/>
  <c r="O50" i="133"/>
  <c r="O51" i="133" s="1"/>
  <c r="C326" i="148"/>
  <c r="D326" i="148" s="1"/>
  <c r="Q437" i="131"/>
  <c r="N14" i="128"/>
  <c r="N16" i="128" s="1"/>
  <c r="Q133" i="107" s="1"/>
  <c r="O292" i="105"/>
  <c r="O306" i="105"/>
  <c r="O307" i="105" s="1"/>
  <c r="AC98" i="132"/>
  <c r="R102" i="132" s="1"/>
  <c r="AD89" i="132"/>
  <c r="P302" i="105" s="1"/>
  <c r="P303" i="105" s="1"/>
  <c r="P304" i="105" s="1"/>
  <c r="S105" i="138"/>
  <c r="R106" i="138" s="1"/>
  <c r="T105" i="138"/>
  <c r="L177" i="133"/>
  <c r="W107" i="138"/>
  <c r="V107" i="138"/>
  <c r="U108" i="138" s="1"/>
  <c r="L50" i="138"/>
  <c r="L48" i="138"/>
  <c r="L52" i="138" s="1"/>
  <c r="AF107" i="138"/>
  <c r="AE107" i="138"/>
  <c r="AD108" i="138" s="1"/>
  <c r="F14" i="138"/>
  <c r="L34" i="133"/>
  <c r="J455" i="105"/>
  <c r="F59" i="138"/>
  <c r="F19" i="138" s="1"/>
  <c r="I139" i="107" s="1"/>
  <c r="F487" i="105"/>
  <c r="F485" i="105" s="1"/>
  <c r="N9" i="132"/>
  <c r="F456" i="105"/>
  <c r="F454" i="105" s="1"/>
  <c r="H32" i="133"/>
  <c r="AS165" i="138"/>
  <c r="N13" i="138" s="1"/>
  <c r="AS163" i="138"/>
  <c r="AS164" i="138" s="1"/>
  <c r="AT163" i="138" s="1"/>
  <c r="AT164" i="138" s="1"/>
  <c r="D105" i="138"/>
  <c r="C106" i="138" s="1"/>
  <c r="E105" i="138"/>
  <c r="L495" i="105"/>
  <c r="N130" i="133"/>
  <c r="V178" i="138"/>
  <c r="U179" i="138" s="1"/>
  <c r="W178" i="138"/>
  <c r="I301" i="132"/>
  <c r="J300" i="132"/>
  <c r="K300" i="132" s="1"/>
  <c r="I291" i="132"/>
  <c r="J290" i="132"/>
  <c r="K290" i="132" s="1"/>
  <c r="I281" i="132"/>
  <c r="J280" i="132"/>
  <c r="K280" i="132" s="1"/>
  <c r="I271" i="132"/>
  <c r="J270" i="132"/>
  <c r="K270" i="132" s="1"/>
  <c r="I261" i="132"/>
  <c r="J260" i="132"/>
  <c r="K260" i="132" s="1"/>
  <c r="I251" i="132"/>
  <c r="J250" i="132"/>
  <c r="K250" i="132" s="1"/>
  <c r="I241" i="132"/>
  <c r="J240" i="132"/>
  <c r="K240" i="132" s="1"/>
  <c r="I231" i="132"/>
  <c r="J230" i="132"/>
  <c r="K230" i="132" s="1"/>
  <c r="I221" i="132"/>
  <c r="J220" i="132"/>
  <c r="K220" i="132" s="1"/>
  <c r="I211" i="132"/>
  <c r="J210" i="132"/>
  <c r="K210" i="132" s="1"/>
  <c r="I201" i="132"/>
  <c r="J200" i="132"/>
  <c r="K200" i="132" s="1"/>
  <c r="I191" i="132"/>
  <c r="J190" i="132"/>
  <c r="K190" i="132" s="1"/>
  <c r="I181" i="132"/>
  <c r="J180" i="132"/>
  <c r="K180" i="132" s="1"/>
  <c r="I171" i="132"/>
  <c r="J170" i="132"/>
  <c r="K170" i="132" s="1"/>
  <c r="I166" i="132"/>
  <c r="J165" i="132"/>
  <c r="K165" i="132" s="1"/>
  <c r="I156" i="132"/>
  <c r="J155" i="132"/>
  <c r="K155" i="132" s="1"/>
  <c r="D177" i="138"/>
  <c r="C178" i="138" s="1"/>
  <c r="E177" i="138"/>
  <c r="F19" i="105"/>
  <c r="W145" i="138"/>
  <c r="W146" i="138" s="1"/>
  <c r="V145" i="138"/>
  <c r="O7" i="128"/>
  <c r="O9" i="128" s="1"/>
  <c r="R436" i="131" s="1"/>
  <c r="R444" i="131" s="1"/>
  <c r="D22" i="128"/>
  <c r="D23" i="128" s="1"/>
  <c r="R438" i="131"/>
  <c r="O15" i="128"/>
  <c r="D24" i="128"/>
  <c r="Q178" i="138"/>
  <c r="P178" i="138"/>
  <c r="O179" i="138" s="1"/>
  <c r="K179" i="133"/>
  <c r="O105" i="132"/>
  <c r="I493" i="105" s="1"/>
  <c r="J493" i="105" s="1"/>
  <c r="K493" i="105" s="1"/>
  <c r="L493" i="105" s="1"/>
  <c r="M493" i="105" s="1"/>
  <c r="N493" i="105" s="1"/>
  <c r="O493" i="105" s="1"/>
  <c r="C377" i="148" s="1"/>
  <c r="H493" i="105"/>
  <c r="AE178" i="138"/>
  <c r="AD179" i="138" s="1"/>
  <c r="AF178" i="138"/>
  <c r="E483" i="105"/>
  <c r="F484" i="105"/>
  <c r="AM319" i="138"/>
  <c r="V9" i="138"/>
  <c r="M46" i="138"/>
  <c r="M47" i="138"/>
  <c r="M49" i="138" s="1"/>
  <c r="M65" i="138"/>
  <c r="AR291" i="138"/>
  <c r="AR289" i="138"/>
  <c r="AR290" i="138" s="1"/>
  <c r="AC5" i="138"/>
  <c r="O4" i="138" s="1"/>
  <c r="O45" i="138" s="1"/>
  <c r="AT303" i="138"/>
  <c r="AT314" i="138" s="1"/>
  <c r="AT285" i="138"/>
  <c r="T145" i="138"/>
  <c r="T146" i="138" s="1"/>
  <c r="S145" i="138"/>
  <c r="Y142" i="138"/>
  <c r="X143" i="138" s="1"/>
  <c r="Z142" i="138"/>
  <c r="AE142" i="138"/>
  <c r="AD143" i="138" s="1"/>
  <c r="AF142" i="138"/>
  <c r="M55" i="133"/>
  <c r="L460" i="105" s="1"/>
  <c r="N54" i="133"/>
  <c r="S178" i="138"/>
  <c r="R179" i="138" s="1"/>
  <c r="T178" i="138"/>
  <c r="I351" i="132"/>
  <c r="J350" i="132"/>
  <c r="K350" i="132" s="1"/>
  <c r="I341" i="132"/>
  <c r="J340" i="132"/>
  <c r="K340" i="132" s="1"/>
  <c r="I331" i="132"/>
  <c r="J330" i="132"/>
  <c r="K330" i="132" s="1"/>
  <c r="I321" i="132"/>
  <c r="J320" i="132"/>
  <c r="K320" i="132" s="1"/>
  <c r="I306" i="132"/>
  <c r="J305" i="132"/>
  <c r="K305" i="132" s="1"/>
  <c r="I296" i="132"/>
  <c r="J295" i="132"/>
  <c r="K295" i="132" s="1"/>
  <c r="I286" i="132"/>
  <c r="J285" i="132"/>
  <c r="K285" i="132" s="1"/>
  <c r="I276" i="132"/>
  <c r="J275" i="132"/>
  <c r="K275" i="132" s="1"/>
  <c r="I266" i="132"/>
  <c r="J265" i="132"/>
  <c r="K265" i="132" s="1"/>
  <c r="I256" i="132"/>
  <c r="J255" i="132"/>
  <c r="K255" i="132" s="1"/>
  <c r="I246" i="132"/>
  <c r="J245" i="132"/>
  <c r="K245" i="132" s="1"/>
  <c r="I236" i="132"/>
  <c r="J235" i="132"/>
  <c r="K235" i="132" s="1"/>
  <c r="I226" i="132"/>
  <c r="J225" i="132"/>
  <c r="K225" i="132" s="1"/>
  <c r="I216" i="132"/>
  <c r="J215" i="132"/>
  <c r="K215" i="132" s="1"/>
  <c r="I206" i="132"/>
  <c r="J205" i="132"/>
  <c r="K205" i="132" s="1"/>
  <c r="I196" i="132"/>
  <c r="J195" i="132"/>
  <c r="K195" i="132" s="1"/>
  <c r="I186" i="132"/>
  <c r="J185" i="132"/>
  <c r="K185" i="132" s="1"/>
  <c r="I176" i="132"/>
  <c r="J175" i="132"/>
  <c r="K175" i="132" s="1"/>
  <c r="I311" i="132"/>
  <c r="J310" i="132"/>
  <c r="K310" i="132" s="1"/>
  <c r="I161" i="132"/>
  <c r="J160" i="132"/>
  <c r="K160" i="132" s="1"/>
  <c r="G105" i="138"/>
  <c r="F106" i="138" s="1"/>
  <c r="H105" i="138"/>
  <c r="N309" i="105"/>
  <c r="N308" i="105"/>
  <c r="N310" i="105" s="1"/>
  <c r="L51" i="138"/>
  <c r="AI153" i="132"/>
  <c r="G377" i="132"/>
  <c r="L7" i="138"/>
  <c r="BE98" i="128"/>
  <c r="BF98" i="128" s="1"/>
  <c r="BG98" i="128" s="1"/>
  <c r="BE90" i="128"/>
  <c r="BF90" i="128" s="1"/>
  <c r="BG90" i="128" s="1"/>
  <c r="BE82" i="128"/>
  <c r="BF82" i="128" s="1"/>
  <c r="BG82" i="128" s="1"/>
  <c r="BE74" i="128"/>
  <c r="BF74" i="128" s="1"/>
  <c r="BG74" i="128" s="1"/>
  <c r="BE66" i="128"/>
  <c r="BF66" i="128" s="1"/>
  <c r="BG66" i="128" s="1"/>
  <c r="J182" i="133"/>
  <c r="S364" i="105"/>
  <c r="N9" i="128"/>
  <c r="Q436" i="131" s="1"/>
  <c r="Q444" i="131" s="1"/>
  <c r="AD54" i="132"/>
  <c r="P282" i="105" s="1"/>
  <c r="P283" i="105" s="1"/>
  <c r="P284" i="105" s="1"/>
  <c r="AD61" i="132"/>
  <c r="P286" i="105" s="1"/>
  <c r="P287" i="105" s="1"/>
  <c r="P288" i="105" s="1"/>
  <c r="AD68" i="132"/>
  <c r="P290" i="105" s="1"/>
  <c r="P291" i="105" s="1"/>
  <c r="P292" i="105" s="1"/>
  <c r="AD75" i="132"/>
  <c r="P294" i="105" s="1"/>
  <c r="P295" i="105" s="1"/>
  <c r="AD82" i="132"/>
  <c r="P298" i="105" s="1"/>
  <c r="P299" i="105" s="1"/>
  <c r="P300" i="105" s="1"/>
  <c r="AD96" i="132"/>
  <c r="L18" i="128"/>
  <c r="L439" i="105" s="1"/>
  <c r="L435" i="105" s="1"/>
  <c r="M17" i="128"/>
  <c r="M447" i="105" s="1"/>
  <c r="M440" i="105" s="1"/>
  <c r="Y357" i="105"/>
  <c r="X148" i="133" s="1"/>
  <c r="W146" i="133"/>
  <c r="X146" i="133" s="1"/>
  <c r="BE94" i="128"/>
  <c r="BF94" i="128" s="1"/>
  <c r="BG94" i="128" s="1"/>
  <c r="BE86" i="128"/>
  <c r="BF86" i="128" s="1"/>
  <c r="BG86" i="128" s="1"/>
  <c r="BE78" i="128"/>
  <c r="BF78" i="128" s="1"/>
  <c r="BG78" i="128" s="1"/>
  <c r="BE70" i="128"/>
  <c r="BF70" i="128" s="1"/>
  <c r="BG70" i="128" s="1"/>
  <c r="BE62" i="128"/>
  <c r="BF62" i="128" s="1"/>
  <c r="BG62" i="128" s="1"/>
  <c r="BE96" i="128"/>
  <c r="BF96" i="128" s="1"/>
  <c r="BG96" i="128" s="1"/>
  <c r="BE88" i="128"/>
  <c r="BF88" i="128" s="1"/>
  <c r="BG88" i="128" s="1"/>
  <c r="BE80" i="128"/>
  <c r="BF80" i="128" s="1"/>
  <c r="BG80" i="128" s="1"/>
  <c r="BE72" i="128"/>
  <c r="BF72" i="128" s="1"/>
  <c r="BG72" i="128" s="1"/>
  <c r="BE64" i="128"/>
  <c r="BF64" i="128" s="1"/>
  <c r="BG64" i="128" s="1"/>
  <c r="BE101" i="128"/>
  <c r="BF101" i="128" s="1"/>
  <c r="BG101" i="128" s="1"/>
  <c r="BE97" i="128"/>
  <c r="BF97" i="128" s="1"/>
  <c r="BG97" i="128" s="1"/>
  <c r="BE93" i="128"/>
  <c r="BF93" i="128" s="1"/>
  <c r="BG93" i="128" s="1"/>
  <c r="BE89" i="128"/>
  <c r="BF89" i="128" s="1"/>
  <c r="BG89" i="128" s="1"/>
  <c r="BE85" i="128"/>
  <c r="BF85" i="128" s="1"/>
  <c r="BG85" i="128" s="1"/>
  <c r="BE81" i="128"/>
  <c r="BF81" i="128" s="1"/>
  <c r="BG81" i="128" s="1"/>
  <c r="BE77" i="128"/>
  <c r="BF77" i="128" s="1"/>
  <c r="BG77" i="128" s="1"/>
  <c r="BE73" i="128"/>
  <c r="BF73" i="128" s="1"/>
  <c r="BG73" i="128" s="1"/>
  <c r="BE69" i="128"/>
  <c r="BF69" i="128" s="1"/>
  <c r="BG69" i="128" s="1"/>
  <c r="BE65" i="128"/>
  <c r="BF65" i="128" s="1"/>
  <c r="BG65" i="128" s="1"/>
  <c r="BE61" i="128"/>
  <c r="BF61" i="128" s="1"/>
  <c r="BG61" i="128" s="1"/>
  <c r="AB107" i="138" l="1"/>
  <c r="AA108" i="138" s="1"/>
  <c r="AC107" i="138"/>
  <c r="J142" i="138"/>
  <c r="I143" i="138" s="1"/>
  <c r="K142" i="138"/>
  <c r="AG83" i="132"/>
  <c r="AG50" i="132"/>
  <c r="AH50" i="132" s="1"/>
  <c r="AG95" i="132"/>
  <c r="AH95" i="132" s="1"/>
  <c r="AG72" i="132"/>
  <c r="AH72" i="132" s="1"/>
  <c r="AG67" i="132"/>
  <c r="AH67" i="132" s="1"/>
  <c r="AG49" i="132"/>
  <c r="AH49" i="132" s="1"/>
  <c r="BJ63" i="128"/>
  <c r="BJ71" i="128"/>
  <c r="BJ79" i="128"/>
  <c r="BJ87" i="128"/>
  <c r="BJ95" i="128"/>
  <c r="BJ60" i="128"/>
  <c r="BJ76" i="128"/>
  <c r="BJ92" i="128"/>
  <c r="AC142" i="138"/>
  <c r="AB142" i="138"/>
  <c r="AA143" i="138" s="1"/>
  <c r="K108" i="138"/>
  <c r="J108" i="138"/>
  <c r="I109" i="138" s="1"/>
  <c r="M178" i="138"/>
  <c r="L179" i="138" s="1"/>
  <c r="N178" i="138"/>
  <c r="AE75" i="132"/>
  <c r="Q294" i="105" s="1"/>
  <c r="Q295" i="105" s="1"/>
  <c r="Q296" i="105" s="1"/>
  <c r="AG80" i="132"/>
  <c r="AH80" i="132" s="1"/>
  <c r="AG73" i="132"/>
  <c r="AH73" i="132" s="1"/>
  <c r="AJ73" i="132" s="1"/>
  <c r="AK73" i="132" s="1"/>
  <c r="AM73" i="132" s="1"/>
  <c r="AN73" i="132" s="1"/>
  <c r="AG59" i="132"/>
  <c r="AH59" i="132" s="1"/>
  <c r="AG93" i="132"/>
  <c r="AH93" i="132" s="1"/>
  <c r="AJ93" i="132" s="1"/>
  <c r="AK93" i="132" s="1"/>
  <c r="AM93" i="132" s="1"/>
  <c r="AN93" i="132" s="1"/>
  <c r="AG88" i="132"/>
  <c r="AH88" i="132" s="1"/>
  <c r="AG70" i="132"/>
  <c r="AH70" i="132" s="1"/>
  <c r="AG65" i="132"/>
  <c r="AH65" i="132" s="1"/>
  <c r="AG60" i="132"/>
  <c r="AH60" i="132" s="1"/>
  <c r="AJ60" i="132" s="1"/>
  <c r="AK60" i="132" s="1"/>
  <c r="AM60" i="132" s="1"/>
  <c r="AN60" i="132" s="1"/>
  <c r="AK91" i="128"/>
  <c r="AL91" i="128" s="1"/>
  <c r="AK87" i="128"/>
  <c r="AL87" i="128" s="1"/>
  <c r="AK83" i="128"/>
  <c r="AL83" i="128" s="1"/>
  <c r="AK67" i="128"/>
  <c r="AL67" i="128" s="1"/>
  <c r="AK63" i="128"/>
  <c r="AL63" i="128" s="1"/>
  <c r="AK100" i="128"/>
  <c r="AL100" i="128" s="1"/>
  <c r="AK76" i="128"/>
  <c r="AL76" i="128" s="1"/>
  <c r="AK80" i="128"/>
  <c r="AL80" i="128" s="1"/>
  <c r="AK97" i="128"/>
  <c r="AL97" i="128" s="1"/>
  <c r="AK93" i="128"/>
  <c r="AL93" i="128" s="1"/>
  <c r="AK89" i="128"/>
  <c r="AL89" i="128" s="1"/>
  <c r="AK73" i="128"/>
  <c r="AL73" i="128" s="1"/>
  <c r="AK69" i="128"/>
  <c r="AL69" i="128" s="1"/>
  <c r="AK65" i="128"/>
  <c r="AL65" i="128" s="1"/>
  <c r="AK98" i="128"/>
  <c r="AL98" i="128" s="1"/>
  <c r="AK72" i="128"/>
  <c r="AL72" i="128" s="1"/>
  <c r="AK94" i="128"/>
  <c r="AL94" i="128" s="1"/>
  <c r="AK70" i="128"/>
  <c r="AL70" i="128" s="1"/>
  <c r="AK99" i="128"/>
  <c r="AL99" i="128" s="1"/>
  <c r="AK95" i="128"/>
  <c r="AL95" i="128" s="1"/>
  <c r="AK79" i="128"/>
  <c r="AL79" i="128" s="1"/>
  <c r="AK75" i="128"/>
  <c r="AL75" i="128" s="1"/>
  <c r="AK71" i="128"/>
  <c r="AL71" i="128" s="1"/>
  <c r="AK64" i="128"/>
  <c r="AL64" i="128" s="1"/>
  <c r="AK88" i="128"/>
  <c r="AL88" i="128" s="1"/>
  <c r="AK92" i="128"/>
  <c r="AL92" i="128" s="1"/>
  <c r="AK68" i="128"/>
  <c r="AL68" i="128" s="1"/>
  <c r="AK101" i="128"/>
  <c r="AL101" i="128" s="1"/>
  <c r="AK85" i="128"/>
  <c r="AL85" i="128" s="1"/>
  <c r="AK81" i="128"/>
  <c r="AL81" i="128" s="1"/>
  <c r="AK77" i="128"/>
  <c r="AL77" i="128" s="1"/>
  <c r="AK61" i="128"/>
  <c r="AL61" i="128" s="1"/>
  <c r="AK86" i="128"/>
  <c r="AL86" i="128" s="1"/>
  <c r="AK84" i="128"/>
  <c r="AL84" i="128" s="1"/>
  <c r="AK62" i="128"/>
  <c r="AL62" i="128" s="1"/>
  <c r="AK82" i="128"/>
  <c r="AL82" i="128" s="1"/>
  <c r="BI65" i="128"/>
  <c r="BJ65" i="128" s="1"/>
  <c r="BI81" i="128"/>
  <c r="BJ81" i="128" s="1"/>
  <c r="BI97" i="128"/>
  <c r="BJ97" i="128" s="1"/>
  <c r="BI80" i="128"/>
  <c r="BJ80" i="128" s="1"/>
  <c r="BI70" i="128"/>
  <c r="BJ70" i="128" s="1"/>
  <c r="BI61" i="128"/>
  <c r="BJ61" i="128" s="1"/>
  <c r="BI69" i="128"/>
  <c r="BJ69" i="128" s="1"/>
  <c r="BI77" i="128"/>
  <c r="BJ77" i="128" s="1"/>
  <c r="BI85" i="128"/>
  <c r="BJ85" i="128" s="1"/>
  <c r="BI93" i="128"/>
  <c r="BJ93" i="128" s="1"/>
  <c r="BI101" i="128"/>
  <c r="BJ101" i="128" s="1"/>
  <c r="BI72" i="128"/>
  <c r="BJ72" i="128" s="1"/>
  <c r="BI88" i="128"/>
  <c r="BJ88" i="128" s="1"/>
  <c r="BI62" i="128"/>
  <c r="BJ62" i="128" s="1"/>
  <c r="BI78" i="128"/>
  <c r="BJ78" i="128" s="1"/>
  <c r="BI94" i="128"/>
  <c r="BJ94" i="128" s="1"/>
  <c r="O175" i="133"/>
  <c r="O177" i="133" s="1"/>
  <c r="P306" i="105"/>
  <c r="P307" i="105" s="1"/>
  <c r="AD98" i="132"/>
  <c r="P296" i="105"/>
  <c r="BI74" i="128"/>
  <c r="BJ74" i="128" s="1"/>
  <c r="BI90" i="128"/>
  <c r="BJ90" i="128" s="1"/>
  <c r="L139" i="133"/>
  <c r="N279" i="107" s="1"/>
  <c r="K161" i="132"/>
  <c r="L160" i="132"/>
  <c r="M160" i="132" s="1"/>
  <c r="L310" i="132"/>
  <c r="M310" i="132" s="1"/>
  <c r="K311" i="132"/>
  <c r="K176" i="132"/>
  <c r="L175" i="132"/>
  <c r="M175" i="132" s="1"/>
  <c r="L185" i="132"/>
  <c r="M185" i="132" s="1"/>
  <c r="K186" i="132"/>
  <c r="K196" i="132"/>
  <c r="L195" i="132"/>
  <c r="M195" i="132" s="1"/>
  <c r="K206" i="132"/>
  <c r="L205" i="132"/>
  <c r="M205" i="132" s="1"/>
  <c r="L215" i="132"/>
  <c r="M215" i="132" s="1"/>
  <c r="K216" i="132"/>
  <c r="K226" i="132"/>
  <c r="L225" i="132"/>
  <c r="M225" i="132" s="1"/>
  <c r="K236" i="132"/>
  <c r="L235" i="132"/>
  <c r="M235" i="132" s="1"/>
  <c r="L245" i="132"/>
  <c r="M245" i="132" s="1"/>
  <c r="K246" i="132"/>
  <c r="K256" i="132"/>
  <c r="L255" i="132"/>
  <c r="M255" i="132" s="1"/>
  <c r="K266" i="132"/>
  <c r="L265" i="132"/>
  <c r="M265" i="132" s="1"/>
  <c r="L275" i="132"/>
  <c r="M275" i="132" s="1"/>
  <c r="K276" i="132"/>
  <c r="K286" i="132"/>
  <c r="L285" i="132"/>
  <c r="M285" i="132" s="1"/>
  <c r="K296" i="132"/>
  <c r="L295" i="132"/>
  <c r="M295" i="132" s="1"/>
  <c r="L305" i="132"/>
  <c r="M305" i="132" s="1"/>
  <c r="K306" i="132"/>
  <c r="K321" i="132"/>
  <c r="L320" i="132"/>
  <c r="M320" i="132" s="1"/>
  <c r="K331" i="132"/>
  <c r="L330" i="132"/>
  <c r="M330" i="132" s="1"/>
  <c r="L340" i="132"/>
  <c r="M340" i="132" s="1"/>
  <c r="K341" i="132"/>
  <c r="K351" i="132"/>
  <c r="L350" i="132"/>
  <c r="M350" i="132" s="1"/>
  <c r="O54" i="133"/>
  <c r="N55" i="133"/>
  <c r="M460" i="105" s="1"/>
  <c r="AT291" i="138"/>
  <c r="O47" i="138"/>
  <c r="O49" i="138" s="1"/>
  <c r="O46" i="138"/>
  <c r="O65" i="138"/>
  <c r="F483" i="105"/>
  <c r="G484" i="105"/>
  <c r="P179" i="138"/>
  <c r="O180" i="138" s="1"/>
  <c r="Q179" i="138"/>
  <c r="G428" i="131"/>
  <c r="D31" i="128"/>
  <c r="D25" i="128"/>
  <c r="G426" i="131" s="1"/>
  <c r="G434" i="131" s="1"/>
  <c r="G427" i="131"/>
  <c r="D30" i="128"/>
  <c r="D33" i="128" s="1"/>
  <c r="L155" i="132"/>
  <c r="M155" i="132" s="1"/>
  <c r="K156" i="132"/>
  <c r="K166" i="132"/>
  <c r="L165" i="132"/>
  <c r="M165" i="132" s="1"/>
  <c r="K171" i="132"/>
  <c r="L170" i="132"/>
  <c r="M170" i="132" s="1"/>
  <c r="K181" i="132"/>
  <c r="L180" i="132"/>
  <c r="M180" i="132" s="1"/>
  <c r="K191" i="132"/>
  <c r="L190" i="132"/>
  <c r="M190" i="132" s="1"/>
  <c r="K201" i="132"/>
  <c r="L200" i="132"/>
  <c r="M200" i="132" s="1"/>
  <c r="K211" i="132"/>
  <c r="L210" i="132"/>
  <c r="M210" i="132" s="1"/>
  <c r="L220" i="132"/>
  <c r="M220" i="132" s="1"/>
  <c r="K221" i="132"/>
  <c r="K231" i="132"/>
  <c r="L230" i="132"/>
  <c r="M230" i="132" s="1"/>
  <c r="K241" i="132"/>
  <c r="L240" i="132"/>
  <c r="M240" i="132" s="1"/>
  <c r="L250" i="132"/>
  <c r="M250" i="132" s="1"/>
  <c r="K251" i="132"/>
  <c r="K261" i="132"/>
  <c r="L260" i="132"/>
  <c r="M260" i="132" s="1"/>
  <c r="K271" i="132"/>
  <c r="L270" i="132"/>
  <c r="M270" i="132" s="1"/>
  <c r="L280" i="132"/>
  <c r="M280" i="132" s="1"/>
  <c r="K281" i="132"/>
  <c r="K291" i="132"/>
  <c r="L290" i="132"/>
  <c r="M290" i="132" s="1"/>
  <c r="K301" i="132"/>
  <c r="L300" i="132"/>
  <c r="M300" i="132" s="1"/>
  <c r="M495" i="105"/>
  <c r="O130" i="133"/>
  <c r="AE108" i="138"/>
  <c r="AD109" i="138" s="1"/>
  <c r="AF108" i="138"/>
  <c r="V108" i="138"/>
  <c r="U109" i="138" s="1"/>
  <c r="W108" i="138"/>
  <c r="AH83" i="132"/>
  <c r="E326" i="148"/>
  <c r="Y179" i="138"/>
  <c r="X180" i="138" s="1"/>
  <c r="Z179" i="138"/>
  <c r="K361" i="132"/>
  <c r="L360" i="132"/>
  <c r="M360" i="132" s="1"/>
  <c r="P50" i="133"/>
  <c r="P51" i="133" s="1"/>
  <c r="S25" i="138"/>
  <c r="P106" i="138"/>
  <c r="O107" i="138" s="1"/>
  <c r="Q106" i="138"/>
  <c r="J449" i="105"/>
  <c r="I448" i="105"/>
  <c r="I434" i="105" s="1"/>
  <c r="P15" i="128"/>
  <c r="AE102" i="128"/>
  <c r="AG60" i="128"/>
  <c r="AG102" i="128" s="1"/>
  <c r="E22" i="128" s="1"/>
  <c r="E23" i="128" s="1"/>
  <c r="M310" i="105"/>
  <c r="K316" i="132"/>
  <c r="L315" i="132"/>
  <c r="M315" i="132" s="1"/>
  <c r="K326" i="132"/>
  <c r="L325" i="132"/>
  <c r="M325" i="132" s="1"/>
  <c r="L335" i="132"/>
  <c r="M335" i="132" s="1"/>
  <c r="K336" i="132"/>
  <c r="K346" i="132"/>
  <c r="L345" i="132"/>
  <c r="M345" i="132" s="1"/>
  <c r="K356" i="132"/>
  <c r="L355" i="132"/>
  <c r="M355" i="132" s="1"/>
  <c r="N175" i="133"/>
  <c r="O436" i="105"/>
  <c r="M143" i="138"/>
  <c r="L144" i="138" s="1"/>
  <c r="N143" i="138"/>
  <c r="AS291" i="138"/>
  <c r="AS289" i="138"/>
  <c r="AS290" i="138" s="1"/>
  <c r="AT289" i="138" s="1"/>
  <c r="AT290" i="138" s="1"/>
  <c r="H232" i="133"/>
  <c r="G68" i="138" s="1"/>
  <c r="G69" i="138" s="1"/>
  <c r="H239" i="133"/>
  <c r="AC181" i="138"/>
  <c r="AC182" i="138" s="1"/>
  <c r="AB181" i="138"/>
  <c r="M107" i="138"/>
  <c r="L108" i="138" s="1"/>
  <c r="N107" i="138"/>
  <c r="I184" i="133"/>
  <c r="N17" i="128"/>
  <c r="N447" i="105" s="1"/>
  <c r="N440" i="105" s="1"/>
  <c r="P13" i="138"/>
  <c r="M12" i="138"/>
  <c r="AE96" i="132"/>
  <c r="AE82" i="132"/>
  <c r="Q298" i="105" s="1"/>
  <c r="Q299" i="105" s="1"/>
  <c r="Q300" i="105" s="1"/>
  <c r="AE68" i="132"/>
  <c r="Q290" i="105" s="1"/>
  <c r="Q291" i="105" s="1"/>
  <c r="Q292" i="105" s="1"/>
  <c r="AE61" i="132"/>
  <c r="Q286" i="105" s="1"/>
  <c r="Q287" i="105" s="1"/>
  <c r="Q288" i="105" s="1"/>
  <c r="AE54" i="132"/>
  <c r="Q282" i="105" s="1"/>
  <c r="Q283" i="105" s="1"/>
  <c r="Q284" i="105" s="1"/>
  <c r="M18" i="128"/>
  <c r="AE89" i="132"/>
  <c r="Q302" i="105" s="1"/>
  <c r="Q303" i="105" s="1"/>
  <c r="Q304" i="105" s="1"/>
  <c r="AG94" i="132"/>
  <c r="AH94" i="132" s="1"/>
  <c r="AG87" i="132"/>
  <c r="AH87" i="132" s="1"/>
  <c r="AG66" i="132"/>
  <c r="AH66" i="132" s="1"/>
  <c r="AG52" i="132"/>
  <c r="AH52" i="132" s="1"/>
  <c r="AG84" i="132"/>
  <c r="AH84" i="132" s="1"/>
  <c r="AG79" i="132"/>
  <c r="AH79" i="132" s="1"/>
  <c r="AG74" i="132"/>
  <c r="AH74" i="132" s="1"/>
  <c r="AG56" i="132"/>
  <c r="AH56" i="132" s="1"/>
  <c r="AG51" i="132"/>
  <c r="AH51" i="132" s="1"/>
  <c r="BI73" i="128"/>
  <c r="BJ73" i="128" s="1"/>
  <c r="BI89" i="128"/>
  <c r="BJ89" i="128" s="1"/>
  <c r="BI64" i="128"/>
  <c r="BJ64" i="128" s="1"/>
  <c r="BI96" i="128"/>
  <c r="BJ96" i="128" s="1"/>
  <c r="BI86" i="128"/>
  <c r="BJ86" i="128" s="1"/>
  <c r="J183" i="133"/>
  <c r="J185" i="133" s="1"/>
  <c r="BI66" i="128"/>
  <c r="BJ66" i="128" s="1"/>
  <c r="BI82" i="128"/>
  <c r="BJ82" i="128" s="1"/>
  <c r="BI98" i="128"/>
  <c r="BJ98" i="128" s="1"/>
  <c r="G106" i="138"/>
  <c r="F107" i="138" s="1"/>
  <c r="H106" i="138"/>
  <c r="J161" i="132"/>
  <c r="BJ163" i="132"/>
  <c r="I162" i="132"/>
  <c r="I312" i="132"/>
  <c r="J311" i="132"/>
  <c r="BJ312" i="132"/>
  <c r="I177" i="132"/>
  <c r="J176" i="132"/>
  <c r="BJ177" i="132"/>
  <c r="I187" i="132"/>
  <c r="J186" i="132"/>
  <c r="BJ187" i="132"/>
  <c r="I197" i="132"/>
  <c r="J196" i="132"/>
  <c r="BJ197" i="132"/>
  <c r="I207" i="132"/>
  <c r="J206" i="132"/>
  <c r="BJ207" i="132"/>
  <c r="I217" i="132"/>
  <c r="J216" i="132"/>
  <c r="BJ217" i="132"/>
  <c r="I227" i="132"/>
  <c r="J226" i="132"/>
  <c r="BJ227" i="132"/>
  <c r="I237" i="132"/>
  <c r="J236" i="132"/>
  <c r="BJ237" i="132"/>
  <c r="I247" i="132"/>
  <c r="J246" i="132"/>
  <c r="BJ248" i="132"/>
  <c r="I257" i="132"/>
  <c r="J256" i="132"/>
  <c r="BJ257" i="132"/>
  <c r="I267" i="132"/>
  <c r="J266" i="132"/>
  <c r="BJ267" i="132"/>
  <c r="I277" i="132"/>
  <c r="J276" i="132"/>
  <c r="BJ277" i="132"/>
  <c r="I287" i="132"/>
  <c r="J286" i="132"/>
  <c r="BJ287" i="132"/>
  <c r="I297" i="132"/>
  <c r="J296" i="132"/>
  <c r="BJ297" i="132"/>
  <c r="I307" i="132"/>
  <c r="J306" i="132"/>
  <c r="BJ307" i="132"/>
  <c r="I322" i="132"/>
  <c r="J321" i="132"/>
  <c r="BJ322" i="132"/>
  <c r="I332" i="132"/>
  <c r="J331" i="132"/>
  <c r="BJ333" i="132"/>
  <c r="I342" i="132"/>
  <c r="J341" i="132"/>
  <c r="BJ342" i="132"/>
  <c r="I352" i="132"/>
  <c r="J351" i="132"/>
  <c r="BJ352" i="132"/>
  <c r="S179" i="138"/>
  <c r="R180" i="138" s="1"/>
  <c r="T179" i="138"/>
  <c r="AE143" i="138"/>
  <c r="AD144" i="138" s="1"/>
  <c r="AF143" i="138"/>
  <c r="Y143" i="138"/>
  <c r="X144" i="138" s="1"/>
  <c r="Z143" i="138"/>
  <c r="O5" i="138"/>
  <c r="O7" i="138" s="1"/>
  <c r="AT320" i="138"/>
  <c r="M50" i="138"/>
  <c r="M48" i="138"/>
  <c r="M52" i="138" s="1"/>
  <c r="V10" i="138"/>
  <c r="H25" i="138" s="1"/>
  <c r="H486" i="105" s="1"/>
  <c r="AN318" i="138"/>
  <c r="AE179" i="138"/>
  <c r="AD180" i="138" s="1"/>
  <c r="AF179" i="138"/>
  <c r="K181" i="133"/>
  <c r="O14" i="128"/>
  <c r="R437" i="131"/>
  <c r="P7" i="128"/>
  <c r="P14" i="128" s="1"/>
  <c r="F20" i="105"/>
  <c r="H25" i="162"/>
  <c r="D178" i="138"/>
  <c r="C179" i="138" s="1"/>
  <c r="E178" i="138"/>
  <c r="J156" i="132"/>
  <c r="BJ157" i="132"/>
  <c r="I157" i="132"/>
  <c r="J166" i="132"/>
  <c r="BJ167" i="132"/>
  <c r="I167" i="132"/>
  <c r="J171" i="132"/>
  <c r="BJ172" i="132"/>
  <c r="I172" i="132"/>
  <c r="BJ182" i="132"/>
  <c r="I182" i="132"/>
  <c r="J181" i="132"/>
  <c r="BJ192" i="132"/>
  <c r="I192" i="132"/>
  <c r="J191" i="132"/>
  <c r="BJ202" i="132"/>
  <c r="I202" i="132"/>
  <c r="J201" i="132"/>
  <c r="BJ212" i="132"/>
  <c r="I212" i="132"/>
  <c r="J211" i="132"/>
  <c r="BJ222" i="132"/>
  <c r="I222" i="132"/>
  <c r="J221" i="132"/>
  <c r="BJ232" i="132"/>
  <c r="I232" i="132"/>
  <c r="J231" i="132"/>
  <c r="BJ242" i="132"/>
  <c r="I242" i="132"/>
  <c r="J241" i="132"/>
  <c r="BJ252" i="132"/>
  <c r="I252" i="132"/>
  <c r="J251" i="132"/>
  <c r="BJ262" i="132"/>
  <c r="I262" i="132"/>
  <c r="J261" i="132"/>
  <c r="BJ272" i="132"/>
  <c r="I272" i="132"/>
  <c r="J271" i="132"/>
  <c r="BJ282" i="132"/>
  <c r="I282" i="132"/>
  <c r="J281" i="132"/>
  <c r="BJ292" i="132"/>
  <c r="I292" i="132"/>
  <c r="J291" i="132"/>
  <c r="BJ302" i="132"/>
  <c r="I302" i="132"/>
  <c r="J301" i="132"/>
  <c r="V179" i="138"/>
  <c r="U180" i="138" s="1"/>
  <c r="W179" i="138"/>
  <c r="D106" i="138"/>
  <c r="C107" i="138" s="1"/>
  <c r="E106" i="138"/>
  <c r="G456" i="105"/>
  <c r="G454" i="105" s="1"/>
  <c r="I32" i="133"/>
  <c r="O9" i="132"/>
  <c r="M34" i="133"/>
  <c r="K455" i="105"/>
  <c r="F21" i="138"/>
  <c r="I140" i="107"/>
  <c r="Q222" i="107"/>
  <c r="Q31" i="214" s="1"/>
  <c r="N43" i="105"/>
  <c r="Q655" i="107"/>
  <c r="L178" i="133"/>
  <c r="S106" i="138"/>
  <c r="R107" i="138" s="1"/>
  <c r="T106" i="138"/>
  <c r="O309" i="105"/>
  <c r="O308" i="105"/>
  <c r="O310" i="105" s="1"/>
  <c r="AK90" i="128"/>
  <c r="AL90" i="128" s="1"/>
  <c r="AK78" i="128"/>
  <c r="AL78" i="128" s="1"/>
  <c r="AK66" i="128"/>
  <c r="AL66" i="128" s="1"/>
  <c r="BK63" i="128"/>
  <c r="BL63" i="128" s="1"/>
  <c r="BK67" i="128"/>
  <c r="BL67" i="128" s="1"/>
  <c r="BK71" i="128"/>
  <c r="BL71" i="128" s="1"/>
  <c r="BK75" i="128"/>
  <c r="BL75" i="128" s="1"/>
  <c r="BK79" i="128"/>
  <c r="BL79" i="128" s="1"/>
  <c r="BK83" i="128"/>
  <c r="BL83" i="128" s="1"/>
  <c r="BK87" i="128"/>
  <c r="BL87" i="128" s="1"/>
  <c r="BK91" i="128"/>
  <c r="BL91" i="128" s="1"/>
  <c r="BK95" i="128"/>
  <c r="BL95" i="128" s="1"/>
  <c r="BK99" i="128"/>
  <c r="BL99" i="128" s="1"/>
  <c r="BK60" i="128"/>
  <c r="BL60" i="128" s="1"/>
  <c r="BK68" i="128"/>
  <c r="BL68" i="128" s="1"/>
  <c r="BK76" i="128"/>
  <c r="BL76" i="128" s="1"/>
  <c r="BK84" i="128"/>
  <c r="BL84" i="128" s="1"/>
  <c r="BK92" i="128"/>
  <c r="BL92" i="128" s="1"/>
  <c r="BK100" i="128"/>
  <c r="BL100" i="128" s="1"/>
  <c r="J361" i="132"/>
  <c r="BJ362" i="132"/>
  <c r="I362" i="132"/>
  <c r="D143" i="138"/>
  <c r="C144" i="138" s="1"/>
  <c r="E143" i="138"/>
  <c r="F96" i="133"/>
  <c r="N49" i="133"/>
  <c r="P247" i="107" s="1"/>
  <c r="M7" i="138"/>
  <c r="X16" i="138"/>
  <c r="J26" i="138" s="1"/>
  <c r="J478" i="105" s="1"/>
  <c r="J477" i="105" s="1"/>
  <c r="J476" i="105" s="1"/>
  <c r="J475" i="105" s="1"/>
  <c r="AP91" i="138"/>
  <c r="H197" i="105"/>
  <c r="F79" i="133"/>
  <c r="F114" i="133" s="1"/>
  <c r="H278" i="107" s="1"/>
  <c r="K179" i="138"/>
  <c r="J179" i="138"/>
  <c r="I180" i="138" s="1"/>
  <c r="AE103" i="128"/>
  <c r="AG96" i="128"/>
  <c r="AG103" i="128" s="1"/>
  <c r="E24" i="128" s="1"/>
  <c r="S102" i="132"/>
  <c r="L490" i="105"/>
  <c r="Y108" i="138"/>
  <c r="X109" i="138" s="1"/>
  <c r="Z108" i="138"/>
  <c r="I317" i="132"/>
  <c r="J316" i="132"/>
  <c r="BJ317" i="132"/>
  <c r="I327" i="132"/>
  <c r="J326" i="132"/>
  <c r="BJ327" i="132"/>
  <c r="I337" i="132"/>
  <c r="J336" i="132"/>
  <c r="BJ337" i="132"/>
  <c r="I347" i="132"/>
  <c r="J346" i="132"/>
  <c r="BJ347" i="132"/>
  <c r="I357" i="132"/>
  <c r="J356" i="132"/>
  <c r="BJ357" i="132"/>
  <c r="AJ91" i="132"/>
  <c r="AK91" i="132" s="1"/>
  <c r="AM91" i="132" s="1"/>
  <c r="AN91" i="132" s="1"/>
  <c r="AJ86" i="132"/>
  <c r="AK86" i="132" s="1"/>
  <c r="AM86" i="132" s="1"/>
  <c r="AN86" i="132" s="1"/>
  <c r="AJ77" i="132"/>
  <c r="AK77" i="132" s="1"/>
  <c r="AM77" i="132" s="1"/>
  <c r="AN77" i="132" s="1"/>
  <c r="AJ81" i="132"/>
  <c r="AK81" i="132" s="1"/>
  <c r="AM81" i="132" s="1"/>
  <c r="AN81" i="132" s="1"/>
  <c r="AJ63" i="132"/>
  <c r="AK63" i="132" s="1"/>
  <c r="AM63" i="132" s="1"/>
  <c r="AN63" i="132" s="1"/>
  <c r="AJ58" i="132"/>
  <c r="AK58" i="132" s="1"/>
  <c r="AM58" i="132" s="1"/>
  <c r="AN58" i="132" s="1"/>
  <c r="AJ53" i="132"/>
  <c r="AK53" i="132" s="1"/>
  <c r="AM53" i="132" s="1"/>
  <c r="AN53" i="132" s="1"/>
  <c r="P173" i="133"/>
  <c r="W171" i="133"/>
  <c r="N47" i="138"/>
  <c r="N49" i="138" s="1"/>
  <c r="N46" i="138"/>
  <c r="N65" i="138"/>
  <c r="AS320" i="138"/>
  <c r="N12" i="138" s="1"/>
  <c r="N5" i="138"/>
  <c r="AS367" i="132"/>
  <c r="ET154" i="132"/>
  <c r="AU154" i="132"/>
  <c r="CT154" i="132"/>
  <c r="J239" i="107"/>
  <c r="AF96" i="132"/>
  <c r="AG90" i="132"/>
  <c r="AJ92" i="132"/>
  <c r="AK92" i="132" s="1"/>
  <c r="AM92" i="132" s="1"/>
  <c r="AN92" i="132" s="1"/>
  <c r="AJ85" i="132"/>
  <c r="AK85" i="132" s="1"/>
  <c r="AM85" i="132" s="1"/>
  <c r="AN85" i="132" s="1"/>
  <c r="AF82" i="132"/>
  <c r="R298" i="105" s="1"/>
  <c r="AG76" i="132"/>
  <c r="AJ78" i="132"/>
  <c r="AK78" i="132" s="1"/>
  <c r="AM78" i="132" s="1"/>
  <c r="AN78" i="132" s="1"/>
  <c r="AF75" i="132"/>
  <c r="R294" i="105" s="1"/>
  <c r="AG69" i="132"/>
  <c r="AJ71" i="132"/>
  <c r="AK71" i="132" s="1"/>
  <c r="AM71" i="132" s="1"/>
  <c r="AN71" i="132" s="1"/>
  <c r="AF68" i="132"/>
  <c r="R290" i="105" s="1"/>
  <c r="AG62" i="132"/>
  <c r="AJ64" i="132"/>
  <c r="AK64" i="132" s="1"/>
  <c r="AM64" i="132" s="1"/>
  <c r="AN64" i="132" s="1"/>
  <c r="AF61" i="132"/>
  <c r="R286" i="105" s="1"/>
  <c r="AG55" i="132"/>
  <c r="AJ57" i="132"/>
  <c r="AK57" i="132" s="1"/>
  <c r="AM57" i="132" s="1"/>
  <c r="AN57" i="132" s="1"/>
  <c r="AF54" i="132"/>
  <c r="R282" i="105" s="1"/>
  <c r="AG48" i="132"/>
  <c r="AJ50" i="132"/>
  <c r="AK50" i="132" s="1"/>
  <c r="AM50" i="132" s="1"/>
  <c r="AN50" i="132" s="1"/>
  <c r="AJ95" i="132"/>
  <c r="AK95" i="132" s="1"/>
  <c r="AM95" i="132" s="1"/>
  <c r="AN95" i="132" s="1"/>
  <c r="AJ72" i="132"/>
  <c r="AK72" i="132" s="1"/>
  <c r="AM72" i="132" s="1"/>
  <c r="AN72" i="132" s="1"/>
  <c r="AJ67" i="132"/>
  <c r="AK67" i="132" s="1"/>
  <c r="AM67" i="132" s="1"/>
  <c r="AN67" i="132" s="1"/>
  <c r="AJ49" i="132"/>
  <c r="AK49" i="132" s="1"/>
  <c r="AM49" i="132" s="1"/>
  <c r="AN49" i="132" s="1"/>
  <c r="P143" i="138"/>
  <c r="O144" i="138" s="1"/>
  <c r="Q143" i="138"/>
  <c r="G143" i="138"/>
  <c r="F144" i="138" s="1"/>
  <c r="H143" i="138"/>
  <c r="H54" i="138"/>
  <c r="G58" i="138"/>
  <c r="G178" i="138"/>
  <c r="F179" i="138" s="1"/>
  <c r="H178" i="138"/>
  <c r="AK74" i="128"/>
  <c r="AL74" i="128" s="1"/>
  <c r="P222" i="107"/>
  <c r="P31" i="214" s="1"/>
  <c r="M43" i="105"/>
  <c r="P655" i="107"/>
  <c r="AJ80" i="132"/>
  <c r="AK80" i="132" s="1"/>
  <c r="AM80" i="132" s="1"/>
  <c r="AN80" i="132" s="1"/>
  <c r="AJ59" i="132"/>
  <c r="AK59" i="132" s="1"/>
  <c r="AM59" i="132" s="1"/>
  <c r="AN59" i="132" s="1"/>
  <c r="AJ88" i="132"/>
  <c r="AK88" i="132" s="1"/>
  <c r="AM88" i="132" s="1"/>
  <c r="AN88" i="132" s="1"/>
  <c r="AJ70" i="132"/>
  <c r="AK70" i="132" s="1"/>
  <c r="AM70" i="132" s="1"/>
  <c r="AN70" i="132" s="1"/>
  <c r="AJ65" i="132"/>
  <c r="AK65" i="132" s="1"/>
  <c r="AM65" i="132" s="1"/>
  <c r="AN65" i="132" s="1"/>
  <c r="H66" i="138"/>
  <c r="G256" i="133"/>
  <c r="I242" i="133"/>
  <c r="H234" i="133"/>
  <c r="H235" i="133" s="1"/>
  <c r="AF89" i="132"/>
  <c r="R302" i="105" s="1"/>
  <c r="J143" i="138" l="1"/>
  <c r="I144" i="138" s="1"/>
  <c r="K143" i="138"/>
  <c r="AB108" i="138"/>
  <c r="AA109" i="138" s="1"/>
  <c r="AC108" i="138"/>
  <c r="N179" i="138"/>
  <c r="M179" i="138"/>
  <c r="L180" i="138" s="1"/>
  <c r="K109" i="138"/>
  <c r="K110" i="138" s="1"/>
  <c r="J109" i="138"/>
  <c r="AB143" i="138"/>
  <c r="AA144" i="138" s="1"/>
  <c r="AC143" i="138"/>
  <c r="O17" i="128"/>
  <c r="O447" i="105" s="1"/>
  <c r="O12" i="138"/>
  <c r="L356" i="132"/>
  <c r="L346" i="132"/>
  <c r="L326" i="132"/>
  <c r="BN327" i="132" s="1"/>
  <c r="L316" i="132"/>
  <c r="L361" i="132"/>
  <c r="L301" i="132"/>
  <c r="L291" i="132"/>
  <c r="M292" i="132" s="1"/>
  <c r="M293" i="132" s="1"/>
  <c r="L271" i="132"/>
  <c r="L261" i="132"/>
  <c r="L241" i="132"/>
  <c r="L231" i="132"/>
  <c r="M232" i="132" s="1"/>
  <c r="M233" i="132" s="1"/>
  <c r="L211" i="132"/>
  <c r="L201" i="132"/>
  <c r="L191" i="132"/>
  <c r="L181" i="132"/>
  <c r="M182" i="132" s="1"/>
  <c r="M183" i="132" s="1"/>
  <c r="L171" i="132"/>
  <c r="L166" i="132"/>
  <c r="L341" i="132"/>
  <c r="L306" i="132"/>
  <c r="M307" i="132" s="1"/>
  <c r="M308" i="132" s="1"/>
  <c r="L276" i="132"/>
  <c r="L246" i="132"/>
  <c r="L216" i="132"/>
  <c r="L186" i="132"/>
  <c r="M187" i="132" s="1"/>
  <c r="M188" i="132" s="1"/>
  <c r="L311" i="132"/>
  <c r="BK74" i="128"/>
  <c r="BL74" i="128" s="1"/>
  <c r="BK78" i="128"/>
  <c r="BL78" i="128" s="1"/>
  <c r="BK88" i="128"/>
  <c r="BL88" i="128" s="1"/>
  <c r="BK101" i="128"/>
  <c r="BL101" i="128" s="1"/>
  <c r="BK85" i="128"/>
  <c r="BL85" i="128" s="1"/>
  <c r="BK69" i="128"/>
  <c r="BL69" i="128" s="1"/>
  <c r="BK70" i="128"/>
  <c r="BL70" i="128" s="1"/>
  <c r="BK97" i="128"/>
  <c r="BL97" i="128" s="1"/>
  <c r="BK65" i="128"/>
  <c r="BL65" i="128" s="1"/>
  <c r="AM94" i="128"/>
  <c r="AN94" i="128" s="1"/>
  <c r="AM98" i="128"/>
  <c r="AN98" i="128" s="1"/>
  <c r="AM69" i="128"/>
  <c r="AN69" i="128" s="1"/>
  <c r="AM89" i="128"/>
  <c r="AN89" i="128" s="1"/>
  <c r="AM97" i="128"/>
  <c r="AN97" i="128" s="1"/>
  <c r="AM76" i="128"/>
  <c r="AN76" i="128" s="1"/>
  <c r="AM63" i="128"/>
  <c r="AN63" i="128" s="1"/>
  <c r="AM83" i="128"/>
  <c r="AN83" i="128" s="1"/>
  <c r="AM91" i="128"/>
  <c r="AN91" i="128" s="1"/>
  <c r="BK90" i="128"/>
  <c r="BL90" i="128" s="1"/>
  <c r="BK94" i="128"/>
  <c r="BL94" i="128" s="1"/>
  <c r="BK62" i="128"/>
  <c r="BL62" i="128" s="1"/>
  <c r="BK72" i="128"/>
  <c r="BL72" i="128" s="1"/>
  <c r="BK93" i="128"/>
  <c r="BL93" i="128" s="1"/>
  <c r="BK77" i="128"/>
  <c r="BL77" i="128" s="1"/>
  <c r="BK61" i="128"/>
  <c r="BL61" i="128" s="1"/>
  <c r="BK80" i="128"/>
  <c r="BL80" i="128" s="1"/>
  <c r="BK81" i="128"/>
  <c r="BL81" i="128" s="1"/>
  <c r="AM70" i="128"/>
  <c r="AN70" i="128" s="1"/>
  <c r="AM72" i="128"/>
  <c r="AN72" i="128" s="1"/>
  <c r="AM65" i="128"/>
  <c r="AN65" i="128" s="1"/>
  <c r="AM73" i="128"/>
  <c r="AN73" i="128" s="1"/>
  <c r="AM93" i="128"/>
  <c r="AN93" i="128" s="1"/>
  <c r="AM80" i="128"/>
  <c r="AN80" i="128" s="1"/>
  <c r="AM100" i="128"/>
  <c r="AN100" i="128" s="1"/>
  <c r="AM67" i="128"/>
  <c r="AN67" i="128" s="1"/>
  <c r="AM87" i="128"/>
  <c r="AN87" i="128" s="1"/>
  <c r="R303" i="105"/>
  <c r="F302" i="105"/>
  <c r="H57" i="138"/>
  <c r="K32" i="219"/>
  <c r="R287" i="105"/>
  <c r="F286" i="105"/>
  <c r="R299" i="105"/>
  <c r="F298" i="105"/>
  <c r="R306" i="105"/>
  <c r="AF98" i="132"/>
  <c r="J8" i="219"/>
  <c r="H30" i="133"/>
  <c r="AW154" i="132"/>
  <c r="CV154" i="132"/>
  <c r="EV154" i="132"/>
  <c r="AU367" i="132"/>
  <c r="O49" i="133"/>
  <c r="Q247" i="107" s="1"/>
  <c r="N7" i="138"/>
  <c r="P174" i="133"/>
  <c r="W173" i="133"/>
  <c r="F219" i="133"/>
  <c r="BL357" i="132"/>
  <c r="K357" i="132"/>
  <c r="K358" i="132" s="1"/>
  <c r="I348" i="132"/>
  <c r="K337" i="132"/>
  <c r="K338" i="132" s="1"/>
  <c r="BL337" i="132"/>
  <c r="I328" i="132"/>
  <c r="BL317" i="132"/>
  <c r="K317" i="132"/>
  <c r="K318" i="132" s="1"/>
  <c r="E31" i="128"/>
  <c r="H428" i="131"/>
  <c r="H24" i="219"/>
  <c r="H256" i="107"/>
  <c r="I363" i="132"/>
  <c r="K362" i="132"/>
  <c r="K363" i="132" s="1"/>
  <c r="BL362" i="132"/>
  <c r="BM100" i="128"/>
  <c r="BN100" i="128" s="1"/>
  <c r="BM92" i="128"/>
  <c r="BN92" i="128" s="1"/>
  <c r="BM84" i="128"/>
  <c r="BN84" i="128" s="1"/>
  <c r="BM76" i="128"/>
  <c r="BN76" i="128" s="1"/>
  <c r="BM68" i="128"/>
  <c r="BN68" i="128" s="1"/>
  <c r="BM60" i="128"/>
  <c r="BN60" i="128" s="1"/>
  <c r="BM99" i="128"/>
  <c r="BN99" i="128" s="1"/>
  <c r="BM95" i="128"/>
  <c r="BN95" i="128" s="1"/>
  <c r="BM91" i="128"/>
  <c r="BN91" i="128" s="1"/>
  <c r="BM87" i="128"/>
  <c r="BN87" i="128" s="1"/>
  <c r="BM83" i="128"/>
  <c r="BN83" i="128" s="1"/>
  <c r="BM79" i="128"/>
  <c r="BN79" i="128" s="1"/>
  <c r="BM75" i="128"/>
  <c r="BN75" i="128" s="1"/>
  <c r="BM71" i="128"/>
  <c r="BN71" i="128" s="1"/>
  <c r="BM67" i="128"/>
  <c r="BN67" i="128" s="1"/>
  <c r="BM63" i="128"/>
  <c r="BN63" i="128" s="1"/>
  <c r="AM66" i="128"/>
  <c r="AN66" i="128" s="1"/>
  <c r="AM78" i="128"/>
  <c r="AN78" i="128" s="1"/>
  <c r="AM90" i="128"/>
  <c r="AN90" i="128" s="1"/>
  <c r="S107" i="138"/>
  <c r="R108" i="138" s="1"/>
  <c r="T107" i="138"/>
  <c r="I138" i="107"/>
  <c r="N34" i="133"/>
  <c r="L455" i="105"/>
  <c r="P9" i="132"/>
  <c r="H456" i="105"/>
  <c r="H454" i="105" s="1"/>
  <c r="J32" i="133"/>
  <c r="BL302" i="132"/>
  <c r="K302" i="132"/>
  <c r="K303" i="132" s="1"/>
  <c r="I293" i="132"/>
  <c r="K282" i="132"/>
  <c r="K283" i="132" s="1"/>
  <c r="BL282" i="132"/>
  <c r="I273" i="132"/>
  <c r="BL262" i="132"/>
  <c r="K262" i="132"/>
  <c r="K263" i="132" s="1"/>
  <c r="I253" i="132"/>
  <c r="BL242" i="132"/>
  <c r="K242" i="132"/>
  <c r="K243" i="132" s="1"/>
  <c r="I233" i="132"/>
  <c r="K222" i="132"/>
  <c r="K223" i="132" s="1"/>
  <c r="BL222" i="132"/>
  <c r="I213" i="132"/>
  <c r="BL202" i="132"/>
  <c r="K202" i="132"/>
  <c r="K203" i="132" s="1"/>
  <c r="I193" i="132"/>
  <c r="K182" i="132"/>
  <c r="K183" i="132" s="1"/>
  <c r="BL182" i="132"/>
  <c r="I168" i="132"/>
  <c r="K167" i="132"/>
  <c r="K168" i="132" s="1"/>
  <c r="BL167" i="132"/>
  <c r="I369" i="132"/>
  <c r="H26" i="162"/>
  <c r="K182" i="133"/>
  <c r="AE180" i="138"/>
  <c r="AD181" i="138" s="1"/>
  <c r="AF180" i="138"/>
  <c r="P12" i="138"/>
  <c r="I353" i="132"/>
  <c r="K342" i="132"/>
  <c r="K343" i="132" s="1"/>
  <c r="BL342" i="132"/>
  <c r="I333" i="132"/>
  <c r="BL322" i="132"/>
  <c r="K322" i="132"/>
  <c r="K323" i="132" s="1"/>
  <c r="I308" i="132"/>
  <c r="BL297" i="132"/>
  <c r="K297" i="132"/>
  <c r="K298" i="132" s="1"/>
  <c r="I288" i="132"/>
  <c r="K277" i="132"/>
  <c r="K278" i="132" s="1"/>
  <c r="BL277" i="132"/>
  <c r="I268" i="132"/>
  <c r="BL257" i="132"/>
  <c r="K257" i="132"/>
  <c r="K258" i="132" s="1"/>
  <c r="I248" i="132"/>
  <c r="BL237" i="132"/>
  <c r="K237" i="132"/>
  <c r="K238" i="132" s="1"/>
  <c r="I228" i="132"/>
  <c r="K217" i="132"/>
  <c r="K218" i="132" s="1"/>
  <c r="BL217" i="132"/>
  <c r="I208" i="132"/>
  <c r="BL197" i="132"/>
  <c r="K197" i="132"/>
  <c r="K198" i="132" s="1"/>
  <c r="I188" i="132"/>
  <c r="BL177" i="132"/>
  <c r="K177" i="132"/>
  <c r="K178" i="132" s="1"/>
  <c r="I313" i="132"/>
  <c r="AJ51" i="132"/>
  <c r="AK51" i="132" s="1"/>
  <c r="AM51" i="132" s="1"/>
  <c r="AN51" i="132" s="1"/>
  <c r="AJ74" i="132"/>
  <c r="AK74" i="132" s="1"/>
  <c r="AM74" i="132" s="1"/>
  <c r="AN74" i="132" s="1"/>
  <c r="AK84" i="132"/>
  <c r="AM84" i="132" s="1"/>
  <c r="AN84" i="132" s="1"/>
  <c r="AJ84" i="132"/>
  <c r="AJ66" i="132"/>
  <c r="AK66" i="132" s="1"/>
  <c r="AM66" i="132" s="1"/>
  <c r="AN66" i="132" s="1"/>
  <c r="AJ94" i="132"/>
  <c r="AK94" i="132" s="1"/>
  <c r="AM94" i="132" s="1"/>
  <c r="AN94" i="132" s="1"/>
  <c r="Q306" i="105"/>
  <c r="Q307" i="105" s="1"/>
  <c r="AE98" i="132"/>
  <c r="I229" i="133"/>
  <c r="W184" i="133"/>
  <c r="H240" i="133"/>
  <c r="H241" i="133"/>
  <c r="G252" i="133" s="1"/>
  <c r="H221" i="133"/>
  <c r="H243" i="133"/>
  <c r="M356" i="132"/>
  <c r="N355" i="132"/>
  <c r="O355" i="132" s="1"/>
  <c r="M346" i="132"/>
  <c r="BN347" i="132" s="1"/>
  <c r="N345" i="132"/>
  <c r="O345" i="132" s="1"/>
  <c r="M326" i="132"/>
  <c r="N325" i="132"/>
  <c r="O325" i="132" s="1"/>
  <c r="M316" i="132"/>
  <c r="M317" i="132" s="1"/>
  <c r="M318" i="132" s="1"/>
  <c r="N315" i="132"/>
  <c r="O315" i="132" s="1"/>
  <c r="H427" i="131"/>
  <c r="E30" i="128"/>
  <c r="E33" i="128" s="1"/>
  <c r="D332" i="148" s="1"/>
  <c r="D325" i="148" s="1"/>
  <c r="E25" i="128"/>
  <c r="H426" i="131" s="1"/>
  <c r="H434" i="131" s="1"/>
  <c r="J448" i="105"/>
  <c r="J434" i="105" s="1"/>
  <c r="K449" i="105"/>
  <c r="P107" i="138"/>
  <c r="O108" i="138" s="1"/>
  <c r="Q107" i="138"/>
  <c r="M361" i="132"/>
  <c r="N360" i="132"/>
  <c r="O360" i="132" s="1"/>
  <c r="F326" i="148"/>
  <c r="AH89" i="132"/>
  <c r="AJ83" i="132"/>
  <c r="AK83" i="132" s="1"/>
  <c r="N495" i="105"/>
  <c r="P130" i="133"/>
  <c r="M301" i="132"/>
  <c r="BN302" i="132" s="1"/>
  <c r="N300" i="132"/>
  <c r="O300" i="132" s="1"/>
  <c r="M291" i="132"/>
  <c r="N290" i="132"/>
  <c r="O290" i="132" s="1"/>
  <c r="M271" i="132"/>
  <c r="M272" i="132" s="1"/>
  <c r="M273" i="132" s="1"/>
  <c r="N270" i="132"/>
  <c r="O270" i="132" s="1"/>
  <c r="M261" i="132"/>
  <c r="N260" i="132"/>
  <c r="O260" i="132" s="1"/>
  <c r="M241" i="132"/>
  <c r="BN242" i="132" s="1"/>
  <c r="N240" i="132"/>
  <c r="O240" i="132" s="1"/>
  <c r="M231" i="132"/>
  <c r="N230" i="132"/>
  <c r="O230" i="132" s="1"/>
  <c r="M211" i="132"/>
  <c r="M212" i="132" s="1"/>
  <c r="M213" i="132" s="1"/>
  <c r="N210" i="132"/>
  <c r="O210" i="132" s="1"/>
  <c r="M201" i="132"/>
  <c r="N200" i="132"/>
  <c r="O200" i="132" s="1"/>
  <c r="M191" i="132"/>
  <c r="M192" i="132" s="1"/>
  <c r="M193" i="132" s="1"/>
  <c r="N190" i="132"/>
  <c r="O190" i="132" s="1"/>
  <c r="M181" i="132"/>
  <c r="N180" i="132"/>
  <c r="O180" i="132" s="1"/>
  <c r="M171" i="132"/>
  <c r="BN172" i="132" s="1"/>
  <c r="N170" i="132"/>
  <c r="O170" i="132" s="1"/>
  <c r="M166" i="132"/>
  <c r="N165" i="132"/>
  <c r="O165" i="132" s="1"/>
  <c r="G483" i="105"/>
  <c r="H484" i="105"/>
  <c r="O55" i="133"/>
  <c r="N460" i="105" s="1"/>
  <c r="P54" i="133"/>
  <c r="P55" i="133" s="1"/>
  <c r="O460" i="105" s="1"/>
  <c r="C345" i="148" s="1"/>
  <c r="M341" i="132"/>
  <c r="M342" i="132" s="1"/>
  <c r="M343" i="132" s="1"/>
  <c r="N340" i="132"/>
  <c r="O340" i="132" s="1"/>
  <c r="N305" i="132"/>
  <c r="O305" i="132" s="1"/>
  <c r="M306" i="132"/>
  <c r="N275" i="132"/>
  <c r="O275" i="132" s="1"/>
  <c r="M276" i="132"/>
  <c r="N245" i="132"/>
  <c r="O245" i="132" s="1"/>
  <c r="M246" i="132"/>
  <c r="N215" i="132"/>
  <c r="O215" i="132" s="1"/>
  <c r="M216" i="132"/>
  <c r="N185" i="132"/>
  <c r="O185" i="132" s="1"/>
  <c r="M186" i="132"/>
  <c r="N310" i="132"/>
  <c r="O310" i="132" s="1"/>
  <c r="M311" i="132"/>
  <c r="P309" i="105"/>
  <c r="P308" i="105"/>
  <c r="P310" i="105" s="1"/>
  <c r="AH96" i="128"/>
  <c r="O16" i="128"/>
  <c r="R133" i="107" s="1"/>
  <c r="M51" i="138"/>
  <c r="L336" i="132"/>
  <c r="AH60" i="128"/>
  <c r="P9" i="128"/>
  <c r="L281" i="132"/>
  <c r="L251" i="132"/>
  <c r="L221" i="132"/>
  <c r="L156" i="132"/>
  <c r="L351" i="132"/>
  <c r="L331" i="132"/>
  <c r="L321" i="132"/>
  <c r="L296" i="132"/>
  <c r="L286" i="132"/>
  <c r="L266" i="132"/>
  <c r="L256" i="132"/>
  <c r="L236" i="132"/>
  <c r="L226" i="132"/>
  <c r="L206" i="132"/>
  <c r="L196" i="132"/>
  <c r="L176" i="132"/>
  <c r="L161" i="132"/>
  <c r="AM74" i="128"/>
  <c r="AN74" i="128" s="1"/>
  <c r="G179" i="138"/>
  <c r="F180" i="138" s="1"/>
  <c r="H179" i="138"/>
  <c r="G144" i="138"/>
  <c r="F145" i="138" s="1"/>
  <c r="H144" i="138"/>
  <c r="P144" i="138"/>
  <c r="O145" i="138" s="1"/>
  <c r="Q144" i="138"/>
  <c r="R283" i="105"/>
  <c r="F282" i="105"/>
  <c r="R291" i="105"/>
  <c r="F290" i="105"/>
  <c r="R295" i="105"/>
  <c r="F294" i="105"/>
  <c r="H67" i="138"/>
  <c r="G59" i="138"/>
  <c r="G19" i="138" s="1"/>
  <c r="J139" i="107" s="1"/>
  <c r="G487" i="105"/>
  <c r="G485" i="105" s="1"/>
  <c r="AG54" i="132"/>
  <c r="AH48" i="132"/>
  <c r="AG61" i="132"/>
  <c r="AH55" i="132"/>
  <c r="AG68" i="132"/>
  <c r="AH62" i="132"/>
  <c r="AG75" i="132"/>
  <c r="AH69" i="132"/>
  <c r="AG82" i="132"/>
  <c r="AH76" i="132"/>
  <c r="AG96" i="132"/>
  <c r="AH90" i="132"/>
  <c r="N50" i="138"/>
  <c r="N48" i="138"/>
  <c r="N52" i="138" s="1"/>
  <c r="I358" i="132"/>
  <c r="BL347" i="132"/>
  <c r="K347" i="132"/>
  <c r="K348" i="132" s="1"/>
  <c r="I338" i="132"/>
  <c r="BL327" i="132"/>
  <c r="K327" i="132"/>
  <c r="K328" i="132" s="1"/>
  <c r="I318" i="132"/>
  <c r="Z109" i="138"/>
  <c r="Z110" i="138" s="1"/>
  <c r="Y109" i="138"/>
  <c r="T102" i="132"/>
  <c r="M490" i="105"/>
  <c r="J180" i="138"/>
  <c r="I181" i="138" s="1"/>
  <c r="K180" i="138"/>
  <c r="AP92" i="138"/>
  <c r="Y15" i="138"/>
  <c r="E144" i="138"/>
  <c r="D144" i="138"/>
  <c r="C145" i="138" s="1"/>
  <c r="M139" i="133"/>
  <c r="O279" i="107" s="1"/>
  <c r="L179" i="133"/>
  <c r="M178" i="133"/>
  <c r="D107" i="138"/>
  <c r="C108" i="138" s="1"/>
  <c r="E107" i="138"/>
  <c r="W180" i="138"/>
  <c r="V180" i="138"/>
  <c r="U181" i="138" s="1"/>
  <c r="I303" i="132"/>
  <c r="BL292" i="132"/>
  <c r="K292" i="132"/>
  <c r="K293" i="132" s="1"/>
  <c r="I283" i="132"/>
  <c r="BL272" i="132"/>
  <c r="K272" i="132"/>
  <c r="K273" i="132" s="1"/>
  <c r="I263" i="132"/>
  <c r="K252" i="132"/>
  <c r="K253" i="132" s="1"/>
  <c r="BL252" i="132"/>
  <c r="I243" i="132"/>
  <c r="BL232" i="132"/>
  <c r="K232" i="132"/>
  <c r="K233" i="132" s="1"/>
  <c r="I223" i="132"/>
  <c r="BL212" i="132"/>
  <c r="K212" i="132"/>
  <c r="K213" i="132" s="1"/>
  <c r="I203" i="132"/>
  <c r="BL192" i="132"/>
  <c r="K192" i="132"/>
  <c r="K193" i="132" s="1"/>
  <c r="I183" i="132"/>
  <c r="I173" i="132"/>
  <c r="BL172" i="132"/>
  <c r="K172" i="132"/>
  <c r="K173" i="132" s="1"/>
  <c r="I158" i="132"/>
  <c r="K157" i="132"/>
  <c r="K158" i="132" s="1"/>
  <c r="BL157" i="132"/>
  <c r="D179" i="138"/>
  <c r="C180" i="138" s="1"/>
  <c r="E179" i="138"/>
  <c r="J115" i="105"/>
  <c r="I95" i="107"/>
  <c r="F21" i="105"/>
  <c r="AN319" i="138"/>
  <c r="W9" i="138"/>
  <c r="P49" i="133"/>
  <c r="R247" i="107" s="1"/>
  <c r="S19" i="138"/>
  <c r="Y144" i="138"/>
  <c r="X145" i="138" s="1"/>
  <c r="Z144" i="138"/>
  <c r="AE144" i="138"/>
  <c r="AD145" i="138" s="1"/>
  <c r="AF144" i="138"/>
  <c r="T180" i="138"/>
  <c r="S180" i="138"/>
  <c r="R181" i="138" s="1"/>
  <c r="BL352" i="132"/>
  <c r="K352" i="132"/>
  <c r="K353" i="132" s="1"/>
  <c r="I343" i="132"/>
  <c r="BL333" i="132"/>
  <c r="K332" i="132"/>
  <c r="K333" i="132" s="1"/>
  <c r="I323" i="132"/>
  <c r="K307" i="132"/>
  <c r="K308" i="132" s="1"/>
  <c r="BL307" i="132"/>
  <c r="I298" i="132"/>
  <c r="BL287" i="132"/>
  <c r="K287" i="132"/>
  <c r="K288" i="132" s="1"/>
  <c r="I278" i="132"/>
  <c r="BL267" i="132"/>
  <c r="K267" i="132"/>
  <c r="K268" i="132" s="1"/>
  <c r="I258" i="132"/>
  <c r="K247" i="132"/>
  <c r="K248" i="132" s="1"/>
  <c r="BL248" i="132"/>
  <c r="I238" i="132"/>
  <c r="BL227" i="132"/>
  <c r="K227" i="132"/>
  <c r="K228" i="132" s="1"/>
  <c r="I218" i="132"/>
  <c r="BL207" i="132"/>
  <c r="K207" i="132"/>
  <c r="K208" i="132" s="1"/>
  <c r="I198" i="132"/>
  <c r="K187" i="132"/>
  <c r="K188" i="132" s="1"/>
  <c r="BL187" i="132"/>
  <c r="I178" i="132"/>
  <c r="K312" i="132"/>
  <c r="K313" i="132" s="1"/>
  <c r="BL312" i="132"/>
  <c r="I163" i="132"/>
  <c r="K162" i="132"/>
  <c r="K163" i="132" s="1"/>
  <c r="BL163" i="132"/>
  <c r="G107" i="138"/>
  <c r="F108" i="138" s="1"/>
  <c r="H107" i="138"/>
  <c r="BK98" i="128"/>
  <c r="BL98" i="128" s="1"/>
  <c r="BK82" i="128"/>
  <c r="BL82" i="128" s="1"/>
  <c r="BK66" i="128"/>
  <c r="BL66" i="128" s="1"/>
  <c r="J186" i="133"/>
  <c r="BK86" i="128"/>
  <c r="BL86" i="128" s="1"/>
  <c r="BK96" i="128"/>
  <c r="BL96" i="128" s="1"/>
  <c r="BK64" i="128"/>
  <c r="BL64" i="128" s="1"/>
  <c r="BK89" i="128"/>
  <c r="BL89" i="128" s="1"/>
  <c r="BK73" i="128"/>
  <c r="BL73" i="128" s="1"/>
  <c r="AJ56" i="132"/>
  <c r="AK56" i="132" s="1"/>
  <c r="AM56" i="132" s="1"/>
  <c r="AN56" i="132" s="1"/>
  <c r="AJ79" i="132"/>
  <c r="AK79" i="132" s="1"/>
  <c r="AM79" i="132" s="1"/>
  <c r="AN79" i="132" s="1"/>
  <c r="AJ52" i="132"/>
  <c r="AK52" i="132" s="1"/>
  <c r="AM52" i="132" s="1"/>
  <c r="AN52" i="132" s="1"/>
  <c r="AJ87" i="132"/>
  <c r="AK87" i="132" s="1"/>
  <c r="AM87" i="132" s="1"/>
  <c r="AN87" i="132" s="1"/>
  <c r="M439" i="105"/>
  <c r="M435" i="105" s="1"/>
  <c r="N18" i="128"/>
  <c r="S27" i="138"/>
  <c r="D60" i="148" s="1"/>
  <c r="T27" i="138"/>
  <c r="M108" i="138"/>
  <c r="L109" i="138" s="1"/>
  <c r="N108" i="138"/>
  <c r="G14" i="138"/>
  <c r="M144" i="138"/>
  <c r="L145" i="138" s="1"/>
  <c r="N144" i="138"/>
  <c r="C321" i="148"/>
  <c r="D321" i="148" s="1"/>
  <c r="N177" i="133"/>
  <c r="BN357" i="132"/>
  <c r="M357" i="132"/>
  <c r="M358" i="132" s="1"/>
  <c r="N335" i="132"/>
  <c r="O335" i="132" s="1"/>
  <c r="M336" i="132"/>
  <c r="BN317" i="132"/>
  <c r="K139" i="133"/>
  <c r="D58" i="148"/>
  <c r="U25" i="138"/>
  <c r="M362" i="132"/>
  <c r="M363" i="132" s="1"/>
  <c r="BN362" i="132"/>
  <c r="Y180" i="138"/>
  <c r="X181" i="138" s="1"/>
  <c r="Z180" i="138"/>
  <c r="W109" i="138"/>
  <c r="W110" i="138" s="1"/>
  <c r="V109" i="138"/>
  <c r="AF109" i="138"/>
  <c r="AF110" i="138" s="1"/>
  <c r="AE109" i="138"/>
  <c r="BN292" i="132"/>
  <c r="N280" i="132"/>
  <c r="O280" i="132" s="1"/>
  <c r="M281" i="132"/>
  <c r="BN272" i="132"/>
  <c r="M262" i="132"/>
  <c r="M263" i="132" s="1"/>
  <c r="BN262" i="132"/>
  <c r="N250" i="132"/>
  <c r="O250" i="132" s="1"/>
  <c r="M251" i="132"/>
  <c r="BN232" i="132"/>
  <c r="N220" i="132"/>
  <c r="O220" i="132" s="1"/>
  <c r="M221" i="132"/>
  <c r="BN212" i="132"/>
  <c r="M202" i="132"/>
  <c r="M203" i="132" s="1"/>
  <c r="BN202" i="132"/>
  <c r="BN192" i="132"/>
  <c r="M172" i="132"/>
  <c r="M173" i="132" s="1"/>
  <c r="BN167" i="132"/>
  <c r="M167" i="132"/>
  <c r="M168" i="132" s="1"/>
  <c r="N155" i="132"/>
  <c r="O155" i="132" s="1"/>
  <c r="M156" i="132"/>
  <c r="D34" i="128"/>
  <c r="D32" i="128"/>
  <c r="Q180" i="138"/>
  <c r="P180" i="138"/>
  <c r="O181" i="138" s="1"/>
  <c r="O48" i="138"/>
  <c r="O50" i="138"/>
  <c r="M351" i="132"/>
  <c r="N350" i="132"/>
  <c r="O350" i="132" s="1"/>
  <c r="M331" i="132"/>
  <c r="N330" i="132"/>
  <c r="O330" i="132" s="1"/>
  <c r="M321" i="132"/>
  <c r="N321" i="132" s="1"/>
  <c r="N320" i="132"/>
  <c r="O320" i="132" s="1"/>
  <c r="BN307" i="132"/>
  <c r="M296" i="132"/>
  <c r="N296" i="132" s="1"/>
  <c r="N295" i="132"/>
  <c r="O295" i="132" s="1"/>
  <c r="M286" i="132"/>
  <c r="N285" i="132"/>
  <c r="O285" i="132" s="1"/>
  <c r="M277" i="132"/>
  <c r="M278" i="132" s="1"/>
  <c r="BN277" i="132"/>
  <c r="M266" i="132"/>
  <c r="N265" i="132"/>
  <c r="O265" i="132" s="1"/>
  <c r="M256" i="132"/>
  <c r="N256" i="132" s="1"/>
  <c r="N255" i="132"/>
  <c r="O255" i="132" s="1"/>
  <c r="M247" i="132"/>
  <c r="M248" i="132" s="1"/>
  <c r="BN248" i="132"/>
  <c r="M236" i="132"/>
  <c r="N236" i="132" s="1"/>
  <c r="N235" i="132"/>
  <c r="O235" i="132" s="1"/>
  <c r="M226" i="132"/>
  <c r="N225" i="132"/>
  <c r="O225" i="132" s="1"/>
  <c r="M217" i="132"/>
  <c r="M218" i="132" s="1"/>
  <c r="BN217" i="132"/>
  <c r="M206" i="132"/>
  <c r="N205" i="132"/>
  <c r="O205" i="132" s="1"/>
  <c r="M196" i="132"/>
  <c r="N196" i="132" s="1"/>
  <c r="N195" i="132"/>
  <c r="O195" i="132" s="1"/>
  <c r="BN187" i="132"/>
  <c r="M176" i="132"/>
  <c r="N176" i="132" s="1"/>
  <c r="N175" i="132"/>
  <c r="O175" i="132" s="1"/>
  <c r="M312" i="132"/>
  <c r="M313" i="132" s="1"/>
  <c r="BN312" i="132"/>
  <c r="M161" i="132"/>
  <c r="N161" i="132" s="1"/>
  <c r="N160" i="132"/>
  <c r="O160" i="132" s="1"/>
  <c r="AM82" i="128"/>
  <c r="AN82" i="128" s="1"/>
  <c r="AN62" i="128"/>
  <c r="AM62" i="128"/>
  <c r="AM84" i="128"/>
  <c r="AN84" i="128" s="1"/>
  <c r="AN86" i="128"/>
  <c r="AM86" i="128"/>
  <c r="AM61" i="128"/>
  <c r="AN61" i="128" s="1"/>
  <c r="AN77" i="128"/>
  <c r="AM77" i="128"/>
  <c r="AM81" i="128"/>
  <c r="AN81" i="128" s="1"/>
  <c r="AN85" i="128"/>
  <c r="AM85" i="128"/>
  <c r="AM101" i="128"/>
  <c r="AN101" i="128" s="1"/>
  <c r="AN68" i="128"/>
  <c r="AM68" i="128"/>
  <c r="AM92" i="128"/>
  <c r="AN92" i="128" s="1"/>
  <c r="AN88" i="128"/>
  <c r="AM88" i="128"/>
  <c r="AM64" i="128"/>
  <c r="AN64" i="128" s="1"/>
  <c r="AN71" i="128"/>
  <c r="AM71" i="128"/>
  <c r="AM75" i="128"/>
  <c r="AN75" i="128" s="1"/>
  <c r="AN79" i="128"/>
  <c r="AM79" i="128"/>
  <c r="AM95" i="128"/>
  <c r="AN95" i="128" s="1"/>
  <c r="AN99" i="128"/>
  <c r="AM99" i="128"/>
  <c r="H198" i="105"/>
  <c r="P16" i="128"/>
  <c r="AG89" i="132"/>
  <c r="BN342" i="132" l="1"/>
  <c r="O52" i="138"/>
  <c r="BN182" i="132"/>
  <c r="M242" i="132"/>
  <c r="M243" i="132" s="1"/>
  <c r="M302" i="132"/>
  <c r="M303" i="132" s="1"/>
  <c r="AC109" i="138"/>
  <c r="AC110" i="138" s="1"/>
  <c r="AB109" i="138"/>
  <c r="N206" i="132"/>
  <c r="N226" i="132"/>
  <c r="N266" i="132"/>
  <c r="N286" i="132"/>
  <c r="O287" i="132" s="1"/>
  <c r="O288" i="132" s="1"/>
  <c r="N331" i="132"/>
  <c r="N351" i="132"/>
  <c r="M327" i="132"/>
  <c r="M328" i="132" s="1"/>
  <c r="M347" i="132"/>
  <c r="M348" i="132" s="1"/>
  <c r="P17" i="128"/>
  <c r="J144" i="138"/>
  <c r="I145" i="138" s="1"/>
  <c r="K144" i="138"/>
  <c r="N341" i="132"/>
  <c r="BP342" i="132" s="1"/>
  <c r="N166" i="132"/>
  <c r="N171" i="132"/>
  <c r="N181" i="132"/>
  <c r="N191" i="132"/>
  <c r="N201" i="132"/>
  <c r="N211" i="132"/>
  <c r="N231" i="132"/>
  <c r="N241" i="132"/>
  <c r="N261" i="132"/>
  <c r="N271" i="132"/>
  <c r="N291" i="132"/>
  <c r="N301" i="132"/>
  <c r="AB144" i="138"/>
  <c r="AA145" i="138" s="1"/>
  <c r="AC144" i="138"/>
  <c r="N316" i="132"/>
  <c r="N326" i="132"/>
  <c r="O327" i="132" s="1"/>
  <c r="O328" i="132" s="1"/>
  <c r="N346" i="132"/>
  <c r="N356" i="132"/>
  <c r="M180" i="138"/>
  <c r="L181" i="138" s="1"/>
  <c r="N180" i="138"/>
  <c r="BO67" i="128"/>
  <c r="BP67" i="128" s="1"/>
  <c r="BO75" i="128"/>
  <c r="BP75" i="128" s="1"/>
  <c r="BO83" i="128"/>
  <c r="BP83" i="128" s="1"/>
  <c r="BO91" i="128"/>
  <c r="BP91" i="128" s="1"/>
  <c r="BO99" i="128"/>
  <c r="BP99" i="128" s="1"/>
  <c r="BO68" i="128"/>
  <c r="BP68" i="128" s="1"/>
  <c r="BO84" i="128"/>
  <c r="BP84" i="128" s="1"/>
  <c r="BO100" i="128"/>
  <c r="BP100" i="128" s="1"/>
  <c r="BM81" i="128"/>
  <c r="BN81" i="128" s="1"/>
  <c r="BM61" i="128"/>
  <c r="BN61" i="128" s="1"/>
  <c r="BM93" i="128"/>
  <c r="BN93" i="128" s="1"/>
  <c r="BM62" i="128"/>
  <c r="BN62" i="128" s="1"/>
  <c r="BM90" i="128"/>
  <c r="BN90" i="128" s="1"/>
  <c r="BM65" i="128"/>
  <c r="BN65" i="128" s="1"/>
  <c r="BM70" i="128"/>
  <c r="BN70" i="128" s="1"/>
  <c r="BM85" i="128"/>
  <c r="BN85" i="128" s="1"/>
  <c r="BM88" i="128"/>
  <c r="BN88" i="128" s="1"/>
  <c r="BM74" i="128"/>
  <c r="BN74" i="128" s="1"/>
  <c r="BO63" i="128"/>
  <c r="BP63" i="128" s="1"/>
  <c r="BO71" i="128"/>
  <c r="BP71" i="128" s="1"/>
  <c r="BO79" i="128"/>
  <c r="BP79" i="128" s="1"/>
  <c r="BO87" i="128"/>
  <c r="BP87" i="128" s="1"/>
  <c r="BO95" i="128"/>
  <c r="BP95" i="128" s="1"/>
  <c r="BO60" i="128"/>
  <c r="BP60" i="128" s="1"/>
  <c r="BO76" i="128"/>
  <c r="BP76" i="128" s="1"/>
  <c r="BO92" i="128"/>
  <c r="BP92" i="128" s="1"/>
  <c r="BM80" i="128"/>
  <c r="BN80" i="128" s="1"/>
  <c r="BM77" i="128"/>
  <c r="BN77" i="128" s="1"/>
  <c r="BM72" i="128"/>
  <c r="BN72" i="128" s="1"/>
  <c r="BM94" i="128"/>
  <c r="BN94" i="128" s="1"/>
  <c r="BM97" i="128"/>
  <c r="BN97" i="128" s="1"/>
  <c r="BM69" i="128"/>
  <c r="BN69" i="128" s="1"/>
  <c r="BM101" i="128"/>
  <c r="BN101" i="128" s="1"/>
  <c r="BM78" i="128"/>
  <c r="BN78" i="128" s="1"/>
  <c r="O161" i="132"/>
  <c r="P160" i="132"/>
  <c r="Q160" i="132" s="1"/>
  <c r="O176" i="132"/>
  <c r="P175" i="132"/>
  <c r="Q175" i="132" s="1"/>
  <c r="O196" i="132"/>
  <c r="P195" i="132"/>
  <c r="Q195" i="132" s="1"/>
  <c r="O206" i="132"/>
  <c r="P205" i="132"/>
  <c r="Q205" i="132" s="1"/>
  <c r="O226" i="132"/>
  <c r="P225" i="132"/>
  <c r="Q225" i="132" s="1"/>
  <c r="O236" i="132"/>
  <c r="P235" i="132"/>
  <c r="Q235" i="132" s="1"/>
  <c r="O256" i="132"/>
  <c r="P255" i="132"/>
  <c r="Q255" i="132" s="1"/>
  <c r="O266" i="132"/>
  <c r="P265" i="132"/>
  <c r="Q265" i="132" s="1"/>
  <c r="O286" i="132"/>
  <c r="P285" i="132"/>
  <c r="Q285" i="132" s="1"/>
  <c r="O296" i="132"/>
  <c r="P295" i="132"/>
  <c r="Q295" i="132" s="1"/>
  <c r="O321" i="132"/>
  <c r="P320" i="132"/>
  <c r="Q320" i="132" s="1"/>
  <c r="O331" i="132"/>
  <c r="P330" i="132"/>
  <c r="Q330" i="132" s="1"/>
  <c r="O351" i="132"/>
  <c r="P350" i="132"/>
  <c r="Q350" i="132" s="1"/>
  <c r="Q181" i="138"/>
  <c r="Q182" i="138" s="1"/>
  <c r="P181" i="138"/>
  <c r="N439" i="105"/>
  <c r="N435" i="105" s="1"/>
  <c r="O18" i="128"/>
  <c r="T181" i="138"/>
  <c r="T182" i="138" s="1"/>
  <c r="S181" i="138"/>
  <c r="S30" i="138"/>
  <c r="D63" i="148" s="1"/>
  <c r="D53" i="148"/>
  <c r="U19" i="138"/>
  <c r="G15" i="105"/>
  <c r="F452" i="105"/>
  <c r="F451" i="105" s="1"/>
  <c r="I96" i="107"/>
  <c r="W181" i="138"/>
  <c r="W182" i="138" s="1"/>
  <c r="V181" i="138"/>
  <c r="M179" i="133"/>
  <c r="M181" i="133" s="1"/>
  <c r="L181" i="133"/>
  <c r="Y16" i="138"/>
  <c r="K26" i="138" s="1"/>
  <c r="K478" i="105" s="1"/>
  <c r="K477" i="105" s="1"/>
  <c r="K476" i="105" s="1"/>
  <c r="K475" i="105" s="1"/>
  <c r="AQ91" i="138"/>
  <c r="K181" i="138"/>
  <c r="K182" i="138" s="1"/>
  <c r="J181" i="138"/>
  <c r="U102" i="132"/>
  <c r="O490" i="105" s="1"/>
  <c r="C374" i="148" s="1"/>
  <c r="N490" i="105"/>
  <c r="R296" i="105"/>
  <c r="F296" i="105" s="1"/>
  <c r="S296" i="105" s="1"/>
  <c r="F295" i="105"/>
  <c r="R292" i="105"/>
  <c r="F292" i="105" s="1"/>
  <c r="S292" i="105" s="1"/>
  <c r="F291" i="105"/>
  <c r="R284" i="105"/>
  <c r="F284" i="105" s="1"/>
  <c r="S284" i="105" s="1"/>
  <c r="F283" i="105"/>
  <c r="Q145" i="138"/>
  <c r="Q146" i="138" s="1"/>
  <c r="P145" i="138"/>
  <c r="H145" i="138"/>
  <c r="H146" i="138" s="1"/>
  <c r="G145" i="138"/>
  <c r="G180" i="138"/>
  <c r="F181" i="138" s="1"/>
  <c r="H180" i="138"/>
  <c r="M177" i="132"/>
  <c r="BN177" i="132"/>
  <c r="BN207" i="132"/>
  <c r="M207" i="132"/>
  <c r="M208" i="132" s="1"/>
  <c r="BN237" i="132"/>
  <c r="M237" i="132"/>
  <c r="BN267" i="132"/>
  <c r="M267" i="132"/>
  <c r="M268" i="132" s="1"/>
  <c r="BN297" i="132"/>
  <c r="M297" i="132"/>
  <c r="M332" i="132"/>
  <c r="M333" i="132" s="1"/>
  <c r="BN333" i="132"/>
  <c r="M157" i="132"/>
  <c r="M158" i="132" s="1"/>
  <c r="BN157" i="132"/>
  <c r="M252" i="132"/>
  <c r="M253" i="132" s="1"/>
  <c r="BN252" i="132"/>
  <c r="AH103" i="128"/>
  <c r="AI96" i="128"/>
  <c r="AI103" i="128" s="1"/>
  <c r="F24" i="128" s="1"/>
  <c r="N139" i="133"/>
  <c r="P279" i="107" s="1"/>
  <c r="P340" i="132"/>
  <c r="Q340" i="132" s="1"/>
  <c r="O341" i="132"/>
  <c r="H483" i="105"/>
  <c r="I484" i="105"/>
  <c r="O166" i="132"/>
  <c r="O167" i="132" s="1"/>
  <c r="O168" i="132" s="1"/>
  <c r="P165" i="132"/>
  <c r="Q165" i="132" s="1"/>
  <c r="O171" i="132"/>
  <c r="P170" i="132"/>
  <c r="Q170" i="132" s="1"/>
  <c r="O181" i="132"/>
  <c r="BP182" i="132" s="1"/>
  <c r="P180" i="132"/>
  <c r="Q180" i="132" s="1"/>
  <c r="O191" i="132"/>
  <c r="P190" i="132"/>
  <c r="Q190" i="132" s="1"/>
  <c r="O201" i="132"/>
  <c r="O202" i="132" s="1"/>
  <c r="O203" i="132" s="1"/>
  <c r="P200" i="132"/>
  <c r="Q200" i="132" s="1"/>
  <c r="O211" i="132"/>
  <c r="P210" i="132"/>
  <c r="Q210" i="132" s="1"/>
  <c r="O231" i="132"/>
  <c r="O232" i="132" s="1"/>
  <c r="O233" i="132" s="1"/>
  <c r="P230" i="132"/>
  <c r="Q230" i="132" s="1"/>
  <c r="O241" i="132"/>
  <c r="P240" i="132"/>
  <c r="Q240" i="132" s="1"/>
  <c r="O261" i="132"/>
  <c r="O262" i="132" s="1"/>
  <c r="O263" i="132" s="1"/>
  <c r="P260" i="132"/>
  <c r="Q260" i="132" s="1"/>
  <c r="O271" i="132"/>
  <c r="P270" i="132"/>
  <c r="Q270" i="132" s="1"/>
  <c r="O291" i="132"/>
  <c r="O292" i="132" s="1"/>
  <c r="O293" i="132" s="1"/>
  <c r="P290" i="132"/>
  <c r="Q290" i="132" s="1"/>
  <c r="O301" i="132"/>
  <c r="P300" i="132"/>
  <c r="Q300" i="132" s="1"/>
  <c r="O495" i="105"/>
  <c r="Q130" i="133"/>
  <c r="R130" i="133" s="1"/>
  <c r="S130" i="133" s="1"/>
  <c r="T130" i="133" s="1"/>
  <c r="U130" i="133" s="1"/>
  <c r="V130" i="133" s="1"/>
  <c r="G326" i="148"/>
  <c r="P108" i="138"/>
  <c r="O109" i="138" s="1"/>
  <c r="Q108" i="138"/>
  <c r="O316" i="132"/>
  <c r="P315" i="132"/>
  <c r="Q315" i="132" s="1"/>
  <c r="O326" i="132"/>
  <c r="P325" i="132"/>
  <c r="Q325" i="132" s="1"/>
  <c r="O346" i="132"/>
  <c r="P345" i="132"/>
  <c r="Q345" i="132" s="1"/>
  <c r="O356" i="132"/>
  <c r="P355" i="132"/>
  <c r="Q355" i="132" s="1"/>
  <c r="S22" i="138"/>
  <c r="T22" i="138"/>
  <c r="AF181" i="138"/>
  <c r="AF182" i="138" s="1"/>
  <c r="AE181" i="138"/>
  <c r="I456" i="105"/>
  <c r="I454" i="105" s="1"/>
  <c r="K32" i="133"/>
  <c r="D9" i="132"/>
  <c r="F277" i="105" s="1"/>
  <c r="O34" i="133"/>
  <c r="M455" i="105"/>
  <c r="J196" i="105"/>
  <c r="I223" i="107"/>
  <c r="I32" i="214" s="1"/>
  <c r="F58" i="105"/>
  <c r="I137" i="107"/>
  <c r="I656" i="107" s="1"/>
  <c r="S108" i="138"/>
  <c r="R109" i="138" s="1"/>
  <c r="T108" i="138"/>
  <c r="H14" i="219"/>
  <c r="E32" i="128"/>
  <c r="E130" i="148" s="1"/>
  <c r="E132" i="148" s="1"/>
  <c r="E143" i="148" s="1"/>
  <c r="E34" i="128"/>
  <c r="D324" i="148" s="1"/>
  <c r="D320" i="148" s="1"/>
  <c r="R307" i="105"/>
  <c r="F306" i="105"/>
  <c r="R300" i="105"/>
  <c r="F300" i="105" s="1"/>
  <c r="S300" i="105" s="1"/>
  <c r="F299" i="105"/>
  <c r="R288" i="105"/>
  <c r="F288" i="105" s="1"/>
  <c r="S288" i="105" s="1"/>
  <c r="F287" i="105"/>
  <c r="I54" i="138"/>
  <c r="H58" i="138"/>
  <c r="R304" i="105"/>
  <c r="F304" i="105" s="1"/>
  <c r="S304" i="105" s="1"/>
  <c r="F303" i="105"/>
  <c r="AO99" i="128"/>
  <c r="AO95" i="128"/>
  <c r="AO79" i="128"/>
  <c r="AO75" i="128"/>
  <c r="AO71" i="128"/>
  <c r="AO64" i="128"/>
  <c r="AO88" i="128"/>
  <c r="AO92" i="128"/>
  <c r="AO68" i="128"/>
  <c r="AO101" i="128"/>
  <c r="AO85" i="128"/>
  <c r="AO81" i="128"/>
  <c r="AO77" i="128"/>
  <c r="AO61" i="128"/>
  <c r="AO86" i="128"/>
  <c r="AO84" i="128"/>
  <c r="AO62" i="128"/>
  <c r="AO82" i="128"/>
  <c r="N156" i="132"/>
  <c r="N221" i="132"/>
  <c r="N251" i="132"/>
  <c r="N281" i="132"/>
  <c r="N336" i="132"/>
  <c r="U27" i="138"/>
  <c r="K369" i="132"/>
  <c r="AG98" i="132"/>
  <c r="K172" i="148" s="1"/>
  <c r="K174" i="148" s="1"/>
  <c r="J142" i="148" s="1"/>
  <c r="O51" i="138"/>
  <c r="N311" i="132"/>
  <c r="N186" i="132"/>
  <c r="N216" i="132"/>
  <c r="N246" i="132"/>
  <c r="N276" i="132"/>
  <c r="N306" i="132"/>
  <c r="AJ89" i="132"/>
  <c r="N361" i="132"/>
  <c r="K368" i="132"/>
  <c r="I368" i="132"/>
  <c r="E79" i="133"/>
  <c r="O162" i="132"/>
  <c r="O163" i="132" s="1"/>
  <c r="BP163" i="132"/>
  <c r="BP177" i="132"/>
  <c r="O177" i="132"/>
  <c r="O178" i="132" s="1"/>
  <c r="BP197" i="132"/>
  <c r="O197" i="132"/>
  <c r="O198" i="132" s="1"/>
  <c r="BP207" i="132"/>
  <c r="O207" i="132"/>
  <c r="O208" i="132" s="1"/>
  <c r="BP227" i="132"/>
  <c r="O227" i="132"/>
  <c r="O228" i="132" s="1"/>
  <c r="BP237" i="132"/>
  <c r="O237" i="132"/>
  <c r="O238" i="132" s="1"/>
  <c r="BP257" i="132"/>
  <c r="O257" i="132"/>
  <c r="O258" i="132" s="1"/>
  <c r="BP267" i="132"/>
  <c r="O267" i="132"/>
  <c r="O268" i="132" s="1"/>
  <c r="BP297" i="132"/>
  <c r="O297" i="132"/>
  <c r="O298" i="132" s="1"/>
  <c r="BP322" i="132"/>
  <c r="O322" i="132"/>
  <c r="O323" i="132" s="1"/>
  <c r="BP333" i="132"/>
  <c r="O332" i="132"/>
  <c r="O333" i="132" s="1"/>
  <c r="BP352" i="132"/>
  <c r="O352" i="132"/>
  <c r="O353" i="132" s="1"/>
  <c r="P155" i="132"/>
  <c r="Q155" i="132" s="1"/>
  <c r="O156" i="132"/>
  <c r="P220" i="132"/>
  <c r="Q220" i="132" s="1"/>
  <c r="O221" i="132"/>
  <c r="P250" i="132"/>
  <c r="Q250" i="132" s="1"/>
  <c r="O251" i="132"/>
  <c r="P280" i="132"/>
  <c r="Q280" i="132" s="1"/>
  <c r="O281" i="132"/>
  <c r="Y181" i="138"/>
  <c r="Z181" i="138"/>
  <c r="Z182" i="138" s="1"/>
  <c r="M279" i="107"/>
  <c r="P335" i="132"/>
  <c r="Q335" i="132" s="1"/>
  <c r="O336" i="132"/>
  <c r="N178" i="133"/>
  <c r="E321" i="148"/>
  <c r="N145" i="138"/>
  <c r="N146" i="138" s="1"/>
  <c r="M145" i="138"/>
  <c r="J140" i="107"/>
  <c r="G21" i="138"/>
  <c r="N109" i="138"/>
  <c r="N110" i="138" s="1"/>
  <c r="M109" i="138"/>
  <c r="BM73" i="128"/>
  <c r="BN73" i="128" s="1"/>
  <c r="BM89" i="128"/>
  <c r="BN89" i="128" s="1"/>
  <c r="BM64" i="128"/>
  <c r="BN64" i="128" s="1"/>
  <c r="BM96" i="128"/>
  <c r="BN96" i="128" s="1"/>
  <c r="BM86" i="128"/>
  <c r="BN86" i="128" s="1"/>
  <c r="J187" i="133"/>
  <c r="J238" i="133"/>
  <c r="J39" i="133" s="1"/>
  <c r="BM66" i="128"/>
  <c r="BN66" i="128" s="1"/>
  <c r="BM82" i="128"/>
  <c r="BN82" i="128" s="1"/>
  <c r="BM98" i="128"/>
  <c r="BN98" i="128" s="1"/>
  <c r="H108" i="138"/>
  <c r="G108" i="138"/>
  <c r="F109" i="138" s="1"/>
  <c r="AF145" i="138"/>
  <c r="AF146" i="138" s="1"/>
  <c r="AE145" i="138"/>
  <c r="Z145" i="138"/>
  <c r="Z146" i="138" s="1"/>
  <c r="Y145" i="138"/>
  <c r="E247" i="107"/>
  <c r="W10" i="138"/>
  <c r="I25" i="138" s="1"/>
  <c r="I486" i="105" s="1"/>
  <c r="AO318" i="138"/>
  <c r="J116" i="105"/>
  <c r="D180" i="138"/>
  <c r="C181" i="138" s="1"/>
  <c r="E180" i="138"/>
  <c r="D108" i="138"/>
  <c r="C109" i="138" s="1"/>
  <c r="E108" i="138"/>
  <c r="E145" i="138"/>
  <c r="E146" i="138" s="1"/>
  <c r="D145" i="138"/>
  <c r="AH96" i="132"/>
  <c r="AJ90" i="132"/>
  <c r="AJ96" i="132" s="1"/>
  <c r="AH82" i="132"/>
  <c r="AJ76" i="132"/>
  <c r="AJ82" i="132" s="1"/>
  <c r="AH75" i="132"/>
  <c r="AJ69" i="132"/>
  <c r="AJ75" i="132" s="1"/>
  <c r="AH68" i="132"/>
  <c r="AJ62" i="132"/>
  <c r="AJ68" i="132" s="1"/>
  <c r="AH61" i="132"/>
  <c r="AJ55" i="132"/>
  <c r="AJ61" i="132" s="1"/>
  <c r="AH54" i="132"/>
  <c r="AJ48" i="132"/>
  <c r="AJ54" i="132" s="1"/>
  <c r="BN163" i="132"/>
  <c r="M162" i="132"/>
  <c r="M163" i="132" s="1"/>
  <c r="BN197" i="132"/>
  <c r="M197" i="132"/>
  <c r="BN227" i="132"/>
  <c r="M227" i="132"/>
  <c r="M228" i="132" s="1"/>
  <c r="BN257" i="132"/>
  <c r="M257" i="132"/>
  <c r="BN287" i="132"/>
  <c r="M287" i="132"/>
  <c r="M288" i="132" s="1"/>
  <c r="M322" i="132"/>
  <c r="BN322" i="132"/>
  <c r="M352" i="132"/>
  <c r="M353" i="132" s="1"/>
  <c r="BN352" i="132"/>
  <c r="M222" i="132"/>
  <c r="BN222" i="132"/>
  <c r="M282" i="132"/>
  <c r="BN282" i="132"/>
  <c r="AH102" i="128"/>
  <c r="AI60" i="128"/>
  <c r="AI102" i="128" s="1"/>
  <c r="F22" i="128" s="1"/>
  <c r="F23" i="128" s="1"/>
  <c r="M337" i="132"/>
  <c r="BN337" i="132"/>
  <c r="R222" i="107"/>
  <c r="R31" i="214" s="1"/>
  <c r="O43" i="105"/>
  <c r="R655" i="107"/>
  <c r="E133" i="107"/>
  <c r="P310" i="132"/>
  <c r="Q310" i="132" s="1"/>
  <c r="O311" i="132"/>
  <c r="P185" i="132"/>
  <c r="Q185" i="132" s="1"/>
  <c r="O186" i="132"/>
  <c r="P215" i="132"/>
  <c r="Q215" i="132" s="1"/>
  <c r="O216" i="132"/>
  <c r="P245" i="132"/>
  <c r="Q245" i="132" s="1"/>
  <c r="O246" i="132"/>
  <c r="P275" i="132"/>
  <c r="Q275" i="132" s="1"/>
  <c r="O276" i="132"/>
  <c r="P305" i="132"/>
  <c r="Q305" i="132" s="1"/>
  <c r="O306" i="132"/>
  <c r="BP167" i="132"/>
  <c r="BP172" i="132"/>
  <c r="O182" i="132"/>
  <c r="O183" i="132" s="1"/>
  <c r="BP202" i="132"/>
  <c r="BP212" i="132"/>
  <c r="BP232" i="132"/>
  <c r="BP262" i="132"/>
  <c r="BP272" i="132"/>
  <c r="BP292" i="132"/>
  <c r="AM83" i="132"/>
  <c r="AK89" i="132"/>
  <c r="O361" i="132"/>
  <c r="P360" i="132"/>
  <c r="Q360" i="132" s="1"/>
  <c r="L449" i="105"/>
  <c r="K448" i="105"/>
  <c r="K434" i="105" s="1"/>
  <c r="BP317" i="132"/>
  <c r="O317" i="132"/>
  <c r="O318" i="132" s="1"/>
  <c r="BP347" i="132"/>
  <c r="O347" i="132"/>
  <c r="O348" i="132" s="1"/>
  <c r="BP357" i="132"/>
  <c r="K240" i="107"/>
  <c r="I38" i="133"/>
  <c r="I230" i="133"/>
  <c r="I231" i="133"/>
  <c r="Q308" i="105"/>
  <c r="Q310" i="105" s="1"/>
  <c r="Q309" i="105"/>
  <c r="K183" i="133"/>
  <c r="C332" i="148"/>
  <c r="O440" i="105"/>
  <c r="E255" i="133"/>
  <c r="E435" i="107" s="1"/>
  <c r="E254" i="133" s="1"/>
  <c r="F224" i="133"/>
  <c r="F222" i="133" s="1"/>
  <c r="F220" i="133"/>
  <c r="P175" i="133"/>
  <c r="AW367" i="132"/>
  <c r="EX154" i="132"/>
  <c r="AY154" i="132"/>
  <c r="CX154" i="132"/>
  <c r="AO74" i="128"/>
  <c r="N51" i="138"/>
  <c r="I370" i="132"/>
  <c r="J369" i="132" s="1"/>
  <c r="AO90" i="128"/>
  <c r="AO78" i="128"/>
  <c r="AO66" i="128"/>
  <c r="AO87" i="128"/>
  <c r="AO67" i="128"/>
  <c r="AO100" i="128"/>
  <c r="AO80" i="128"/>
  <c r="AO93" i="128"/>
  <c r="AO73" i="128"/>
  <c r="AO65" i="128"/>
  <c r="AO72" i="128"/>
  <c r="AO70" i="128"/>
  <c r="AO91" i="128"/>
  <c r="AO83" i="128"/>
  <c r="AO63" i="128"/>
  <c r="AO76" i="128"/>
  <c r="AO97" i="128"/>
  <c r="AO89" i="128"/>
  <c r="AO69" i="128"/>
  <c r="AO98" i="128"/>
  <c r="AO94" i="128"/>
  <c r="O242" i="132" l="1"/>
  <c r="O243" i="132" s="1"/>
  <c r="BP327" i="132"/>
  <c r="BP287" i="132"/>
  <c r="O302" i="132"/>
  <c r="O303" i="132" s="1"/>
  <c r="O192" i="132"/>
  <c r="O193" i="132" s="1"/>
  <c r="BP302" i="132"/>
  <c r="BP242" i="132"/>
  <c r="BP192" i="132"/>
  <c r="O342" i="132"/>
  <c r="O343" i="132" s="1"/>
  <c r="AK48" i="132"/>
  <c r="O357" i="132"/>
  <c r="O358" i="132" s="1"/>
  <c r="O272" i="132"/>
  <c r="O273" i="132" s="1"/>
  <c r="O212" i="132"/>
  <c r="O213" i="132" s="1"/>
  <c r="O172" i="132"/>
  <c r="O173" i="132" s="1"/>
  <c r="K145" i="138"/>
  <c r="K146" i="138" s="1"/>
  <c r="J145" i="138"/>
  <c r="P336" i="132"/>
  <c r="P341" i="132"/>
  <c r="M181" i="138"/>
  <c r="N181" i="138"/>
  <c r="N182" i="138" s="1"/>
  <c r="AB145" i="138"/>
  <c r="AC145" i="138"/>
  <c r="AC146" i="138" s="1"/>
  <c r="P351" i="132"/>
  <c r="Q352" i="132" s="1"/>
  <c r="Q353" i="132" s="1"/>
  <c r="P331" i="132"/>
  <c r="P321" i="132"/>
  <c r="P296" i="132"/>
  <c r="P286" i="132"/>
  <c r="BR287" i="132" s="1"/>
  <c r="P266" i="132"/>
  <c r="P256" i="132"/>
  <c r="P236" i="132"/>
  <c r="P226" i="132"/>
  <c r="BR227" i="132" s="1"/>
  <c r="P206" i="132"/>
  <c r="P196" i="132"/>
  <c r="P176" i="132"/>
  <c r="P161" i="132"/>
  <c r="BR163" i="132" s="1"/>
  <c r="P306" i="132"/>
  <c r="P276" i="132"/>
  <c r="P246" i="132"/>
  <c r="P216" i="132"/>
  <c r="P186" i="132"/>
  <c r="P311" i="132"/>
  <c r="AK76" i="132"/>
  <c r="P281" i="132"/>
  <c r="BR282" i="132" s="1"/>
  <c r="P251" i="132"/>
  <c r="P221" i="132"/>
  <c r="P156" i="132"/>
  <c r="U22" i="138"/>
  <c r="BO88" i="128"/>
  <c r="BP88" i="128" s="1"/>
  <c r="BO70" i="128"/>
  <c r="BP70" i="128" s="1"/>
  <c r="BO90" i="128"/>
  <c r="BP90" i="128" s="1"/>
  <c r="BO93" i="128"/>
  <c r="BP93" i="128" s="1"/>
  <c r="BO81" i="128"/>
  <c r="BP81" i="128" s="1"/>
  <c r="BO74" i="128"/>
  <c r="BP74" i="128" s="1"/>
  <c r="BO85" i="128"/>
  <c r="BP85" i="128" s="1"/>
  <c r="BO65" i="128"/>
  <c r="BP65" i="128" s="1"/>
  <c r="BO62" i="128"/>
  <c r="BP62" i="128" s="1"/>
  <c r="BO61" i="128"/>
  <c r="BP61" i="128" s="1"/>
  <c r="I374" i="132"/>
  <c r="I375" i="132" s="1"/>
  <c r="I376" i="132" s="1"/>
  <c r="E33" i="132" s="1"/>
  <c r="J374" i="132"/>
  <c r="J375" i="132" s="1"/>
  <c r="J376" i="132" s="1"/>
  <c r="F33" i="132" s="1"/>
  <c r="G70" i="162" s="1"/>
  <c r="G68" i="162" s="1"/>
  <c r="K374" i="132"/>
  <c r="K375" i="132" s="1"/>
  <c r="K376" i="132" s="1"/>
  <c r="G33" i="132" s="1"/>
  <c r="H70" i="162" s="1"/>
  <c r="H68" i="162" s="1"/>
  <c r="L374" i="132"/>
  <c r="L375" i="132" s="1"/>
  <c r="L376" i="132" s="1"/>
  <c r="H33" i="132" s="1"/>
  <c r="I70" i="162" s="1"/>
  <c r="I68" i="162" s="1"/>
  <c r="M374" i="132"/>
  <c r="M375" i="132" s="1"/>
  <c r="M376" i="132" s="1"/>
  <c r="I33" i="132" s="1"/>
  <c r="J70" i="162" s="1"/>
  <c r="J68" i="162" s="1"/>
  <c r="N374" i="132"/>
  <c r="N375" i="132" s="1"/>
  <c r="N376" i="132" s="1"/>
  <c r="J33" i="132" s="1"/>
  <c r="K70" i="162" s="1"/>
  <c r="K68" i="162" s="1"/>
  <c r="O374" i="132"/>
  <c r="O375" i="132" s="1"/>
  <c r="O376" i="132" s="1"/>
  <c r="K33" i="132" s="1"/>
  <c r="L70" i="162" s="1"/>
  <c r="L68" i="162" s="1"/>
  <c r="P374" i="132"/>
  <c r="P375" i="132" s="1"/>
  <c r="P376" i="132" s="1"/>
  <c r="L33" i="132" s="1"/>
  <c r="M70" i="162" s="1"/>
  <c r="M68" i="162" s="1"/>
  <c r="Q374" i="132"/>
  <c r="Q375" i="132" s="1"/>
  <c r="Q376" i="132" s="1"/>
  <c r="M33" i="132" s="1"/>
  <c r="N70" i="162" s="1"/>
  <c r="N68" i="162" s="1"/>
  <c r="R374" i="132"/>
  <c r="R375" i="132" s="1"/>
  <c r="R376" i="132" s="1"/>
  <c r="N33" i="132" s="1"/>
  <c r="O70" i="162" s="1"/>
  <c r="O68" i="162" s="1"/>
  <c r="S374" i="132"/>
  <c r="S375" i="132" s="1"/>
  <c r="S376" i="132" s="1"/>
  <c r="O33" i="132" s="1"/>
  <c r="P70" i="162" s="1"/>
  <c r="P68" i="162" s="1"/>
  <c r="K185" i="133"/>
  <c r="O139" i="133"/>
  <c r="K239" i="107"/>
  <c r="L448" i="105"/>
  <c r="L434" i="105" s="1"/>
  <c r="M449" i="105"/>
  <c r="AM89" i="132"/>
  <c r="AN83" i="132"/>
  <c r="R305" i="132"/>
  <c r="S305" i="132" s="1"/>
  <c r="Q306" i="132"/>
  <c r="Q307" i="132" s="1"/>
  <c r="Q308" i="132" s="1"/>
  <c r="R275" i="132"/>
  <c r="S275" i="132" s="1"/>
  <c r="Q276" i="132"/>
  <c r="BR277" i="132" s="1"/>
  <c r="R245" i="132"/>
  <c r="S245" i="132" s="1"/>
  <c r="Q246" i="132"/>
  <c r="Q247" i="132" s="1"/>
  <c r="Q248" i="132" s="1"/>
  <c r="R215" i="132"/>
  <c r="S215" i="132" s="1"/>
  <c r="Q216" i="132"/>
  <c r="R185" i="132"/>
  <c r="S185" i="132" s="1"/>
  <c r="Q186" i="132"/>
  <c r="Q187" i="132" s="1"/>
  <c r="Q188" i="132" s="1"/>
  <c r="R310" i="132"/>
  <c r="S310" i="132" s="1"/>
  <c r="Q311" i="132"/>
  <c r="BR312" i="132" s="1"/>
  <c r="M338" i="132"/>
  <c r="M258" i="132"/>
  <c r="M198" i="132"/>
  <c r="AO319" i="138"/>
  <c r="X9" i="138"/>
  <c r="H109" i="138"/>
  <c r="H110" i="138" s="1"/>
  <c r="G109" i="138"/>
  <c r="I66" i="138"/>
  <c r="H256" i="133"/>
  <c r="J242" i="133"/>
  <c r="J138" i="107"/>
  <c r="N179" i="133"/>
  <c r="N181" i="133" s="1"/>
  <c r="O178" i="133"/>
  <c r="R335" i="132"/>
  <c r="S335" i="132" s="1"/>
  <c r="Q336" i="132"/>
  <c r="R280" i="132"/>
  <c r="S280" i="132" s="1"/>
  <c r="Q281" i="132"/>
  <c r="R250" i="132"/>
  <c r="S250" i="132" s="1"/>
  <c r="Q251" i="132"/>
  <c r="R220" i="132"/>
  <c r="S220" i="132" s="1"/>
  <c r="Q221" i="132"/>
  <c r="R155" i="132"/>
  <c r="S155" i="132" s="1"/>
  <c r="Q156" i="132"/>
  <c r="O362" i="132"/>
  <c r="BP362" i="132"/>
  <c r="BP307" i="132"/>
  <c r="O307" i="132"/>
  <c r="BP248" i="132"/>
  <c r="O247" i="132"/>
  <c r="BP187" i="132"/>
  <c r="O187" i="132"/>
  <c r="BP282" i="132"/>
  <c r="O282" i="132"/>
  <c r="O283" i="132" s="1"/>
  <c r="BP222" i="132"/>
  <c r="O222" i="132"/>
  <c r="O223" i="132" s="1"/>
  <c r="I57" i="138"/>
  <c r="L32" i="219"/>
  <c r="R308" i="105"/>
  <c r="R309" i="105"/>
  <c r="F307" i="105"/>
  <c r="F309" i="105" s="1"/>
  <c r="K173" i="148" s="1"/>
  <c r="E145" i="148"/>
  <c r="E46" i="148"/>
  <c r="D55" i="148"/>
  <c r="D65" i="148" s="1"/>
  <c r="D66" i="148" s="1"/>
  <c r="S32" i="138"/>
  <c r="P109" i="138"/>
  <c r="Q109" i="138"/>
  <c r="Q110" i="138" s="1"/>
  <c r="C379" i="148"/>
  <c r="Z114" i="148" s="1"/>
  <c r="AA114" i="148" s="1"/>
  <c r="Q341" i="132"/>
  <c r="BR342" i="132" s="1"/>
  <c r="R340" i="132"/>
  <c r="S340" i="132" s="1"/>
  <c r="M298" i="132"/>
  <c r="M238" i="132"/>
  <c r="AQ92" i="138"/>
  <c r="Z15" i="138"/>
  <c r="G18" i="105"/>
  <c r="J94" i="107"/>
  <c r="O439" i="105"/>
  <c r="P18" i="128"/>
  <c r="Q351" i="132"/>
  <c r="R350" i="132"/>
  <c r="S350" i="132" s="1"/>
  <c r="Q331" i="132"/>
  <c r="Q332" i="132" s="1"/>
  <c r="Q333" i="132" s="1"/>
  <c r="R330" i="132"/>
  <c r="S330" i="132" s="1"/>
  <c r="Q321" i="132"/>
  <c r="R320" i="132"/>
  <c r="S320" i="132" s="1"/>
  <c r="Q296" i="132"/>
  <c r="BR297" i="132" s="1"/>
  <c r="R295" i="132"/>
  <c r="S295" i="132" s="1"/>
  <c r="Q286" i="132"/>
  <c r="R285" i="132"/>
  <c r="S285" i="132" s="1"/>
  <c r="Q266" i="132"/>
  <c r="BR267" i="132" s="1"/>
  <c r="R265" i="132"/>
  <c r="S265" i="132" s="1"/>
  <c r="Q256" i="132"/>
  <c r="R255" i="132"/>
  <c r="S255" i="132" s="1"/>
  <c r="Q236" i="132"/>
  <c r="BR237" i="132" s="1"/>
  <c r="R235" i="132"/>
  <c r="S235" i="132" s="1"/>
  <c r="Q226" i="132"/>
  <c r="R225" i="132"/>
  <c r="S225" i="132" s="1"/>
  <c r="Q206" i="132"/>
  <c r="BR207" i="132" s="1"/>
  <c r="R205" i="132"/>
  <c r="S205" i="132" s="1"/>
  <c r="Q196" i="132"/>
  <c r="R195" i="132"/>
  <c r="S195" i="132" s="1"/>
  <c r="Q176" i="132"/>
  <c r="Q177" i="132" s="1"/>
  <c r="Q178" i="132" s="1"/>
  <c r="R175" i="132"/>
  <c r="S175" i="132" s="1"/>
  <c r="Q161" i="132"/>
  <c r="R160" i="132"/>
  <c r="S160" i="132" s="1"/>
  <c r="P361" i="132"/>
  <c r="AK55" i="132"/>
  <c r="AK62" i="132"/>
  <c r="AK69" i="132"/>
  <c r="AK90" i="132"/>
  <c r="K370" i="132"/>
  <c r="E34" i="132" s="1"/>
  <c r="F673" i="131" s="1"/>
  <c r="W105" i="148" s="1"/>
  <c r="T374" i="132"/>
  <c r="T375" i="132" s="1"/>
  <c r="T376" i="132" s="1"/>
  <c r="P33" i="132" s="1"/>
  <c r="Q70" i="162" s="1"/>
  <c r="Q68" i="162" s="1"/>
  <c r="P356" i="132"/>
  <c r="P346" i="132"/>
  <c r="P326" i="132"/>
  <c r="P316" i="132"/>
  <c r="P301" i="132"/>
  <c r="P291" i="132"/>
  <c r="P271" i="132"/>
  <c r="P261" i="132"/>
  <c r="P241" i="132"/>
  <c r="P231" i="132"/>
  <c r="P211" i="132"/>
  <c r="P201" i="132"/>
  <c r="P191" i="132"/>
  <c r="P181" i="132"/>
  <c r="P171" i="132"/>
  <c r="P166" i="132"/>
  <c r="M369" i="132"/>
  <c r="BQ92" i="128"/>
  <c r="BQ76" i="128"/>
  <c r="BQ60" i="128"/>
  <c r="BQ95" i="128"/>
  <c r="BQ87" i="128"/>
  <c r="BQ79" i="128"/>
  <c r="BQ71" i="128"/>
  <c r="BQ63" i="128"/>
  <c r="EZ154" i="132"/>
  <c r="AY367" i="132"/>
  <c r="CZ154" i="132"/>
  <c r="P177" i="133"/>
  <c r="W175" i="133"/>
  <c r="C325" i="148"/>
  <c r="P441" i="105"/>
  <c r="P442" i="105"/>
  <c r="P443" i="105"/>
  <c r="P444" i="105"/>
  <c r="P445" i="105"/>
  <c r="P446" i="105"/>
  <c r="P447" i="105"/>
  <c r="I232" i="133"/>
  <c r="H68" i="138" s="1"/>
  <c r="H69" i="138" s="1"/>
  <c r="I239" i="133"/>
  <c r="Q361" i="132"/>
  <c r="R360" i="132"/>
  <c r="S360" i="132" s="1"/>
  <c r="BR307" i="132"/>
  <c r="BR248" i="132"/>
  <c r="BR217" i="132"/>
  <c r="BR187" i="132"/>
  <c r="E222" i="107"/>
  <c r="F31" i="214" s="1"/>
  <c r="E655" i="107"/>
  <c r="F30" i="128"/>
  <c r="F33" i="128" s="1"/>
  <c r="E332" i="148" s="1"/>
  <c r="E325" i="148" s="1"/>
  <c r="F25" i="128"/>
  <c r="I426" i="131" s="1"/>
  <c r="I434" i="131" s="1"/>
  <c r="I427" i="131"/>
  <c r="M283" i="132"/>
  <c r="M223" i="132"/>
  <c r="M323" i="132"/>
  <c r="AM48" i="132"/>
  <c r="AK54" i="132"/>
  <c r="AK82" i="132"/>
  <c r="AM76" i="132"/>
  <c r="D109" i="138"/>
  <c r="E109" i="138"/>
  <c r="E110" i="138" s="1"/>
  <c r="D181" i="138"/>
  <c r="E181" i="138"/>
  <c r="E182" i="138" s="1"/>
  <c r="J117" i="105"/>
  <c r="J118" i="105" s="1"/>
  <c r="BO98" i="128"/>
  <c r="BP98" i="128" s="1"/>
  <c r="BO82" i="128"/>
  <c r="BP82" i="128" s="1"/>
  <c r="BO66" i="128"/>
  <c r="BP66" i="128" s="1"/>
  <c r="J188" i="133"/>
  <c r="BO86" i="128"/>
  <c r="BP86" i="128" s="1"/>
  <c r="BO96" i="128"/>
  <c r="BP96" i="128" s="1"/>
  <c r="BO64" i="128"/>
  <c r="BP64" i="128" s="1"/>
  <c r="BO89" i="128"/>
  <c r="BP89" i="128" s="1"/>
  <c r="BO73" i="128"/>
  <c r="BP73" i="128" s="1"/>
  <c r="F321" i="148"/>
  <c r="Q337" i="132"/>
  <c r="Q338" i="132" s="1"/>
  <c r="Q252" i="132"/>
  <c r="Q253" i="132" s="1"/>
  <c r="BR252" i="132"/>
  <c r="Q222" i="132"/>
  <c r="Q223" i="132" s="1"/>
  <c r="Q157" i="132"/>
  <c r="Q158" i="132" s="1"/>
  <c r="BR157" i="132"/>
  <c r="E114" i="133"/>
  <c r="BP277" i="132"/>
  <c r="O277" i="132"/>
  <c r="BP217" i="132"/>
  <c r="O217" i="132"/>
  <c r="BP312" i="132"/>
  <c r="O312" i="132"/>
  <c r="M142" i="148"/>
  <c r="N173" i="148" s="1"/>
  <c r="N142" i="148"/>
  <c r="O173" i="148" s="1"/>
  <c r="O142" i="148"/>
  <c r="P173" i="148" s="1"/>
  <c r="BP337" i="132"/>
  <c r="O337" i="132"/>
  <c r="O338" i="132" s="1"/>
  <c r="BP252" i="132"/>
  <c r="O252" i="132"/>
  <c r="BP157" i="132"/>
  <c r="O157" i="132"/>
  <c r="H59" i="138"/>
  <c r="H19" i="138" s="1"/>
  <c r="K139" i="107" s="1"/>
  <c r="H487" i="105"/>
  <c r="H485" i="105" s="1"/>
  <c r="T109" i="138"/>
  <c r="T110" i="138" s="1"/>
  <c r="S109" i="138"/>
  <c r="J197" i="105"/>
  <c r="J198" i="105" s="1"/>
  <c r="P34" i="133"/>
  <c r="N455" i="105"/>
  <c r="J456" i="105"/>
  <c r="J454" i="105" s="1"/>
  <c r="L32" i="133"/>
  <c r="Q356" i="132"/>
  <c r="R355" i="132"/>
  <c r="S355" i="132" s="1"/>
  <c r="Q346" i="132"/>
  <c r="R345" i="132"/>
  <c r="S345" i="132" s="1"/>
  <c r="Q326" i="132"/>
  <c r="R325" i="132"/>
  <c r="S325" i="132" s="1"/>
  <c r="Q316" i="132"/>
  <c r="R315" i="132"/>
  <c r="S315" i="132" s="1"/>
  <c r="Q301" i="132"/>
  <c r="R300" i="132"/>
  <c r="S300" i="132" s="1"/>
  <c r="Q291" i="132"/>
  <c r="R290" i="132"/>
  <c r="S290" i="132" s="1"/>
  <c r="Q271" i="132"/>
  <c r="R270" i="132"/>
  <c r="S270" i="132" s="1"/>
  <c r="Q261" i="132"/>
  <c r="R260" i="132"/>
  <c r="S260" i="132" s="1"/>
  <c r="Q241" i="132"/>
  <c r="R240" i="132"/>
  <c r="S240" i="132" s="1"/>
  <c r="Q231" i="132"/>
  <c r="R230" i="132"/>
  <c r="S230" i="132" s="1"/>
  <c r="Q211" i="132"/>
  <c r="R210" i="132"/>
  <c r="S210" i="132" s="1"/>
  <c r="Q201" i="132"/>
  <c r="R200" i="132"/>
  <c r="S200" i="132" s="1"/>
  <c r="Q191" i="132"/>
  <c r="R190" i="132"/>
  <c r="S190" i="132" s="1"/>
  <c r="Q181" i="132"/>
  <c r="R180" i="132"/>
  <c r="S180" i="132" s="1"/>
  <c r="Q171" i="132"/>
  <c r="R170" i="132"/>
  <c r="S170" i="132" s="1"/>
  <c r="Q166" i="132"/>
  <c r="R165" i="132"/>
  <c r="S165" i="132" s="1"/>
  <c r="I483" i="105"/>
  <c r="J484" i="105"/>
  <c r="Q342" i="132"/>
  <c r="Q343" i="132" s="1"/>
  <c r="I428" i="131"/>
  <c r="F31" i="128"/>
  <c r="M178" i="132"/>
  <c r="G181" i="138"/>
  <c r="H181" i="138"/>
  <c r="H182" i="138" s="1"/>
  <c r="L182" i="133"/>
  <c r="M182" i="133" s="1"/>
  <c r="BR333" i="132"/>
  <c r="BR322" i="132"/>
  <c r="Q267" i="132"/>
  <c r="Q268" i="132" s="1"/>
  <c r="Q257" i="132"/>
  <c r="Q258" i="132" s="1"/>
  <c r="Q207" i="132"/>
  <c r="Q208" i="132" s="1"/>
  <c r="Q197" i="132"/>
  <c r="Q198" i="132" s="1"/>
  <c r="BO78" i="128"/>
  <c r="BP78" i="128" s="1"/>
  <c r="BO101" i="128"/>
  <c r="BP101" i="128" s="1"/>
  <c r="BO69" i="128"/>
  <c r="BP69" i="128" s="1"/>
  <c r="BO97" i="128"/>
  <c r="BP97" i="128" s="1"/>
  <c r="BO94" i="128"/>
  <c r="BP94" i="128" s="1"/>
  <c r="BO72" i="128"/>
  <c r="BP72" i="128" s="1"/>
  <c r="BO77" i="128"/>
  <c r="BP77" i="128" s="1"/>
  <c r="BO80" i="128"/>
  <c r="BP80" i="128" s="1"/>
  <c r="AJ60" i="128"/>
  <c r="AJ98" i="132"/>
  <c r="AH98" i="132"/>
  <c r="M172" i="148" s="1"/>
  <c r="AJ96" i="128"/>
  <c r="BQ100" i="128"/>
  <c r="BQ84" i="128"/>
  <c r="BQ68" i="128"/>
  <c r="BQ99" i="128"/>
  <c r="BQ91" i="128"/>
  <c r="BQ83" i="128"/>
  <c r="BQ75" i="128"/>
  <c r="BQ67" i="128"/>
  <c r="Q227" i="132" l="1"/>
  <c r="Q228" i="132" s="1"/>
  <c r="Q217" i="132"/>
  <c r="Q218" i="132" s="1"/>
  <c r="Q162" i="132"/>
  <c r="Q163" i="132" s="1"/>
  <c r="Q287" i="132"/>
  <c r="Q288" i="132" s="1"/>
  <c r="Q282" i="132"/>
  <c r="Q283" i="132" s="1"/>
  <c r="BR352" i="132"/>
  <c r="BR177" i="132"/>
  <c r="Q237" i="132"/>
  <c r="Q238" i="132" s="1"/>
  <c r="Q297" i="132"/>
  <c r="Q298" i="132" s="1"/>
  <c r="BR222" i="132"/>
  <c r="Q312" i="132"/>
  <c r="Q313" i="132" s="1"/>
  <c r="Q277" i="132"/>
  <c r="Q278" i="132" s="1"/>
  <c r="BR197" i="132"/>
  <c r="BR257" i="132"/>
  <c r="Q322" i="132"/>
  <c r="Q323" i="132" s="1"/>
  <c r="BR337" i="132"/>
  <c r="R361" i="132"/>
  <c r="R156" i="132"/>
  <c r="R221" i="132"/>
  <c r="S222" i="132" s="1"/>
  <c r="S223" i="132" s="1"/>
  <c r="R251" i="132"/>
  <c r="R281" i="132"/>
  <c r="R336" i="132"/>
  <c r="R166" i="132"/>
  <c r="BT167" i="132" s="1"/>
  <c r="R171" i="132"/>
  <c r="R181" i="132"/>
  <c r="R191" i="132"/>
  <c r="R201" i="132"/>
  <c r="BT202" i="132" s="1"/>
  <c r="R211" i="132"/>
  <c r="R231" i="132"/>
  <c r="R241" i="132"/>
  <c r="R261" i="132"/>
  <c r="BT262" i="132" s="1"/>
  <c r="R271" i="132"/>
  <c r="R291" i="132"/>
  <c r="R301" i="132"/>
  <c r="R316" i="132"/>
  <c r="BT317" i="132" s="1"/>
  <c r="R326" i="132"/>
  <c r="R346" i="132"/>
  <c r="R356" i="132"/>
  <c r="R341" i="132"/>
  <c r="BT342" i="132" s="1"/>
  <c r="R311" i="132"/>
  <c r="R186" i="132"/>
  <c r="R216" i="132"/>
  <c r="R246" i="132"/>
  <c r="BT248" i="132" s="1"/>
  <c r="R276" i="132"/>
  <c r="R306" i="132"/>
  <c r="G79" i="133"/>
  <c r="L142" i="148"/>
  <c r="M173" i="148" s="1"/>
  <c r="M174" i="148"/>
  <c r="AJ102" i="128"/>
  <c r="AK60" i="128"/>
  <c r="AK102" i="128" s="1"/>
  <c r="G22" i="128" s="1"/>
  <c r="G23" i="128" s="1"/>
  <c r="L183" i="133"/>
  <c r="F32" i="128"/>
  <c r="F130" i="148" s="1"/>
  <c r="F132" i="148" s="1"/>
  <c r="F143" i="148" s="1"/>
  <c r="F34" i="128"/>
  <c r="E324" i="148" s="1"/>
  <c r="E320" i="148" s="1"/>
  <c r="J483" i="105"/>
  <c r="K484" i="105"/>
  <c r="T165" i="132"/>
  <c r="U165" i="132" s="1"/>
  <c r="S166" i="132"/>
  <c r="T170" i="132"/>
  <c r="U170" i="132" s="1"/>
  <c r="S171" i="132"/>
  <c r="BT172" i="132" s="1"/>
  <c r="S181" i="132"/>
  <c r="T180" i="132"/>
  <c r="U180" i="132" s="1"/>
  <c r="T190" i="132"/>
  <c r="U190" i="132" s="1"/>
  <c r="S191" i="132"/>
  <c r="BT192" i="132" s="1"/>
  <c r="T200" i="132"/>
  <c r="U200" i="132" s="1"/>
  <c r="S201" i="132"/>
  <c r="T210" i="132"/>
  <c r="U210" i="132" s="1"/>
  <c r="S211" i="132"/>
  <c r="BT212" i="132" s="1"/>
  <c r="T230" i="132"/>
  <c r="U230" i="132" s="1"/>
  <c r="S231" i="132"/>
  <c r="T240" i="132"/>
  <c r="U240" i="132" s="1"/>
  <c r="S241" i="132"/>
  <c r="BT242" i="132" s="1"/>
  <c r="T260" i="132"/>
  <c r="U260" i="132" s="1"/>
  <c r="S261" i="132"/>
  <c r="T270" i="132"/>
  <c r="U270" i="132" s="1"/>
  <c r="S271" i="132"/>
  <c r="BT272" i="132" s="1"/>
  <c r="T290" i="132"/>
  <c r="U290" i="132" s="1"/>
  <c r="S291" i="132"/>
  <c r="T300" i="132"/>
  <c r="U300" i="132" s="1"/>
  <c r="S301" i="132"/>
  <c r="BT302" i="132" s="1"/>
  <c r="S316" i="132"/>
  <c r="T315" i="132"/>
  <c r="U315" i="132" s="1"/>
  <c r="T325" i="132"/>
  <c r="U325" i="132" s="1"/>
  <c r="S326" i="132"/>
  <c r="S327" i="132" s="1"/>
  <c r="S328" i="132" s="1"/>
  <c r="T345" i="132"/>
  <c r="U345" i="132" s="1"/>
  <c r="S346" i="132"/>
  <c r="T355" i="132"/>
  <c r="U355" i="132" s="1"/>
  <c r="S356" i="132"/>
  <c r="S357" i="132" s="1"/>
  <c r="S358" i="132" s="1"/>
  <c r="K456" i="105"/>
  <c r="K454" i="105" s="1"/>
  <c r="M32" i="133"/>
  <c r="O158" i="132"/>
  <c r="O253" i="132"/>
  <c r="G321" i="148"/>
  <c r="AN48" i="132"/>
  <c r="AM54" i="132"/>
  <c r="T360" i="132"/>
  <c r="U360" i="132" s="1"/>
  <c r="S361" i="132"/>
  <c r="I240" i="133"/>
  <c r="I221" i="133"/>
  <c r="I241" i="133"/>
  <c r="H252" i="133" s="1"/>
  <c r="I243" i="133"/>
  <c r="P178" i="133"/>
  <c r="G219" i="133"/>
  <c r="W177" i="133"/>
  <c r="BR167" i="132"/>
  <c r="Q167" i="132"/>
  <c r="BR182" i="132"/>
  <c r="Q182" i="132"/>
  <c r="Q202" i="132"/>
  <c r="BR202" i="132"/>
  <c r="Q232" i="132"/>
  <c r="BR232" i="132"/>
  <c r="Q262" i="132"/>
  <c r="BR262" i="132"/>
  <c r="Q292" i="132"/>
  <c r="BR292" i="132"/>
  <c r="BR317" i="132"/>
  <c r="Q317" i="132"/>
  <c r="BR347" i="132"/>
  <c r="Q347" i="132"/>
  <c r="AK96" i="132"/>
  <c r="AM90" i="132"/>
  <c r="AK68" i="132"/>
  <c r="AM62" i="132"/>
  <c r="C324" i="148"/>
  <c r="O435" i="105"/>
  <c r="T340" i="132"/>
  <c r="U340" i="132" s="1"/>
  <c r="S341" i="132"/>
  <c r="T341" i="132" s="1"/>
  <c r="R310" i="105"/>
  <c r="F308" i="105"/>
  <c r="J54" i="138"/>
  <c r="I58" i="138"/>
  <c r="O363" i="132"/>
  <c r="T155" i="132"/>
  <c r="U155" i="132" s="1"/>
  <c r="S156" i="132"/>
  <c r="T220" i="132"/>
  <c r="U220" i="132" s="1"/>
  <c r="S221" i="132"/>
  <c r="T250" i="132"/>
  <c r="U250" i="132" s="1"/>
  <c r="S251" i="132"/>
  <c r="T280" i="132"/>
  <c r="U280" i="132" s="1"/>
  <c r="S281" i="132"/>
  <c r="T335" i="132"/>
  <c r="U335" i="132" s="1"/>
  <c r="S336" i="132"/>
  <c r="I67" i="138"/>
  <c r="X10" i="138"/>
  <c r="J25" i="138" s="1"/>
  <c r="J486" i="105" s="1"/>
  <c r="AP318" i="138"/>
  <c r="T310" i="132"/>
  <c r="U310" i="132" s="1"/>
  <c r="S311" i="132"/>
  <c r="T311" i="132" s="1"/>
  <c r="T185" i="132"/>
  <c r="U185" i="132" s="1"/>
  <c r="S186" i="132"/>
  <c r="T186" i="132" s="1"/>
  <c r="T215" i="132"/>
  <c r="U215" i="132" s="1"/>
  <c r="S216" i="132"/>
  <c r="T216" i="132" s="1"/>
  <c r="T245" i="132"/>
  <c r="U245" i="132" s="1"/>
  <c r="S246" i="132"/>
  <c r="T246" i="132" s="1"/>
  <c r="T275" i="132"/>
  <c r="U275" i="132" s="1"/>
  <c r="S276" i="132"/>
  <c r="T276" i="132" s="1"/>
  <c r="T305" i="132"/>
  <c r="U305" i="132" s="1"/>
  <c r="S306" i="132"/>
  <c r="T306" i="132" s="1"/>
  <c r="K8" i="219"/>
  <c r="I30" i="133"/>
  <c r="Q279" i="107"/>
  <c r="K186" i="133"/>
  <c r="Q160" i="105"/>
  <c r="P116" i="107"/>
  <c r="O66" i="162"/>
  <c r="M33" i="105" s="1"/>
  <c r="O160" i="105"/>
  <c r="N116" i="107"/>
  <c r="M66" i="162"/>
  <c r="K33" i="105" s="1"/>
  <c r="M160" i="105"/>
  <c r="L116" i="107"/>
  <c r="K66" i="162"/>
  <c r="I33" i="105" s="1"/>
  <c r="K160" i="105"/>
  <c r="J116" i="107"/>
  <c r="I66" i="162"/>
  <c r="G33" i="105" s="1"/>
  <c r="I160" i="105"/>
  <c r="H116" i="107"/>
  <c r="G66" i="162"/>
  <c r="E33" i="105" s="1"/>
  <c r="BQ80" i="128"/>
  <c r="BQ77" i="128"/>
  <c r="BQ72" i="128"/>
  <c r="BQ94" i="128"/>
  <c r="BQ97" i="128"/>
  <c r="BQ69" i="128"/>
  <c r="BQ101" i="128"/>
  <c r="BQ78" i="128"/>
  <c r="I234" i="133"/>
  <c r="I235" i="133" s="1"/>
  <c r="R161" i="132"/>
  <c r="R176" i="132"/>
  <c r="R196" i="132"/>
  <c r="R206" i="132"/>
  <c r="R226" i="132"/>
  <c r="R236" i="132"/>
  <c r="R256" i="132"/>
  <c r="R266" i="132"/>
  <c r="R286" i="132"/>
  <c r="R296" i="132"/>
  <c r="R321" i="132"/>
  <c r="R331" i="132"/>
  <c r="R351" i="132"/>
  <c r="M368" i="132"/>
  <c r="M370" i="132" s="1"/>
  <c r="F34" i="132" s="1"/>
  <c r="G673" i="131" s="1"/>
  <c r="X105" i="148" s="1"/>
  <c r="M183" i="133"/>
  <c r="M185" i="133" s="1"/>
  <c r="AJ103" i="128"/>
  <c r="AK96" i="128"/>
  <c r="AK103" i="128" s="1"/>
  <c r="G24" i="128" s="1"/>
  <c r="S167" i="132"/>
  <c r="S168" i="132" s="1"/>
  <c r="S182" i="132"/>
  <c r="S183" i="132" s="1"/>
  <c r="S202" i="132"/>
  <c r="S203" i="132" s="1"/>
  <c r="S232" i="132"/>
  <c r="S233" i="132" s="1"/>
  <c r="S262" i="132"/>
  <c r="S263" i="132" s="1"/>
  <c r="S292" i="132"/>
  <c r="S293" i="132" s="1"/>
  <c r="S317" i="132"/>
  <c r="S318" i="132" s="1"/>
  <c r="BT347" i="132"/>
  <c r="Q34" i="133"/>
  <c r="R34" i="133" s="1"/>
  <c r="S34" i="133" s="1"/>
  <c r="T34" i="133" s="1"/>
  <c r="U34" i="133" s="1"/>
  <c r="V34" i="133" s="1"/>
  <c r="O455" i="105"/>
  <c r="O369" i="132"/>
  <c r="O313" i="132"/>
  <c r="O218" i="132"/>
  <c r="O278" i="132"/>
  <c r="G278" i="107"/>
  <c r="J229" i="133"/>
  <c r="W188" i="133"/>
  <c r="G61" i="133"/>
  <c r="AN76" i="132"/>
  <c r="AM82" i="132"/>
  <c r="BT362" i="132"/>
  <c r="H14" i="138"/>
  <c r="BR172" i="132"/>
  <c r="Q172" i="132"/>
  <c r="Q192" i="132"/>
  <c r="BR192" i="132"/>
  <c r="Q212" i="132"/>
  <c r="BR212" i="132"/>
  <c r="Q242" i="132"/>
  <c r="BR242" i="132"/>
  <c r="Q272" i="132"/>
  <c r="BR272" i="132"/>
  <c r="Q302" i="132"/>
  <c r="BR302" i="132"/>
  <c r="BR327" i="132"/>
  <c r="Q327" i="132"/>
  <c r="BR357" i="132"/>
  <c r="Q357" i="132"/>
  <c r="S160" i="105"/>
  <c r="R116" i="107"/>
  <c r="Q66" i="162"/>
  <c r="O33" i="105" s="1"/>
  <c r="AC105" i="148"/>
  <c r="W88" i="148"/>
  <c r="AK75" i="132"/>
  <c r="AM69" i="132"/>
  <c r="AM55" i="132"/>
  <c r="AK61" i="132"/>
  <c r="Q362" i="132"/>
  <c r="Q363" i="132" s="1"/>
  <c r="BR362" i="132"/>
  <c r="S161" i="132"/>
  <c r="T160" i="132"/>
  <c r="U160" i="132" s="1"/>
  <c r="T175" i="132"/>
  <c r="U175" i="132" s="1"/>
  <c r="S176" i="132"/>
  <c r="T195" i="132"/>
  <c r="U195" i="132" s="1"/>
  <c r="S196" i="132"/>
  <c r="T205" i="132"/>
  <c r="U205" i="132" s="1"/>
  <c r="S206" i="132"/>
  <c r="T225" i="132"/>
  <c r="U225" i="132" s="1"/>
  <c r="S226" i="132"/>
  <c r="T235" i="132"/>
  <c r="U235" i="132" s="1"/>
  <c r="S236" i="132"/>
  <c r="T255" i="132"/>
  <c r="U255" i="132" s="1"/>
  <c r="S256" i="132"/>
  <c r="T265" i="132"/>
  <c r="U265" i="132" s="1"/>
  <c r="S266" i="132"/>
  <c r="T285" i="132"/>
  <c r="U285" i="132" s="1"/>
  <c r="S286" i="132"/>
  <c r="T295" i="132"/>
  <c r="U295" i="132" s="1"/>
  <c r="S296" i="132"/>
  <c r="T320" i="132"/>
  <c r="U320" i="132" s="1"/>
  <c r="S321" i="132"/>
  <c r="T330" i="132"/>
  <c r="U330" i="132" s="1"/>
  <c r="S331" i="132"/>
  <c r="T350" i="132"/>
  <c r="U350" i="132" s="1"/>
  <c r="S351" i="132"/>
  <c r="G19" i="105"/>
  <c r="Z16" i="138"/>
  <c r="L26" i="138" s="1"/>
  <c r="L478" i="105" s="1"/>
  <c r="L477" i="105" s="1"/>
  <c r="L476" i="105" s="1"/>
  <c r="L475" i="105" s="1"/>
  <c r="AR91" i="138"/>
  <c r="D379" i="148"/>
  <c r="D378" i="148" s="1"/>
  <c r="AB114" i="148"/>
  <c r="L190" i="148"/>
  <c r="L191" i="148" s="1"/>
  <c r="E146" i="148"/>
  <c r="F679" i="131" s="1"/>
  <c r="G685" i="131" s="1"/>
  <c r="G682" i="131" s="1"/>
  <c r="O188" i="132"/>
  <c r="O248" i="132"/>
  <c r="O308" i="132"/>
  <c r="BT157" i="132"/>
  <c r="S157" i="132"/>
  <c r="S158" i="132" s="1"/>
  <c r="BT222" i="132"/>
  <c r="BT252" i="132"/>
  <c r="S252" i="132"/>
  <c r="S253" i="132" s="1"/>
  <c r="BT282" i="132"/>
  <c r="BT337" i="132"/>
  <c r="S337" i="132"/>
  <c r="S338" i="132" s="1"/>
  <c r="O179" i="133"/>
  <c r="K196" i="105"/>
  <c r="J223" i="107"/>
  <c r="J32" i="214" s="1"/>
  <c r="G58" i="105"/>
  <c r="J137" i="107"/>
  <c r="J656" i="107" s="1"/>
  <c r="S187" i="132"/>
  <c r="S188" i="132" s="1"/>
  <c r="S307" i="132"/>
  <c r="S308" i="132" s="1"/>
  <c r="N449" i="105"/>
  <c r="M448" i="105"/>
  <c r="M434" i="105" s="1"/>
  <c r="R160" i="105"/>
  <c r="Q116" i="107"/>
  <c r="P66" i="162"/>
  <c r="N33" i="105" s="1"/>
  <c r="P160" i="105"/>
  <c r="O116" i="107"/>
  <c r="N66" i="162"/>
  <c r="L33" i="105" s="1"/>
  <c r="N160" i="105"/>
  <c r="M116" i="107"/>
  <c r="L66" i="162"/>
  <c r="J33" i="105" s="1"/>
  <c r="L160" i="105"/>
  <c r="K116" i="107"/>
  <c r="J66" i="162"/>
  <c r="H33" i="105" s="1"/>
  <c r="J160" i="105"/>
  <c r="I116" i="107"/>
  <c r="H66" i="162"/>
  <c r="F33" i="105" s="1"/>
  <c r="F70" i="162"/>
  <c r="D33" i="132"/>
  <c r="D34" i="132" s="1"/>
  <c r="Q369" i="132"/>
  <c r="BQ73" i="128"/>
  <c r="BQ89" i="128"/>
  <c r="BQ64" i="128"/>
  <c r="BQ96" i="128"/>
  <c r="BQ86" i="128"/>
  <c r="BQ66" i="128"/>
  <c r="BQ82" i="128"/>
  <c r="BQ98" i="128"/>
  <c r="N182" i="133"/>
  <c r="BQ61" i="128"/>
  <c r="BQ62" i="128"/>
  <c r="BQ65" i="128"/>
  <c r="BQ85" i="128"/>
  <c r="BQ74" i="128"/>
  <c r="BQ81" i="128"/>
  <c r="BQ93" i="128"/>
  <c r="BQ90" i="128"/>
  <c r="BQ70" i="128"/>
  <c r="BQ88" i="128"/>
  <c r="S247" i="132" l="1"/>
  <c r="S248" i="132" s="1"/>
  <c r="S217" i="132"/>
  <c r="S218" i="132" s="1"/>
  <c r="T161" i="132"/>
  <c r="BT327" i="132"/>
  <c r="S272" i="132"/>
  <c r="S273" i="132" s="1"/>
  <c r="S212" i="132"/>
  <c r="S213" i="132" s="1"/>
  <c r="S172" i="132"/>
  <c r="S173" i="132" s="1"/>
  <c r="S342" i="132"/>
  <c r="S343" i="132" s="1"/>
  <c r="S277" i="132"/>
  <c r="S278" i="132" s="1"/>
  <c r="S312" i="132"/>
  <c r="S313" i="132" s="1"/>
  <c r="BT357" i="132"/>
  <c r="S302" i="132"/>
  <c r="S303" i="132" s="1"/>
  <c r="S242" i="132"/>
  <c r="S243" i="132" s="1"/>
  <c r="S192" i="132"/>
  <c r="S193" i="132" s="1"/>
  <c r="BT307" i="132"/>
  <c r="BT187" i="132"/>
  <c r="S347" i="132"/>
  <c r="S348" i="132" s="1"/>
  <c r="BT292" i="132"/>
  <c r="BT232" i="132"/>
  <c r="BT182" i="132"/>
  <c r="S282" i="132"/>
  <c r="S362" i="132"/>
  <c r="S363" i="132" s="1"/>
  <c r="BT277" i="132"/>
  <c r="BT217" i="132"/>
  <c r="BT312" i="132"/>
  <c r="T336" i="132"/>
  <c r="T281" i="132"/>
  <c r="T251" i="132"/>
  <c r="T221" i="132"/>
  <c r="T156" i="132"/>
  <c r="T316" i="132"/>
  <c r="U317" i="132" s="1"/>
  <c r="U318" i="132" s="1"/>
  <c r="T181" i="132"/>
  <c r="AF105" i="148"/>
  <c r="X88" i="148"/>
  <c r="F56" i="105"/>
  <c r="F60" i="105" s="1"/>
  <c r="F61" i="105" s="1"/>
  <c r="F39" i="105"/>
  <c r="F40" i="105" s="1"/>
  <c r="J161" i="105"/>
  <c r="J205" i="105" s="1"/>
  <c r="J79" i="105" s="1"/>
  <c r="J80" i="105" s="1"/>
  <c r="I212" i="105"/>
  <c r="J204" i="105"/>
  <c r="K114" i="107"/>
  <c r="K214" i="107"/>
  <c r="K218" i="107" s="1"/>
  <c r="J56" i="105"/>
  <c r="J39" i="105"/>
  <c r="J40" i="105" s="1"/>
  <c r="N161" i="105"/>
  <c r="N162" i="105"/>
  <c r="K69" i="133" s="1"/>
  <c r="K104" i="133" s="1"/>
  <c r="M264" i="107" s="1"/>
  <c r="M16" i="219" s="1"/>
  <c r="O114" i="107"/>
  <c r="O214" i="107"/>
  <c r="O218" i="107" s="1"/>
  <c r="N56" i="105"/>
  <c r="N39" i="105"/>
  <c r="N40" i="105" s="1"/>
  <c r="R161" i="105"/>
  <c r="R162" i="105" s="1"/>
  <c r="O69" i="133" s="1"/>
  <c r="O104" i="133" s="1"/>
  <c r="Q264" i="107" s="1"/>
  <c r="Q16" i="219" s="1"/>
  <c r="N448" i="105"/>
  <c r="N434" i="105" s="1"/>
  <c r="O449" i="105"/>
  <c r="K197" i="105"/>
  <c r="K198" i="105" s="1"/>
  <c r="O181" i="133"/>
  <c r="L193" i="148"/>
  <c r="L194" i="148"/>
  <c r="E394" i="148" s="1"/>
  <c r="D355" i="148" s="1"/>
  <c r="D352" i="148" s="1"/>
  <c r="D351" i="148" s="1"/>
  <c r="G20" i="105"/>
  <c r="I25" i="162"/>
  <c r="U351" i="132"/>
  <c r="V351" i="132" s="1"/>
  <c r="V350" i="132"/>
  <c r="W350" i="132" s="1"/>
  <c r="U331" i="132"/>
  <c r="V331" i="132" s="1"/>
  <c r="V330" i="132"/>
  <c r="W330" i="132" s="1"/>
  <c r="U321" i="132"/>
  <c r="V321" i="132" s="1"/>
  <c r="V320" i="132"/>
  <c r="W320" i="132" s="1"/>
  <c r="V295" i="132"/>
  <c r="W295" i="132" s="1"/>
  <c r="U296" i="132"/>
  <c r="V296" i="132" s="1"/>
  <c r="V285" i="132"/>
  <c r="W285" i="132" s="1"/>
  <c r="U286" i="132"/>
  <c r="V286" i="132" s="1"/>
  <c r="V265" i="132"/>
  <c r="W265" i="132" s="1"/>
  <c r="U266" i="132"/>
  <c r="V266" i="132" s="1"/>
  <c r="V255" i="132"/>
  <c r="W255" i="132" s="1"/>
  <c r="U256" i="132"/>
  <c r="V256" i="132" s="1"/>
  <c r="V235" i="132"/>
  <c r="W235" i="132" s="1"/>
  <c r="U236" i="132"/>
  <c r="V236" i="132" s="1"/>
  <c r="V225" i="132"/>
  <c r="W225" i="132" s="1"/>
  <c r="U226" i="132"/>
  <c r="V226" i="132" s="1"/>
  <c r="V205" i="132"/>
  <c r="W205" i="132" s="1"/>
  <c r="U206" i="132"/>
  <c r="V206" i="132" s="1"/>
  <c r="V195" i="132"/>
  <c r="W195" i="132" s="1"/>
  <c r="U196" i="132"/>
  <c r="V196" i="132" s="1"/>
  <c r="V175" i="132"/>
  <c r="W175" i="132" s="1"/>
  <c r="U176" i="132"/>
  <c r="V176" i="132" s="1"/>
  <c r="AN55" i="132"/>
  <c r="AM61" i="132"/>
  <c r="R214" i="107"/>
  <c r="R218" i="107" s="1"/>
  <c r="R114" i="107"/>
  <c r="Q358" i="132"/>
  <c r="Q328" i="132"/>
  <c r="Q173" i="132"/>
  <c r="G276" i="107"/>
  <c r="G24" i="219"/>
  <c r="BT333" i="132"/>
  <c r="S332" i="132"/>
  <c r="S297" i="132"/>
  <c r="BT297" i="132"/>
  <c r="S267" i="132"/>
  <c r="BT267" i="132"/>
  <c r="S237" i="132"/>
  <c r="BT237" i="132"/>
  <c r="S207" i="132"/>
  <c r="BT207" i="132"/>
  <c r="S177" i="132"/>
  <c r="BT177" i="132"/>
  <c r="E56" i="105"/>
  <c r="E60" i="105" s="1"/>
  <c r="E61" i="105" s="1"/>
  <c r="E39" i="105"/>
  <c r="E40" i="105" s="1"/>
  <c r="I161" i="105"/>
  <c r="I205" i="105" s="1"/>
  <c r="I79" i="105" s="1"/>
  <c r="I80" i="105" s="1"/>
  <c r="I162" i="105"/>
  <c r="H212" i="105"/>
  <c r="I204" i="105"/>
  <c r="J214" i="107"/>
  <c r="J218" i="107" s="1"/>
  <c r="J114" i="107"/>
  <c r="I56" i="105"/>
  <c r="I39" i="105"/>
  <c r="I40" i="105" s="1"/>
  <c r="M161" i="105"/>
  <c r="M162" i="105" s="1"/>
  <c r="J69" i="133" s="1"/>
  <c r="J104" i="133" s="1"/>
  <c r="L264" i="107" s="1"/>
  <c r="L16" i="219" s="1"/>
  <c r="N214" i="107"/>
  <c r="N218" i="107" s="1"/>
  <c r="N114" i="107"/>
  <c r="M56" i="105"/>
  <c r="M39" i="105"/>
  <c r="M40" i="105" s="1"/>
  <c r="Q161" i="105"/>
  <c r="Q162" i="105" s="1"/>
  <c r="N69" i="133" s="1"/>
  <c r="N104" i="133" s="1"/>
  <c r="P264" i="107" s="1"/>
  <c r="P16" i="219" s="1"/>
  <c r="V305" i="132"/>
  <c r="W305" i="132" s="1"/>
  <c r="U306" i="132"/>
  <c r="V306" i="132" s="1"/>
  <c r="V275" i="132"/>
  <c r="W275" i="132" s="1"/>
  <c r="U276" i="132"/>
  <c r="V276" i="132" s="1"/>
  <c r="V245" i="132"/>
  <c r="W245" i="132" s="1"/>
  <c r="U246" i="132"/>
  <c r="V246" i="132" s="1"/>
  <c r="V215" i="132"/>
  <c r="W215" i="132" s="1"/>
  <c r="U216" i="132"/>
  <c r="V216" i="132" s="1"/>
  <c r="V185" i="132"/>
  <c r="W185" i="132" s="1"/>
  <c r="U186" i="132"/>
  <c r="V186" i="132" s="1"/>
  <c r="V310" i="132"/>
  <c r="W310" i="132" s="1"/>
  <c r="U311" i="132"/>
  <c r="V311" i="132" s="1"/>
  <c r="V335" i="132"/>
  <c r="W335" i="132" s="1"/>
  <c r="U336" i="132"/>
  <c r="V336" i="132" s="1"/>
  <c r="V280" i="132"/>
  <c r="W280" i="132" s="1"/>
  <c r="U281" i="132"/>
  <c r="V281" i="132" s="1"/>
  <c r="V250" i="132"/>
  <c r="W250" i="132" s="1"/>
  <c r="U251" i="132"/>
  <c r="V251" i="132" s="1"/>
  <c r="V220" i="132"/>
  <c r="W220" i="132" s="1"/>
  <c r="U221" i="132"/>
  <c r="V221" i="132" s="1"/>
  <c r="V155" i="132"/>
  <c r="W155" i="132" s="1"/>
  <c r="U156" i="132"/>
  <c r="V156" i="132" s="1"/>
  <c r="J57" i="138"/>
  <c r="M32" i="219"/>
  <c r="P139" i="133"/>
  <c r="U341" i="132"/>
  <c r="V341" i="132" s="1"/>
  <c r="V340" i="132"/>
  <c r="W340" i="132" s="1"/>
  <c r="Q293" i="132"/>
  <c r="Q263" i="132"/>
  <c r="Q233" i="132"/>
  <c r="Q203" i="132"/>
  <c r="G220" i="133"/>
  <c r="F255" i="133"/>
  <c r="F435" i="107" s="1"/>
  <c r="F254" i="133" s="1"/>
  <c r="G224" i="133"/>
  <c r="G222" i="133" s="1"/>
  <c r="L456" i="105"/>
  <c r="L454" i="105" s="1"/>
  <c r="N32" i="133"/>
  <c r="U316" i="132"/>
  <c r="V316" i="132" s="1"/>
  <c r="V315" i="132"/>
  <c r="W315" i="132" s="1"/>
  <c r="U181" i="132"/>
  <c r="V181" i="132" s="1"/>
  <c r="V180" i="132"/>
  <c r="W180" i="132" s="1"/>
  <c r="K483" i="105"/>
  <c r="L484" i="105"/>
  <c r="J427" i="131"/>
  <c r="G25" i="128"/>
  <c r="J426" i="131" s="1"/>
  <c r="J434" i="131" s="1"/>
  <c r="G30" i="128"/>
  <c r="G33" i="128" s="1"/>
  <c r="F332" i="148" s="1"/>
  <c r="F325" i="148" s="1"/>
  <c r="G114" i="133"/>
  <c r="O368" i="132"/>
  <c r="O370" i="132" s="1"/>
  <c r="G34" i="132" s="1"/>
  <c r="H673" i="131" s="1"/>
  <c r="Y105" i="148" s="1"/>
  <c r="AK98" i="132"/>
  <c r="T361" i="132"/>
  <c r="T356" i="132"/>
  <c r="T346" i="132"/>
  <c r="T326" i="132"/>
  <c r="T301" i="132"/>
  <c r="T291" i="132"/>
  <c r="T271" i="132"/>
  <c r="T261" i="132"/>
  <c r="T241" i="132"/>
  <c r="T231" i="132"/>
  <c r="T211" i="132"/>
  <c r="T201" i="132"/>
  <c r="T191" i="132"/>
  <c r="T171" i="132"/>
  <c r="T166" i="132"/>
  <c r="AL60" i="128"/>
  <c r="N183" i="133"/>
  <c r="N185" i="133" s="1"/>
  <c r="F68" i="162"/>
  <c r="E70" i="162"/>
  <c r="I114" i="107"/>
  <c r="I214" i="107"/>
  <c r="I218" i="107" s="1"/>
  <c r="H56" i="105"/>
  <c r="H39" i="105"/>
  <c r="H40" i="105" s="1"/>
  <c r="L161" i="105"/>
  <c r="L162" i="105" s="1"/>
  <c r="I69" i="133" s="1"/>
  <c r="I104" i="133" s="1"/>
  <c r="K264" i="107" s="1"/>
  <c r="K16" i="219" s="1"/>
  <c r="M114" i="107"/>
  <c r="M214" i="107"/>
  <c r="M218" i="107" s="1"/>
  <c r="L56" i="105"/>
  <c r="L39" i="105"/>
  <c r="L40" i="105" s="1"/>
  <c r="P161" i="105"/>
  <c r="P162" i="105" s="1"/>
  <c r="M69" i="133" s="1"/>
  <c r="M104" i="133" s="1"/>
  <c r="O264" i="107" s="1"/>
  <c r="O16" i="219" s="1"/>
  <c r="Q114" i="107"/>
  <c r="Q214" i="107"/>
  <c r="Q218" i="107" s="1"/>
  <c r="S283" i="132"/>
  <c r="E379" i="148"/>
  <c r="E378" i="148" s="1"/>
  <c r="AC114" i="148"/>
  <c r="AR92" i="138"/>
  <c r="AA15" i="138"/>
  <c r="U161" i="132"/>
  <c r="V161" i="132" s="1"/>
  <c r="V160" i="132"/>
  <c r="W160" i="132" s="1"/>
  <c r="AN69" i="132"/>
  <c r="AM75" i="132"/>
  <c r="AP88" i="148"/>
  <c r="AQ88" i="148" s="1"/>
  <c r="O56" i="105"/>
  <c r="O39" i="105"/>
  <c r="O40" i="105" s="1"/>
  <c r="S161" i="105"/>
  <c r="S162" i="105" s="1"/>
  <c r="P69" i="133" s="1"/>
  <c r="P104" i="133" s="1"/>
  <c r="R264" i="107" s="1"/>
  <c r="R16" i="219" s="1"/>
  <c r="Q303" i="132"/>
  <c r="Q273" i="132"/>
  <c r="Q243" i="132"/>
  <c r="Q213" i="132"/>
  <c r="Q193" i="132"/>
  <c r="H21" i="138"/>
  <c r="K140" i="107"/>
  <c r="G96" i="133"/>
  <c r="L240" i="107"/>
  <c r="L239" i="107" s="1"/>
  <c r="J38" i="133"/>
  <c r="J230" i="133"/>
  <c r="J231" i="133"/>
  <c r="C340" i="148"/>
  <c r="J428" i="131"/>
  <c r="G31" i="128"/>
  <c r="BT352" i="132"/>
  <c r="S352" i="132"/>
  <c r="BT322" i="132"/>
  <c r="S322" i="132"/>
  <c r="S287" i="132"/>
  <c r="BT287" i="132"/>
  <c r="S257" i="132"/>
  <c r="BT257" i="132"/>
  <c r="S227" i="132"/>
  <c r="BT227" i="132"/>
  <c r="S197" i="132"/>
  <c r="BT197" i="132"/>
  <c r="S162" i="132"/>
  <c r="BT163" i="132"/>
  <c r="H214" i="107"/>
  <c r="H218" i="107" s="1"/>
  <c r="H114" i="107"/>
  <c r="G56" i="105"/>
  <c r="G60" i="105" s="1"/>
  <c r="G61" i="105" s="1"/>
  <c r="G39" i="105"/>
  <c r="G40" i="105" s="1"/>
  <c r="K161" i="105"/>
  <c r="K162" i="105" s="1"/>
  <c r="H69" i="133" s="1"/>
  <c r="H104" i="133" s="1"/>
  <c r="J264" i="107" s="1"/>
  <c r="J16" i="219" s="1"/>
  <c r="L214" i="107"/>
  <c r="L218" i="107" s="1"/>
  <c r="L114" i="107"/>
  <c r="K56" i="105"/>
  <c r="K39" i="105"/>
  <c r="K40" i="105" s="1"/>
  <c r="O161" i="105"/>
  <c r="O162" i="105" s="1"/>
  <c r="L69" i="133" s="1"/>
  <c r="L104" i="133" s="1"/>
  <c r="N264" i="107" s="1"/>
  <c r="N16" i="219" s="1"/>
  <c r="P214" i="107"/>
  <c r="P218" i="107" s="1"/>
  <c r="P114" i="107"/>
  <c r="K187" i="133"/>
  <c r="U307" i="132"/>
  <c r="U308" i="132" s="1"/>
  <c r="U277" i="132"/>
  <c r="U278" i="132" s="1"/>
  <c r="U247" i="132"/>
  <c r="U248" i="132" s="1"/>
  <c r="U187" i="132"/>
  <c r="U188" i="132" s="1"/>
  <c r="U312" i="132"/>
  <c r="U313" i="132" s="1"/>
  <c r="AP319" i="138"/>
  <c r="Y9" i="138"/>
  <c r="U337" i="132"/>
  <c r="U282" i="132"/>
  <c r="U283" i="132" s="1"/>
  <c r="U252" i="132"/>
  <c r="U253" i="132" s="1"/>
  <c r="U157" i="132"/>
  <c r="U158" i="132" s="1"/>
  <c r="I59" i="138"/>
  <c r="I19" i="138" s="1"/>
  <c r="L139" i="107" s="1"/>
  <c r="I487" i="105"/>
  <c r="I485" i="105" s="1"/>
  <c r="F310" i="105"/>
  <c r="S308" i="105"/>
  <c r="BV342" i="132"/>
  <c r="P436" i="105"/>
  <c r="P438" i="105"/>
  <c r="C320" i="148"/>
  <c r="P437" i="105"/>
  <c r="P439" i="105"/>
  <c r="AN62" i="132"/>
  <c r="AM68" i="132"/>
  <c r="AN90" i="132"/>
  <c r="AM96" i="132"/>
  <c r="Q348" i="132"/>
  <c r="Q318" i="132"/>
  <c r="Q183" i="132"/>
  <c r="Q168" i="132"/>
  <c r="P179" i="133"/>
  <c r="P181" i="133" s="1"/>
  <c r="U361" i="132"/>
  <c r="V361" i="132" s="1"/>
  <c r="V360" i="132"/>
  <c r="W360" i="132" s="1"/>
  <c r="U356" i="132"/>
  <c r="V356" i="132" s="1"/>
  <c r="V355" i="132"/>
  <c r="W355" i="132" s="1"/>
  <c r="U346" i="132"/>
  <c r="V346" i="132" s="1"/>
  <c r="V345" i="132"/>
  <c r="W345" i="132" s="1"/>
  <c r="U326" i="132"/>
  <c r="V326" i="132" s="1"/>
  <c r="V325" i="132"/>
  <c r="W325" i="132" s="1"/>
  <c r="V300" i="132"/>
  <c r="W300" i="132" s="1"/>
  <c r="U301" i="132"/>
  <c r="V301" i="132" s="1"/>
  <c r="V290" i="132"/>
  <c r="W290" i="132" s="1"/>
  <c r="U291" i="132"/>
  <c r="V291" i="132" s="1"/>
  <c r="V270" i="132"/>
  <c r="W270" i="132" s="1"/>
  <c r="U271" i="132"/>
  <c r="V271" i="132" s="1"/>
  <c r="V260" i="132"/>
  <c r="W260" i="132" s="1"/>
  <c r="U261" i="132"/>
  <c r="V261" i="132" s="1"/>
  <c r="V240" i="132"/>
  <c r="W240" i="132" s="1"/>
  <c r="U241" i="132"/>
  <c r="V241" i="132" s="1"/>
  <c r="V230" i="132"/>
  <c r="W230" i="132" s="1"/>
  <c r="U231" i="132"/>
  <c r="V231" i="132" s="1"/>
  <c r="V210" i="132"/>
  <c r="W210" i="132" s="1"/>
  <c r="U211" i="132"/>
  <c r="V211" i="132" s="1"/>
  <c r="V200" i="132"/>
  <c r="W200" i="132" s="1"/>
  <c r="U201" i="132"/>
  <c r="V201" i="132" s="1"/>
  <c r="V190" i="132"/>
  <c r="W190" i="132" s="1"/>
  <c r="U191" i="132"/>
  <c r="V191" i="132" s="1"/>
  <c r="BV182" i="132"/>
  <c r="U182" i="132"/>
  <c r="U183" i="132" s="1"/>
  <c r="V170" i="132"/>
  <c r="W170" i="132" s="1"/>
  <c r="U171" i="132"/>
  <c r="V171" i="132" s="1"/>
  <c r="V165" i="132"/>
  <c r="W165" i="132" s="1"/>
  <c r="U166" i="132"/>
  <c r="V166" i="132" s="1"/>
  <c r="F46" i="148"/>
  <c r="F145" i="148"/>
  <c r="L185" i="133"/>
  <c r="T351" i="132"/>
  <c r="T331" i="132"/>
  <c r="T321" i="132"/>
  <c r="T296" i="132"/>
  <c r="T286" i="132"/>
  <c r="T266" i="132"/>
  <c r="T256" i="132"/>
  <c r="T236" i="132"/>
  <c r="T226" i="132"/>
  <c r="T206" i="132"/>
  <c r="T196" i="132"/>
  <c r="T176" i="132"/>
  <c r="AL96" i="128"/>
  <c r="BV317" i="132" l="1"/>
  <c r="AM98" i="132"/>
  <c r="AN98" i="132" s="1"/>
  <c r="S369" i="132"/>
  <c r="BV282" i="132"/>
  <c r="U222" i="132"/>
  <c r="U217" i="132"/>
  <c r="U218" i="132" s="1"/>
  <c r="BV222" i="132"/>
  <c r="U342" i="132"/>
  <c r="U343" i="132" s="1"/>
  <c r="BV157" i="132"/>
  <c r="BV252" i="132"/>
  <c r="BV337" i="132"/>
  <c r="BV312" i="132"/>
  <c r="BV187" i="132"/>
  <c r="BV217" i="132"/>
  <c r="BV248" i="132"/>
  <c r="BV277" i="132"/>
  <c r="BV307" i="132"/>
  <c r="Q368" i="132"/>
  <c r="Q370" i="132" s="1"/>
  <c r="H34" i="132" s="1"/>
  <c r="I673" i="131" s="1"/>
  <c r="Z105" i="148" s="1"/>
  <c r="AL105" i="148" s="1"/>
  <c r="AI105" i="148"/>
  <c r="Y88" i="148"/>
  <c r="H79" i="133"/>
  <c r="AL103" i="128"/>
  <c r="AM96" i="128"/>
  <c r="AN96" i="128" s="1"/>
  <c r="AN103" i="128" s="1"/>
  <c r="I24" i="128" s="1"/>
  <c r="U207" i="132"/>
  <c r="U208" i="132" s="1"/>
  <c r="BV207" i="132"/>
  <c r="U237" i="132"/>
  <c r="U238" i="132" s="1"/>
  <c r="BV237" i="132"/>
  <c r="U297" i="132"/>
  <c r="U298" i="132" s="1"/>
  <c r="BV297" i="132"/>
  <c r="BV333" i="132"/>
  <c r="U332" i="132"/>
  <c r="U333" i="132" s="1"/>
  <c r="X345" i="132"/>
  <c r="Y345" i="132" s="1"/>
  <c r="W346" i="132"/>
  <c r="X346" i="132" s="1"/>
  <c r="X360" i="132"/>
  <c r="Y360" i="132" s="1"/>
  <c r="W361" i="132"/>
  <c r="X361" i="132" s="1"/>
  <c r="U197" i="132"/>
  <c r="U198" i="132" s="1"/>
  <c r="BV197" i="132"/>
  <c r="U227" i="132"/>
  <c r="U228" i="132" s="1"/>
  <c r="BV227" i="132"/>
  <c r="U257" i="132"/>
  <c r="U258" i="132" s="1"/>
  <c r="BV257" i="132"/>
  <c r="U287" i="132"/>
  <c r="U288" i="132" s="1"/>
  <c r="BV287" i="132"/>
  <c r="BV322" i="132"/>
  <c r="U322" i="132"/>
  <c r="U323" i="132" s="1"/>
  <c r="BV352" i="132"/>
  <c r="U352" i="132"/>
  <c r="U353" i="132" s="1"/>
  <c r="L186" i="133"/>
  <c r="X165" i="132"/>
  <c r="Y165" i="132" s="1"/>
  <c r="W166" i="132"/>
  <c r="X166" i="132" s="1"/>
  <c r="X170" i="132"/>
  <c r="Y170" i="132" s="1"/>
  <c r="W171" i="132"/>
  <c r="X171" i="132" s="1"/>
  <c r="X190" i="132"/>
  <c r="Y190" i="132" s="1"/>
  <c r="W191" i="132"/>
  <c r="X191" i="132" s="1"/>
  <c r="X200" i="132"/>
  <c r="Y200" i="132" s="1"/>
  <c r="W201" i="132"/>
  <c r="X201" i="132" s="1"/>
  <c r="X210" i="132"/>
  <c r="Y210" i="132" s="1"/>
  <c r="W211" i="132"/>
  <c r="X211" i="132" s="1"/>
  <c r="X230" i="132"/>
  <c r="Y230" i="132" s="1"/>
  <c r="W231" i="132"/>
  <c r="X231" i="132" s="1"/>
  <c r="X240" i="132"/>
  <c r="Y240" i="132" s="1"/>
  <c r="W241" i="132"/>
  <c r="X241" i="132" s="1"/>
  <c r="X260" i="132"/>
  <c r="Y260" i="132" s="1"/>
  <c r="W261" i="132"/>
  <c r="X261" i="132" s="1"/>
  <c r="X270" i="132"/>
  <c r="Y270" i="132" s="1"/>
  <c r="W271" i="132"/>
  <c r="X271" i="132" s="1"/>
  <c r="X290" i="132"/>
  <c r="Y290" i="132" s="1"/>
  <c r="W291" i="132"/>
  <c r="X291" i="132" s="1"/>
  <c r="X300" i="132"/>
  <c r="Y300" i="132" s="1"/>
  <c r="W301" i="132"/>
  <c r="X301" i="132" s="1"/>
  <c r="U223" i="132"/>
  <c r="U338" i="132"/>
  <c r="Y10" i="138"/>
  <c r="K25" i="138" s="1"/>
  <c r="K486" i="105" s="1"/>
  <c r="AQ318" i="138"/>
  <c r="K189" i="133"/>
  <c r="P29" i="214"/>
  <c r="P220" i="107"/>
  <c r="P30" i="214" s="1"/>
  <c r="L654" i="107"/>
  <c r="L131" i="107"/>
  <c r="H29" i="214"/>
  <c r="H33" i="214" s="1"/>
  <c r="H77" i="214" s="1"/>
  <c r="H7" i="214" s="1"/>
  <c r="H220" i="107"/>
  <c r="H30" i="214" s="1"/>
  <c r="S163" i="132"/>
  <c r="S198" i="132"/>
  <c r="S228" i="132"/>
  <c r="S258" i="132"/>
  <c r="S288" i="132"/>
  <c r="G32" i="128"/>
  <c r="G130" i="148" s="1"/>
  <c r="G132" i="148" s="1"/>
  <c r="G143" i="148" s="1"/>
  <c r="G34" i="128"/>
  <c r="F324" i="148" s="1"/>
  <c r="F320" i="148" s="1"/>
  <c r="J232" i="133"/>
  <c r="I68" i="138" s="1"/>
  <c r="I69" i="138" s="1"/>
  <c r="J239" i="133"/>
  <c r="I256" i="107"/>
  <c r="K138" i="107"/>
  <c r="AA16" i="138"/>
  <c r="M26" i="138" s="1"/>
  <c r="M478" i="105" s="1"/>
  <c r="M477" i="105" s="1"/>
  <c r="M476" i="105" s="1"/>
  <c r="M475" i="105" s="1"/>
  <c r="AS91" i="138"/>
  <c r="Q654" i="107"/>
  <c r="Q131" i="107"/>
  <c r="M29" i="214"/>
  <c r="M220" i="107"/>
  <c r="M30" i="214" s="1"/>
  <c r="I654" i="107"/>
  <c r="I131" i="107"/>
  <c r="I213" i="105"/>
  <c r="I214" i="105" s="1"/>
  <c r="H160" i="105"/>
  <c r="G116" i="107"/>
  <c r="F66" i="162"/>
  <c r="U172" i="132"/>
  <c r="BV172" i="132"/>
  <c r="U202" i="132"/>
  <c r="BV202" i="132"/>
  <c r="U232" i="132"/>
  <c r="BV232" i="132"/>
  <c r="U262" i="132"/>
  <c r="BV262" i="132"/>
  <c r="U292" i="132"/>
  <c r="BV292" i="132"/>
  <c r="BV327" i="132"/>
  <c r="U327" i="132"/>
  <c r="BV357" i="132"/>
  <c r="U357" i="132"/>
  <c r="I278" i="107"/>
  <c r="L483" i="105"/>
  <c r="M484" i="105"/>
  <c r="X180" i="132"/>
  <c r="Y180" i="132" s="1"/>
  <c r="W181" i="132"/>
  <c r="X181" i="132" s="1"/>
  <c r="X315" i="132"/>
  <c r="Y315" i="132" s="1"/>
  <c r="W316" i="132"/>
  <c r="X316" i="132" s="1"/>
  <c r="M456" i="105"/>
  <c r="M454" i="105" s="1"/>
  <c r="O32" i="133"/>
  <c r="R279" i="107"/>
  <c r="E279" i="107" s="1"/>
  <c r="W139" i="133"/>
  <c r="X139" i="133" s="1"/>
  <c r="K54" i="138"/>
  <c r="J58" i="138"/>
  <c r="X155" i="132"/>
  <c r="Y155" i="132" s="1"/>
  <c r="W156" i="132"/>
  <c r="X156" i="132" s="1"/>
  <c r="X220" i="132"/>
  <c r="Y220" i="132" s="1"/>
  <c r="W221" i="132"/>
  <c r="X221" i="132" s="1"/>
  <c r="X250" i="132"/>
  <c r="Y250" i="132" s="1"/>
  <c r="W251" i="132"/>
  <c r="X251" i="132" s="1"/>
  <c r="X280" i="132"/>
  <c r="Y280" i="132" s="1"/>
  <c r="W281" i="132"/>
  <c r="X281" i="132" s="1"/>
  <c r="X335" i="132"/>
  <c r="Y335" i="132" s="1"/>
  <c r="W336" i="132"/>
  <c r="X336" i="132" s="1"/>
  <c r="X310" i="132"/>
  <c r="Y310" i="132" s="1"/>
  <c r="W311" i="132"/>
  <c r="X311" i="132" s="1"/>
  <c r="X185" i="132"/>
  <c r="Y185" i="132" s="1"/>
  <c r="W186" i="132"/>
  <c r="X186" i="132" s="1"/>
  <c r="X215" i="132"/>
  <c r="Y215" i="132" s="1"/>
  <c r="W216" i="132"/>
  <c r="X216" i="132" s="1"/>
  <c r="X245" i="132"/>
  <c r="Y245" i="132" s="1"/>
  <c r="W246" i="132"/>
  <c r="X246" i="132" s="1"/>
  <c r="X275" i="132"/>
  <c r="Y275" i="132" s="1"/>
  <c r="W276" i="132"/>
  <c r="X276" i="132" s="1"/>
  <c r="X305" i="132"/>
  <c r="Y305" i="132" s="1"/>
  <c r="W306" i="132"/>
  <c r="X306" i="132" s="1"/>
  <c r="N654" i="107"/>
  <c r="N131" i="107"/>
  <c r="J29" i="214"/>
  <c r="J33" i="214" s="1"/>
  <c r="J77" i="214" s="1"/>
  <c r="J7" i="214" s="1"/>
  <c r="J220" i="107"/>
  <c r="J30" i="214" s="1"/>
  <c r="I371" i="105"/>
  <c r="I370" i="105"/>
  <c r="J379" i="105" s="1"/>
  <c r="J389" i="105" s="1"/>
  <c r="S178" i="132"/>
  <c r="S208" i="132"/>
  <c r="S238" i="132"/>
  <c r="S268" i="132"/>
  <c r="S298" i="132"/>
  <c r="R654" i="107"/>
  <c r="R131" i="107"/>
  <c r="X320" i="132"/>
  <c r="Y320" i="132" s="1"/>
  <c r="W321" i="132"/>
  <c r="X321" i="132" s="1"/>
  <c r="X330" i="132"/>
  <c r="Y330" i="132" s="1"/>
  <c r="W331" i="132"/>
  <c r="X331" i="132" s="1"/>
  <c r="X350" i="132"/>
  <c r="Y350" i="132" s="1"/>
  <c r="W351" i="132"/>
  <c r="X351" i="132" s="1"/>
  <c r="I26" i="162"/>
  <c r="O182" i="133"/>
  <c r="H219" i="133"/>
  <c r="O29" i="214"/>
  <c r="O220" i="107"/>
  <c r="O30" i="214" s="1"/>
  <c r="K654" i="107"/>
  <c r="K131" i="107"/>
  <c r="P182" i="133"/>
  <c r="U162" i="132"/>
  <c r="U163" i="132" s="1"/>
  <c r="J162" i="105"/>
  <c r="U177" i="132"/>
  <c r="U178" i="132" s="1"/>
  <c r="BV177" i="132"/>
  <c r="U267" i="132"/>
  <c r="U268" i="132" s="1"/>
  <c r="BV267" i="132"/>
  <c r="M190" i="148"/>
  <c r="M191" i="148" s="1"/>
  <c r="F146" i="148"/>
  <c r="G679" i="131" s="1"/>
  <c r="H685" i="131" s="1"/>
  <c r="H682" i="131" s="1"/>
  <c r="BX167" i="132"/>
  <c r="W167" i="132"/>
  <c r="W168" i="132" s="1"/>
  <c r="BX172" i="132"/>
  <c r="W172" i="132"/>
  <c r="W173" i="132" s="1"/>
  <c r="BX192" i="132"/>
  <c r="W192" i="132"/>
  <c r="W193" i="132" s="1"/>
  <c r="BX212" i="132"/>
  <c r="W212" i="132"/>
  <c r="W213" i="132" s="1"/>
  <c r="BX242" i="132"/>
  <c r="W242" i="132"/>
  <c r="W243" i="132" s="1"/>
  <c r="BX272" i="132"/>
  <c r="W272" i="132"/>
  <c r="W273" i="132" s="1"/>
  <c r="BX292" i="132"/>
  <c r="W292" i="132"/>
  <c r="W293" i="132" s="1"/>
  <c r="BX302" i="132"/>
  <c r="W302" i="132"/>
  <c r="W303" i="132" s="1"/>
  <c r="X325" i="132"/>
  <c r="Y325" i="132" s="1"/>
  <c r="W326" i="132"/>
  <c r="X326" i="132" s="1"/>
  <c r="X355" i="132"/>
  <c r="Y355" i="132" s="1"/>
  <c r="W356" i="132"/>
  <c r="X356" i="132" s="1"/>
  <c r="P654" i="107"/>
  <c r="P131" i="107"/>
  <c r="L29" i="214"/>
  <c r="L220" i="107"/>
  <c r="L30" i="214" s="1"/>
  <c r="H654" i="107"/>
  <c r="H131" i="107"/>
  <c r="H213" i="105"/>
  <c r="H214" i="105" s="1"/>
  <c r="S323" i="132"/>
  <c r="S353" i="132"/>
  <c r="C40" i="148"/>
  <c r="C35" i="148"/>
  <c r="L8" i="219"/>
  <c r="J30" i="133"/>
  <c r="X160" i="132"/>
  <c r="Y160" i="132" s="1"/>
  <c r="W161" i="132"/>
  <c r="X161" i="132" s="1"/>
  <c r="F379" i="148"/>
  <c r="F378" i="148" s="1"/>
  <c r="AD114" i="148"/>
  <c r="G379" i="148" s="1"/>
  <c r="G378" i="148" s="1"/>
  <c r="Q29" i="214"/>
  <c r="Q220" i="107"/>
  <c r="Q30" i="214" s="1"/>
  <c r="M654" i="107"/>
  <c r="M131" i="107"/>
  <c r="I29" i="214"/>
  <c r="I33" i="214" s="1"/>
  <c r="I77" i="214" s="1"/>
  <c r="I7" i="214" s="1"/>
  <c r="I220" i="107"/>
  <c r="I30" i="214" s="1"/>
  <c r="E68" i="162"/>
  <c r="E673" i="131"/>
  <c r="AL102" i="128"/>
  <c r="AM60" i="128"/>
  <c r="AN60" i="128" s="1"/>
  <c r="AN102" i="128" s="1"/>
  <c r="I22" i="128" s="1"/>
  <c r="I23" i="128" s="1"/>
  <c r="U167" i="132"/>
  <c r="BV167" i="132"/>
  <c r="U192" i="132"/>
  <c r="BV192" i="132"/>
  <c r="U212" i="132"/>
  <c r="BV212" i="132"/>
  <c r="U242" i="132"/>
  <c r="BV242" i="132"/>
  <c r="U272" i="132"/>
  <c r="BV272" i="132"/>
  <c r="U302" i="132"/>
  <c r="BV302" i="132"/>
  <c r="BV347" i="132"/>
  <c r="U347" i="132"/>
  <c r="U362" i="132"/>
  <c r="BV362" i="132"/>
  <c r="BX317" i="132"/>
  <c r="X340" i="132"/>
  <c r="Y340" i="132" s="1"/>
  <c r="W341" i="132"/>
  <c r="X341" i="132" s="1"/>
  <c r="W157" i="132"/>
  <c r="W158" i="132" s="1"/>
  <c r="W252" i="132"/>
  <c r="W253" i="132" s="1"/>
  <c r="W282" i="132"/>
  <c r="W283" i="132" s="1"/>
  <c r="W337" i="132"/>
  <c r="W338" i="132" s="1"/>
  <c r="W187" i="132"/>
  <c r="W217" i="132"/>
  <c r="W247" i="132"/>
  <c r="W307" i="132"/>
  <c r="N29" i="214"/>
  <c r="N220" i="107"/>
  <c r="N30" i="214" s="1"/>
  <c r="J654" i="107"/>
  <c r="J131" i="107"/>
  <c r="F69" i="133"/>
  <c r="I206" i="105"/>
  <c r="S333" i="132"/>
  <c r="R29" i="214"/>
  <c r="R220" i="107"/>
  <c r="R30" i="214" s="1"/>
  <c r="X175" i="132"/>
  <c r="Y175" i="132" s="1"/>
  <c r="W176" i="132"/>
  <c r="X176" i="132" s="1"/>
  <c r="X195" i="132"/>
  <c r="Y195" i="132" s="1"/>
  <c r="W196" i="132"/>
  <c r="X196" i="132" s="1"/>
  <c r="X205" i="132"/>
  <c r="Y205" i="132" s="1"/>
  <c r="W206" i="132"/>
  <c r="X206" i="132" s="1"/>
  <c r="X225" i="132"/>
  <c r="Y225" i="132" s="1"/>
  <c r="W226" i="132"/>
  <c r="X226" i="132" s="1"/>
  <c r="X235" i="132"/>
  <c r="Y235" i="132" s="1"/>
  <c r="W236" i="132"/>
  <c r="X236" i="132" s="1"/>
  <c r="X255" i="132"/>
  <c r="Y255" i="132" s="1"/>
  <c r="W256" i="132"/>
  <c r="X256" i="132" s="1"/>
  <c r="X265" i="132"/>
  <c r="Y265" i="132" s="1"/>
  <c r="W266" i="132"/>
  <c r="X266" i="132" s="1"/>
  <c r="X285" i="132"/>
  <c r="Y285" i="132" s="1"/>
  <c r="W286" i="132"/>
  <c r="X286" i="132" s="1"/>
  <c r="X295" i="132"/>
  <c r="Y295" i="132" s="1"/>
  <c r="W296" i="132"/>
  <c r="X296" i="132" s="1"/>
  <c r="W322" i="132"/>
  <c r="W323" i="132" s="1"/>
  <c r="BX322" i="132"/>
  <c r="W332" i="132"/>
  <c r="W333" i="132" s="1"/>
  <c r="BX333" i="132"/>
  <c r="W352" i="132"/>
  <c r="W353" i="132" s="1"/>
  <c r="BX352" i="132"/>
  <c r="K115" i="105"/>
  <c r="J95" i="107"/>
  <c r="J213" i="105" s="1"/>
  <c r="J214" i="105" s="1"/>
  <c r="G21" i="105"/>
  <c r="O448" i="105"/>
  <c r="O434" i="105" s="1"/>
  <c r="C334" i="148"/>
  <c r="O654" i="107"/>
  <c r="O131" i="107"/>
  <c r="K29" i="214"/>
  <c r="K220" i="107"/>
  <c r="K30" i="214" s="1"/>
  <c r="J370" i="105"/>
  <c r="K379" i="105" s="1"/>
  <c r="K389" i="105" s="1"/>
  <c r="J371" i="105"/>
  <c r="AS88" i="148"/>
  <c r="AT88" i="148" s="1"/>
  <c r="J234" i="133"/>
  <c r="J235" i="133" s="1"/>
  <c r="BV163" i="132"/>
  <c r="W179" i="133"/>
  <c r="W181" i="133" s="1"/>
  <c r="W362" i="132" l="1"/>
  <c r="W363" i="132" s="1"/>
  <c r="W277" i="132"/>
  <c r="W312" i="132"/>
  <c r="W222" i="132"/>
  <c r="W223" i="132" s="1"/>
  <c r="W347" i="132"/>
  <c r="W348" i="132" s="1"/>
  <c r="BX182" i="132"/>
  <c r="U369" i="132"/>
  <c r="BX307" i="132"/>
  <c r="BX277" i="132"/>
  <c r="BX248" i="132"/>
  <c r="BX217" i="132"/>
  <c r="BX187" i="132"/>
  <c r="BX312" i="132"/>
  <c r="BX337" i="132"/>
  <c r="BX282" i="132"/>
  <c r="BX252" i="132"/>
  <c r="BX222" i="132"/>
  <c r="BX157" i="132"/>
  <c r="W317" i="132"/>
  <c r="W318" i="132" s="1"/>
  <c r="W182" i="132"/>
  <c r="W183" i="132" s="1"/>
  <c r="BX362" i="132"/>
  <c r="BX347" i="132"/>
  <c r="Z88" i="148"/>
  <c r="I25" i="128"/>
  <c r="H152" i="133"/>
  <c r="K84" i="105"/>
  <c r="C319" i="148"/>
  <c r="P440" i="105"/>
  <c r="P448" i="105"/>
  <c r="P435" i="105"/>
  <c r="Z285" i="132"/>
  <c r="AA285" i="132" s="1"/>
  <c r="Y286" i="132"/>
  <c r="Z286" i="132" s="1"/>
  <c r="Z255" i="132"/>
  <c r="AA255" i="132" s="1"/>
  <c r="Y256" i="132"/>
  <c r="Z256" i="132" s="1"/>
  <c r="Z225" i="132"/>
  <c r="AA225" i="132" s="1"/>
  <c r="Y226" i="132"/>
  <c r="Z226" i="132" s="1"/>
  <c r="Z195" i="132"/>
  <c r="AA195" i="132" s="1"/>
  <c r="Y196" i="132"/>
  <c r="Z196" i="132" s="1"/>
  <c r="G520" i="105"/>
  <c r="I634" i="131"/>
  <c r="J649" i="107"/>
  <c r="W278" i="132"/>
  <c r="K372" i="105"/>
  <c r="K377" i="105" s="1"/>
  <c r="K388" i="105" s="1"/>
  <c r="L373" i="105"/>
  <c r="M374" i="105"/>
  <c r="N375" i="105"/>
  <c r="N634" i="131"/>
  <c r="D334" i="148"/>
  <c r="C333" i="148"/>
  <c r="H15" i="105"/>
  <c r="J96" i="107"/>
  <c r="G452" i="105"/>
  <c r="G451" i="105" s="1"/>
  <c r="Y287" i="132"/>
  <c r="Y288" i="132" s="1"/>
  <c r="BZ287" i="132"/>
  <c r="Y257" i="132"/>
  <c r="Y258" i="132" s="1"/>
  <c r="BZ257" i="132"/>
  <c r="Y227" i="132"/>
  <c r="Y228" i="132" s="1"/>
  <c r="BZ227" i="132"/>
  <c r="Y197" i="132"/>
  <c r="Y198" i="132" s="1"/>
  <c r="BZ197" i="132"/>
  <c r="Y341" i="132"/>
  <c r="Z341" i="132" s="1"/>
  <c r="Z340" i="132"/>
  <c r="AA340" i="132" s="1"/>
  <c r="U363" i="132"/>
  <c r="U303" i="132"/>
  <c r="U273" i="132"/>
  <c r="U243" i="132"/>
  <c r="U213" i="132"/>
  <c r="U193" i="132"/>
  <c r="U168" i="132"/>
  <c r="L634" i="131"/>
  <c r="E520" i="105"/>
  <c r="G634" i="131"/>
  <c r="H649" i="107"/>
  <c r="O634" i="131"/>
  <c r="G69" i="133"/>
  <c r="J206" i="105"/>
  <c r="P183" i="133"/>
  <c r="P185" i="133" s="1"/>
  <c r="J634" i="131"/>
  <c r="H520" i="105"/>
  <c r="G255" i="133"/>
  <c r="G435" i="107" s="1"/>
  <c r="G254" i="133" s="1"/>
  <c r="H224" i="133"/>
  <c r="H222" i="133" s="1"/>
  <c r="H220" i="133"/>
  <c r="O183" i="133"/>
  <c r="Y351" i="132"/>
  <c r="Z351" i="132" s="1"/>
  <c r="Z350" i="132"/>
  <c r="AA350" i="132" s="1"/>
  <c r="Y331" i="132"/>
  <c r="Z331" i="132" s="1"/>
  <c r="Z330" i="132"/>
  <c r="AA330" i="132" s="1"/>
  <c r="Y321" i="132"/>
  <c r="Z321" i="132" s="1"/>
  <c r="Z320" i="132"/>
  <c r="AA320" i="132" s="1"/>
  <c r="G152" i="133"/>
  <c r="J84" i="105"/>
  <c r="M634" i="131"/>
  <c r="J59" i="138"/>
  <c r="J487" i="105"/>
  <c r="J485" i="105" s="1"/>
  <c r="N456" i="105"/>
  <c r="N454" i="105" s="1"/>
  <c r="P32" i="133"/>
  <c r="M483" i="105"/>
  <c r="N484" i="105"/>
  <c r="I24" i="219"/>
  <c r="U293" i="132"/>
  <c r="U263" i="132"/>
  <c r="U233" i="132"/>
  <c r="U203" i="132"/>
  <c r="U173" i="132"/>
  <c r="E116" i="107"/>
  <c r="G114" i="107"/>
  <c r="G214" i="107"/>
  <c r="G218" i="107" s="1"/>
  <c r="L196" i="105"/>
  <c r="K223" i="107"/>
  <c r="K32" i="214" s="1"/>
  <c r="K33" i="214" s="1"/>
  <c r="K77" i="214" s="1"/>
  <c r="K7" i="214" s="1"/>
  <c r="H58" i="105"/>
  <c r="H60" i="105" s="1"/>
  <c r="H61" i="105" s="1"/>
  <c r="K137" i="107"/>
  <c r="K656" i="107" s="1"/>
  <c r="I14" i="219"/>
  <c r="I14" i="138"/>
  <c r="G46" i="148"/>
  <c r="G145" i="148"/>
  <c r="K190" i="133"/>
  <c r="Z300" i="132"/>
  <c r="AA300" i="132" s="1"/>
  <c r="Y301" i="132"/>
  <c r="Z301" i="132" s="1"/>
  <c r="Z290" i="132"/>
  <c r="AA290" i="132" s="1"/>
  <c r="Y291" i="132"/>
  <c r="Z291" i="132" s="1"/>
  <c r="Z270" i="132"/>
  <c r="AA270" i="132" s="1"/>
  <c r="Y271" i="132"/>
  <c r="Z271" i="132" s="1"/>
  <c r="Z260" i="132"/>
  <c r="AA260" i="132" s="1"/>
  <c r="Y261" i="132"/>
  <c r="Z261" i="132" s="1"/>
  <c r="Z240" i="132"/>
  <c r="AA240" i="132" s="1"/>
  <c r="Y241" i="132"/>
  <c r="Z241" i="132" s="1"/>
  <c r="Z230" i="132"/>
  <c r="AA230" i="132" s="1"/>
  <c r="Y231" i="132"/>
  <c r="Z231" i="132" s="1"/>
  <c r="Z210" i="132"/>
  <c r="AA210" i="132" s="1"/>
  <c r="Y211" i="132"/>
  <c r="Z211" i="132" s="1"/>
  <c r="Z200" i="132"/>
  <c r="AA200" i="132" s="1"/>
  <c r="Y201" i="132"/>
  <c r="Z201" i="132" s="1"/>
  <c r="Z190" i="132"/>
  <c r="AA190" i="132" s="1"/>
  <c r="Y191" i="132"/>
  <c r="Z191" i="132" s="1"/>
  <c r="Z170" i="132"/>
  <c r="AA170" i="132" s="1"/>
  <c r="Y171" i="132"/>
  <c r="Z171" i="132" s="1"/>
  <c r="Z165" i="132"/>
  <c r="AA165" i="132" s="1"/>
  <c r="Y166" i="132"/>
  <c r="Z166" i="132" s="1"/>
  <c r="AM103" i="128"/>
  <c r="H24" i="128" s="1"/>
  <c r="AO96" i="128"/>
  <c r="AO103" i="128" s="1"/>
  <c r="H114" i="133"/>
  <c r="S368" i="132"/>
  <c r="S370" i="132" s="1"/>
  <c r="BX297" i="132"/>
  <c r="BX287" i="132"/>
  <c r="BX267" i="132"/>
  <c r="BX257" i="132"/>
  <c r="BX237" i="132"/>
  <c r="BX227" i="132"/>
  <c r="BX207" i="132"/>
  <c r="BX197" i="132"/>
  <c r="BX177" i="132"/>
  <c r="BX342" i="132"/>
  <c r="W162" i="132"/>
  <c r="W163" i="132" s="1"/>
  <c r="W357" i="132"/>
  <c r="W358" i="132" s="1"/>
  <c r="W327" i="132"/>
  <c r="W328" i="132" s="1"/>
  <c r="W262" i="132"/>
  <c r="W263" i="132" s="1"/>
  <c r="W232" i="132"/>
  <c r="W233" i="132" s="1"/>
  <c r="W202" i="132"/>
  <c r="W203" i="132" s="1"/>
  <c r="K116" i="105"/>
  <c r="J212" i="105"/>
  <c r="Z295" i="132"/>
  <c r="AA295" i="132" s="1"/>
  <c r="Y296" i="132"/>
  <c r="Z296" i="132" s="1"/>
  <c r="Z265" i="132"/>
  <c r="AA265" i="132" s="1"/>
  <c r="Y266" i="132"/>
  <c r="Z266" i="132" s="1"/>
  <c r="Z235" i="132"/>
  <c r="AA235" i="132" s="1"/>
  <c r="Y236" i="132"/>
  <c r="Z236" i="132" s="1"/>
  <c r="Z205" i="132"/>
  <c r="AA205" i="132" s="1"/>
  <c r="Y206" i="132"/>
  <c r="Z206" i="132" s="1"/>
  <c r="Z175" i="132"/>
  <c r="AA175" i="132" s="1"/>
  <c r="Y176" i="132"/>
  <c r="Z176" i="132" s="1"/>
  <c r="F104" i="133"/>
  <c r="F92" i="133"/>
  <c r="W308" i="132"/>
  <c r="W248" i="132"/>
  <c r="W218" i="132"/>
  <c r="W188" i="132"/>
  <c r="W313" i="132"/>
  <c r="Y342" i="132"/>
  <c r="Y343" i="132" s="1"/>
  <c r="U348" i="132"/>
  <c r="AM102" i="128"/>
  <c r="AO60" i="128"/>
  <c r="AO102" i="128" s="1"/>
  <c r="Y161" i="132"/>
  <c r="Z161" i="132" s="1"/>
  <c r="Z160" i="132"/>
  <c r="AA160" i="132" s="1"/>
  <c r="Y356" i="132"/>
  <c r="Z356" i="132" s="1"/>
  <c r="Z355" i="132"/>
  <c r="AA355" i="132" s="1"/>
  <c r="Y326" i="132"/>
  <c r="Z326" i="132" s="1"/>
  <c r="Z325" i="132"/>
  <c r="AA325" i="132" s="1"/>
  <c r="M194" i="148"/>
  <c r="F394" i="148" s="1"/>
  <c r="E355" i="148" s="1"/>
  <c r="E352" i="148" s="1"/>
  <c r="E351" i="148" s="1"/>
  <c r="M193" i="148"/>
  <c r="BZ352" i="132"/>
  <c r="Y352" i="132"/>
  <c r="Y353" i="132" s="1"/>
  <c r="BZ333" i="132"/>
  <c r="Y332" i="132"/>
  <c r="Y333" i="132" s="1"/>
  <c r="BZ322" i="132"/>
  <c r="Y322" i="132"/>
  <c r="Y323" i="132" s="1"/>
  <c r="Q634" i="131"/>
  <c r="J372" i="105"/>
  <c r="J377" i="105" s="1"/>
  <c r="J388" i="105" s="1"/>
  <c r="K373" i="105"/>
  <c r="M375" i="105"/>
  <c r="L374" i="105"/>
  <c r="Z305" i="132"/>
  <c r="AA305" i="132" s="1"/>
  <c r="Y306" i="132"/>
  <c r="Z306" i="132" s="1"/>
  <c r="Z275" i="132"/>
  <c r="AA275" i="132" s="1"/>
  <c r="Y276" i="132"/>
  <c r="Z276" i="132" s="1"/>
  <c r="Z245" i="132"/>
  <c r="AA245" i="132" s="1"/>
  <c r="Y246" i="132"/>
  <c r="Z246" i="132" s="1"/>
  <c r="Z215" i="132"/>
  <c r="AA215" i="132" s="1"/>
  <c r="Y216" i="132"/>
  <c r="Z216" i="132" s="1"/>
  <c r="Z185" i="132"/>
  <c r="AA185" i="132" s="1"/>
  <c r="Y186" i="132"/>
  <c r="Z186" i="132" s="1"/>
  <c r="Z310" i="132"/>
  <c r="AA310" i="132" s="1"/>
  <c r="Y311" i="132"/>
  <c r="Z311" i="132" s="1"/>
  <c r="Z335" i="132"/>
  <c r="AA335" i="132" s="1"/>
  <c r="Y336" i="132"/>
  <c r="Z336" i="132" s="1"/>
  <c r="Z280" i="132"/>
  <c r="AA280" i="132" s="1"/>
  <c r="Y281" i="132"/>
  <c r="Z281" i="132" s="1"/>
  <c r="Z250" i="132"/>
  <c r="AA250" i="132" s="1"/>
  <c r="Y251" i="132"/>
  <c r="Z251" i="132" s="1"/>
  <c r="Z220" i="132"/>
  <c r="AA220" i="132" s="1"/>
  <c r="Y221" i="132"/>
  <c r="Z221" i="132" s="1"/>
  <c r="Z155" i="132"/>
  <c r="AA155" i="132" s="1"/>
  <c r="Y156" i="132"/>
  <c r="Z156" i="132" s="1"/>
  <c r="K57" i="138"/>
  <c r="N32" i="219"/>
  <c r="Y316" i="132"/>
  <c r="Z316" i="132" s="1"/>
  <c r="Z315" i="132"/>
  <c r="AA315" i="132" s="1"/>
  <c r="Y181" i="132"/>
  <c r="Z181" i="132" s="1"/>
  <c r="Z180" i="132"/>
  <c r="AA180" i="132" s="1"/>
  <c r="U358" i="132"/>
  <c r="U328" i="132"/>
  <c r="D33" i="105"/>
  <c r="E66" i="162"/>
  <c r="H161" i="105"/>
  <c r="H162" i="105" s="1"/>
  <c r="F160" i="105"/>
  <c r="G212" i="105"/>
  <c r="H204" i="105"/>
  <c r="H634" i="131"/>
  <c r="F520" i="105"/>
  <c r="I649" i="107"/>
  <c r="P634" i="131"/>
  <c r="AS92" i="138"/>
  <c r="AB15" i="138"/>
  <c r="J240" i="133"/>
  <c r="J241" i="133"/>
  <c r="I252" i="133" s="1"/>
  <c r="J221" i="133"/>
  <c r="J243" i="133"/>
  <c r="K634" i="131"/>
  <c r="AQ319" i="138"/>
  <c r="Z9" i="138"/>
  <c r="Y302" i="132"/>
  <c r="Y303" i="132" s="1"/>
  <c r="BZ302" i="132"/>
  <c r="Y292" i="132"/>
  <c r="Y293" i="132" s="1"/>
  <c r="BZ292" i="132"/>
  <c r="Y272" i="132"/>
  <c r="Y273" i="132" s="1"/>
  <c r="BZ272" i="132"/>
  <c r="Y262" i="132"/>
  <c r="Y263" i="132" s="1"/>
  <c r="BZ262" i="132"/>
  <c r="Y242" i="132"/>
  <c r="Y243" i="132" s="1"/>
  <c r="BZ242" i="132"/>
  <c r="Y232" i="132"/>
  <c r="Y233" i="132" s="1"/>
  <c r="BZ232" i="132"/>
  <c r="Y212" i="132"/>
  <c r="Y213" i="132" s="1"/>
  <c r="BZ212" i="132"/>
  <c r="Y202" i="132"/>
  <c r="Y203" i="132" s="1"/>
  <c r="BZ202" i="132"/>
  <c r="Y192" i="132"/>
  <c r="Y193" i="132" s="1"/>
  <c r="BZ192" i="132"/>
  <c r="Y172" i="132"/>
  <c r="Y173" i="132" s="1"/>
  <c r="BZ172" i="132"/>
  <c r="Y167" i="132"/>
  <c r="Y168" i="132" s="1"/>
  <c r="BZ167" i="132"/>
  <c r="L187" i="133"/>
  <c r="M186" i="133"/>
  <c r="Y361" i="132"/>
  <c r="Z361" i="132" s="1"/>
  <c r="Z360" i="132"/>
  <c r="AA360" i="132" s="1"/>
  <c r="Y346" i="132"/>
  <c r="Z346" i="132" s="1"/>
  <c r="Z345" i="132"/>
  <c r="AA345" i="132" s="1"/>
  <c r="AV88" i="148"/>
  <c r="AW88" i="148" s="1"/>
  <c r="AY88" i="148"/>
  <c r="AZ88" i="148" s="1"/>
  <c r="W297" i="132"/>
  <c r="W287" i="132"/>
  <c r="W267" i="132"/>
  <c r="W268" i="132" s="1"/>
  <c r="W257" i="132"/>
  <c r="W237" i="132"/>
  <c r="W227" i="132"/>
  <c r="W228" i="132" s="1"/>
  <c r="W207" i="132"/>
  <c r="W197" i="132"/>
  <c r="W177" i="132"/>
  <c r="W178" i="132" s="1"/>
  <c r="W342" i="132"/>
  <c r="W343" i="132" s="1"/>
  <c r="BX163" i="132"/>
  <c r="BX357" i="132"/>
  <c r="BX327" i="132"/>
  <c r="BX262" i="132"/>
  <c r="BX232" i="132"/>
  <c r="BX202" i="132"/>
  <c r="W369" i="132" l="1"/>
  <c r="BZ342" i="132"/>
  <c r="E69" i="133"/>
  <c r="F162" i="105"/>
  <c r="H206" i="105"/>
  <c r="H361" i="105" s="1"/>
  <c r="W208" i="132"/>
  <c r="W238" i="132"/>
  <c r="W298" i="132"/>
  <c r="AB345" i="132"/>
  <c r="AC345" i="132" s="1"/>
  <c r="AA346" i="132"/>
  <c r="AB346" i="132" s="1"/>
  <c r="AB360" i="132"/>
  <c r="AC360" i="132" s="1"/>
  <c r="AA361" i="132"/>
  <c r="AB361" i="132" s="1"/>
  <c r="M187" i="133"/>
  <c r="M189" i="133" s="1"/>
  <c r="N186" i="133"/>
  <c r="L189" i="133"/>
  <c r="Z10" i="138"/>
  <c r="L25" i="138" s="1"/>
  <c r="L486" i="105" s="1"/>
  <c r="AR318" i="138"/>
  <c r="L135" i="107"/>
  <c r="I41" i="105"/>
  <c r="I53" i="105" s="1"/>
  <c r="Q135" i="107"/>
  <c r="N41" i="105"/>
  <c r="N53" i="105" s="1"/>
  <c r="D56" i="105"/>
  <c r="D39" i="105"/>
  <c r="D40" i="105" s="1"/>
  <c r="L54" i="138"/>
  <c r="K58" i="138"/>
  <c r="AB155" i="132"/>
  <c r="AC155" i="132" s="1"/>
  <c r="AA156" i="132"/>
  <c r="AB156" i="132" s="1"/>
  <c r="AB220" i="132"/>
  <c r="AC220" i="132" s="1"/>
  <c r="AA221" i="132"/>
  <c r="AB221" i="132" s="1"/>
  <c r="AB250" i="132"/>
  <c r="AC250" i="132" s="1"/>
  <c r="AA251" i="132"/>
  <c r="AB251" i="132" s="1"/>
  <c r="AB280" i="132"/>
  <c r="AC280" i="132" s="1"/>
  <c r="AA281" i="132"/>
  <c r="AB281" i="132" s="1"/>
  <c r="AB335" i="132"/>
  <c r="AC335" i="132" s="1"/>
  <c r="AA336" i="132"/>
  <c r="AB336" i="132" s="1"/>
  <c r="AB310" i="132"/>
  <c r="AC310" i="132" s="1"/>
  <c r="AA311" i="132"/>
  <c r="AB311" i="132" s="1"/>
  <c r="AB185" i="132"/>
  <c r="AC185" i="132" s="1"/>
  <c r="AA186" i="132"/>
  <c r="AB186" i="132" s="1"/>
  <c r="AB215" i="132"/>
  <c r="AC215" i="132" s="1"/>
  <c r="AA216" i="132"/>
  <c r="AB216" i="132" s="1"/>
  <c r="AB245" i="132"/>
  <c r="AC245" i="132" s="1"/>
  <c r="AA246" i="132"/>
  <c r="AB246" i="132" s="1"/>
  <c r="AB275" i="132"/>
  <c r="AC275" i="132" s="1"/>
  <c r="AA276" i="132"/>
  <c r="AB276" i="132" s="1"/>
  <c r="AB305" i="132"/>
  <c r="AC305" i="132" s="1"/>
  <c r="AA306" i="132"/>
  <c r="AB306" i="132" s="1"/>
  <c r="O41" i="105"/>
  <c r="O53" i="105" s="1"/>
  <c r="R135" i="107"/>
  <c r="AB325" i="132"/>
  <c r="AC325" i="132" s="1"/>
  <c r="AA326" i="132"/>
  <c r="AB326" i="132" s="1"/>
  <c r="AB355" i="132"/>
  <c r="AC355" i="132" s="1"/>
  <c r="AA356" i="132"/>
  <c r="AB356" i="132" s="1"/>
  <c r="AA161" i="132"/>
  <c r="AB161" i="132" s="1"/>
  <c r="AB160" i="132"/>
  <c r="AC160" i="132" s="1"/>
  <c r="K117" i="105"/>
  <c r="K205" i="105" s="1"/>
  <c r="K79" i="105" s="1"/>
  <c r="K80" i="105" s="1"/>
  <c r="K204" i="105"/>
  <c r="K191" i="133"/>
  <c r="K238" i="133"/>
  <c r="K39" i="133" s="1"/>
  <c r="L140" i="107"/>
  <c r="I21" i="138"/>
  <c r="G29" i="214"/>
  <c r="G33" i="214" s="1"/>
  <c r="G77" i="214" s="1"/>
  <c r="G7" i="214" s="1"/>
  <c r="G220" i="107"/>
  <c r="G30" i="214" s="1"/>
  <c r="E214" i="107"/>
  <c r="E218" i="107" s="1"/>
  <c r="F1056" i="162"/>
  <c r="N483" i="105"/>
  <c r="O484" i="105"/>
  <c r="O456" i="105"/>
  <c r="Q32" i="133"/>
  <c r="R32" i="133" s="1"/>
  <c r="S32" i="133" s="1"/>
  <c r="T32" i="133" s="1"/>
  <c r="U32" i="133" s="1"/>
  <c r="V32" i="133" s="1"/>
  <c r="W32" i="133" s="1"/>
  <c r="X32" i="133" s="1"/>
  <c r="I280" i="107"/>
  <c r="O185" i="133"/>
  <c r="W183" i="133"/>
  <c r="K135" i="107"/>
  <c r="K144" i="107" s="1"/>
  <c r="H41" i="105"/>
  <c r="H53" i="105" s="1"/>
  <c r="G104" i="133"/>
  <c r="G92" i="133"/>
  <c r="P135" i="107"/>
  <c r="M41" i="105"/>
  <c r="M53" i="105" s="1"/>
  <c r="AB340" i="132"/>
  <c r="AC340" i="132" s="1"/>
  <c r="AA341" i="132"/>
  <c r="AB341" i="132" s="1"/>
  <c r="H18" i="105"/>
  <c r="K94" i="107"/>
  <c r="E334" i="148"/>
  <c r="D333" i="148"/>
  <c r="D319" i="148" s="1"/>
  <c r="H151" i="133"/>
  <c r="J250" i="107" s="1"/>
  <c r="J244" i="107" s="1"/>
  <c r="K83" i="105"/>
  <c r="J135" i="107"/>
  <c r="J144" i="107" s="1"/>
  <c r="G41" i="105"/>
  <c r="G53" i="105" s="1"/>
  <c r="AP105" i="128"/>
  <c r="Y347" i="132"/>
  <c r="Y362" i="132"/>
  <c r="Y363" i="132" s="1"/>
  <c r="Y182" i="132"/>
  <c r="Y183" i="132" s="1"/>
  <c r="Y317" i="132"/>
  <c r="BZ157" i="132"/>
  <c r="BZ222" i="132"/>
  <c r="BZ252" i="132"/>
  <c r="BZ282" i="132"/>
  <c r="BZ337" i="132"/>
  <c r="BZ312" i="132"/>
  <c r="BZ187" i="132"/>
  <c r="BZ217" i="132"/>
  <c r="BZ248" i="132"/>
  <c r="BZ277" i="132"/>
  <c r="BZ307" i="132"/>
  <c r="K649" i="107"/>
  <c r="BZ327" i="132"/>
  <c r="BZ357" i="132"/>
  <c r="BZ163" i="132"/>
  <c r="BZ177" i="132"/>
  <c r="BZ207" i="132"/>
  <c r="BZ237" i="132"/>
  <c r="BZ267" i="132"/>
  <c r="BZ297" i="132"/>
  <c r="W198" i="132"/>
  <c r="W258" i="132"/>
  <c r="W288" i="132"/>
  <c r="AA347" i="132"/>
  <c r="AA348" i="132" s="1"/>
  <c r="CB347" i="132"/>
  <c r="AA362" i="132"/>
  <c r="AA363" i="132" s="1"/>
  <c r="CB362" i="132"/>
  <c r="AB16" i="138"/>
  <c r="N26" i="138" s="1"/>
  <c r="N478" i="105" s="1"/>
  <c r="N477" i="105" s="1"/>
  <c r="N476" i="105" s="1"/>
  <c r="N475" i="105" s="1"/>
  <c r="AT91" i="138"/>
  <c r="I135" i="107"/>
  <c r="I144" i="107" s="1"/>
  <c r="F41" i="105"/>
  <c r="F53" i="105" s="1"/>
  <c r="F161" i="105"/>
  <c r="H205" i="105"/>
  <c r="H79" i="105" s="1"/>
  <c r="AA181" i="132"/>
  <c r="AB181" i="132" s="1"/>
  <c r="AB180" i="132"/>
  <c r="AC180" i="132" s="1"/>
  <c r="AA316" i="132"/>
  <c r="AB316" i="132" s="1"/>
  <c r="AB315" i="132"/>
  <c r="AC315" i="132" s="1"/>
  <c r="CB157" i="132"/>
  <c r="AA157" i="132"/>
  <c r="AA158" i="132" s="1"/>
  <c r="CB222" i="132"/>
  <c r="AA222" i="132"/>
  <c r="AA223" i="132" s="1"/>
  <c r="CB252" i="132"/>
  <c r="AA252" i="132"/>
  <c r="AA253" i="132" s="1"/>
  <c r="CB282" i="132"/>
  <c r="AA282" i="132"/>
  <c r="AA283" i="132" s="1"/>
  <c r="CB337" i="132"/>
  <c r="AA337" i="132"/>
  <c r="AA338" i="132" s="1"/>
  <c r="CB312" i="132"/>
  <c r="AA312" i="132"/>
  <c r="AA313" i="132" s="1"/>
  <c r="CB187" i="132"/>
  <c r="AA187" i="132"/>
  <c r="AA188" i="132" s="1"/>
  <c r="CB217" i="132"/>
  <c r="AA217" i="132"/>
  <c r="AA218" i="132" s="1"/>
  <c r="CB248" i="132"/>
  <c r="AA247" i="132"/>
  <c r="AA248" i="132" s="1"/>
  <c r="CB277" i="132"/>
  <c r="AA277" i="132"/>
  <c r="AA278" i="132" s="1"/>
  <c r="CB307" i="132"/>
  <c r="AA307" i="132"/>
  <c r="AA308" i="132" s="1"/>
  <c r="G151" i="133"/>
  <c r="I250" i="107" s="1"/>
  <c r="I244" i="107" s="1"/>
  <c r="J83" i="105"/>
  <c r="AA327" i="132"/>
  <c r="AA328" i="132" s="1"/>
  <c r="CB327" i="132"/>
  <c r="AA357" i="132"/>
  <c r="AA358" i="132" s="1"/>
  <c r="CB357" i="132"/>
  <c r="AA162" i="132"/>
  <c r="AA163" i="132" s="1"/>
  <c r="CB163" i="132"/>
  <c r="H22" i="128"/>
  <c r="H23" i="128" s="1"/>
  <c r="AS102" i="128"/>
  <c r="H264" i="107"/>
  <c r="F127" i="133"/>
  <c r="AB175" i="132"/>
  <c r="AC175" i="132" s="1"/>
  <c r="AA176" i="132"/>
  <c r="AB176" i="132" s="1"/>
  <c r="AB205" i="132"/>
  <c r="AC205" i="132" s="1"/>
  <c r="AA206" i="132"/>
  <c r="AB206" i="132" s="1"/>
  <c r="AB235" i="132"/>
  <c r="AC235" i="132" s="1"/>
  <c r="AA236" i="132"/>
  <c r="AB236" i="132" s="1"/>
  <c r="AB265" i="132"/>
  <c r="AC265" i="132" s="1"/>
  <c r="AA266" i="132"/>
  <c r="AB266" i="132" s="1"/>
  <c r="AB295" i="132"/>
  <c r="AC295" i="132" s="1"/>
  <c r="AA296" i="132"/>
  <c r="AB296" i="132" s="1"/>
  <c r="J278" i="107"/>
  <c r="K428" i="131"/>
  <c r="H31" i="128"/>
  <c r="K24" i="128"/>
  <c r="AB165" i="132"/>
  <c r="AC165" i="132" s="1"/>
  <c r="AA166" i="132"/>
  <c r="AB166" i="132" s="1"/>
  <c r="AB170" i="132"/>
  <c r="AC170" i="132" s="1"/>
  <c r="AA171" i="132"/>
  <c r="AB171" i="132" s="1"/>
  <c r="AB190" i="132"/>
  <c r="AC190" i="132" s="1"/>
  <c r="AA191" i="132"/>
  <c r="AB191" i="132" s="1"/>
  <c r="AB200" i="132"/>
  <c r="AC200" i="132" s="1"/>
  <c r="AA201" i="132"/>
  <c r="AB201" i="132" s="1"/>
  <c r="AB210" i="132"/>
  <c r="AC210" i="132" s="1"/>
  <c r="AA211" i="132"/>
  <c r="AB211" i="132" s="1"/>
  <c r="AB230" i="132"/>
  <c r="AC230" i="132" s="1"/>
  <c r="AA231" i="132"/>
  <c r="AB231" i="132" s="1"/>
  <c r="AB240" i="132"/>
  <c r="AC240" i="132" s="1"/>
  <c r="AA241" i="132"/>
  <c r="AB241" i="132" s="1"/>
  <c r="AB260" i="132"/>
  <c r="AC260" i="132" s="1"/>
  <c r="AA261" i="132"/>
  <c r="AB261" i="132" s="1"/>
  <c r="AB270" i="132"/>
  <c r="AC270" i="132" s="1"/>
  <c r="AA271" i="132"/>
  <c r="AB271" i="132" s="1"/>
  <c r="AB290" i="132"/>
  <c r="AC290" i="132" s="1"/>
  <c r="AA291" i="132"/>
  <c r="AB291" i="132" s="1"/>
  <c r="AB300" i="132"/>
  <c r="AC300" i="132" s="1"/>
  <c r="AA301" i="132"/>
  <c r="AB301" i="132" s="1"/>
  <c r="N190" i="148"/>
  <c r="N191" i="148" s="1"/>
  <c r="G146" i="148"/>
  <c r="H679" i="131" s="1"/>
  <c r="I685" i="131" s="1"/>
  <c r="I682" i="131" s="1"/>
  <c r="L197" i="105"/>
  <c r="E114" i="107"/>
  <c r="G654" i="107"/>
  <c r="G131" i="107"/>
  <c r="G213" i="105"/>
  <c r="N135" i="107"/>
  <c r="K41" i="105"/>
  <c r="K53" i="105" s="1"/>
  <c r="AB320" i="132"/>
  <c r="AC320" i="132" s="1"/>
  <c r="AA321" i="132"/>
  <c r="AB321" i="132" s="1"/>
  <c r="AB330" i="132"/>
  <c r="AC330" i="132" s="1"/>
  <c r="AA331" i="132"/>
  <c r="AB331" i="132" s="1"/>
  <c r="AB350" i="132"/>
  <c r="AC350" i="132" s="1"/>
  <c r="AA351" i="132"/>
  <c r="AB351" i="132" s="1"/>
  <c r="H135" i="107"/>
  <c r="H144" i="107" s="1"/>
  <c r="E41" i="105"/>
  <c r="E53" i="105" s="1"/>
  <c r="M135" i="107"/>
  <c r="J41" i="105"/>
  <c r="J53" i="105" s="1"/>
  <c r="AA342" i="132"/>
  <c r="AA343" i="132" s="1"/>
  <c r="CB342" i="132"/>
  <c r="O135" i="107"/>
  <c r="L41" i="105"/>
  <c r="L53" i="105" s="1"/>
  <c r="AB195" i="132"/>
  <c r="AC195" i="132" s="1"/>
  <c r="AA196" i="132"/>
  <c r="AB196" i="132" s="1"/>
  <c r="AB225" i="132"/>
  <c r="AC225" i="132" s="1"/>
  <c r="AA226" i="132"/>
  <c r="AB226" i="132" s="1"/>
  <c r="AB255" i="132"/>
  <c r="AC255" i="132" s="1"/>
  <c r="AA256" i="132"/>
  <c r="AB256" i="132" s="1"/>
  <c r="AB285" i="132"/>
  <c r="AC285" i="132" s="1"/>
  <c r="AA286" i="132"/>
  <c r="AB286" i="132" s="1"/>
  <c r="J280" i="107"/>
  <c r="J23" i="219" s="1"/>
  <c r="BZ347" i="132"/>
  <c r="BZ362" i="132"/>
  <c r="BZ182" i="132"/>
  <c r="BZ317" i="132"/>
  <c r="Y157" i="132"/>
  <c r="Y158" i="132" s="1"/>
  <c r="Y222" i="132"/>
  <c r="Y223" i="132" s="1"/>
  <c r="Y252" i="132"/>
  <c r="Y253" i="132" s="1"/>
  <c r="Y282" i="132"/>
  <c r="Y283" i="132" s="1"/>
  <c r="Y337" i="132"/>
  <c r="Y338" i="132" s="1"/>
  <c r="Y312" i="132"/>
  <c r="Y313" i="132" s="1"/>
  <c r="Y187" i="132"/>
  <c r="Y188" i="132" s="1"/>
  <c r="Y217" i="132"/>
  <c r="Y218" i="132" s="1"/>
  <c r="Y247" i="132"/>
  <c r="Y248" i="132" s="1"/>
  <c r="Y277" i="132"/>
  <c r="Y278" i="132" s="1"/>
  <c r="Y307" i="132"/>
  <c r="Y308" i="132" s="1"/>
  <c r="Y327" i="132"/>
  <c r="Y357" i="132"/>
  <c r="Y162" i="132"/>
  <c r="Y163" i="132" s="1"/>
  <c r="U368" i="132"/>
  <c r="U370" i="132" s="1"/>
  <c r="Y177" i="132"/>
  <c r="Y178" i="132" s="1"/>
  <c r="Y207" i="132"/>
  <c r="Y208" i="132" s="1"/>
  <c r="Y237" i="132"/>
  <c r="Y238" i="132" s="1"/>
  <c r="Y267" i="132"/>
  <c r="Y268" i="132" s="1"/>
  <c r="Y297" i="132"/>
  <c r="Y298" i="132" s="1"/>
  <c r="K118" i="105" l="1"/>
  <c r="W368" i="132"/>
  <c r="W370" i="132" s="1"/>
  <c r="AD285" i="132"/>
  <c r="AE285" i="132" s="1"/>
  <c r="AC286" i="132"/>
  <c r="AD286" i="132" s="1"/>
  <c r="AD255" i="132"/>
  <c r="AE255" i="132" s="1"/>
  <c r="AC256" i="132"/>
  <c r="AD256" i="132" s="1"/>
  <c r="AD225" i="132"/>
  <c r="AE225" i="132" s="1"/>
  <c r="AC226" i="132"/>
  <c r="AD226" i="132" s="1"/>
  <c r="AD195" i="132"/>
  <c r="AE195" i="132" s="1"/>
  <c r="AC196" i="132"/>
  <c r="AD196" i="132" s="1"/>
  <c r="H225" i="107"/>
  <c r="H34" i="214" s="1"/>
  <c r="E54" i="105"/>
  <c r="E67" i="105" s="1"/>
  <c r="E521" i="105"/>
  <c r="AC351" i="132"/>
  <c r="AD351" i="132" s="1"/>
  <c r="AD350" i="132"/>
  <c r="AE350" i="132" s="1"/>
  <c r="AC331" i="132"/>
  <c r="AD331" i="132" s="1"/>
  <c r="AD330" i="132"/>
  <c r="AE330" i="132" s="1"/>
  <c r="AC321" i="132"/>
  <c r="AD321" i="132" s="1"/>
  <c r="AD320" i="132"/>
  <c r="AE320" i="132" s="1"/>
  <c r="D520" i="105"/>
  <c r="G649" i="107"/>
  <c r="G650" i="107" s="1"/>
  <c r="H650" i="107" s="1"/>
  <c r="I650" i="107" s="1"/>
  <c r="J650" i="107" s="1"/>
  <c r="K650" i="107" s="1"/>
  <c r="F634" i="131"/>
  <c r="F1054" i="162"/>
  <c r="E654" i="107"/>
  <c r="E131" i="107"/>
  <c r="AC316" i="132"/>
  <c r="AD316" i="132" s="1"/>
  <c r="AD315" i="132"/>
  <c r="AE315" i="132" s="1"/>
  <c r="AC181" i="132"/>
  <c r="AD181" i="132" s="1"/>
  <c r="AD180" i="132"/>
  <c r="AE180" i="132" s="1"/>
  <c r="H80" i="105"/>
  <c r="AT92" i="138"/>
  <c r="AC16" i="138" s="1"/>
  <c r="O26" i="138" s="1"/>
  <c r="AC15" i="138"/>
  <c r="Y318" i="132"/>
  <c r="J225" i="107"/>
  <c r="J34" i="214" s="1"/>
  <c r="G54" i="105"/>
  <c r="G67" i="105" s="1"/>
  <c r="G521" i="105"/>
  <c r="J238" i="107"/>
  <c r="J9" i="219"/>
  <c r="F334" i="148"/>
  <c r="E333" i="148"/>
  <c r="E319" i="148" s="1"/>
  <c r="O483" i="105"/>
  <c r="C367" i="148" s="1"/>
  <c r="C368" i="148"/>
  <c r="L138" i="107"/>
  <c r="J66" i="138"/>
  <c r="J67" i="138" s="1"/>
  <c r="J19" i="138" s="1"/>
  <c r="M139" i="107" s="1"/>
  <c r="I256" i="133"/>
  <c r="K242" i="133"/>
  <c r="K370" i="105"/>
  <c r="L379" i="105" s="1"/>
  <c r="L389" i="105" s="1"/>
  <c r="K371" i="105"/>
  <c r="AC356" i="132"/>
  <c r="AD356" i="132" s="1"/>
  <c r="AD355" i="132"/>
  <c r="AE355" i="132" s="1"/>
  <c r="AC326" i="132"/>
  <c r="AD326" i="132" s="1"/>
  <c r="AD325" i="132"/>
  <c r="AE325" i="132" s="1"/>
  <c r="AD305" i="132"/>
  <c r="AE305" i="132" s="1"/>
  <c r="AC306" i="132"/>
  <c r="AD306" i="132" s="1"/>
  <c r="AD275" i="132"/>
  <c r="AE275" i="132" s="1"/>
  <c r="AC276" i="132"/>
  <c r="AD276" i="132" s="1"/>
  <c r="AD245" i="132"/>
  <c r="AE245" i="132" s="1"/>
  <c r="AC246" i="132"/>
  <c r="AD246" i="132" s="1"/>
  <c r="AD215" i="132"/>
  <c r="AE215" i="132" s="1"/>
  <c r="AC216" i="132"/>
  <c r="AD216" i="132" s="1"/>
  <c r="AD185" i="132"/>
  <c r="AE185" i="132" s="1"/>
  <c r="AC186" i="132"/>
  <c r="AD186" i="132" s="1"/>
  <c r="AD310" i="132"/>
  <c r="AE310" i="132" s="1"/>
  <c r="AC311" i="132"/>
  <c r="AD311" i="132" s="1"/>
  <c r="AD335" i="132"/>
  <c r="AE335" i="132" s="1"/>
  <c r="AC336" i="132"/>
  <c r="AD336" i="132" s="1"/>
  <c r="AD280" i="132"/>
  <c r="AE280" i="132" s="1"/>
  <c r="AC281" i="132"/>
  <c r="AD281" i="132" s="1"/>
  <c r="AD250" i="132"/>
  <c r="AE250" i="132" s="1"/>
  <c r="AC251" i="132"/>
  <c r="AD251" i="132" s="1"/>
  <c r="AD220" i="132"/>
  <c r="AE220" i="132" s="1"/>
  <c r="AC221" i="132"/>
  <c r="AD221" i="132" s="1"/>
  <c r="AD155" i="132"/>
  <c r="AE155" i="132" s="1"/>
  <c r="AC156" i="132"/>
  <c r="AD156" i="132" s="1"/>
  <c r="L57" i="138"/>
  <c r="O32" i="219"/>
  <c r="D60" i="105"/>
  <c r="R56" i="105"/>
  <c r="L190" i="133"/>
  <c r="CB287" i="132"/>
  <c r="CB257" i="132"/>
  <c r="CB227" i="132"/>
  <c r="CB197" i="132"/>
  <c r="CB352" i="132"/>
  <c r="CB333" i="132"/>
  <c r="CB322" i="132"/>
  <c r="G157" i="133"/>
  <c r="AA302" i="132"/>
  <c r="AA303" i="132" s="1"/>
  <c r="AA292" i="132"/>
  <c r="AA293" i="132" s="1"/>
  <c r="AA272" i="132"/>
  <c r="AA273" i="132" s="1"/>
  <c r="AA262" i="132"/>
  <c r="AA263" i="132" s="1"/>
  <c r="AA242" i="132"/>
  <c r="AA243" i="132" s="1"/>
  <c r="AA232" i="132"/>
  <c r="AA233" i="132" s="1"/>
  <c r="AA212" i="132"/>
  <c r="AA213" i="132" s="1"/>
  <c r="AA202" i="132"/>
  <c r="AA203" i="132" s="1"/>
  <c r="AA192" i="132"/>
  <c r="AA193" i="132" s="1"/>
  <c r="AA172" i="132"/>
  <c r="AA173" i="132" s="1"/>
  <c r="AA167" i="132"/>
  <c r="AA168" i="132" s="1"/>
  <c r="CB297" i="132"/>
  <c r="CB267" i="132"/>
  <c r="CB237" i="132"/>
  <c r="CB207" i="132"/>
  <c r="CB177" i="132"/>
  <c r="AA317" i="132"/>
  <c r="AA318" i="132" s="1"/>
  <c r="AA182" i="132"/>
  <c r="AA183" i="132" s="1"/>
  <c r="L144" i="107"/>
  <c r="Y358" i="132"/>
  <c r="Y328" i="132"/>
  <c r="AC287" i="132"/>
  <c r="AC288" i="132" s="1"/>
  <c r="CD287" i="132"/>
  <c r="AC257" i="132"/>
  <c r="AC258" i="132" s="1"/>
  <c r="CD257" i="132"/>
  <c r="AC227" i="132"/>
  <c r="AC228" i="132" s="1"/>
  <c r="CD227" i="132"/>
  <c r="AC197" i="132"/>
  <c r="AC198" i="132" s="1"/>
  <c r="CD197" i="132"/>
  <c r="CD352" i="132"/>
  <c r="AC352" i="132"/>
  <c r="AC353" i="132" s="1"/>
  <c r="CD333" i="132"/>
  <c r="AC332" i="132"/>
  <c r="AC333" i="132" s="1"/>
  <c r="CD322" i="132"/>
  <c r="AC322" i="132"/>
  <c r="AC323" i="132" s="1"/>
  <c r="G214" i="105"/>
  <c r="N194" i="148"/>
  <c r="G394" i="148" s="1"/>
  <c r="F355" i="148" s="1"/>
  <c r="F352" i="148" s="1"/>
  <c r="F351" i="148" s="1"/>
  <c r="N193" i="148"/>
  <c r="AD300" i="132"/>
  <c r="AE300" i="132" s="1"/>
  <c r="AC301" i="132"/>
  <c r="AD301" i="132" s="1"/>
  <c r="AD290" i="132"/>
  <c r="AE290" i="132" s="1"/>
  <c r="AC291" i="132"/>
  <c r="AD291" i="132" s="1"/>
  <c r="AD270" i="132"/>
  <c r="AE270" i="132" s="1"/>
  <c r="AC271" i="132"/>
  <c r="AD271" i="132" s="1"/>
  <c r="AD260" i="132"/>
  <c r="AE260" i="132" s="1"/>
  <c r="AC261" i="132"/>
  <c r="AD261" i="132" s="1"/>
  <c r="AD240" i="132"/>
  <c r="AE240" i="132" s="1"/>
  <c r="AC241" i="132"/>
  <c r="AD241" i="132" s="1"/>
  <c r="AD230" i="132"/>
  <c r="AE230" i="132" s="1"/>
  <c r="AC231" i="132"/>
  <c r="AD231" i="132" s="1"/>
  <c r="AD210" i="132"/>
  <c r="AE210" i="132" s="1"/>
  <c r="AC211" i="132"/>
  <c r="AD211" i="132" s="1"/>
  <c r="AD200" i="132"/>
  <c r="AE200" i="132" s="1"/>
  <c r="AC201" i="132"/>
  <c r="AD201" i="132" s="1"/>
  <c r="AD190" i="132"/>
  <c r="AE190" i="132" s="1"/>
  <c r="AC191" i="132"/>
  <c r="AD191" i="132" s="1"/>
  <c r="AD170" i="132"/>
  <c r="AE170" i="132" s="1"/>
  <c r="AC171" i="132"/>
  <c r="AD171" i="132" s="1"/>
  <c r="AD165" i="132"/>
  <c r="AE165" i="132" s="1"/>
  <c r="AC166" i="132"/>
  <c r="AD166" i="132" s="1"/>
  <c r="H34" i="128"/>
  <c r="G324" i="148" s="1"/>
  <c r="G320" i="148" s="1"/>
  <c r="J276" i="107"/>
  <c r="J24" i="219"/>
  <c r="AD295" i="132"/>
  <c r="AE295" i="132" s="1"/>
  <c r="AC296" i="132"/>
  <c r="AD296" i="132" s="1"/>
  <c r="AD265" i="132"/>
  <c r="AE265" i="132" s="1"/>
  <c r="AC266" i="132"/>
  <c r="AD266" i="132" s="1"/>
  <c r="AD235" i="132"/>
  <c r="AE235" i="132" s="1"/>
  <c r="AC236" i="132"/>
  <c r="AD236" i="132" s="1"/>
  <c r="AD205" i="132"/>
  <c r="AE205" i="132" s="1"/>
  <c r="AC206" i="132"/>
  <c r="AD206" i="132" s="1"/>
  <c r="AD175" i="132"/>
  <c r="AE175" i="132" s="1"/>
  <c r="AC176" i="132"/>
  <c r="AD176" i="132" s="1"/>
  <c r="H16" i="219"/>
  <c r="H253" i="107"/>
  <c r="H25" i="128"/>
  <c r="K426" i="131" s="1"/>
  <c r="K434" i="131" s="1"/>
  <c r="K427" i="131"/>
  <c r="H30" i="128"/>
  <c r="H33" i="128" s="1"/>
  <c r="G332" i="148" s="1"/>
  <c r="G325" i="148" s="1"/>
  <c r="I238" i="107"/>
  <c r="I9" i="219"/>
  <c r="CD317" i="132"/>
  <c r="AC317" i="132"/>
  <c r="AC318" i="132" s="1"/>
  <c r="CD182" i="132"/>
  <c r="AC182" i="132"/>
  <c r="AC183" i="132" s="1"/>
  <c r="F521" i="105"/>
  <c r="I225" i="107"/>
  <c r="I34" i="214" s="1"/>
  <c r="F54" i="105"/>
  <c r="F67" i="105" s="1"/>
  <c r="Y348" i="132"/>
  <c r="H19" i="105"/>
  <c r="AC341" i="132"/>
  <c r="AD341" i="132" s="1"/>
  <c r="AD340" i="132"/>
  <c r="AE340" i="132" s="1"/>
  <c r="I264" i="107"/>
  <c r="G127" i="133"/>
  <c r="H521" i="105"/>
  <c r="K225" i="107"/>
  <c r="K34" i="214" s="1"/>
  <c r="H54" i="105"/>
  <c r="H67" i="105" s="1"/>
  <c r="O186" i="133"/>
  <c r="I219" i="133"/>
  <c r="W185" i="133"/>
  <c r="I23" i="219"/>
  <c r="I276" i="107"/>
  <c r="C341" i="148"/>
  <c r="C41" i="148" s="1"/>
  <c r="O454" i="105"/>
  <c r="G22" i="213"/>
  <c r="F29" i="214"/>
  <c r="E220" i="107"/>
  <c r="F30" i="214" s="1"/>
  <c r="K192" i="133"/>
  <c r="H61" i="133"/>
  <c r="K206" i="105"/>
  <c r="AC161" i="132"/>
  <c r="AD161" i="132" s="1"/>
  <c r="AD160" i="132"/>
  <c r="AE160" i="132" s="1"/>
  <c r="CD357" i="132"/>
  <c r="AC357" i="132"/>
  <c r="AC358" i="132" s="1"/>
  <c r="CD327" i="132"/>
  <c r="AC327" i="132"/>
  <c r="AC328" i="132" s="1"/>
  <c r="AC307" i="132"/>
  <c r="AC308" i="132" s="1"/>
  <c r="CD307" i="132"/>
  <c r="AC277" i="132"/>
  <c r="AC278" i="132" s="1"/>
  <c r="CD277" i="132"/>
  <c r="AC247" i="132"/>
  <c r="AC248" i="132" s="1"/>
  <c r="CD248" i="132"/>
  <c r="AC217" i="132"/>
  <c r="AC218" i="132" s="1"/>
  <c r="CD217" i="132"/>
  <c r="AC187" i="132"/>
  <c r="AC188" i="132" s="1"/>
  <c r="CD187" i="132"/>
  <c r="AC312" i="132"/>
  <c r="AC313" i="132" s="1"/>
  <c r="CD312" i="132"/>
  <c r="AC337" i="132"/>
  <c r="AC338" i="132" s="1"/>
  <c r="CD337" i="132"/>
  <c r="AC282" i="132"/>
  <c r="AC283" i="132" s="1"/>
  <c r="CD282" i="132"/>
  <c r="AC252" i="132"/>
  <c r="AC253" i="132" s="1"/>
  <c r="CD252" i="132"/>
  <c r="AC222" i="132"/>
  <c r="AC223" i="132" s="1"/>
  <c r="CD222" i="132"/>
  <c r="AC157" i="132"/>
  <c r="AC158" i="132" s="1"/>
  <c r="CD157" i="132"/>
  <c r="K59" i="138"/>
  <c r="K487" i="105"/>
  <c r="K485" i="105" s="1"/>
  <c r="AR319" i="138"/>
  <c r="AA9" i="138"/>
  <c r="N187" i="133"/>
  <c r="AC361" i="132"/>
  <c r="AD361" i="132" s="1"/>
  <c r="AD360" i="132"/>
  <c r="AE360" i="132" s="1"/>
  <c r="AC346" i="132"/>
  <c r="AD346" i="132" s="1"/>
  <c r="AD345" i="132"/>
  <c r="AE345" i="132" s="1"/>
  <c r="Y104" i="133"/>
  <c r="E104" i="133"/>
  <c r="E92" i="133"/>
  <c r="L198" i="105"/>
  <c r="Y369" i="132"/>
  <c r="AA287" i="132"/>
  <c r="AA288" i="132" s="1"/>
  <c r="AA257" i="132"/>
  <c r="AA258" i="132" s="1"/>
  <c r="AA227" i="132"/>
  <c r="AA228" i="132" s="1"/>
  <c r="AA197" i="132"/>
  <c r="AA198" i="132" s="1"/>
  <c r="AA352" i="132"/>
  <c r="AA353" i="132" s="1"/>
  <c r="AA332" i="132"/>
  <c r="AA333" i="132" s="1"/>
  <c r="AA322" i="132"/>
  <c r="AA323" i="132" s="1"/>
  <c r="CB302" i="132"/>
  <c r="CB292" i="132"/>
  <c r="CB272" i="132"/>
  <c r="CB262" i="132"/>
  <c r="CB242" i="132"/>
  <c r="CB232" i="132"/>
  <c r="CB212" i="132"/>
  <c r="CB202" i="132"/>
  <c r="CB192" i="132"/>
  <c r="CB172" i="132"/>
  <c r="CB167" i="132"/>
  <c r="AA297" i="132"/>
  <c r="AA298" i="132" s="1"/>
  <c r="AA267" i="132"/>
  <c r="AA268" i="132" s="1"/>
  <c r="AA237" i="132"/>
  <c r="AA238" i="132" s="1"/>
  <c r="AA207" i="132"/>
  <c r="AA208" i="132" s="1"/>
  <c r="AA177" i="132"/>
  <c r="AA178" i="132" s="1"/>
  <c r="CB317" i="132"/>
  <c r="CB182" i="132"/>
  <c r="M190" i="133"/>
  <c r="AA369" i="132" l="1"/>
  <c r="AA368" i="132"/>
  <c r="Y368" i="132"/>
  <c r="E157" i="133"/>
  <c r="AC104" i="133"/>
  <c r="V88" i="148" s="1"/>
  <c r="AA104" i="133"/>
  <c r="T88" i="148" s="1"/>
  <c r="N189" i="133"/>
  <c r="AA10" i="138"/>
  <c r="M25" i="138" s="1"/>
  <c r="M486" i="105" s="1"/>
  <c r="AS318" i="138"/>
  <c r="K229" i="133"/>
  <c r="W192" i="133"/>
  <c r="I22" i="213"/>
  <c r="G42" i="213"/>
  <c r="G33" i="215" s="1"/>
  <c r="I220" i="133"/>
  <c r="H255" i="133"/>
  <c r="H435" i="107" s="1"/>
  <c r="H254" i="133" s="1"/>
  <c r="I224" i="133"/>
  <c r="I222" i="133" s="1"/>
  <c r="AF340" i="132"/>
  <c r="AG340" i="132" s="1"/>
  <c r="AE341" i="132"/>
  <c r="AF341" i="132" s="1"/>
  <c r="AF175" i="132"/>
  <c r="AG175" i="132" s="1"/>
  <c r="AE176" i="132"/>
  <c r="AF176" i="132" s="1"/>
  <c r="AF205" i="132"/>
  <c r="AG205" i="132" s="1"/>
  <c r="AE206" i="132"/>
  <c r="AF206" i="132" s="1"/>
  <c r="AF235" i="132"/>
  <c r="AG235" i="132" s="1"/>
  <c r="AE236" i="132"/>
  <c r="AF236" i="132" s="1"/>
  <c r="AF265" i="132"/>
  <c r="AG265" i="132" s="1"/>
  <c r="AE266" i="132"/>
  <c r="AF266" i="132" s="1"/>
  <c r="AF295" i="132"/>
  <c r="AG295" i="132" s="1"/>
  <c r="AE296" i="132"/>
  <c r="AF296" i="132" s="1"/>
  <c r="L225" i="107"/>
  <c r="L34" i="214" s="1"/>
  <c r="I54" i="105"/>
  <c r="I67" i="105" s="1"/>
  <c r="I521" i="105"/>
  <c r="AF325" i="132"/>
  <c r="AG325" i="132" s="1"/>
  <c r="AE326" i="132"/>
  <c r="AF326" i="132" s="1"/>
  <c r="AF355" i="132"/>
  <c r="AG355" i="132" s="1"/>
  <c r="AE356" i="132"/>
  <c r="AF356" i="132" s="1"/>
  <c r="I152" i="133"/>
  <c r="L84" i="105"/>
  <c r="H370" i="105"/>
  <c r="H371" i="105"/>
  <c r="H383" i="105"/>
  <c r="H408" i="105"/>
  <c r="I408" i="105" s="1"/>
  <c r="H395" i="105"/>
  <c r="I395" i="105" s="1"/>
  <c r="H413" i="105"/>
  <c r="J394" i="105"/>
  <c r="AF180" i="132"/>
  <c r="AG180" i="132" s="1"/>
  <c r="AE181" i="132"/>
  <c r="AF181" i="132" s="1"/>
  <c r="AF315" i="132"/>
  <c r="AG315" i="132" s="1"/>
  <c r="AE316" i="132"/>
  <c r="AF316" i="132" s="1"/>
  <c r="F1067" i="162"/>
  <c r="AF320" i="132"/>
  <c r="AG320" i="132" s="1"/>
  <c r="AE321" i="132"/>
  <c r="AF321" i="132" s="1"/>
  <c r="AF330" i="132"/>
  <c r="AG330" i="132" s="1"/>
  <c r="AE331" i="132"/>
  <c r="AF331" i="132" s="1"/>
  <c r="AF350" i="132"/>
  <c r="AG350" i="132" s="1"/>
  <c r="AE351" i="132"/>
  <c r="AF351" i="132" s="1"/>
  <c r="Y370" i="132"/>
  <c r="H32" i="128"/>
  <c r="H130" i="148" s="1"/>
  <c r="H132" i="148" s="1"/>
  <c r="H143" i="148" s="1"/>
  <c r="CD347" i="132"/>
  <c r="CD362" i="132"/>
  <c r="AC162" i="132"/>
  <c r="AC163" i="132" s="1"/>
  <c r="AC342" i="132"/>
  <c r="AC343" i="132" s="1"/>
  <c r="CD177" i="132"/>
  <c r="CD207" i="132"/>
  <c r="CD237" i="132"/>
  <c r="CD267" i="132"/>
  <c r="CD297" i="132"/>
  <c r="CD167" i="132"/>
  <c r="CD172" i="132"/>
  <c r="CD192" i="132"/>
  <c r="CD202" i="132"/>
  <c r="CD212" i="132"/>
  <c r="CD232" i="132"/>
  <c r="CD242" i="132"/>
  <c r="CD262" i="132"/>
  <c r="CD272" i="132"/>
  <c r="CD292" i="132"/>
  <c r="CD302" i="132"/>
  <c r="M191" i="133"/>
  <c r="M193" i="133" s="1"/>
  <c r="I79" i="133"/>
  <c r="G264" i="107"/>
  <c r="Z104" i="133"/>
  <c r="S88" i="148" s="1"/>
  <c r="W104" i="133"/>
  <c r="X104" i="133" s="1"/>
  <c r="E127" i="133"/>
  <c r="AF345" i="132"/>
  <c r="AG345" i="132" s="1"/>
  <c r="AE346" i="132"/>
  <c r="AF346" i="132" s="1"/>
  <c r="AF360" i="132"/>
  <c r="AG360" i="132" s="1"/>
  <c r="AE361" i="132"/>
  <c r="AF361" i="132" s="1"/>
  <c r="AF160" i="132"/>
  <c r="AG160" i="132" s="1"/>
  <c r="AE161" i="132"/>
  <c r="AF161" i="132" s="1"/>
  <c r="H96" i="133"/>
  <c r="H92" i="133"/>
  <c r="C339" i="148"/>
  <c r="O187" i="133"/>
  <c r="O189" i="133" s="1"/>
  <c r="P186" i="133"/>
  <c r="I16" i="219"/>
  <c r="I253" i="107"/>
  <c r="I252" i="107" s="1"/>
  <c r="I11" i="219" s="1"/>
  <c r="AE342" i="132"/>
  <c r="AE343" i="132" s="1"/>
  <c r="CF342" i="132"/>
  <c r="H20" i="105"/>
  <c r="J25" i="162"/>
  <c r="I6" i="219"/>
  <c r="CF177" i="132"/>
  <c r="AE177" i="132"/>
  <c r="AE178" i="132" s="1"/>
  <c r="CF207" i="132"/>
  <c r="AE207" i="132"/>
  <c r="AE208" i="132" s="1"/>
  <c r="CF237" i="132"/>
  <c r="AE237" i="132"/>
  <c r="AE238" i="132" s="1"/>
  <c r="CF267" i="132"/>
  <c r="AE267" i="132"/>
  <c r="AE268" i="132" s="1"/>
  <c r="CF297" i="132"/>
  <c r="AE297" i="132"/>
  <c r="AE298" i="132" s="1"/>
  <c r="AF165" i="132"/>
  <c r="AG165" i="132" s="1"/>
  <c r="AE166" i="132"/>
  <c r="AF166" i="132" s="1"/>
  <c r="AF170" i="132"/>
  <c r="AG170" i="132" s="1"/>
  <c r="AE171" i="132"/>
  <c r="AF171" i="132" s="1"/>
  <c r="AF190" i="132"/>
  <c r="AG190" i="132" s="1"/>
  <c r="AE191" i="132"/>
  <c r="AF191" i="132" s="1"/>
  <c r="AF200" i="132"/>
  <c r="AG200" i="132" s="1"/>
  <c r="AE201" i="132"/>
  <c r="AF201" i="132" s="1"/>
  <c r="AF210" i="132"/>
  <c r="AG210" i="132" s="1"/>
  <c r="AE211" i="132"/>
  <c r="AF211" i="132" s="1"/>
  <c r="AF230" i="132"/>
  <c r="AG230" i="132" s="1"/>
  <c r="AE231" i="132"/>
  <c r="AF231" i="132" s="1"/>
  <c r="AF240" i="132"/>
  <c r="AG240" i="132" s="1"/>
  <c r="AE241" i="132"/>
  <c r="AF241" i="132" s="1"/>
  <c r="AF260" i="132"/>
  <c r="AG260" i="132" s="1"/>
  <c r="AE261" i="132"/>
  <c r="AF261" i="132" s="1"/>
  <c r="AF270" i="132"/>
  <c r="AG270" i="132" s="1"/>
  <c r="AE271" i="132"/>
  <c r="AF271" i="132" s="1"/>
  <c r="AF290" i="132"/>
  <c r="AG290" i="132" s="1"/>
  <c r="AE291" i="132"/>
  <c r="AF291" i="132" s="1"/>
  <c r="AF300" i="132"/>
  <c r="AG300" i="132" s="1"/>
  <c r="AE301" i="132"/>
  <c r="AF301" i="132" s="1"/>
  <c r="L191" i="133"/>
  <c r="D61" i="105"/>
  <c r="M54" i="138"/>
  <c r="L58" i="138"/>
  <c r="AF155" i="132"/>
  <c r="AG155" i="132" s="1"/>
  <c r="AE156" i="132"/>
  <c r="AF156" i="132" s="1"/>
  <c r="AF220" i="132"/>
  <c r="AG220" i="132" s="1"/>
  <c r="AE221" i="132"/>
  <c r="AF221" i="132" s="1"/>
  <c r="AF250" i="132"/>
  <c r="AG250" i="132" s="1"/>
  <c r="AE251" i="132"/>
  <c r="AF251" i="132" s="1"/>
  <c r="AF280" i="132"/>
  <c r="AG280" i="132" s="1"/>
  <c r="AE281" i="132"/>
  <c r="AF281" i="132" s="1"/>
  <c r="AF335" i="132"/>
  <c r="AG335" i="132" s="1"/>
  <c r="AE336" i="132"/>
  <c r="AF336" i="132" s="1"/>
  <c r="AF310" i="132"/>
  <c r="AG310" i="132" s="1"/>
  <c r="AE311" i="132"/>
  <c r="AF311" i="132" s="1"/>
  <c r="AF185" i="132"/>
  <c r="AG185" i="132" s="1"/>
  <c r="AE186" i="132"/>
  <c r="AF186" i="132" s="1"/>
  <c r="AF215" i="132"/>
  <c r="AG215" i="132" s="1"/>
  <c r="AE216" i="132"/>
  <c r="AF216" i="132" s="1"/>
  <c r="AF245" i="132"/>
  <c r="AG245" i="132" s="1"/>
  <c r="AE246" i="132"/>
  <c r="AF246" i="132" s="1"/>
  <c r="AF275" i="132"/>
  <c r="AG275" i="132" s="1"/>
  <c r="AE276" i="132"/>
  <c r="AF276" i="132" s="1"/>
  <c r="AF305" i="132"/>
  <c r="AG305" i="132" s="1"/>
  <c r="AE306" i="132"/>
  <c r="AF306" i="132" s="1"/>
  <c r="AE327" i="132"/>
  <c r="AE328" i="132" s="1"/>
  <c r="CF327" i="132"/>
  <c r="AE357" i="132"/>
  <c r="AE358" i="132" s="1"/>
  <c r="CF357" i="132"/>
  <c r="L372" i="105"/>
  <c r="L377" i="105" s="1"/>
  <c r="L388" i="105" s="1"/>
  <c r="M373" i="105"/>
  <c r="O375" i="105"/>
  <c r="N374" i="105"/>
  <c r="M196" i="105"/>
  <c r="L223" i="107"/>
  <c r="L32" i="214" s="1"/>
  <c r="L33" i="214" s="1"/>
  <c r="L77" i="214" s="1"/>
  <c r="L7" i="214" s="1"/>
  <c r="I58" i="105"/>
  <c r="I60" i="105" s="1"/>
  <c r="I61" i="105" s="1"/>
  <c r="L137" i="107"/>
  <c r="I520" i="105"/>
  <c r="F333" i="148"/>
  <c r="F319" i="148" s="1"/>
  <c r="G334" i="148"/>
  <c r="G333" i="148" s="1"/>
  <c r="J6" i="219"/>
  <c r="O478" i="105"/>
  <c r="D30" i="138"/>
  <c r="AE182" i="132"/>
  <c r="AE183" i="132" s="1"/>
  <c r="CF182" i="132"/>
  <c r="AE317" i="132"/>
  <c r="AE318" i="132" s="1"/>
  <c r="CF317" i="132"/>
  <c r="G135" i="107"/>
  <c r="D634" i="131"/>
  <c r="D41" i="105"/>
  <c r="D53" i="105" s="1"/>
  <c r="P53" i="105" s="1"/>
  <c r="P67" i="105" s="1"/>
  <c r="AE322" i="132"/>
  <c r="AE323" i="132" s="1"/>
  <c r="CF322" i="132"/>
  <c r="AE332" i="132"/>
  <c r="AE333" i="132" s="1"/>
  <c r="CF333" i="132"/>
  <c r="AE352" i="132"/>
  <c r="AE353" i="132" s="1"/>
  <c r="CF352" i="132"/>
  <c r="AF195" i="132"/>
  <c r="AG195" i="132" s="1"/>
  <c r="AE196" i="132"/>
  <c r="AF196" i="132" s="1"/>
  <c r="AF225" i="132"/>
  <c r="AG225" i="132" s="1"/>
  <c r="AE226" i="132"/>
  <c r="AF226" i="132" s="1"/>
  <c r="AF255" i="132"/>
  <c r="AG255" i="132" s="1"/>
  <c r="AE256" i="132"/>
  <c r="AF256" i="132" s="1"/>
  <c r="AF285" i="132"/>
  <c r="AG285" i="132" s="1"/>
  <c r="AE286" i="132"/>
  <c r="AF286" i="132" s="1"/>
  <c r="G319" i="148"/>
  <c r="AC347" i="132"/>
  <c r="AC348" i="132" s="1"/>
  <c r="AC362" i="132"/>
  <c r="AC363" i="132" s="1"/>
  <c r="CD163" i="132"/>
  <c r="AC369" i="132" s="1"/>
  <c r="CD342" i="132"/>
  <c r="AC177" i="132"/>
  <c r="AC178" i="132" s="1"/>
  <c r="AC207" i="132"/>
  <c r="AC208" i="132" s="1"/>
  <c r="AC237" i="132"/>
  <c r="AC238" i="132" s="1"/>
  <c r="AC267" i="132"/>
  <c r="AC268" i="132" s="1"/>
  <c r="AC297" i="132"/>
  <c r="AC298" i="132" s="1"/>
  <c r="AC167" i="132"/>
  <c r="AC168" i="132" s="1"/>
  <c r="AC172" i="132"/>
  <c r="AC173" i="132" s="1"/>
  <c r="AC192" i="132"/>
  <c r="AC193" i="132" s="1"/>
  <c r="AC202" i="132"/>
  <c r="AC203" i="132" s="1"/>
  <c r="AC212" i="132"/>
  <c r="AC213" i="132" s="1"/>
  <c r="AC232" i="132"/>
  <c r="AC233" i="132" s="1"/>
  <c r="AC242" i="132"/>
  <c r="AC243" i="132" s="1"/>
  <c r="AC262" i="132"/>
  <c r="AC263" i="132" s="1"/>
  <c r="AC272" i="132"/>
  <c r="AC273" i="132" s="1"/>
  <c r="AC292" i="132"/>
  <c r="AC293" i="132" s="1"/>
  <c r="AC302" i="132"/>
  <c r="AC303" i="132" s="1"/>
  <c r="AA370" i="132" l="1"/>
  <c r="AH285" i="132"/>
  <c r="AI285" i="132" s="1"/>
  <c r="AG286" i="132"/>
  <c r="AH286" i="132" s="1"/>
  <c r="AH255" i="132"/>
  <c r="AI255" i="132" s="1"/>
  <c r="AG256" i="132"/>
  <c r="AH256" i="132" s="1"/>
  <c r="AH225" i="132"/>
  <c r="AI225" i="132" s="1"/>
  <c r="AG226" i="132"/>
  <c r="AH226" i="132" s="1"/>
  <c r="AH195" i="132"/>
  <c r="AI195" i="132" s="1"/>
  <c r="AG196" i="132"/>
  <c r="AH196" i="132" s="1"/>
  <c r="M197" i="105"/>
  <c r="M198" i="105" s="1"/>
  <c r="L59" i="138"/>
  <c r="L487" i="105"/>
  <c r="L485" i="105" s="1"/>
  <c r="J26" i="162"/>
  <c r="P187" i="133"/>
  <c r="P189" i="133" s="1"/>
  <c r="J219" i="133" s="1"/>
  <c r="H157" i="133"/>
  <c r="I114" i="133"/>
  <c r="J397" i="105"/>
  <c r="J398" i="105"/>
  <c r="H386" i="105"/>
  <c r="I384" i="105"/>
  <c r="H385" i="105"/>
  <c r="I379" i="105"/>
  <c r="H380" i="105"/>
  <c r="K280" i="107"/>
  <c r="K23" i="219" s="1"/>
  <c r="AG356" i="132"/>
  <c r="AH356" i="132" s="1"/>
  <c r="AH355" i="132"/>
  <c r="AI355" i="132" s="1"/>
  <c r="AG326" i="132"/>
  <c r="AH326" i="132" s="1"/>
  <c r="AH325" i="132"/>
  <c r="AI325" i="132" s="1"/>
  <c r="AH295" i="132"/>
  <c r="AI295" i="132" s="1"/>
  <c r="AG296" i="132"/>
  <c r="AH296" i="132" s="1"/>
  <c r="AH265" i="132"/>
  <c r="AI265" i="132" s="1"/>
  <c r="AG266" i="132"/>
  <c r="AH266" i="132" s="1"/>
  <c r="AH235" i="132"/>
  <c r="AI235" i="132" s="1"/>
  <c r="AG236" i="132"/>
  <c r="AH236" i="132" s="1"/>
  <c r="AH205" i="132"/>
  <c r="AI205" i="132" s="1"/>
  <c r="AG206" i="132"/>
  <c r="AH206" i="132" s="1"/>
  <c r="AH175" i="132"/>
  <c r="AI175" i="132" s="1"/>
  <c r="AG176" i="132"/>
  <c r="AH176" i="132" s="1"/>
  <c r="AG341" i="132"/>
  <c r="AH341" i="132" s="1"/>
  <c r="AH340" i="132"/>
  <c r="AI340" i="132" s="1"/>
  <c r="AS319" i="138"/>
  <c r="AB9" i="138"/>
  <c r="AB88" i="148"/>
  <c r="AE88" i="148"/>
  <c r="AH88" i="148"/>
  <c r="AK88" i="148"/>
  <c r="AC368" i="132"/>
  <c r="AC370" i="132" s="1"/>
  <c r="AE287" i="132"/>
  <c r="AE288" i="132" s="1"/>
  <c r="AE257" i="132"/>
  <c r="AE258" i="132" s="1"/>
  <c r="AE227" i="132"/>
  <c r="AE228" i="132" s="1"/>
  <c r="AE197" i="132"/>
  <c r="AE198" i="132" s="1"/>
  <c r="J395" i="105"/>
  <c r="K395" i="105" s="1"/>
  <c r="CF307" i="132"/>
  <c r="CF277" i="132"/>
  <c r="CF248" i="132"/>
  <c r="CF217" i="132"/>
  <c r="CF187" i="132"/>
  <c r="CF312" i="132"/>
  <c r="CF337" i="132"/>
  <c r="CF282" i="132"/>
  <c r="CF252" i="132"/>
  <c r="CF222" i="132"/>
  <c r="CF157" i="132"/>
  <c r="CF302" i="132"/>
  <c r="CF292" i="132"/>
  <c r="CF272" i="132"/>
  <c r="CF262" i="132"/>
  <c r="CF242" i="132"/>
  <c r="CF232" i="132"/>
  <c r="CF212" i="132"/>
  <c r="CF202" i="132"/>
  <c r="CF192" i="132"/>
  <c r="CF172" i="132"/>
  <c r="CF167" i="132"/>
  <c r="CF163" i="132"/>
  <c r="W187" i="133"/>
  <c r="W189" i="133" s="1"/>
  <c r="AE362" i="132"/>
  <c r="AE363" i="132" s="1"/>
  <c r="CF347" i="132"/>
  <c r="AB104" i="133"/>
  <c r="U88" i="148" s="1"/>
  <c r="AA88" i="148" s="1"/>
  <c r="AC88" i="148" s="1"/>
  <c r="AG257" i="132"/>
  <c r="AG258" i="132" s="1"/>
  <c r="CH257" i="132"/>
  <c r="AG197" i="132"/>
  <c r="AG198" i="132" s="1"/>
  <c r="CH197" i="132"/>
  <c r="E135" i="107"/>
  <c r="G144" i="107"/>
  <c r="O477" i="105"/>
  <c r="C362" i="148"/>
  <c r="L656" i="107"/>
  <c r="L649" i="107"/>
  <c r="L650" i="107" s="1"/>
  <c r="I151" i="133"/>
  <c r="K250" i="107" s="1"/>
  <c r="K244" i="107" s="1"/>
  <c r="L83" i="105"/>
  <c r="AH305" i="132"/>
  <c r="AI305" i="132" s="1"/>
  <c r="AG306" i="132"/>
  <c r="AH306" i="132" s="1"/>
  <c r="AH275" i="132"/>
  <c r="AI275" i="132" s="1"/>
  <c r="AG276" i="132"/>
  <c r="AH276" i="132" s="1"/>
  <c r="AH245" i="132"/>
  <c r="AI245" i="132" s="1"/>
  <c r="AG246" i="132"/>
  <c r="AH246" i="132" s="1"/>
  <c r="AH215" i="132"/>
  <c r="AI215" i="132" s="1"/>
  <c r="AG216" i="132"/>
  <c r="AH216" i="132" s="1"/>
  <c r="AH185" i="132"/>
  <c r="AI185" i="132" s="1"/>
  <c r="AG186" i="132"/>
  <c r="AH186" i="132" s="1"/>
  <c r="AH310" i="132"/>
  <c r="AI310" i="132" s="1"/>
  <c r="AG311" i="132"/>
  <c r="AH311" i="132" s="1"/>
  <c r="AH335" i="132"/>
  <c r="AI335" i="132" s="1"/>
  <c r="AG336" i="132"/>
  <c r="AH336" i="132" s="1"/>
  <c r="AH280" i="132"/>
  <c r="AI280" i="132" s="1"/>
  <c r="AG281" i="132"/>
  <c r="AH281" i="132" s="1"/>
  <c r="AH250" i="132"/>
  <c r="AI250" i="132" s="1"/>
  <c r="AG251" i="132"/>
  <c r="AH251" i="132" s="1"/>
  <c r="AH220" i="132"/>
  <c r="AI220" i="132" s="1"/>
  <c r="AG221" i="132"/>
  <c r="AH221" i="132" s="1"/>
  <c r="AH155" i="132"/>
  <c r="AI155" i="132" s="1"/>
  <c r="AG156" i="132"/>
  <c r="AH156" i="132" s="1"/>
  <c r="M57" i="138"/>
  <c r="P32" i="219"/>
  <c r="L193" i="133"/>
  <c r="AH300" i="132"/>
  <c r="AI300" i="132" s="1"/>
  <c r="AG301" i="132"/>
  <c r="AH301" i="132" s="1"/>
  <c r="AH290" i="132"/>
  <c r="AI290" i="132" s="1"/>
  <c r="AG291" i="132"/>
  <c r="AH291" i="132" s="1"/>
  <c r="AH270" i="132"/>
  <c r="AI270" i="132" s="1"/>
  <c r="AG271" i="132"/>
  <c r="AH271" i="132" s="1"/>
  <c r="AH260" i="132"/>
  <c r="AI260" i="132" s="1"/>
  <c r="AG261" i="132"/>
  <c r="AH261" i="132" s="1"/>
  <c r="AH240" i="132"/>
  <c r="AI240" i="132" s="1"/>
  <c r="AG241" i="132"/>
  <c r="AH241" i="132" s="1"/>
  <c r="AH230" i="132"/>
  <c r="AI230" i="132" s="1"/>
  <c r="AG231" i="132"/>
  <c r="AH231" i="132" s="1"/>
  <c r="AH210" i="132"/>
  <c r="AI210" i="132" s="1"/>
  <c r="AG211" i="132"/>
  <c r="AH211" i="132" s="1"/>
  <c r="AH200" i="132"/>
  <c r="AI200" i="132" s="1"/>
  <c r="AG201" i="132"/>
  <c r="AH201" i="132" s="1"/>
  <c r="AH190" i="132"/>
  <c r="AI190" i="132" s="1"/>
  <c r="AG191" i="132"/>
  <c r="AH191" i="132" s="1"/>
  <c r="AH170" i="132"/>
  <c r="AI170" i="132" s="1"/>
  <c r="AG171" i="132"/>
  <c r="AH171" i="132" s="1"/>
  <c r="AH165" i="132"/>
  <c r="AI165" i="132" s="1"/>
  <c r="AG166" i="132"/>
  <c r="AH166" i="132" s="1"/>
  <c r="L115" i="105"/>
  <c r="K95" i="107"/>
  <c r="K213" i="105" s="1"/>
  <c r="H21" i="105"/>
  <c r="J256" i="107"/>
  <c r="H127" i="133"/>
  <c r="AG161" i="132"/>
  <c r="AH161" i="132" s="1"/>
  <c r="AH160" i="132"/>
  <c r="AI160" i="132" s="1"/>
  <c r="AG361" i="132"/>
  <c r="AH361" i="132" s="1"/>
  <c r="AH360" i="132"/>
  <c r="AI360" i="132" s="1"/>
  <c r="AG346" i="132"/>
  <c r="AH346" i="132" s="1"/>
  <c r="AH345" i="132"/>
  <c r="AI345" i="132" s="1"/>
  <c r="G16" i="219"/>
  <c r="E264" i="107"/>
  <c r="G253" i="107"/>
  <c r="H46" i="148"/>
  <c r="H145" i="148"/>
  <c r="AG351" i="132"/>
  <c r="AH351" i="132" s="1"/>
  <c r="AH350" i="132"/>
  <c r="AI350" i="132" s="1"/>
  <c r="AG331" i="132"/>
  <c r="AH331" i="132" s="1"/>
  <c r="AH330" i="132"/>
  <c r="AI330" i="132" s="1"/>
  <c r="AG321" i="132"/>
  <c r="AH321" i="132" s="1"/>
  <c r="AH320" i="132"/>
  <c r="AI320" i="132" s="1"/>
  <c r="AG316" i="132"/>
  <c r="AH316" i="132" s="1"/>
  <c r="AH315" i="132"/>
  <c r="AI315" i="132" s="1"/>
  <c r="AG181" i="132"/>
  <c r="AH181" i="132" s="1"/>
  <c r="AH180" i="132"/>
  <c r="AI180" i="132" s="1"/>
  <c r="I413" i="105"/>
  <c r="H414" i="105"/>
  <c r="H415" i="105"/>
  <c r="J409" i="105"/>
  <c r="J408" i="105" s="1"/>
  <c r="I372" i="105"/>
  <c r="L375" i="105"/>
  <c r="K374" i="105"/>
  <c r="H378" i="105"/>
  <c r="J373" i="105"/>
  <c r="CH357" i="132"/>
  <c r="AG357" i="132"/>
  <c r="AG358" i="132" s="1"/>
  <c r="CH327" i="132"/>
  <c r="AG327" i="132"/>
  <c r="AG328" i="132" s="1"/>
  <c r="AG297" i="132"/>
  <c r="AG298" i="132" s="1"/>
  <c r="CH297" i="132"/>
  <c r="AG267" i="132"/>
  <c r="AG268" i="132" s="1"/>
  <c r="CH267" i="132"/>
  <c r="AG237" i="132"/>
  <c r="AG238" i="132" s="1"/>
  <c r="CH237" i="132"/>
  <c r="AG207" i="132"/>
  <c r="AG208" i="132" s="1"/>
  <c r="CH207" i="132"/>
  <c r="AG177" i="132"/>
  <c r="AG178" i="132" s="1"/>
  <c r="CH177" i="132"/>
  <c r="CH342" i="132"/>
  <c r="AG342" i="132"/>
  <c r="AG343" i="132" s="1"/>
  <c r="M240" i="107"/>
  <c r="M239" i="107" s="1"/>
  <c r="K38" i="133"/>
  <c r="K230" i="133"/>
  <c r="K231" i="133"/>
  <c r="N190" i="133"/>
  <c r="O190" i="133" s="1"/>
  <c r="AD88" i="148"/>
  <c r="AF88" i="148" s="1"/>
  <c r="AG88" i="148"/>
  <c r="AI88" i="148" s="1"/>
  <c r="AM88" i="148"/>
  <c r="AN88" i="148" s="1"/>
  <c r="AJ88" i="148"/>
  <c r="AL88" i="148" s="1"/>
  <c r="I283" i="107"/>
  <c r="I26" i="219" s="1"/>
  <c r="CF287" i="132"/>
  <c r="CF257" i="132"/>
  <c r="CF227" i="132"/>
  <c r="CF197" i="132"/>
  <c r="AE307" i="132"/>
  <c r="AE308" i="132" s="1"/>
  <c r="AE277" i="132"/>
  <c r="AE278" i="132" s="1"/>
  <c r="AE247" i="132"/>
  <c r="AE248" i="132" s="1"/>
  <c r="AE217" i="132"/>
  <c r="AE218" i="132" s="1"/>
  <c r="AE187" i="132"/>
  <c r="AE188" i="132" s="1"/>
  <c r="AE312" i="132"/>
  <c r="AE313" i="132" s="1"/>
  <c r="AE337" i="132"/>
  <c r="AE338" i="132" s="1"/>
  <c r="AE282" i="132"/>
  <c r="AE283" i="132" s="1"/>
  <c r="AE252" i="132"/>
  <c r="AE253" i="132" s="1"/>
  <c r="AE222" i="132"/>
  <c r="AE223" i="132" s="1"/>
  <c r="AE157" i="132"/>
  <c r="AE158" i="132" s="1"/>
  <c r="AE302" i="132"/>
  <c r="AE303" i="132" s="1"/>
  <c r="AE292" i="132"/>
  <c r="AE293" i="132" s="1"/>
  <c r="AE272" i="132"/>
  <c r="AE273" i="132" s="1"/>
  <c r="AE262" i="132"/>
  <c r="AE263" i="132" s="1"/>
  <c r="AE242" i="132"/>
  <c r="AE243" i="132" s="1"/>
  <c r="AE232" i="132"/>
  <c r="AE233" i="132" s="1"/>
  <c r="AE212" i="132"/>
  <c r="AE213" i="132" s="1"/>
  <c r="AE202" i="132"/>
  <c r="AE203" i="132" s="1"/>
  <c r="AE192" i="132"/>
  <c r="AE193" i="132" s="1"/>
  <c r="AE172" i="132"/>
  <c r="AE173" i="132" s="1"/>
  <c r="AE167" i="132"/>
  <c r="AE168" i="132" s="1"/>
  <c r="AE162" i="132"/>
  <c r="AE163" i="132" s="1"/>
  <c r="CF362" i="132"/>
  <c r="AE347" i="132"/>
  <c r="AE348" i="132" s="1"/>
  <c r="E129" i="133"/>
  <c r="AG287" i="132" l="1"/>
  <c r="AG288" i="132" s="1"/>
  <c r="AG227" i="132"/>
  <c r="AG228" i="132" s="1"/>
  <c r="O191" i="133"/>
  <c r="O193" i="133" s="1"/>
  <c r="K409" i="105"/>
  <c r="K408" i="105" s="1"/>
  <c r="D489" i="105"/>
  <c r="D488" i="105" s="1"/>
  <c r="F129" i="133"/>
  <c r="K232" i="133"/>
  <c r="J68" i="138" s="1"/>
  <c r="J69" i="138" s="1"/>
  <c r="J14" i="138" s="1"/>
  <c r="K239" i="133"/>
  <c r="H390" i="105"/>
  <c r="H85" i="105" s="1"/>
  <c r="D458" i="105" s="1"/>
  <c r="D457" i="105" s="1"/>
  <c r="D453" i="105" s="1"/>
  <c r="I415" i="105"/>
  <c r="J413" i="105"/>
  <c r="I414" i="105"/>
  <c r="AJ345" i="132"/>
  <c r="AK345" i="132" s="1"/>
  <c r="AI346" i="132"/>
  <c r="AJ346" i="132" s="1"/>
  <c r="AJ360" i="132"/>
  <c r="AK360" i="132" s="1"/>
  <c r="AI361" i="132"/>
  <c r="AJ361" i="132" s="1"/>
  <c r="AI161" i="132"/>
  <c r="AJ161" i="132" s="1"/>
  <c r="AJ160" i="132"/>
  <c r="AK160" i="132" s="1"/>
  <c r="I15" i="105"/>
  <c r="H452" i="105"/>
  <c r="H451" i="105" s="1"/>
  <c r="K96" i="107"/>
  <c r="K214" i="105"/>
  <c r="D521" i="105"/>
  <c r="G225" i="107"/>
  <c r="G34" i="214" s="1"/>
  <c r="D54" i="105"/>
  <c r="D67" i="105" s="1"/>
  <c r="AJ340" i="132"/>
  <c r="AK340" i="132" s="1"/>
  <c r="AI341" i="132"/>
  <c r="AJ341" i="132" s="1"/>
  <c r="AJ325" i="132"/>
  <c r="AK325" i="132" s="1"/>
  <c r="AI326" i="132"/>
  <c r="AJ326" i="132" s="1"/>
  <c r="AJ355" i="132"/>
  <c r="AK355" i="132" s="1"/>
  <c r="AI356" i="132"/>
  <c r="AJ356" i="132" s="1"/>
  <c r="I389" i="105"/>
  <c r="K405" i="105"/>
  <c r="K278" i="107"/>
  <c r="AE369" i="132"/>
  <c r="CH182" i="132"/>
  <c r="CH317" i="132"/>
  <c r="CH322" i="132"/>
  <c r="CH333" i="132"/>
  <c r="CH352" i="132"/>
  <c r="CH347" i="132"/>
  <c r="CH362" i="132"/>
  <c r="CH163" i="132"/>
  <c r="P190" i="133"/>
  <c r="AG167" i="132"/>
  <c r="AG168" i="132" s="1"/>
  <c r="AG172" i="132"/>
  <c r="AG173" i="132" s="1"/>
  <c r="AG192" i="132"/>
  <c r="AG193" i="132" s="1"/>
  <c r="AG202" i="132"/>
  <c r="AG203" i="132" s="1"/>
  <c r="AG212" i="132"/>
  <c r="AG213" i="132" s="1"/>
  <c r="AG232" i="132"/>
  <c r="AG233" i="132" s="1"/>
  <c r="AG242" i="132"/>
  <c r="AG243" i="132" s="1"/>
  <c r="AG262" i="132"/>
  <c r="AG263" i="132" s="1"/>
  <c r="AG272" i="132"/>
  <c r="AG273" i="132" s="1"/>
  <c r="AG292" i="132"/>
  <c r="AG293" i="132" s="1"/>
  <c r="AG302" i="132"/>
  <c r="AG303" i="132" s="1"/>
  <c r="AG157" i="132"/>
  <c r="AG158" i="132" s="1"/>
  <c r="AG222" i="132"/>
  <c r="AG223" i="132" s="1"/>
  <c r="AG252" i="132"/>
  <c r="AG253" i="132" s="1"/>
  <c r="AG282" i="132"/>
  <c r="AG283" i="132" s="1"/>
  <c r="AG337" i="132"/>
  <c r="AG338" i="132" s="1"/>
  <c r="AG312" i="132"/>
  <c r="AG313" i="132" s="1"/>
  <c r="AG187" i="132"/>
  <c r="AG188" i="132" s="1"/>
  <c r="AG217" i="132"/>
  <c r="AG218" i="132" s="1"/>
  <c r="AG247" i="132"/>
  <c r="AG248" i="132" s="1"/>
  <c r="AG277" i="132"/>
  <c r="AG278" i="132" s="1"/>
  <c r="AG307" i="132"/>
  <c r="AG308" i="132" s="1"/>
  <c r="CH227" i="132"/>
  <c r="CH287" i="132"/>
  <c r="I255" i="133"/>
  <c r="I435" i="107" s="1"/>
  <c r="I254" i="133" s="1"/>
  <c r="J224" i="133"/>
  <c r="J222" i="133" s="1"/>
  <c r="J220" i="133"/>
  <c r="N191" i="133"/>
  <c r="M8" i="219"/>
  <c r="K30" i="133"/>
  <c r="I377" i="105"/>
  <c r="AI181" i="132"/>
  <c r="AJ181" i="132" s="1"/>
  <c r="AJ180" i="132"/>
  <c r="AK180" i="132" s="1"/>
  <c r="AI316" i="132"/>
  <c r="AJ316" i="132" s="1"/>
  <c r="AJ315" i="132"/>
  <c r="AK315" i="132" s="1"/>
  <c r="AJ320" i="132"/>
  <c r="AK320" i="132" s="1"/>
  <c r="AI321" i="132"/>
  <c r="AJ321" i="132" s="1"/>
  <c r="AJ330" i="132"/>
  <c r="AK330" i="132" s="1"/>
  <c r="AI331" i="132"/>
  <c r="AJ331" i="132" s="1"/>
  <c r="AJ350" i="132"/>
  <c r="AK350" i="132" s="1"/>
  <c r="AI351" i="132"/>
  <c r="AJ351" i="132" s="1"/>
  <c r="O190" i="148"/>
  <c r="O191" i="148" s="1"/>
  <c r="H146" i="148"/>
  <c r="I679" i="131" s="1"/>
  <c r="G252" i="107"/>
  <c r="AI347" i="132"/>
  <c r="AI348" i="132" s="1"/>
  <c r="CJ347" i="132"/>
  <c r="AI362" i="132"/>
  <c r="AI363" i="132" s="1"/>
  <c r="CJ362" i="132"/>
  <c r="AI162" i="132"/>
  <c r="AI163" i="132" s="1"/>
  <c r="CJ163" i="132"/>
  <c r="J14" i="219"/>
  <c r="J253" i="107"/>
  <c r="J252" i="107" s="1"/>
  <c r="L116" i="105"/>
  <c r="K212" i="105"/>
  <c r="AJ165" i="132"/>
  <c r="AK165" i="132" s="1"/>
  <c r="AI166" i="132"/>
  <c r="AJ166" i="132" s="1"/>
  <c r="AJ170" i="132"/>
  <c r="AK170" i="132" s="1"/>
  <c r="AI171" i="132"/>
  <c r="AJ171" i="132" s="1"/>
  <c r="AJ190" i="132"/>
  <c r="AK190" i="132" s="1"/>
  <c r="AI191" i="132"/>
  <c r="AJ191" i="132" s="1"/>
  <c r="AJ200" i="132"/>
  <c r="AK200" i="132" s="1"/>
  <c r="AI201" i="132"/>
  <c r="AJ201" i="132" s="1"/>
  <c r="AJ210" i="132"/>
  <c r="AK210" i="132" s="1"/>
  <c r="AI211" i="132"/>
  <c r="AJ211" i="132" s="1"/>
  <c r="AJ230" i="132"/>
  <c r="AK230" i="132" s="1"/>
  <c r="AI231" i="132"/>
  <c r="AJ231" i="132" s="1"/>
  <c r="AJ240" i="132"/>
  <c r="AK240" i="132" s="1"/>
  <c r="AI241" i="132"/>
  <c r="AJ241" i="132" s="1"/>
  <c r="AJ260" i="132"/>
  <c r="AK260" i="132" s="1"/>
  <c r="AI261" i="132"/>
  <c r="AJ261" i="132" s="1"/>
  <c r="AJ270" i="132"/>
  <c r="AK270" i="132" s="1"/>
  <c r="AI271" i="132"/>
  <c r="AJ271" i="132" s="1"/>
  <c r="AJ290" i="132"/>
  <c r="AK290" i="132" s="1"/>
  <c r="AI291" i="132"/>
  <c r="AJ291" i="132" s="1"/>
  <c r="AJ300" i="132"/>
  <c r="AK300" i="132" s="1"/>
  <c r="AI301" i="132"/>
  <c r="AJ301" i="132" s="1"/>
  <c r="L194" i="133"/>
  <c r="N54" i="138"/>
  <c r="M58" i="138"/>
  <c r="AJ155" i="132"/>
  <c r="AK155" i="132" s="1"/>
  <c r="AI156" i="132"/>
  <c r="AJ156" i="132" s="1"/>
  <c r="AJ220" i="132"/>
  <c r="AK220" i="132" s="1"/>
  <c r="AI221" i="132"/>
  <c r="AJ221" i="132" s="1"/>
  <c r="AJ250" i="132"/>
  <c r="AK250" i="132" s="1"/>
  <c r="AI251" i="132"/>
  <c r="AJ251" i="132" s="1"/>
  <c r="AJ280" i="132"/>
  <c r="AK280" i="132" s="1"/>
  <c r="AI281" i="132"/>
  <c r="AJ281" i="132" s="1"/>
  <c r="AJ335" i="132"/>
  <c r="AK335" i="132" s="1"/>
  <c r="AI336" i="132"/>
  <c r="AJ336" i="132" s="1"/>
  <c r="AJ310" i="132"/>
  <c r="AK310" i="132" s="1"/>
  <c r="AI311" i="132"/>
  <c r="AJ311" i="132" s="1"/>
  <c r="AJ185" i="132"/>
  <c r="AK185" i="132" s="1"/>
  <c r="AI186" i="132"/>
  <c r="AJ186" i="132" s="1"/>
  <c r="AJ215" i="132"/>
  <c r="AK215" i="132" s="1"/>
  <c r="AI216" i="132"/>
  <c r="AJ216" i="132" s="1"/>
  <c r="AJ245" i="132"/>
  <c r="AK245" i="132" s="1"/>
  <c r="AI246" i="132"/>
  <c r="AJ246" i="132" s="1"/>
  <c r="AJ275" i="132"/>
  <c r="AK275" i="132" s="1"/>
  <c r="AI276" i="132"/>
  <c r="AJ276" i="132" s="1"/>
  <c r="AJ305" i="132"/>
  <c r="AK305" i="132" s="1"/>
  <c r="AI306" i="132"/>
  <c r="AJ306" i="132" s="1"/>
  <c r="K238" i="107"/>
  <c r="K9" i="219"/>
  <c r="O476" i="105"/>
  <c r="C361" i="148"/>
  <c r="AB10" i="138"/>
  <c r="N25" i="138" s="1"/>
  <c r="N486" i="105" s="1"/>
  <c r="AT318" i="138"/>
  <c r="AI342" i="132"/>
  <c r="AI343" i="132" s="1"/>
  <c r="CJ342" i="132"/>
  <c r="AJ175" i="132"/>
  <c r="AK175" i="132" s="1"/>
  <c r="AI176" i="132"/>
  <c r="AJ176" i="132" s="1"/>
  <c r="AJ205" i="132"/>
  <c r="AK205" i="132" s="1"/>
  <c r="AI206" i="132"/>
  <c r="AJ206" i="132" s="1"/>
  <c r="AJ235" i="132"/>
  <c r="AK235" i="132" s="1"/>
  <c r="AI236" i="132"/>
  <c r="AJ236" i="132" s="1"/>
  <c r="AJ265" i="132"/>
  <c r="AK265" i="132" s="1"/>
  <c r="AI266" i="132"/>
  <c r="AJ266" i="132" s="1"/>
  <c r="AJ295" i="132"/>
  <c r="AK295" i="132" s="1"/>
  <c r="AI296" i="132"/>
  <c r="AJ296" i="132" s="1"/>
  <c r="AI327" i="132"/>
  <c r="AI328" i="132" s="1"/>
  <c r="CJ327" i="132"/>
  <c r="AI357" i="132"/>
  <c r="AI358" i="132" s="1"/>
  <c r="CJ357" i="132"/>
  <c r="I380" i="105"/>
  <c r="H391" i="105"/>
  <c r="H86" i="105" s="1"/>
  <c r="D498" i="105" s="1"/>
  <c r="I361" i="105"/>
  <c r="K399" i="105"/>
  <c r="M401" i="105"/>
  <c r="L400" i="105"/>
  <c r="N402" i="105"/>
  <c r="J79" i="133"/>
  <c r="AJ195" i="132"/>
  <c r="AK195" i="132" s="1"/>
  <c r="AI196" i="132"/>
  <c r="AJ196" i="132" s="1"/>
  <c r="AJ225" i="132"/>
  <c r="AK225" i="132" s="1"/>
  <c r="AI226" i="132"/>
  <c r="AJ226" i="132" s="1"/>
  <c r="AJ255" i="132"/>
  <c r="AK255" i="132" s="1"/>
  <c r="AI256" i="132"/>
  <c r="AJ256" i="132" s="1"/>
  <c r="AJ285" i="132"/>
  <c r="AK285" i="132" s="1"/>
  <c r="AI286" i="132"/>
  <c r="AJ286" i="132" s="1"/>
  <c r="K234" i="133"/>
  <c r="K235" i="133" s="1"/>
  <c r="AE368" i="132"/>
  <c r="I383" i="105"/>
  <c r="AG182" i="132"/>
  <c r="AG183" i="132" s="1"/>
  <c r="AG317" i="132"/>
  <c r="AG318" i="132" s="1"/>
  <c r="AG322" i="132"/>
  <c r="AG323" i="132" s="1"/>
  <c r="AG332" i="132"/>
  <c r="AG333" i="132" s="1"/>
  <c r="AG352" i="132"/>
  <c r="AG353" i="132" s="1"/>
  <c r="AG347" i="132"/>
  <c r="AG348" i="132" s="1"/>
  <c r="AG362" i="132"/>
  <c r="AG363" i="132" s="1"/>
  <c r="AG162" i="132"/>
  <c r="AG163" i="132" s="1"/>
  <c r="CH167" i="132"/>
  <c r="CH172" i="132"/>
  <c r="CH192" i="132"/>
  <c r="CH202" i="132"/>
  <c r="CH212" i="132"/>
  <c r="CH232" i="132"/>
  <c r="CH242" i="132"/>
  <c r="CH262" i="132"/>
  <c r="CH272" i="132"/>
  <c r="CH292" i="132"/>
  <c r="CH302" i="132"/>
  <c r="CH157" i="132"/>
  <c r="CH222" i="132"/>
  <c r="CH252" i="132"/>
  <c r="CH282" i="132"/>
  <c r="CH337" i="132"/>
  <c r="CH312" i="132"/>
  <c r="CH187" i="132"/>
  <c r="CH217" i="132"/>
  <c r="CH248" i="132"/>
  <c r="CH277" i="132"/>
  <c r="CH307" i="132"/>
  <c r="AG369" i="132" l="1"/>
  <c r="AL285" i="132"/>
  <c r="AM285" i="132" s="1"/>
  <c r="AK286" i="132"/>
  <c r="AL286" i="132" s="1"/>
  <c r="AL255" i="132"/>
  <c r="AM255" i="132" s="1"/>
  <c r="AK256" i="132"/>
  <c r="AL256" i="132" s="1"/>
  <c r="AL225" i="132"/>
  <c r="AM225" i="132" s="1"/>
  <c r="AK226" i="132"/>
  <c r="AL226" i="132" s="1"/>
  <c r="AL195" i="132"/>
  <c r="AM195" i="132" s="1"/>
  <c r="AK196" i="132"/>
  <c r="AL196" i="132" s="1"/>
  <c r="K404" i="105"/>
  <c r="J380" i="105"/>
  <c r="I391" i="105"/>
  <c r="I86" i="105" s="1"/>
  <c r="E498" i="105" s="1"/>
  <c r="AL295" i="132"/>
  <c r="AM295" i="132" s="1"/>
  <c r="AK296" i="132"/>
  <c r="AL296" i="132" s="1"/>
  <c r="AL265" i="132"/>
  <c r="AM265" i="132" s="1"/>
  <c r="AK266" i="132"/>
  <c r="AL266" i="132" s="1"/>
  <c r="AL235" i="132"/>
  <c r="AM235" i="132" s="1"/>
  <c r="AK236" i="132"/>
  <c r="AL236" i="132" s="1"/>
  <c r="AL205" i="132"/>
  <c r="AM205" i="132" s="1"/>
  <c r="AK206" i="132"/>
  <c r="AL206" i="132" s="1"/>
  <c r="AL175" i="132"/>
  <c r="AM175" i="132" s="1"/>
  <c r="AK176" i="132"/>
  <c r="AL176" i="132" s="1"/>
  <c r="O475" i="105"/>
  <c r="C360" i="148"/>
  <c r="K6" i="219"/>
  <c r="AL305" i="132"/>
  <c r="AM305" i="132" s="1"/>
  <c r="AK306" i="132"/>
  <c r="AL306" i="132" s="1"/>
  <c r="AL275" i="132"/>
  <c r="AM275" i="132" s="1"/>
  <c r="AK276" i="132"/>
  <c r="AL276" i="132" s="1"/>
  <c r="AL245" i="132"/>
  <c r="AM245" i="132" s="1"/>
  <c r="AK246" i="132"/>
  <c r="AL246" i="132" s="1"/>
  <c r="AL215" i="132"/>
  <c r="AM215" i="132" s="1"/>
  <c r="AK216" i="132"/>
  <c r="AL216" i="132" s="1"/>
  <c r="AL185" i="132"/>
  <c r="AM185" i="132" s="1"/>
  <c r="AK186" i="132"/>
  <c r="AL186" i="132" s="1"/>
  <c r="AL310" i="132"/>
  <c r="AM310" i="132" s="1"/>
  <c r="AK311" i="132"/>
  <c r="AL311" i="132" s="1"/>
  <c r="AL335" i="132"/>
  <c r="AM335" i="132" s="1"/>
  <c r="AK336" i="132"/>
  <c r="AL336" i="132" s="1"/>
  <c r="AL280" i="132"/>
  <c r="AM280" i="132" s="1"/>
  <c r="AK281" i="132"/>
  <c r="AL281" i="132" s="1"/>
  <c r="AL250" i="132"/>
  <c r="AM250" i="132" s="1"/>
  <c r="AK251" i="132"/>
  <c r="AL251" i="132" s="1"/>
  <c r="AL220" i="132"/>
  <c r="AM220" i="132" s="1"/>
  <c r="AK221" i="132"/>
  <c r="AL221" i="132" s="1"/>
  <c r="AL155" i="132"/>
  <c r="AM155" i="132" s="1"/>
  <c r="AK156" i="132"/>
  <c r="AL156" i="132" s="1"/>
  <c r="N57" i="138"/>
  <c r="Q32" i="219"/>
  <c r="L195" i="133"/>
  <c r="L238" i="133"/>
  <c r="L39" i="133" s="1"/>
  <c r="M194" i="133"/>
  <c r="AL300" i="132"/>
  <c r="AM300" i="132" s="1"/>
  <c r="AK301" i="132"/>
  <c r="AL301" i="132" s="1"/>
  <c r="AL290" i="132"/>
  <c r="AM290" i="132" s="1"/>
  <c r="AK291" i="132"/>
  <c r="AL291" i="132" s="1"/>
  <c r="AL270" i="132"/>
  <c r="AM270" i="132" s="1"/>
  <c r="AK271" i="132"/>
  <c r="AL271" i="132" s="1"/>
  <c r="AL260" i="132"/>
  <c r="AM260" i="132" s="1"/>
  <c r="AK261" i="132"/>
  <c r="AL261" i="132" s="1"/>
  <c r="AL240" i="132"/>
  <c r="AM240" i="132" s="1"/>
  <c r="AK241" i="132"/>
  <c r="AL241" i="132" s="1"/>
  <c r="AL230" i="132"/>
  <c r="AM230" i="132" s="1"/>
  <c r="AK231" i="132"/>
  <c r="AL231" i="132" s="1"/>
  <c r="AL210" i="132"/>
  <c r="AM210" i="132" s="1"/>
  <c r="AK211" i="132"/>
  <c r="AL211" i="132" s="1"/>
  <c r="AL200" i="132"/>
  <c r="AM200" i="132" s="1"/>
  <c r="AK201" i="132"/>
  <c r="AL201" i="132" s="1"/>
  <c r="AL190" i="132"/>
  <c r="AM190" i="132" s="1"/>
  <c r="AK191" i="132"/>
  <c r="AL191" i="132" s="1"/>
  <c r="AL170" i="132"/>
  <c r="AM170" i="132" s="1"/>
  <c r="AK171" i="132"/>
  <c r="AL171" i="132" s="1"/>
  <c r="AL165" i="132"/>
  <c r="AM165" i="132" s="1"/>
  <c r="AK166" i="132"/>
  <c r="AL166" i="132" s="1"/>
  <c r="O194" i="148"/>
  <c r="H394" i="148" s="1"/>
  <c r="G355" i="148" s="1"/>
  <c r="G352" i="148" s="1"/>
  <c r="G351" i="148" s="1"/>
  <c r="O193" i="148"/>
  <c r="AK351" i="132"/>
  <c r="AL351" i="132" s="1"/>
  <c r="AL350" i="132"/>
  <c r="AM350" i="132" s="1"/>
  <c r="AK331" i="132"/>
  <c r="AL331" i="132" s="1"/>
  <c r="AL330" i="132"/>
  <c r="AM330" i="132" s="1"/>
  <c r="AK321" i="132"/>
  <c r="AL321" i="132" s="1"/>
  <c r="AL320" i="132"/>
  <c r="AM320" i="132" s="1"/>
  <c r="N193" i="133"/>
  <c r="D68" i="105"/>
  <c r="E68" i="105" s="1"/>
  <c r="F68" i="105" s="1"/>
  <c r="G68" i="105" s="1"/>
  <c r="H68" i="105" s="1"/>
  <c r="I68" i="105" s="1"/>
  <c r="AK161" i="132"/>
  <c r="AL161" i="132" s="1"/>
  <c r="AL160" i="132"/>
  <c r="AM160" i="132" s="1"/>
  <c r="M140" i="107"/>
  <c r="J21" i="138"/>
  <c r="M138" i="107" s="1"/>
  <c r="AG368" i="132"/>
  <c r="CJ287" i="132"/>
  <c r="CJ257" i="132"/>
  <c r="CJ227" i="132"/>
  <c r="CJ197" i="132"/>
  <c r="AI297" i="132"/>
  <c r="AI298" i="132" s="1"/>
  <c r="AI267" i="132"/>
  <c r="AI268" i="132" s="1"/>
  <c r="AI237" i="132"/>
  <c r="AI238" i="132" s="1"/>
  <c r="AI207" i="132"/>
  <c r="AI208" i="132" s="1"/>
  <c r="AI177" i="132"/>
  <c r="AI178" i="132" s="1"/>
  <c r="CJ307" i="132"/>
  <c r="CJ277" i="132"/>
  <c r="CJ248" i="132"/>
  <c r="CJ217" i="132"/>
  <c r="CJ187" i="132"/>
  <c r="CJ312" i="132"/>
  <c r="CJ337" i="132"/>
  <c r="CJ282" i="132"/>
  <c r="CJ252" i="132"/>
  <c r="CJ222" i="132"/>
  <c r="CJ157" i="132"/>
  <c r="CJ302" i="132"/>
  <c r="CJ292" i="132"/>
  <c r="CJ272" i="132"/>
  <c r="CJ262" i="132"/>
  <c r="CJ242" i="132"/>
  <c r="CJ232" i="132"/>
  <c r="CJ212" i="132"/>
  <c r="CJ202" i="132"/>
  <c r="CJ192" i="132"/>
  <c r="CJ172" i="132"/>
  <c r="CJ167" i="132"/>
  <c r="CJ352" i="132"/>
  <c r="CJ333" i="132"/>
  <c r="CJ322" i="132"/>
  <c r="CJ317" i="132"/>
  <c r="CJ182" i="132"/>
  <c r="I385" i="105"/>
  <c r="J384" i="105"/>
  <c r="J383" i="105" s="1"/>
  <c r="I386" i="105"/>
  <c r="AK287" i="132"/>
  <c r="AK288" i="132" s="1"/>
  <c r="CL287" i="132"/>
  <c r="AK257" i="132"/>
  <c r="AK258" i="132" s="1"/>
  <c r="CL257" i="132"/>
  <c r="AK227" i="132"/>
  <c r="AK228" i="132" s="1"/>
  <c r="CL227" i="132"/>
  <c r="AK197" i="132"/>
  <c r="AK198" i="132" s="1"/>
  <c r="CL197" i="132"/>
  <c r="J114" i="133"/>
  <c r="AK297" i="132"/>
  <c r="AK298" i="132" s="1"/>
  <c r="CL297" i="132"/>
  <c r="AK267" i="132"/>
  <c r="AK268" i="132" s="1"/>
  <c r="CL267" i="132"/>
  <c r="AK237" i="132"/>
  <c r="AK238" i="132" s="1"/>
  <c r="CL237" i="132"/>
  <c r="AK207" i="132"/>
  <c r="AK208" i="132" s="1"/>
  <c r="CL207" i="132"/>
  <c r="AK177" i="132"/>
  <c r="AK178" i="132" s="1"/>
  <c r="CL177" i="132"/>
  <c r="AT319" i="138"/>
  <c r="AC10" i="138" s="1"/>
  <c r="O25" i="138" s="1"/>
  <c r="AC9" i="138"/>
  <c r="AK307" i="132"/>
  <c r="AK308" i="132" s="1"/>
  <c r="CL307" i="132"/>
  <c r="AK277" i="132"/>
  <c r="AK278" i="132" s="1"/>
  <c r="CL277" i="132"/>
  <c r="AK247" i="132"/>
  <c r="AK248" i="132" s="1"/>
  <c r="CL248" i="132"/>
  <c r="AK217" i="132"/>
  <c r="AK218" i="132" s="1"/>
  <c r="CL217" i="132"/>
  <c r="AK187" i="132"/>
  <c r="AK188" i="132" s="1"/>
  <c r="CL187" i="132"/>
  <c r="AK312" i="132"/>
  <c r="AK313" i="132" s="1"/>
  <c r="CL312" i="132"/>
  <c r="AK337" i="132"/>
  <c r="AK338" i="132" s="1"/>
  <c r="CL337" i="132"/>
  <c r="AK282" i="132"/>
  <c r="AK283" i="132" s="1"/>
  <c r="CL282" i="132"/>
  <c r="AK252" i="132"/>
  <c r="AK253" i="132" s="1"/>
  <c r="CL252" i="132"/>
  <c r="AK222" i="132"/>
  <c r="AK223" i="132" s="1"/>
  <c r="CL222" i="132"/>
  <c r="AK157" i="132"/>
  <c r="AK158" i="132" s="1"/>
  <c r="CL157" i="132"/>
  <c r="M59" i="138"/>
  <c r="M487" i="105"/>
  <c r="M485" i="105" s="1"/>
  <c r="AK302" i="132"/>
  <c r="AK303" i="132" s="1"/>
  <c r="CL302" i="132"/>
  <c r="AK292" i="132"/>
  <c r="AK293" i="132" s="1"/>
  <c r="CL292" i="132"/>
  <c r="AK272" i="132"/>
  <c r="AK273" i="132" s="1"/>
  <c r="CL272" i="132"/>
  <c r="AK262" i="132"/>
  <c r="AK263" i="132" s="1"/>
  <c r="CL262" i="132"/>
  <c r="AK242" i="132"/>
  <c r="AK243" i="132" s="1"/>
  <c r="CL242" i="132"/>
  <c r="AK232" i="132"/>
  <c r="AK233" i="132" s="1"/>
  <c r="CL232" i="132"/>
  <c r="AK212" i="132"/>
  <c r="AK213" i="132" s="1"/>
  <c r="CL212" i="132"/>
  <c r="AK202" i="132"/>
  <c r="AK203" i="132" s="1"/>
  <c r="CL202" i="132"/>
  <c r="AK192" i="132"/>
  <c r="AK193" i="132" s="1"/>
  <c r="CL192" i="132"/>
  <c r="AK172" i="132"/>
  <c r="AK173" i="132" s="1"/>
  <c r="CL172" i="132"/>
  <c r="AK167" i="132"/>
  <c r="AK168" i="132" s="1"/>
  <c r="CL167" i="132"/>
  <c r="L117" i="105"/>
  <c r="L205" i="105" s="1"/>
  <c r="L79" i="105" s="1"/>
  <c r="L204" i="105"/>
  <c r="J11" i="219"/>
  <c r="J283" i="107"/>
  <c r="J26" i="219" s="1"/>
  <c r="G11" i="219"/>
  <c r="G283" i="107"/>
  <c r="CL352" i="132"/>
  <c r="AK352" i="132"/>
  <c r="AK353" i="132" s="1"/>
  <c r="CL333" i="132"/>
  <c r="AK332" i="132"/>
  <c r="AK333" i="132" s="1"/>
  <c r="CL322" i="132"/>
  <c r="AK322" i="132"/>
  <c r="AK323" i="132" s="1"/>
  <c r="AK316" i="132"/>
  <c r="AL316" i="132" s="1"/>
  <c r="AL315" i="132"/>
  <c r="AM315" i="132" s="1"/>
  <c r="AK181" i="132"/>
  <c r="AL181" i="132" s="1"/>
  <c r="AL180" i="132"/>
  <c r="AM180" i="132" s="1"/>
  <c r="I388" i="105"/>
  <c r="P191" i="133"/>
  <c r="P193" i="133" s="1"/>
  <c r="K24" i="219"/>
  <c r="K276" i="107"/>
  <c r="K412" i="105"/>
  <c r="H154" i="133" s="1"/>
  <c r="F152" i="133"/>
  <c r="I84" i="105"/>
  <c r="AK356" i="132"/>
  <c r="AL356" i="132" s="1"/>
  <c r="AL355" i="132"/>
  <c r="AM355" i="132" s="1"/>
  <c r="AK326" i="132"/>
  <c r="AL326" i="132" s="1"/>
  <c r="AL325" i="132"/>
  <c r="AM325" i="132" s="1"/>
  <c r="AK341" i="132"/>
  <c r="AL341" i="132" s="1"/>
  <c r="AL340" i="132"/>
  <c r="AM340" i="132" s="1"/>
  <c r="I18" i="105"/>
  <c r="I19" i="105" s="1"/>
  <c r="L94" i="107"/>
  <c r="CL163" i="132"/>
  <c r="AK162" i="132"/>
  <c r="AK163" i="132" s="1"/>
  <c r="AK361" i="132"/>
  <c r="AL361" i="132" s="1"/>
  <c r="AL360" i="132"/>
  <c r="AM360" i="132" s="1"/>
  <c r="AK346" i="132"/>
  <c r="AL346" i="132" s="1"/>
  <c r="AL345" i="132"/>
  <c r="AM345" i="132" s="1"/>
  <c r="J414" i="105"/>
  <c r="J415" i="105"/>
  <c r="K240" i="133"/>
  <c r="K241" i="133"/>
  <c r="J252" i="133" s="1"/>
  <c r="K221" i="133"/>
  <c r="K243" i="133"/>
  <c r="E489" i="105"/>
  <c r="E488" i="105" s="1"/>
  <c r="G129" i="133"/>
  <c r="L409" i="105"/>
  <c r="AG370" i="132"/>
  <c r="AE370" i="132"/>
  <c r="AI287" i="132"/>
  <c r="AI288" i="132" s="1"/>
  <c r="AI257" i="132"/>
  <c r="AI258" i="132" s="1"/>
  <c r="AI227" i="132"/>
  <c r="AI228" i="132" s="1"/>
  <c r="AI197" i="132"/>
  <c r="AI198" i="132" s="1"/>
  <c r="CJ297" i="132"/>
  <c r="CJ267" i="132"/>
  <c r="CJ237" i="132"/>
  <c r="CJ207" i="132"/>
  <c r="CJ177" i="132"/>
  <c r="AI307" i="132"/>
  <c r="AI308" i="132" s="1"/>
  <c r="AI277" i="132"/>
  <c r="AI278" i="132" s="1"/>
  <c r="AI247" i="132"/>
  <c r="AI248" i="132" s="1"/>
  <c r="AI217" i="132"/>
  <c r="AI218" i="132" s="1"/>
  <c r="AI187" i="132"/>
  <c r="AI188" i="132" s="1"/>
  <c r="AI312" i="132"/>
  <c r="AI313" i="132" s="1"/>
  <c r="AI337" i="132"/>
  <c r="AI338" i="132" s="1"/>
  <c r="AI282" i="132"/>
  <c r="AI283" i="132" s="1"/>
  <c r="AI252" i="132"/>
  <c r="AI253" i="132" s="1"/>
  <c r="AI222" i="132"/>
  <c r="AI223" i="132" s="1"/>
  <c r="AI157" i="132"/>
  <c r="AI158" i="132" s="1"/>
  <c r="AI302" i="132"/>
  <c r="AI303" i="132" s="1"/>
  <c r="AI292" i="132"/>
  <c r="AI293" i="132" s="1"/>
  <c r="AI272" i="132"/>
  <c r="AI273" i="132" s="1"/>
  <c r="AI262" i="132"/>
  <c r="AI263" i="132" s="1"/>
  <c r="AI242" i="132"/>
  <c r="AI243" i="132" s="1"/>
  <c r="AI232" i="132"/>
  <c r="AI233" i="132" s="1"/>
  <c r="AI212" i="132"/>
  <c r="AI213" i="132" s="1"/>
  <c r="AI202" i="132"/>
  <c r="AI203" i="132" s="1"/>
  <c r="AI192" i="132"/>
  <c r="AI193" i="132" s="1"/>
  <c r="AI172" i="132"/>
  <c r="AI173" i="132" s="1"/>
  <c r="AI167" i="132"/>
  <c r="AI168" i="132" s="1"/>
  <c r="AI352" i="132"/>
  <c r="AI353" i="132" s="1"/>
  <c r="AI332" i="132"/>
  <c r="AI333" i="132" s="1"/>
  <c r="AI322" i="132"/>
  <c r="AI323" i="132" s="1"/>
  <c r="AI317" i="132"/>
  <c r="AI318" i="132" s="1"/>
  <c r="AI182" i="132"/>
  <c r="AI183" i="132" s="1"/>
  <c r="I378" i="105"/>
  <c r="AI368" i="132" l="1"/>
  <c r="L118" i="105"/>
  <c r="I61" i="133" s="1"/>
  <c r="F489" i="105"/>
  <c r="F488" i="105" s="1"/>
  <c r="H129" i="133"/>
  <c r="G489" i="105" s="1"/>
  <c r="G488" i="105" s="1"/>
  <c r="AN340" i="132"/>
  <c r="AO340" i="132" s="1"/>
  <c r="AM341" i="132"/>
  <c r="AN341" i="132" s="1"/>
  <c r="AN325" i="132"/>
  <c r="AO325" i="132" s="1"/>
  <c r="AM326" i="132"/>
  <c r="AN326" i="132" s="1"/>
  <c r="AN355" i="132"/>
  <c r="AO355" i="132" s="1"/>
  <c r="AM356" i="132"/>
  <c r="AN356" i="132" s="1"/>
  <c r="F151" i="133"/>
  <c r="H250" i="107" s="1"/>
  <c r="I83" i="105"/>
  <c r="L80" i="105"/>
  <c r="O486" i="105"/>
  <c r="D29" i="138"/>
  <c r="L278" i="107"/>
  <c r="J361" i="105"/>
  <c r="N196" i="105"/>
  <c r="M223" i="107"/>
  <c r="M32" i="214" s="1"/>
  <c r="M33" i="214" s="1"/>
  <c r="M77" i="214" s="1"/>
  <c r="M7" i="214" s="1"/>
  <c r="J58" i="105"/>
  <c r="J60" i="105" s="1"/>
  <c r="M137" i="107"/>
  <c r="J520" i="105"/>
  <c r="M144" i="107"/>
  <c r="AN160" i="132"/>
  <c r="AO160" i="132" s="1"/>
  <c r="AM161" i="132"/>
  <c r="AN161" i="132" s="1"/>
  <c r="AN320" i="132"/>
  <c r="AO320" i="132" s="1"/>
  <c r="AM321" i="132"/>
  <c r="AN321" i="132" s="1"/>
  <c r="AN330" i="132"/>
  <c r="AO330" i="132" s="1"/>
  <c r="AM331" i="132"/>
  <c r="AN331" i="132" s="1"/>
  <c r="AN350" i="132"/>
  <c r="AO350" i="132" s="1"/>
  <c r="AM351" i="132"/>
  <c r="AN351" i="132" s="1"/>
  <c r="M195" i="133"/>
  <c r="M197" i="133" s="1"/>
  <c r="L196" i="133"/>
  <c r="O54" i="138"/>
  <c r="N58" i="138"/>
  <c r="AN155" i="132"/>
  <c r="AO155" i="132" s="1"/>
  <c r="AM156" i="132"/>
  <c r="AN156" i="132" s="1"/>
  <c r="AN220" i="132"/>
  <c r="AO220" i="132" s="1"/>
  <c r="AM221" i="132"/>
  <c r="AN221" i="132" s="1"/>
  <c r="AN250" i="132"/>
  <c r="AO250" i="132" s="1"/>
  <c r="AM251" i="132"/>
  <c r="AN251" i="132" s="1"/>
  <c r="AN280" i="132"/>
  <c r="AO280" i="132" s="1"/>
  <c r="AM281" i="132"/>
  <c r="AN281" i="132" s="1"/>
  <c r="AN335" i="132"/>
  <c r="AO335" i="132" s="1"/>
  <c r="AM336" i="132"/>
  <c r="AN336" i="132" s="1"/>
  <c r="AN310" i="132"/>
  <c r="AO310" i="132" s="1"/>
  <c r="AM311" i="132"/>
  <c r="AN311" i="132" s="1"/>
  <c r="AN185" i="132"/>
  <c r="AO185" i="132" s="1"/>
  <c r="AM186" i="132"/>
  <c r="AN186" i="132" s="1"/>
  <c r="AN215" i="132"/>
  <c r="AO215" i="132" s="1"/>
  <c r="AM216" i="132"/>
  <c r="AN216" i="132" s="1"/>
  <c r="AN245" i="132"/>
  <c r="AO245" i="132" s="1"/>
  <c r="AM246" i="132"/>
  <c r="AN246" i="132" s="1"/>
  <c r="AN275" i="132"/>
  <c r="AO275" i="132" s="1"/>
  <c r="AM276" i="132"/>
  <c r="AN276" i="132" s="1"/>
  <c r="AN305" i="132"/>
  <c r="AO305" i="132" s="1"/>
  <c r="AM306" i="132"/>
  <c r="AN306" i="132" s="1"/>
  <c r="C359" i="148"/>
  <c r="P476" i="105"/>
  <c r="P478" i="105"/>
  <c r="P480" i="105"/>
  <c r="P477" i="105"/>
  <c r="P481" i="105"/>
  <c r="P479" i="105"/>
  <c r="AN175" i="132"/>
  <c r="AO175" i="132" s="1"/>
  <c r="AM176" i="132"/>
  <c r="AN176" i="132" s="1"/>
  <c r="AN205" i="132"/>
  <c r="AO205" i="132" s="1"/>
  <c r="AM206" i="132"/>
  <c r="AN206" i="132" s="1"/>
  <c r="AN235" i="132"/>
  <c r="AO235" i="132" s="1"/>
  <c r="AM236" i="132"/>
  <c r="AN236" i="132" s="1"/>
  <c r="AN265" i="132"/>
  <c r="AO265" i="132" s="1"/>
  <c r="AM266" i="132"/>
  <c r="AN266" i="132" s="1"/>
  <c r="AN295" i="132"/>
  <c r="AO295" i="132" s="1"/>
  <c r="AM296" i="132"/>
  <c r="AN296" i="132" s="1"/>
  <c r="K380" i="105"/>
  <c r="J391" i="105"/>
  <c r="J86" i="105" s="1"/>
  <c r="F498" i="105" s="1"/>
  <c r="K411" i="105"/>
  <c r="AN195" i="132"/>
  <c r="AO195" i="132" s="1"/>
  <c r="AM196" i="132"/>
  <c r="AN196" i="132" s="1"/>
  <c r="AN225" i="132"/>
  <c r="AO225" i="132" s="1"/>
  <c r="AM226" i="132"/>
  <c r="AN226" i="132" s="1"/>
  <c r="AN255" i="132"/>
  <c r="AO255" i="132" s="1"/>
  <c r="AM256" i="132"/>
  <c r="AN256" i="132" s="1"/>
  <c r="AN285" i="132"/>
  <c r="AO285" i="132" s="1"/>
  <c r="AM286" i="132"/>
  <c r="AN286" i="132" s="1"/>
  <c r="AK347" i="132"/>
  <c r="AK348" i="132" s="1"/>
  <c r="CL362" i="132"/>
  <c r="AK342" i="132"/>
  <c r="AK343" i="132" s="1"/>
  <c r="AK327" i="132"/>
  <c r="AK328" i="132" s="1"/>
  <c r="AK357" i="132"/>
  <c r="AK358" i="132" s="1"/>
  <c r="W191" i="133"/>
  <c r="AK182" i="132"/>
  <c r="AK183" i="132" s="1"/>
  <c r="AK317" i="132"/>
  <c r="AK318" i="132" s="1"/>
  <c r="I390" i="105"/>
  <c r="I85" i="105" s="1"/>
  <c r="E458" i="105" s="1"/>
  <c r="E457" i="105" s="1"/>
  <c r="E453" i="105" s="1"/>
  <c r="J378" i="105"/>
  <c r="AN345" i="132"/>
  <c r="AO345" i="132" s="1"/>
  <c r="AM346" i="132"/>
  <c r="AN346" i="132" s="1"/>
  <c r="AN360" i="132"/>
  <c r="AO360" i="132" s="1"/>
  <c r="AM361" i="132"/>
  <c r="AN361" i="132" s="1"/>
  <c r="I20" i="105"/>
  <c r="K25" i="162"/>
  <c r="K26" i="162" s="1"/>
  <c r="AM342" i="132"/>
  <c r="AM343" i="132" s="1"/>
  <c r="CN342" i="132"/>
  <c r="AM327" i="132"/>
  <c r="AM328" i="132" s="1"/>
  <c r="AM357" i="132"/>
  <c r="AM358" i="132" s="1"/>
  <c r="CN357" i="132"/>
  <c r="H280" i="107"/>
  <c r="F157" i="133"/>
  <c r="AN180" i="132"/>
  <c r="AO180" i="132" s="1"/>
  <c r="AM181" i="132"/>
  <c r="AN181" i="132" s="1"/>
  <c r="AN315" i="132"/>
  <c r="AO315" i="132" s="1"/>
  <c r="AM316" i="132"/>
  <c r="AN316" i="132" s="1"/>
  <c r="G285" i="107"/>
  <c r="G26" i="219"/>
  <c r="L206" i="105"/>
  <c r="K384" i="105"/>
  <c r="K361" i="105" s="1"/>
  <c r="J386" i="105"/>
  <c r="J385" i="105"/>
  <c r="AM162" i="132"/>
  <c r="AM163" i="132" s="1"/>
  <c r="CN163" i="132"/>
  <c r="N194" i="133"/>
  <c r="K219" i="133"/>
  <c r="W193" i="133"/>
  <c r="AM322" i="132"/>
  <c r="AM323" i="132" s="1"/>
  <c r="CN322" i="132"/>
  <c r="AM332" i="132"/>
  <c r="AM333" i="132" s="1"/>
  <c r="CN333" i="132"/>
  <c r="AM352" i="132"/>
  <c r="AM353" i="132" s="1"/>
  <c r="CN352" i="132"/>
  <c r="AN165" i="132"/>
  <c r="AO165" i="132" s="1"/>
  <c r="AM166" i="132"/>
  <c r="AN166" i="132" s="1"/>
  <c r="AN170" i="132"/>
  <c r="AO170" i="132" s="1"/>
  <c r="AM171" i="132"/>
  <c r="AN171" i="132" s="1"/>
  <c r="AN190" i="132"/>
  <c r="AO190" i="132" s="1"/>
  <c r="AM191" i="132"/>
  <c r="AN191" i="132" s="1"/>
  <c r="AN200" i="132"/>
  <c r="AO200" i="132" s="1"/>
  <c r="AM201" i="132"/>
  <c r="AN201" i="132" s="1"/>
  <c r="AN210" i="132"/>
  <c r="AO210" i="132" s="1"/>
  <c r="AM211" i="132"/>
  <c r="AN211" i="132" s="1"/>
  <c r="AN230" i="132"/>
  <c r="AO230" i="132" s="1"/>
  <c r="AM231" i="132"/>
  <c r="AN231" i="132" s="1"/>
  <c r="AN240" i="132"/>
  <c r="AO240" i="132" s="1"/>
  <c r="AM241" i="132"/>
  <c r="AN241" i="132" s="1"/>
  <c r="AN260" i="132"/>
  <c r="AO260" i="132" s="1"/>
  <c r="AM261" i="132"/>
  <c r="AN261" i="132" s="1"/>
  <c r="AN270" i="132"/>
  <c r="AO270" i="132" s="1"/>
  <c r="AM271" i="132"/>
  <c r="AN271" i="132" s="1"/>
  <c r="AN290" i="132"/>
  <c r="AO290" i="132" s="1"/>
  <c r="AM291" i="132"/>
  <c r="AN291" i="132" s="1"/>
  <c r="AN300" i="132"/>
  <c r="AO300" i="132" s="1"/>
  <c r="AM301" i="132"/>
  <c r="AN301" i="132" s="1"/>
  <c r="K66" i="138"/>
  <c r="K67" i="138" s="1"/>
  <c r="K19" i="138" s="1"/>
  <c r="N139" i="107" s="1"/>
  <c r="J256" i="133"/>
  <c r="L242" i="133"/>
  <c r="CN157" i="132"/>
  <c r="AM157" i="132"/>
  <c r="AM158" i="132" s="1"/>
  <c r="CN222" i="132"/>
  <c r="AM222" i="132"/>
  <c r="AM223" i="132" s="1"/>
  <c r="CN252" i="132"/>
  <c r="AM252" i="132"/>
  <c r="AM253" i="132" s="1"/>
  <c r="CN282" i="132"/>
  <c r="AM282" i="132"/>
  <c r="AM283" i="132" s="1"/>
  <c r="CN337" i="132"/>
  <c r="AM337" i="132"/>
  <c r="AM338" i="132" s="1"/>
  <c r="CN312" i="132"/>
  <c r="AM312" i="132"/>
  <c r="AM313" i="132" s="1"/>
  <c r="CN187" i="132"/>
  <c r="AM187" i="132"/>
  <c r="AM188" i="132" s="1"/>
  <c r="CN217" i="132"/>
  <c r="AM217" i="132"/>
  <c r="AM218" i="132" s="1"/>
  <c r="CN248" i="132"/>
  <c r="AM247" i="132"/>
  <c r="AM248" i="132" s="1"/>
  <c r="CN277" i="132"/>
  <c r="AM277" i="132"/>
  <c r="AM278" i="132" s="1"/>
  <c r="CN307" i="132"/>
  <c r="AM307" i="132"/>
  <c r="AM308" i="132" s="1"/>
  <c r="CN177" i="132"/>
  <c r="AM177" i="132"/>
  <c r="AM178" i="132" s="1"/>
  <c r="CN237" i="132"/>
  <c r="AM237" i="132"/>
  <c r="AM238" i="132" s="1"/>
  <c r="CN297" i="132"/>
  <c r="AM297" i="132"/>
  <c r="AM298" i="132" s="1"/>
  <c r="CN197" i="132"/>
  <c r="AM197" i="132"/>
  <c r="AM198" i="132" s="1"/>
  <c r="CN227" i="132"/>
  <c r="AM227" i="132"/>
  <c r="AM228" i="132" s="1"/>
  <c r="CN257" i="132"/>
  <c r="AM257" i="132"/>
  <c r="AM258" i="132" s="1"/>
  <c r="CN287" i="132"/>
  <c r="AM287" i="132"/>
  <c r="AM288" i="132" s="1"/>
  <c r="AI369" i="132"/>
  <c r="AI370" i="132" s="1"/>
  <c r="CL347" i="132"/>
  <c r="AK362" i="132"/>
  <c r="AK363" i="132" s="1"/>
  <c r="AK368" i="132" s="1"/>
  <c r="CL342" i="132"/>
  <c r="CL327" i="132"/>
  <c r="CL357" i="132"/>
  <c r="CL182" i="132"/>
  <c r="AK369" i="132" s="1"/>
  <c r="AK370" i="132" s="1"/>
  <c r="CL317" i="132"/>
  <c r="K383" i="105" l="1"/>
  <c r="AM267" i="132"/>
  <c r="AM268" i="132" s="1"/>
  <c r="AM207" i="132"/>
  <c r="AM208" i="132" s="1"/>
  <c r="CN267" i="132"/>
  <c r="CN207" i="132"/>
  <c r="CN327" i="132"/>
  <c r="N195" i="133"/>
  <c r="O194" i="133"/>
  <c r="L384" i="105"/>
  <c r="L361" i="105" s="1"/>
  <c r="K385" i="105"/>
  <c r="K386" i="105"/>
  <c r="I96" i="133"/>
  <c r="I92" i="133"/>
  <c r="G27" i="219"/>
  <c r="G287" i="107"/>
  <c r="G31" i="219"/>
  <c r="AO316" i="132"/>
  <c r="AP316" i="132" s="1"/>
  <c r="AP315" i="132"/>
  <c r="AQ315" i="132" s="1"/>
  <c r="AO181" i="132"/>
  <c r="AP181" i="132" s="1"/>
  <c r="AP180" i="132"/>
  <c r="AQ180" i="132" s="1"/>
  <c r="J390" i="105"/>
  <c r="J85" i="105" s="1"/>
  <c r="F458" i="105" s="1"/>
  <c r="F457" i="105" s="1"/>
  <c r="F453" i="105" s="1"/>
  <c r="K378" i="105"/>
  <c r="K390" i="105" s="1"/>
  <c r="K85" i="105" s="1"/>
  <c r="G458" i="105" s="1"/>
  <c r="G457" i="105" s="1"/>
  <c r="G453" i="105" s="1"/>
  <c r="AP285" i="132"/>
  <c r="AQ285" i="132" s="1"/>
  <c r="AO286" i="132"/>
  <c r="AP286" i="132" s="1"/>
  <c r="AP255" i="132"/>
  <c r="AQ255" i="132" s="1"/>
  <c r="AO256" i="132"/>
  <c r="AP256" i="132" s="1"/>
  <c r="AP225" i="132"/>
  <c r="AQ225" i="132" s="1"/>
  <c r="AO226" i="132"/>
  <c r="AP226" i="132" s="1"/>
  <c r="AP195" i="132"/>
  <c r="AQ195" i="132" s="1"/>
  <c r="AO196" i="132"/>
  <c r="AP196" i="132" s="1"/>
  <c r="H153" i="133"/>
  <c r="K413" i="105"/>
  <c r="K391" i="105"/>
  <c r="K86" i="105" s="1"/>
  <c r="G498" i="105" s="1"/>
  <c r="AP295" i="132"/>
  <c r="AQ295" i="132" s="1"/>
  <c r="AO296" i="132"/>
  <c r="AP296" i="132" s="1"/>
  <c r="AP265" i="132"/>
  <c r="AQ265" i="132" s="1"/>
  <c r="AO266" i="132"/>
  <c r="AP266" i="132" s="1"/>
  <c r="AP235" i="132"/>
  <c r="AQ235" i="132" s="1"/>
  <c r="AO236" i="132"/>
  <c r="AP236" i="132" s="1"/>
  <c r="AP205" i="132"/>
  <c r="AQ205" i="132" s="1"/>
  <c r="AO206" i="132"/>
  <c r="AP206" i="132" s="1"/>
  <c r="AP175" i="132"/>
  <c r="AQ175" i="132" s="1"/>
  <c r="AO176" i="132"/>
  <c r="AP176" i="132" s="1"/>
  <c r="AP305" i="132"/>
  <c r="AQ305" i="132" s="1"/>
  <c r="AO306" i="132"/>
  <c r="AP306" i="132" s="1"/>
  <c r="AP275" i="132"/>
  <c r="AQ275" i="132" s="1"/>
  <c r="AO276" i="132"/>
  <c r="AP276" i="132" s="1"/>
  <c r="AP245" i="132"/>
  <c r="AQ245" i="132" s="1"/>
  <c r="AO246" i="132"/>
  <c r="AP246" i="132" s="1"/>
  <c r="AP215" i="132"/>
  <c r="AQ215" i="132" s="1"/>
  <c r="AO216" i="132"/>
  <c r="AP216" i="132" s="1"/>
  <c r="AP185" i="132"/>
  <c r="AQ185" i="132" s="1"/>
  <c r="AO186" i="132"/>
  <c r="AP186" i="132" s="1"/>
  <c r="AP310" i="132"/>
  <c r="AQ310" i="132" s="1"/>
  <c r="AO311" i="132"/>
  <c r="AP311" i="132" s="1"/>
  <c r="AP335" i="132"/>
  <c r="AQ335" i="132" s="1"/>
  <c r="AO336" i="132"/>
  <c r="AP336" i="132" s="1"/>
  <c r="AP280" i="132"/>
  <c r="AQ280" i="132" s="1"/>
  <c r="AO281" i="132"/>
  <c r="AP281" i="132" s="1"/>
  <c r="AP250" i="132"/>
  <c r="AQ250" i="132" s="1"/>
  <c r="AO251" i="132"/>
  <c r="AP251" i="132" s="1"/>
  <c r="AP220" i="132"/>
  <c r="AQ220" i="132" s="1"/>
  <c r="AO221" i="132"/>
  <c r="AP221" i="132" s="1"/>
  <c r="AP155" i="132"/>
  <c r="AQ155" i="132" s="1"/>
  <c r="AO156" i="132"/>
  <c r="AP156" i="132" s="1"/>
  <c r="O57" i="138"/>
  <c r="O58" i="138" s="1"/>
  <c r="R32" i="219"/>
  <c r="D156" i="148"/>
  <c r="D159" i="148" s="1"/>
  <c r="M198" i="133"/>
  <c r="AO351" i="132"/>
  <c r="AP351" i="132" s="1"/>
  <c r="AP350" i="132"/>
  <c r="AQ350" i="132" s="1"/>
  <c r="AO331" i="132"/>
  <c r="AP331" i="132" s="1"/>
  <c r="AP330" i="132"/>
  <c r="AQ330" i="132" s="1"/>
  <c r="AO321" i="132"/>
  <c r="AP321" i="132" s="1"/>
  <c r="AP320" i="132"/>
  <c r="AQ320" i="132" s="1"/>
  <c r="AO161" i="132"/>
  <c r="AP161" i="132" s="1"/>
  <c r="AP160" i="132"/>
  <c r="AQ160" i="132" s="1"/>
  <c r="M656" i="107"/>
  <c r="M649" i="107"/>
  <c r="M650" i="107" s="1"/>
  <c r="L24" i="219"/>
  <c r="C370" i="148"/>
  <c r="L370" i="105"/>
  <c r="L371" i="105"/>
  <c r="L395" i="105"/>
  <c r="L408" i="105"/>
  <c r="H244" i="107"/>
  <c r="AO356" i="132"/>
  <c r="AP356" i="132" s="1"/>
  <c r="AP355" i="132"/>
  <c r="AQ355" i="132" s="1"/>
  <c r="AO326" i="132"/>
  <c r="AP326" i="132" s="1"/>
  <c r="AP325" i="132"/>
  <c r="AQ325" i="132" s="1"/>
  <c r="AO341" i="132"/>
  <c r="AP341" i="132" s="1"/>
  <c r="AP340" i="132"/>
  <c r="AQ340" i="132" s="1"/>
  <c r="CN302" i="132"/>
  <c r="CN292" i="132"/>
  <c r="CN272" i="132"/>
  <c r="CN262" i="132"/>
  <c r="CN242" i="132"/>
  <c r="CN232" i="132"/>
  <c r="CN212" i="132"/>
  <c r="CN202" i="132"/>
  <c r="CN192" i="132"/>
  <c r="CN172" i="132"/>
  <c r="CN167" i="132"/>
  <c r="AM317" i="132"/>
  <c r="AM318" i="132" s="1"/>
  <c r="AM182" i="132"/>
  <c r="AM183" i="132" s="1"/>
  <c r="AM362" i="132"/>
  <c r="AM363" i="132" s="1"/>
  <c r="AM347" i="132"/>
  <c r="AM348" i="132" s="1"/>
  <c r="AP300" i="132"/>
  <c r="AQ300" i="132" s="1"/>
  <c r="AO301" i="132"/>
  <c r="AP301" i="132" s="1"/>
  <c r="AP290" i="132"/>
  <c r="AQ290" i="132" s="1"/>
  <c r="AO291" i="132"/>
  <c r="AP291" i="132" s="1"/>
  <c r="AP270" i="132"/>
  <c r="AQ270" i="132" s="1"/>
  <c r="AO271" i="132"/>
  <c r="AP271" i="132" s="1"/>
  <c r="AP260" i="132"/>
  <c r="AQ260" i="132" s="1"/>
  <c r="AO261" i="132"/>
  <c r="AP261" i="132" s="1"/>
  <c r="AP240" i="132"/>
  <c r="AQ240" i="132" s="1"/>
  <c r="AO241" i="132"/>
  <c r="AP241" i="132" s="1"/>
  <c r="AP230" i="132"/>
  <c r="AQ230" i="132" s="1"/>
  <c r="AO231" i="132"/>
  <c r="AP231" i="132" s="1"/>
  <c r="AP210" i="132"/>
  <c r="AQ210" i="132" s="1"/>
  <c r="AO211" i="132"/>
  <c r="AP211" i="132" s="1"/>
  <c r="AP200" i="132"/>
  <c r="AQ200" i="132" s="1"/>
  <c r="AO201" i="132"/>
  <c r="AP201" i="132" s="1"/>
  <c r="AP190" i="132"/>
  <c r="AQ190" i="132" s="1"/>
  <c r="AO191" i="132"/>
  <c r="AP191" i="132" s="1"/>
  <c r="AP170" i="132"/>
  <c r="AQ170" i="132" s="1"/>
  <c r="AO171" i="132"/>
  <c r="AP171" i="132" s="1"/>
  <c r="AP165" i="132"/>
  <c r="AQ165" i="132" s="1"/>
  <c r="AO166" i="132"/>
  <c r="AP166" i="132" s="1"/>
  <c r="K220" i="133"/>
  <c r="J255" i="133"/>
  <c r="J435" i="107" s="1"/>
  <c r="J254" i="133" s="1"/>
  <c r="K224" i="133"/>
  <c r="K222" i="133" s="1"/>
  <c r="CP317" i="132"/>
  <c r="CP182" i="132"/>
  <c r="AO182" i="132"/>
  <c r="AO183" i="132" s="1"/>
  <c r="H23" i="219"/>
  <c r="H276" i="107"/>
  <c r="M115" i="105"/>
  <c r="L95" i="107"/>
  <c r="L213" i="105" s="1"/>
  <c r="I21" i="105"/>
  <c r="AO361" i="132"/>
  <c r="AP361" i="132" s="1"/>
  <c r="AP360" i="132"/>
  <c r="AQ360" i="132" s="1"/>
  <c r="AO346" i="132"/>
  <c r="AP346" i="132" s="1"/>
  <c r="AP345" i="132"/>
  <c r="AQ345" i="132" s="1"/>
  <c r="AO287" i="132"/>
  <c r="AO288" i="132" s="1"/>
  <c r="CP287" i="132"/>
  <c r="AO257" i="132"/>
  <c r="AO258" i="132" s="1"/>
  <c r="CP257" i="132"/>
  <c r="AO227" i="132"/>
  <c r="AO228" i="132" s="1"/>
  <c r="CP227" i="132"/>
  <c r="AO197" i="132"/>
  <c r="AO198" i="132" s="1"/>
  <c r="CP197" i="132"/>
  <c r="AO297" i="132"/>
  <c r="AO298" i="132" s="1"/>
  <c r="CP297" i="132"/>
  <c r="CP267" i="132"/>
  <c r="AO237" i="132"/>
  <c r="AO238" i="132" s="1"/>
  <c r="CP237" i="132"/>
  <c r="CP207" i="132"/>
  <c r="AO177" i="132"/>
  <c r="AO178" i="132" s="1"/>
  <c r="CP177" i="132"/>
  <c r="CP307" i="132"/>
  <c r="AO277" i="132"/>
  <c r="AO278" i="132" s="1"/>
  <c r="CP277" i="132"/>
  <c r="CP248" i="132"/>
  <c r="AO217" i="132"/>
  <c r="AO218" i="132" s="1"/>
  <c r="CP217" i="132"/>
  <c r="CP187" i="132"/>
  <c r="AO312" i="132"/>
  <c r="AO313" i="132" s="1"/>
  <c r="CP312" i="132"/>
  <c r="CP337" i="132"/>
  <c r="AO282" i="132"/>
  <c r="AO283" i="132" s="1"/>
  <c r="CP282" i="132"/>
  <c r="CP252" i="132"/>
  <c r="AO222" i="132"/>
  <c r="AO223" i="132" s="1"/>
  <c r="CP222" i="132"/>
  <c r="CP157" i="132"/>
  <c r="N59" i="138"/>
  <c r="N487" i="105"/>
  <c r="N485" i="105" s="1"/>
  <c r="L229" i="133"/>
  <c r="W196" i="133"/>
  <c r="CP352" i="132"/>
  <c r="AO352" i="132"/>
  <c r="AO353" i="132" s="1"/>
  <c r="CP333" i="132"/>
  <c r="AO332" i="132"/>
  <c r="AO333" i="132" s="1"/>
  <c r="CP322" i="132"/>
  <c r="AO322" i="132"/>
  <c r="AO323" i="132" s="1"/>
  <c r="CP163" i="132"/>
  <c r="AO162" i="132"/>
  <c r="AO163" i="132" s="1"/>
  <c r="J521" i="105"/>
  <c r="M225" i="107"/>
  <c r="M34" i="214" s="1"/>
  <c r="J54" i="105"/>
  <c r="J67" i="105" s="1"/>
  <c r="J61" i="105"/>
  <c r="N197" i="105"/>
  <c r="N198" i="105" s="1"/>
  <c r="CP357" i="132"/>
  <c r="AO357" i="132"/>
  <c r="AO358" i="132" s="1"/>
  <c r="CP327" i="132"/>
  <c r="CP342" i="132"/>
  <c r="AO342" i="132"/>
  <c r="AO343" i="132" s="1"/>
  <c r="AM302" i="132"/>
  <c r="AM303" i="132" s="1"/>
  <c r="AM292" i="132"/>
  <c r="AM293" i="132" s="1"/>
  <c r="AM272" i="132"/>
  <c r="AM273" i="132" s="1"/>
  <c r="AM262" i="132"/>
  <c r="AM263" i="132" s="1"/>
  <c r="AM242" i="132"/>
  <c r="AM243" i="132" s="1"/>
  <c r="AM232" i="132"/>
  <c r="AM233" i="132" s="1"/>
  <c r="AM212" i="132"/>
  <c r="AM213" i="132" s="1"/>
  <c r="AM202" i="132"/>
  <c r="AM203" i="132" s="1"/>
  <c r="AM192" i="132"/>
  <c r="AM193" i="132" s="1"/>
  <c r="AM172" i="132"/>
  <c r="AM173" i="132" s="1"/>
  <c r="AM167" i="132"/>
  <c r="AM168" i="132" s="1"/>
  <c r="CN317" i="132"/>
  <c r="CN182" i="132"/>
  <c r="CN362" i="132"/>
  <c r="CN347" i="132"/>
  <c r="L383" i="105" l="1"/>
  <c r="AO157" i="132"/>
  <c r="AO158" i="132" s="1"/>
  <c r="AO252" i="132"/>
  <c r="AO253" i="132" s="1"/>
  <c r="AO337" i="132"/>
  <c r="AO338" i="132" s="1"/>
  <c r="AO187" i="132"/>
  <c r="AO188" i="132" s="1"/>
  <c r="AO247" i="132"/>
  <c r="AO248" i="132" s="1"/>
  <c r="AO307" i="132"/>
  <c r="AO308" i="132" s="1"/>
  <c r="AO207" i="132"/>
  <c r="AO208" i="132" s="1"/>
  <c r="AO267" i="132"/>
  <c r="AO268" i="132" s="1"/>
  <c r="AO327" i="132"/>
  <c r="AO328" i="132" s="1"/>
  <c r="AO317" i="132"/>
  <c r="AO318" i="132" s="1"/>
  <c r="AM369" i="132"/>
  <c r="K79" i="133"/>
  <c r="K114" i="133" s="1"/>
  <c r="M278" i="107" s="1"/>
  <c r="N240" i="107"/>
  <c r="N239" i="107" s="1"/>
  <c r="L38" i="133"/>
  <c r="L230" i="133"/>
  <c r="L231" i="133"/>
  <c r="L214" i="105"/>
  <c r="H252" i="107"/>
  <c r="M379" i="105"/>
  <c r="AQ161" i="132"/>
  <c r="AR161" i="132" s="1"/>
  <c r="AR160" i="132"/>
  <c r="AS160" i="132" s="1"/>
  <c r="AR320" i="132"/>
  <c r="AS320" i="132" s="1"/>
  <c r="AQ321" i="132"/>
  <c r="AR321" i="132" s="1"/>
  <c r="AR330" i="132"/>
  <c r="AS330" i="132" s="1"/>
  <c r="AQ331" i="132"/>
  <c r="AR331" i="132" s="1"/>
  <c r="AR350" i="132"/>
  <c r="AS350" i="132" s="1"/>
  <c r="AQ351" i="132"/>
  <c r="AR351" i="132" s="1"/>
  <c r="O59" i="138"/>
  <c r="O487" i="105"/>
  <c r="AR155" i="132"/>
  <c r="AS155" i="132" s="1"/>
  <c r="AQ156" i="132"/>
  <c r="AR156" i="132" s="1"/>
  <c r="AR220" i="132"/>
  <c r="AS220" i="132" s="1"/>
  <c r="AQ221" i="132"/>
  <c r="AR221" i="132" s="1"/>
  <c r="AR250" i="132"/>
  <c r="AS250" i="132" s="1"/>
  <c r="AQ251" i="132"/>
  <c r="AR251" i="132" s="1"/>
  <c r="AR280" i="132"/>
  <c r="AS280" i="132" s="1"/>
  <c r="AQ281" i="132"/>
  <c r="AR281" i="132" s="1"/>
  <c r="AR335" i="132"/>
  <c r="AS335" i="132" s="1"/>
  <c r="AQ336" i="132"/>
  <c r="AR336" i="132" s="1"/>
  <c r="AR310" i="132"/>
  <c r="AS310" i="132" s="1"/>
  <c r="AQ311" i="132"/>
  <c r="AR311" i="132" s="1"/>
  <c r="AR185" i="132"/>
  <c r="AS185" i="132" s="1"/>
  <c r="AQ186" i="132"/>
  <c r="AR186" i="132" s="1"/>
  <c r="AR215" i="132"/>
  <c r="AS215" i="132" s="1"/>
  <c r="AQ216" i="132"/>
  <c r="AR216" i="132" s="1"/>
  <c r="AR245" i="132"/>
  <c r="AS245" i="132" s="1"/>
  <c r="AQ246" i="132"/>
  <c r="AR246" i="132" s="1"/>
  <c r="AR275" i="132"/>
  <c r="AS275" i="132" s="1"/>
  <c r="AQ276" i="132"/>
  <c r="AR276" i="132" s="1"/>
  <c r="AR305" i="132"/>
  <c r="AS305" i="132" s="1"/>
  <c r="AQ306" i="132"/>
  <c r="AR306" i="132" s="1"/>
  <c r="AR175" i="132"/>
  <c r="AS175" i="132" s="1"/>
  <c r="AQ176" i="132"/>
  <c r="AR176" i="132" s="1"/>
  <c r="AR205" i="132"/>
  <c r="AS205" i="132" s="1"/>
  <c r="AQ206" i="132"/>
  <c r="AR206" i="132" s="1"/>
  <c r="AR235" i="132"/>
  <c r="AS235" i="132" s="1"/>
  <c r="AQ236" i="132"/>
  <c r="AR236" i="132" s="1"/>
  <c r="AR265" i="132"/>
  <c r="AS265" i="132" s="1"/>
  <c r="AQ266" i="132"/>
  <c r="AR266" i="132" s="1"/>
  <c r="AR295" i="132"/>
  <c r="AS295" i="132" s="1"/>
  <c r="AQ296" i="132"/>
  <c r="AR296" i="132" s="1"/>
  <c r="AR195" i="132"/>
  <c r="AS195" i="132" s="1"/>
  <c r="AQ196" i="132"/>
  <c r="AR196" i="132" s="1"/>
  <c r="AR225" i="132"/>
  <c r="AS225" i="132" s="1"/>
  <c r="AQ226" i="132"/>
  <c r="AR226" i="132" s="1"/>
  <c r="AR255" i="132"/>
  <c r="AS255" i="132" s="1"/>
  <c r="AQ256" i="132"/>
  <c r="AR256" i="132" s="1"/>
  <c r="AR285" i="132"/>
  <c r="AS285" i="132" s="1"/>
  <c r="AQ286" i="132"/>
  <c r="AR286" i="132" s="1"/>
  <c r="H236" i="107"/>
  <c r="D462" i="105"/>
  <c r="D461" i="105" s="1"/>
  <c r="D450" i="105" s="1"/>
  <c r="G36" i="219"/>
  <c r="K256" i="107"/>
  <c r="I127" i="133"/>
  <c r="O195" i="133"/>
  <c r="O197" i="133" s="1"/>
  <c r="P194" i="133"/>
  <c r="N197" i="133"/>
  <c r="AM368" i="132"/>
  <c r="AM370" i="132" s="1"/>
  <c r="L380" i="105"/>
  <c r="CP347" i="132"/>
  <c r="CP362" i="132"/>
  <c r="AO167" i="132"/>
  <c r="AO168" i="132" s="1"/>
  <c r="AO172" i="132"/>
  <c r="AO173" i="132" s="1"/>
  <c r="AO192" i="132"/>
  <c r="AO193" i="132" s="1"/>
  <c r="AO202" i="132"/>
  <c r="AO203" i="132" s="1"/>
  <c r="AO212" i="132"/>
  <c r="AO213" i="132" s="1"/>
  <c r="AO232" i="132"/>
  <c r="AO233" i="132" s="1"/>
  <c r="AO242" i="132"/>
  <c r="AO243" i="132" s="1"/>
  <c r="AO262" i="132"/>
  <c r="AO263" i="132" s="1"/>
  <c r="AO272" i="132"/>
  <c r="AO273" i="132" s="1"/>
  <c r="AO292" i="132"/>
  <c r="AO293" i="132" s="1"/>
  <c r="AO302" i="132"/>
  <c r="AO303" i="132" s="1"/>
  <c r="J68" i="105"/>
  <c r="AR345" i="132"/>
  <c r="AS345" i="132" s="1"/>
  <c r="AQ346" i="132"/>
  <c r="AR346" i="132" s="1"/>
  <c r="AR360" i="132"/>
  <c r="AS360" i="132" s="1"/>
  <c r="AQ361" i="132"/>
  <c r="AR361" i="132" s="1"/>
  <c r="J15" i="105"/>
  <c r="L96" i="107"/>
  <c r="I452" i="105"/>
  <c r="I451" i="105" s="1"/>
  <c r="M116" i="105"/>
  <c r="L212" i="105"/>
  <c r="AR165" i="132"/>
  <c r="AS165" i="132" s="1"/>
  <c r="AQ166" i="132"/>
  <c r="AR166" i="132" s="1"/>
  <c r="AR170" i="132"/>
  <c r="AS170" i="132" s="1"/>
  <c r="AQ171" i="132"/>
  <c r="AR171" i="132" s="1"/>
  <c r="AR190" i="132"/>
  <c r="AS190" i="132" s="1"/>
  <c r="AQ191" i="132"/>
  <c r="AR191" i="132" s="1"/>
  <c r="AR200" i="132"/>
  <c r="AS200" i="132" s="1"/>
  <c r="AQ201" i="132"/>
  <c r="AR201" i="132" s="1"/>
  <c r="AR210" i="132"/>
  <c r="AS210" i="132" s="1"/>
  <c r="AQ211" i="132"/>
  <c r="AR211" i="132" s="1"/>
  <c r="AR230" i="132"/>
  <c r="AS230" i="132" s="1"/>
  <c r="AQ231" i="132"/>
  <c r="AR231" i="132" s="1"/>
  <c r="AR240" i="132"/>
  <c r="AS240" i="132" s="1"/>
  <c r="AQ241" i="132"/>
  <c r="AR241" i="132" s="1"/>
  <c r="AR260" i="132"/>
  <c r="AS260" i="132" s="1"/>
  <c r="AQ261" i="132"/>
  <c r="AR261" i="132" s="1"/>
  <c r="AR270" i="132"/>
  <c r="AS270" i="132" s="1"/>
  <c r="AQ271" i="132"/>
  <c r="AR271" i="132" s="1"/>
  <c r="AR290" i="132"/>
  <c r="AS290" i="132" s="1"/>
  <c r="AQ291" i="132"/>
  <c r="AR291" i="132" s="1"/>
  <c r="AR300" i="132"/>
  <c r="AS300" i="132" s="1"/>
  <c r="AQ301" i="132"/>
  <c r="AR301" i="132" s="1"/>
  <c r="AR340" i="132"/>
  <c r="AS340" i="132" s="1"/>
  <c r="AQ341" i="132"/>
  <c r="AR341" i="132" s="1"/>
  <c r="AR325" i="132"/>
  <c r="AS325" i="132" s="1"/>
  <c r="AQ326" i="132"/>
  <c r="AR326" i="132" s="1"/>
  <c r="AR355" i="132"/>
  <c r="AS355" i="132" s="1"/>
  <c r="AQ356" i="132"/>
  <c r="AR356" i="132" s="1"/>
  <c r="H238" i="107"/>
  <c r="H9" i="219"/>
  <c r="M409" i="105"/>
  <c r="M372" i="105"/>
  <c r="N373" i="105"/>
  <c r="O374" i="105"/>
  <c r="L378" i="105"/>
  <c r="L390" i="105" s="1"/>
  <c r="L85" i="105" s="1"/>
  <c r="H458" i="105" s="1"/>
  <c r="H457" i="105" s="1"/>
  <c r="H453" i="105" s="1"/>
  <c r="P375" i="105"/>
  <c r="AQ162" i="132"/>
  <c r="AQ163" i="132" s="1"/>
  <c r="CR163" i="132"/>
  <c r="AQ322" i="132"/>
  <c r="AQ323" i="132" s="1"/>
  <c r="CR322" i="132"/>
  <c r="AQ352" i="132"/>
  <c r="AQ353" i="132" s="1"/>
  <c r="CR352" i="132"/>
  <c r="M199" i="133"/>
  <c r="M238" i="133"/>
  <c r="M39" i="133" s="1"/>
  <c r="CR157" i="132"/>
  <c r="AQ157" i="132"/>
  <c r="AQ158" i="132" s="1"/>
  <c r="CR252" i="132"/>
  <c r="AQ252" i="132"/>
  <c r="AQ253" i="132" s="1"/>
  <c r="CR337" i="132"/>
  <c r="AQ337" i="132"/>
  <c r="AQ338" i="132" s="1"/>
  <c r="CR187" i="132"/>
  <c r="AQ187" i="132"/>
  <c r="AQ188" i="132" s="1"/>
  <c r="CR248" i="132"/>
  <c r="AQ247" i="132"/>
  <c r="AQ248" i="132" s="1"/>
  <c r="CR307" i="132"/>
  <c r="AQ307" i="132"/>
  <c r="AQ308" i="132" s="1"/>
  <c r="CR207" i="132"/>
  <c r="AQ207" i="132"/>
  <c r="AQ208" i="132" s="1"/>
  <c r="CR267" i="132"/>
  <c r="AQ267" i="132"/>
  <c r="AQ268" i="132" s="1"/>
  <c r="L413" i="105"/>
  <c r="K415" i="105"/>
  <c r="K414" i="105"/>
  <c r="CR197" i="132"/>
  <c r="AQ197" i="132"/>
  <c r="AQ198" i="132" s="1"/>
  <c r="CR257" i="132"/>
  <c r="AQ257" i="132"/>
  <c r="AQ258" i="132" s="1"/>
  <c r="AQ181" i="132"/>
  <c r="AR181" i="132" s="1"/>
  <c r="AR180" i="132"/>
  <c r="AS180" i="132" s="1"/>
  <c r="AQ316" i="132"/>
  <c r="AR316" i="132" s="1"/>
  <c r="AR315" i="132"/>
  <c r="AS315" i="132" s="1"/>
  <c r="I129" i="133"/>
  <c r="H489" i="105" s="1"/>
  <c r="H488" i="105" s="1"/>
  <c r="I157" i="133"/>
  <c r="M384" i="105"/>
  <c r="L386" i="105"/>
  <c r="L385" i="105"/>
  <c r="AO347" i="132"/>
  <c r="AO348" i="132" s="1"/>
  <c r="AO362" i="132"/>
  <c r="AO363" i="132" s="1"/>
  <c r="CP167" i="132"/>
  <c r="CP172" i="132"/>
  <c r="CP192" i="132"/>
  <c r="CP202" i="132"/>
  <c r="CP212" i="132"/>
  <c r="CP232" i="132"/>
  <c r="CP242" i="132"/>
  <c r="CP262" i="132"/>
  <c r="CP272" i="132"/>
  <c r="CP292" i="132"/>
  <c r="CP302" i="132"/>
  <c r="AQ297" i="132" l="1"/>
  <c r="AQ298" i="132" s="1"/>
  <c r="AQ237" i="132"/>
  <c r="AQ238" i="132" s="1"/>
  <c r="AQ177" i="132"/>
  <c r="AQ178" i="132" s="1"/>
  <c r="AQ277" i="132"/>
  <c r="AQ278" i="132" s="1"/>
  <c r="AQ217" i="132"/>
  <c r="AQ218" i="132" s="1"/>
  <c r="AQ312" i="132"/>
  <c r="AQ313" i="132" s="1"/>
  <c r="AQ282" i="132"/>
  <c r="AQ283" i="132" s="1"/>
  <c r="AQ222" i="132"/>
  <c r="AQ223" i="132" s="1"/>
  <c r="CR333" i="132"/>
  <c r="AQ287" i="132"/>
  <c r="AQ288" i="132" s="1"/>
  <c r="AQ227" i="132"/>
  <c r="AQ228" i="132" s="1"/>
  <c r="CR297" i="132"/>
  <c r="CR237" i="132"/>
  <c r="CR177" i="132"/>
  <c r="CR277" i="132"/>
  <c r="CR217" i="132"/>
  <c r="CR312" i="132"/>
  <c r="CR282" i="132"/>
  <c r="CR222" i="132"/>
  <c r="AQ332" i="132"/>
  <c r="AQ333" i="132" s="1"/>
  <c r="CR287" i="132"/>
  <c r="CR227" i="132"/>
  <c r="AO369" i="132"/>
  <c r="L66" i="138"/>
  <c r="L67" i="138" s="1"/>
  <c r="L19" i="138" s="1"/>
  <c r="O139" i="107" s="1"/>
  <c r="K256" i="133"/>
  <c r="M242" i="133"/>
  <c r="H283" i="107"/>
  <c r="H6" i="219"/>
  <c r="AS356" i="132"/>
  <c r="AT356" i="132" s="1"/>
  <c r="AT355" i="132"/>
  <c r="AU355" i="132" s="1"/>
  <c r="AS326" i="132"/>
  <c r="AT326" i="132" s="1"/>
  <c r="AT325" i="132"/>
  <c r="AU325" i="132" s="1"/>
  <c r="AS341" i="132"/>
  <c r="AT341" i="132" s="1"/>
  <c r="AT340" i="132"/>
  <c r="AU340" i="132" s="1"/>
  <c r="AT300" i="132"/>
  <c r="AU300" i="132" s="1"/>
  <c r="AS301" i="132"/>
  <c r="AT301" i="132" s="1"/>
  <c r="AT290" i="132"/>
  <c r="AU290" i="132" s="1"/>
  <c r="AS291" i="132"/>
  <c r="AT291" i="132" s="1"/>
  <c r="AT270" i="132"/>
  <c r="AU270" i="132" s="1"/>
  <c r="AS271" i="132"/>
  <c r="AT271" i="132" s="1"/>
  <c r="AT260" i="132"/>
  <c r="AU260" i="132" s="1"/>
  <c r="AS261" i="132"/>
  <c r="AT261" i="132" s="1"/>
  <c r="AT240" i="132"/>
  <c r="AU240" i="132" s="1"/>
  <c r="AS241" i="132"/>
  <c r="AT241" i="132" s="1"/>
  <c r="AT230" i="132"/>
  <c r="AU230" i="132" s="1"/>
  <c r="AS231" i="132"/>
  <c r="AT231" i="132" s="1"/>
  <c r="AT210" i="132"/>
  <c r="AU210" i="132" s="1"/>
  <c r="AS211" i="132"/>
  <c r="AT211" i="132" s="1"/>
  <c r="AT200" i="132"/>
  <c r="AU200" i="132" s="1"/>
  <c r="AS201" i="132"/>
  <c r="AT201" i="132" s="1"/>
  <c r="AT190" i="132"/>
  <c r="AU190" i="132" s="1"/>
  <c r="AS191" i="132"/>
  <c r="AT191" i="132" s="1"/>
  <c r="AT170" i="132"/>
  <c r="AU170" i="132" s="1"/>
  <c r="AS171" i="132"/>
  <c r="AT171" i="132" s="1"/>
  <c r="AT165" i="132"/>
  <c r="AU165" i="132" s="1"/>
  <c r="AS166" i="132"/>
  <c r="AT166" i="132" s="1"/>
  <c r="M117" i="105"/>
  <c r="M205" i="105" s="1"/>
  <c r="M79" i="105" s="1"/>
  <c r="M204" i="105"/>
  <c r="L391" i="105"/>
  <c r="L86" i="105" s="1"/>
  <c r="H498" i="105" s="1"/>
  <c r="P195" i="133"/>
  <c r="Q194" i="133"/>
  <c r="Q195" i="133" s="1"/>
  <c r="Q197" i="133" s="1"/>
  <c r="D463" i="105"/>
  <c r="C371" i="148"/>
  <c r="O485" i="105"/>
  <c r="C369" i="148" s="1"/>
  <c r="AS161" i="132"/>
  <c r="AT161" i="132" s="1"/>
  <c r="AT160" i="132"/>
  <c r="AU160" i="132" s="1"/>
  <c r="L232" i="133"/>
  <c r="K68" i="138" s="1"/>
  <c r="K69" i="138" s="1"/>
  <c r="K14" i="138" s="1"/>
  <c r="L239" i="133"/>
  <c r="AO368" i="132"/>
  <c r="AO370" i="132" s="1"/>
  <c r="CR317" i="132"/>
  <c r="CR182" i="132"/>
  <c r="CR357" i="132"/>
  <c r="CR327" i="132"/>
  <c r="CR342" i="132"/>
  <c r="AQ302" i="132"/>
  <c r="AQ303" i="132" s="1"/>
  <c r="AQ292" i="132"/>
  <c r="AQ293" i="132" s="1"/>
  <c r="AQ272" i="132"/>
  <c r="AQ273" i="132" s="1"/>
  <c r="AQ262" i="132"/>
  <c r="AQ263" i="132" s="1"/>
  <c r="AQ242" i="132"/>
  <c r="AQ243" i="132" s="1"/>
  <c r="AQ232" i="132"/>
  <c r="AQ233" i="132" s="1"/>
  <c r="AQ212" i="132"/>
  <c r="AQ213" i="132" s="1"/>
  <c r="AQ202" i="132"/>
  <c r="AQ203" i="132" s="1"/>
  <c r="AQ192" i="132"/>
  <c r="AQ193" i="132" s="1"/>
  <c r="AQ172" i="132"/>
  <c r="AQ173" i="132" s="1"/>
  <c r="AQ167" i="132"/>
  <c r="AQ168" i="132" s="1"/>
  <c r="CR362" i="132"/>
  <c r="CR347" i="132"/>
  <c r="AS316" i="132"/>
  <c r="AT316" i="132" s="1"/>
  <c r="AT315" i="132"/>
  <c r="AU315" i="132" s="1"/>
  <c r="AS181" i="132"/>
  <c r="AT181" i="132" s="1"/>
  <c r="AT180" i="132"/>
  <c r="AU180" i="132" s="1"/>
  <c r="L414" i="105"/>
  <c r="L415" i="105"/>
  <c r="M200" i="133"/>
  <c r="M377" i="105"/>
  <c r="CT357" i="132"/>
  <c r="AS357" i="132"/>
  <c r="AS358" i="132" s="1"/>
  <c r="CT327" i="132"/>
  <c r="AS327" i="132"/>
  <c r="AS328" i="132" s="1"/>
  <c r="CT342" i="132"/>
  <c r="AS342" i="132"/>
  <c r="AS343" i="132" s="1"/>
  <c r="AS302" i="132"/>
  <c r="AS303" i="132" s="1"/>
  <c r="CT302" i="132"/>
  <c r="AS292" i="132"/>
  <c r="AS293" i="132" s="1"/>
  <c r="CT292" i="132"/>
  <c r="AS272" i="132"/>
  <c r="AS273" i="132" s="1"/>
  <c r="CT272" i="132"/>
  <c r="AS262" i="132"/>
  <c r="AS263" i="132" s="1"/>
  <c r="CT262" i="132"/>
  <c r="AS242" i="132"/>
  <c r="AS243" i="132" s="1"/>
  <c r="CT242" i="132"/>
  <c r="AS232" i="132"/>
  <c r="AS233" i="132" s="1"/>
  <c r="CT232" i="132"/>
  <c r="AS212" i="132"/>
  <c r="AS213" i="132" s="1"/>
  <c r="CT212" i="132"/>
  <c r="AS202" i="132"/>
  <c r="AS203" i="132" s="1"/>
  <c r="CT202" i="132"/>
  <c r="AS192" i="132"/>
  <c r="AS193" i="132" s="1"/>
  <c r="CT192" i="132"/>
  <c r="AS172" i="132"/>
  <c r="AS173" i="132" s="1"/>
  <c r="CT172" i="132"/>
  <c r="AS167" i="132"/>
  <c r="AS168" i="132" s="1"/>
  <c r="CT167" i="132"/>
  <c r="J18" i="105"/>
  <c r="J19" i="105" s="1"/>
  <c r="M94" i="107"/>
  <c r="AS361" i="132"/>
  <c r="AT361" i="132" s="1"/>
  <c r="AT360" i="132"/>
  <c r="AU360" i="132" s="1"/>
  <c r="AS346" i="132"/>
  <c r="AT346" i="132" s="1"/>
  <c r="AT345" i="132"/>
  <c r="AU345" i="132" s="1"/>
  <c r="N198" i="133"/>
  <c r="K14" i="219"/>
  <c r="K253" i="107"/>
  <c r="AT285" i="132"/>
  <c r="AU285" i="132" s="1"/>
  <c r="AS286" i="132"/>
  <c r="AT286" i="132" s="1"/>
  <c r="AT255" i="132"/>
  <c r="AU255" i="132" s="1"/>
  <c r="AS256" i="132"/>
  <c r="AT256" i="132" s="1"/>
  <c r="AT225" i="132"/>
  <c r="AU225" i="132" s="1"/>
  <c r="AS226" i="132"/>
  <c r="AT226" i="132" s="1"/>
  <c r="AT195" i="132"/>
  <c r="AU195" i="132" s="1"/>
  <c r="AS196" i="132"/>
  <c r="AT196" i="132" s="1"/>
  <c r="AT295" i="132"/>
  <c r="AU295" i="132" s="1"/>
  <c r="AS296" i="132"/>
  <c r="AT296" i="132" s="1"/>
  <c r="AT265" i="132"/>
  <c r="AU265" i="132" s="1"/>
  <c r="AS266" i="132"/>
  <c r="AT266" i="132" s="1"/>
  <c r="AT235" i="132"/>
  <c r="AU235" i="132" s="1"/>
  <c r="AS236" i="132"/>
  <c r="AT236" i="132" s="1"/>
  <c r="AT205" i="132"/>
  <c r="AU205" i="132" s="1"/>
  <c r="AS206" i="132"/>
  <c r="AT206" i="132" s="1"/>
  <c r="AT175" i="132"/>
  <c r="AU175" i="132" s="1"/>
  <c r="AS176" i="132"/>
  <c r="AT176" i="132" s="1"/>
  <c r="AT305" i="132"/>
  <c r="AU305" i="132" s="1"/>
  <c r="AS306" i="132"/>
  <c r="AT306" i="132" s="1"/>
  <c r="AT275" i="132"/>
  <c r="AU275" i="132" s="1"/>
  <c r="AS276" i="132"/>
  <c r="AT276" i="132" s="1"/>
  <c r="AT245" i="132"/>
  <c r="AU245" i="132" s="1"/>
  <c r="AS246" i="132"/>
  <c r="AT246" i="132" s="1"/>
  <c r="AT215" i="132"/>
  <c r="AU215" i="132" s="1"/>
  <c r="AS216" i="132"/>
  <c r="AT216" i="132" s="1"/>
  <c r="AT185" i="132"/>
  <c r="AU185" i="132" s="1"/>
  <c r="AS186" i="132"/>
  <c r="AT186" i="132" s="1"/>
  <c r="AT310" i="132"/>
  <c r="AU310" i="132" s="1"/>
  <c r="AS311" i="132"/>
  <c r="AT311" i="132" s="1"/>
  <c r="AT335" i="132"/>
  <c r="AU335" i="132" s="1"/>
  <c r="AS336" i="132"/>
  <c r="AT336" i="132" s="1"/>
  <c r="AT280" i="132"/>
  <c r="AU280" i="132" s="1"/>
  <c r="AS281" i="132"/>
  <c r="AT281" i="132" s="1"/>
  <c r="AT250" i="132"/>
  <c r="AU250" i="132" s="1"/>
  <c r="AS251" i="132"/>
  <c r="AT251" i="132" s="1"/>
  <c r="AT220" i="132"/>
  <c r="AU220" i="132" s="1"/>
  <c r="AS221" i="132"/>
  <c r="AT221" i="132" s="1"/>
  <c r="AT155" i="132"/>
  <c r="AU155" i="132" s="1"/>
  <c r="AS156" i="132"/>
  <c r="AT156" i="132" s="1"/>
  <c r="AS351" i="132"/>
  <c r="AT351" i="132" s="1"/>
  <c r="AT350" i="132"/>
  <c r="AU350" i="132" s="1"/>
  <c r="AS331" i="132"/>
  <c r="AT331" i="132" s="1"/>
  <c r="AT330" i="132"/>
  <c r="AU330" i="132" s="1"/>
  <c r="AS321" i="132"/>
  <c r="AT321" i="132" s="1"/>
  <c r="AT320" i="132"/>
  <c r="AU320" i="132" s="1"/>
  <c r="CT163" i="132"/>
  <c r="AS162" i="132"/>
  <c r="AS163" i="132" s="1"/>
  <c r="M389" i="105"/>
  <c r="H11" i="219"/>
  <c r="N8" i="219"/>
  <c r="L30" i="133"/>
  <c r="M24" i="219"/>
  <c r="AQ317" i="132"/>
  <c r="AQ318" i="132" s="1"/>
  <c r="AQ182" i="132"/>
  <c r="AQ183" i="132" s="1"/>
  <c r="AQ357" i="132"/>
  <c r="AQ358" i="132" s="1"/>
  <c r="AQ327" i="132"/>
  <c r="AQ328" i="132" s="1"/>
  <c r="AQ342" i="132"/>
  <c r="AQ343" i="132" s="1"/>
  <c r="CR302" i="132"/>
  <c r="CR292" i="132"/>
  <c r="CR272" i="132"/>
  <c r="CR262" i="132"/>
  <c r="CR242" i="132"/>
  <c r="CR232" i="132"/>
  <c r="CR212" i="132"/>
  <c r="CR202" i="132"/>
  <c r="CR192" i="132"/>
  <c r="CR172" i="132"/>
  <c r="CR167" i="132"/>
  <c r="AQ369" i="132" s="1"/>
  <c r="AQ362" i="132"/>
  <c r="AQ363" i="132" s="1"/>
  <c r="AQ347" i="132"/>
  <c r="AQ348" i="132" s="1"/>
  <c r="L234" i="133"/>
  <c r="L235" i="133" s="1"/>
  <c r="AQ368" i="132" l="1"/>
  <c r="AQ370" i="132" s="1"/>
  <c r="AV155" i="132"/>
  <c r="AW155" i="132" s="1"/>
  <c r="AU156" i="132"/>
  <c r="AV156" i="132" s="1"/>
  <c r="AV250" i="132"/>
  <c r="AW250" i="132" s="1"/>
  <c r="AU251" i="132"/>
  <c r="AV251" i="132" s="1"/>
  <c r="AV335" i="132"/>
  <c r="AW335" i="132" s="1"/>
  <c r="AU336" i="132"/>
  <c r="AV336" i="132" s="1"/>
  <c r="AV185" i="132"/>
  <c r="AW185" i="132" s="1"/>
  <c r="AU186" i="132"/>
  <c r="AV186" i="132" s="1"/>
  <c r="AV245" i="132"/>
  <c r="AW245" i="132" s="1"/>
  <c r="AU246" i="132"/>
  <c r="AV246" i="132" s="1"/>
  <c r="AV305" i="132"/>
  <c r="AW305" i="132" s="1"/>
  <c r="AU306" i="132"/>
  <c r="AV306" i="132" s="1"/>
  <c r="AV205" i="132"/>
  <c r="AW205" i="132" s="1"/>
  <c r="AU206" i="132"/>
  <c r="AV206" i="132" s="1"/>
  <c r="AV265" i="132"/>
  <c r="AW265" i="132" s="1"/>
  <c r="AU266" i="132"/>
  <c r="AV266" i="132" s="1"/>
  <c r="AV195" i="132"/>
  <c r="AW195" i="132" s="1"/>
  <c r="AU196" i="132"/>
  <c r="AV196" i="132" s="1"/>
  <c r="AV285" i="132"/>
  <c r="AW285" i="132" s="1"/>
  <c r="AU286" i="132"/>
  <c r="AV286" i="132" s="1"/>
  <c r="AV320" i="132"/>
  <c r="AW320" i="132" s="1"/>
  <c r="AU321" i="132"/>
  <c r="AV321" i="132" s="1"/>
  <c r="AV330" i="132"/>
  <c r="AW330" i="132" s="1"/>
  <c r="AU331" i="132"/>
  <c r="AV331" i="132" s="1"/>
  <c r="AV350" i="132"/>
  <c r="AW350" i="132" s="1"/>
  <c r="AU351" i="132"/>
  <c r="AV351" i="132" s="1"/>
  <c r="AU157" i="132"/>
  <c r="AU158" i="132" s="1"/>
  <c r="AU252" i="132"/>
  <c r="AU253" i="132" s="1"/>
  <c r="CV337" i="132"/>
  <c r="AU337" i="132"/>
  <c r="AU338" i="132" s="1"/>
  <c r="AU187" i="132"/>
  <c r="AU188" i="132" s="1"/>
  <c r="CV248" i="132"/>
  <c r="AU247" i="132"/>
  <c r="AU248" i="132" s="1"/>
  <c r="AU307" i="132"/>
  <c r="AU308" i="132" s="1"/>
  <c r="CV207" i="132"/>
  <c r="AU207" i="132"/>
  <c r="AU208" i="132" s="1"/>
  <c r="AU267" i="132"/>
  <c r="AU268" i="132" s="1"/>
  <c r="CV197" i="132"/>
  <c r="AU197" i="132"/>
  <c r="AU198" i="132" s="1"/>
  <c r="AU287" i="132"/>
  <c r="AU288" i="132" s="1"/>
  <c r="N199" i="133"/>
  <c r="M229" i="133"/>
  <c r="W200" i="133"/>
  <c r="L240" i="133"/>
  <c r="L241" i="133"/>
  <c r="K252" i="133" s="1"/>
  <c r="L221" i="133"/>
  <c r="L243" i="133"/>
  <c r="AV160" i="132"/>
  <c r="AW160" i="132" s="1"/>
  <c r="AU161" i="132"/>
  <c r="AV161" i="132" s="1"/>
  <c r="P197" i="133"/>
  <c r="W195" i="133"/>
  <c r="AV340" i="132"/>
  <c r="AW340" i="132" s="1"/>
  <c r="AU341" i="132"/>
  <c r="AV341" i="132" s="1"/>
  <c r="AV325" i="132"/>
  <c r="AW325" i="132" s="1"/>
  <c r="AU326" i="132"/>
  <c r="AV326" i="132" s="1"/>
  <c r="AV355" i="132"/>
  <c r="AW355" i="132" s="1"/>
  <c r="AU356" i="132"/>
  <c r="AV356" i="132" s="1"/>
  <c r="H26" i="219"/>
  <c r="H285" i="107"/>
  <c r="O198" i="133"/>
  <c r="AS322" i="132"/>
  <c r="AS323" i="132" s="1"/>
  <c r="AS332" i="132"/>
  <c r="AS333" i="132" s="1"/>
  <c r="AS352" i="132"/>
  <c r="AS353" i="132" s="1"/>
  <c r="CT157" i="132"/>
  <c r="CT222" i="132"/>
  <c r="CT252" i="132"/>
  <c r="CT282" i="132"/>
  <c r="CT337" i="132"/>
  <c r="CT312" i="132"/>
  <c r="CT187" i="132"/>
  <c r="CT217" i="132"/>
  <c r="CT248" i="132"/>
  <c r="CT277" i="132"/>
  <c r="CT307" i="132"/>
  <c r="CT177" i="132"/>
  <c r="CT207" i="132"/>
  <c r="CT237" i="132"/>
  <c r="CT267" i="132"/>
  <c r="CT297" i="132"/>
  <c r="CT197" i="132"/>
  <c r="CT227" i="132"/>
  <c r="CT257" i="132"/>
  <c r="CT287" i="132"/>
  <c r="CT347" i="132"/>
  <c r="CT362" i="132"/>
  <c r="M118" i="105"/>
  <c r="AS182" i="132"/>
  <c r="AS183" i="132" s="1"/>
  <c r="AS317" i="132"/>
  <c r="AS318" i="132" s="1"/>
  <c r="J152" i="133"/>
  <c r="M84" i="105"/>
  <c r="AU322" i="132"/>
  <c r="AU323" i="132" s="1"/>
  <c r="CV322" i="132"/>
  <c r="AU352" i="132"/>
  <c r="AU353" i="132" s="1"/>
  <c r="CV352" i="132"/>
  <c r="AV220" i="132"/>
  <c r="AW220" i="132" s="1"/>
  <c r="AU221" i="132"/>
  <c r="AV221" i="132" s="1"/>
  <c r="AV280" i="132"/>
  <c r="AW280" i="132" s="1"/>
  <c r="AU281" i="132"/>
  <c r="AV281" i="132" s="1"/>
  <c r="AV310" i="132"/>
  <c r="AW310" i="132" s="1"/>
  <c r="AU311" i="132"/>
  <c r="AV311" i="132" s="1"/>
  <c r="AV215" i="132"/>
  <c r="AW215" i="132" s="1"/>
  <c r="AU216" i="132"/>
  <c r="AV216" i="132" s="1"/>
  <c r="AV275" i="132"/>
  <c r="AW275" i="132" s="1"/>
  <c r="AU276" i="132"/>
  <c r="AV276" i="132" s="1"/>
  <c r="AV175" i="132"/>
  <c r="AW175" i="132" s="1"/>
  <c r="AU176" i="132"/>
  <c r="AV176" i="132" s="1"/>
  <c r="AV235" i="132"/>
  <c r="AW235" i="132" s="1"/>
  <c r="AU236" i="132"/>
  <c r="AV236" i="132" s="1"/>
  <c r="AV295" i="132"/>
  <c r="AW295" i="132" s="1"/>
  <c r="AU296" i="132"/>
  <c r="AV296" i="132" s="1"/>
  <c r="AV225" i="132"/>
  <c r="AW225" i="132" s="1"/>
  <c r="AU226" i="132"/>
  <c r="AV226" i="132" s="1"/>
  <c r="AV255" i="132"/>
  <c r="AW255" i="132" s="1"/>
  <c r="AU256" i="132"/>
  <c r="AV256" i="132" s="1"/>
  <c r="K252" i="107"/>
  <c r="AV345" i="132"/>
  <c r="AW345" i="132" s="1"/>
  <c r="AU346" i="132"/>
  <c r="AV346" i="132" s="1"/>
  <c r="AV360" i="132"/>
  <c r="AW360" i="132" s="1"/>
  <c r="AU361" i="132"/>
  <c r="AV361" i="132" s="1"/>
  <c r="J20" i="105"/>
  <c r="L25" i="162"/>
  <c r="L26" i="162" s="1"/>
  <c r="M388" i="105"/>
  <c r="AV180" i="132"/>
  <c r="AW180" i="132" s="1"/>
  <c r="AU181" i="132"/>
  <c r="AV181" i="132" s="1"/>
  <c r="AV315" i="132"/>
  <c r="AW315" i="132" s="1"/>
  <c r="AU316" i="132"/>
  <c r="AV316" i="132" s="1"/>
  <c r="K21" i="138"/>
  <c r="N138" i="107" s="1"/>
  <c r="N140" i="107"/>
  <c r="AU162" i="132"/>
  <c r="AU163" i="132" s="1"/>
  <c r="CV163" i="132"/>
  <c r="M80" i="105"/>
  <c r="AV165" i="132"/>
  <c r="AW165" i="132" s="1"/>
  <c r="AU166" i="132"/>
  <c r="AV166" i="132" s="1"/>
  <c r="AV170" i="132"/>
  <c r="AW170" i="132" s="1"/>
  <c r="AU171" i="132"/>
  <c r="AV171" i="132" s="1"/>
  <c r="AV190" i="132"/>
  <c r="AW190" i="132" s="1"/>
  <c r="AU191" i="132"/>
  <c r="AV191" i="132" s="1"/>
  <c r="AV200" i="132"/>
  <c r="AW200" i="132" s="1"/>
  <c r="AU201" i="132"/>
  <c r="AV201" i="132" s="1"/>
  <c r="AV210" i="132"/>
  <c r="AW210" i="132" s="1"/>
  <c r="AU211" i="132"/>
  <c r="AV211" i="132" s="1"/>
  <c r="AV230" i="132"/>
  <c r="AW230" i="132" s="1"/>
  <c r="AU231" i="132"/>
  <c r="AV231" i="132" s="1"/>
  <c r="AV240" i="132"/>
  <c r="AW240" i="132" s="1"/>
  <c r="AU241" i="132"/>
  <c r="AV241" i="132" s="1"/>
  <c r="AV260" i="132"/>
  <c r="AW260" i="132" s="1"/>
  <c r="AU261" i="132"/>
  <c r="AV261" i="132" s="1"/>
  <c r="AV270" i="132"/>
  <c r="AW270" i="132" s="1"/>
  <c r="AU271" i="132"/>
  <c r="AV271" i="132" s="1"/>
  <c r="AV290" i="132"/>
  <c r="AW290" i="132" s="1"/>
  <c r="AU291" i="132"/>
  <c r="AV291" i="132" s="1"/>
  <c r="AV300" i="132"/>
  <c r="AW300" i="132" s="1"/>
  <c r="AU301" i="132"/>
  <c r="AV301" i="132" s="1"/>
  <c r="AU342" i="132"/>
  <c r="AU343" i="132" s="1"/>
  <c r="CV342" i="132"/>
  <c r="AU327" i="132"/>
  <c r="AU328" i="132" s="1"/>
  <c r="CV327" i="132"/>
  <c r="AU357" i="132"/>
  <c r="AU358" i="132" s="1"/>
  <c r="CV357" i="132"/>
  <c r="CT322" i="132"/>
  <c r="CT333" i="132"/>
  <c r="CT352" i="132"/>
  <c r="AS157" i="132"/>
  <c r="AS158" i="132" s="1"/>
  <c r="AS222" i="132"/>
  <c r="AS223" i="132" s="1"/>
  <c r="AS252" i="132"/>
  <c r="AS253" i="132" s="1"/>
  <c r="AS282" i="132"/>
  <c r="AS283" i="132" s="1"/>
  <c r="AS337" i="132"/>
  <c r="AS338" i="132" s="1"/>
  <c r="AS312" i="132"/>
  <c r="AS313" i="132" s="1"/>
  <c r="AS187" i="132"/>
  <c r="AS188" i="132" s="1"/>
  <c r="AS217" i="132"/>
  <c r="AS218" i="132" s="1"/>
  <c r="AS247" i="132"/>
  <c r="AS248" i="132" s="1"/>
  <c r="AS277" i="132"/>
  <c r="AS278" i="132" s="1"/>
  <c r="AS307" i="132"/>
  <c r="AS308" i="132" s="1"/>
  <c r="AS177" i="132"/>
  <c r="AS178" i="132" s="1"/>
  <c r="AS207" i="132"/>
  <c r="AS208" i="132" s="1"/>
  <c r="AS237" i="132"/>
  <c r="AS238" i="132" s="1"/>
  <c r="AS267" i="132"/>
  <c r="AS268" i="132" s="1"/>
  <c r="AS297" i="132"/>
  <c r="AS298" i="132" s="1"/>
  <c r="AS197" i="132"/>
  <c r="AS198" i="132" s="1"/>
  <c r="AS227" i="132"/>
  <c r="AS228" i="132" s="1"/>
  <c r="AS257" i="132"/>
  <c r="AS258" i="132" s="1"/>
  <c r="AS287" i="132"/>
  <c r="AS288" i="132" s="1"/>
  <c r="AS347" i="132"/>
  <c r="AS348" i="132" s="1"/>
  <c r="AS362" i="132"/>
  <c r="AS363" i="132" s="1"/>
  <c r="CT182" i="132"/>
  <c r="CT317" i="132"/>
  <c r="CV287" i="132" l="1"/>
  <c r="CV267" i="132"/>
  <c r="CV307" i="132"/>
  <c r="CV187" i="132"/>
  <c r="K11" i="219"/>
  <c r="K283" i="107"/>
  <c r="K26" i="219" s="1"/>
  <c r="J61" i="133"/>
  <c r="M206" i="105"/>
  <c r="M361" i="105" s="1"/>
  <c r="O199" i="133"/>
  <c r="O201" i="133" s="1"/>
  <c r="AW356" i="132"/>
  <c r="AX356" i="132" s="1"/>
  <c r="AX355" i="132"/>
  <c r="AY355" i="132" s="1"/>
  <c r="AW326" i="132"/>
  <c r="AX326" i="132" s="1"/>
  <c r="AX325" i="132"/>
  <c r="AY325" i="132" s="1"/>
  <c r="AW341" i="132"/>
  <c r="AX341" i="132" s="1"/>
  <c r="AX340" i="132"/>
  <c r="AY340" i="132" s="1"/>
  <c r="P198" i="133"/>
  <c r="W197" i="133"/>
  <c r="L219" i="133"/>
  <c r="AW161" i="132"/>
  <c r="AX161" i="132" s="1"/>
  <c r="AX160" i="132"/>
  <c r="AY160" i="132" s="1"/>
  <c r="O240" i="107"/>
  <c r="O239" i="107" s="1"/>
  <c r="M38" i="133"/>
  <c r="M230" i="133"/>
  <c r="M231" i="133"/>
  <c r="N201" i="133"/>
  <c r="AW351" i="132"/>
  <c r="AX351" i="132" s="1"/>
  <c r="AX350" i="132"/>
  <c r="AY350" i="132" s="1"/>
  <c r="AW331" i="132"/>
  <c r="AX331" i="132" s="1"/>
  <c r="AX330" i="132"/>
  <c r="AY330" i="132" s="1"/>
  <c r="AW321" i="132"/>
  <c r="AX321" i="132" s="1"/>
  <c r="AX320" i="132"/>
  <c r="AY320" i="132" s="1"/>
  <c r="AX285" i="132"/>
  <c r="AY285" i="132" s="1"/>
  <c r="AW286" i="132"/>
  <c r="AX286" i="132" s="1"/>
  <c r="AX195" i="132"/>
  <c r="AY195" i="132" s="1"/>
  <c r="AW196" i="132"/>
  <c r="AX196" i="132" s="1"/>
  <c r="AX265" i="132"/>
  <c r="AY265" i="132" s="1"/>
  <c r="AW266" i="132"/>
  <c r="AX266" i="132" s="1"/>
  <c r="AX205" i="132"/>
  <c r="AY205" i="132" s="1"/>
  <c r="AW206" i="132"/>
  <c r="AX206" i="132" s="1"/>
  <c r="AX305" i="132"/>
  <c r="AY305" i="132" s="1"/>
  <c r="AW306" i="132"/>
  <c r="AX306" i="132" s="1"/>
  <c r="AX245" i="132"/>
  <c r="AY245" i="132" s="1"/>
  <c r="AW246" i="132"/>
  <c r="AX246" i="132" s="1"/>
  <c r="AX185" i="132"/>
  <c r="AY185" i="132" s="1"/>
  <c r="AW186" i="132"/>
  <c r="AX186" i="132" s="1"/>
  <c r="AX335" i="132"/>
  <c r="AY335" i="132" s="1"/>
  <c r="AW336" i="132"/>
  <c r="AX336" i="132" s="1"/>
  <c r="AX250" i="132"/>
  <c r="AY250" i="132" s="1"/>
  <c r="AW251" i="132"/>
  <c r="AX251" i="132" s="1"/>
  <c r="AX155" i="132"/>
  <c r="AY155" i="132" s="1"/>
  <c r="AW156" i="132"/>
  <c r="AX156" i="132" s="1"/>
  <c r="AS368" i="132"/>
  <c r="AS369" i="132"/>
  <c r="CV302" i="132"/>
  <c r="CV292" i="132"/>
  <c r="CV272" i="132"/>
  <c r="CV262" i="132"/>
  <c r="CV242" i="132"/>
  <c r="CV232" i="132"/>
  <c r="CV212" i="132"/>
  <c r="CV202" i="132"/>
  <c r="CV192" i="132"/>
  <c r="CV172" i="132"/>
  <c r="CV167" i="132"/>
  <c r="AU317" i="132"/>
  <c r="AU318" i="132" s="1"/>
  <c r="AU182" i="132"/>
  <c r="AU183" i="132" s="1"/>
  <c r="CV362" i="132"/>
  <c r="AU347" i="132"/>
  <c r="AU348" i="132" s="1"/>
  <c r="CV257" i="132"/>
  <c r="CV227" i="132"/>
  <c r="CV297" i="132"/>
  <c r="CV237" i="132"/>
  <c r="CV177" i="132"/>
  <c r="CV277" i="132"/>
  <c r="CV217" i="132"/>
  <c r="CV312" i="132"/>
  <c r="CV282" i="132"/>
  <c r="CV252" i="132"/>
  <c r="CV222" i="132"/>
  <c r="CV157" i="132"/>
  <c r="AU332" i="132"/>
  <c r="AU333" i="132" s="1"/>
  <c r="AX300" i="132"/>
  <c r="AY300" i="132" s="1"/>
  <c r="AW301" i="132"/>
  <c r="AX301" i="132" s="1"/>
  <c r="AX290" i="132"/>
  <c r="AY290" i="132" s="1"/>
  <c r="AW291" i="132"/>
  <c r="AX291" i="132" s="1"/>
  <c r="AX270" i="132"/>
  <c r="AY270" i="132" s="1"/>
  <c r="AW271" i="132"/>
  <c r="AX271" i="132" s="1"/>
  <c r="AX260" i="132"/>
  <c r="AY260" i="132" s="1"/>
  <c r="AW261" i="132"/>
  <c r="AX261" i="132" s="1"/>
  <c r="AX240" i="132"/>
  <c r="AY240" i="132" s="1"/>
  <c r="AW241" i="132"/>
  <c r="AX241" i="132" s="1"/>
  <c r="AX230" i="132"/>
  <c r="AY230" i="132" s="1"/>
  <c r="AW231" i="132"/>
  <c r="AX231" i="132" s="1"/>
  <c r="AX210" i="132"/>
  <c r="AY210" i="132" s="1"/>
  <c r="AW211" i="132"/>
  <c r="AX211" i="132" s="1"/>
  <c r="AX200" i="132"/>
  <c r="AY200" i="132" s="1"/>
  <c r="AW201" i="132"/>
  <c r="AX201" i="132" s="1"/>
  <c r="AX190" i="132"/>
  <c r="AY190" i="132" s="1"/>
  <c r="AW191" i="132"/>
  <c r="AX191" i="132" s="1"/>
  <c r="AX170" i="132"/>
  <c r="AY170" i="132" s="1"/>
  <c r="AW171" i="132"/>
  <c r="AX171" i="132" s="1"/>
  <c r="AX165" i="132"/>
  <c r="AY165" i="132" s="1"/>
  <c r="AW166" i="132"/>
  <c r="AX166" i="132" s="1"/>
  <c r="M371" i="105"/>
  <c r="M370" i="105"/>
  <c r="M394" i="105"/>
  <c r="M383" i="105"/>
  <c r="M408" i="105"/>
  <c r="M413" i="105"/>
  <c r="O196" i="105"/>
  <c r="N223" i="107"/>
  <c r="N32" i="214" s="1"/>
  <c r="N33" i="214" s="1"/>
  <c r="N77" i="214" s="1"/>
  <c r="N7" i="214" s="1"/>
  <c r="K58" i="105"/>
  <c r="K60" i="105" s="1"/>
  <c r="N137" i="107"/>
  <c r="K520" i="105"/>
  <c r="N144" i="107"/>
  <c r="AW316" i="132"/>
  <c r="AX316" i="132" s="1"/>
  <c r="AX315" i="132"/>
  <c r="AY315" i="132" s="1"/>
  <c r="AW181" i="132"/>
  <c r="AX181" i="132" s="1"/>
  <c r="AX180" i="132"/>
  <c r="AY180" i="132" s="1"/>
  <c r="J151" i="133"/>
  <c r="L250" i="107" s="1"/>
  <c r="M83" i="105"/>
  <c r="N115" i="105"/>
  <c r="M95" i="107"/>
  <c r="M213" i="105" s="1"/>
  <c r="J21" i="105"/>
  <c r="AW361" i="132"/>
  <c r="AX361" i="132" s="1"/>
  <c r="AX360" i="132"/>
  <c r="AY360" i="132" s="1"/>
  <c r="AW346" i="132"/>
  <c r="AX346" i="132" s="1"/>
  <c r="AX345" i="132"/>
  <c r="AY345" i="132" s="1"/>
  <c r="AX255" i="132"/>
  <c r="AY255" i="132" s="1"/>
  <c r="AW256" i="132"/>
  <c r="AX256" i="132" s="1"/>
  <c r="AX225" i="132"/>
  <c r="AY225" i="132" s="1"/>
  <c r="AW226" i="132"/>
  <c r="AX226" i="132" s="1"/>
  <c r="AX295" i="132"/>
  <c r="AY295" i="132" s="1"/>
  <c r="AW296" i="132"/>
  <c r="AX296" i="132" s="1"/>
  <c r="AX235" i="132"/>
  <c r="AY235" i="132" s="1"/>
  <c r="AW236" i="132"/>
  <c r="AX236" i="132" s="1"/>
  <c r="AX175" i="132"/>
  <c r="AY175" i="132" s="1"/>
  <c r="AW176" i="132"/>
  <c r="AX176" i="132" s="1"/>
  <c r="AX275" i="132"/>
  <c r="AY275" i="132" s="1"/>
  <c r="AW276" i="132"/>
  <c r="AX276" i="132" s="1"/>
  <c r="AX215" i="132"/>
  <c r="AY215" i="132" s="1"/>
  <c r="AW216" i="132"/>
  <c r="AX216" i="132" s="1"/>
  <c r="AX310" i="132"/>
  <c r="AY310" i="132" s="1"/>
  <c r="AW311" i="132"/>
  <c r="AX311" i="132" s="1"/>
  <c r="AX280" i="132"/>
  <c r="AY280" i="132" s="1"/>
  <c r="AW281" i="132"/>
  <c r="AX281" i="132" s="1"/>
  <c r="AX220" i="132"/>
  <c r="AY220" i="132" s="1"/>
  <c r="AW221" i="132"/>
  <c r="AX221" i="132" s="1"/>
  <c r="L280" i="107"/>
  <c r="H27" i="219"/>
  <c r="I285" i="107"/>
  <c r="H287" i="107"/>
  <c r="H31" i="219"/>
  <c r="CX357" i="132"/>
  <c r="AW357" i="132"/>
  <c r="AW358" i="132" s="1"/>
  <c r="CX327" i="132"/>
  <c r="AW327" i="132"/>
  <c r="AW328" i="132" s="1"/>
  <c r="CX342" i="132"/>
  <c r="AW342" i="132"/>
  <c r="AW343" i="132" s="1"/>
  <c r="CX163" i="132"/>
  <c r="AW162" i="132"/>
  <c r="AW163" i="132" s="1"/>
  <c r="CX352" i="132"/>
  <c r="AW352" i="132"/>
  <c r="AW353" i="132" s="1"/>
  <c r="CX333" i="132"/>
  <c r="AW332" i="132"/>
  <c r="AW333" i="132" s="1"/>
  <c r="CX322" i="132"/>
  <c r="AW322" i="132"/>
  <c r="AW323" i="132" s="1"/>
  <c r="AW287" i="132"/>
  <c r="AW288" i="132" s="1"/>
  <c r="CX287" i="132"/>
  <c r="AW197" i="132"/>
  <c r="AW198" i="132" s="1"/>
  <c r="CX197" i="132"/>
  <c r="AW267" i="132"/>
  <c r="AW268" i="132" s="1"/>
  <c r="CX267" i="132"/>
  <c r="AW207" i="132"/>
  <c r="AW208" i="132" s="1"/>
  <c r="CX207" i="132"/>
  <c r="AW307" i="132"/>
  <c r="AW308" i="132" s="1"/>
  <c r="CX307" i="132"/>
  <c r="AW247" i="132"/>
  <c r="AW248" i="132" s="1"/>
  <c r="CX248" i="132"/>
  <c r="AW187" i="132"/>
  <c r="AW188" i="132" s="1"/>
  <c r="CX187" i="132"/>
  <c r="AW337" i="132"/>
  <c r="AW338" i="132" s="1"/>
  <c r="CX337" i="132"/>
  <c r="AW252" i="132"/>
  <c r="AW253" i="132" s="1"/>
  <c r="CX252" i="132"/>
  <c r="AW157" i="132"/>
  <c r="AW158" i="132" s="1"/>
  <c r="CX157" i="132"/>
  <c r="AU302" i="132"/>
  <c r="AU303" i="132" s="1"/>
  <c r="AU292" i="132"/>
  <c r="AU293" i="132" s="1"/>
  <c r="AU272" i="132"/>
  <c r="AU273" i="132" s="1"/>
  <c r="AU262" i="132"/>
  <c r="AU263" i="132" s="1"/>
  <c r="AU242" i="132"/>
  <c r="AU243" i="132" s="1"/>
  <c r="AU232" i="132"/>
  <c r="AU233" i="132" s="1"/>
  <c r="AU212" i="132"/>
  <c r="AU213" i="132" s="1"/>
  <c r="AU202" i="132"/>
  <c r="AU203" i="132" s="1"/>
  <c r="AU192" i="132"/>
  <c r="AU193" i="132" s="1"/>
  <c r="AU172" i="132"/>
  <c r="AU173" i="132" s="1"/>
  <c r="AU167" i="132"/>
  <c r="AU168" i="132" s="1"/>
  <c r="CV317" i="132"/>
  <c r="CV182" i="132"/>
  <c r="AU362" i="132"/>
  <c r="AU363" i="132" s="1"/>
  <c r="CV347" i="132"/>
  <c r="AU257" i="132"/>
  <c r="AU258" i="132" s="1"/>
  <c r="AU227" i="132"/>
  <c r="AU228" i="132" s="1"/>
  <c r="AU297" i="132"/>
  <c r="AU298" i="132" s="1"/>
  <c r="AU237" i="132"/>
  <c r="AU238" i="132" s="1"/>
  <c r="AU177" i="132"/>
  <c r="AU178" i="132" s="1"/>
  <c r="AU277" i="132"/>
  <c r="AU278" i="132" s="1"/>
  <c r="AU217" i="132"/>
  <c r="AU218" i="132" s="1"/>
  <c r="AU312" i="132"/>
  <c r="AU313" i="132" s="1"/>
  <c r="AU282" i="132"/>
  <c r="AU283" i="132" s="1"/>
  <c r="AU222" i="132"/>
  <c r="AU223" i="132" s="1"/>
  <c r="CV333" i="132"/>
  <c r="AS370" i="132" l="1"/>
  <c r="I27" i="219"/>
  <c r="J285" i="107"/>
  <c r="I287" i="107"/>
  <c r="I31" i="219"/>
  <c r="L23" i="219"/>
  <c r="L276" i="107"/>
  <c r="AZ220" i="132"/>
  <c r="BA220" i="132" s="1"/>
  <c r="AY221" i="132"/>
  <c r="AZ221" i="132" s="1"/>
  <c r="AZ280" i="132"/>
  <c r="BA280" i="132" s="1"/>
  <c r="AY281" i="132"/>
  <c r="AZ281" i="132" s="1"/>
  <c r="AZ310" i="132"/>
  <c r="BA310" i="132" s="1"/>
  <c r="AY311" i="132"/>
  <c r="AZ311" i="132" s="1"/>
  <c r="AZ215" i="132"/>
  <c r="BA215" i="132" s="1"/>
  <c r="AY216" i="132"/>
  <c r="AZ216" i="132" s="1"/>
  <c r="AZ275" i="132"/>
  <c r="BA275" i="132" s="1"/>
  <c r="AY276" i="132"/>
  <c r="AZ276" i="132" s="1"/>
  <c r="AZ175" i="132"/>
  <c r="BA175" i="132" s="1"/>
  <c r="AY176" i="132"/>
  <c r="AZ176" i="132" s="1"/>
  <c r="AZ235" i="132"/>
  <c r="BA235" i="132" s="1"/>
  <c r="AY236" i="132"/>
  <c r="AZ236" i="132" s="1"/>
  <c r="AZ295" i="132"/>
  <c r="BA295" i="132" s="1"/>
  <c r="AY296" i="132"/>
  <c r="AZ296" i="132" s="1"/>
  <c r="AZ225" i="132"/>
  <c r="BA225" i="132" s="1"/>
  <c r="AY226" i="132"/>
  <c r="AZ226" i="132" s="1"/>
  <c r="AZ255" i="132"/>
  <c r="BA255" i="132" s="1"/>
  <c r="AY256" i="132"/>
  <c r="AZ256" i="132" s="1"/>
  <c r="M214" i="105"/>
  <c r="AY181" i="132"/>
  <c r="AZ181" i="132" s="1"/>
  <c r="AZ180" i="132"/>
  <c r="BA180" i="132" s="1"/>
  <c r="AY316" i="132"/>
  <c r="AZ316" i="132" s="1"/>
  <c r="AZ315" i="132"/>
  <c r="BA315" i="132" s="1"/>
  <c r="N225" i="107"/>
  <c r="N34" i="214" s="1"/>
  <c r="K54" i="105"/>
  <c r="K67" i="105" s="1"/>
  <c r="K521" i="105"/>
  <c r="K61" i="105"/>
  <c r="O197" i="105"/>
  <c r="O198" i="105"/>
  <c r="N409" i="105"/>
  <c r="M398" i="105"/>
  <c r="M397" i="105"/>
  <c r="N379" i="105"/>
  <c r="M380" i="105"/>
  <c r="AZ155" i="132"/>
  <c r="BA155" i="132" s="1"/>
  <c r="AY156" i="132"/>
  <c r="AZ156" i="132" s="1"/>
  <c r="AZ250" i="132"/>
  <c r="BA250" i="132" s="1"/>
  <c r="AY251" i="132"/>
  <c r="AZ251" i="132" s="1"/>
  <c r="AZ335" i="132"/>
  <c r="BA335" i="132" s="1"/>
  <c r="AY336" i="132"/>
  <c r="AZ336" i="132" s="1"/>
  <c r="AZ185" i="132"/>
  <c r="BA185" i="132" s="1"/>
  <c r="AY186" i="132"/>
  <c r="AZ186" i="132" s="1"/>
  <c r="AZ245" i="132"/>
  <c r="BA245" i="132" s="1"/>
  <c r="AY246" i="132"/>
  <c r="AZ246" i="132" s="1"/>
  <c r="AZ305" i="132"/>
  <c r="BA305" i="132" s="1"/>
  <c r="AY306" i="132"/>
  <c r="AZ306" i="132" s="1"/>
  <c r="AZ205" i="132"/>
  <c r="BA205" i="132" s="1"/>
  <c r="AY206" i="132"/>
  <c r="AZ206" i="132" s="1"/>
  <c r="AZ265" i="132"/>
  <c r="BA265" i="132" s="1"/>
  <c r="AY266" i="132"/>
  <c r="AZ266" i="132" s="1"/>
  <c r="AZ195" i="132"/>
  <c r="BA195" i="132" s="1"/>
  <c r="AY196" i="132"/>
  <c r="AZ196" i="132" s="1"/>
  <c r="AZ285" i="132"/>
  <c r="BA285" i="132" s="1"/>
  <c r="AY286" i="132"/>
  <c r="AZ286" i="132" s="1"/>
  <c r="N202" i="133"/>
  <c r="O202" i="133" s="1"/>
  <c r="O8" i="219"/>
  <c r="M30" i="133"/>
  <c r="AZ340" i="132"/>
  <c r="BA340" i="132" s="1"/>
  <c r="AY341" i="132"/>
  <c r="AZ341" i="132" s="1"/>
  <c r="AZ325" i="132"/>
  <c r="BA325" i="132" s="1"/>
  <c r="AY326" i="132"/>
  <c r="AZ326" i="132" s="1"/>
  <c r="AZ355" i="132"/>
  <c r="BA355" i="132" s="1"/>
  <c r="AY356" i="132"/>
  <c r="AZ356" i="132" s="1"/>
  <c r="AU368" i="132"/>
  <c r="CX222" i="132"/>
  <c r="CX282" i="132"/>
  <c r="CX312" i="132"/>
  <c r="CX217" i="132"/>
  <c r="CX277" i="132"/>
  <c r="CX177" i="132"/>
  <c r="CX237" i="132"/>
  <c r="CX297" i="132"/>
  <c r="CX227" i="132"/>
  <c r="CX257" i="132"/>
  <c r="CX347" i="132"/>
  <c r="CX362" i="132"/>
  <c r="CX182" i="132"/>
  <c r="CX317" i="132"/>
  <c r="AW167" i="132"/>
  <c r="AW168" i="132" s="1"/>
  <c r="AW172" i="132"/>
  <c r="AW173" i="132" s="1"/>
  <c r="AW192" i="132"/>
  <c r="AW193" i="132" s="1"/>
  <c r="AW202" i="132"/>
  <c r="AW203" i="132" s="1"/>
  <c r="AW212" i="132"/>
  <c r="AW213" i="132" s="1"/>
  <c r="AW232" i="132"/>
  <c r="AW233" i="132" s="1"/>
  <c r="AW242" i="132"/>
  <c r="AW243" i="132" s="1"/>
  <c r="AW262" i="132"/>
  <c r="AW263" i="132" s="1"/>
  <c r="AW272" i="132"/>
  <c r="AW273" i="132" s="1"/>
  <c r="AW292" i="132"/>
  <c r="AW293" i="132" s="1"/>
  <c r="AW302" i="132"/>
  <c r="AW303" i="132" s="1"/>
  <c r="E462" i="105"/>
  <c r="E461" i="105" s="1"/>
  <c r="E450" i="105" s="1"/>
  <c r="H36" i="219"/>
  <c r="I236" i="107"/>
  <c r="CZ222" i="132"/>
  <c r="AY222" i="132"/>
  <c r="AY223" i="132" s="1"/>
  <c r="CZ282" i="132"/>
  <c r="AY282" i="132"/>
  <c r="AY283" i="132" s="1"/>
  <c r="CZ312" i="132"/>
  <c r="AY312" i="132"/>
  <c r="AY313" i="132" s="1"/>
  <c r="CZ217" i="132"/>
  <c r="AY217" i="132"/>
  <c r="AY218" i="132" s="1"/>
  <c r="CZ277" i="132"/>
  <c r="AY277" i="132"/>
  <c r="AY278" i="132" s="1"/>
  <c r="CZ177" i="132"/>
  <c r="AY177" i="132"/>
  <c r="AY178" i="132" s="1"/>
  <c r="CZ237" i="132"/>
  <c r="AY237" i="132"/>
  <c r="AY238" i="132" s="1"/>
  <c r="CZ297" i="132"/>
  <c r="AY297" i="132"/>
  <c r="AY298" i="132" s="1"/>
  <c r="CZ227" i="132"/>
  <c r="AY227" i="132"/>
  <c r="AY228" i="132" s="1"/>
  <c r="CZ257" i="132"/>
  <c r="AY257" i="132"/>
  <c r="AY258" i="132" s="1"/>
  <c r="AZ345" i="132"/>
  <c r="BA345" i="132" s="1"/>
  <c r="AY346" i="132"/>
  <c r="AZ346" i="132" s="1"/>
  <c r="AZ360" i="132"/>
  <c r="BA360" i="132" s="1"/>
  <c r="AY361" i="132"/>
  <c r="AZ361" i="132" s="1"/>
  <c r="K15" i="105"/>
  <c r="J452" i="105"/>
  <c r="J451" i="105" s="1"/>
  <c r="M96" i="107"/>
  <c r="N116" i="105"/>
  <c r="M212" i="105"/>
  <c r="L244" i="107"/>
  <c r="AY182" i="132"/>
  <c r="AY183" i="132" s="1"/>
  <c r="CZ182" i="132"/>
  <c r="AY317" i="132"/>
  <c r="AY318" i="132" s="1"/>
  <c r="CZ317" i="132"/>
  <c r="N656" i="107"/>
  <c r="N649" i="107"/>
  <c r="N650" i="107" s="1"/>
  <c r="M415" i="105"/>
  <c r="M414" i="105"/>
  <c r="N384" i="105"/>
  <c r="M385" i="105"/>
  <c r="M386" i="105"/>
  <c r="N372" i="105"/>
  <c r="M378" i="105"/>
  <c r="M390" i="105" s="1"/>
  <c r="M85" i="105" s="1"/>
  <c r="I458" i="105" s="1"/>
  <c r="I457" i="105" s="1"/>
  <c r="I453" i="105" s="1"/>
  <c r="O373" i="105"/>
  <c r="Q375" i="105"/>
  <c r="P374" i="105"/>
  <c r="AZ165" i="132"/>
  <c r="BA165" i="132" s="1"/>
  <c r="AY166" i="132"/>
  <c r="AZ166" i="132" s="1"/>
  <c r="AZ170" i="132"/>
  <c r="BA170" i="132" s="1"/>
  <c r="AY171" i="132"/>
  <c r="AZ171" i="132" s="1"/>
  <c r="AZ190" i="132"/>
  <c r="BA190" i="132" s="1"/>
  <c r="AY191" i="132"/>
  <c r="AZ191" i="132" s="1"/>
  <c r="AZ200" i="132"/>
  <c r="BA200" i="132" s="1"/>
  <c r="AY201" i="132"/>
  <c r="AZ201" i="132" s="1"/>
  <c r="AZ210" i="132"/>
  <c r="BA210" i="132" s="1"/>
  <c r="AY211" i="132"/>
  <c r="AZ211" i="132" s="1"/>
  <c r="AZ230" i="132"/>
  <c r="BA230" i="132" s="1"/>
  <c r="AY231" i="132"/>
  <c r="AZ231" i="132" s="1"/>
  <c r="AZ240" i="132"/>
  <c r="BA240" i="132" s="1"/>
  <c r="AY241" i="132"/>
  <c r="AZ241" i="132" s="1"/>
  <c r="AZ260" i="132"/>
  <c r="BA260" i="132" s="1"/>
  <c r="AY261" i="132"/>
  <c r="AZ261" i="132" s="1"/>
  <c r="AZ270" i="132"/>
  <c r="BA270" i="132" s="1"/>
  <c r="AY271" i="132"/>
  <c r="AZ271" i="132" s="1"/>
  <c r="AZ290" i="132"/>
  <c r="BA290" i="132" s="1"/>
  <c r="AY291" i="132"/>
  <c r="AZ291" i="132" s="1"/>
  <c r="AZ300" i="132"/>
  <c r="BA300" i="132" s="1"/>
  <c r="AY301" i="132"/>
  <c r="AZ301" i="132" s="1"/>
  <c r="CZ157" i="132"/>
  <c r="AY157" i="132"/>
  <c r="AY158" i="132" s="1"/>
  <c r="CZ252" i="132"/>
  <c r="AY252" i="132"/>
  <c r="AY253" i="132" s="1"/>
  <c r="CZ337" i="132"/>
  <c r="AY337" i="132"/>
  <c r="AY338" i="132" s="1"/>
  <c r="CZ187" i="132"/>
  <c r="AY187" i="132"/>
  <c r="AY188" i="132" s="1"/>
  <c r="CZ248" i="132"/>
  <c r="AY247" i="132"/>
  <c r="AY248" i="132" s="1"/>
  <c r="CZ307" i="132"/>
  <c r="AY307" i="132"/>
  <c r="AY308" i="132" s="1"/>
  <c r="CZ207" i="132"/>
  <c r="AY207" i="132"/>
  <c r="AY208" i="132" s="1"/>
  <c r="CZ267" i="132"/>
  <c r="AY267" i="132"/>
  <c r="AY268" i="132" s="1"/>
  <c r="CZ197" i="132"/>
  <c r="AY197" i="132"/>
  <c r="AY198" i="132" s="1"/>
  <c r="CZ287" i="132"/>
  <c r="AY287" i="132"/>
  <c r="AY288" i="132" s="1"/>
  <c r="AZ320" i="132"/>
  <c r="BA320" i="132" s="1"/>
  <c r="AY321" i="132"/>
  <c r="AZ321" i="132" s="1"/>
  <c r="AZ330" i="132"/>
  <c r="BA330" i="132" s="1"/>
  <c r="AY331" i="132"/>
  <c r="AZ331" i="132" s="1"/>
  <c r="AZ350" i="132"/>
  <c r="BA350" i="132" s="1"/>
  <c r="AY351" i="132"/>
  <c r="AZ351" i="132" s="1"/>
  <c r="M232" i="133"/>
  <c r="L68" i="138" s="1"/>
  <c r="L69" i="138" s="1"/>
  <c r="L14" i="138" s="1"/>
  <c r="M239" i="133"/>
  <c r="AY161" i="132"/>
  <c r="AZ161" i="132" s="1"/>
  <c r="AZ160" i="132"/>
  <c r="BA160" i="132" s="1"/>
  <c r="K255" i="133"/>
  <c r="K435" i="107" s="1"/>
  <c r="K254" i="133" s="1"/>
  <c r="L224" i="133"/>
  <c r="L222" i="133" s="1"/>
  <c r="L220" i="133"/>
  <c r="P199" i="133"/>
  <c r="Q198" i="133"/>
  <c r="AY342" i="132"/>
  <c r="AY343" i="132" s="1"/>
  <c r="CZ342" i="132"/>
  <c r="AY327" i="132"/>
  <c r="AY328" i="132" s="1"/>
  <c r="CZ327" i="132"/>
  <c r="AY357" i="132"/>
  <c r="AY358" i="132" s="1"/>
  <c r="CZ357" i="132"/>
  <c r="J92" i="133"/>
  <c r="J96" i="133"/>
  <c r="M395" i="105"/>
  <c r="AU369" i="132"/>
  <c r="AU370" i="132" s="1"/>
  <c r="AW222" i="132"/>
  <c r="AW223" i="132" s="1"/>
  <c r="AW282" i="132"/>
  <c r="AW283" i="132" s="1"/>
  <c r="AW312" i="132"/>
  <c r="AW313" i="132" s="1"/>
  <c r="AW217" i="132"/>
  <c r="AW218" i="132" s="1"/>
  <c r="AW277" i="132"/>
  <c r="AW278" i="132" s="1"/>
  <c r="AW177" i="132"/>
  <c r="AW178" i="132" s="1"/>
  <c r="AW237" i="132"/>
  <c r="AW238" i="132" s="1"/>
  <c r="AW297" i="132"/>
  <c r="AW298" i="132" s="1"/>
  <c r="AW227" i="132"/>
  <c r="AW228" i="132" s="1"/>
  <c r="AW257" i="132"/>
  <c r="AW258" i="132" s="1"/>
  <c r="AW347" i="132"/>
  <c r="AW348" i="132" s="1"/>
  <c r="AW362" i="132"/>
  <c r="AW363" i="132" s="1"/>
  <c r="AW182" i="132"/>
  <c r="AW183" i="132" s="1"/>
  <c r="AW317" i="132"/>
  <c r="AW318" i="132" s="1"/>
  <c r="CX167" i="132"/>
  <c r="AW369" i="132" s="1"/>
  <c r="CX172" i="132"/>
  <c r="CX192" i="132"/>
  <c r="CX202" i="132"/>
  <c r="CX212" i="132"/>
  <c r="CX232" i="132"/>
  <c r="CX242" i="132"/>
  <c r="CX262" i="132"/>
  <c r="CX272" i="132"/>
  <c r="CX292" i="132"/>
  <c r="CX302" i="132"/>
  <c r="J157" i="133" l="1"/>
  <c r="L21" i="138"/>
  <c r="O138" i="107" s="1"/>
  <c r="O140" i="107"/>
  <c r="BA351" i="132"/>
  <c r="BB351" i="132" s="1"/>
  <c r="BB350" i="132"/>
  <c r="BC350" i="132" s="1"/>
  <c r="BA331" i="132"/>
  <c r="BB331" i="132" s="1"/>
  <c r="BB330" i="132"/>
  <c r="BC330" i="132" s="1"/>
  <c r="BA321" i="132"/>
  <c r="BB321" i="132" s="1"/>
  <c r="BB320" i="132"/>
  <c r="BC320" i="132" s="1"/>
  <c r="BB300" i="132"/>
  <c r="BC300" i="132" s="1"/>
  <c r="BA301" i="132"/>
  <c r="BB301" i="132" s="1"/>
  <c r="BB290" i="132"/>
  <c r="BC290" i="132" s="1"/>
  <c r="BA291" i="132"/>
  <c r="BB291" i="132" s="1"/>
  <c r="BB270" i="132"/>
  <c r="BC270" i="132" s="1"/>
  <c r="BA271" i="132"/>
  <c r="BB271" i="132" s="1"/>
  <c r="BB260" i="132"/>
  <c r="BC260" i="132" s="1"/>
  <c r="BA261" i="132"/>
  <c r="BB261" i="132" s="1"/>
  <c r="BB240" i="132"/>
  <c r="BC240" i="132" s="1"/>
  <c r="BA241" i="132"/>
  <c r="BB241" i="132" s="1"/>
  <c r="BB230" i="132"/>
  <c r="BC230" i="132" s="1"/>
  <c r="BA231" i="132"/>
  <c r="BB231" i="132" s="1"/>
  <c r="BB210" i="132"/>
  <c r="BC210" i="132" s="1"/>
  <c r="BA211" i="132"/>
  <c r="BB211" i="132" s="1"/>
  <c r="BB200" i="132"/>
  <c r="BC200" i="132" s="1"/>
  <c r="BA201" i="132"/>
  <c r="BB201" i="132" s="1"/>
  <c r="BB190" i="132"/>
  <c r="BC190" i="132" s="1"/>
  <c r="BA191" i="132"/>
  <c r="BB191" i="132" s="1"/>
  <c r="BB170" i="132"/>
  <c r="BC170" i="132" s="1"/>
  <c r="BA171" i="132"/>
  <c r="BB171" i="132" s="1"/>
  <c r="BB165" i="132"/>
  <c r="BC165" i="132" s="1"/>
  <c r="BA166" i="132"/>
  <c r="BB166" i="132" s="1"/>
  <c r="N377" i="105"/>
  <c r="L238" i="107"/>
  <c r="L9" i="219"/>
  <c r="N117" i="105"/>
  <c r="N205" i="105" s="1"/>
  <c r="N79" i="105" s="1"/>
  <c r="N204" i="105"/>
  <c r="BA356" i="132"/>
  <c r="BB356" i="132" s="1"/>
  <c r="BB355" i="132"/>
  <c r="BC355" i="132" s="1"/>
  <c r="BA326" i="132"/>
  <c r="BB326" i="132" s="1"/>
  <c r="BB325" i="132"/>
  <c r="BC325" i="132" s="1"/>
  <c r="BA341" i="132"/>
  <c r="BB341" i="132" s="1"/>
  <c r="BB340" i="132"/>
  <c r="BC340" i="132" s="1"/>
  <c r="N203" i="133"/>
  <c r="N238" i="133"/>
  <c r="N39" i="133" s="1"/>
  <c r="BB285" i="132"/>
  <c r="BC285" i="132" s="1"/>
  <c r="BA286" i="132"/>
  <c r="BB286" i="132" s="1"/>
  <c r="BB195" i="132"/>
  <c r="BC195" i="132" s="1"/>
  <c r="BA196" i="132"/>
  <c r="BB196" i="132" s="1"/>
  <c r="BB265" i="132"/>
  <c r="BC265" i="132" s="1"/>
  <c r="BA266" i="132"/>
  <c r="BB266" i="132" s="1"/>
  <c r="BB205" i="132"/>
  <c r="BC205" i="132" s="1"/>
  <c r="BA206" i="132"/>
  <c r="BB206" i="132" s="1"/>
  <c r="BB305" i="132"/>
  <c r="BC305" i="132" s="1"/>
  <c r="BA306" i="132"/>
  <c r="BB306" i="132" s="1"/>
  <c r="BB245" i="132"/>
  <c r="BC245" i="132" s="1"/>
  <c r="BA246" i="132"/>
  <c r="BB246" i="132" s="1"/>
  <c r="BB185" i="132"/>
  <c r="BC185" i="132" s="1"/>
  <c r="BA186" i="132"/>
  <c r="BB186" i="132" s="1"/>
  <c r="BB335" i="132"/>
  <c r="BC335" i="132" s="1"/>
  <c r="BA336" i="132"/>
  <c r="BB336" i="132" s="1"/>
  <c r="BB250" i="132"/>
  <c r="BC250" i="132" s="1"/>
  <c r="BA251" i="132"/>
  <c r="BB251" i="132" s="1"/>
  <c r="BB155" i="132"/>
  <c r="BC155" i="132" s="1"/>
  <c r="BA156" i="132"/>
  <c r="BB156" i="132" s="1"/>
  <c r="P401" i="105"/>
  <c r="N399" i="105"/>
  <c r="O400" i="105"/>
  <c r="Q402" i="105"/>
  <c r="BA316" i="132"/>
  <c r="BB316" i="132" s="1"/>
  <c r="BB315" i="132"/>
  <c r="BC315" i="132" s="1"/>
  <c r="BA181" i="132"/>
  <c r="BB181" i="132" s="1"/>
  <c r="BB180" i="132"/>
  <c r="BC180" i="132" s="1"/>
  <c r="J236" i="107"/>
  <c r="F462" i="105"/>
  <c r="F461" i="105" s="1"/>
  <c r="F450" i="105" s="1"/>
  <c r="I36" i="219"/>
  <c r="AY162" i="132"/>
  <c r="AY163" i="132" s="1"/>
  <c r="AY352" i="132"/>
  <c r="AY353" i="132" s="1"/>
  <c r="AY332" i="132"/>
  <c r="AY333" i="132" s="1"/>
  <c r="AY322" i="132"/>
  <c r="AY323" i="132" s="1"/>
  <c r="CZ302" i="132"/>
  <c r="CZ292" i="132"/>
  <c r="CZ272" i="132"/>
  <c r="CZ262" i="132"/>
  <c r="CZ242" i="132"/>
  <c r="CZ232" i="132"/>
  <c r="CZ212" i="132"/>
  <c r="CZ202" i="132"/>
  <c r="CZ192" i="132"/>
  <c r="CZ172" i="132"/>
  <c r="CZ167" i="132"/>
  <c r="CZ362" i="132"/>
  <c r="CZ347" i="132"/>
  <c r="O203" i="133"/>
  <c r="O205" i="133" s="1"/>
  <c r="L256" i="107"/>
  <c r="J127" i="133"/>
  <c r="J129" i="133" s="1"/>
  <c r="I489" i="105" s="1"/>
  <c r="I488" i="105" s="1"/>
  <c r="Q199" i="133"/>
  <c r="Q201" i="133" s="1"/>
  <c r="R198" i="133"/>
  <c r="R199" i="133" s="1"/>
  <c r="R201" i="133" s="1"/>
  <c r="P201" i="133"/>
  <c r="BA161" i="132"/>
  <c r="BB161" i="132" s="1"/>
  <c r="BB160" i="132"/>
  <c r="BC160" i="132" s="1"/>
  <c r="M240" i="133"/>
  <c r="M221" i="133"/>
  <c r="M241" i="133"/>
  <c r="L252" i="133" s="1"/>
  <c r="M243" i="133"/>
  <c r="DB352" i="132"/>
  <c r="BA352" i="132"/>
  <c r="BA353" i="132" s="1"/>
  <c r="DB322" i="132"/>
  <c r="BA322" i="132"/>
  <c r="BA323" i="132" s="1"/>
  <c r="BA302" i="132"/>
  <c r="BA303" i="132" s="1"/>
  <c r="DB302" i="132"/>
  <c r="BA292" i="132"/>
  <c r="BA293" i="132" s="1"/>
  <c r="DB292" i="132"/>
  <c r="BA272" i="132"/>
  <c r="BA273" i="132" s="1"/>
  <c r="DB272" i="132"/>
  <c r="BA262" i="132"/>
  <c r="BA263" i="132" s="1"/>
  <c r="DB262" i="132"/>
  <c r="BA242" i="132"/>
  <c r="BA243" i="132" s="1"/>
  <c r="DB242" i="132"/>
  <c r="BA232" i="132"/>
  <c r="BA233" i="132" s="1"/>
  <c r="DB232" i="132"/>
  <c r="BA212" i="132"/>
  <c r="BA213" i="132" s="1"/>
  <c r="DB212" i="132"/>
  <c r="BA202" i="132"/>
  <c r="BA203" i="132" s="1"/>
  <c r="DB202" i="132"/>
  <c r="BA192" i="132"/>
  <c r="BA193" i="132" s="1"/>
  <c r="DB192" i="132"/>
  <c r="BA172" i="132"/>
  <c r="BA173" i="132" s="1"/>
  <c r="DB172" i="132"/>
  <c r="BA167" i="132"/>
  <c r="BA168" i="132" s="1"/>
  <c r="DB167" i="132"/>
  <c r="K18" i="105"/>
  <c r="K19" i="105" s="1"/>
  <c r="N94" i="107"/>
  <c r="BA361" i="132"/>
  <c r="BB361" i="132" s="1"/>
  <c r="BB360" i="132"/>
  <c r="BC360" i="132" s="1"/>
  <c r="BA346" i="132"/>
  <c r="BB346" i="132" s="1"/>
  <c r="BB345" i="132"/>
  <c r="BC345" i="132" s="1"/>
  <c r="E463" i="105"/>
  <c r="DB357" i="132"/>
  <c r="BA357" i="132"/>
  <c r="BA358" i="132" s="1"/>
  <c r="DB327" i="132"/>
  <c r="BA327" i="132"/>
  <c r="BA328" i="132" s="1"/>
  <c r="DB342" i="132"/>
  <c r="BA342" i="132"/>
  <c r="BA343" i="132" s="1"/>
  <c r="BA287" i="132"/>
  <c r="BA288" i="132" s="1"/>
  <c r="BA197" i="132"/>
  <c r="BA198" i="132" s="1"/>
  <c r="DB197" i="132"/>
  <c r="BA267" i="132"/>
  <c r="BA268" i="132" s="1"/>
  <c r="BA207" i="132"/>
  <c r="BA208" i="132" s="1"/>
  <c r="DB207" i="132"/>
  <c r="BA307" i="132"/>
  <c r="BA308" i="132" s="1"/>
  <c r="BA247" i="132"/>
  <c r="BA248" i="132" s="1"/>
  <c r="DB248" i="132"/>
  <c r="BA187" i="132"/>
  <c r="BA188" i="132" s="1"/>
  <c r="BA337" i="132"/>
  <c r="BA338" i="132" s="1"/>
  <c r="DB337" i="132"/>
  <c r="BA252" i="132"/>
  <c r="BA253" i="132" s="1"/>
  <c r="BA157" i="132"/>
  <c r="BA158" i="132" s="1"/>
  <c r="DB157" i="132"/>
  <c r="M391" i="105"/>
  <c r="M86" i="105" s="1"/>
  <c r="I498" i="105" s="1"/>
  <c r="N389" i="105"/>
  <c r="N405" i="105"/>
  <c r="L79" i="133"/>
  <c r="L114" i="133" s="1"/>
  <c r="N278" i="107" s="1"/>
  <c r="K68" i="105"/>
  <c r="DB317" i="132"/>
  <c r="BA317" i="132"/>
  <c r="BA318" i="132" s="1"/>
  <c r="DB182" i="132"/>
  <c r="BA182" i="132"/>
  <c r="BA183" i="132" s="1"/>
  <c r="BB255" i="132"/>
  <c r="BC255" i="132" s="1"/>
  <c r="BA256" i="132"/>
  <c r="BB256" i="132" s="1"/>
  <c r="BB225" i="132"/>
  <c r="BC225" i="132" s="1"/>
  <c r="BA226" i="132"/>
  <c r="BB226" i="132" s="1"/>
  <c r="BB295" i="132"/>
  <c r="BC295" i="132" s="1"/>
  <c r="BA296" i="132"/>
  <c r="BB296" i="132" s="1"/>
  <c r="BB235" i="132"/>
  <c r="BC235" i="132" s="1"/>
  <c r="BA236" i="132"/>
  <c r="BB236" i="132" s="1"/>
  <c r="BB175" i="132"/>
  <c r="BC175" i="132" s="1"/>
  <c r="BA176" i="132"/>
  <c r="BB176" i="132" s="1"/>
  <c r="BB275" i="132"/>
  <c r="BC275" i="132" s="1"/>
  <c r="BA276" i="132"/>
  <c r="BB276" i="132" s="1"/>
  <c r="BB215" i="132"/>
  <c r="BC215" i="132" s="1"/>
  <c r="BA216" i="132"/>
  <c r="BB216" i="132" s="1"/>
  <c r="BB310" i="132"/>
  <c r="BC310" i="132" s="1"/>
  <c r="BA311" i="132"/>
  <c r="BB311" i="132" s="1"/>
  <c r="BB280" i="132"/>
  <c r="BC280" i="132" s="1"/>
  <c r="BA281" i="132"/>
  <c r="BB281" i="132" s="1"/>
  <c r="BB220" i="132"/>
  <c r="BC220" i="132" s="1"/>
  <c r="BA221" i="132"/>
  <c r="BB221" i="132" s="1"/>
  <c r="J27" i="219"/>
  <c r="K285" i="107"/>
  <c r="J287" i="107"/>
  <c r="J31" i="219"/>
  <c r="AW368" i="132"/>
  <c r="AW370" i="132" s="1"/>
  <c r="M234" i="133"/>
  <c r="M235" i="133" s="1"/>
  <c r="CZ163" i="132"/>
  <c r="CZ352" i="132"/>
  <c r="CZ333" i="132"/>
  <c r="CZ322" i="132"/>
  <c r="AY302" i="132"/>
  <c r="AY303" i="132" s="1"/>
  <c r="AY292" i="132"/>
  <c r="AY293" i="132" s="1"/>
  <c r="AY272" i="132"/>
  <c r="AY273" i="132" s="1"/>
  <c r="AY262" i="132"/>
  <c r="AY263" i="132" s="1"/>
  <c r="AY242" i="132"/>
  <c r="AY243" i="132" s="1"/>
  <c r="AY232" i="132"/>
  <c r="AY233" i="132" s="1"/>
  <c r="AY212" i="132"/>
  <c r="AY213" i="132" s="1"/>
  <c r="AY202" i="132"/>
  <c r="AY203" i="132" s="1"/>
  <c r="AY192" i="132"/>
  <c r="AY193" i="132" s="1"/>
  <c r="AY172" i="132"/>
  <c r="AY173" i="132" s="1"/>
  <c r="AY167" i="132"/>
  <c r="AY168" i="132" s="1"/>
  <c r="AY362" i="132"/>
  <c r="AY363" i="132" s="1"/>
  <c r="AY347" i="132"/>
  <c r="AY348" i="132" s="1"/>
  <c r="BA332" i="132" l="1"/>
  <c r="BA333" i="132" s="1"/>
  <c r="DB252" i="132"/>
  <c r="DB187" i="132"/>
  <c r="DB307" i="132"/>
  <c r="DB267" i="132"/>
  <c r="DB287" i="132"/>
  <c r="DB333" i="132"/>
  <c r="AY369" i="132"/>
  <c r="W199" i="133"/>
  <c r="N118" i="105"/>
  <c r="K61" i="133" s="1"/>
  <c r="AY368" i="132"/>
  <c r="G462" i="105"/>
  <c r="G461" i="105" s="1"/>
  <c r="G450" i="105" s="1"/>
  <c r="J36" i="219"/>
  <c r="K236" i="107"/>
  <c r="BD310" i="132"/>
  <c r="BE310" i="132" s="1"/>
  <c r="BC311" i="132"/>
  <c r="BD311" i="132" s="1"/>
  <c r="BD275" i="132"/>
  <c r="BE275" i="132" s="1"/>
  <c r="BC276" i="132"/>
  <c r="BD276" i="132" s="1"/>
  <c r="BD235" i="132"/>
  <c r="BE235" i="132" s="1"/>
  <c r="BC236" i="132"/>
  <c r="BD236" i="132" s="1"/>
  <c r="BD295" i="132"/>
  <c r="BE295" i="132" s="1"/>
  <c r="BC296" i="132"/>
  <c r="BD296" i="132" s="1"/>
  <c r="BD255" i="132"/>
  <c r="BE255" i="132" s="1"/>
  <c r="BC256" i="132"/>
  <c r="BD256" i="132" s="1"/>
  <c r="N24" i="219"/>
  <c r="N412" i="105"/>
  <c r="K154" i="133" s="1"/>
  <c r="K152" i="133"/>
  <c r="N84" i="105"/>
  <c r="BD160" i="132"/>
  <c r="BE160" i="132" s="1"/>
  <c r="BC161" i="132"/>
  <c r="BD161" i="132" s="1"/>
  <c r="F463" i="105"/>
  <c r="BD180" i="132"/>
  <c r="BE180" i="132" s="1"/>
  <c r="BC181" i="132"/>
  <c r="BD181" i="132" s="1"/>
  <c r="BD315" i="132"/>
  <c r="BE315" i="132" s="1"/>
  <c r="BC316" i="132"/>
  <c r="BD316" i="132" s="1"/>
  <c r="BD155" i="132"/>
  <c r="BE155" i="132" s="1"/>
  <c r="BC156" i="132"/>
  <c r="BD156" i="132" s="1"/>
  <c r="BD250" i="132"/>
  <c r="BE250" i="132" s="1"/>
  <c r="BC251" i="132"/>
  <c r="BD251" i="132" s="1"/>
  <c r="BD335" i="132"/>
  <c r="BE335" i="132" s="1"/>
  <c r="BC336" i="132"/>
  <c r="BD336" i="132" s="1"/>
  <c r="BD185" i="132"/>
  <c r="BE185" i="132" s="1"/>
  <c r="BC186" i="132"/>
  <c r="BD186" i="132" s="1"/>
  <c r="BD245" i="132"/>
  <c r="BE245" i="132" s="1"/>
  <c r="BC246" i="132"/>
  <c r="BD246" i="132" s="1"/>
  <c r="BD305" i="132"/>
  <c r="BE305" i="132" s="1"/>
  <c r="BC306" i="132"/>
  <c r="BD306" i="132" s="1"/>
  <c r="BD205" i="132"/>
  <c r="BE205" i="132" s="1"/>
  <c r="BC206" i="132"/>
  <c r="BD206" i="132" s="1"/>
  <c r="BD265" i="132"/>
  <c r="BE265" i="132" s="1"/>
  <c r="BC266" i="132"/>
  <c r="BD266" i="132" s="1"/>
  <c r="BD195" i="132"/>
  <c r="BE195" i="132" s="1"/>
  <c r="BC196" i="132"/>
  <c r="BD196" i="132" s="1"/>
  <c r="BD285" i="132"/>
  <c r="BE285" i="132" s="1"/>
  <c r="BC286" i="132"/>
  <c r="BD286" i="132" s="1"/>
  <c r="N204" i="133"/>
  <c r="N80" i="105"/>
  <c r="L6" i="219"/>
  <c r="N388" i="105"/>
  <c r="BD165" i="132"/>
  <c r="BE165" i="132" s="1"/>
  <c r="BC166" i="132"/>
  <c r="BD166" i="132" s="1"/>
  <c r="BD170" i="132"/>
  <c r="BE170" i="132" s="1"/>
  <c r="BC171" i="132"/>
  <c r="BD171" i="132" s="1"/>
  <c r="BD190" i="132"/>
  <c r="BE190" i="132" s="1"/>
  <c r="BC191" i="132"/>
  <c r="BD191" i="132" s="1"/>
  <c r="BD200" i="132"/>
  <c r="BE200" i="132" s="1"/>
  <c r="BC201" i="132"/>
  <c r="BD201" i="132" s="1"/>
  <c r="BD210" i="132"/>
  <c r="BE210" i="132" s="1"/>
  <c r="BC211" i="132"/>
  <c r="BD211" i="132" s="1"/>
  <c r="BD230" i="132"/>
  <c r="BE230" i="132" s="1"/>
  <c r="BC231" i="132"/>
  <c r="BD231" i="132" s="1"/>
  <c r="BD240" i="132"/>
  <c r="BE240" i="132" s="1"/>
  <c r="BC241" i="132"/>
  <c r="BD241" i="132" s="1"/>
  <c r="BD260" i="132"/>
  <c r="BE260" i="132" s="1"/>
  <c r="BC261" i="132"/>
  <c r="BD261" i="132" s="1"/>
  <c r="BD270" i="132"/>
  <c r="BE270" i="132" s="1"/>
  <c r="BC271" i="132"/>
  <c r="BD271" i="132" s="1"/>
  <c r="BD290" i="132"/>
  <c r="BE290" i="132" s="1"/>
  <c r="BC291" i="132"/>
  <c r="BD291" i="132" s="1"/>
  <c r="BD300" i="132"/>
  <c r="BE300" i="132" s="1"/>
  <c r="BC301" i="132"/>
  <c r="BD301" i="132" s="1"/>
  <c r="P196" i="105"/>
  <c r="O223" i="107"/>
  <c r="O32" i="214" s="1"/>
  <c r="O33" i="214" s="1"/>
  <c r="O77" i="214" s="1"/>
  <c r="O7" i="214" s="1"/>
  <c r="L58" i="105"/>
  <c r="L60" i="105" s="1"/>
  <c r="O137" i="107"/>
  <c r="L520" i="105"/>
  <c r="O144" i="107"/>
  <c r="DB222" i="132"/>
  <c r="DB282" i="132"/>
  <c r="DB312" i="132"/>
  <c r="DB217" i="132"/>
  <c r="DB277" i="132"/>
  <c r="DB177" i="132"/>
  <c r="DB237" i="132"/>
  <c r="DB297" i="132"/>
  <c r="DB227" i="132"/>
  <c r="DB257" i="132"/>
  <c r="DB347" i="132"/>
  <c r="BA362" i="132"/>
  <c r="BA363" i="132" s="1"/>
  <c r="DB163" i="132"/>
  <c r="BD220" i="132"/>
  <c r="BE220" i="132" s="1"/>
  <c r="BC221" i="132"/>
  <c r="BD221" i="132" s="1"/>
  <c r="BD280" i="132"/>
  <c r="BE280" i="132" s="1"/>
  <c r="BC281" i="132"/>
  <c r="BD281" i="132" s="1"/>
  <c r="BD215" i="132"/>
  <c r="BE215" i="132" s="1"/>
  <c r="BC216" i="132"/>
  <c r="BD216" i="132" s="1"/>
  <c r="BD175" i="132"/>
  <c r="BE175" i="132" s="1"/>
  <c r="BC176" i="132"/>
  <c r="BD176" i="132" s="1"/>
  <c r="BD225" i="132"/>
  <c r="BE225" i="132" s="1"/>
  <c r="BC226" i="132"/>
  <c r="BD226" i="132" s="1"/>
  <c r="K27" i="219"/>
  <c r="K287" i="107"/>
  <c r="K31" i="219"/>
  <c r="BC222" i="132"/>
  <c r="BC223" i="132" s="1"/>
  <c r="DD312" i="132"/>
  <c r="BC312" i="132"/>
  <c r="BC313" i="132" s="1"/>
  <c r="BC217" i="132"/>
  <c r="BC218" i="132" s="1"/>
  <c r="BC177" i="132"/>
  <c r="BC178" i="132" s="1"/>
  <c r="DD237" i="132"/>
  <c r="BC237" i="132"/>
  <c r="BC238" i="132" s="1"/>
  <c r="BC297" i="132"/>
  <c r="BC298" i="132" s="1"/>
  <c r="DD257" i="132"/>
  <c r="BC257" i="132"/>
  <c r="BC258" i="132" s="1"/>
  <c r="BD345" i="132"/>
  <c r="BE345" i="132" s="1"/>
  <c r="BC346" i="132"/>
  <c r="BD346" i="132" s="1"/>
  <c r="BD360" i="132"/>
  <c r="BE360" i="132" s="1"/>
  <c r="BC361" i="132"/>
  <c r="BD361" i="132" s="1"/>
  <c r="K20" i="105"/>
  <c r="M25" i="162"/>
  <c r="M26" i="162" s="1"/>
  <c r="DD163" i="132"/>
  <c r="P202" i="133"/>
  <c r="W201" i="133"/>
  <c r="M219" i="133"/>
  <c r="L14" i="219"/>
  <c r="L253" i="107"/>
  <c r="O206" i="133"/>
  <c r="BC182" i="132"/>
  <c r="BC183" i="132" s="1"/>
  <c r="DD182" i="132"/>
  <c r="BC317" i="132"/>
  <c r="BC318" i="132" s="1"/>
  <c r="DD317" i="132"/>
  <c r="N404" i="105"/>
  <c r="DD157" i="132"/>
  <c r="BC157" i="132"/>
  <c r="BC158" i="132" s="1"/>
  <c r="DD252" i="132"/>
  <c r="BC252" i="132"/>
  <c r="BC253" i="132" s="1"/>
  <c r="DD337" i="132"/>
  <c r="BC337" i="132"/>
  <c r="BC338" i="132" s="1"/>
  <c r="DD187" i="132"/>
  <c r="BC187" i="132"/>
  <c r="BC188" i="132" s="1"/>
  <c r="DD248" i="132"/>
  <c r="BC247" i="132"/>
  <c r="BC248" i="132" s="1"/>
  <c r="DD307" i="132"/>
  <c r="BC307" i="132"/>
  <c r="BC308" i="132" s="1"/>
  <c r="DD207" i="132"/>
  <c r="BC207" i="132"/>
  <c r="BC208" i="132" s="1"/>
  <c r="DD267" i="132"/>
  <c r="BC267" i="132"/>
  <c r="BC268" i="132" s="1"/>
  <c r="DD197" i="132"/>
  <c r="BC197" i="132"/>
  <c r="BC198" i="132" s="1"/>
  <c r="DD287" i="132"/>
  <c r="BC287" i="132"/>
  <c r="BC288" i="132" s="1"/>
  <c r="M66" i="138"/>
  <c r="M67" i="138" s="1"/>
  <c r="M19" i="138" s="1"/>
  <c r="P139" i="107" s="1"/>
  <c r="L256" i="133"/>
  <c r="N242" i="133"/>
  <c r="BD340" i="132"/>
  <c r="BE340" i="132" s="1"/>
  <c r="BC341" i="132"/>
  <c r="BD341" i="132" s="1"/>
  <c r="BD325" i="132"/>
  <c r="BE325" i="132" s="1"/>
  <c r="BC326" i="132"/>
  <c r="BD326" i="132" s="1"/>
  <c r="BD355" i="132"/>
  <c r="BE355" i="132" s="1"/>
  <c r="BC356" i="132"/>
  <c r="BD356" i="132" s="1"/>
  <c r="DD167" i="132"/>
  <c r="BC167" i="132"/>
  <c r="BC168" i="132" s="1"/>
  <c r="DD172" i="132"/>
  <c r="BC172" i="132"/>
  <c r="BC173" i="132" s="1"/>
  <c r="DD192" i="132"/>
  <c r="BC192" i="132"/>
  <c r="BC193" i="132" s="1"/>
  <c r="DD202" i="132"/>
  <c r="BC202" i="132"/>
  <c r="BC203" i="132" s="1"/>
  <c r="DD212" i="132"/>
  <c r="BC212" i="132"/>
  <c r="BC213" i="132" s="1"/>
  <c r="DD232" i="132"/>
  <c r="BC232" i="132"/>
  <c r="BC233" i="132" s="1"/>
  <c r="DD242" i="132"/>
  <c r="BC242" i="132"/>
  <c r="BC243" i="132" s="1"/>
  <c r="DD262" i="132"/>
  <c r="BC262" i="132"/>
  <c r="BC263" i="132" s="1"/>
  <c r="DD272" i="132"/>
  <c r="BC272" i="132"/>
  <c r="BC273" i="132" s="1"/>
  <c r="DD292" i="132"/>
  <c r="BC292" i="132"/>
  <c r="BC293" i="132" s="1"/>
  <c r="DD302" i="132"/>
  <c r="BC302" i="132"/>
  <c r="BC303" i="132" s="1"/>
  <c r="BD320" i="132"/>
  <c r="BE320" i="132" s="1"/>
  <c r="BC321" i="132"/>
  <c r="BD321" i="132" s="1"/>
  <c r="BD330" i="132"/>
  <c r="BE330" i="132" s="1"/>
  <c r="BC331" i="132"/>
  <c r="BD331" i="132" s="1"/>
  <c r="BD350" i="132"/>
  <c r="BE350" i="132" s="1"/>
  <c r="BC351" i="132"/>
  <c r="BD351" i="132" s="1"/>
  <c r="Q202" i="133"/>
  <c r="Q203" i="133" s="1"/>
  <c r="Q205" i="133" s="1"/>
  <c r="BA222" i="132"/>
  <c r="BA223" i="132" s="1"/>
  <c r="BA282" i="132"/>
  <c r="BA283" i="132" s="1"/>
  <c r="BA312" i="132"/>
  <c r="BA313" i="132" s="1"/>
  <c r="BA217" i="132"/>
  <c r="BA218" i="132" s="1"/>
  <c r="BA277" i="132"/>
  <c r="BA278" i="132" s="1"/>
  <c r="BA177" i="132"/>
  <c r="BA178" i="132" s="1"/>
  <c r="BA237" i="132"/>
  <c r="BA238" i="132" s="1"/>
  <c r="BA297" i="132"/>
  <c r="BA298" i="132" s="1"/>
  <c r="BA227" i="132"/>
  <c r="BA228" i="132" s="1"/>
  <c r="BA257" i="132"/>
  <c r="BA258" i="132" s="1"/>
  <c r="BA347" i="132"/>
  <c r="BA348" i="132" s="1"/>
  <c r="DB362" i="132"/>
  <c r="BA162" i="132"/>
  <c r="BA163" i="132" s="1"/>
  <c r="N206" i="105" l="1"/>
  <c r="N361" i="105" s="1"/>
  <c r="BC227" i="132"/>
  <c r="BC228" i="132" s="1"/>
  <c r="BC277" i="132"/>
  <c r="BC278" i="132" s="1"/>
  <c r="DD227" i="132"/>
  <c r="DD277" i="132"/>
  <c r="BC282" i="132"/>
  <c r="BC283" i="132" s="1"/>
  <c r="AY370" i="132"/>
  <c r="BA369" i="132"/>
  <c r="BC162" i="132"/>
  <c r="BC163" i="132" s="1"/>
  <c r="DD297" i="132"/>
  <c r="DD177" i="132"/>
  <c r="DD217" i="132"/>
  <c r="DD282" i="132"/>
  <c r="BF350" i="132"/>
  <c r="BG350" i="132" s="1"/>
  <c r="BG351" i="132" s="1"/>
  <c r="BE351" i="132"/>
  <c r="BF351" i="132" s="1"/>
  <c r="BF330" i="132"/>
  <c r="BG330" i="132" s="1"/>
  <c r="BG331" i="132" s="1"/>
  <c r="BE331" i="132"/>
  <c r="BF331" i="132" s="1"/>
  <c r="BF320" i="132"/>
  <c r="BG320" i="132" s="1"/>
  <c r="BG321" i="132" s="1"/>
  <c r="BE321" i="132"/>
  <c r="BF321" i="132" s="1"/>
  <c r="K96" i="133"/>
  <c r="K92" i="133"/>
  <c r="BF355" i="132"/>
  <c r="BG355" i="132" s="1"/>
  <c r="BG356" i="132" s="1"/>
  <c r="BE356" i="132"/>
  <c r="BF356" i="132" s="1"/>
  <c r="BF325" i="132"/>
  <c r="BG325" i="132" s="1"/>
  <c r="BG326" i="132" s="1"/>
  <c r="BE326" i="132"/>
  <c r="BF326" i="132" s="1"/>
  <c r="BE341" i="132"/>
  <c r="BF341" i="132" s="1"/>
  <c r="BF340" i="132"/>
  <c r="BG340" i="132" s="1"/>
  <c r="BG341" i="132" s="1"/>
  <c r="L252" i="107"/>
  <c r="M220" i="133"/>
  <c r="L255" i="133"/>
  <c r="L435" i="107" s="1"/>
  <c r="L254" i="133" s="1"/>
  <c r="M224" i="133"/>
  <c r="M222" i="133" s="1"/>
  <c r="P203" i="133"/>
  <c r="O115" i="105"/>
  <c r="N95" i="107"/>
  <c r="N213" i="105" s="1"/>
  <c r="K21" i="105"/>
  <c r="BF360" i="132"/>
  <c r="BG360" i="132" s="1"/>
  <c r="BG361" i="132" s="1"/>
  <c r="BE361" i="132"/>
  <c r="BF361" i="132" s="1"/>
  <c r="BF345" i="132"/>
  <c r="BG345" i="132" s="1"/>
  <c r="BG346" i="132" s="1"/>
  <c r="BE346" i="132"/>
  <c r="BF346" i="132" s="1"/>
  <c r="L236" i="107"/>
  <c r="H462" i="105"/>
  <c r="H461" i="105" s="1"/>
  <c r="H450" i="105" s="1"/>
  <c r="K36" i="219"/>
  <c r="BE226" i="132"/>
  <c r="BF226" i="132" s="1"/>
  <c r="BF225" i="132"/>
  <c r="BG225" i="132" s="1"/>
  <c r="BG226" i="132" s="1"/>
  <c r="BE176" i="132"/>
  <c r="BF176" i="132" s="1"/>
  <c r="BF175" i="132"/>
  <c r="BG175" i="132" s="1"/>
  <c r="BG176" i="132" s="1"/>
  <c r="BE216" i="132"/>
  <c r="BF216" i="132" s="1"/>
  <c r="BF215" i="132"/>
  <c r="BG215" i="132" s="1"/>
  <c r="BG216" i="132" s="1"/>
  <c r="BE281" i="132"/>
  <c r="BF281" i="132" s="1"/>
  <c r="BF280" i="132"/>
  <c r="BG280" i="132" s="1"/>
  <c r="BG281" i="132" s="1"/>
  <c r="BE221" i="132"/>
  <c r="BF221" i="132" s="1"/>
  <c r="BF220" i="132"/>
  <c r="BG220" i="132" s="1"/>
  <c r="BG221" i="132" s="1"/>
  <c r="L521" i="105"/>
  <c r="O225" i="107"/>
  <c r="O34" i="214" s="1"/>
  <c r="L54" i="105"/>
  <c r="L67" i="105" s="1"/>
  <c r="L61" i="105"/>
  <c r="P197" i="105"/>
  <c r="P198" i="105" s="1"/>
  <c r="BE301" i="132"/>
  <c r="BF301" i="132" s="1"/>
  <c r="BF300" i="132"/>
  <c r="BG300" i="132" s="1"/>
  <c r="BG301" i="132" s="1"/>
  <c r="BE291" i="132"/>
  <c r="BF291" i="132" s="1"/>
  <c r="BF290" i="132"/>
  <c r="BG290" i="132" s="1"/>
  <c r="BG291" i="132" s="1"/>
  <c r="BE271" i="132"/>
  <c r="BF271" i="132" s="1"/>
  <c r="BF270" i="132"/>
  <c r="BG270" i="132" s="1"/>
  <c r="BG271" i="132" s="1"/>
  <c r="BE261" i="132"/>
  <c r="BF261" i="132" s="1"/>
  <c r="BF260" i="132"/>
  <c r="BG260" i="132" s="1"/>
  <c r="BG261" i="132" s="1"/>
  <c r="BE241" i="132"/>
  <c r="BF241" i="132" s="1"/>
  <c r="BF240" i="132"/>
  <c r="BG240" i="132" s="1"/>
  <c r="BG241" i="132" s="1"/>
  <c r="BE231" i="132"/>
  <c r="BF231" i="132" s="1"/>
  <c r="BF230" i="132"/>
  <c r="BG230" i="132" s="1"/>
  <c r="BG231" i="132" s="1"/>
  <c r="BE211" i="132"/>
  <c r="BF211" i="132" s="1"/>
  <c r="BF210" i="132"/>
  <c r="BG210" i="132" s="1"/>
  <c r="BG211" i="132" s="1"/>
  <c r="BE201" i="132"/>
  <c r="BF201" i="132" s="1"/>
  <c r="BF200" i="132"/>
  <c r="BG200" i="132" s="1"/>
  <c r="BG201" i="132" s="1"/>
  <c r="BE191" i="132"/>
  <c r="BF191" i="132" s="1"/>
  <c r="BF190" i="132"/>
  <c r="BG190" i="132" s="1"/>
  <c r="BG191" i="132" s="1"/>
  <c r="BE171" i="132"/>
  <c r="BF171" i="132" s="1"/>
  <c r="BF170" i="132"/>
  <c r="BG170" i="132" s="1"/>
  <c r="BG171" i="132" s="1"/>
  <c r="BE166" i="132"/>
  <c r="BF166" i="132" s="1"/>
  <c r="BF165" i="132"/>
  <c r="BG165" i="132" s="1"/>
  <c r="BG166" i="132" s="1"/>
  <c r="K151" i="133"/>
  <c r="M250" i="107" s="1"/>
  <c r="N83" i="105"/>
  <c r="N229" i="133"/>
  <c r="W204" i="133"/>
  <c r="DD222" i="132"/>
  <c r="BA368" i="132"/>
  <c r="BA370" i="132" s="1"/>
  <c r="R202" i="133"/>
  <c r="BC352" i="132"/>
  <c r="BC353" i="132" s="1"/>
  <c r="BC332" i="132"/>
  <c r="BC333" i="132" s="1"/>
  <c r="BC322" i="132"/>
  <c r="BC323" i="132" s="1"/>
  <c r="DD357" i="132"/>
  <c r="DD327" i="132"/>
  <c r="DD342" i="132"/>
  <c r="DD362" i="132"/>
  <c r="DD347" i="132"/>
  <c r="DF352" i="132"/>
  <c r="BE352" i="132"/>
  <c r="BE353" i="132" s="1"/>
  <c r="DF333" i="132"/>
  <c r="BE332" i="132"/>
  <c r="BE333" i="132" s="1"/>
  <c r="DF322" i="132"/>
  <c r="BE322" i="132"/>
  <c r="BE323" i="132" s="1"/>
  <c r="DF357" i="132"/>
  <c r="BE357" i="132"/>
  <c r="BE358" i="132" s="1"/>
  <c r="DF327" i="132"/>
  <c r="BE327" i="132"/>
  <c r="BE328" i="132" s="1"/>
  <c r="DF342" i="132"/>
  <c r="BE342" i="132"/>
  <c r="BE343" i="132" s="1"/>
  <c r="N411" i="105"/>
  <c r="K153" i="133" s="1"/>
  <c r="O207" i="133"/>
  <c r="O238" i="133"/>
  <c r="O39" i="133" s="1"/>
  <c r="DF362" i="132"/>
  <c r="BE362" i="132"/>
  <c r="BE363" i="132" s="1"/>
  <c r="DF347" i="132"/>
  <c r="BE347" i="132"/>
  <c r="BE348" i="132" s="1"/>
  <c r="BE227" i="132"/>
  <c r="BE228" i="132" s="1"/>
  <c r="DF227" i="132"/>
  <c r="BE177" i="132"/>
  <c r="BE178" i="132" s="1"/>
  <c r="DF177" i="132"/>
  <c r="BE217" i="132"/>
  <c r="BE218" i="132" s="1"/>
  <c r="DF217" i="132"/>
  <c r="BE282" i="132"/>
  <c r="BE283" i="132" s="1"/>
  <c r="DF282" i="132"/>
  <c r="BE222" i="132"/>
  <c r="BE223" i="132" s="1"/>
  <c r="DF222" i="132"/>
  <c r="O656" i="107"/>
  <c r="O649" i="107"/>
  <c r="O650" i="107" s="1"/>
  <c r="BE302" i="132"/>
  <c r="BE303" i="132" s="1"/>
  <c r="DF302" i="132"/>
  <c r="BE292" i="132"/>
  <c r="BE293" i="132" s="1"/>
  <c r="DF292" i="132"/>
  <c r="BE272" i="132"/>
  <c r="BE273" i="132" s="1"/>
  <c r="DF272" i="132"/>
  <c r="BE262" i="132"/>
  <c r="BE263" i="132" s="1"/>
  <c r="DF262" i="132"/>
  <c r="BE242" i="132"/>
  <c r="BE243" i="132" s="1"/>
  <c r="DF242" i="132"/>
  <c r="BE232" i="132"/>
  <c r="BE233" i="132" s="1"/>
  <c r="DF232" i="132"/>
  <c r="BE212" i="132"/>
  <c r="BE213" i="132" s="1"/>
  <c r="DF212" i="132"/>
  <c r="BE202" i="132"/>
  <c r="BE203" i="132" s="1"/>
  <c r="DF202" i="132"/>
  <c r="BE192" i="132"/>
  <c r="BE193" i="132" s="1"/>
  <c r="DF192" i="132"/>
  <c r="BE172" i="132"/>
  <c r="BE173" i="132" s="1"/>
  <c r="DF172" i="132"/>
  <c r="BE167" i="132"/>
  <c r="BE168" i="132" s="1"/>
  <c r="DF167" i="132"/>
  <c r="N371" i="105"/>
  <c r="N370" i="105"/>
  <c r="N395" i="105"/>
  <c r="N408" i="105"/>
  <c r="N383" i="105"/>
  <c r="BE286" i="132"/>
  <c r="BF286" i="132" s="1"/>
  <c r="BF285" i="132"/>
  <c r="BG285" i="132" s="1"/>
  <c r="BG286" i="132" s="1"/>
  <c r="BE196" i="132"/>
  <c r="BF196" i="132" s="1"/>
  <c r="BF195" i="132"/>
  <c r="BG195" i="132" s="1"/>
  <c r="BG196" i="132" s="1"/>
  <c r="BE266" i="132"/>
  <c r="BF266" i="132" s="1"/>
  <c r="BF265" i="132"/>
  <c r="BG265" i="132" s="1"/>
  <c r="BG266" i="132" s="1"/>
  <c r="BE206" i="132"/>
  <c r="BF206" i="132" s="1"/>
  <c r="BF205" i="132"/>
  <c r="BG205" i="132" s="1"/>
  <c r="BG206" i="132" s="1"/>
  <c r="BE306" i="132"/>
  <c r="BF306" i="132" s="1"/>
  <c r="BF305" i="132"/>
  <c r="BG305" i="132" s="1"/>
  <c r="BG306" i="132" s="1"/>
  <c r="BE246" i="132"/>
  <c r="BF246" i="132" s="1"/>
  <c r="BF245" i="132"/>
  <c r="BG245" i="132" s="1"/>
  <c r="BG246" i="132" s="1"/>
  <c r="BE186" i="132"/>
  <c r="BF186" i="132" s="1"/>
  <c r="BF185" i="132"/>
  <c r="BG185" i="132" s="1"/>
  <c r="BG186" i="132" s="1"/>
  <c r="BE336" i="132"/>
  <c r="BF336" i="132" s="1"/>
  <c r="BF335" i="132"/>
  <c r="BG335" i="132" s="1"/>
  <c r="BG336" i="132" s="1"/>
  <c r="BE251" i="132"/>
  <c r="BF251" i="132" s="1"/>
  <c r="BF250" i="132"/>
  <c r="BG250" i="132" s="1"/>
  <c r="BG251" i="132" s="1"/>
  <c r="BE156" i="132"/>
  <c r="BF156" i="132" s="1"/>
  <c r="BF155" i="132"/>
  <c r="BG155" i="132" s="1"/>
  <c r="BG156" i="132" s="1"/>
  <c r="BE316" i="132"/>
  <c r="BF316" i="132" s="1"/>
  <c r="BF315" i="132"/>
  <c r="BG315" i="132" s="1"/>
  <c r="BG316" i="132" s="1"/>
  <c r="BE181" i="132"/>
  <c r="BF181" i="132" s="1"/>
  <c r="BF180" i="132"/>
  <c r="BG180" i="132" s="1"/>
  <c r="BG181" i="132" s="1"/>
  <c r="BE161" i="132"/>
  <c r="BF161" i="132" s="1"/>
  <c r="BF160" i="132"/>
  <c r="BG160" i="132" s="1"/>
  <c r="BG161" i="132" s="1"/>
  <c r="M280" i="107"/>
  <c r="K157" i="133"/>
  <c r="BE256" i="132"/>
  <c r="BF256" i="132" s="1"/>
  <c r="BF255" i="132"/>
  <c r="BG255" i="132" s="1"/>
  <c r="BG256" i="132" s="1"/>
  <c r="BE296" i="132"/>
  <c r="BF296" i="132" s="1"/>
  <c r="BF295" i="132"/>
  <c r="BG295" i="132" s="1"/>
  <c r="BG296" i="132" s="1"/>
  <c r="BE236" i="132"/>
  <c r="BF236" i="132" s="1"/>
  <c r="BF235" i="132"/>
  <c r="BG235" i="132" s="1"/>
  <c r="BG236" i="132" s="1"/>
  <c r="BE276" i="132"/>
  <c r="BF276" i="132" s="1"/>
  <c r="BF275" i="132"/>
  <c r="BG275" i="132" s="1"/>
  <c r="BG276" i="132" s="1"/>
  <c r="BE311" i="132"/>
  <c r="BF311" i="132" s="1"/>
  <c r="BF310" i="132"/>
  <c r="BG310" i="132" s="1"/>
  <c r="BG311" i="132" s="1"/>
  <c r="G463" i="105"/>
  <c r="BC369" i="132"/>
  <c r="DD352" i="132"/>
  <c r="DD333" i="132"/>
  <c r="DD322" i="132"/>
  <c r="BC357" i="132"/>
  <c r="BC358" i="132" s="1"/>
  <c r="BC327" i="132"/>
  <c r="BC328" i="132" s="1"/>
  <c r="BC342" i="132"/>
  <c r="BC343" i="132" s="1"/>
  <c r="BC362" i="132"/>
  <c r="BC363" i="132" s="1"/>
  <c r="BC347" i="132"/>
  <c r="BC348" i="132" s="1"/>
  <c r="N413" i="105" l="1"/>
  <c r="BC368" i="132"/>
  <c r="BC370" i="132" s="1"/>
  <c r="M79" i="133"/>
  <c r="M114" i="133" s="1"/>
  <c r="O278" i="107" s="1"/>
  <c r="M23" i="219"/>
  <c r="M276" i="107"/>
  <c r="BG182" i="132"/>
  <c r="DH182" i="132"/>
  <c r="DH157" i="132"/>
  <c r="BG157" i="132"/>
  <c r="DH312" i="132"/>
  <c r="BG312" i="132"/>
  <c r="DH277" i="132"/>
  <c r="BG277" i="132"/>
  <c r="DH237" i="132"/>
  <c r="BG237" i="132"/>
  <c r="DH297" i="132"/>
  <c r="BG297" i="132"/>
  <c r="DH257" i="132"/>
  <c r="BG257" i="132"/>
  <c r="N414" i="105"/>
  <c r="N415" i="105"/>
  <c r="O409" i="105"/>
  <c r="O379" i="105"/>
  <c r="N380" i="105"/>
  <c r="N66" i="138"/>
  <c r="N67" i="138" s="1"/>
  <c r="N19" i="138" s="1"/>
  <c r="Q139" i="107" s="1"/>
  <c r="M256" i="133"/>
  <c r="O242" i="133"/>
  <c r="R203" i="133"/>
  <c r="R205" i="133" s="1"/>
  <c r="S202" i="133"/>
  <c r="S203" i="133" s="1"/>
  <c r="S205" i="133" s="1"/>
  <c r="DH222" i="132"/>
  <c r="F223" i="132" s="1"/>
  <c r="BG222" i="132"/>
  <c r="DH282" i="132"/>
  <c r="F283" i="132" s="1"/>
  <c r="BG282" i="132"/>
  <c r="DH217" i="132"/>
  <c r="F218" i="132" s="1"/>
  <c r="BG217" i="132"/>
  <c r="DH177" i="132"/>
  <c r="F178" i="132" s="1"/>
  <c r="BG177" i="132"/>
  <c r="DH227" i="132"/>
  <c r="F228" i="132" s="1"/>
  <c r="BG227" i="132"/>
  <c r="H463" i="105"/>
  <c r="BG347" i="132"/>
  <c r="DH347" i="132"/>
  <c r="F348" i="132" s="1"/>
  <c r="BG362" i="132"/>
  <c r="DH362" i="132"/>
  <c r="F363" i="132" s="1"/>
  <c r="L15" i="105"/>
  <c r="N96" i="107"/>
  <c r="K452" i="105"/>
  <c r="K451" i="105" s="1"/>
  <c r="O116" i="105"/>
  <c r="N212" i="105"/>
  <c r="P205" i="133"/>
  <c r="L11" i="219"/>
  <c r="L283" i="107"/>
  <c r="BG327" i="132"/>
  <c r="DH327" i="132"/>
  <c r="F328" i="132" s="1"/>
  <c r="BG357" i="132"/>
  <c r="DH357" i="132"/>
  <c r="F358" i="132" s="1"/>
  <c r="BG322" i="132"/>
  <c r="DH322" i="132"/>
  <c r="F323" i="132" s="1"/>
  <c r="BG332" i="132"/>
  <c r="DH333" i="132"/>
  <c r="F333" i="132" s="1"/>
  <c r="BG352" i="132"/>
  <c r="DH352" i="132"/>
  <c r="F353" i="132" s="1"/>
  <c r="DF312" i="132"/>
  <c r="DF277" i="132"/>
  <c r="DF237" i="132"/>
  <c r="DF297" i="132"/>
  <c r="DF257" i="132"/>
  <c r="BE162" i="132"/>
  <c r="BE163" i="132" s="1"/>
  <c r="BE182" i="132"/>
  <c r="BE183" i="132" s="1"/>
  <c r="BE317" i="132"/>
  <c r="BE318" i="132" s="1"/>
  <c r="DF157" i="132"/>
  <c r="DF252" i="132"/>
  <c r="DF337" i="132"/>
  <c r="DF187" i="132"/>
  <c r="DF248" i="132"/>
  <c r="DF307" i="132"/>
  <c r="DF207" i="132"/>
  <c r="DF267" i="132"/>
  <c r="DF197" i="132"/>
  <c r="DF287" i="132"/>
  <c r="BG162" i="132"/>
  <c r="DH163" i="132"/>
  <c r="BG317" i="132"/>
  <c r="DH317" i="132"/>
  <c r="DH252" i="132"/>
  <c r="F253" i="132" s="1"/>
  <c r="BG252" i="132"/>
  <c r="DH337" i="132"/>
  <c r="BG337" i="132"/>
  <c r="DH187" i="132"/>
  <c r="F188" i="132" s="1"/>
  <c r="BG187" i="132"/>
  <c r="DH248" i="132"/>
  <c r="BG247" i="132"/>
  <c r="DH307" i="132"/>
  <c r="F308" i="132" s="1"/>
  <c r="BG307" i="132"/>
  <c r="DH207" i="132"/>
  <c r="F208" i="132" s="1"/>
  <c r="BG207" i="132"/>
  <c r="DH267" i="132"/>
  <c r="F268" i="132" s="1"/>
  <c r="BG267" i="132"/>
  <c r="DH197" i="132"/>
  <c r="BG197" i="132"/>
  <c r="DH287" i="132"/>
  <c r="F288" i="132" s="1"/>
  <c r="BG287" i="132"/>
  <c r="O384" i="105"/>
  <c r="N386" i="105"/>
  <c r="N385" i="105"/>
  <c r="O372" i="105"/>
  <c r="P373" i="105"/>
  <c r="R375" i="105"/>
  <c r="Q374" i="105"/>
  <c r="N378" i="105"/>
  <c r="N390" i="105" s="1"/>
  <c r="N85" i="105" s="1"/>
  <c r="J458" i="105" s="1"/>
  <c r="J457" i="105" s="1"/>
  <c r="J453" i="105" s="1"/>
  <c r="O208" i="133"/>
  <c r="P240" i="107"/>
  <c r="P239" i="107" s="1"/>
  <c r="N38" i="133"/>
  <c r="N230" i="133"/>
  <c r="N231" i="133"/>
  <c r="M244" i="107"/>
  <c r="DH167" i="132"/>
  <c r="F168" i="132" s="1"/>
  <c r="BG167" i="132"/>
  <c r="DH172" i="132"/>
  <c r="F173" i="132" s="1"/>
  <c r="BG172" i="132"/>
  <c r="DH192" i="132"/>
  <c r="F193" i="132" s="1"/>
  <c r="BG192" i="132"/>
  <c r="DH202" i="132"/>
  <c r="F203" i="132" s="1"/>
  <c r="BG202" i="132"/>
  <c r="DH212" i="132"/>
  <c r="F213" i="132" s="1"/>
  <c r="BG212" i="132"/>
  <c r="DH232" i="132"/>
  <c r="F233" i="132" s="1"/>
  <c r="BG232" i="132"/>
  <c r="DH242" i="132"/>
  <c r="F243" i="132" s="1"/>
  <c r="BG242" i="132"/>
  <c r="DH262" i="132"/>
  <c r="F263" i="132" s="1"/>
  <c r="BG262" i="132"/>
  <c r="DH272" i="132"/>
  <c r="F273" i="132" s="1"/>
  <c r="BG272" i="132"/>
  <c r="DH292" i="132"/>
  <c r="F293" i="132" s="1"/>
  <c r="BG292" i="132"/>
  <c r="DH302" i="132"/>
  <c r="F303" i="132" s="1"/>
  <c r="BG302" i="132"/>
  <c r="L68" i="105"/>
  <c r="N214" i="105"/>
  <c r="BG342" i="132"/>
  <c r="DH342" i="132"/>
  <c r="F343" i="132" s="1"/>
  <c r="M256" i="107"/>
  <c r="K127" i="133"/>
  <c r="K129" i="133" s="1"/>
  <c r="J489" i="105" s="1"/>
  <c r="J488" i="105" s="1"/>
  <c r="BE312" i="132"/>
  <c r="BE313" i="132" s="1"/>
  <c r="BE277" i="132"/>
  <c r="BE278" i="132" s="1"/>
  <c r="BE237" i="132"/>
  <c r="BE238" i="132" s="1"/>
  <c r="BE297" i="132"/>
  <c r="BE298" i="132" s="1"/>
  <c r="BE257" i="132"/>
  <c r="BE258" i="132" s="1"/>
  <c r="DF163" i="132"/>
  <c r="DF182" i="132"/>
  <c r="DF317" i="132"/>
  <c r="BE157" i="132"/>
  <c r="BE158" i="132" s="1"/>
  <c r="BE252" i="132"/>
  <c r="BE253" i="132" s="1"/>
  <c r="BE337" i="132"/>
  <c r="BE338" i="132" s="1"/>
  <c r="BE187" i="132"/>
  <c r="BE188" i="132" s="1"/>
  <c r="BE247" i="132"/>
  <c r="BE248" i="132" s="1"/>
  <c r="BE307" i="132"/>
  <c r="BE308" i="132" s="1"/>
  <c r="BE207" i="132"/>
  <c r="BE208" i="132" s="1"/>
  <c r="BE267" i="132"/>
  <c r="BE268" i="132" s="1"/>
  <c r="BE197" i="132"/>
  <c r="BE198" i="132" s="1"/>
  <c r="BE287" i="132"/>
  <c r="BE288" i="132" s="1"/>
  <c r="F198" i="132" l="1"/>
  <c r="F248" i="132"/>
  <c r="F338" i="132"/>
  <c r="W203" i="133"/>
  <c r="W205" i="133" s="1"/>
  <c r="BE368" i="132"/>
  <c r="M14" i="219"/>
  <c r="M253" i="107"/>
  <c r="BG343" i="132"/>
  <c r="F342" i="132"/>
  <c r="M238" i="107"/>
  <c r="M9" i="219"/>
  <c r="P8" i="219"/>
  <c r="N30" i="133"/>
  <c r="O377" i="105"/>
  <c r="BG288" i="132"/>
  <c r="F287" i="132"/>
  <c r="BG198" i="132"/>
  <c r="F197" i="132"/>
  <c r="BG268" i="132"/>
  <c r="F267" i="132"/>
  <c r="BG208" i="132"/>
  <c r="F207" i="132"/>
  <c r="BG308" i="132"/>
  <c r="F307" i="132"/>
  <c r="BG248" i="132"/>
  <c r="F247" i="132"/>
  <c r="BG188" i="132"/>
  <c r="F187" i="132"/>
  <c r="BG338" i="132"/>
  <c r="F337" i="132"/>
  <c r="BG253" i="132"/>
  <c r="F252" i="132"/>
  <c r="BG353" i="132"/>
  <c r="F352" i="132"/>
  <c r="BG333" i="132"/>
  <c r="F332" i="132"/>
  <c r="BG323" i="132"/>
  <c r="F322" i="132"/>
  <c r="BG358" i="132"/>
  <c r="F357" i="132"/>
  <c r="BG328" i="132"/>
  <c r="F327" i="132"/>
  <c r="L18" i="105"/>
  <c r="L19" i="105" s="1"/>
  <c r="O94" i="107"/>
  <c r="BG363" i="132"/>
  <c r="F362" i="132"/>
  <c r="BG348" i="132"/>
  <c r="F347" i="132"/>
  <c r="N391" i="105"/>
  <c r="N86" i="105" s="1"/>
  <c r="J498" i="105" s="1"/>
  <c r="O389" i="105"/>
  <c r="BG258" i="132"/>
  <c r="F257" i="132"/>
  <c r="BG298" i="132"/>
  <c r="F297" i="132"/>
  <c r="BG238" i="132"/>
  <c r="F237" i="132"/>
  <c r="BG278" i="132"/>
  <c r="F277" i="132"/>
  <c r="BG313" i="132"/>
  <c r="F312" i="132"/>
  <c r="BG158" i="132"/>
  <c r="F157" i="132"/>
  <c r="O24" i="219"/>
  <c r="F318" i="132"/>
  <c r="F163" i="132"/>
  <c r="F183" i="132"/>
  <c r="BG303" i="132"/>
  <c r="F302" i="132"/>
  <c r="BG293" i="132"/>
  <c r="F292" i="132"/>
  <c r="BG273" i="132"/>
  <c r="F272" i="132"/>
  <c r="BG263" i="132"/>
  <c r="F262" i="132"/>
  <c r="BG243" i="132"/>
  <c r="F242" i="132"/>
  <c r="BG233" i="132"/>
  <c r="F232" i="132"/>
  <c r="BG213" i="132"/>
  <c r="F212" i="132"/>
  <c r="BG203" i="132"/>
  <c r="F202" i="132"/>
  <c r="BG193" i="132"/>
  <c r="F192" i="132"/>
  <c r="BG173" i="132"/>
  <c r="F172" i="132"/>
  <c r="BG168" i="132"/>
  <c r="F167" i="132"/>
  <c r="N232" i="133"/>
  <c r="M68" i="138" s="1"/>
  <c r="M69" i="138" s="1"/>
  <c r="M14" i="138" s="1"/>
  <c r="N239" i="133"/>
  <c r="O229" i="133"/>
  <c r="W208" i="133"/>
  <c r="BG318" i="132"/>
  <c r="F317" i="132"/>
  <c r="BG163" i="132"/>
  <c r="F162" i="132"/>
  <c r="L26" i="219"/>
  <c r="L285" i="107"/>
  <c r="P206" i="133"/>
  <c r="N219" i="133"/>
  <c r="O117" i="105"/>
  <c r="O205" i="105" s="1"/>
  <c r="O79" i="105" s="1"/>
  <c r="O204" i="105"/>
  <c r="BG228" i="132"/>
  <c r="F227" i="132"/>
  <c r="BG178" i="132"/>
  <c r="F177" i="132"/>
  <c r="BG218" i="132"/>
  <c r="F217" i="132"/>
  <c r="BG283" i="132"/>
  <c r="F282" i="132"/>
  <c r="BG223" i="132"/>
  <c r="F222" i="132"/>
  <c r="BG369" i="132"/>
  <c r="F158" i="132"/>
  <c r="BG183" i="132"/>
  <c r="F182" i="132"/>
  <c r="M252" i="107"/>
  <c r="BE369" i="132"/>
  <c r="F258" i="132"/>
  <c r="F298" i="132"/>
  <c r="F238" i="132"/>
  <c r="F278" i="132"/>
  <c r="F313" i="132"/>
  <c r="BE370" i="132" l="1"/>
  <c r="O118" i="105"/>
  <c r="M11" i="219"/>
  <c r="L61" i="133"/>
  <c r="O206" i="105"/>
  <c r="O361" i="105" s="1"/>
  <c r="M255" i="133"/>
  <c r="N224" i="133"/>
  <c r="N222" i="133" s="1"/>
  <c r="N220" i="133"/>
  <c r="L27" i="219"/>
  <c r="L287" i="107"/>
  <c r="L31" i="219"/>
  <c r="E163" i="132"/>
  <c r="DK163" i="132"/>
  <c r="DL163" i="132" s="1"/>
  <c r="DN163" i="132" s="1"/>
  <c r="DP163" i="132" s="1"/>
  <c r="DR163" i="132" s="1"/>
  <c r="DT163" i="132" s="1"/>
  <c r="DV163" i="132" s="1"/>
  <c r="DX163" i="132" s="1"/>
  <c r="DZ163" i="132" s="1"/>
  <c r="EB163" i="132" s="1"/>
  <c r="ED163" i="132" s="1"/>
  <c r="EF163" i="132" s="1"/>
  <c r="EH163" i="132" s="1"/>
  <c r="EJ163" i="132" s="1"/>
  <c r="EL163" i="132" s="1"/>
  <c r="EN163" i="132" s="1"/>
  <c r="EP163" i="132" s="1"/>
  <c r="ER163" i="132" s="1"/>
  <c r="ET163" i="132" s="1"/>
  <c r="EV163" i="132" s="1"/>
  <c r="EX163" i="132" s="1"/>
  <c r="EZ163" i="132" s="1"/>
  <c r="FB163" i="132" s="1"/>
  <c r="FD163" i="132" s="1"/>
  <c r="FF163" i="132" s="1"/>
  <c r="FH163" i="132" s="1"/>
  <c r="FJ163" i="132" s="1"/>
  <c r="E318" i="132"/>
  <c r="DK317" i="132"/>
  <c r="DL317" i="132" s="1"/>
  <c r="DN317" i="132" s="1"/>
  <c r="DP317" i="132" s="1"/>
  <c r="DR317" i="132" s="1"/>
  <c r="DT317" i="132" s="1"/>
  <c r="DV317" i="132" s="1"/>
  <c r="DX317" i="132" s="1"/>
  <c r="DZ317" i="132" s="1"/>
  <c r="EB317" i="132" s="1"/>
  <c r="ED317" i="132" s="1"/>
  <c r="EF317" i="132" s="1"/>
  <c r="EH317" i="132" s="1"/>
  <c r="EJ317" i="132" s="1"/>
  <c r="EL317" i="132" s="1"/>
  <c r="EN317" i="132" s="1"/>
  <c r="EP317" i="132" s="1"/>
  <c r="ER317" i="132" s="1"/>
  <c r="ET317" i="132" s="1"/>
  <c r="EV317" i="132" s="1"/>
  <c r="EX317" i="132" s="1"/>
  <c r="EZ317" i="132" s="1"/>
  <c r="FB317" i="132" s="1"/>
  <c r="FD317" i="132" s="1"/>
  <c r="FF317" i="132" s="1"/>
  <c r="FH317" i="132" s="1"/>
  <c r="FJ317" i="132" s="1"/>
  <c r="N240" i="133"/>
  <c r="N221" i="133"/>
  <c r="N241" i="133"/>
  <c r="M252" i="133" s="1"/>
  <c r="M435" i="107" s="1"/>
  <c r="M254" i="133" s="1"/>
  <c r="N243" i="133"/>
  <c r="E168" i="132"/>
  <c r="DK167" i="132"/>
  <c r="DL167" i="132" s="1"/>
  <c r="DN167" i="132" s="1"/>
  <c r="DP167" i="132" s="1"/>
  <c r="DR167" i="132" s="1"/>
  <c r="DT167" i="132" s="1"/>
  <c r="DV167" i="132" s="1"/>
  <c r="DX167" i="132" s="1"/>
  <c r="DZ167" i="132" s="1"/>
  <c r="EB167" i="132" s="1"/>
  <c r="ED167" i="132" s="1"/>
  <c r="EF167" i="132" s="1"/>
  <c r="EH167" i="132" s="1"/>
  <c r="EJ167" i="132" s="1"/>
  <c r="EL167" i="132" s="1"/>
  <c r="EN167" i="132" s="1"/>
  <c r="EP167" i="132" s="1"/>
  <c r="ER167" i="132" s="1"/>
  <c r="ET167" i="132" s="1"/>
  <c r="EV167" i="132" s="1"/>
  <c r="EX167" i="132" s="1"/>
  <c r="EZ167" i="132" s="1"/>
  <c r="FB167" i="132" s="1"/>
  <c r="FD167" i="132" s="1"/>
  <c r="FF167" i="132" s="1"/>
  <c r="FH167" i="132" s="1"/>
  <c r="FJ167" i="132" s="1"/>
  <c r="E173" i="132"/>
  <c r="DK172" i="132"/>
  <c r="DL172" i="132" s="1"/>
  <c r="DN172" i="132" s="1"/>
  <c r="DP172" i="132" s="1"/>
  <c r="DR172" i="132" s="1"/>
  <c r="DT172" i="132" s="1"/>
  <c r="DV172" i="132" s="1"/>
  <c r="DX172" i="132" s="1"/>
  <c r="DZ172" i="132" s="1"/>
  <c r="EB172" i="132" s="1"/>
  <c r="ED172" i="132" s="1"/>
  <c r="EF172" i="132" s="1"/>
  <c r="EH172" i="132" s="1"/>
  <c r="EJ172" i="132" s="1"/>
  <c r="EL172" i="132" s="1"/>
  <c r="EN172" i="132" s="1"/>
  <c r="EP172" i="132" s="1"/>
  <c r="ER172" i="132" s="1"/>
  <c r="ET172" i="132" s="1"/>
  <c r="EV172" i="132" s="1"/>
  <c r="EX172" i="132" s="1"/>
  <c r="EZ172" i="132" s="1"/>
  <c r="FB172" i="132" s="1"/>
  <c r="FD172" i="132" s="1"/>
  <c r="FF172" i="132" s="1"/>
  <c r="FH172" i="132" s="1"/>
  <c r="FJ172" i="132" s="1"/>
  <c r="E193" i="132"/>
  <c r="DK192" i="132"/>
  <c r="DL192" i="132" s="1"/>
  <c r="DN192" i="132" s="1"/>
  <c r="DP192" i="132" s="1"/>
  <c r="DR192" i="132" s="1"/>
  <c r="DT192" i="132" s="1"/>
  <c r="DV192" i="132" s="1"/>
  <c r="DX192" i="132" s="1"/>
  <c r="DZ192" i="132" s="1"/>
  <c r="EB192" i="132" s="1"/>
  <c r="ED192" i="132" s="1"/>
  <c r="EF192" i="132" s="1"/>
  <c r="EH192" i="132" s="1"/>
  <c r="EJ192" i="132" s="1"/>
  <c r="EL192" i="132" s="1"/>
  <c r="EN192" i="132" s="1"/>
  <c r="EP192" i="132" s="1"/>
  <c r="ER192" i="132" s="1"/>
  <c r="ET192" i="132" s="1"/>
  <c r="EV192" i="132" s="1"/>
  <c r="EX192" i="132" s="1"/>
  <c r="EZ192" i="132" s="1"/>
  <c r="FB192" i="132" s="1"/>
  <c r="FD192" i="132" s="1"/>
  <c r="FF192" i="132" s="1"/>
  <c r="FH192" i="132" s="1"/>
  <c r="FJ192" i="132" s="1"/>
  <c r="E203" i="132"/>
  <c r="DK202" i="132"/>
  <c r="DL202" i="132" s="1"/>
  <c r="DN202" i="132" s="1"/>
  <c r="DP202" i="132" s="1"/>
  <c r="DR202" i="132" s="1"/>
  <c r="DT202" i="132" s="1"/>
  <c r="DV202" i="132" s="1"/>
  <c r="DX202" i="132" s="1"/>
  <c r="DZ202" i="132" s="1"/>
  <c r="EB202" i="132" s="1"/>
  <c r="ED202" i="132" s="1"/>
  <c r="EF202" i="132" s="1"/>
  <c r="EH202" i="132" s="1"/>
  <c r="EJ202" i="132" s="1"/>
  <c r="EL202" i="132" s="1"/>
  <c r="EN202" i="132" s="1"/>
  <c r="EP202" i="132" s="1"/>
  <c r="ER202" i="132" s="1"/>
  <c r="ET202" i="132" s="1"/>
  <c r="EV202" i="132" s="1"/>
  <c r="EX202" i="132" s="1"/>
  <c r="EZ202" i="132" s="1"/>
  <c r="FB202" i="132" s="1"/>
  <c r="FD202" i="132" s="1"/>
  <c r="FF202" i="132" s="1"/>
  <c r="FH202" i="132" s="1"/>
  <c r="FJ202" i="132" s="1"/>
  <c r="E213" i="132"/>
  <c r="DK212" i="132"/>
  <c r="DL212" i="132" s="1"/>
  <c r="DN212" i="132" s="1"/>
  <c r="DP212" i="132" s="1"/>
  <c r="DR212" i="132" s="1"/>
  <c r="DT212" i="132" s="1"/>
  <c r="DV212" i="132" s="1"/>
  <c r="DX212" i="132" s="1"/>
  <c r="DZ212" i="132" s="1"/>
  <c r="EB212" i="132" s="1"/>
  <c r="ED212" i="132" s="1"/>
  <c r="EF212" i="132" s="1"/>
  <c r="EH212" i="132" s="1"/>
  <c r="EJ212" i="132" s="1"/>
  <c r="EL212" i="132" s="1"/>
  <c r="EN212" i="132" s="1"/>
  <c r="EP212" i="132" s="1"/>
  <c r="ER212" i="132" s="1"/>
  <c r="ET212" i="132" s="1"/>
  <c r="EV212" i="132" s="1"/>
  <c r="EX212" i="132" s="1"/>
  <c r="EZ212" i="132" s="1"/>
  <c r="FB212" i="132" s="1"/>
  <c r="FD212" i="132" s="1"/>
  <c r="FF212" i="132" s="1"/>
  <c r="FH212" i="132" s="1"/>
  <c r="FJ212" i="132" s="1"/>
  <c r="E233" i="132"/>
  <c r="DK232" i="132"/>
  <c r="DL232" i="132" s="1"/>
  <c r="DN232" i="132" s="1"/>
  <c r="DP232" i="132" s="1"/>
  <c r="DR232" i="132" s="1"/>
  <c r="DT232" i="132" s="1"/>
  <c r="DV232" i="132" s="1"/>
  <c r="DX232" i="132" s="1"/>
  <c r="DZ232" i="132" s="1"/>
  <c r="EB232" i="132" s="1"/>
  <c r="ED232" i="132" s="1"/>
  <c r="EF232" i="132" s="1"/>
  <c r="EH232" i="132" s="1"/>
  <c r="EJ232" i="132" s="1"/>
  <c r="EL232" i="132" s="1"/>
  <c r="EN232" i="132" s="1"/>
  <c r="EP232" i="132" s="1"/>
  <c r="ER232" i="132" s="1"/>
  <c r="ET232" i="132" s="1"/>
  <c r="EV232" i="132" s="1"/>
  <c r="EX232" i="132" s="1"/>
  <c r="EZ232" i="132" s="1"/>
  <c r="FB232" i="132" s="1"/>
  <c r="FD232" i="132" s="1"/>
  <c r="FF232" i="132" s="1"/>
  <c r="FH232" i="132" s="1"/>
  <c r="FJ232" i="132" s="1"/>
  <c r="E243" i="132"/>
  <c r="DK242" i="132"/>
  <c r="DL242" i="132" s="1"/>
  <c r="DN242" i="132" s="1"/>
  <c r="DP242" i="132" s="1"/>
  <c r="DR242" i="132" s="1"/>
  <c r="DT242" i="132" s="1"/>
  <c r="DV242" i="132" s="1"/>
  <c r="DX242" i="132" s="1"/>
  <c r="DZ242" i="132" s="1"/>
  <c r="EB242" i="132" s="1"/>
  <c r="ED242" i="132" s="1"/>
  <c r="EF242" i="132" s="1"/>
  <c r="EH242" i="132" s="1"/>
  <c r="EJ242" i="132" s="1"/>
  <c r="EL242" i="132" s="1"/>
  <c r="EN242" i="132" s="1"/>
  <c r="EP242" i="132" s="1"/>
  <c r="ER242" i="132" s="1"/>
  <c r="ET242" i="132" s="1"/>
  <c r="EV242" i="132" s="1"/>
  <c r="EX242" i="132" s="1"/>
  <c r="EZ242" i="132" s="1"/>
  <c r="FB242" i="132" s="1"/>
  <c r="FD242" i="132" s="1"/>
  <c r="FF242" i="132" s="1"/>
  <c r="FH242" i="132" s="1"/>
  <c r="FJ242" i="132" s="1"/>
  <c r="E263" i="132"/>
  <c r="DK262" i="132"/>
  <c r="DL262" i="132" s="1"/>
  <c r="DN262" i="132" s="1"/>
  <c r="DP262" i="132" s="1"/>
  <c r="DR262" i="132" s="1"/>
  <c r="DT262" i="132" s="1"/>
  <c r="DV262" i="132" s="1"/>
  <c r="DX262" i="132" s="1"/>
  <c r="DZ262" i="132" s="1"/>
  <c r="EB262" i="132" s="1"/>
  <c r="ED262" i="132" s="1"/>
  <c r="EF262" i="132" s="1"/>
  <c r="EH262" i="132" s="1"/>
  <c r="EJ262" i="132" s="1"/>
  <c r="EL262" i="132" s="1"/>
  <c r="EN262" i="132" s="1"/>
  <c r="EP262" i="132" s="1"/>
  <c r="ER262" i="132" s="1"/>
  <c r="ET262" i="132" s="1"/>
  <c r="EV262" i="132" s="1"/>
  <c r="EX262" i="132" s="1"/>
  <c r="EZ262" i="132" s="1"/>
  <c r="FB262" i="132" s="1"/>
  <c r="FD262" i="132" s="1"/>
  <c r="FF262" i="132" s="1"/>
  <c r="FH262" i="132" s="1"/>
  <c r="FJ262" i="132" s="1"/>
  <c r="E273" i="132"/>
  <c r="DK272" i="132"/>
  <c r="DL272" i="132" s="1"/>
  <c r="DN272" i="132" s="1"/>
  <c r="DP272" i="132" s="1"/>
  <c r="DR272" i="132" s="1"/>
  <c r="DT272" i="132" s="1"/>
  <c r="DV272" i="132" s="1"/>
  <c r="DX272" i="132" s="1"/>
  <c r="DZ272" i="132" s="1"/>
  <c r="EB272" i="132" s="1"/>
  <c r="ED272" i="132" s="1"/>
  <c r="EF272" i="132" s="1"/>
  <c r="EH272" i="132" s="1"/>
  <c r="EJ272" i="132" s="1"/>
  <c r="EL272" i="132" s="1"/>
  <c r="EN272" i="132" s="1"/>
  <c r="EP272" i="132" s="1"/>
  <c r="ER272" i="132" s="1"/>
  <c r="ET272" i="132" s="1"/>
  <c r="EV272" i="132" s="1"/>
  <c r="EX272" i="132" s="1"/>
  <c r="EZ272" i="132" s="1"/>
  <c r="FB272" i="132" s="1"/>
  <c r="FD272" i="132" s="1"/>
  <c r="FF272" i="132" s="1"/>
  <c r="FH272" i="132" s="1"/>
  <c r="FJ272" i="132" s="1"/>
  <c r="E293" i="132"/>
  <c r="DK292" i="132"/>
  <c r="DL292" i="132" s="1"/>
  <c r="DN292" i="132" s="1"/>
  <c r="DP292" i="132" s="1"/>
  <c r="DR292" i="132" s="1"/>
  <c r="DT292" i="132" s="1"/>
  <c r="DV292" i="132" s="1"/>
  <c r="DX292" i="132" s="1"/>
  <c r="DZ292" i="132" s="1"/>
  <c r="EB292" i="132" s="1"/>
  <c r="ED292" i="132" s="1"/>
  <c r="EF292" i="132" s="1"/>
  <c r="EH292" i="132" s="1"/>
  <c r="EJ292" i="132" s="1"/>
  <c r="EL292" i="132" s="1"/>
  <c r="EN292" i="132" s="1"/>
  <c r="EP292" i="132" s="1"/>
  <c r="ER292" i="132" s="1"/>
  <c r="ET292" i="132" s="1"/>
  <c r="EV292" i="132" s="1"/>
  <c r="EX292" i="132" s="1"/>
  <c r="EZ292" i="132" s="1"/>
  <c r="FB292" i="132" s="1"/>
  <c r="FD292" i="132" s="1"/>
  <c r="FF292" i="132" s="1"/>
  <c r="FH292" i="132" s="1"/>
  <c r="FJ292" i="132" s="1"/>
  <c r="E303" i="132"/>
  <c r="DK302" i="132"/>
  <c r="DL302" i="132" s="1"/>
  <c r="DN302" i="132" s="1"/>
  <c r="DP302" i="132" s="1"/>
  <c r="DR302" i="132" s="1"/>
  <c r="DT302" i="132" s="1"/>
  <c r="DV302" i="132" s="1"/>
  <c r="DX302" i="132" s="1"/>
  <c r="DZ302" i="132" s="1"/>
  <c r="EB302" i="132" s="1"/>
  <c r="ED302" i="132" s="1"/>
  <c r="EF302" i="132" s="1"/>
  <c r="EH302" i="132" s="1"/>
  <c r="EJ302" i="132" s="1"/>
  <c r="EL302" i="132" s="1"/>
  <c r="EN302" i="132" s="1"/>
  <c r="EP302" i="132" s="1"/>
  <c r="ER302" i="132" s="1"/>
  <c r="ET302" i="132" s="1"/>
  <c r="EV302" i="132" s="1"/>
  <c r="EX302" i="132" s="1"/>
  <c r="EZ302" i="132" s="1"/>
  <c r="FB302" i="132" s="1"/>
  <c r="FD302" i="132" s="1"/>
  <c r="FF302" i="132" s="1"/>
  <c r="FH302" i="132" s="1"/>
  <c r="FJ302" i="132" s="1"/>
  <c r="E158" i="132"/>
  <c r="DK157" i="132"/>
  <c r="E313" i="132"/>
  <c r="DK312" i="132"/>
  <c r="DL312" i="132" s="1"/>
  <c r="DN312" i="132" s="1"/>
  <c r="DP312" i="132" s="1"/>
  <c r="DR312" i="132" s="1"/>
  <c r="DT312" i="132" s="1"/>
  <c r="DV312" i="132" s="1"/>
  <c r="DX312" i="132" s="1"/>
  <c r="DZ312" i="132" s="1"/>
  <c r="EB312" i="132" s="1"/>
  <c r="ED312" i="132" s="1"/>
  <c r="EF312" i="132" s="1"/>
  <c r="EH312" i="132" s="1"/>
  <c r="EJ312" i="132" s="1"/>
  <c r="EL312" i="132" s="1"/>
  <c r="EN312" i="132" s="1"/>
  <c r="EP312" i="132" s="1"/>
  <c r="ER312" i="132" s="1"/>
  <c r="ET312" i="132" s="1"/>
  <c r="EV312" i="132" s="1"/>
  <c r="EX312" i="132" s="1"/>
  <c r="EZ312" i="132" s="1"/>
  <c r="FB312" i="132" s="1"/>
  <c r="FD312" i="132" s="1"/>
  <c r="FF312" i="132" s="1"/>
  <c r="FH312" i="132" s="1"/>
  <c r="FJ312" i="132" s="1"/>
  <c r="E278" i="132"/>
  <c r="DK277" i="132"/>
  <c r="DL277" i="132" s="1"/>
  <c r="DN277" i="132" s="1"/>
  <c r="DP277" i="132" s="1"/>
  <c r="DR277" i="132" s="1"/>
  <c r="DT277" i="132" s="1"/>
  <c r="DV277" i="132" s="1"/>
  <c r="DX277" i="132" s="1"/>
  <c r="DZ277" i="132" s="1"/>
  <c r="EB277" i="132" s="1"/>
  <c r="ED277" i="132" s="1"/>
  <c r="EF277" i="132" s="1"/>
  <c r="EH277" i="132" s="1"/>
  <c r="EJ277" i="132" s="1"/>
  <c r="EL277" i="132" s="1"/>
  <c r="EN277" i="132" s="1"/>
  <c r="EP277" i="132" s="1"/>
  <c r="ER277" i="132" s="1"/>
  <c r="ET277" i="132" s="1"/>
  <c r="EV277" i="132" s="1"/>
  <c r="EX277" i="132" s="1"/>
  <c r="EZ277" i="132" s="1"/>
  <c r="FB277" i="132" s="1"/>
  <c r="FD277" i="132" s="1"/>
  <c r="FF277" i="132" s="1"/>
  <c r="FH277" i="132" s="1"/>
  <c r="FJ277" i="132" s="1"/>
  <c r="E238" i="132"/>
  <c r="DK237" i="132"/>
  <c r="DL237" i="132" s="1"/>
  <c r="DN237" i="132" s="1"/>
  <c r="DP237" i="132" s="1"/>
  <c r="DR237" i="132" s="1"/>
  <c r="DT237" i="132" s="1"/>
  <c r="DV237" i="132" s="1"/>
  <c r="DX237" i="132" s="1"/>
  <c r="DZ237" i="132" s="1"/>
  <c r="EB237" i="132" s="1"/>
  <c r="ED237" i="132" s="1"/>
  <c r="EF237" i="132" s="1"/>
  <c r="EH237" i="132" s="1"/>
  <c r="EJ237" i="132" s="1"/>
  <c r="EL237" i="132" s="1"/>
  <c r="EN237" i="132" s="1"/>
  <c r="EP237" i="132" s="1"/>
  <c r="ER237" i="132" s="1"/>
  <c r="ET237" i="132" s="1"/>
  <c r="EV237" i="132" s="1"/>
  <c r="EX237" i="132" s="1"/>
  <c r="EZ237" i="132" s="1"/>
  <c r="FB237" i="132" s="1"/>
  <c r="FD237" i="132" s="1"/>
  <c r="FF237" i="132" s="1"/>
  <c r="FH237" i="132" s="1"/>
  <c r="FJ237" i="132" s="1"/>
  <c r="E298" i="132"/>
  <c r="DK297" i="132"/>
  <c r="DL297" i="132" s="1"/>
  <c r="DN297" i="132" s="1"/>
  <c r="DP297" i="132" s="1"/>
  <c r="DR297" i="132" s="1"/>
  <c r="DT297" i="132" s="1"/>
  <c r="DV297" i="132" s="1"/>
  <c r="DX297" i="132" s="1"/>
  <c r="DZ297" i="132" s="1"/>
  <c r="EB297" i="132" s="1"/>
  <c r="ED297" i="132" s="1"/>
  <c r="EF297" i="132" s="1"/>
  <c r="EH297" i="132" s="1"/>
  <c r="EJ297" i="132" s="1"/>
  <c r="EL297" i="132" s="1"/>
  <c r="EN297" i="132" s="1"/>
  <c r="EP297" i="132" s="1"/>
  <c r="ER297" i="132" s="1"/>
  <c r="ET297" i="132" s="1"/>
  <c r="EV297" i="132" s="1"/>
  <c r="EX297" i="132" s="1"/>
  <c r="EZ297" i="132" s="1"/>
  <c r="FB297" i="132" s="1"/>
  <c r="FD297" i="132" s="1"/>
  <c r="FF297" i="132" s="1"/>
  <c r="FH297" i="132" s="1"/>
  <c r="FJ297" i="132" s="1"/>
  <c r="E258" i="132"/>
  <c r="DK257" i="132"/>
  <c r="DL257" i="132" s="1"/>
  <c r="DN257" i="132" s="1"/>
  <c r="DP257" i="132" s="1"/>
  <c r="DR257" i="132" s="1"/>
  <c r="DT257" i="132" s="1"/>
  <c r="DV257" i="132" s="1"/>
  <c r="DX257" i="132" s="1"/>
  <c r="DZ257" i="132" s="1"/>
  <c r="EB257" i="132" s="1"/>
  <c r="ED257" i="132" s="1"/>
  <c r="EF257" i="132" s="1"/>
  <c r="EH257" i="132" s="1"/>
  <c r="EJ257" i="132" s="1"/>
  <c r="EL257" i="132" s="1"/>
  <c r="EN257" i="132" s="1"/>
  <c r="EP257" i="132" s="1"/>
  <c r="ER257" i="132" s="1"/>
  <c r="ET257" i="132" s="1"/>
  <c r="EV257" i="132" s="1"/>
  <c r="EX257" i="132" s="1"/>
  <c r="EZ257" i="132" s="1"/>
  <c r="FB257" i="132" s="1"/>
  <c r="FD257" i="132" s="1"/>
  <c r="FF257" i="132" s="1"/>
  <c r="FH257" i="132" s="1"/>
  <c r="FJ257" i="132" s="1"/>
  <c r="E348" i="132"/>
  <c r="DK347" i="132"/>
  <c r="DL347" i="132" s="1"/>
  <c r="DN347" i="132" s="1"/>
  <c r="DP347" i="132" s="1"/>
  <c r="DR347" i="132" s="1"/>
  <c r="DT347" i="132" s="1"/>
  <c r="DV347" i="132" s="1"/>
  <c r="DX347" i="132" s="1"/>
  <c r="DZ347" i="132" s="1"/>
  <c r="EB347" i="132" s="1"/>
  <c r="ED347" i="132" s="1"/>
  <c r="EF347" i="132" s="1"/>
  <c r="EH347" i="132" s="1"/>
  <c r="EJ347" i="132" s="1"/>
  <c r="EL347" i="132" s="1"/>
  <c r="EN347" i="132" s="1"/>
  <c r="EP347" i="132" s="1"/>
  <c r="ER347" i="132" s="1"/>
  <c r="ET347" i="132" s="1"/>
  <c r="EV347" i="132" s="1"/>
  <c r="EX347" i="132" s="1"/>
  <c r="EZ347" i="132" s="1"/>
  <c r="FB347" i="132" s="1"/>
  <c r="FD347" i="132" s="1"/>
  <c r="FF347" i="132" s="1"/>
  <c r="FH347" i="132" s="1"/>
  <c r="FJ347" i="132" s="1"/>
  <c r="DK362" i="132"/>
  <c r="DL362" i="132" s="1"/>
  <c r="DN362" i="132" s="1"/>
  <c r="DP362" i="132" s="1"/>
  <c r="DR362" i="132" s="1"/>
  <c r="DT362" i="132" s="1"/>
  <c r="DV362" i="132" s="1"/>
  <c r="DX362" i="132" s="1"/>
  <c r="DZ362" i="132" s="1"/>
  <c r="EB362" i="132" s="1"/>
  <c r="ED362" i="132" s="1"/>
  <c r="EF362" i="132" s="1"/>
  <c r="EH362" i="132" s="1"/>
  <c r="EJ362" i="132" s="1"/>
  <c r="EL362" i="132" s="1"/>
  <c r="EN362" i="132" s="1"/>
  <c r="EP362" i="132" s="1"/>
  <c r="ER362" i="132" s="1"/>
  <c r="ET362" i="132" s="1"/>
  <c r="EV362" i="132" s="1"/>
  <c r="EX362" i="132" s="1"/>
  <c r="EZ362" i="132" s="1"/>
  <c r="FB362" i="132" s="1"/>
  <c r="FD362" i="132" s="1"/>
  <c r="FF362" i="132" s="1"/>
  <c r="FH362" i="132" s="1"/>
  <c r="FJ362" i="132" s="1"/>
  <c r="E363" i="132"/>
  <c r="D366" i="132"/>
  <c r="L20" i="105"/>
  <c r="N25" i="162"/>
  <c r="N26" i="162" s="1"/>
  <c r="O388" i="105"/>
  <c r="E343" i="132"/>
  <c r="DK344" i="132"/>
  <c r="DL344" i="132" s="1"/>
  <c r="DN344" i="132" s="1"/>
  <c r="DP344" i="132" s="1"/>
  <c r="DR344" i="132" s="1"/>
  <c r="DT344" i="132" s="1"/>
  <c r="DV344" i="132" s="1"/>
  <c r="DX344" i="132" s="1"/>
  <c r="DZ344" i="132" s="1"/>
  <c r="EB344" i="132" s="1"/>
  <c r="ED344" i="132" s="1"/>
  <c r="EF344" i="132" s="1"/>
  <c r="EH344" i="132" s="1"/>
  <c r="EJ344" i="132" s="1"/>
  <c r="EL344" i="132" s="1"/>
  <c r="EN344" i="132" s="1"/>
  <c r="EP344" i="132" s="1"/>
  <c r="ER344" i="132" s="1"/>
  <c r="ET344" i="132" s="1"/>
  <c r="EV344" i="132" s="1"/>
  <c r="EX344" i="132" s="1"/>
  <c r="EZ344" i="132" s="1"/>
  <c r="FB344" i="132" s="1"/>
  <c r="FD344" i="132" s="1"/>
  <c r="FF344" i="132" s="1"/>
  <c r="FH344" i="132" s="1"/>
  <c r="FJ344" i="132" s="1"/>
  <c r="E183" i="132"/>
  <c r="DK182" i="132"/>
  <c r="DL182" i="132" s="1"/>
  <c r="DN182" i="132" s="1"/>
  <c r="DP182" i="132" s="1"/>
  <c r="DR182" i="132" s="1"/>
  <c r="DT182" i="132" s="1"/>
  <c r="DV182" i="132" s="1"/>
  <c r="DX182" i="132" s="1"/>
  <c r="DZ182" i="132" s="1"/>
  <c r="EB182" i="132" s="1"/>
  <c r="ED182" i="132" s="1"/>
  <c r="EF182" i="132" s="1"/>
  <c r="EH182" i="132" s="1"/>
  <c r="EJ182" i="132" s="1"/>
  <c r="EL182" i="132" s="1"/>
  <c r="EN182" i="132" s="1"/>
  <c r="EP182" i="132" s="1"/>
  <c r="ER182" i="132" s="1"/>
  <c r="ET182" i="132" s="1"/>
  <c r="EV182" i="132" s="1"/>
  <c r="EX182" i="132" s="1"/>
  <c r="EZ182" i="132" s="1"/>
  <c r="FB182" i="132" s="1"/>
  <c r="FD182" i="132" s="1"/>
  <c r="FF182" i="132" s="1"/>
  <c r="FH182" i="132" s="1"/>
  <c r="FJ182" i="132" s="1"/>
  <c r="E223" i="132"/>
  <c r="DK222" i="132"/>
  <c r="DL222" i="132" s="1"/>
  <c r="DN222" i="132" s="1"/>
  <c r="DP222" i="132" s="1"/>
  <c r="DR222" i="132" s="1"/>
  <c r="DT222" i="132" s="1"/>
  <c r="DV222" i="132" s="1"/>
  <c r="DX222" i="132" s="1"/>
  <c r="DZ222" i="132" s="1"/>
  <c r="EB222" i="132" s="1"/>
  <c r="ED222" i="132" s="1"/>
  <c r="EF222" i="132" s="1"/>
  <c r="EH222" i="132" s="1"/>
  <c r="EJ222" i="132" s="1"/>
  <c r="EL222" i="132" s="1"/>
  <c r="EN222" i="132" s="1"/>
  <c r="EP222" i="132" s="1"/>
  <c r="ER222" i="132" s="1"/>
  <c r="ET222" i="132" s="1"/>
  <c r="EV222" i="132" s="1"/>
  <c r="EX222" i="132" s="1"/>
  <c r="EZ222" i="132" s="1"/>
  <c r="FB222" i="132" s="1"/>
  <c r="FD222" i="132" s="1"/>
  <c r="FF222" i="132" s="1"/>
  <c r="FH222" i="132" s="1"/>
  <c r="FJ222" i="132" s="1"/>
  <c r="E283" i="132"/>
  <c r="DK282" i="132"/>
  <c r="DL282" i="132" s="1"/>
  <c r="DN282" i="132" s="1"/>
  <c r="DP282" i="132" s="1"/>
  <c r="DR282" i="132" s="1"/>
  <c r="DT282" i="132" s="1"/>
  <c r="DV282" i="132" s="1"/>
  <c r="DX282" i="132" s="1"/>
  <c r="DZ282" i="132" s="1"/>
  <c r="EB282" i="132" s="1"/>
  <c r="ED282" i="132" s="1"/>
  <c r="EF282" i="132" s="1"/>
  <c r="EH282" i="132" s="1"/>
  <c r="EJ282" i="132" s="1"/>
  <c r="EL282" i="132" s="1"/>
  <c r="EN282" i="132" s="1"/>
  <c r="EP282" i="132" s="1"/>
  <c r="ER282" i="132" s="1"/>
  <c r="ET282" i="132" s="1"/>
  <c r="EV282" i="132" s="1"/>
  <c r="EX282" i="132" s="1"/>
  <c r="EZ282" i="132" s="1"/>
  <c r="FB282" i="132" s="1"/>
  <c r="FD282" i="132" s="1"/>
  <c r="FF282" i="132" s="1"/>
  <c r="FH282" i="132" s="1"/>
  <c r="FJ282" i="132" s="1"/>
  <c r="E218" i="132"/>
  <c r="DK217" i="132"/>
  <c r="DL217" i="132" s="1"/>
  <c r="DN217" i="132" s="1"/>
  <c r="DP217" i="132" s="1"/>
  <c r="DR217" i="132" s="1"/>
  <c r="DT217" i="132" s="1"/>
  <c r="DV217" i="132" s="1"/>
  <c r="DX217" i="132" s="1"/>
  <c r="DZ217" i="132" s="1"/>
  <c r="EB217" i="132" s="1"/>
  <c r="ED217" i="132" s="1"/>
  <c r="EF217" i="132" s="1"/>
  <c r="EH217" i="132" s="1"/>
  <c r="EJ217" i="132" s="1"/>
  <c r="EL217" i="132" s="1"/>
  <c r="EN217" i="132" s="1"/>
  <c r="EP217" i="132" s="1"/>
  <c r="ER217" i="132" s="1"/>
  <c r="ET217" i="132" s="1"/>
  <c r="EV217" i="132" s="1"/>
  <c r="EX217" i="132" s="1"/>
  <c r="EZ217" i="132" s="1"/>
  <c r="FB217" i="132" s="1"/>
  <c r="FD217" i="132" s="1"/>
  <c r="FF217" i="132" s="1"/>
  <c r="FH217" i="132" s="1"/>
  <c r="FJ217" i="132" s="1"/>
  <c r="E178" i="132"/>
  <c r="DK177" i="132"/>
  <c r="DL177" i="132" s="1"/>
  <c r="DN177" i="132" s="1"/>
  <c r="DP177" i="132" s="1"/>
  <c r="DR177" i="132" s="1"/>
  <c r="DT177" i="132" s="1"/>
  <c r="DV177" i="132" s="1"/>
  <c r="DX177" i="132" s="1"/>
  <c r="DZ177" i="132" s="1"/>
  <c r="EB177" i="132" s="1"/>
  <c r="ED177" i="132" s="1"/>
  <c r="EF177" i="132" s="1"/>
  <c r="EH177" i="132" s="1"/>
  <c r="EJ177" i="132" s="1"/>
  <c r="EL177" i="132" s="1"/>
  <c r="EN177" i="132" s="1"/>
  <c r="EP177" i="132" s="1"/>
  <c r="ER177" i="132" s="1"/>
  <c r="ET177" i="132" s="1"/>
  <c r="EV177" i="132" s="1"/>
  <c r="EX177" i="132" s="1"/>
  <c r="EZ177" i="132" s="1"/>
  <c r="FB177" i="132" s="1"/>
  <c r="FD177" i="132" s="1"/>
  <c r="FF177" i="132" s="1"/>
  <c r="FH177" i="132" s="1"/>
  <c r="FJ177" i="132" s="1"/>
  <c r="E228" i="132"/>
  <c r="DK227" i="132"/>
  <c r="DL227" i="132" s="1"/>
  <c r="DN227" i="132" s="1"/>
  <c r="DP227" i="132" s="1"/>
  <c r="DR227" i="132" s="1"/>
  <c r="DT227" i="132" s="1"/>
  <c r="DV227" i="132" s="1"/>
  <c r="DX227" i="132" s="1"/>
  <c r="DZ227" i="132" s="1"/>
  <c r="EB227" i="132" s="1"/>
  <c r="ED227" i="132" s="1"/>
  <c r="EF227" i="132" s="1"/>
  <c r="EH227" i="132" s="1"/>
  <c r="EJ227" i="132" s="1"/>
  <c r="EL227" i="132" s="1"/>
  <c r="EN227" i="132" s="1"/>
  <c r="EP227" i="132" s="1"/>
  <c r="ER227" i="132" s="1"/>
  <c r="ET227" i="132" s="1"/>
  <c r="EV227" i="132" s="1"/>
  <c r="EX227" i="132" s="1"/>
  <c r="EZ227" i="132" s="1"/>
  <c r="FB227" i="132" s="1"/>
  <c r="FD227" i="132" s="1"/>
  <c r="FF227" i="132" s="1"/>
  <c r="FH227" i="132" s="1"/>
  <c r="FJ227" i="132" s="1"/>
  <c r="O80" i="105"/>
  <c r="P207" i="133"/>
  <c r="Q206" i="133"/>
  <c r="Q240" i="107"/>
  <c r="Q239" i="107" s="1"/>
  <c r="O38" i="133"/>
  <c r="O230" i="133"/>
  <c r="O231" i="133"/>
  <c r="M21" i="138"/>
  <c r="P138" i="107" s="1"/>
  <c r="P140" i="107"/>
  <c r="L152" i="133"/>
  <c r="O84" i="105"/>
  <c r="E328" i="132"/>
  <c r="DK327" i="132"/>
  <c r="DL327" i="132" s="1"/>
  <c r="DN327" i="132" s="1"/>
  <c r="DP327" i="132" s="1"/>
  <c r="DR327" i="132" s="1"/>
  <c r="DT327" i="132" s="1"/>
  <c r="DV327" i="132" s="1"/>
  <c r="DX327" i="132" s="1"/>
  <c r="DZ327" i="132" s="1"/>
  <c r="EB327" i="132" s="1"/>
  <c r="ED327" i="132" s="1"/>
  <c r="EF327" i="132" s="1"/>
  <c r="EH327" i="132" s="1"/>
  <c r="EJ327" i="132" s="1"/>
  <c r="EL327" i="132" s="1"/>
  <c r="EN327" i="132" s="1"/>
  <c r="EP327" i="132" s="1"/>
  <c r="ER327" i="132" s="1"/>
  <c r="ET327" i="132" s="1"/>
  <c r="EV327" i="132" s="1"/>
  <c r="EX327" i="132" s="1"/>
  <c r="EZ327" i="132" s="1"/>
  <c r="FB327" i="132" s="1"/>
  <c r="FD327" i="132" s="1"/>
  <c r="FF327" i="132" s="1"/>
  <c r="FH327" i="132" s="1"/>
  <c r="FJ327" i="132" s="1"/>
  <c r="DK357" i="132"/>
  <c r="DL357" i="132" s="1"/>
  <c r="DN357" i="132" s="1"/>
  <c r="DP357" i="132" s="1"/>
  <c r="DR357" i="132" s="1"/>
  <c r="DT357" i="132" s="1"/>
  <c r="DV357" i="132" s="1"/>
  <c r="DX357" i="132" s="1"/>
  <c r="DZ357" i="132" s="1"/>
  <c r="EB357" i="132" s="1"/>
  <c r="ED357" i="132" s="1"/>
  <c r="EF357" i="132" s="1"/>
  <c r="EH357" i="132" s="1"/>
  <c r="EJ357" i="132" s="1"/>
  <c r="EL357" i="132" s="1"/>
  <c r="EN357" i="132" s="1"/>
  <c r="EP357" i="132" s="1"/>
  <c r="ER357" i="132" s="1"/>
  <c r="ET357" i="132" s="1"/>
  <c r="EV357" i="132" s="1"/>
  <c r="EX357" i="132" s="1"/>
  <c r="EZ357" i="132" s="1"/>
  <c r="FB357" i="132" s="1"/>
  <c r="FD357" i="132" s="1"/>
  <c r="FF357" i="132" s="1"/>
  <c r="FH357" i="132" s="1"/>
  <c r="FJ357" i="132" s="1"/>
  <c r="E358" i="132"/>
  <c r="E323" i="132"/>
  <c r="DK322" i="132"/>
  <c r="DL322" i="132" s="1"/>
  <c r="DN322" i="132" s="1"/>
  <c r="DP322" i="132" s="1"/>
  <c r="DR322" i="132" s="1"/>
  <c r="DT322" i="132" s="1"/>
  <c r="DV322" i="132" s="1"/>
  <c r="DX322" i="132" s="1"/>
  <c r="DZ322" i="132" s="1"/>
  <c r="EB322" i="132" s="1"/>
  <c r="ED322" i="132" s="1"/>
  <c r="EF322" i="132" s="1"/>
  <c r="EH322" i="132" s="1"/>
  <c r="EJ322" i="132" s="1"/>
  <c r="EL322" i="132" s="1"/>
  <c r="EN322" i="132" s="1"/>
  <c r="EP322" i="132" s="1"/>
  <c r="ER322" i="132" s="1"/>
  <c r="ET322" i="132" s="1"/>
  <c r="EV322" i="132" s="1"/>
  <c r="EX322" i="132" s="1"/>
  <c r="EZ322" i="132" s="1"/>
  <c r="FB322" i="132" s="1"/>
  <c r="FD322" i="132" s="1"/>
  <c r="FF322" i="132" s="1"/>
  <c r="FH322" i="132" s="1"/>
  <c r="FJ322" i="132" s="1"/>
  <c r="DK333" i="132"/>
  <c r="DL333" i="132" s="1"/>
  <c r="DN333" i="132" s="1"/>
  <c r="DP333" i="132" s="1"/>
  <c r="DR333" i="132" s="1"/>
  <c r="DT333" i="132" s="1"/>
  <c r="DV333" i="132" s="1"/>
  <c r="DX333" i="132" s="1"/>
  <c r="DZ333" i="132" s="1"/>
  <c r="EB333" i="132" s="1"/>
  <c r="ED333" i="132" s="1"/>
  <c r="EF333" i="132" s="1"/>
  <c r="EH333" i="132" s="1"/>
  <c r="EJ333" i="132" s="1"/>
  <c r="EL333" i="132" s="1"/>
  <c r="EN333" i="132" s="1"/>
  <c r="EP333" i="132" s="1"/>
  <c r="ER333" i="132" s="1"/>
  <c r="ET333" i="132" s="1"/>
  <c r="EV333" i="132" s="1"/>
  <c r="EX333" i="132" s="1"/>
  <c r="EZ333" i="132" s="1"/>
  <c r="FB333" i="132" s="1"/>
  <c r="FD333" i="132" s="1"/>
  <c r="FF333" i="132" s="1"/>
  <c r="FH333" i="132" s="1"/>
  <c r="FJ333" i="132" s="1"/>
  <c r="E333" i="132"/>
  <c r="DK352" i="132"/>
  <c r="DL352" i="132" s="1"/>
  <c r="DN352" i="132" s="1"/>
  <c r="DP352" i="132" s="1"/>
  <c r="DR352" i="132" s="1"/>
  <c r="DT352" i="132" s="1"/>
  <c r="DV352" i="132" s="1"/>
  <c r="DX352" i="132" s="1"/>
  <c r="DZ352" i="132" s="1"/>
  <c r="EB352" i="132" s="1"/>
  <c r="ED352" i="132" s="1"/>
  <c r="EF352" i="132" s="1"/>
  <c r="EH352" i="132" s="1"/>
  <c r="EJ352" i="132" s="1"/>
  <c r="EL352" i="132" s="1"/>
  <c r="EN352" i="132" s="1"/>
  <c r="EP352" i="132" s="1"/>
  <c r="ER352" i="132" s="1"/>
  <c r="ET352" i="132" s="1"/>
  <c r="EV352" i="132" s="1"/>
  <c r="EX352" i="132" s="1"/>
  <c r="EZ352" i="132" s="1"/>
  <c r="FB352" i="132" s="1"/>
  <c r="FD352" i="132" s="1"/>
  <c r="FF352" i="132" s="1"/>
  <c r="FH352" i="132" s="1"/>
  <c r="FJ352" i="132" s="1"/>
  <c r="E353" i="132"/>
  <c r="E253" i="132"/>
  <c r="DK252" i="132"/>
  <c r="DL252" i="132" s="1"/>
  <c r="DN252" i="132" s="1"/>
  <c r="DP252" i="132" s="1"/>
  <c r="DR252" i="132" s="1"/>
  <c r="DT252" i="132" s="1"/>
  <c r="DV252" i="132" s="1"/>
  <c r="DX252" i="132" s="1"/>
  <c r="DZ252" i="132" s="1"/>
  <c r="EB252" i="132" s="1"/>
  <c r="ED252" i="132" s="1"/>
  <c r="EF252" i="132" s="1"/>
  <c r="EH252" i="132" s="1"/>
  <c r="EJ252" i="132" s="1"/>
  <c r="EL252" i="132" s="1"/>
  <c r="EN252" i="132" s="1"/>
  <c r="EP252" i="132" s="1"/>
  <c r="ER252" i="132" s="1"/>
  <c r="ET252" i="132" s="1"/>
  <c r="EV252" i="132" s="1"/>
  <c r="EX252" i="132" s="1"/>
  <c r="EZ252" i="132" s="1"/>
  <c r="FB252" i="132" s="1"/>
  <c r="FD252" i="132" s="1"/>
  <c r="FF252" i="132" s="1"/>
  <c r="FH252" i="132" s="1"/>
  <c r="FJ252" i="132" s="1"/>
  <c r="E338" i="132"/>
  <c r="DK337" i="132"/>
  <c r="DL337" i="132" s="1"/>
  <c r="DN337" i="132" s="1"/>
  <c r="DP337" i="132" s="1"/>
  <c r="DR337" i="132" s="1"/>
  <c r="DT337" i="132" s="1"/>
  <c r="DV337" i="132" s="1"/>
  <c r="DX337" i="132" s="1"/>
  <c r="DZ337" i="132" s="1"/>
  <c r="EB337" i="132" s="1"/>
  <c r="ED337" i="132" s="1"/>
  <c r="EF337" i="132" s="1"/>
  <c r="EH337" i="132" s="1"/>
  <c r="EJ337" i="132" s="1"/>
  <c r="EL337" i="132" s="1"/>
  <c r="EN337" i="132" s="1"/>
  <c r="EP337" i="132" s="1"/>
  <c r="ER337" i="132" s="1"/>
  <c r="ET337" i="132" s="1"/>
  <c r="EV337" i="132" s="1"/>
  <c r="EX337" i="132" s="1"/>
  <c r="EZ337" i="132" s="1"/>
  <c r="FB337" i="132" s="1"/>
  <c r="FD337" i="132" s="1"/>
  <c r="FF337" i="132" s="1"/>
  <c r="FH337" i="132" s="1"/>
  <c r="FJ337" i="132" s="1"/>
  <c r="E188" i="132"/>
  <c r="DK187" i="132"/>
  <c r="DL187" i="132" s="1"/>
  <c r="DN187" i="132" s="1"/>
  <c r="DP187" i="132" s="1"/>
  <c r="DR187" i="132" s="1"/>
  <c r="DT187" i="132" s="1"/>
  <c r="DV187" i="132" s="1"/>
  <c r="DX187" i="132" s="1"/>
  <c r="DZ187" i="132" s="1"/>
  <c r="EB187" i="132" s="1"/>
  <c r="ED187" i="132" s="1"/>
  <c r="EF187" i="132" s="1"/>
  <c r="EH187" i="132" s="1"/>
  <c r="EJ187" i="132" s="1"/>
  <c r="EL187" i="132" s="1"/>
  <c r="EN187" i="132" s="1"/>
  <c r="EP187" i="132" s="1"/>
  <c r="ER187" i="132" s="1"/>
  <c r="ET187" i="132" s="1"/>
  <c r="EV187" i="132" s="1"/>
  <c r="EX187" i="132" s="1"/>
  <c r="EZ187" i="132" s="1"/>
  <c r="FB187" i="132" s="1"/>
  <c r="FD187" i="132" s="1"/>
  <c r="FF187" i="132" s="1"/>
  <c r="FH187" i="132" s="1"/>
  <c r="FJ187" i="132" s="1"/>
  <c r="E248" i="132"/>
  <c r="DK248" i="132"/>
  <c r="DL248" i="132" s="1"/>
  <c r="DN248" i="132" s="1"/>
  <c r="DP248" i="132" s="1"/>
  <c r="DR248" i="132" s="1"/>
  <c r="DT248" i="132" s="1"/>
  <c r="DV248" i="132" s="1"/>
  <c r="DX248" i="132" s="1"/>
  <c r="DZ248" i="132" s="1"/>
  <c r="EB248" i="132" s="1"/>
  <c r="ED248" i="132" s="1"/>
  <c r="EF248" i="132" s="1"/>
  <c r="EH248" i="132" s="1"/>
  <c r="EJ248" i="132" s="1"/>
  <c r="EL248" i="132" s="1"/>
  <c r="EN248" i="132" s="1"/>
  <c r="EP248" i="132" s="1"/>
  <c r="ER248" i="132" s="1"/>
  <c r="ET248" i="132" s="1"/>
  <c r="EV248" i="132" s="1"/>
  <c r="EX248" i="132" s="1"/>
  <c r="EZ248" i="132" s="1"/>
  <c r="FB248" i="132" s="1"/>
  <c r="FD248" i="132" s="1"/>
  <c r="FF248" i="132" s="1"/>
  <c r="FH248" i="132" s="1"/>
  <c r="FJ248" i="132" s="1"/>
  <c r="E308" i="132"/>
  <c r="DK307" i="132"/>
  <c r="DL307" i="132" s="1"/>
  <c r="DN307" i="132" s="1"/>
  <c r="DP307" i="132" s="1"/>
  <c r="DR307" i="132" s="1"/>
  <c r="DT307" i="132" s="1"/>
  <c r="DV307" i="132" s="1"/>
  <c r="DX307" i="132" s="1"/>
  <c r="DZ307" i="132" s="1"/>
  <c r="EB307" i="132" s="1"/>
  <c r="ED307" i="132" s="1"/>
  <c r="EF307" i="132" s="1"/>
  <c r="EH307" i="132" s="1"/>
  <c r="EJ307" i="132" s="1"/>
  <c r="EL307" i="132" s="1"/>
  <c r="EN307" i="132" s="1"/>
  <c r="EP307" i="132" s="1"/>
  <c r="ER307" i="132" s="1"/>
  <c r="ET307" i="132" s="1"/>
  <c r="EV307" i="132" s="1"/>
  <c r="EX307" i="132" s="1"/>
  <c r="EZ307" i="132" s="1"/>
  <c r="FB307" i="132" s="1"/>
  <c r="FD307" i="132" s="1"/>
  <c r="FF307" i="132" s="1"/>
  <c r="FH307" i="132" s="1"/>
  <c r="FJ307" i="132" s="1"/>
  <c r="E208" i="132"/>
  <c r="DK207" i="132"/>
  <c r="DL207" i="132" s="1"/>
  <c r="DN207" i="132" s="1"/>
  <c r="DP207" i="132" s="1"/>
  <c r="DR207" i="132" s="1"/>
  <c r="DT207" i="132" s="1"/>
  <c r="DV207" i="132" s="1"/>
  <c r="DX207" i="132" s="1"/>
  <c r="DZ207" i="132" s="1"/>
  <c r="EB207" i="132" s="1"/>
  <c r="ED207" i="132" s="1"/>
  <c r="EF207" i="132" s="1"/>
  <c r="EH207" i="132" s="1"/>
  <c r="EJ207" i="132" s="1"/>
  <c r="EL207" i="132" s="1"/>
  <c r="EN207" i="132" s="1"/>
  <c r="EP207" i="132" s="1"/>
  <c r="ER207" i="132" s="1"/>
  <c r="ET207" i="132" s="1"/>
  <c r="EV207" i="132" s="1"/>
  <c r="EX207" i="132" s="1"/>
  <c r="EZ207" i="132" s="1"/>
  <c r="FB207" i="132" s="1"/>
  <c r="FD207" i="132" s="1"/>
  <c r="FF207" i="132" s="1"/>
  <c r="FH207" i="132" s="1"/>
  <c r="FJ207" i="132" s="1"/>
  <c r="E268" i="132"/>
  <c r="DK267" i="132"/>
  <c r="DL267" i="132" s="1"/>
  <c r="DN267" i="132" s="1"/>
  <c r="DP267" i="132" s="1"/>
  <c r="DR267" i="132" s="1"/>
  <c r="DT267" i="132" s="1"/>
  <c r="DV267" i="132" s="1"/>
  <c r="DX267" i="132" s="1"/>
  <c r="DZ267" i="132" s="1"/>
  <c r="EB267" i="132" s="1"/>
  <c r="ED267" i="132" s="1"/>
  <c r="EF267" i="132" s="1"/>
  <c r="EH267" i="132" s="1"/>
  <c r="EJ267" i="132" s="1"/>
  <c r="EL267" i="132" s="1"/>
  <c r="EN267" i="132" s="1"/>
  <c r="EP267" i="132" s="1"/>
  <c r="ER267" i="132" s="1"/>
  <c r="ET267" i="132" s="1"/>
  <c r="EV267" i="132" s="1"/>
  <c r="EX267" i="132" s="1"/>
  <c r="EZ267" i="132" s="1"/>
  <c r="FB267" i="132" s="1"/>
  <c r="FD267" i="132" s="1"/>
  <c r="FF267" i="132" s="1"/>
  <c r="FH267" i="132" s="1"/>
  <c r="FJ267" i="132" s="1"/>
  <c r="E198" i="132"/>
  <c r="DK197" i="132"/>
  <c r="DL197" i="132" s="1"/>
  <c r="DN197" i="132" s="1"/>
  <c r="DP197" i="132" s="1"/>
  <c r="DR197" i="132" s="1"/>
  <c r="DT197" i="132" s="1"/>
  <c r="DV197" i="132" s="1"/>
  <c r="DX197" i="132" s="1"/>
  <c r="DZ197" i="132" s="1"/>
  <c r="EB197" i="132" s="1"/>
  <c r="ED197" i="132" s="1"/>
  <c r="EF197" i="132" s="1"/>
  <c r="EH197" i="132" s="1"/>
  <c r="EJ197" i="132" s="1"/>
  <c r="EL197" i="132" s="1"/>
  <c r="EN197" i="132" s="1"/>
  <c r="EP197" i="132" s="1"/>
  <c r="ER197" i="132" s="1"/>
  <c r="ET197" i="132" s="1"/>
  <c r="EV197" i="132" s="1"/>
  <c r="EX197" i="132" s="1"/>
  <c r="EZ197" i="132" s="1"/>
  <c r="FB197" i="132" s="1"/>
  <c r="FD197" i="132" s="1"/>
  <c r="FF197" i="132" s="1"/>
  <c r="FH197" i="132" s="1"/>
  <c r="FJ197" i="132" s="1"/>
  <c r="E288" i="132"/>
  <c r="DK287" i="132"/>
  <c r="DL287" i="132" s="1"/>
  <c r="DN287" i="132" s="1"/>
  <c r="DP287" i="132" s="1"/>
  <c r="DR287" i="132" s="1"/>
  <c r="DT287" i="132" s="1"/>
  <c r="DV287" i="132" s="1"/>
  <c r="DX287" i="132" s="1"/>
  <c r="DZ287" i="132" s="1"/>
  <c r="EB287" i="132" s="1"/>
  <c r="ED287" i="132" s="1"/>
  <c r="EF287" i="132" s="1"/>
  <c r="EH287" i="132" s="1"/>
  <c r="EJ287" i="132" s="1"/>
  <c r="EL287" i="132" s="1"/>
  <c r="EN287" i="132" s="1"/>
  <c r="EP287" i="132" s="1"/>
  <c r="ER287" i="132" s="1"/>
  <c r="ET287" i="132" s="1"/>
  <c r="EV287" i="132" s="1"/>
  <c r="EX287" i="132" s="1"/>
  <c r="EZ287" i="132" s="1"/>
  <c r="FB287" i="132" s="1"/>
  <c r="FD287" i="132" s="1"/>
  <c r="FF287" i="132" s="1"/>
  <c r="FH287" i="132" s="1"/>
  <c r="FJ287" i="132" s="1"/>
  <c r="M283" i="107"/>
  <c r="M26" i="219" s="1"/>
  <c r="M6" i="219"/>
  <c r="N234" i="133"/>
  <c r="N235" i="133" s="1"/>
  <c r="BG368" i="132"/>
  <c r="BG370" i="132" s="1"/>
  <c r="H150" i="132" l="1"/>
  <c r="E99" i="128" s="1"/>
  <c r="AL150" i="132"/>
  <c r="H146" i="132"/>
  <c r="E95" i="128" s="1"/>
  <c r="AL146" i="132"/>
  <c r="O232" i="133"/>
  <c r="N68" i="138" s="1"/>
  <c r="N69" i="138" s="1"/>
  <c r="N14" i="138" s="1"/>
  <c r="O239" i="133"/>
  <c r="Q207" i="133"/>
  <c r="Q209" i="133" s="1"/>
  <c r="R206" i="133"/>
  <c r="P209" i="133"/>
  <c r="O371" i="105"/>
  <c r="O370" i="105"/>
  <c r="O395" i="105"/>
  <c r="O408" i="105"/>
  <c r="O383" i="105"/>
  <c r="O413" i="105"/>
  <c r="AL125" i="132"/>
  <c r="H125" i="132"/>
  <c r="E74" i="128" s="1"/>
  <c r="AL115" i="132"/>
  <c r="H115" i="132"/>
  <c r="E64" i="128" s="1"/>
  <c r="H123" i="132"/>
  <c r="E72" i="128" s="1"/>
  <c r="AL123" i="132"/>
  <c r="H136" i="132"/>
  <c r="E85" i="128" s="1"/>
  <c r="AL136" i="132"/>
  <c r="H124" i="132"/>
  <c r="E73" i="128" s="1"/>
  <c r="AL124" i="132"/>
  <c r="H116" i="132"/>
  <c r="E65" i="128" s="1"/>
  <c r="AL116" i="132"/>
  <c r="AL148" i="132"/>
  <c r="H148" i="132"/>
  <c r="E97" i="128" s="1"/>
  <c r="L151" i="133"/>
  <c r="N250" i="107" s="1"/>
  <c r="O83" i="105"/>
  <c r="P115" i="105"/>
  <c r="O95" i="107"/>
  <c r="O213" i="105" s="1"/>
  <c r="O214" i="105" s="1"/>
  <c r="L21" i="105"/>
  <c r="AL152" i="132"/>
  <c r="H152" i="132"/>
  <c r="E101" i="128" s="1"/>
  <c r="D368" i="132"/>
  <c r="DL157" i="132"/>
  <c r="H371" i="132"/>
  <c r="L96" i="133"/>
  <c r="L92" i="133"/>
  <c r="L157" i="133" s="1"/>
  <c r="H151" i="132"/>
  <c r="E100" i="128" s="1"/>
  <c r="AL151" i="132"/>
  <c r="H137" i="132"/>
  <c r="E86" i="128" s="1"/>
  <c r="AL137" i="132"/>
  <c r="H119" i="132"/>
  <c r="E68" i="128" s="1"/>
  <c r="AL119" i="132"/>
  <c r="H133" i="132"/>
  <c r="E82" i="128" s="1"/>
  <c r="AL133" i="132"/>
  <c r="AL121" i="132"/>
  <c r="H121" i="132"/>
  <c r="E70" i="128" s="1"/>
  <c r="H141" i="132"/>
  <c r="E90" i="128" s="1"/>
  <c r="AL141" i="132"/>
  <c r="H129" i="132"/>
  <c r="E78" i="128" s="1"/>
  <c r="AL129" i="132"/>
  <c r="H117" i="132"/>
  <c r="E66" i="128" s="1"/>
  <c r="AL117" i="132"/>
  <c r="H147" i="132"/>
  <c r="E96" i="128" s="1"/>
  <c r="AL147" i="132"/>
  <c r="H130" i="132"/>
  <c r="E79" i="128" s="1"/>
  <c r="AL130" i="132"/>
  <c r="AL144" i="132"/>
  <c r="H144" i="132"/>
  <c r="E93" i="128" s="1"/>
  <c r="H145" i="132"/>
  <c r="E94" i="128" s="1"/>
  <c r="AL145" i="132"/>
  <c r="N280" i="107"/>
  <c r="Q196" i="105"/>
  <c r="P223" i="107"/>
  <c r="P32" i="214" s="1"/>
  <c r="P33" i="214" s="1"/>
  <c r="P77" i="214" s="1"/>
  <c r="P7" i="214" s="1"/>
  <c r="M58" i="105"/>
  <c r="M60" i="105" s="1"/>
  <c r="P137" i="107"/>
  <c r="M520" i="105"/>
  <c r="P144" i="107"/>
  <c r="Q8" i="219"/>
  <c r="O30" i="133"/>
  <c r="H149" i="132"/>
  <c r="E98" i="128" s="1"/>
  <c r="AL149" i="132"/>
  <c r="H131" i="132"/>
  <c r="E80" i="128" s="1"/>
  <c r="AL131" i="132"/>
  <c r="H139" i="132"/>
  <c r="E88" i="128" s="1"/>
  <c r="AL139" i="132"/>
  <c r="H127" i="132"/>
  <c r="E76" i="128" s="1"/>
  <c r="AL127" i="132"/>
  <c r="H135" i="132"/>
  <c r="E84" i="128" s="1"/>
  <c r="AL135" i="132"/>
  <c r="H142" i="132"/>
  <c r="E91" i="128" s="1"/>
  <c r="AL142" i="132"/>
  <c r="H111" i="132"/>
  <c r="AL111" i="132"/>
  <c r="AL140" i="132"/>
  <c r="H140" i="132"/>
  <c r="E89" i="128" s="1"/>
  <c r="H138" i="132"/>
  <c r="E87" i="128" s="1"/>
  <c r="AL138" i="132"/>
  <c r="H134" i="132"/>
  <c r="E83" i="128" s="1"/>
  <c r="AL134" i="132"/>
  <c r="AL132" i="132"/>
  <c r="H132" i="132"/>
  <c r="E81" i="128" s="1"/>
  <c r="H128" i="132"/>
  <c r="E77" i="128" s="1"/>
  <c r="AL128" i="132"/>
  <c r="H126" i="132"/>
  <c r="E75" i="128" s="1"/>
  <c r="AL126" i="132"/>
  <c r="H122" i="132"/>
  <c r="E71" i="128" s="1"/>
  <c r="AL122" i="132"/>
  <c r="H120" i="132"/>
  <c r="E69" i="128" s="1"/>
  <c r="AL120" i="132"/>
  <c r="H118" i="132"/>
  <c r="E67" i="128" s="1"/>
  <c r="AL118" i="132"/>
  <c r="AL114" i="132"/>
  <c r="H114" i="132"/>
  <c r="E63" i="128" s="1"/>
  <c r="H113" i="132"/>
  <c r="E62" i="128" s="1"/>
  <c r="AL113" i="132"/>
  <c r="H143" i="132"/>
  <c r="E92" i="128" s="1"/>
  <c r="AL143" i="132"/>
  <c r="H112" i="132"/>
  <c r="E61" i="128" s="1"/>
  <c r="AL112" i="132"/>
  <c r="I462" i="105"/>
  <c r="I461" i="105" s="1"/>
  <c r="I450" i="105" s="1"/>
  <c r="L36" i="219"/>
  <c r="M236" i="107"/>
  <c r="O234" i="133"/>
  <c r="O235" i="133" s="1"/>
  <c r="M285" i="107"/>
  <c r="P225" i="107" l="1"/>
  <c r="P34" i="214" s="1"/>
  <c r="M54" i="105"/>
  <c r="M67" i="105" s="1"/>
  <c r="M521" i="105"/>
  <c r="M61" i="105"/>
  <c r="I463" i="105"/>
  <c r="E60" i="128"/>
  <c r="H153" i="132"/>
  <c r="P656" i="107"/>
  <c r="P649" i="107"/>
  <c r="P650" i="107" s="1"/>
  <c r="N23" i="219"/>
  <c r="N276" i="107"/>
  <c r="N256" i="107"/>
  <c r="L127" i="133"/>
  <c r="I371" i="132"/>
  <c r="DN157" i="132"/>
  <c r="M15" i="105"/>
  <c r="L452" i="105"/>
  <c r="L451" i="105" s="1"/>
  <c r="O96" i="107"/>
  <c r="P116" i="105"/>
  <c r="O212" i="105"/>
  <c r="N244" i="107"/>
  <c r="P384" i="105"/>
  <c r="O385" i="105"/>
  <c r="O386" i="105"/>
  <c r="P372" i="105"/>
  <c r="O378" i="105"/>
  <c r="O390" i="105" s="1"/>
  <c r="O85" i="105" s="1"/>
  <c r="K458" i="105" s="1"/>
  <c r="K457" i="105" s="1"/>
  <c r="K453" i="105" s="1"/>
  <c r="Q373" i="105"/>
  <c r="S375" i="105"/>
  <c r="R374" i="105"/>
  <c r="P210" i="133"/>
  <c r="Q140" i="107"/>
  <c r="N21" i="138"/>
  <c r="Q138" i="107" s="1"/>
  <c r="D369" i="132"/>
  <c r="Q210" i="133"/>
  <c r="Q211" i="133" s="1"/>
  <c r="Q213" i="133" s="1"/>
  <c r="M27" i="219"/>
  <c r="M287" i="107"/>
  <c r="M31" i="219"/>
  <c r="Q197" i="105"/>
  <c r="O415" i="105"/>
  <c r="O414" i="105"/>
  <c r="P409" i="105"/>
  <c r="P379" i="105"/>
  <c r="O380" i="105"/>
  <c r="R207" i="133"/>
  <c r="S206" i="133"/>
  <c r="O240" i="133"/>
  <c r="O221" i="133"/>
  <c r="O241" i="133"/>
  <c r="N252" i="133" s="1"/>
  <c r="O243" i="133"/>
  <c r="L129" i="133"/>
  <c r="K489" i="105" s="1"/>
  <c r="K488" i="105" s="1"/>
  <c r="N14" i="219" l="1"/>
  <c r="N253" i="107"/>
  <c r="N252" i="107" s="1"/>
  <c r="N11" i="219" s="1"/>
  <c r="M68" i="105"/>
  <c r="R209" i="133"/>
  <c r="N236" i="107"/>
  <c r="J462" i="105"/>
  <c r="J461" i="105" s="1"/>
  <c r="J450" i="105" s="1"/>
  <c r="M36" i="219"/>
  <c r="M18" i="105"/>
  <c r="M19" i="105" s="1"/>
  <c r="P94" i="107"/>
  <c r="S207" i="133"/>
  <c r="S209" i="133" s="1"/>
  <c r="T206" i="133"/>
  <c r="T207" i="133" s="1"/>
  <c r="T209" i="133" s="1"/>
  <c r="O391" i="105"/>
  <c r="O86" i="105" s="1"/>
  <c r="K498" i="105" s="1"/>
  <c r="P389" i="105"/>
  <c r="Q214" i="133"/>
  <c r="Q215" i="133" s="1"/>
  <c r="Q229" i="133"/>
  <c r="R196" i="105"/>
  <c r="Q223" i="107"/>
  <c r="Q32" i="214" s="1"/>
  <c r="Q33" i="214" s="1"/>
  <c r="Q77" i="214" s="1"/>
  <c r="Q7" i="214" s="1"/>
  <c r="N58" i="105"/>
  <c r="N60" i="105" s="1"/>
  <c r="N61" i="105" s="1"/>
  <c r="Q137" i="107"/>
  <c r="N520" i="105"/>
  <c r="Q144" i="107"/>
  <c r="P211" i="133"/>
  <c r="P238" i="133"/>
  <c r="P39" i="133" s="1"/>
  <c r="P377" i="105"/>
  <c r="N238" i="107"/>
  <c r="N9" i="219"/>
  <c r="P117" i="105"/>
  <c r="P205" i="105" s="1"/>
  <c r="P79" i="105" s="1"/>
  <c r="P80" i="105" s="1"/>
  <c r="P204" i="105"/>
  <c r="K371" i="132"/>
  <c r="DP157" i="132"/>
  <c r="Q198" i="105"/>
  <c r="P118" i="105" l="1"/>
  <c r="P206" i="105" s="1"/>
  <c r="P361" i="105" s="1"/>
  <c r="N283" i="107"/>
  <c r="N6" i="219"/>
  <c r="P212" i="133"/>
  <c r="Q656" i="107"/>
  <c r="Q649" i="107"/>
  <c r="Q650" i="107" s="1"/>
  <c r="M371" i="132"/>
  <c r="DR157" i="132"/>
  <c r="P371" i="105"/>
  <c r="P370" i="105"/>
  <c r="P394" i="105"/>
  <c r="P395" i="105" s="1"/>
  <c r="P383" i="105"/>
  <c r="P413" i="105"/>
  <c r="P408" i="105"/>
  <c r="O66" i="138"/>
  <c r="P242" i="133"/>
  <c r="N256" i="133"/>
  <c r="N521" i="105"/>
  <c r="Q225" i="107"/>
  <c r="Q34" i="214" s="1"/>
  <c r="N54" i="105"/>
  <c r="N67" i="105" s="1"/>
  <c r="R197" i="105"/>
  <c r="R198" i="105" s="1"/>
  <c r="J463" i="105"/>
  <c r="W207" i="133"/>
  <c r="N79" i="133"/>
  <c r="N114" i="133" s="1"/>
  <c r="P278" i="107" s="1"/>
  <c r="M61" i="133"/>
  <c r="P388" i="105"/>
  <c r="Q230" i="133"/>
  <c r="Q231" i="133"/>
  <c r="Q232" i="133" s="1"/>
  <c r="M152" i="133"/>
  <c r="P84" i="105"/>
  <c r="M20" i="105"/>
  <c r="O25" i="162"/>
  <c r="O26" i="162" s="1"/>
  <c r="R210" i="133"/>
  <c r="R211" i="133" s="1"/>
  <c r="R213" i="133" s="1"/>
  <c r="W209" i="133"/>
  <c r="O219" i="133"/>
  <c r="N68" i="105"/>
  <c r="Q234" i="133" l="1"/>
  <c r="R229" i="133"/>
  <c r="R214" i="133"/>
  <c r="R215" i="133" s="1"/>
  <c r="Q115" i="105"/>
  <c r="P95" i="107"/>
  <c r="P213" i="105" s="1"/>
  <c r="P214" i="105" s="1"/>
  <c r="M21" i="105"/>
  <c r="O280" i="107"/>
  <c r="P24" i="219"/>
  <c r="O79" i="133"/>
  <c r="O114" i="133" s="1"/>
  <c r="Q278" i="107" s="1"/>
  <c r="Q409" i="105"/>
  <c r="Q384" i="105"/>
  <c r="P386" i="105"/>
  <c r="P385" i="105"/>
  <c r="Q372" i="105"/>
  <c r="Q377" i="105" s="1"/>
  <c r="Q388" i="105" s="1"/>
  <c r="S374" i="105"/>
  <c r="P378" i="105"/>
  <c r="P390" i="105" s="1"/>
  <c r="P85" i="105" s="1"/>
  <c r="L458" i="105" s="1"/>
  <c r="L457" i="105" s="1"/>
  <c r="L453" i="105" s="1"/>
  <c r="R373" i="105"/>
  <c r="T375" i="105"/>
  <c r="C36" i="148"/>
  <c r="C34" i="148" s="1"/>
  <c r="D257" i="133"/>
  <c r="O67" i="138"/>
  <c r="B66" i="138"/>
  <c r="P414" i="105"/>
  <c r="P415" i="105"/>
  <c r="P397" i="105"/>
  <c r="P398" i="105"/>
  <c r="Q379" i="105"/>
  <c r="Q389" i="105" s="1"/>
  <c r="P380" i="105"/>
  <c r="DT157" i="132"/>
  <c r="O371" i="132"/>
  <c r="P229" i="133"/>
  <c r="W212" i="133"/>
  <c r="N26" i="219"/>
  <c r="N285" i="107"/>
  <c r="S210" i="133"/>
  <c r="O220" i="133"/>
  <c r="N255" i="133"/>
  <c r="N435" i="107" s="1"/>
  <c r="N254" i="133" s="1"/>
  <c r="O224" i="133"/>
  <c r="O222" i="133" s="1"/>
  <c r="M151" i="133"/>
  <c r="O250" i="107" s="1"/>
  <c r="P83" i="105"/>
  <c r="M96" i="133"/>
  <c r="M92" i="133"/>
  <c r="P391" i="105" l="1"/>
  <c r="P86" i="105" s="1"/>
  <c r="L498" i="105" s="1"/>
  <c r="O256" i="107"/>
  <c r="M127" i="133"/>
  <c r="M129" i="133" s="1"/>
  <c r="L489" i="105" s="1"/>
  <c r="L488" i="105" s="1"/>
  <c r="O244" i="107"/>
  <c r="S211" i="133"/>
  <c r="T210" i="133"/>
  <c r="R240" i="107"/>
  <c r="P38" i="133"/>
  <c r="P230" i="133"/>
  <c r="P231" i="133"/>
  <c r="D229" i="133"/>
  <c r="DV157" i="132"/>
  <c r="Q371" i="132"/>
  <c r="N152" i="133"/>
  <c r="Q84" i="105"/>
  <c r="Q399" i="105"/>
  <c r="R400" i="105"/>
  <c r="T402" i="105"/>
  <c r="S401" i="105"/>
  <c r="B67" i="138"/>
  <c r="C214" i="148" s="1"/>
  <c r="O19" i="138"/>
  <c r="R139" i="107" s="1"/>
  <c r="E139" i="107" s="1"/>
  <c r="E630" i="131" s="1"/>
  <c r="O23" i="219"/>
  <c r="O276" i="107"/>
  <c r="R230" i="133"/>
  <c r="R231" i="133"/>
  <c r="R232" i="133" s="1"/>
  <c r="N27" i="219"/>
  <c r="N287" i="107"/>
  <c r="N31" i="219"/>
  <c r="Q405" i="105"/>
  <c r="N151" i="133"/>
  <c r="P250" i="107" s="1"/>
  <c r="P244" i="107" s="1"/>
  <c r="Q83" i="105"/>
  <c r="Q24" i="219"/>
  <c r="N15" i="105"/>
  <c r="P96" i="107"/>
  <c r="M452" i="105"/>
  <c r="M451" i="105" s="1"/>
  <c r="Q116" i="105"/>
  <c r="P212" i="105"/>
  <c r="M157" i="133"/>
  <c r="R234" i="133" l="1"/>
  <c r="N18" i="105"/>
  <c r="N19" i="105" s="1"/>
  <c r="Q94" i="107"/>
  <c r="P238" i="107"/>
  <c r="P9" i="219"/>
  <c r="Q412" i="105"/>
  <c r="N154" i="133" s="1"/>
  <c r="W154" i="133" s="1"/>
  <c r="K462" i="105"/>
  <c r="K461" i="105" s="1"/>
  <c r="K450" i="105" s="1"/>
  <c r="N36" i="219"/>
  <c r="O236" i="107"/>
  <c r="R239" i="107"/>
  <c r="E240" i="107"/>
  <c r="S213" i="133"/>
  <c r="O238" i="107"/>
  <c r="O9" i="219"/>
  <c r="O14" i="219"/>
  <c r="O253" i="107"/>
  <c r="O252" i="107" s="1"/>
  <c r="O11" i="219" s="1"/>
  <c r="Q117" i="105"/>
  <c r="Q205" i="105" s="1"/>
  <c r="Q79" i="105" s="1"/>
  <c r="Q80" i="105" s="1"/>
  <c r="Q204" i="105"/>
  <c r="Q404" i="105"/>
  <c r="P280" i="107"/>
  <c r="DX157" i="132"/>
  <c r="S371" i="132"/>
  <c r="P232" i="133"/>
  <c r="O68" i="138" s="1"/>
  <c r="O69" i="138" s="1"/>
  <c r="P239" i="133"/>
  <c r="D231" i="133"/>
  <c r="T211" i="133"/>
  <c r="T213" i="133" s="1"/>
  <c r="U210" i="133"/>
  <c r="U211" i="133" s="1"/>
  <c r="U213" i="133" s="1"/>
  <c r="T229" i="133" l="1"/>
  <c r="P240" i="133"/>
  <c r="P241" i="133"/>
  <c r="O252" i="133" s="1"/>
  <c r="P221" i="133"/>
  <c r="P243" i="133"/>
  <c r="F241" i="107"/>
  <c r="C28" i="148"/>
  <c r="D30" i="148" s="1"/>
  <c r="U229" i="133"/>
  <c r="O14" i="138"/>
  <c r="B69" i="138"/>
  <c r="C213" i="148" s="1"/>
  <c r="U371" i="132"/>
  <c r="DZ157" i="132"/>
  <c r="P23" i="219"/>
  <c r="P276" i="107"/>
  <c r="Q411" i="105"/>
  <c r="N153" i="133" s="1"/>
  <c r="O283" i="107"/>
  <c r="O6" i="219"/>
  <c r="S229" i="133"/>
  <c r="S214" i="133"/>
  <c r="S215" i="133" s="1"/>
  <c r="P219" i="133"/>
  <c r="R8" i="219"/>
  <c r="P30" i="133"/>
  <c r="E239" i="107"/>
  <c r="N20" i="105"/>
  <c r="P25" i="162"/>
  <c r="P26" i="162" s="1"/>
  <c r="Q118" i="105"/>
  <c r="P234" i="133"/>
  <c r="P235" i="133" s="1"/>
  <c r="Q371" i="105"/>
  <c r="Q370" i="105"/>
  <c r="Q395" i="105"/>
  <c r="Q413" i="105"/>
  <c r="Q408" i="105"/>
  <c r="Q383" i="105"/>
  <c r="K463" i="105"/>
  <c r="P6" i="219"/>
  <c r="W211" i="133"/>
  <c r="W213" i="133" s="1"/>
  <c r="W216" i="133" s="1"/>
  <c r="W217" i="133" l="1"/>
  <c r="X228" i="133"/>
  <c r="R409" i="105"/>
  <c r="R372" i="105"/>
  <c r="R377" i="105" s="1"/>
  <c r="R388" i="105" s="1"/>
  <c r="Q378" i="105"/>
  <c r="Q390" i="105" s="1"/>
  <c r="Q85" i="105" s="1"/>
  <c r="M458" i="105" s="1"/>
  <c r="M457" i="105" s="1"/>
  <c r="M453" i="105" s="1"/>
  <c r="S373" i="105"/>
  <c r="U375" i="105"/>
  <c r="T374" i="105"/>
  <c r="R384" i="105"/>
  <c r="Q385" i="105"/>
  <c r="Q386" i="105"/>
  <c r="Q415" i="105"/>
  <c r="Q414" i="105"/>
  <c r="R379" i="105"/>
  <c r="R389" i="105" s="1"/>
  <c r="Q380" i="105"/>
  <c r="F240" i="107"/>
  <c r="C33" i="148"/>
  <c r="C42" i="148" s="1"/>
  <c r="O255" i="133"/>
  <c r="O435" i="107" s="1"/>
  <c r="O254" i="133" s="1"/>
  <c r="P224" i="133"/>
  <c r="P222" i="133" s="1"/>
  <c r="B222" i="133" s="1"/>
  <c r="C222" i="133" s="1"/>
  <c r="P220" i="133"/>
  <c r="S230" i="133"/>
  <c r="S231" i="133"/>
  <c r="S232" i="133" s="1"/>
  <c r="O26" i="219"/>
  <c r="O285" i="107"/>
  <c r="R140" i="107"/>
  <c r="E140" i="107" s="1"/>
  <c r="E631" i="131" s="1"/>
  <c r="O21" i="138"/>
  <c r="U230" i="133"/>
  <c r="U231" i="133"/>
  <c r="W229" i="133"/>
  <c r="T230" i="133"/>
  <c r="T231" i="133"/>
  <c r="T232" i="133" s="1"/>
  <c r="N61" i="133"/>
  <c r="Q206" i="105"/>
  <c r="Q361" i="105" s="1"/>
  <c r="R115" i="105"/>
  <c r="Q95" i="107"/>
  <c r="Q213" i="105" s="1"/>
  <c r="Q214" i="105" s="1"/>
  <c r="N21" i="105"/>
  <c r="EB157" i="132"/>
  <c r="W371" i="132"/>
  <c r="T214" i="133"/>
  <c r="S234" i="133" l="1"/>
  <c r="Y371" i="132"/>
  <c r="ED157" i="132"/>
  <c r="O15" i="105"/>
  <c r="N452" i="105"/>
  <c r="N451" i="105" s="1"/>
  <c r="Q96" i="107"/>
  <c r="R116" i="105"/>
  <c r="Q212" i="105"/>
  <c r="N96" i="133"/>
  <c r="N92" i="133"/>
  <c r="U232" i="133"/>
  <c r="U234" i="133" s="1"/>
  <c r="W231" i="133"/>
  <c r="X231" i="133" s="1"/>
  <c r="R138" i="107"/>
  <c r="C22" i="138"/>
  <c r="O27" i="219"/>
  <c r="O287" i="107"/>
  <c r="O31" i="219"/>
  <c r="O152" i="133"/>
  <c r="R84" i="105"/>
  <c r="O151" i="133"/>
  <c r="Q250" i="107" s="1"/>
  <c r="Q244" i="107" s="1"/>
  <c r="R83" i="105"/>
  <c r="T234" i="133"/>
  <c r="T215" i="133"/>
  <c r="U214" i="133"/>
  <c r="Q391" i="105"/>
  <c r="Q86" i="105" s="1"/>
  <c r="M498" i="105" s="1"/>
  <c r="N157" i="133" l="1"/>
  <c r="O18" i="105"/>
  <c r="R94" i="107"/>
  <c r="U215" i="133"/>
  <c r="V214" i="133"/>
  <c r="V215" i="133" s="1"/>
  <c r="Q238" i="107"/>
  <c r="Q9" i="219"/>
  <c r="Q280" i="107"/>
  <c r="P236" i="107"/>
  <c r="L462" i="105"/>
  <c r="L461" i="105" s="1"/>
  <c r="L450" i="105" s="1"/>
  <c r="O36" i="219"/>
  <c r="S196" i="105"/>
  <c r="R223" i="107"/>
  <c r="R32" i="214" s="1"/>
  <c r="R33" i="214" s="1"/>
  <c r="R77" i="214" s="1"/>
  <c r="O58" i="105"/>
  <c r="R137" i="107"/>
  <c r="O520" i="105"/>
  <c r="P520" i="105" s="1"/>
  <c r="R144" i="107"/>
  <c r="E138" i="107"/>
  <c r="P256" i="107"/>
  <c r="N127" i="133"/>
  <c r="N129" i="133" s="1"/>
  <c r="M489" i="105" s="1"/>
  <c r="M488" i="105" s="1"/>
  <c r="R117" i="105"/>
  <c r="R118" i="105" s="1"/>
  <c r="R204" i="105"/>
  <c r="AA371" i="132"/>
  <c r="EF157" i="132"/>
  <c r="W215" i="133" l="1"/>
  <c r="F117" i="105"/>
  <c r="R205" i="105"/>
  <c r="R79" i="105" s="1"/>
  <c r="R80" i="105" s="1"/>
  <c r="E223" i="107"/>
  <c r="F32" i="214" s="1"/>
  <c r="F33" i="214" s="1"/>
  <c r="F77" i="214" s="1"/>
  <c r="F7" i="214" s="1"/>
  <c r="E629" i="131"/>
  <c r="E626" i="131" s="1"/>
  <c r="E137" i="107"/>
  <c r="G35" i="131"/>
  <c r="G36" i="131" s="1"/>
  <c r="E22" i="138"/>
  <c r="R656" i="107"/>
  <c r="R649" i="107"/>
  <c r="R650" i="107" s="1"/>
  <c r="R7" i="214"/>
  <c r="S7" i="214"/>
  <c r="Q23" i="219"/>
  <c r="Q276" i="107"/>
  <c r="Q6" i="219"/>
  <c r="O19" i="105"/>
  <c r="P18" i="105"/>
  <c r="EH157" i="132"/>
  <c r="AC371" i="132"/>
  <c r="O61" i="133"/>
  <c r="R206" i="105"/>
  <c r="R361" i="105" s="1"/>
  <c r="P14" i="219"/>
  <c r="P253" i="107"/>
  <c r="P252" i="107" s="1"/>
  <c r="R225" i="107"/>
  <c r="R34" i="214" s="1"/>
  <c r="O54" i="105"/>
  <c r="O67" i="105" s="1"/>
  <c r="O521" i="105"/>
  <c r="P521" i="105" s="1"/>
  <c r="E144" i="107"/>
  <c r="R57" i="105"/>
  <c r="R58" i="105" s="1"/>
  <c r="E298" i="148" s="1"/>
  <c r="O60" i="105"/>
  <c r="S197" i="105"/>
  <c r="S198" i="105" s="1"/>
  <c r="F196" i="105"/>
  <c r="L463" i="105"/>
  <c r="F197" i="105" l="1"/>
  <c r="F205" i="105" s="1"/>
  <c r="F79" i="105" s="1"/>
  <c r="O61" i="105"/>
  <c r="P60" i="105"/>
  <c r="R60" i="105" s="1"/>
  <c r="E225" i="107"/>
  <c r="E145" i="107"/>
  <c r="E227" i="107" s="1"/>
  <c r="F145" i="107"/>
  <c r="F227" i="107" s="1"/>
  <c r="G145" i="107"/>
  <c r="H145" i="107"/>
  <c r="I145" i="107"/>
  <c r="J145" i="107"/>
  <c r="K145" i="107"/>
  <c r="L145" i="107"/>
  <c r="M145" i="107"/>
  <c r="N145" i="107"/>
  <c r="O145" i="107"/>
  <c r="P145" i="107"/>
  <c r="Q145" i="107"/>
  <c r="R145" i="107"/>
  <c r="O72" i="105"/>
  <c r="D46" i="148" s="1"/>
  <c r="D47" i="148" s="1"/>
  <c r="O68" i="105"/>
  <c r="O96" i="133"/>
  <c r="O92" i="133"/>
  <c r="AE371" i="132"/>
  <c r="EJ157" i="132"/>
  <c r="O20" i="105"/>
  <c r="Q25" i="162"/>
  <c r="R370" i="105"/>
  <c r="R371" i="105"/>
  <c r="R395" i="105"/>
  <c r="R408" i="105"/>
  <c r="R383" i="105"/>
  <c r="R413" i="105"/>
  <c r="P79" i="133"/>
  <c r="F198" i="105"/>
  <c r="D293" i="148"/>
  <c r="F293" i="148"/>
  <c r="H293" i="148"/>
  <c r="J293" i="148"/>
  <c r="C295" i="148"/>
  <c r="C297" i="148" s="1"/>
  <c r="D295" i="148"/>
  <c r="D297" i="148" s="1"/>
  <c r="E295" i="148"/>
  <c r="E297" i="148" s="1"/>
  <c r="F295" i="148"/>
  <c r="F297" i="148" s="1"/>
  <c r="G295" i="148"/>
  <c r="G297" i="148" s="1"/>
  <c r="H295" i="148"/>
  <c r="H297" i="148" s="1"/>
  <c r="I295" i="148"/>
  <c r="I297" i="148" s="1"/>
  <c r="J295" i="148"/>
  <c r="J297" i="148" s="1"/>
  <c r="K295" i="148"/>
  <c r="K297" i="148" s="1"/>
  <c r="E303" i="148"/>
  <c r="C293" i="148"/>
  <c r="E293" i="148"/>
  <c r="G293" i="148"/>
  <c r="I293" i="148"/>
  <c r="K293" i="148"/>
  <c r="P11" i="219"/>
  <c r="P283" i="107"/>
  <c r="E656" i="107"/>
  <c r="E649" i="107"/>
  <c r="P26" i="219" l="1"/>
  <c r="P285" i="107"/>
  <c r="S384" i="105"/>
  <c r="R386" i="105"/>
  <c r="R385" i="105"/>
  <c r="S379" i="105"/>
  <c r="S389" i="105" s="1"/>
  <c r="R380" i="105"/>
  <c r="S115" i="105"/>
  <c r="R95" i="107"/>
  <c r="P20" i="105"/>
  <c r="D14" i="148" s="1"/>
  <c r="D15" i="148" s="1"/>
  <c r="O21" i="105"/>
  <c r="Q256" i="107"/>
  <c r="O127" i="133"/>
  <c r="Q227" i="107"/>
  <c r="Q147" i="107"/>
  <c r="Q229" i="107" s="1"/>
  <c r="M227" i="107"/>
  <c r="M147" i="107"/>
  <c r="M229" i="107" s="1"/>
  <c r="I227" i="107"/>
  <c r="I147" i="107"/>
  <c r="I229" i="107" s="1"/>
  <c r="G227" i="107"/>
  <c r="D499" i="105"/>
  <c r="D494" i="105" s="1"/>
  <c r="D482" i="105" s="1"/>
  <c r="G147" i="107"/>
  <c r="P114" i="133"/>
  <c r="Y114" i="133"/>
  <c r="R414" i="105"/>
  <c r="R415" i="105"/>
  <c r="S409" i="105"/>
  <c r="S372" i="105"/>
  <c r="S377" i="105" s="1"/>
  <c r="S388" i="105" s="1"/>
  <c r="T373" i="105"/>
  <c r="V375" i="105"/>
  <c r="U374" i="105"/>
  <c r="R378" i="105"/>
  <c r="R390" i="105" s="1"/>
  <c r="R85" i="105" s="1"/>
  <c r="N458" i="105" s="1"/>
  <c r="N457" i="105" s="1"/>
  <c r="N453" i="105" s="1"/>
  <c r="Q26" i="162"/>
  <c r="E26" i="162" s="1"/>
  <c r="E25" i="162"/>
  <c r="AG371" i="132"/>
  <c r="EL157" i="132"/>
  <c r="O129" i="133"/>
  <c r="N489" i="105" s="1"/>
  <c r="N488" i="105" s="1"/>
  <c r="O157" i="133"/>
  <c r="R227" i="107"/>
  <c r="R147" i="107"/>
  <c r="R229" i="107" s="1"/>
  <c r="P227" i="107"/>
  <c r="P147" i="107"/>
  <c r="P229" i="107" s="1"/>
  <c r="N227" i="107"/>
  <c r="N147" i="107"/>
  <c r="N229" i="107" s="1"/>
  <c r="L227" i="107"/>
  <c r="L147" i="107"/>
  <c r="L229" i="107" s="1"/>
  <c r="J227" i="107"/>
  <c r="J147" i="107"/>
  <c r="J229" i="107" s="1"/>
  <c r="E499" i="105"/>
  <c r="E494" i="105" s="1"/>
  <c r="E482" i="105" s="1"/>
  <c r="H227" i="107"/>
  <c r="H147" i="107"/>
  <c r="H229" i="107" s="1"/>
  <c r="F34" i="214"/>
  <c r="P21" i="214" s="1"/>
  <c r="D225" i="107"/>
  <c r="E34" i="214" s="1"/>
  <c r="D48" i="148"/>
  <c r="E47" i="148" s="1"/>
  <c r="O227" i="107"/>
  <c r="O147" i="107"/>
  <c r="O229" i="107" s="1"/>
  <c r="K227" i="107"/>
  <c r="K147" i="107"/>
  <c r="K229" i="107" s="1"/>
  <c r="E48" i="148" l="1"/>
  <c r="E144" i="148" s="1"/>
  <c r="D383" i="148" s="1"/>
  <c r="R278" i="107"/>
  <c r="Z114" i="133"/>
  <c r="S99" i="148" s="1"/>
  <c r="W114" i="133"/>
  <c r="X114" i="133" s="1"/>
  <c r="D474" i="105"/>
  <c r="D502" i="105"/>
  <c r="Q14" i="219"/>
  <c r="Q253" i="107"/>
  <c r="Q252" i="107" s="1"/>
  <c r="S116" i="105"/>
  <c r="F115" i="105"/>
  <c r="F116" i="105" s="1"/>
  <c r="F204" i="105" s="1"/>
  <c r="R212" i="105"/>
  <c r="F212" i="105" s="1"/>
  <c r="P152" i="133"/>
  <c r="S84" i="105"/>
  <c r="U84" i="105" s="1"/>
  <c r="E474" i="105"/>
  <c r="E502" i="105"/>
  <c r="AI371" i="132"/>
  <c r="EN157" i="132"/>
  <c r="P151" i="133"/>
  <c r="R250" i="107" s="1"/>
  <c r="S83" i="105"/>
  <c r="U83" i="105" s="1"/>
  <c r="AB114" i="133"/>
  <c r="U99" i="148" s="1"/>
  <c r="AA99" i="148" s="1"/>
  <c r="AC99" i="148" s="1"/>
  <c r="AC114" i="133"/>
  <c r="V99" i="148" s="1"/>
  <c r="AA114" i="133"/>
  <c r="G229" i="107"/>
  <c r="E147" i="107"/>
  <c r="G148" i="107"/>
  <c r="R96" i="107"/>
  <c r="E96" i="107" s="1"/>
  <c r="F1031" i="162" s="1"/>
  <c r="O452" i="105"/>
  <c r="E95" i="107"/>
  <c r="F1030" i="162" s="1"/>
  <c r="R213" i="105"/>
  <c r="R391" i="105"/>
  <c r="R86" i="105" s="1"/>
  <c r="N498" i="105" s="1"/>
  <c r="P27" i="219"/>
  <c r="P287" i="107"/>
  <c r="P31" i="219"/>
  <c r="F499" i="105"/>
  <c r="M462" i="105" l="1"/>
  <c r="M461" i="105" s="1"/>
  <c r="M450" i="105" s="1"/>
  <c r="P36" i="219"/>
  <c r="Q236" i="107"/>
  <c r="E229" i="107"/>
  <c r="D229" i="107" s="1"/>
  <c r="D146" i="148"/>
  <c r="E679" i="131" s="1"/>
  <c r="F685" i="131" s="1"/>
  <c r="F682" i="131" s="1"/>
  <c r="R244" i="107"/>
  <c r="E250" i="107"/>
  <c r="R160" i="148" s="1"/>
  <c r="F494" i="105"/>
  <c r="F482" i="105" s="1"/>
  <c r="G499" i="105"/>
  <c r="R214" i="105"/>
  <c r="F214" i="105" s="1"/>
  <c r="R208" i="105" s="1"/>
  <c r="F213" i="105"/>
  <c r="O451" i="105"/>
  <c r="C337" i="148"/>
  <c r="H148" i="107"/>
  <c r="D471" i="105"/>
  <c r="D470" i="105" s="1"/>
  <c r="D467" i="105" s="1"/>
  <c r="D466" i="105" s="1"/>
  <c r="AG99" i="148"/>
  <c r="AI99" i="148" s="1"/>
  <c r="AJ99" i="148"/>
  <c r="AL99" i="148" s="1"/>
  <c r="AM99" i="148"/>
  <c r="AN99" i="148" s="1"/>
  <c r="AD99" i="148"/>
  <c r="AF99" i="148" s="1"/>
  <c r="AK371" i="132"/>
  <c r="EP157" i="132"/>
  <c r="R280" i="107"/>
  <c r="R276" i="107" s="1"/>
  <c r="W152" i="133"/>
  <c r="Q11" i="219"/>
  <c r="Q283" i="107"/>
  <c r="R24" i="219"/>
  <c r="E278" i="107"/>
  <c r="F47" i="148"/>
  <c r="S117" i="105"/>
  <c r="S205" i="105" s="1"/>
  <c r="S79" i="105" s="1"/>
  <c r="S204" i="105"/>
  <c r="D500" i="105"/>
  <c r="D508" i="105" s="1"/>
  <c r="E276" i="107" l="1"/>
  <c r="C336" i="148"/>
  <c r="ER157" i="132"/>
  <c r="AM371" i="132"/>
  <c r="G494" i="105"/>
  <c r="G482" i="105" s="1"/>
  <c r="H499" i="105"/>
  <c r="M463" i="105"/>
  <c r="S118" i="105"/>
  <c r="D427" i="105"/>
  <c r="D426" i="105"/>
  <c r="S80" i="105"/>
  <c r="U79" i="105"/>
  <c r="F48" i="148"/>
  <c r="F144" i="148" s="1"/>
  <c r="E383" i="148" s="1"/>
  <c r="Q26" i="219"/>
  <c r="Q285" i="107"/>
  <c r="R23" i="219"/>
  <c r="E280" i="107"/>
  <c r="R159" i="148" s="1"/>
  <c r="R161" i="148" s="1"/>
  <c r="E471" i="105"/>
  <c r="E470" i="105" s="1"/>
  <c r="E467" i="105" s="1"/>
  <c r="E466" i="105" s="1"/>
  <c r="E500" i="105" s="1"/>
  <c r="E508" i="105" s="1"/>
  <c r="I148" i="107"/>
  <c r="F474" i="105"/>
  <c r="F502" i="105"/>
  <c r="R238" i="107"/>
  <c r="R9" i="219"/>
  <c r="E244" i="107"/>
  <c r="J148" i="107" l="1"/>
  <c r="F471" i="105"/>
  <c r="F470" i="105" s="1"/>
  <c r="F467" i="105" s="1"/>
  <c r="F466" i="105" s="1"/>
  <c r="F500" i="105" s="1"/>
  <c r="F508" i="105" s="1"/>
  <c r="Q27" i="219"/>
  <c r="Q287" i="107"/>
  <c r="Q31" i="219"/>
  <c r="R156" i="148"/>
  <c r="R157" i="148" s="1"/>
  <c r="X80" i="105"/>
  <c r="U80" i="105"/>
  <c r="P61" i="133"/>
  <c r="F118" i="105"/>
  <c r="F206" i="105" s="1"/>
  <c r="S206" i="105"/>
  <c r="S361" i="105" s="1"/>
  <c r="V361" i="105" s="1"/>
  <c r="Y157" i="133" s="1"/>
  <c r="G474" i="105"/>
  <c r="G502" i="105"/>
  <c r="ET157" i="132"/>
  <c r="AO371" i="132"/>
  <c r="G47" i="148"/>
  <c r="R6" i="219"/>
  <c r="E238" i="107"/>
  <c r="E426" i="105"/>
  <c r="E427" i="105"/>
  <c r="S371" i="105"/>
  <c r="S370" i="105"/>
  <c r="S394" i="105"/>
  <c r="S413" i="105"/>
  <c r="S383" i="105"/>
  <c r="S408" i="105"/>
  <c r="H494" i="105"/>
  <c r="H482" i="105" s="1"/>
  <c r="I499" i="105"/>
  <c r="F427" i="105" l="1"/>
  <c r="F426" i="105"/>
  <c r="H474" i="105"/>
  <c r="H502" i="105"/>
  <c r="S385" i="105"/>
  <c r="S386" i="105"/>
  <c r="T384" i="105"/>
  <c r="X384" i="105" s="1"/>
  <c r="X383" i="105"/>
  <c r="S398" i="105"/>
  <c r="S397" i="105"/>
  <c r="X394" i="105"/>
  <c r="T379" i="105"/>
  <c r="X370" i="105"/>
  <c r="S380" i="105"/>
  <c r="F239" i="107"/>
  <c r="F245" i="107"/>
  <c r="F247" i="107"/>
  <c r="F249" i="107"/>
  <c r="F252" i="107"/>
  <c r="F244" i="107"/>
  <c r="F246" i="107"/>
  <c r="F248" i="107"/>
  <c r="F250" i="107"/>
  <c r="G48" i="148"/>
  <c r="G144" i="148" s="1"/>
  <c r="F383" i="148" s="1"/>
  <c r="P96" i="133"/>
  <c r="P92" i="133"/>
  <c r="Y96" i="133"/>
  <c r="I494" i="105"/>
  <c r="I482" i="105" s="1"/>
  <c r="J499" i="105"/>
  <c r="T409" i="105"/>
  <c r="T408" i="105" s="1"/>
  <c r="S414" i="105"/>
  <c r="S415" i="105"/>
  <c r="S378" i="105"/>
  <c r="U373" i="105"/>
  <c r="X373" i="105" s="1"/>
  <c r="T372" i="105"/>
  <c r="W375" i="105"/>
  <c r="X375" i="105" s="1"/>
  <c r="V374" i="105"/>
  <c r="X374" i="105" s="1"/>
  <c r="X371" i="105"/>
  <c r="EV157" i="132"/>
  <c r="AQ371" i="132"/>
  <c r="T158" i="148"/>
  <c r="R162" i="148"/>
  <c r="T161" i="148" s="1"/>
  <c r="T163" i="148" s="1"/>
  <c r="R236" i="107"/>
  <c r="N462" i="105"/>
  <c r="N461" i="105" s="1"/>
  <c r="N450" i="105" s="1"/>
  <c r="Q36" i="219"/>
  <c r="G471" i="105"/>
  <c r="G470" i="105" s="1"/>
  <c r="G467" i="105" s="1"/>
  <c r="G466" i="105" s="1"/>
  <c r="G500" i="105" s="1"/>
  <c r="G508" i="105" s="1"/>
  <c r="K148" i="107"/>
  <c r="S395" i="105"/>
  <c r="Y374" i="105" l="1"/>
  <c r="H47" i="148"/>
  <c r="H48" i="148" s="1"/>
  <c r="H144" i="148" s="1"/>
  <c r="G383" i="148" s="1"/>
  <c r="G426" i="105"/>
  <c r="G427" i="105"/>
  <c r="J494" i="105"/>
  <c r="J482" i="105" s="1"/>
  <c r="K499" i="105"/>
  <c r="AA96" i="133"/>
  <c r="T80" i="148" s="1"/>
  <c r="AC96" i="133"/>
  <c r="V80" i="148" s="1"/>
  <c r="R256" i="107"/>
  <c r="P127" i="133"/>
  <c r="W127" i="133" s="1"/>
  <c r="W96" i="133"/>
  <c r="X96" i="133" s="1"/>
  <c r="Z96" i="133"/>
  <c r="S80" i="148" s="1"/>
  <c r="T380" i="105"/>
  <c r="S391" i="105"/>
  <c r="S86" i="105" s="1"/>
  <c r="T389" i="105"/>
  <c r="X379" i="105"/>
  <c r="T405" i="105"/>
  <c r="X405" i="105" s="1"/>
  <c r="X397" i="105"/>
  <c r="Y397" i="105" s="1"/>
  <c r="Y375" i="105"/>
  <c r="Y373" i="105"/>
  <c r="N463" i="105"/>
  <c r="L148" i="107"/>
  <c r="H471" i="105"/>
  <c r="H470" i="105" s="1"/>
  <c r="H467" i="105" s="1"/>
  <c r="H466" i="105" s="1"/>
  <c r="W158" i="148"/>
  <c r="W172" i="148" s="1"/>
  <c r="W173" i="148" s="1"/>
  <c r="W159" i="148" s="1"/>
  <c r="V158" i="148"/>
  <c r="V172" i="148" s="1"/>
  <c r="V173" i="148" s="1"/>
  <c r="V159" i="148" s="1"/>
  <c r="U158" i="148"/>
  <c r="U172" i="148" s="1"/>
  <c r="U173" i="148" s="1"/>
  <c r="U159" i="148" s="1"/>
  <c r="T172" i="148"/>
  <c r="T173" i="148" s="1"/>
  <c r="T159" i="148" s="1"/>
  <c r="AS371" i="132"/>
  <c r="EX157" i="132"/>
  <c r="T377" i="105"/>
  <c r="X372" i="105"/>
  <c r="Y372" i="105" s="1"/>
  <c r="S390" i="105"/>
  <c r="S85" i="105" s="1"/>
  <c r="I474" i="105"/>
  <c r="I502" i="105"/>
  <c r="W92" i="133"/>
  <c r="X92" i="133" s="1"/>
  <c r="P157" i="133"/>
  <c r="W157" i="133" s="1"/>
  <c r="X157" i="133" s="1"/>
  <c r="U400" i="105"/>
  <c r="X400" i="105" s="1"/>
  <c r="V401" i="105"/>
  <c r="X401" i="105" s="1"/>
  <c r="T399" i="105"/>
  <c r="W402" i="105"/>
  <c r="X402" i="105" s="1"/>
  <c r="X398" i="105"/>
  <c r="Y371" i="105"/>
  <c r="H500" i="105"/>
  <c r="H508" i="105" s="1"/>
  <c r="P129" i="133" l="1"/>
  <c r="O489" i="105" s="1"/>
  <c r="Y402" i="105"/>
  <c r="Y401" i="105"/>
  <c r="Q129" i="133"/>
  <c r="R129" i="133" s="1"/>
  <c r="S129" i="133" s="1"/>
  <c r="T129" i="133" s="1"/>
  <c r="U129" i="133" s="1"/>
  <c r="V129" i="133" s="1"/>
  <c r="T85" i="105"/>
  <c r="O458" i="105"/>
  <c r="T388" i="105"/>
  <c r="X377" i="105"/>
  <c r="Y377" i="105" s="1"/>
  <c r="H427" i="105"/>
  <c r="H426" i="105"/>
  <c r="T404" i="105"/>
  <c r="X399" i="105"/>
  <c r="Y399" i="105" s="1"/>
  <c r="EZ157" i="132"/>
  <c r="AU371" i="132"/>
  <c r="T168" i="148"/>
  <c r="D343" i="148" s="1"/>
  <c r="D342" i="148" s="1"/>
  <c r="D338" i="148" s="1"/>
  <c r="D335" i="148" s="1"/>
  <c r="T169" i="148"/>
  <c r="D382" i="148" s="1"/>
  <c r="U161" i="148"/>
  <c r="U163" i="148" s="1"/>
  <c r="V168" i="148"/>
  <c r="F343" i="148" s="1"/>
  <c r="F342" i="148" s="1"/>
  <c r="F338" i="148" s="1"/>
  <c r="F335" i="148" s="1"/>
  <c r="V169" i="148"/>
  <c r="F382" i="148" s="1"/>
  <c r="W161" i="148"/>
  <c r="W163" i="148" s="1"/>
  <c r="T86" i="105"/>
  <c r="O498" i="105"/>
  <c r="AJ80" i="148"/>
  <c r="AD80" i="148"/>
  <c r="AG80" i="148"/>
  <c r="AM80" i="148"/>
  <c r="J474" i="105"/>
  <c r="J502" i="105"/>
  <c r="Y400" i="105"/>
  <c r="T378" i="105"/>
  <c r="X127" i="133"/>
  <c r="G216" i="105" s="1"/>
  <c r="AB96" i="133"/>
  <c r="U80" i="148" s="1"/>
  <c r="AA80" i="148" s="1"/>
  <c r="U169" i="148"/>
  <c r="E382" i="148" s="1"/>
  <c r="V161" i="148"/>
  <c r="V163" i="148" s="1"/>
  <c r="U168" i="148"/>
  <c r="E343" i="148" s="1"/>
  <c r="E342" i="148" s="1"/>
  <c r="E338" i="148" s="1"/>
  <c r="E335" i="148" s="1"/>
  <c r="W169" i="148"/>
  <c r="G382" i="148" s="1"/>
  <c r="W168" i="148"/>
  <c r="G343" i="148" s="1"/>
  <c r="G342" i="148" s="1"/>
  <c r="G338" i="148" s="1"/>
  <c r="G335" i="148" s="1"/>
  <c r="I471" i="105"/>
  <c r="I470" i="105" s="1"/>
  <c r="I467" i="105" s="1"/>
  <c r="I466" i="105" s="1"/>
  <c r="I500" i="105" s="1"/>
  <c r="I508" i="105" s="1"/>
  <c r="M148" i="107"/>
  <c r="R14" i="219"/>
  <c r="R253" i="107"/>
  <c r="E256" i="107"/>
  <c r="AK80" i="148"/>
  <c r="AH80" i="148"/>
  <c r="AB80" i="148"/>
  <c r="AE80" i="148"/>
  <c r="K494" i="105"/>
  <c r="K482" i="105" s="1"/>
  <c r="L499" i="105"/>
  <c r="Y405" i="105"/>
  <c r="AF80" i="148" l="1"/>
  <c r="AB108" i="148" s="1"/>
  <c r="I426" i="105"/>
  <c r="I427" i="105"/>
  <c r="L494" i="105"/>
  <c r="L482" i="105" s="1"/>
  <c r="M499" i="105"/>
  <c r="D348" i="148"/>
  <c r="AW371" i="132"/>
  <c r="FB157" i="132"/>
  <c r="T411" i="105"/>
  <c r="X404" i="105"/>
  <c r="Y404" i="105" s="1"/>
  <c r="C373" i="148"/>
  <c r="Z109" i="148" s="1"/>
  <c r="O488" i="105"/>
  <c r="AC80" i="148"/>
  <c r="AA108" i="148" s="1"/>
  <c r="AI80" i="148"/>
  <c r="AC108" i="148" s="1"/>
  <c r="AL80" i="148"/>
  <c r="AD108" i="148" s="1"/>
  <c r="U86" i="105"/>
  <c r="V80" i="105" s="1"/>
  <c r="Z371" i="105" s="1"/>
  <c r="K474" i="105"/>
  <c r="K502" i="105"/>
  <c r="E253" i="107"/>
  <c r="R252" i="107"/>
  <c r="N148" i="107"/>
  <c r="J471" i="105"/>
  <c r="J470" i="105" s="1"/>
  <c r="J467" i="105" s="1"/>
  <c r="J466" i="105" s="1"/>
  <c r="J500" i="105" s="1"/>
  <c r="J508" i="105" s="1"/>
  <c r="G348" i="148"/>
  <c r="E348" i="148"/>
  <c r="C382" i="148"/>
  <c r="F348" i="148"/>
  <c r="O457" i="105"/>
  <c r="C343" i="148"/>
  <c r="AN80" i="148"/>
  <c r="J427" i="105" l="1"/>
  <c r="J426" i="105"/>
  <c r="L474" i="105"/>
  <c r="L502" i="105"/>
  <c r="AA109" i="148"/>
  <c r="R11" i="219"/>
  <c r="E252" i="107"/>
  <c r="R283" i="107"/>
  <c r="C342" i="148"/>
  <c r="O453" i="105"/>
  <c r="K471" i="105"/>
  <c r="K470" i="105" s="1"/>
  <c r="K467" i="105" s="1"/>
  <c r="K466" i="105" s="1"/>
  <c r="K500" i="105" s="1"/>
  <c r="K508" i="105" s="1"/>
  <c r="O148" i="107"/>
  <c r="C372" i="148"/>
  <c r="FD157" i="132"/>
  <c r="AY371" i="132"/>
  <c r="M494" i="105"/>
  <c r="M482" i="105" s="1"/>
  <c r="N499" i="105"/>
  <c r="K426" i="105" l="1"/>
  <c r="K427" i="105"/>
  <c r="O499" i="105"/>
  <c r="N494" i="105"/>
  <c r="N482" i="105" s="1"/>
  <c r="P148" i="107"/>
  <c r="L471" i="105"/>
  <c r="L470" i="105" s="1"/>
  <c r="L467" i="105" s="1"/>
  <c r="L466" i="105" s="1"/>
  <c r="L500" i="105" s="1"/>
  <c r="L508" i="105" s="1"/>
  <c r="C338" i="148"/>
  <c r="P454" i="105"/>
  <c r="P456" i="105"/>
  <c r="P458" i="105"/>
  <c r="P460" i="105"/>
  <c r="P455" i="105"/>
  <c r="P457" i="105"/>
  <c r="P459" i="105"/>
  <c r="R26" i="219"/>
  <c r="R285" i="107"/>
  <c r="M474" i="105"/>
  <c r="M502" i="105"/>
  <c r="FF157" i="132"/>
  <c r="BA371" i="132"/>
  <c r="F254" i="107"/>
  <c r="F256" i="107"/>
  <c r="F258" i="107"/>
  <c r="F260" i="107"/>
  <c r="F262" i="107"/>
  <c r="F264" i="107"/>
  <c r="F266" i="107"/>
  <c r="F268" i="107"/>
  <c r="F270" i="107"/>
  <c r="F272" i="107"/>
  <c r="F274" i="107"/>
  <c r="F276" i="107"/>
  <c r="F278" i="107"/>
  <c r="F280" i="107"/>
  <c r="E636" i="131"/>
  <c r="F253" i="107"/>
  <c r="F255" i="107"/>
  <c r="F257" i="107"/>
  <c r="F259" i="107"/>
  <c r="F261" i="107"/>
  <c r="F263" i="107"/>
  <c r="F265" i="107"/>
  <c r="F267" i="107"/>
  <c r="F269" i="107"/>
  <c r="F271" i="107"/>
  <c r="F273" i="107"/>
  <c r="F275" i="107"/>
  <c r="F277" i="107"/>
  <c r="F279" i="107"/>
  <c r="F281" i="107"/>
  <c r="E638" i="131"/>
  <c r="D373" i="148"/>
  <c r="D372" i="148" s="1"/>
  <c r="D366" i="148" s="1"/>
  <c r="AB109" i="148"/>
  <c r="L427" i="105" l="1"/>
  <c r="L426" i="105"/>
  <c r="N474" i="105"/>
  <c r="N502" i="105"/>
  <c r="E373" i="148"/>
  <c r="E372" i="148" s="1"/>
  <c r="E366" i="148" s="1"/>
  <c r="AC109" i="148"/>
  <c r="BC371" i="132"/>
  <c r="FH157" i="132"/>
  <c r="R27" i="219"/>
  <c r="R287" i="107"/>
  <c r="R31" i="219"/>
  <c r="M471" i="105"/>
  <c r="M470" i="105" s="1"/>
  <c r="M467" i="105" s="1"/>
  <c r="M466" i="105" s="1"/>
  <c r="Q148" i="107"/>
  <c r="C383" i="148"/>
  <c r="O494" i="105"/>
  <c r="M500" i="105"/>
  <c r="M508" i="105" s="1"/>
  <c r="D358" i="148"/>
  <c r="D384" i="148" s="1"/>
  <c r="E392" i="148" s="1"/>
  <c r="D386" i="148"/>
  <c r="D311" i="148" l="1"/>
  <c r="D312" i="148"/>
  <c r="C378" i="148"/>
  <c r="O482" i="105"/>
  <c r="R148" i="107"/>
  <c r="O471" i="105" s="1"/>
  <c r="N471" i="105"/>
  <c r="N470" i="105" s="1"/>
  <c r="N467" i="105" s="1"/>
  <c r="N466" i="105" s="1"/>
  <c r="N500" i="105" s="1"/>
  <c r="N508" i="105" s="1"/>
  <c r="E358" i="148"/>
  <c r="E384" i="148" s="1"/>
  <c r="F392" i="148" s="1"/>
  <c r="E386" i="148"/>
  <c r="M426" i="105"/>
  <c r="M427" i="105"/>
  <c r="R36" i="219"/>
  <c r="O462" i="105"/>
  <c r="G33" i="131"/>
  <c r="FJ157" i="132"/>
  <c r="BG371" i="132" s="1"/>
  <c r="BE371" i="132"/>
  <c r="F373" i="148"/>
  <c r="F372" i="148" s="1"/>
  <c r="F366" i="148" s="1"/>
  <c r="AD109" i="148"/>
  <c r="G373" i="148" s="1"/>
  <c r="G372" i="148" s="1"/>
  <c r="G366" i="148" s="1"/>
  <c r="N427" i="105" l="1"/>
  <c r="N426" i="105"/>
  <c r="G358" i="148"/>
  <c r="G384" i="148" s="1"/>
  <c r="H392" i="148" s="1"/>
  <c r="G386" i="148"/>
  <c r="F358" i="148"/>
  <c r="F384" i="148" s="1"/>
  <c r="G392" i="148" s="1"/>
  <c r="F386" i="148"/>
  <c r="O461" i="105"/>
  <c r="O450" i="105" s="1"/>
  <c r="C347" i="148"/>
  <c r="C346" i="148" s="1"/>
  <c r="E312" i="148"/>
  <c r="E311" i="148"/>
  <c r="O470" i="105"/>
  <c r="D394" i="148"/>
  <c r="C366" i="148"/>
  <c r="P483" i="105"/>
  <c r="P485" i="105"/>
  <c r="P487" i="105"/>
  <c r="P489" i="105"/>
  <c r="P491" i="105"/>
  <c r="P493" i="105"/>
  <c r="P495" i="105"/>
  <c r="P497" i="105"/>
  <c r="P499" i="105"/>
  <c r="P484" i="105"/>
  <c r="P486" i="105"/>
  <c r="P488" i="105"/>
  <c r="P490" i="105"/>
  <c r="P492" i="105"/>
  <c r="P494" i="105"/>
  <c r="P496" i="105"/>
  <c r="P498" i="105"/>
  <c r="O474" i="105"/>
  <c r="P475" i="105" l="1"/>
  <c r="C358" i="148"/>
  <c r="P482" i="105"/>
  <c r="C355" i="148"/>
  <c r="O467" i="105"/>
  <c r="C335" i="148"/>
  <c r="O502" i="105"/>
  <c r="P451" i="105"/>
  <c r="O463" i="105"/>
  <c r="P453" i="105"/>
  <c r="P461" i="105"/>
  <c r="F311" i="148"/>
  <c r="F312" i="148"/>
  <c r="G312" i="148"/>
  <c r="G311" i="148"/>
  <c r="C348" i="148" l="1"/>
  <c r="P434" i="105"/>
  <c r="P450" i="105"/>
  <c r="C386" i="148"/>
  <c r="B393" i="148" s="1"/>
  <c r="C509" i="105"/>
  <c r="O466" i="105"/>
  <c r="C352" i="148"/>
  <c r="P468" i="105"/>
  <c r="P470" i="105"/>
  <c r="P472" i="105" l="1"/>
  <c r="C351" i="148"/>
  <c r="P467" i="105"/>
  <c r="O500" i="105"/>
  <c r="C384" i="148" l="1"/>
  <c r="D392" i="148" s="1"/>
  <c r="P466" i="105"/>
  <c r="P502" i="105"/>
  <c r="P474" i="105"/>
  <c r="O508" i="105"/>
  <c r="O426" i="105" l="1"/>
  <c r="O427" i="105"/>
  <c r="C312" i="148"/>
  <c r="C311" i="148"/>
  <c r="H314" i="148" s="1"/>
  <c r="I314" i="148" s="1"/>
  <c r="BV313" i="148" s="1"/>
  <c r="BW313" i="148" s="1"/>
</calcChain>
</file>

<file path=xl/comments1.xml><?xml version="1.0" encoding="utf-8"?>
<comments xmlns="http://schemas.openxmlformats.org/spreadsheetml/2006/main">
  <authors>
    <author>Autor</author>
  </authors>
  <commentList>
    <comment ref="J28" authorId="0">
      <text>
        <r>
          <rPr>
            <b/>
            <sz val="9"/>
            <color indexed="60"/>
            <rFont val="Tahoma"/>
            <family val="2"/>
          </rPr>
          <t>Pon aquí el  %  de IMPAGADOS</t>
        </r>
        <r>
          <rPr>
            <sz val="9"/>
            <color indexed="60"/>
            <rFont val="Tahoma"/>
            <family val="2"/>
          </rPr>
          <t xml:space="preserve">
 que prevés tener.</t>
        </r>
      </text>
    </comment>
  </commentList>
</comments>
</file>

<file path=xl/comments10.xml><?xml version="1.0" encoding="utf-8"?>
<comments xmlns="http://schemas.openxmlformats.org/spreadsheetml/2006/main">
  <authors>
    <author>Autor</author>
  </authors>
  <commentList>
    <comment ref="D164" authorId="0">
      <text>
        <r>
          <rPr>
            <b/>
            <sz val="9"/>
            <color indexed="81"/>
            <rFont val="Tahoma"/>
            <charset val="1"/>
          </rPr>
          <t>VENTAS ANTERIORES.
EFECTOS DESCONTADOS ANTERIORMENTE
hoja 1a</t>
        </r>
      </text>
    </comment>
    <comment ref="D166" authorId="0">
      <text>
        <r>
          <rPr>
            <b/>
            <sz val="9"/>
            <color indexed="81"/>
            <rFont val="Tahoma"/>
            <charset val="1"/>
          </rPr>
          <t xml:space="preserve">VENTAS ANTERIORES </t>
        </r>
        <r>
          <rPr>
            <b/>
            <sz val="8"/>
            <color indexed="81"/>
            <rFont val="Tahoma"/>
            <family val="2"/>
          </rPr>
          <t>EFECTOS NO DESCONTADOS</t>
        </r>
        <r>
          <rPr>
            <b/>
            <sz val="9"/>
            <color indexed="81"/>
            <rFont val="Tahoma"/>
            <charset val="1"/>
          </rPr>
          <t xml:space="preserve"> </t>
        </r>
        <r>
          <rPr>
            <sz val="8"/>
            <color indexed="81"/>
            <rFont val="Tahoma"/>
            <family val="2"/>
          </rPr>
          <t>(gestión de cobro propia)</t>
        </r>
        <r>
          <rPr>
            <b/>
            <sz val="9"/>
            <color indexed="81"/>
            <rFont val="Tahoma"/>
            <charset val="1"/>
          </rPr>
          <t xml:space="preserve">
hoja 1a</t>
        </r>
      </text>
    </comment>
    <comment ref="D168" authorId="0">
      <text>
        <r>
          <rPr>
            <b/>
            <sz val="9"/>
            <color indexed="81"/>
            <rFont val="Tahoma"/>
            <family val="2"/>
          </rPr>
          <t xml:space="preserve">Gestión de cobro propia:
</t>
        </r>
        <r>
          <rPr>
            <sz val="9"/>
            <color indexed="81"/>
            <rFont val="Tahoma"/>
            <family val="2"/>
          </rPr>
          <t>- Efectos en cartera
- Efectos a la vista (% cobro en el mes)</t>
        </r>
      </text>
    </comment>
    <comment ref="D169" authorId="0">
      <text>
        <r>
          <rPr>
            <b/>
            <sz val="9"/>
            <color indexed="81"/>
            <rFont val="Tahoma"/>
            <family val="2"/>
          </rPr>
          <t xml:space="preserve">RESTO VENCIMIENTOS
</t>
        </r>
        <r>
          <rPr>
            <sz val="9"/>
            <color indexed="81"/>
            <rFont val="Tahoma"/>
            <family val="2"/>
          </rPr>
          <t>- Efectos en circulación
- Vencimientos meses POSTERIORES</t>
        </r>
      </text>
    </comment>
    <comment ref="D170" authorId="0">
      <text>
        <r>
          <rPr>
            <b/>
            <sz val="9"/>
            <color indexed="81"/>
            <rFont val="Tahoma"/>
            <family val="2"/>
          </rPr>
          <t>EFECTOS DESCONTADOS
SALDO MENSUAL</t>
        </r>
        <r>
          <rPr>
            <sz val="9"/>
            <color indexed="81"/>
            <rFont val="Tahoma"/>
            <family val="2"/>
          </rPr>
          <t xml:space="preserve">
</t>
        </r>
      </text>
    </comment>
    <comment ref="D171" authorId="0">
      <text>
        <r>
          <rPr>
            <b/>
            <sz val="9"/>
            <color indexed="81"/>
            <rFont val="Tahoma"/>
            <family val="2"/>
          </rPr>
          <t>EFECTOS QUE QUEDAN EN CARTERA POR MES DE VENCIMIENTO</t>
        </r>
        <r>
          <rPr>
            <sz val="9"/>
            <color indexed="81"/>
            <rFont val="Tahoma"/>
            <family val="2"/>
          </rPr>
          <t xml:space="preserve"> (efectos no descontados)</t>
        </r>
      </text>
    </comment>
    <comment ref="D173" authorId="0">
      <text>
        <r>
          <rPr>
            <b/>
            <sz val="9"/>
            <color indexed="81"/>
            <rFont val="Tahoma"/>
            <family val="2"/>
          </rPr>
          <t xml:space="preserve">RESTO VENCIMIENTOS
</t>
        </r>
        <r>
          <rPr>
            <sz val="9"/>
            <color indexed="81"/>
            <rFont val="Tahoma"/>
            <family val="2"/>
          </rPr>
          <t>- Efectos en circulación
- Vencimientos meses POSTERIORES</t>
        </r>
      </text>
    </comment>
    <comment ref="D177" authorId="0">
      <text>
        <r>
          <rPr>
            <b/>
            <sz val="9"/>
            <color indexed="81"/>
            <rFont val="Tahoma"/>
            <family val="2"/>
          </rPr>
          <t xml:space="preserve">RESTO VENCIMIENTOS
</t>
        </r>
        <r>
          <rPr>
            <sz val="9"/>
            <color indexed="81"/>
            <rFont val="Tahoma"/>
            <family val="2"/>
          </rPr>
          <t>- Efectos en circulación
- Vencimientos meses POSTERIORES</t>
        </r>
      </text>
    </comment>
    <comment ref="B252" authorId="0">
      <text>
        <r>
          <rPr>
            <b/>
            <sz val="12"/>
            <color indexed="16"/>
            <rFont val="Tahoma"/>
            <family val="2"/>
          </rPr>
          <t>Esta línea te informa del CRÉDITO (saldo) DISPONIBLE</t>
        </r>
        <r>
          <rPr>
            <sz val="11"/>
            <color indexed="16"/>
            <rFont val="Tahoma"/>
            <family val="2"/>
          </rPr>
          <t xml:space="preserve">
En la fila inferior puedes poner el importe de los efectos comerciales que 
deseas descontar que - como máximo - puede ser igual al importe 
aquí indicado, en caso contrario aparece un aviso de error 
(cuidado: el cálculo se hará igualmente).</t>
        </r>
      </text>
    </comment>
    <comment ref="B253" authorId="0">
      <text>
        <r>
          <rPr>
            <b/>
            <sz val="12"/>
            <color indexed="16"/>
            <rFont val="Tahoma"/>
            <family val="2"/>
          </rPr>
          <t xml:space="preserve">Pon aquí los importes mensuales que deseas descontar.
</t>
        </r>
        <r>
          <rPr>
            <b/>
            <sz val="12"/>
            <color indexed="10"/>
            <rFont val="Tahoma"/>
            <family val="2"/>
          </rPr>
          <t>MUY IMPORTANTE</t>
        </r>
        <r>
          <rPr>
            <b/>
            <sz val="12"/>
            <color indexed="16"/>
            <rFont val="Tahoma"/>
            <family val="2"/>
          </rPr>
          <t xml:space="preserve">
</t>
        </r>
        <r>
          <rPr>
            <sz val="12"/>
            <color indexed="16"/>
            <rFont val="Tahoma"/>
            <family val="2"/>
          </rPr>
          <t>Los importes DEBEN SER:</t>
        </r>
        <r>
          <rPr>
            <sz val="11"/>
            <color indexed="16"/>
            <rFont val="Tahoma"/>
            <family val="2"/>
          </rPr>
          <t xml:space="preserve">
1- Iguales o inferiores al crédito disponible indicado más arriba.
2- Iguales o inferiores al total de efectos en cartera indicado más abajo
</t>
        </r>
        <r>
          <rPr>
            <b/>
            <sz val="11"/>
            <color indexed="16"/>
            <rFont val="Tahoma"/>
            <family val="2"/>
          </rPr>
          <t>Para hacerlo fácil: ABAJO TIENES EL IMPORTE MÁXIMO QUE PUEDES 
DESCONTAR EN EL MES</t>
        </r>
      </text>
    </comment>
    <comment ref="B254" authorId="0">
      <text>
        <r>
          <rPr>
            <b/>
            <sz val="12"/>
            <color indexed="16"/>
            <rFont val="Tahoma"/>
            <family val="2"/>
          </rPr>
          <t xml:space="preserve">Esta línea te informa del IMPORTE MÁXIMO que puedes incluir en la fila de arriba
</t>
        </r>
        <r>
          <rPr>
            <sz val="12"/>
            <color indexed="16"/>
            <rFont val="Tahoma"/>
            <family val="2"/>
          </rPr>
          <t>EL IMPORTE ES EL MISMO QUE DEBE FIGURAR - COMO MÁXIMO - EN LA FILA SUPERIOR</t>
        </r>
      </text>
    </comment>
    <comment ref="B255" authorId="0">
      <text>
        <r>
          <rPr>
            <b/>
            <sz val="12"/>
            <color indexed="16"/>
            <rFont val="Tahoma"/>
            <family val="2"/>
          </rPr>
          <t xml:space="preserve">Esta línea te informa del saldo mensual de efectos 
comerciales disponibles </t>
        </r>
        <r>
          <rPr>
            <sz val="11"/>
            <color indexed="16"/>
            <rFont val="Tahoma"/>
            <family val="2"/>
          </rPr>
          <t xml:space="preserve">
En la fila superior puedes poner el importe de los efectos comerciales que 
deseas descontar que - como máximo - puede ser igual al importe 
aquí indicado, en caso contrario aparece un aviso de error 
(cuidado: el cálculo se hará igualmente).
</t>
        </r>
        <r>
          <rPr>
            <b/>
            <sz val="11"/>
            <color indexed="16"/>
            <rFont val="Tahoma"/>
            <family val="2"/>
          </rPr>
          <t>Efectos comerciales disponibles son la parte diferida de 
las ventas mensuales</t>
        </r>
        <r>
          <rPr>
            <sz val="11"/>
            <color indexed="16"/>
            <rFont val="Tahoma"/>
            <family val="2"/>
          </rPr>
          <t>, no incluyen:
- La parte de las ventas que has indicado que se cobra en el mes (a la vista).
- Otros ingresos que no son ventas.</t>
        </r>
      </text>
    </comment>
  </commentList>
</comments>
</file>

<file path=xl/comments11.xml><?xml version="1.0" encoding="utf-8"?>
<comments xmlns="http://schemas.openxmlformats.org/spreadsheetml/2006/main">
  <authors>
    <author>Autor</author>
  </authors>
  <commentList>
    <comment ref="AD79" authorId="0">
      <text>
        <r>
          <rPr>
            <b/>
            <sz val="8"/>
            <color indexed="81"/>
            <rFont val="Tahoma"/>
          </rPr>
          <t>es el posterior para la fórmula (referido al año anterior)</t>
        </r>
      </text>
    </comment>
    <comment ref="AG79" authorId="0">
      <text>
        <r>
          <rPr>
            <b/>
            <sz val="8"/>
            <color indexed="81"/>
            <rFont val="Tahoma"/>
          </rPr>
          <t>es el posterior para la fórmula (referido al año anterior)</t>
        </r>
      </text>
    </comment>
    <comment ref="AJ79" authorId="0">
      <text>
        <r>
          <rPr>
            <b/>
            <sz val="8"/>
            <color indexed="81"/>
            <rFont val="Tahoma"/>
          </rPr>
          <t>es el posterior para la fórmula (referido al año anterior)</t>
        </r>
      </text>
    </comment>
    <comment ref="B364" authorId="0">
      <text>
        <r>
          <rPr>
            <sz val="11"/>
            <color indexed="81"/>
            <rFont val="Tahoma"/>
            <family val="2"/>
          </rPr>
          <t>Sólo si has elegido tratarlos 
como inmovilizado financiero</t>
        </r>
      </text>
    </comment>
  </commentList>
</comments>
</file>

<file path=xl/comments12.xml><?xml version="1.0" encoding="utf-8"?>
<comments xmlns="http://schemas.openxmlformats.org/spreadsheetml/2006/main">
  <authors>
    <author>Autor</author>
  </authors>
  <commentList>
    <comment ref="D670" authorId="0">
      <text>
        <r>
          <rPr>
            <b/>
            <sz val="12"/>
            <color indexed="81"/>
            <rFont val="Tahoma"/>
            <family val="2"/>
          </rPr>
          <t>% de variación respecto al año anterior</t>
        </r>
        <r>
          <rPr>
            <sz val="12"/>
            <color indexed="81"/>
            <rFont val="Tahoma"/>
            <family val="2"/>
          </rPr>
          <t xml:space="preserve">
</t>
        </r>
        <r>
          <rPr>
            <sz val="11"/>
            <color indexed="81"/>
            <rFont val="Tahoma"/>
            <family val="2"/>
          </rPr>
          <t>En positivo (incremento) o en negativo (decremento)</t>
        </r>
      </text>
    </comment>
    <comment ref="D673" authorId="0">
      <text>
        <r>
          <rPr>
            <sz val="11"/>
            <color indexed="16"/>
            <rFont val="Tahoma"/>
            <family val="2"/>
          </rPr>
          <t>Leasings tratados como arrendamiento:
No se incluyen el el cálculo mediante variación %</t>
        </r>
      </text>
    </comment>
    <comment ref="D681" authorId="0">
      <text>
        <r>
          <rPr>
            <b/>
            <sz val="12"/>
            <color indexed="81"/>
            <rFont val="Tahoma"/>
            <family val="2"/>
          </rPr>
          <t>Pon los importes que destinarás a dividendos</t>
        </r>
        <r>
          <rPr>
            <b/>
            <sz val="11"/>
            <color indexed="81"/>
            <rFont val="Tahoma"/>
            <family val="2"/>
          </rPr>
          <t xml:space="preserve">
</t>
        </r>
        <r>
          <rPr>
            <sz val="11"/>
            <color indexed="81"/>
            <rFont val="Tahoma"/>
            <family val="2"/>
          </rPr>
          <t>Debe ser, como máximo, igual a los beneficios del año anterior.</t>
        </r>
      </text>
    </comment>
  </commentList>
</comments>
</file>

<file path=xl/comments13.xml><?xml version="1.0" encoding="utf-8"?>
<comments xmlns="http://schemas.openxmlformats.org/spreadsheetml/2006/main">
  <authors>
    <author>Autor</author>
  </authors>
  <commentList>
    <comment ref="D206" authorId="0">
      <text>
        <r>
          <rPr>
            <b/>
            <sz val="11"/>
            <color indexed="81"/>
            <rFont val="Tahoma"/>
            <family val="2"/>
          </rPr>
          <t>Pon el nombre de los socios</t>
        </r>
        <r>
          <rPr>
            <sz val="11"/>
            <color indexed="81"/>
            <rFont val="Tahoma"/>
            <family val="2"/>
          </rPr>
          <t>, el % de participación 
y los importes que van a desembolsar en el mes 
correspondiente.</t>
        </r>
        <r>
          <rPr>
            <b/>
            <sz val="11"/>
            <color indexed="81"/>
            <rFont val="Tahoma"/>
            <family val="2"/>
          </rPr>
          <t xml:space="preserve">
</t>
        </r>
        <r>
          <rPr>
            <b/>
            <sz val="12"/>
            <color indexed="81"/>
            <rFont val="Tahoma"/>
            <family val="2"/>
          </rPr>
          <t>Hay filas ocultas a tu disposición</t>
        </r>
      </text>
    </comment>
    <comment ref="C251" authorId="0">
      <text>
        <r>
          <rPr>
            <sz val="12"/>
            <color indexed="81"/>
            <rFont val="Tahoma"/>
            <family val="2"/>
          </rPr>
          <t xml:space="preserve">Pon aquí la denominación o puesto de trabajo
</t>
        </r>
        <r>
          <rPr>
            <b/>
            <sz val="12"/>
            <color indexed="81"/>
            <rFont val="Tahoma"/>
            <family val="2"/>
          </rPr>
          <t>Recuerda que hay muchas filas ocultas a 
tu disposición</t>
        </r>
      </text>
    </comment>
    <comment ref="D251" authorId="0">
      <text>
        <r>
          <rPr>
            <sz val="12"/>
            <color indexed="81"/>
            <rFont val="Tahoma"/>
            <family val="2"/>
          </rPr>
          <t xml:space="preserve">Pon aquí el salario </t>
        </r>
        <r>
          <rPr>
            <b/>
            <sz val="12"/>
            <color indexed="81"/>
            <rFont val="Tahoma"/>
            <family val="2"/>
          </rPr>
          <t xml:space="preserve">bruto mensual
</t>
        </r>
        <r>
          <rPr>
            <sz val="12"/>
            <color indexed="81"/>
            <rFont val="Tahoma"/>
            <family val="2"/>
          </rPr>
          <t>bruto = completo sin deducciones
ni retenciones y sin tener en cuenta 
costes para la empresa</t>
        </r>
      </text>
    </comment>
    <comment ref="E251" authorId="0">
      <text>
        <r>
          <rPr>
            <sz val="12"/>
            <color indexed="81"/>
            <rFont val="Tahoma"/>
            <family val="2"/>
          </rPr>
          <t xml:space="preserve">Pon aquí el </t>
        </r>
        <r>
          <rPr>
            <b/>
            <sz val="12"/>
            <color indexed="81"/>
            <rFont val="Tahoma"/>
            <family val="2"/>
          </rPr>
          <t>% de coste adicional</t>
        </r>
        <r>
          <rPr>
            <sz val="12"/>
            <color indexed="81"/>
            <rFont val="Tahoma"/>
            <family val="2"/>
          </rPr>
          <t xml:space="preserve"> para
 la empresa sobre  salario bruto.</t>
        </r>
      </text>
    </comment>
    <comment ref="F251" authorId="0">
      <text>
        <r>
          <rPr>
            <sz val="12"/>
            <color indexed="81"/>
            <rFont val="Tahoma"/>
            <family val="2"/>
          </rPr>
          <t xml:space="preserve">Pon aquí el </t>
        </r>
        <r>
          <rPr>
            <b/>
            <sz val="12"/>
            <color indexed="81"/>
            <rFont val="Tahoma"/>
            <family val="2"/>
          </rPr>
          <t>% de retención</t>
        </r>
        <r>
          <rPr>
            <sz val="12"/>
            <color indexed="81"/>
            <rFont val="Tahoma"/>
            <family val="2"/>
          </rPr>
          <t xml:space="preserve"> sobre  salario bruto.
Este importe no es un coste, es una deducción que
 se realiza a cuenta de impuestos o similares.</t>
        </r>
      </text>
    </comment>
    <comment ref="G251" authorId="0">
      <text>
        <r>
          <rPr>
            <sz val="12"/>
            <color indexed="81"/>
            <rFont val="Tahoma"/>
            <family val="2"/>
          </rPr>
          <t xml:space="preserve">Indica aquí a que sección o departamento 
se asigna el coste (ventas, administración, etc.).
</t>
        </r>
        <r>
          <rPr>
            <b/>
            <sz val="12"/>
            <color indexed="81"/>
            <rFont val="Tahoma"/>
            <family val="2"/>
          </rPr>
          <t>Elige de la lista</t>
        </r>
        <r>
          <rPr>
            <sz val="12"/>
            <color indexed="81"/>
            <rFont val="Tahoma"/>
            <family val="2"/>
          </rPr>
          <t>.</t>
        </r>
      </text>
    </comment>
    <comment ref="N251" authorId="0">
      <text>
        <r>
          <rPr>
            <sz val="12"/>
            <color indexed="81"/>
            <rFont val="Tahoma"/>
            <family val="2"/>
          </rPr>
          <t xml:space="preserve">Pon aquí el número de personas 
o pagas que se abonarán cada mes.
</t>
        </r>
        <r>
          <rPr>
            <b/>
            <sz val="12"/>
            <color indexed="81"/>
            <rFont val="Tahoma"/>
            <family val="2"/>
          </rPr>
          <t>Número de personas, no importes</t>
        </r>
      </text>
    </comment>
    <comment ref="E317" authorId="0">
      <text>
        <r>
          <rPr>
            <sz val="12"/>
            <color indexed="81"/>
            <rFont val="Tahoma"/>
            <family val="2"/>
          </rPr>
          <t xml:space="preserve">Pon aquí el </t>
        </r>
        <r>
          <rPr>
            <b/>
            <sz val="12"/>
            <color indexed="81"/>
            <rFont val="Tahoma"/>
            <family val="2"/>
          </rPr>
          <t>% de coste adicional</t>
        </r>
        <r>
          <rPr>
            <sz val="12"/>
            <color indexed="81"/>
            <rFont val="Tahoma"/>
            <family val="2"/>
          </rPr>
          <t xml:space="preserve"> para
 la empresa sobre  salario bruto.</t>
        </r>
      </text>
    </comment>
    <comment ref="F317" authorId="0">
      <text>
        <r>
          <rPr>
            <sz val="12"/>
            <color indexed="81"/>
            <rFont val="Tahoma"/>
            <family val="2"/>
          </rPr>
          <t xml:space="preserve">Pon aquí el </t>
        </r>
        <r>
          <rPr>
            <b/>
            <sz val="12"/>
            <color indexed="81"/>
            <rFont val="Tahoma"/>
            <family val="2"/>
          </rPr>
          <t>% de retención</t>
        </r>
        <r>
          <rPr>
            <sz val="12"/>
            <color indexed="81"/>
            <rFont val="Tahoma"/>
            <family val="2"/>
          </rPr>
          <t xml:space="preserve"> sobre  salario bruto.
Este importe no es un coste, es una deducción que
 se realiza a cuenta de impuestos o similares.</t>
        </r>
      </text>
    </comment>
    <comment ref="E354" authorId="0">
      <text>
        <r>
          <rPr>
            <sz val="12"/>
            <color indexed="81"/>
            <rFont val="Tahoma"/>
            <family val="2"/>
          </rPr>
          <t xml:space="preserve">Pon aquí el </t>
        </r>
        <r>
          <rPr>
            <b/>
            <sz val="12"/>
            <color indexed="81"/>
            <rFont val="Tahoma"/>
            <family val="2"/>
          </rPr>
          <t>% de coste adicional</t>
        </r>
        <r>
          <rPr>
            <sz val="12"/>
            <color indexed="81"/>
            <rFont val="Tahoma"/>
            <family val="2"/>
          </rPr>
          <t xml:space="preserve"> para
 la empresa sobre  salario bruto.</t>
        </r>
      </text>
    </comment>
    <comment ref="F354" authorId="0">
      <text>
        <r>
          <rPr>
            <sz val="12"/>
            <color indexed="81"/>
            <rFont val="Tahoma"/>
            <family val="2"/>
          </rPr>
          <t xml:space="preserve">Pon aquí el </t>
        </r>
        <r>
          <rPr>
            <b/>
            <sz val="12"/>
            <color indexed="81"/>
            <rFont val="Tahoma"/>
            <family val="2"/>
          </rPr>
          <t>% de retención</t>
        </r>
        <r>
          <rPr>
            <sz val="12"/>
            <color indexed="81"/>
            <rFont val="Tahoma"/>
            <family val="2"/>
          </rPr>
          <t xml:space="preserve"> sobre  salario bruto.
Este importe no es un coste, es una deducción que
 se realiza a cuenta de impuestos o similares.</t>
        </r>
      </text>
    </comment>
    <comment ref="D1056" authorId="0">
      <text>
        <r>
          <rPr>
            <sz val="11"/>
            <color indexed="16"/>
            <rFont val="Tahoma"/>
            <family val="2"/>
          </rPr>
          <t>Incluye también los leasings tratados como arrendamiento</t>
        </r>
      </text>
    </comment>
  </commentList>
</comments>
</file>

<file path=xl/comments2.xml><?xml version="1.0" encoding="utf-8"?>
<comments xmlns="http://schemas.openxmlformats.org/spreadsheetml/2006/main">
  <authors>
    <author>Autor</author>
  </authors>
  <commentList>
    <comment ref="E4" authorId="0">
      <text>
        <r>
          <rPr>
            <b/>
            <sz val="8"/>
            <color indexed="60"/>
            <rFont val="Tahoma"/>
            <family val="2"/>
          </rPr>
          <t xml:space="preserve">INVERSIONES EN ACTIVOS MATERIALES
</t>
        </r>
        <r>
          <rPr>
            <sz val="8"/>
            <color indexed="60"/>
            <rFont val="Tahoma"/>
            <family val="2"/>
          </rPr>
          <t>Terrenos, locales, maquinaria, etc.</t>
        </r>
        <r>
          <rPr>
            <b/>
            <sz val="8"/>
            <color indexed="60"/>
            <rFont val="Tahoma"/>
            <family val="2"/>
          </rPr>
          <t xml:space="preserve">
PON LA DENOMINACIÓN del activo </t>
        </r>
        <r>
          <rPr>
            <sz val="8"/>
            <color indexed="60"/>
            <rFont val="Tahoma"/>
            <family val="2"/>
          </rPr>
          <t xml:space="preserve">
y-o la descripción</t>
        </r>
      </text>
    </comment>
    <comment ref="G4" authorId="0">
      <text>
        <r>
          <rPr>
            <b/>
            <sz val="8"/>
            <color indexed="60"/>
            <rFont val="Tahoma"/>
            <family val="2"/>
          </rPr>
          <t xml:space="preserve">Elige de la lista </t>
        </r>
        <r>
          <rPr>
            <sz val="8"/>
            <color indexed="60"/>
            <rFont val="Tahoma"/>
            <family val="2"/>
          </rPr>
          <t xml:space="preserve">
tipo de activo</t>
        </r>
      </text>
    </comment>
    <comment ref="I4" authorId="0">
      <text>
        <r>
          <rPr>
            <b/>
            <sz val="8"/>
            <color indexed="60"/>
            <rFont val="Tahoma"/>
            <family val="2"/>
          </rPr>
          <t xml:space="preserve">Valor sin IVA de los activos </t>
        </r>
        <r>
          <rPr>
            <sz val="8"/>
            <color indexed="60"/>
            <rFont val="Tahoma"/>
            <family val="2"/>
          </rPr>
          <t xml:space="preserve">
Pon importe</t>
        </r>
      </text>
    </comment>
    <comment ref="J4" authorId="0">
      <text>
        <r>
          <rPr>
            <b/>
            <sz val="8"/>
            <color indexed="60"/>
            <rFont val="Tahoma"/>
            <family val="2"/>
          </rPr>
          <t xml:space="preserve">Mes de adquisición y pago  </t>
        </r>
        <r>
          <rPr>
            <sz val="8"/>
            <color indexed="60"/>
            <rFont val="Tahoma"/>
            <family val="2"/>
          </rPr>
          <t xml:space="preserve">
Elige el mes de la lista</t>
        </r>
      </text>
    </comment>
    <comment ref="E12" authorId="0">
      <text>
        <r>
          <rPr>
            <b/>
            <sz val="8"/>
            <color indexed="60"/>
            <rFont val="Tahoma"/>
            <family val="2"/>
          </rPr>
          <t xml:space="preserve">INVERSIONES EN ACTIVOS INTANGIBLES
QUE SEAN </t>
        </r>
        <r>
          <rPr>
            <b/>
            <u/>
            <sz val="8"/>
            <color indexed="60"/>
            <rFont val="Tahoma"/>
            <family val="2"/>
          </rPr>
          <t>AMORTIZABLES</t>
        </r>
        <r>
          <rPr>
            <b/>
            <sz val="8"/>
            <color indexed="60"/>
            <rFont val="Tahoma"/>
            <family val="2"/>
          </rPr>
          <t xml:space="preserve"> 
(NO DEDUCIBLES COMO GASTO)
</t>
        </r>
        <r>
          <rPr>
            <sz val="8"/>
            <color indexed="60"/>
            <rFont val="Tahoma"/>
            <family val="2"/>
          </rPr>
          <t>Derechos, licencias, patentes, etc.</t>
        </r>
        <r>
          <rPr>
            <b/>
            <sz val="8"/>
            <color indexed="60"/>
            <rFont val="Tahoma"/>
            <family val="2"/>
          </rPr>
          <t xml:space="preserve">
PON LA DENOMINACIÓN del activo </t>
        </r>
        <r>
          <rPr>
            <sz val="8"/>
            <color indexed="60"/>
            <rFont val="Tahoma"/>
            <family val="2"/>
          </rPr>
          <t xml:space="preserve">
y-o la descripción</t>
        </r>
      </text>
    </comment>
    <comment ref="G12" authorId="0">
      <text>
        <r>
          <rPr>
            <b/>
            <sz val="8"/>
            <color indexed="60"/>
            <rFont val="Tahoma"/>
            <family val="2"/>
          </rPr>
          <t xml:space="preserve">Elige de la lista </t>
        </r>
        <r>
          <rPr>
            <sz val="8"/>
            <color indexed="60"/>
            <rFont val="Tahoma"/>
            <family val="2"/>
          </rPr>
          <t xml:space="preserve">
tipo de activo</t>
        </r>
      </text>
    </comment>
    <comment ref="I12" authorId="0">
      <text>
        <r>
          <rPr>
            <b/>
            <sz val="8"/>
            <color indexed="60"/>
            <rFont val="Tahoma"/>
            <family val="2"/>
          </rPr>
          <t xml:space="preserve">Valor sin IVA de los activos </t>
        </r>
        <r>
          <rPr>
            <sz val="8"/>
            <color indexed="60"/>
            <rFont val="Tahoma"/>
            <family val="2"/>
          </rPr>
          <t xml:space="preserve">
Pon importe</t>
        </r>
      </text>
    </comment>
    <comment ref="J12" authorId="0">
      <text>
        <r>
          <rPr>
            <b/>
            <sz val="8"/>
            <color indexed="60"/>
            <rFont val="Tahoma"/>
            <family val="2"/>
          </rPr>
          <t xml:space="preserve">Mes de adquisición y pago  </t>
        </r>
        <r>
          <rPr>
            <sz val="8"/>
            <color indexed="60"/>
            <rFont val="Tahoma"/>
            <family val="2"/>
          </rPr>
          <t xml:space="preserve">
Elige el mes de la lista</t>
        </r>
      </text>
    </comment>
    <comment ref="E20" authorId="0">
      <text>
        <r>
          <rPr>
            <b/>
            <sz val="9"/>
            <color indexed="60"/>
            <rFont val="Tahoma"/>
            <family val="2"/>
          </rPr>
          <t xml:space="preserve">Depósitos o fianzas:
</t>
        </r>
        <r>
          <rPr>
            <sz val="8"/>
            <color indexed="60"/>
            <rFont val="Tahoma"/>
            <family val="2"/>
          </rPr>
          <t>Pon el importe estimado de los depósitos o fianzas que 
deberás desembolsar y el mes en que se hará</t>
        </r>
      </text>
    </comment>
    <comment ref="I20" authorId="0">
      <text>
        <r>
          <rPr>
            <sz val="8"/>
            <color indexed="60"/>
            <rFont val="Tahoma"/>
            <family val="2"/>
          </rPr>
          <t>Pon el importe total de los 
depósitos y fianzas previsibles</t>
        </r>
      </text>
    </comment>
    <comment ref="J20" authorId="0">
      <text>
        <r>
          <rPr>
            <b/>
            <sz val="8"/>
            <color indexed="60"/>
            <rFont val="Tahoma"/>
            <family val="2"/>
          </rPr>
          <t xml:space="preserve">Mes en que se abonará
</t>
        </r>
        <r>
          <rPr>
            <sz val="8"/>
            <color indexed="60"/>
            <rFont val="Tahoma"/>
            <family val="2"/>
          </rPr>
          <t>Elige de la lista</t>
        </r>
        <r>
          <rPr>
            <b/>
            <sz val="8"/>
            <color indexed="60"/>
            <rFont val="Tahoma"/>
            <family val="2"/>
          </rPr>
          <t xml:space="preserve">
</t>
        </r>
        <r>
          <rPr>
            <sz val="8"/>
            <color indexed="60"/>
            <rFont val="Tahoma"/>
            <family val="2"/>
          </rPr>
          <t>Si no pones nada, será el primer 
mes del plan.</t>
        </r>
      </text>
    </comment>
    <comment ref="E22" authorId="0">
      <text>
        <r>
          <rPr>
            <b/>
            <sz val="9"/>
            <color indexed="60"/>
            <rFont val="Tahoma"/>
            <family val="2"/>
          </rPr>
          <t xml:space="preserve">Gastos de nuevo establecimiento
</t>
        </r>
        <r>
          <rPr>
            <sz val="9"/>
            <color indexed="60"/>
            <rFont val="Tahoma"/>
            <family val="2"/>
          </rPr>
          <t xml:space="preserve">Gastos no amortizables necesarios para la puesta en 
marcha del negocio: constitución de la empresa,
preparación, lanzamiento del negocio, etc.
</t>
        </r>
        <r>
          <rPr>
            <sz val="8"/>
            <color indexed="60"/>
            <rFont val="Tahoma"/>
            <family val="2"/>
          </rPr>
          <t>El total de estos gastos se sumará a los gastos operativos
del primer ejercicio (en el primer mes).</t>
        </r>
      </text>
    </comment>
    <comment ref="I22" authorId="0">
      <text>
        <r>
          <rPr>
            <b/>
            <sz val="8"/>
            <color indexed="60"/>
            <rFont val="Tahoma"/>
            <family val="2"/>
          </rPr>
          <t xml:space="preserve">Valor sin IVA de los activos </t>
        </r>
        <r>
          <rPr>
            <sz val="8"/>
            <color indexed="60"/>
            <rFont val="Tahoma"/>
            <family val="2"/>
          </rPr>
          <t xml:space="preserve">
Pon importe</t>
        </r>
      </text>
    </comment>
    <comment ref="E29" authorId="0">
      <text>
        <r>
          <rPr>
            <b/>
            <sz val="9"/>
            <color indexed="60"/>
            <rFont val="Tahoma"/>
            <family val="2"/>
          </rPr>
          <t xml:space="preserve">Provisión de fondos iniciales:
</t>
        </r>
        <r>
          <rPr>
            <sz val="9"/>
            <color indexed="60"/>
            <rFont val="Tahoma"/>
            <family val="2"/>
          </rPr>
          <t xml:space="preserve">Estimación de dinero líquido necesario para sustentar 
el negocio hasta que las ventas cubran los gastos.
</t>
        </r>
        <r>
          <rPr>
            <sz val="8"/>
            <color indexed="60"/>
            <rFont val="Tahoma"/>
            <family val="2"/>
          </rPr>
          <t>Se entiende que lo necesitarás en el momento del inicio</t>
        </r>
      </text>
    </comment>
    <comment ref="E31" authorId="0">
      <text>
        <r>
          <rPr>
            <b/>
            <sz val="9"/>
            <color indexed="60"/>
            <rFont val="Tahoma"/>
            <family val="2"/>
          </rPr>
          <t xml:space="preserve">Existencias iniciales:
</t>
        </r>
        <r>
          <rPr>
            <sz val="9"/>
            <color indexed="60"/>
            <rFont val="Tahoma"/>
            <family val="2"/>
          </rPr>
          <t xml:space="preserve">Stock inicial de mercancías o materias primas 
necesarias para comenzar.
</t>
        </r>
        <r>
          <rPr>
            <sz val="8"/>
            <color indexed="60"/>
            <rFont val="Tahoma"/>
            <family val="2"/>
          </rPr>
          <t>Se entiende que lo necesitarás en el momento del inicio</t>
        </r>
      </text>
    </comment>
  </commentList>
</comments>
</file>

<file path=xl/comments3.xml><?xml version="1.0" encoding="utf-8"?>
<comments xmlns="http://schemas.openxmlformats.org/spreadsheetml/2006/main">
  <authors>
    <author>Autor</author>
  </authors>
  <commentList>
    <comment ref="E6" authorId="0">
      <text>
        <r>
          <rPr>
            <sz val="9"/>
            <color indexed="16"/>
            <rFont val="Tahoma"/>
            <family val="2"/>
          </rPr>
          <t>Total inversión en</t>
        </r>
        <r>
          <rPr>
            <sz val="8"/>
            <color indexed="16"/>
            <rFont val="Tahoma"/>
            <family val="2"/>
          </rPr>
          <t xml:space="preserve"> </t>
        </r>
        <r>
          <rPr>
            <b/>
            <sz val="9"/>
            <color indexed="16"/>
            <rFont val="Tahoma"/>
            <family val="2"/>
          </rPr>
          <t xml:space="preserve">activos materiales e inmateriales
</t>
        </r>
        <r>
          <rPr>
            <sz val="8"/>
            <color indexed="16"/>
            <rFont val="Tahoma"/>
            <family val="2"/>
          </rPr>
          <t>incluidos depositos y fianzas (prevista en la hoja INVERSIONES)</t>
        </r>
      </text>
    </comment>
    <comment ref="K6" authorId="0">
      <text>
        <r>
          <rPr>
            <sz val="9"/>
            <color indexed="16"/>
            <rFont val="Tahoma"/>
            <family val="2"/>
          </rPr>
          <t xml:space="preserve">Total fondos necesarios para la puesta en marcha
</t>
        </r>
        <r>
          <rPr>
            <sz val="8"/>
            <color indexed="16"/>
            <rFont val="Tahoma"/>
            <family val="2"/>
          </rPr>
          <t>(previstos en la hoja INVERSIONES)</t>
        </r>
      </text>
    </comment>
    <comment ref="E8" authorId="0">
      <text>
        <r>
          <rPr>
            <sz val="9"/>
            <color indexed="16"/>
            <rFont val="Tahoma"/>
            <family val="2"/>
          </rPr>
          <t xml:space="preserve">Total gastos de nuevo establecimiento
</t>
        </r>
        <r>
          <rPr>
            <sz val="8"/>
            <color indexed="16"/>
            <rFont val="Tahoma"/>
            <family val="2"/>
          </rPr>
          <t>previstos en la hoja INVERSIONES</t>
        </r>
      </text>
    </comment>
    <comment ref="K8" authorId="0">
      <text>
        <r>
          <rPr>
            <sz val="9"/>
            <color indexed="16"/>
            <rFont val="Tahoma"/>
            <family val="2"/>
          </rPr>
          <t xml:space="preserve">Importe de las </t>
        </r>
        <r>
          <rPr>
            <b/>
            <sz val="9"/>
            <color indexed="16"/>
            <rFont val="Tahoma"/>
            <family val="2"/>
          </rPr>
          <t>existencias</t>
        </r>
        <r>
          <rPr>
            <sz val="9"/>
            <color indexed="16"/>
            <rFont val="Tahoma"/>
            <family val="2"/>
          </rPr>
          <t xml:space="preserve"> </t>
        </r>
        <r>
          <rPr>
            <sz val="8"/>
            <color indexed="16"/>
            <rFont val="Tahoma"/>
            <family val="2"/>
          </rPr>
          <t>previstas para el inicio 
del negocio en la hoja INVERSIONES</t>
        </r>
      </text>
    </comment>
    <comment ref="E14" authorId="0">
      <text>
        <r>
          <rPr>
            <b/>
            <sz val="8"/>
            <color indexed="16"/>
            <rFont val="Tahoma"/>
            <family val="2"/>
          </rPr>
          <t xml:space="preserve">Pon:
</t>
        </r>
        <r>
          <rPr>
            <sz val="8"/>
            <color indexed="16"/>
            <rFont val="Tahoma"/>
            <family val="2"/>
          </rPr>
          <t>1- El capital social (total)
2- El mes de desembolso
(mes en que se ingresará 
en la empresa)</t>
        </r>
      </text>
    </comment>
    <comment ref="H14" authorId="0">
      <text>
        <r>
          <rPr>
            <sz val="9"/>
            <color indexed="16"/>
            <rFont val="Tahoma"/>
            <family val="2"/>
          </rPr>
          <t xml:space="preserve">Pon el </t>
        </r>
        <r>
          <rPr>
            <b/>
            <sz val="9"/>
            <color indexed="16"/>
            <rFont val="Tahoma"/>
            <family val="2"/>
          </rPr>
          <t xml:space="preserve">capital social </t>
        </r>
        <r>
          <rPr>
            <sz val="9"/>
            <color indexed="16"/>
            <rFont val="Tahoma"/>
            <family val="2"/>
          </rPr>
          <t>(total)</t>
        </r>
      </text>
    </comment>
    <comment ref="I14" authorId="0">
      <text>
        <r>
          <rPr>
            <b/>
            <sz val="9"/>
            <color indexed="60"/>
            <rFont val="Tahoma"/>
            <family val="2"/>
          </rPr>
          <t xml:space="preserve">Mes en que se ingresará en la empresa
</t>
        </r>
        <r>
          <rPr>
            <sz val="9"/>
            <color indexed="60"/>
            <rFont val="Tahoma"/>
            <family val="2"/>
          </rPr>
          <t>Si no pones nada, será el primer mes del plan.</t>
        </r>
      </text>
    </comment>
    <comment ref="K14" authorId="0">
      <text>
        <r>
          <rPr>
            <b/>
            <sz val="8"/>
            <color indexed="16"/>
            <rFont val="Tahoma"/>
            <family val="2"/>
          </rPr>
          <t xml:space="preserve">Pon:
</t>
        </r>
        <r>
          <rPr>
            <sz val="8"/>
            <color indexed="16"/>
            <rFont val="Tahoma"/>
            <family val="2"/>
          </rPr>
          <t>1- El importe total de las subvenciones 
    a fondo perdido (no exigibles)
2- El mes en que se ingresarán en la empresa</t>
        </r>
      </text>
    </comment>
    <comment ref="N14" authorId="0">
      <text>
        <r>
          <rPr>
            <sz val="8"/>
            <color indexed="16"/>
            <rFont val="Tahoma"/>
            <family val="2"/>
          </rPr>
          <t xml:space="preserve">Pon el importe </t>
        </r>
      </text>
    </comment>
    <comment ref="O14" authorId="0">
      <text>
        <r>
          <rPr>
            <b/>
            <sz val="9"/>
            <color indexed="60"/>
            <rFont val="Tahoma"/>
            <family val="2"/>
          </rPr>
          <t xml:space="preserve">Mes en que se ingresarán en la empresa
</t>
        </r>
        <r>
          <rPr>
            <sz val="9"/>
            <color indexed="60"/>
            <rFont val="Tahoma"/>
            <family val="2"/>
          </rPr>
          <t>Elige de la lista</t>
        </r>
      </text>
    </comment>
    <comment ref="E21" authorId="0">
      <text>
        <r>
          <rPr>
            <b/>
            <sz val="9"/>
            <color indexed="81"/>
            <rFont val="Tahoma"/>
            <family val="2"/>
          </rPr>
          <t>Pon la denominación del préstamo</t>
        </r>
        <r>
          <rPr>
            <sz val="9"/>
            <color indexed="81"/>
            <rFont val="Tahoma"/>
            <family val="2"/>
          </rPr>
          <t>.</t>
        </r>
      </text>
    </comment>
    <comment ref="J21" authorId="0">
      <text>
        <r>
          <rPr>
            <b/>
            <sz val="9"/>
            <color indexed="81"/>
            <rFont val="Tahoma"/>
            <family val="2"/>
          </rPr>
          <t xml:space="preserve">Tipo de interés anual
</t>
        </r>
        <r>
          <rPr>
            <sz val="9"/>
            <color indexed="81"/>
            <rFont val="Tahoma"/>
            <family val="2"/>
          </rPr>
          <t>Poner %</t>
        </r>
      </text>
    </comment>
    <comment ref="K21" authorId="0">
      <text>
        <r>
          <rPr>
            <b/>
            <sz val="9"/>
            <color indexed="81"/>
            <rFont val="Tahoma"/>
            <family val="2"/>
          </rPr>
          <t xml:space="preserve">Elegir de la lista desplegable
</t>
        </r>
        <r>
          <rPr>
            <sz val="9"/>
            <color indexed="81"/>
            <rFont val="Tahoma"/>
            <family val="2"/>
          </rPr>
          <t>Meses pago cuotas</t>
        </r>
      </text>
    </comment>
    <comment ref="L21" authorId="0">
      <text>
        <r>
          <rPr>
            <b/>
            <sz val="9"/>
            <color indexed="81"/>
            <rFont val="Tahoma"/>
            <family val="2"/>
          </rPr>
          <t>Gastos iniciales</t>
        </r>
        <r>
          <rPr>
            <sz val="9"/>
            <color indexed="81"/>
            <rFont val="Tahoma"/>
            <family val="2"/>
          </rPr>
          <t xml:space="preserve"> (apertura,estudio,etc..)
INCLUIR IMPORTE ESTIMADO</t>
        </r>
      </text>
    </comment>
    <comment ref="M21" authorId="0">
      <text>
        <r>
          <rPr>
            <b/>
            <sz val="9"/>
            <color indexed="81"/>
            <rFont val="Tahoma"/>
            <family val="2"/>
          </rPr>
          <t xml:space="preserve">Mes en que se concederá el préstamo
</t>
        </r>
        <r>
          <rPr>
            <sz val="9"/>
            <color indexed="81"/>
            <rFont val="Tahoma"/>
            <family val="2"/>
          </rPr>
          <t>(y se ingresará en tu tesorería)
ELEGIR DE LA LISTA la opción.</t>
        </r>
      </text>
    </comment>
    <comment ref="E27" authorId="0">
      <text>
        <r>
          <rPr>
            <b/>
            <sz val="9"/>
            <color indexed="81"/>
            <rFont val="Tahoma"/>
            <family val="2"/>
          </rPr>
          <t>Pon la denominación del préstamo</t>
        </r>
        <r>
          <rPr>
            <sz val="9"/>
            <color indexed="81"/>
            <rFont val="Tahoma"/>
            <family val="2"/>
          </rPr>
          <t>.</t>
        </r>
      </text>
    </comment>
    <comment ref="J27" authorId="0">
      <text>
        <r>
          <rPr>
            <b/>
            <sz val="9"/>
            <color indexed="81"/>
            <rFont val="Tahoma"/>
            <family val="2"/>
          </rPr>
          <t xml:space="preserve">Tipo de interés anual
</t>
        </r>
        <r>
          <rPr>
            <sz val="9"/>
            <color indexed="81"/>
            <rFont val="Tahoma"/>
            <family val="2"/>
          </rPr>
          <t>Poner %</t>
        </r>
      </text>
    </comment>
    <comment ref="K27" authorId="0">
      <text>
        <r>
          <rPr>
            <b/>
            <sz val="9"/>
            <color indexed="81"/>
            <rFont val="Tahoma"/>
            <family val="2"/>
          </rPr>
          <t xml:space="preserve">Elegir de la lista desplegable
</t>
        </r>
        <r>
          <rPr>
            <sz val="9"/>
            <color indexed="81"/>
            <rFont val="Tahoma"/>
            <family val="2"/>
          </rPr>
          <t>Meses pago cuotas</t>
        </r>
      </text>
    </comment>
    <comment ref="L27" authorId="0">
      <text>
        <r>
          <rPr>
            <b/>
            <sz val="9"/>
            <color indexed="81"/>
            <rFont val="Tahoma"/>
            <family val="2"/>
          </rPr>
          <t>Gastos iniciales</t>
        </r>
        <r>
          <rPr>
            <sz val="9"/>
            <color indexed="81"/>
            <rFont val="Tahoma"/>
            <family val="2"/>
          </rPr>
          <t xml:space="preserve"> (apertura,estudio,etc..)
INCLUIR IMPORTE ESTIMADO</t>
        </r>
      </text>
    </comment>
    <comment ref="M27" authorId="0">
      <text>
        <r>
          <rPr>
            <b/>
            <sz val="9"/>
            <color indexed="81"/>
            <rFont val="Tahoma"/>
            <family val="2"/>
          </rPr>
          <t xml:space="preserve">Mes en que se concederá el préstamo
</t>
        </r>
        <r>
          <rPr>
            <sz val="9"/>
            <color indexed="81"/>
            <rFont val="Tahoma"/>
            <family val="2"/>
          </rPr>
          <t>(y se ingresará en tu tesorería)
ELEGIR DE LA LISTA la opción.</t>
        </r>
      </text>
    </comment>
    <comment ref="N27" authorId="0">
      <text>
        <r>
          <rPr>
            <sz val="8"/>
            <color indexed="81"/>
            <rFont val="Tahoma"/>
            <family val="2"/>
          </rPr>
          <t xml:space="preserve">ELEGIR DE LA LISTA la opción.
</t>
        </r>
        <r>
          <rPr>
            <b/>
            <sz val="8"/>
            <color indexed="10"/>
            <rFont val="Tahoma"/>
            <family val="2"/>
          </rPr>
          <t>Importante:</t>
        </r>
        <r>
          <rPr>
            <sz val="8"/>
            <color indexed="81"/>
            <rFont val="Tahoma"/>
            <family val="2"/>
          </rPr>
          <t xml:space="preserve">
</t>
        </r>
        <r>
          <rPr>
            <b/>
            <sz val="8"/>
            <color indexed="81"/>
            <rFont val="Tahoma"/>
            <family val="2"/>
          </rPr>
          <t>Se trata de una CARENCIA PARCIAL:</t>
        </r>
        <r>
          <rPr>
            <sz val="8"/>
            <color indexed="10"/>
            <rFont val="Tahoma"/>
            <family val="2"/>
          </rPr>
          <t xml:space="preserve">
</t>
        </r>
        <r>
          <rPr>
            <sz val="8"/>
            <color indexed="81"/>
            <rFont val="Tahoma"/>
            <family val="2"/>
          </rPr>
          <t>1º Los intereses se devengan y pagan desde
     el primer día.
2º El  pago del principal se aplaza.</t>
        </r>
        <r>
          <rPr>
            <sz val="8"/>
            <color indexed="10"/>
            <rFont val="Tahoma"/>
            <family val="2"/>
          </rPr>
          <t xml:space="preserve">
</t>
        </r>
        <r>
          <rPr>
            <b/>
            <sz val="8"/>
            <color indexed="81"/>
            <rFont val="Tahoma"/>
            <family val="2"/>
          </rPr>
          <t>Importante: PLAZO de pago</t>
        </r>
        <r>
          <rPr>
            <sz val="8"/>
            <color indexed="81"/>
            <rFont val="Tahoma"/>
            <family val="2"/>
          </rPr>
          <t xml:space="preserve">
Por ejemplo, préstamo a 20 años y carencia 
de 2 años:
- Los intereses se abonan a 20 años.
- El principal se amortiza en 18 años y a partir 
  del mes 25 desde el inicio del plan.
</t>
        </r>
        <r>
          <rPr>
            <b/>
            <sz val="8"/>
            <color indexed="81"/>
            <rFont val="Tahoma"/>
            <family val="2"/>
          </rPr>
          <t xml:space="preserve">Los préstamos con carencia sólo aceptan
amortización (pago cuota) por mensualidades.
</t>
        </r>
        <r>
          <rPr>
            <sz val="8"/>
            <color indexed="81"/>
            <rFont val="Tahoma"/>
            <family val="2"/>
          </rPr>
          <t>En el resto de casos el cálculo puede no ser correcto.</t>
        </r>
      </text>
    </comment>
    <comment ref="E34" authorId="0">
      <text>
        <r>
          <rPr>
            <b/>
            <sz val="10"/>
            <color indexed="81"/>
            <rFont val="Tahoma"/>
            <family val="2"/>
          </rPr>
          <t>Pon la denominación de la póliza</t>
        </r>
        <r>
          <rPr>
            <sz val="10"/>
            <color indexed="81"/>
            <rFont val="Tahoma"/>
            <family val="2"/>
          </rPr>
          <t>.</t>
        </r>
      </text>
    </comment>
    <comment ref="I34" authorId="0">
      <text>
        <r>
          <rPr>
            <b/>
            <sz val="9"/>
            <color indexed="81"/>
            <rFont val="Tahoma"/>
            <family val="2"/>
          </rPr>
          <t xml:space="preserve">Coste estimado de mantenimiento anual. 
</t>
        </r>
        <r>
          <rPr>
            <sz val="9"/>
            <color indexed="81"/>
            <rFont val="Tahoma"/>
            <family val="2"/>
          </rPr>
          <t>(sin tener en cuenta intereses)</t>
        </r>
        <r>
          <rPr>
            <b/>
            <sz val="9"/>
            <color indexed="81"/>
            <rFont val="Tahoma"/>
            <family val="2"/>
          </rPr>
          <t xml:space="preserve">
</t>
        </r>
        <r>
          <rPr>
            <sz val="9"/>
            <color indexed="81"/>
            <rFont val="Tahoma"/>
            <family val="2"/>
          </rPr>
          <t>Poner importe</t>
        </r>
      </text>
    </comment>
    <comment ref="J34" authorId="0">
      <text>
        <r>
          <rPr>
            <b/>
            <sz val="9"/>
            <color indexed="81"/>
            <rFont val="Tahoma"/>
            <family val="2"/>
          </rPr>
          <t xml:space="preserve">Tipo de interés anual
</t>
        </r>
        <r>
          <rPr>
            <sz val="9"/>
            <color indexed="81"/>
            <rFont val="Tahoma"/>
            <family val="2"/>
          </rPr>
          <t>Poner %</t>
        </r>
      </text>
    </comment>
    <comment ref="K34" authorId="0">
      <text>
        <r>
          <rPr>
            <b/>
            <sz val="9"/>
            <color indexed="81"/>
            <rFont val="Tahoma"/>
            <family val="2"/>
          </rPr>
          <t xml:space="preserve">Mes en que se concederá la póliza
</t>
        </r>
        <r>
          <rPr>
            <sz val="9"/>
            <color indexed="81"/>
            <rFont val="Tahoma"/>
            <family val="2"/>
          </rPr>
          <t>(y se ingresará en tu tesorería)
ELEGIR DE LA LISTA la opción.</t>
        </r>
      </text>
    </comment>
  </commentList>
</comments>
</file>

<file path=xl/comments4.xml><?xml version="1.0" encoding="utf-8"?>
<comments xmlns="http://schemas.openxmlformats.org/spreadsheetml/2006/main">
  <authors>
    <author>Autor</author>
  </authors>
  <commentList>
    <comment ref="E6" authorId="0">
      <text>
        <r>
          <rPr>
            <b/>
            <sz val="9"/>
            <color indexed="16"/>
            <rFont val="Tahoma"/>
            <family val="2"/>
          </rPr>
          <t>CÁLCULO DE LAS COMPRAS Y DEL CONSUMO</t>
        </r>
        <r>
          <rPr>
            <sz val="8"/>
            <color indexed="60"/>
            <rFont val="Tahoma"/>
            <family val="2"/>
          </rPr>
          <t xml:space="preserve">
</t>
        </r>
        <r>
          <rPr>
            <b/>
            <sz val="9"/>
            <color indexed="16"/>
            <rFont val="Tahoma"/>
            <family val="2"/>
          </rPr>
          <t xml:space="preserve">Dato esencial </t>
        </r>
        <r>
          <rPr>
            <sz val="8"/>
            <color indexed="60"/>
            <rFont val="Tahoma"/>
            <family val="2"/>
          </rPr>
          <t>para el cálculo
Pon el % de margen bruto de compras
Empresas de servicios poner 100% 
Si lo dejas a cero el libro considerará que tienes un 100%</t>
        </r>
      </text>
    </comment>
    <comment ref="E7" authorId="0">
      <text>
        <r>
          <rPr>
            <b/>
            <sz val="9"/>
            <color indexed="60"/>
            <rFont val="Tahoma"/>
            <family val="2"/>
          </rPr>
          <t xml:space="preserve">Costes que son un % sobre las ventas
</t>
        </r>
        <r>
          <rPr>
            <sz val="8"/>
            <color indexed="60"/>
            <rFont val="Tahoma"/>
            <family val="2"/>
          </rPr>
          <t>por ejemplo: royalties sobre ventas
Pon el % total vs total ventas</t>
        </r>
      </text>
    </comment>
    <comment ref="E20" authorId="0">
      <text>
        <r>
          <rPr>
            <b/>
            <sz val="9"/>
            <color indexed="60"/>
            <rFont val="Tahoma"/>
            <family val="2"/>
          </rPr>
          <t xml:space="preserve">Gastos de marketing que son un % sobre las ventas
</t>
        </r>
        <r>
          <rPr>
            <sz val="8"/>
            <color indexed="60"/>
            <rFont val="Tahoma"/>
            <family val="2"/>
          </rPr>
          <t>por ejemplo: comisiones a agentes libres (no empleados)
Pon el % total vs total ventas</t>
        </r>
      </text>
    </comment>
    <comment ref="E40" authorId="0">
      <text>
        <r>
          <rPr>
            <b/>
            <sz val="9"/>
            <color indexed="60"/>
            <rFont val="Tahoma"/>
            <family val="2"/>
          </rPr>
          <t>Gastos financieros que son un % sobre las ventas</t>
        </r>
        <r>
          <rPr>
            <b/>
            <sz val="8"/>
            <color indexed="60"/>
            <rFont val="Tahoma"/>
            <family val="2"/>
          </rPr>
          <t xml:space="preserve">.
</t>
        </r>
        <r>
          <rPr>
            <sz val="8"/>
            <color indexed="60"/>
            <rFont val="Tahoma"/>
            <family val="2"/>
          </rPr>
          <t>Por ejemplo: comisiones por pagos con tarjeta de crédito</t>
        </r>
      </text>
    </comment>
  </commentList>
</comments>
</file>

<file path=xl/comments5.xml><?xml version="1.0" encoding="utf-8"?>
<comments xmlns="http://schemas.openxmlformats.org/spreadsheetml/2006/main">
  <authors>
    <author>Autor</author>
  </authors>
  <commentList>
    <comment ref="E5" authorId="0">
      <text>
        <r>
          <rPr>
            <sz val="8"/>
            <color indexed="60"/>
            <rFont val="Tahoma"/>
            <family val="2"/>
          </rPr>
          <t>Pon aquí la denominación o posición,
lo recomendable es usar una línea para
cada empleo con el mismo salario</t>
        </r>
      </text>
    </comment>
    <comment ref="F5" authorId="0">
      <text>
        <r>
          <rPr>
            <sz val="8"/>
            <color indexed="60"/>
            <rFont val="Tahoma"/>
            <family val="2"/>
          </rPr>
          <t xml:space="preserve">Indica aquí a que sección o departamento 
se asigna el coste (ventas, administración, etc.).
</t>
        </r>
        <r>
          <rPr>
            <b/>
            <sz val="8"/>
            <color indexed="60"/>
            <rFont val="Tahoma"/>
            <family val="2"/>
          </rPr>
          <t>Elige de la lista</t>
        </r>
        <r>
          <rPr>
            <sz val="8"/>
            <color indexed="60"/>
            <rFont val="Tahoma"/>
            <family val="2"/>
          </rPr>
          <t>.</t>
        </r>
      </text>
    </comment>
    <comment ref="G5" authorId="0">
      <text>
        <r>
          <rPr>
            <sz val="8"/>
            <color indexed="60"/>
            <rFont val="Tahoma"/>
            <family val="2"/>
          </rPr>
          <t xml:space="preserve">Pon aquí el salario </t>
        </r>
        <r>
          <rPr>
            <b/>
            <sz val="8"/>
            <color indexed="60"/>
            <rFont val="Tahoma"/>
            <family val="2"/>
          </rPr>
          <t xml:space="preserve">bruto mensual
</t>
        </r>
        <r>
          <rPr>
            <sz val="8"/>
            <color indexed="60"/>
            <rFont val="Tahoma"/>
            <family val="2"/>
          </rPr>
          <t>bruto = completo sin deducciones
ni retenciones y sin tener en cuenta 
costes para la empresa</t>
        </r>
      </text>
    </comment>
    <comment ref="V5" authorId="0">
      <text>
        <r>
          <rPr>
            <sz val="8"/>
            <color indexed="60"/>
            <rFont val="Tahoma"/>
            <family val="2"/>
          </rPr>
          <t xml:space="preserve">Pon aquí el </t>
        </r>
        <r>
          <rPr>
            <b/>
            <sz val="8"/>
            <color indexed="60"/>
            <rFont val="Tahoma"/>
            <family val="2"/>
          </rPr>
          <t>% de coste adicional</t>
        </r>
        <r>
          <rPr>
            <sz val="8"/>
            <color indexed="60"/>
            <rFont val="Tahoma"/>
            <family val="2"/>
          </rPr>
          <t xml:space="preserve"> para
 la empresa sobre  salario bruto.</t>
        </r>
      </text>
    </comment>
    <comment ref="W5" authorId="0">
      <text>
        <r>
          <rPr>
            <sz val="8"/>
            <color indexed="60"/>
            <rFont val="Tahoma"/>
            <family val="2"/>
          </rPr>
          <t xml:space="preserve">Pon aquí el </t>
        </r>
        <r>
          <rPr>
            <b/>
            <sz val="8"/>
            <color indexed="60"/>
            <rFont val="Tahoma"/>
            <family val="2"/>
          </rPr>
          <t>% de retención</t>
        </r>
        <r>
          <rPr>
            <sz val="8"/>
            <color indexed="60"/>
            <rFont val="Tahoma"/>
            <family val="2"/>
          </rPr>
          <t xml:space="preserve"> sobre  salario bruto.
Este importe no es un coste, es una deducción que
 se realiza a cuenta de impuestos o similares.</t>
        </r>
      </text>
    </comment>
    <comment ref="E11" authorId="0">
      <text>
        <r>
          <rPr>
            <sz val="8"/>
            <color indexed="60"/>
            <rFont val="Tahoma"/>
            <family val="2"/>
          </rPr>
          <t>Pon aquí la denominación o posición,
lo recomendable es usar una línea para
cada empleo con el mismo salario</t>
        </r>
      </text>
    </comment>
    <comment ref="F11" authorId="0">
      <text>
        <r>
          <rPr>
            <sz val="8"/>
            <color indexed="60"/>
            <rFont val="Tahoma"/>
            <family val="2"/>
          </rPr>
          <t xml:space="preserve">Indica aquí a que sección o departamento 
se asigna el coste (ventas, administración, etc.).
</t>
        </r>
        <r>
          <rPr>
            <b/>
            <sz val="8"/>
            <color indexed="60"/>
            <rFont val="Tahoma"/>
            <family val="2"/>
          </rPr>
          <t>Elige de la lista</t>
        </r>
        <r>
          <rPr>
            <sz val="8"/>
            <color indexed="60"/>
            <rFont val="Tahoma"/>
            <family val="2"/>
          </rPr>
          <t>.</t>
        </r>
      </text>
    </comment>
    <comment ref="G11" authorId="0">
      <text>
        <r>
          <rPr>
            <sz val="8"/>
            <color indexed="60"/>
            <rFont val="Tahoma"/>
            <family val="2"/>
          </rPr>
          <t xml:space="preserve">Pon aquí el salario </t>
        </r>
        <r>
          <rPr>
            <b/>
            <sz val="8"/>
            <color indexed="60"/>
            <rFont val="Tahoma"/>
            <family val="2"/>
          </rPr>
          <t xml:space="preserve">bruto mensual
</t>
        </r>
        <r>
          <rPr>
            <sz val="8"/>
            <color indexed="60"/>
            <rFont val="Tahoma"/>
            <family val="2"/>
          </rPr>
          <t>bruto = completo sin deducciones
ni retenciones y sin tener en cuenta 
costes para la empresa</t>
        </r>
      </text>
    </comment>
    <comment ref="V11" authorId="0">
      <text>
        <r>
          <rPr>
            <sz val="8"/>
            <color indexed="60"/>
            <rFont val="Tahoma"/>
            <family val="2"/>
          </rPr>
          <t xml:space="preserve">Pon aquí el </t>
        </r>
        <r>
          <rPr>
            <b/>
            <sz val="8"/>
            <color indexed="60"/>
            <rFont val="Tahoma"/>
            <family val="2"/>
          </rPr>
          <t>% de coste adicional</t>
        </r>
        <r>
          <rPr>
            <sz val="8"/>
            <color indexed="60"/>
            <rFont val="Tahoma"/>
            <family val="2"/>
          </rPr>
          <t xml:space="preserve"> para
 la empresa sobre  salario bruto.</t>
        </r>
      </text>
    </comment>
    <comment ref="W11" authorId="0">
      <text>
        <r>
          <rPr>
            <sz val="8"/>
            <color indexed="60"/>
            <rFont val="Tahoma"/>
            <family val="2"/>
          </rPr>
          <t xml:space="preserve">Pon aquí el </t>
        </r>
        <r>
          <rPr>
            <b/>
            <sz val="8"/>
            <color indexed="60"/>
            <rFont val="Tahoma"/>
            <family val="2"/>
          </rPr>
          <t>% de retención</t>
        </r>
        <r>
          <rPr>
            <sz val="8"/>
            <color indexed="60"/>
            <rFont val="Tahoma"/>
            <family val="2"/>
          </rPr>
          <t xml:space="preserve"> sobre  salario bruto.
Este importe no es un coste, es una deducción que
 se realiza a cuenta de impuestos o similares.</t>
        </r>
      </text>
    </comment>
    <comment ref="E23" authorId="0">
      <text>
        <r>
          <rPr>
            <b/>
            <sz val="9"/>
            <color indexed="60"/>
            <rFont val="Tahoma"/>
            <family val="2"/>
          </rPr>
          <t xml:space="preserve">Pon aquí los Bonus y las Primas 
</t>
        </r>
        <r>
          <rPr>
            <b/>
            <sz val="8"/>
            <color indexed="60"/>
            <rFont val="Tahoma"/>
            <family val="2"/>
          </rPr>
          <t xml:space="preserve">Importe por cada departamento o sección y mes
</t>
        </r>
        <r>
          <rPr>
            <sz val="8"/>
            <color indexed="60"/>
            <rFont val="Tahoma"/>
            <family val="2"/>
          </rPr>
          <t>Debes poner:
1º- Sección/Tarea (elige la lista)
2º - Importe total de prima/bonus en el mes correspondiente
3º - % de coste y % de retención</t>
        </r>
      </text>
    </comment>
    <comment ref="V23" authorId="0">
      <text>
        <r>
          <rPr>
            <sz val="8"/>
            <color indexed="60"/>
            <rFont val="Tahoma"/>
            <family val="2"/>
          </rPr>
          <t xml:space="preserve">Pon aquí el </t>
        </r>
        <r>
          <rPr>
            <b/>
            <sz val="8"/>
            <color indexed="60"/>
            <rFont val="Tahoma"/>
            <family val="2"/>
          </rPr>
          <t>% de coste adicional</t>
        </r>
        <r>
          <rPr>
            <sz val="8"/>
            <color indexed="60"/>
            <rFont val="Tahoma"/>
            <family val="2"/>
          </rPr>
          <t xml:space="preserve"> para
 la empresa sobre  salario bruto.</t>
        </r>
      </text>
    </comment>
    <comment ref="W23" authorId="0">
      <text>
        <r>
          <rPr>
            <sz val="8"/>
            <color indexed="60"/>
            <rFont val="Tahoma"/>
            <family val="2"/>
          </rPr>
          <t xml:space="preserve">Pon aquí el </t>
        </r>
        <r>
          <rPr>
            <b/>
            <sz val="8"/>
            <color indexed="60"/>
            <rFont val="Tahoma"/>
            <family val="2"/>
          </rPr>
          <t>% de retención</t>
        </r>
        <r>
          <rPr>
            <sz val="8"/>
            <color indexed="60"/>
            <rFont val="Tahoma"/>
            <family val="2"/>
          </rPr>
          <t xml:space="preserve"> sobre  salario bruto.
Este importe no es un coste, es una deducción que
 se realiza a cuenta de impuestos o similares.</t>
        </r>
      </text>
    </comment>
    <comment ref="E28" authorId="0">
      <text>
        <r>
          <rPr>
            <b/>
            <sz val="9"/>
            <color indexed="60"/>
            <rFont val="Tahoma"/>
            <family val="2"/>
          </rPr>
          <t xml:space="preserve">Pon aquí las comisiones sobre ventas 
que, en total, cobrará tu personal
</t>
        </r>
        <r>
          <rPr>
            <sz val="8"/>
            <color indexed="60"/>
            <rFont val="Tahoma"/>
            <family val="2"/>
          </rPr>
          <t>Debes poner
1º- % de comisión sobre el total de las ventas de la empresa
que se destinará a remunerarel personal.
2º - % de coste (promedio)
3º - % retención (promedio)</t>
        </r>
      </text>
    </comment>
    <comment ref="G28" authorId="0">
      <text>
        <r>
          <rPr>
            <sz val="8"/>
            <color indexed="60"/>
            <rFont val="Tahoma"/>
            <family val="2"/>
          </rPr>
          <t xml:space="preserve">Pon aquí el </t>
        </r>
        <r>
          <rPr>
            <b/>
            <sz val="8"/>
            <color indexed="60"/>
            <rFont val="Tahoma"/>
            <family val="2"/>
          </rPr>
          <t xml:space="preserve">% de COMISIÓN </t>
        </r>
        <r>
          <rPr>
            <sz val="8"/>
            <color indexed="60"/>
            <rFont val="Tahoma"/>
            <family val="2"/>
          </rPr>
          <t>PROMEDIO (sobre el total de las ventas)</t>
        </r>
      </text>
    </comment>
    <comment ref="V28" authorId="0">
      <text>
        <r>
          <rPr>
            <sz val="8"/>
            <color indexed="60"/>
            <rFont val="Tahoma"/>
            <family val="2"/>
          </rPr>
          <t xml:space="preserve">Pon aquí el </t>
        </r>
        <r>
          <rPr>
            <b/>
            <sz val="8"/>
            <color indexed="60"/>
            <rFont val="Tahoma"/>
            <family val="2"/>
          </rPr>
          <t>% de coste adicional</t>
        </r>
        <r>
          <rPr>
            <sz val="8"/>
            <color indexed="60"/>
            <rFont val="Tahoma"/>
            <family val="2"/>
          </rPr>
          <t xml:space="preserve"> para
 la empresa sobre  salario bruto.</t>
        </r>
      </text>
    </comment>
    <comment ref="W28" authorId="0">
      <text>
        <r>
          <rPr>
            <sz val="8"/>
            <color indexed="60"/>
            <rFont val="Tahoma"/>
            <family val="2"/>
          </rPr>
          <t xml:space="preserve">Pon aquí el </t>
        </r>
        <r>
          <rPr>
            <b/>
            <sz val="8"/>
            <color indexed="60"/>
            <rFont val="Tahoma"/>
            <family val="2"/>
          </rPr>
          <t>% de retención</t>
        </r>
        <r>
          <rPr>
            <sz val="8"/>
            <color indexed="60"/>
            <rFont val="Tahoma"/>
            <family val="2"/>
          </rPr>
          <t xml:space="preserve"> sobre  salario bruto.
Este importe no es un coste, es una deducción que
 se realiza a cuenta de impuestos o similares.</t>
        </r>
      </text>
    </comment>
  </commentList>
</comments>
</file>

<file path=xl/comments6.xml><?xml version="1.0" encoding="utf-8"?>
<comments xmlns="http://schemas.openxmlformats.org/spreadsheetml/2006/main">
  <authors>
    <author>Autor</author>
  </authors>
  <commentList>
    <comment ref="E4" authorId="0">
      <text>
        <r>
          <rPr>
            <b/>
            <sz val="9"/>
            <color indexed="60"/>
            <rFont val="Tahoma"/>
            <family val="2"/>
          </rPr>
          <t xml:space="preserve">Estimación que realiza el libro para ayudarte a definir las ventas.
</t>
        </r>
        <r>
          <rPr>
            <sz val="8"/>
            <color indexed="60"/>
            <rFont val="Tahoma"/>
            <family val="2"/>
          </rPr>
          <t>Con esta referencia, en la sección siguiente, puedes ajustar las ventas a tus estudios o critero</t>
        </r>
      </text>
    </comment>
    <comment ref="E7" authorId="0">
      <text>
        <r>
          <rPr>
            <sz val="8"/>
            <color indexed="16"/>
            <rFont val="Tahoma"/>
            <family val="2"/>
          </rPr>
          <t>Venta neta necesaria para obtener el % de beneficos deseado</t>
        </r>
      </text>
    </comment>
    <comment ref="E10" authorId="0">
      <text>
        <r>
          <rPr>
            <b/>
            <sz val="9"/>
            <color indexed="60"/>
            <rFont val="Tahoma"/>
            <family val="2"/>
          </rPr>
          <t xml:space="preserve">Pon aquí tu previsión de ingresos.
</t>
        </r>
        <r>
          <rPr>
            <sz val="8"/>
            <color indexed="60"/>
            <rFont val="Tahoma"/>
            <family val="2"/>
          </rPr>
          <t xml:space="preserve">Mientras no pongas nada, si hay % de Beneficio deseable (arriba), 
el libro toma como bueno el importe estimado de Venta Neta (arriba).
Si pones cifras en la fila "venta Neta" de esta sección, ignora la previsión, 
esto es así con sólo poner un importe.
</t>
        </r>
        <r>
          <rPr>
            <b/>
            <sz val="9"/>
            <color indexed="60"/>
            <rFont val="Tahoma"/>
            <family val="2"/>
          </rPr>
          <t>Debes indicar tus previsiones en las filas:</t>
        </r>
        <r>
          <rPr>
            <sz val="8"/>
            <color indexed="60"/>
            <rFont val="Tahoma"/>
            <family val="2"/>
          </rPr>
          <t xml:space="preserve">
1) Unidades o Número
2) Venta Neta
3) Otros ingresos</t>
        </r>
      </text>
    </comment>
    <comment ref="E13" authorId="0">
      <text>
        <r>
          <rPr>
            <sz val="8"/>
            <color indexed="16"/>
            <rFont val="Tahoma"/>
            <family val="2"/>
          </rPr>
          <t xml:space="preserve">Pon aquí las ventas en unidades, mes a mes.
Si lo prefieres puedes poner número de ventas
</t>
        </r>
        <r>
          <rPr>
            <b/>
            <sz val="8"/>
            <color indexed="16"/>
            <rFont val="Tahoma"/>
            <family val="2"/>
          </rPr>
          <t>Dato importante</t>
        </r>
        <r>
          <rPr>
            <sz val="8"/>
            <color indexed="16"/>
            <rFont val="Tahoma"/>
            <family val="2"/>
          </rPr>
          <t xml:space="preserve"> para el cálculo del Punto de Equilibrio </t>
        </r>
      </text>
    </comment>
    <comment ref="E14" authorId="0">
      <text>
        <r>
          <rPr>
            <sz val="8"/>
            <color indexed="60"/>
            <rFont val="Tahoma"/>
            <family val="2"/>
          </rPr>
          <t>Pon aquí , mes a mes, los importes NETOS que prevés facturar.
Pon exclusivamente ingresos por ventas y netos. 
Si no pones nada, el libro toma la previsión superior como válida
(si hay un % de beneficio puesto)</t>
        </r>
      </text>
    </comment>
    <comment ref="E16" authorId="0">
      <text>
        <r>
          <rPr>
            <sz val="8"/>
            <color indexed="60"/>
            <rFont val="Tahoma"/>
            <family val="2"/>
          </rPr>
          <t>Pon aquí - si vas a tenerlos - los "otros" ingresos.
"Otros ingresos" son ingresos no procedentes de 
las ventas "ordinarias" de la empresa.</t>
        </r>
      </text>
    </comment>
  </commentList>
</comments>
</file>

<file path=xl/comments7.xml><?xml version="1.0" encoding="utf-8"?>
<comments xmlns="http://schemas.openxmlformats.org/spreadsheetml/2006/main">
  <authors>
    <author>Autor</author>
  </authors>
  <commentList>
    <comment ref="E8" authorId="0">
      <text>
        <r>
          <rPr>
            <b/>
            <sz val="8"/>
            <color indexed="16"/>
            <rFont val="Tahoma"/>
            <family val="2"/>
          </rPr>
          <t>¿A CUANTOS DÍAS COBRARÁS TUS VENTAS?</t>
        </r>
        <r>
          <rPr>
            <sz val="8"/>
            <color indexed="16"/>
            <rFont val="Tahoma"/>
            <family val="2"/>
          </rPr>
          <t xml:space="preserve"> 
(promedio)
Elige de la lista el plazo de cobro</t>
        </r>
      </text>
    </comment>
    <comment ref="E13" authorId="0">
      <text>
        <r>
          <rPr>
            <b/>
            <sz val="8"/>
            <color indexed="16"/>
            <rFont val="Tahoma"/>
            <family val="2"/>
          </rPr>
          <t>Pagos al personal como COMISIONES</t>
        </r>
        <r>
          <rPr>
            <sz val="8"/>
            <color indexed="16"/>
            <rFont val="Tahoma"/>
            <family val="2"/>
          </rPr>
          <t xml:space="preserve">
Elige el plazo de pago, normalmente al mes siguiente (30 días)</t>
        </r>
      </text>
    </comment>
    <comment ref="E14" authorId="0">
      <text>
        <r>
          <rPr>
            <b/>
            <sz val="8"/>
            <color indexed="16"/>
            <rFont val="Tahoma"/>
            <family val="2"/>
          </rPr>
          <t xml:space="preserve">Pago de las compras de productos y 
materiales para la venta </t>
        </r>
        <r>
          <rPr>
            <sz val="8"/>
            <color indexed="16"/>
            <rFont val="Tahoma"/>
            <family val="2"/>
          </rPr>
          <t>(coste de ventas)</t>
        </r>
      </text>
    </comment>
    <comment ref="E15" authorId="0">
      <text>
        <r>
          <rPr>
            <sz val="8"/>
            <color indexed="16"/>
            <rFont val="Tahoma"/>
            <family val="2"/>
          </rPr>
          <t>Elige de la lista el plazo de pago</t>
        </r>
      </text>
    </comment>
    <comment ref="E21" authorId="0">
      <text>
        <r>
          <rPr>
            <b/>
            <sz val="8"/>
            <color indexed="16"/>
            <rFont val="Tahoma"/>
            <family val="2"/>
          </rPr>
          <t xml:space="preserve">Liquidaciones a la Seguridad Social o equivalentes.
</t>
        </r>
        <r>
          <rPr>
            <sz val="8"/>
            <color indexed="16"/>
            <rFont val="Tahoma"/>
            <family val="2"/>
          </rPr>
          <t>ELIGE DE LA LISTA: Cada mes o cada trimestre</t>
        </r>
      </text>
    </comment>
    <comment ref="E22" authorId="0">
      <text>
        <r>
          <rPr>
            <b/>
            <sz val="8"/>
            <color indexed="16"/>
            <rFont val="Tahoma"/>
            <family val="2"/>
          </rPr>
          <t xml:space="preserve">Liquidaciones a Hacienda o equivalentes.
</t>
        </r>
        <r>
          <rPr>
            <sz val="8"/>
            <color indexed="16"/>
            <rFont val="Tahoma"/>
            <family val="2"/>
          </rPr>
          <t>ELIGE DE LA LISTA: Cada mes o cada trimestre</t>
        </r>
      </text>
    </comment>
    <comment ref="E23" authorId="0">
      <text>
        <r>
          <rPr>
            <b/>
            <sz val="8"/>
            <color indexed="16"/>
            <rFont val="Tahoma"/>
            <family val="2"/>
          </rPr>
          <t>ELIGE LA FORMA DE LIQUIDACIÓN DEL IVA:</t>
        </r>
        <r>
          <rPr>
            <sz val="8"/>
            <color indexed="16"/>
            <rFont val="Tahoma"/>
            <family val="2"/>
          </rPr>
          <t xml:space="preserve">
Mensual o trimestral</t>
        </r>
      </text>
    </comment>
    <comment ref="E32" authorId="0">
      <text>
        <r>
          <rPr>
            <b/>
            <sz val="8"/>
            <color indexed="16"/>
            <rFont val="Tahoma"/>
            <family val="2"/>
          </rPr>
          <t>Esta línea te informa del CRÉDITO (saldo) DISPONIBLE</t>
        </r>
        <r>
          <rPr>
            <sz val="8"/>
            <color indexed="16"/>
            <rFont val="Tahoma"/>
            <family val="2"/>
          </rPr>
          <t xml:space="preserve">
En la fila inferior puedes poner el importe que quieres 
disponer que - como máximo - puede ser igual al importe 
aquí indicado, en caso contrario la tesorería descuadrará.</t>
        </r>
      </text>
    </comment>
    <comment ref="E33" authorId="0">
      <text>
        <r>
          <rPr>
            <b/>
            <sz val="8"/>
            <color indexed="16"/>
            <rFont val="Tahoma"/>
            <family val="2"/>
          </rPr>
          <t>Pon aquí los importes que desees disponer</t>
        </r>
        <r>
          <rPr>
            <sz val="8"/>
            <color indexed="16"/>
            <rFont val="Tahoma"/>
            <family val="2"/>
          </rPr>
          <t>.
Los importes siempre deben ser inferiores al saldo disponible
 indicado más arriba.</t>
        </r>
      </text>
    </comment>
    <comment ref="E34" authorId="0">
      <text>
        <r>
          <rPr>
            <b/>
            <sz val="8"/>
            <color indexed="16"/>
            <rFont val="Tahoma"/>
            <family val="2"/>
          </rPr>
          <t xml:space="preserve">Esta línea te informa del IMPORTE YA DISPUESTO.
</t>
        </r>
        <r>
          <rPr>
            <sz val="8"/>
            <color indexed="16"/>
            <rFont val="Tahoma"/>
            <family val="2"/>
          </rPr>
          <t>Nunca puede ser superior al  crédito disponible (fila superior)</t>
        </r>
      </text>
    </comment>
    <comment ref="E35" authorId="0">
      <text>
        <r>
          <rPr>
            <b/>
            <sz val="8"/>
            <color indexed="16"/>
            <rFont val="Tahoma"/>
            <family val="2"/>
          </rPr>
          <t>Pon aquí los importes que desees AMORTIZAR (devolver</t>
        </r>
        <r>
          <rPr>
            <sz val="8"/>
            <color indexed="16"/>
            <rFont val="Tahoma"/>
            <family val="2"/>
          </rPr>
          <t>)
Los importes dispuestos devengan interereses mensualmente.</t>
        </r>
      </text>
    </comment>
  </commentList>
</comments>
</file>

<file path=xl/comments8.xml><?xml version="1.0" encoding="utf-8"?>
<comments xmlns="http://schemas.openxmlformats.org/spreadsheetml/2006/main">
  <authors>
    <author>Autor</author>
  </authors>
  <commentList>
    <comment ref="D24" authorId="0">
      <text>
        <r>
          <rPr>
            <b/>
            <sz val="8"/>
            <color indexed="81"/>
            <rFont val="Tahoma"/>
          </rPr>
          <t>SE SUMAN GASTOS INICIALES</t>
        </r>
      </text>
    </comment>
    <comment ref="D29" authorId="0">
      <text>
        <r>
          <rPr>
            <b/>
            <sz val="8"/>
            <color indexed="81"/>
            <rFont val="Tahoma"/>
          </rPr>
          <t>Se suman gastos iniciales</t>
        </r>
      </text>
    </comment>
    <comment ref="D33" authorId="0">
      <text>
        <r>
          <rPr>
            <b/>
            <sz val="8"/>
            <color indexed="81"/>
            <rFont val="Tahoma"/>
          </rPr>
          <t>Se suman gastos previos iniciales</t>
        </r>
      </text>
    </comment>
    <comment ref="D36" authorId="0">
      <text>
        <r>
          <rPr>
            <b/>
            <sz val="8"/>
            <color indexed="81"/>
            <rFont val="Tahoma"/>
          </rPr>
          <t>SE SUMAN SALARIOS INICIALES</t>
        </r>
      </text>
    </comment>
    <comment ref="E376" authorId="0">
      <text>
        <r>
          <rPr>
            <b/>
            <sz val="9"/>
            <color indexed="81"/>
            <rFont val="Tahoma"/>
            <charset val="1"/>
          </rPr>
          <t xml:space="preserve">opción (1) mensual Y (2) SI devolución:
</t>
        </r>
        <r>
          <rPr>
            <sz val="9"/>
            <color indexed="81"/>
            <rFont val="Tahoma"/>
            <family val="2"/>
          </rPr>
          <t>La cuestión es que las devoluciones no se abonan sino que se cobran independientemente 
de los nuevos saldos generados, por tanto, tenemos dos elementos simúltaneos:</t>
        </r>
        <r>
          <rPr>
            <b/>
            <sz val="9"/>
            <color indexed="81"/>
            <rFont val="Tahoma"/>
            <charset val="1"/>
          </rPr>
          <t xml:space="preserve">
</t>
        </r>
        <r>
          <rPr>
            <b/>
            <sz val="8"/>
            <color indexed="81"/>
            <rFont val="Tahoma"/>
            <family val="2"/>
          </rPr>
          <t xml:space="preserve">- Tenemos unos cobros (devoluciones) y unos saldos pendientes de cobro.
- Paralelamente tenemos unos pagos y unos saldos pendientes de pago </t>
        </r>
      </text>
    </comment>
    <comment ref="E382" authorId="0">
      <text>
        <r>
          <rPr>
            <b/>
            <sz val="9"/>
            <color indexed="81"/>
            <rFont val="Tahoma"/>
            <charset val="1"/>
          </rPr>
          <t xml:space="preserve">opción (1) mensual Y (2) NO devolución:
</t>
        </r>
        <r>
          <rPr>
            <sz val="9"/>
            <color indexed="81"/>
            <rFont val="Tahoma"/>
            <family val="2"/>
          </rPr>
          <t>Aquí únicamente hay un saldo que - si es positivo - produce un pago.
El pago se produce en el mes siguiente, por tanto, también se produce un saldo pendiente.</t>
        </r>
      </text>
    </comment>
    <comment ref="F392" authorId="0">
      <text>
        <r>
          <rPr>
            <b/>
            <sz val="9"/>
            <color indexed="81"/>
            <rFont val="Tahoma"/>
            <charset val="1"/>
          </rPr>
          <t xml:space="preserve">opción LIQUIDACIÓN TRIMESTRAL:
</t>
        </r>
        <r>
          <rPr>
            <sz val="9"/>
            <color indexed="81"/>
            <rFont val="Tahoma"/>
            <family val="2"/>
          </rPr>
          <t>La 1ª cuestión es determinar cuales son los meses donde se producirá la liquidación.
La 2ª definir según opción elegida (mismas observaciones que en el caso mensual)</t>
        </r>
        <r>
          <rPr>
            <sz val="8"/>
            <color indexed="81"/>
            <rFont val="Tahoma"/>
            <family val="2"/>
          </rPr>
          <t xml:space="preserve"> </t>
        </r>
      </text>
    </comment>
    <comment ref="E403" authorId="0">
      <text>
        <r>
          <rPr>
            <b/>
            <sz val="9"/>
            <color indexed="81"/>
            <rFont val="Tahoma"/>
            <charset val="1"/>
          </rPr>
          <t xml:space="preserve">opción (1) mensual Y (2) SI devolución:
</t>
        </r>
        <r>
          <rPr>
            <sz val="9"/>
            <color indexed="81"/>
            <rFont val="Tahoma"/>
            <family val="2"/>
          </rPr>
          <t>La cuestión es que las devoluciones no se abonan sino que se cobran independientemente de los nuevos saldos generados, por tanto, tenemos dos elementos simúltaneos:</t>
        </r>
        <r>
          <rPr>
            <b/>
            <sz val="9"/>
            <color indexed="81"/>
            <rFont val="Tahoma"/>
            <charset val="1"/>
          </rPr>
          <t xml:space="preserve">
</t>
        </r>
        <r>
          <rPr>
            <b/>
            <sz val="8"/>
            <color indexed="81"/>
            <rFont val="Tahoma"/>
            <family val="2"/>
          </rPr>
          <t xml:space="preserve">- Tenemos unos cobros (devoluciones) y unos saldos pendientes de cobro.
- Paralelamente tenemos unos pagos y unos saldos pendientes de pago </t>
        </r>
      </text>
    </comment>
    <comment ref="E407" authorId="0">
      <text>
        <r>
          <rPr>
            <b/>
            <sz val="9"/>
            <color indexed="81"/>
            <rFont val="Tahoma"/>
            <charset val="1"/>
          </rPr>
          <t xml:space="preserve">opción (1) mensual Y (2) NO devolución:
</t>
        </r>
        <r>
          <rPr>
            <sz val="9"/>
            <color indexed="81"/>
            <rFont val="Tahoma"/>
            <family val="2"/>
          </rPr>
          <t>Aquí únicamente hay un saldo que - si es positivo - produce un pago.
El pago se produce en el mes siguiente, por tanto, también se produce un saldo pendiente.</t>
        </r>
      </text>
    </comment>
  </commentList>
</comments>
</file>

<file path=xl/comments9.xml><?xml version="1.0" encoding="utf-8"?>
<comments xmlns="http://schemas.openxmlformats.org/spreadsheetml/2006/main">
  <authors>
    <author>Autor</author>
  </authors>
  <commentList>
    <comment ref="B9" authorId="0">
      <text>
        <r>
          <rPr>
            <b/>
            <sz val="8"/>
            <color indexed="81"/>
            <rFont val="Tahoma"/>
          </rPr>
          <t>Sólo principal, link a CTesoreria</t>
        </r>
      </text>
    </comment>
    <comment ref="B21" authorId="0">
      <text>
        <r>
          <rPr>
            <b/>
            <sz val="8"/>
            <color indexed="81"/>
            <rFont val="Tahoma"/>
          </rPr>
          <t>LINK A pr (presupuesto) y de ahí a CIvaRetenc</t>
        </r>
      </text>
    </comment>
  </commentList>
</comments>
</file>

<file path=xl/sharedStrings.xml><?xml version="1.0" encoding="utf-8"?>
<sst xmlns="http://schemas.openxmlformats.org/spreadsheetml/2006/main" count="3335" uniqueCount="1630">
  <si>
    <t xml:space="preserve">DISPONIBLE </t>
  </si>
  <si>
    <t>COMISIONES - CÁLCULOS DETALLADOS</t>
  </si>
  <si>
    <t>Depmto.</t>
  </si>
  <si>
    <t>INCLUYE BONUS Y PRIMAS</t>
  </si>
  <si>
    <t xml:space="preserve">   CONTROL</t>
  </si>
  <si>
    <t>link</t>
  </si>
  <si>
    <t>añoconcesion</t>
  </si>
  <si>
    <t>INGRESO</t>
  </si>
  <si>
    <t>pago pal</t>
  </si>
  <si>
    <t>pago int</t>
  </si>
  <si>
    <t>SDO INICIAL</t>
  </si>
  <si>
    <t>SDO FINAL</t>
  </si>
  <si>
    <t>año</t>
  </si>
  <si>
    <t>Total año</t>
  </si>
  <si>
    <t>presupuesto</t>
  </si>
  <si>
    <t>PRÉSTAMOS CP</t>
  </si>
  <si>
    <t>PRÉSTAMOS LP</t>
  </si>
  <si>
    <t>cuidado, se ha descontado IVA (Ingresos financieros y extraordinarios)</t>
  </si>
  <si>
    <t>Amortización préstamos (PAL)</t>
  </si>
  <si>
    <t>PRÉSTAMOS (Principal)</t>
  </si>
  <si>
    <t>TOTAL A PAGAR (con IVA)</t>
  </si>
  <si>
    <t>CONCESIÓN</t>
  </si>
  <si>
    <t>Mes</t>
  </si>
  <si>
    <t>mes compra</t>
  </si>
  <si>
    <t>mesinicio</t>
  </si>
  <si>
    <t>MES DE COMPRA</t>
  </si>
  <si>
    <t>INICIO PAGO SEGÚN FORMA</t>
  </si>
  <si>
    <t>mes inicio pago</t>
  </si>
  <si>
    <t>sumar</t>
  </si>
  <si>
    <t>inicio</t>
  </si>
  <si>
    <t>primer pago</t>
  </si>
  <si>
    <t>Comprobacion</t>
  </si>
  <si>
    <t>REDONDEO-MENOS</t>
  </si>
  <si>
    <t>TOTAL PAGOS SIN IVA</t>
  </si>
  <si>
    <t>IVA</t>
  </si>
  <si>
    <t xml:space="preserve">      PAGOS PRIMER AÑO</t>
  </si>
  <si>
    <t>Concepto</t>
  </si>
  <si>
    <t>Num Pagos</t>
  </si>
  <si>
    <t>Total Pagos</t>
  </si>
  <si>
    <t>AÑO 3</t>
  </si>
  <si>
    <t>DESACTIVADA DOS OPCIONES AMORTIZACIÓN</t>
  </si>
  <si>
    <t>Leasings (PRINCIPAL)</t>
  </si>
  <si>
    <t>Previstos en la hoja 2b y LEASINGS</t>
  </si>
  <si>
    <t>LEASINGS (PRINCIPAL)</t>
  </si>
  <si>
    <t>Intereses LEASINGS</t>
  </si>
  <si>
    <t>180 días</t>
  </si>
  <si>
    <t>plazopago</t>
  </si>
  <si>
    <t>COMPROBACIÓN DESDE PPTO.</t>
  </si>
  <si>
    <t>amortizaciones ANTERIOR</t>
  </si>
  <si>
    <t>TRATAMIENTO IMPUESTO SOCIEDADES</t>
  </si>
  <si>
    <t>% A APLICAR</t>
  </si>
  <si>
    <t>Aplicación directa</t>
  </si>
  <si>
    <t xml:space="preserve">Saldo deudor </t>
  </si>
  <si>
    <t>Balance</t>
  </si>
  <si>
    <t>Año siguiente</t>
  </si>
  <si>
    <t>pago impuestos o crédito pérdidas</t>
  </si>
  <si>
    <t>Pólizas dispuestas</t>
  </si>
  <si>
    <t>COMPROB=</t>
  </si>
  <si>
    <t>Tasa anual a aplicar</t>
  </si>
  <si>
    <t>ACTIVO</t>
  </si>
  <si>
    <t>Existencias</t>
  </si>
  <si>
    <t>Clientes</t>
  </si>
  <si>
    <t>TOTAL ACTIVO</t>
  </si>
  <si>
    <t>PASIVO</t>
  </si>
  <si>
    <t>Capital</t>
  </si>
  <si>
    <t>PAT. NETO Y PASIVO</t>
  </si>
  <si>
    <t>Diferencia en el ACTIVO</t>
  </si>
  <si>
    <t>Préstamos</t>
  </si>
  <si>
    <t>Inmovilizado Inmaterial</t>
  </si>
  <si>
    <t>TOT</t>
  </si>
  <si>
    <t>▼ zona de cálculos - no borrar</t>
  </si>
  <si>
    <t>E.B.I.T.D.A.</t>
  </si>
  <si>
    <t>Gastos establecimiento</t>
  </si>
  <si>
    <t>▼ AJUSTES2</t>
  </si>
  <si>
    <t>Otras cuentas por cobrar</t>
  </si>
  <si>
    <t>Efectivo - Tesorería</t>
  </si>
  <si>
    <t>Sdo préstamos largo plazo</t>
  </si>
  <si>
    <t>PROVISIONES</t>
  </si>
  <si>
    <t>Saldo acreed. comerciales</t>
  </si>
  <si>
    <t>Remuneraciones pend.</t>
  </si>
  <si>
    <t xml:space="preserve">Amortizaciones </t>
  </si>
  <si>
    <t>DEUDAS a largo plazo</t>
  </si>
  <si>
    <t>Línea de crédito</t>
  </si>
  <si>
    <t>Muchas gracias por tu confianza,</t>
  </si>
  <si>
    <t>Contacto</t>
  </si>
  <si>
    <t>DISPONIBLE</t>
  </si>
  <si>
    <r>
      <t xml:space="preserve">1º Pon el número de unidades o nº de ventas que prevés: </t>
    </r>
    <r>
      <rPr>
        <sz val="11"/>
        <rFont val="Tahoma"/>
        <family val="2"/>
      </rPr>
      <t>Número de unidades o número de pedidos o número de ventas.</t>
    </r>
  </si>
  <si>
    <r>
      <t>3º Si los tendrás, pon el importe total mensual de "otros ingresos" previstos.</t>
    </r>
    <r>
      <rPr>
        <sz val="12"/>
        <rFont val="Tahoma"/>
        <family val="2"/>
      </rPr>
      <t xml:space="preserve"> </t>
    </r>
  </si>
  <si>
    <t>impuesto s/beneficio</t>
  </si>
  <si>
    <t>Res. antes de impuestos</t>
  </si>
  <si>
    <r>
      <t>Pérdidas y Ganancias</t>
    </r>
    <r>
      <rPr>
        <sz val="14"/>
        <rFont val="Tahoma"/>
        <family val="2"/>
      </rPr>
      <t xml:space="preserve"> (previstas)</t>
    </r>
  </si>
  <si>
    <r>
      <t xml:space="preserve">    Cuidado: </t>
    </r>
    <r>
      <rPr>
        <sz val="12"/>
        <rFont val="Tahoma"/>
        <family val="2"/>
      </rPr>
      <t>(información)</t>
    </r>
  </si>
  <si>
    <t>MiEmpresa</t>
  </si>
  <si>
    <r>
      <t>Pon los gastos financieros</t>
    </r>
    <r>
      <rPr>
        <sz val="11"/>
        <rFont val="Tahoma"/>
        <family val="2"/>
      </rPr>
      <t xml:space="preserve"> (excluyendo los intereses y gastos de los créditos reflejados en el plan).</t>
    </r>
  </si>
  <si>
    <r>
      <t xml:space="preserve">Importante: </t>
    </r>
    <r>
      <rPr>
        <sz val="11"/>
        <rFont val="Tahoma"/>
        <family val="2"/>
      </rPr>
      <t>Los intereses y los gastos derivados de los préstamos incluidos en el plan ya se calculan automáticamente (no los pongas).</t>
    </r>
  </si>
  <si>
    <r>
      <t>Salario</t>
    </r>
    <r>
      <rPr>
        <sz val="12"/>
        <rFont val="Tahoma"/>
        <family val="2"/>
      </rPr>
      <t xml:space="preserve"> mensual</t>
    </r>
  </si>
  <si>
    <r>
      <t xml:space="preserve">% Coste </t>
    </r>
    <r>
      <rPr>
        <sz val="12"/>
        <rFont val="Tahoma"/>
        <family val="2"/>
      </rPr>
      <t>empresa</t>
    </r>
  </si>
  <si>
    <r>
      <t xml:space="preserve">  Importante:</t>
    </r>
    <r>
      <rPr>
        <sz val="11"/>
        <rFont val="Tahoma"/>
        <family val="2"/>
      </rPr>
      <t xml:space="preserve"> Pon el número de personas que ocuparán ese puesto cada mes. NO importes.</t>
    </r>
  </si>
  <si>
    <r>
      <t xml:space="preserve"> </t>
    </r>
    <r>
      <rPr>
        <sz val="11"/>
        <color indexed="10"/>
        <rFont val="Tahoma"/>
        <family val="2"/>
      </rPr>
      <t xml:space="preserve"> </t>
    </r>
    <r>
      <rPr>
        <sz val="11"/>
        <rFont val="Tahoma"/>
        <family val="2"/>
      </rPr>
      <t>Si tus empleados van a cobrar pagas extraordinarias (iguales a un salario mensual), en el mes donde vayan a cobrarlas duplica la cifra.</t>
    </r>
  </si>
  <si>
    <r>
      <t xml:space="preserve">% </t>
    </r>
    <r>
      <rPr>
        <b/>
        <sz val="12"/>
        <rFont val="Tahoma"/>
        <family val="2"/>
      </rPr>
      <t xml:space="preserve">Coste </t>
    </r>
  </si>
  <si>
    <r>
      <t xml:space="preserve">% </t>
    </r>
    <r>
      <rPr>
        <b/>
        <sz val="12"/>
        <rFont val="Tahoma"/>
        <family val="2"/>
      </rPr>
      <t xml:space="preserve"> Ret.</t>
    </r>
  </si>
  <si>
    <r>
      <t xml:space="preserve">Pon aquí el  (1) </t>
    </r>
    <r>
      <rPr>
        <b/>
        <sz val="12"/>
        <rFont val="Tahoma"/>
        <family val="2"/>
      </rPr>
      <t>el importe</t>
    </r>
    <r>
      <rPr>
        <sz val="12"/>
        <rFont val="Tahoma"/>
        <family val="2"/>
      </rPr>
      <t xml:space="preserve"> (capital social total) y (2) </t>
    </r>
    <r>
      <rPr>
        <b/>
        <sz val="12"/>
        <rFont val="Tahoma"/>
        <family val="2"/>
      </rPr>
      <t>El mes</t>
    </r>
    <r>
      <rPr>
        <sz val="12"/>
        <rFont val="Tahoma"/>
        <family val="2"/>
      </rPr>
      <t xml:space="preserve"> en que se ingresará (elige del desplegable).</t>
    </r>
  </si>
  <si>
    <r>
      <t xml:space="preserve">Pon aquí el  (1) </t>
    </r>
    <r>
      <rPr>
        <b/>
        <sz val="12"/>
        <rFont val="Tahoma"/>
        <family val="2"/>
      </rPr>
      <t>el importe total</t>
    </r>
    <r>
      <rPr>
        <sz val="12"/>
        <rFont val="Tahoma"/>
        <family val="2"/>
      </rPr>
      <t xml:space="preserve"> y (2) </t>
    </r>
    <r>
      <rPr>
        <b/>
        <sz val="12"/>
        <rFont val="Tahoma"/>
        <family val="2"/>
      </rPr>
      <t>El mes</t>
    </r>
    <r>
      <rPr>
        <sz val="12"/>
        <rFont val="Tahoma"/>
        <family val="2"/>
      </rPr>
      <t xml:space="preserve"> en que se ingresará (elige del desplegable).</t>
    </r>
  </si>
  <si>
    <r>
      <t>1- Préstamos corto plazo</t>
    </r>
    <r>
      <rPr>
        <sz val="12"/>
        <rFont val="Tahoma"/>
        <family val="2"/>
      </rPr>
      <t xml:space="preserve"> </t>
    </r>
  </si>
  <si>
    <r>
      <t xml:space="preserve">  Te informa del crédito dispuesto </t>
    </r>
    <r>
      <rPr>
        <sz val="11"/>
        <rFont val="Tahoma"/>
        <family val="2"/>
      </rPr>
      <t>(parte utilizada de la póliza, por tanto no disponible y amortizable).</t>
    </r>
  </si>
  <si>
    <r>
      <t>Amortización</t>
    </r>
    <r>
      <rPr>
        <sz val="12"/>
        <rFont val="Tahoma"/>
        <family val="2"/>
      </rPr>
      <t xml:space="preserve"> importes</t>
    </r>
    <r>
      <rPr>
        <b/>
        <sz val="12"/>
        <rFont val="Tahoma"/>
        <family val="2"/>
      </rPr>
      <t xml:space="preserve"> </t>
    </r>
    <r>
      <rPr>
        <sz val="12"/>
        <rFont val="Tahoma"/>
        <family val="2"/>
      </rPr>
      <t>(dev)</t>
    </r>
  </si>
  <si>
    <t>Producto y derechos</t>
  </si>
  <si>
    <t>Derechos del usuario y derechos de autor</t>
  </si>
  <si>
    <t>Si deseas más información:</t>
  </si>
  <si>
    <t>Contactar con los autores: info@e.ditor.com</t>
  </si>
  <si>
    <t>Dudas, consultas o asistencia: atencion@e.ditor.com</t>
  </si>
  <si>
    <t>TOTAL RETENCIONES</t>
  </si>
  <si>
    <t>TOTAL BRUTO</t>
  </si>
  <si>
    <t>TOTAL NETO</t>
  </si>
  <si>
    <t>TOTAL COSTE EMPRESA</t>
  </si>
  <si>
    <t xml:space="preserve">Comisiones sobre ventas totales </t>
  </si>
  <si>
    <t>Importe bruto de las comisiones mensuales</t>
  </si>
  <si>
    <t>IMPORTE TOTAL VÁLIDO (PRIORIDAD A OPCIÓN 2)</t>
  </si>
  <si>
    <t>Importe total (opción 2)</t>
  </si>
  <si>
    <t>CÁLCULOS OPCIÓN 1</t>
  </si>
  <si>
    <t>COSTE EMPRESA TOTAL</t>
  </si>
  <si>
    <t>REMUNERACIÓN NETA</t>
  </si>
  <si>
    <t>CÁLCULOS OPCIÓN 2</t>
  </si>
  <si>
    <t>Coste Empresa DETALLADO</t>
  </si>
  <si>
    <t>◄ Estos son los importes previstos por el libro</t>
  </si>
  <si>
    <t>Amortizaciones ANUALES</t>
  </si>
  <si>
    <t>Incobrables</t>
  </si>
  <si>
    <t>MEDIA RET.</t>
  </si>
  <si>
    <t>Años de amortización</t>
  </si>
  <si>
    <t>Otros gastos</t>
  </si>
  <si>
    <t>Personal</t>
  </si>
  <si>
    <t>CLIENTES EJERCICIO</t>
  </si>
  <si>
    <t>CLIENTES ANTERIOR</t>
  </si>
  <si>
    <t>DESCONTADO ANTERIOR</t>
  </si>
  <si>
    <t>TOTAL A COBRO</t>
  </si>
  <si>
    <t>Saldos anteriores a cobrar</t>
  </si>
  <si>
    <t>GESTIÓN COBRO TOTAL</t>
  </si>
  <si>
    <t>DESCUENTO EFECTOS</t>
  </si>
  <si>
    <t>Cobro impagados</t>
  </si>
  <si>
    <t>TOTAL COBROS EJERCICIO</t>
  </si>
  <si>
    <t>Cobros para el ejercicio siguiente</t>
  </si>
  <si>
    <t>Saldo clientes</t>
  </si>
  <si>
    <t>Saldo líneas crédito</t>
  </si>
  <si>
    <t>Total cobros ventas ejercicio</t>
  </si>
  <si>
    <t>LÍNEAS DE CRÉDITO</t>
  </si>
  <si>
    <t>Coste mantenimiento anual</t>
  </si>
  <si>
    <t>Coste impagados</t>
  </si>
  <si>
    <t>Otros ingresos</t>
  </si>
  <si>
    <r>
      <t xml:space="preserve"> ◄</t>
    </r>
    <r>
      <rPr>
        <sz val="7.5"/>
        <rFont val="Arial"/>
        <family val="2"/>
      </rPr>
      <t xml:space="preserve">  </t>
    </r>
    <r>
      <rPr>
        <sz val="10"/>
        <rFont val="Arial"/>
        <family val="2"/>
      </rPr>
      <t>Faltan datos (?)</t>
    </r>
  </si>
  <si>
    <r>
      <t xml:space="preserve"> ◄</t>
    </r>
    <r>
      <rPr>
        <sz val="7.5"/>
        <rFont val="Arial"/>
        <family val="2"/>
      </rPr>
      <t xml:space="preserve">  AQUÍ FALTA UN DATO VITAL!‼</t>
    </r>
  </si>
  <si>
    <r>
      <t xml:space="preserve"> ◄</t>
    </r>
    <r>
      <rPr>
        <sz val="7.5"/>
        <rFont val="Arial"/>
        <family val="2"/>
      </rPr>
      <t xml:space="preserve">  ¿</t>
    </r>
    <r>
      <rPr>
        <sz val="10"/>
        <rFont val="Arial"/>
        <family val="2"/>
      </rPr>
      <t>Faltan datos?</t>
    </r>
  </si>
  <si>
    <t>% cobro 150 días</t>
  </si>
  <si>
    <t>Gst. Marketing</t>
  </si>
  <si>
    <t>Financieros</t>
  </si>
  <si>
    <t>Excepcionales</t>
  </si>
  <si>
    <t>marketing/ventas</t>
  </si>
  <si>
    <t>administración/DG</t>
  </si>
  <si>
    <t>comisiones</t>
  </si>
  <si>
    <t>menos venta</t>
  </si>
  <si>
    <t>GASTOS AMORTIZABLES</t>
  </si>
  <si>
    <t>iniciales</t>
  </si>
  <si>
    <t>compras</t>
  </si>
  <si>
    <t>finales</t>
  </si>
  <si>
    <t>PRODUCCIÓN</t>
  </si>
  <si>
    <t>Fijos</t>
  </si>
  <si>
    <t>Variables</t>
  </si>
  <si>
    <t>Sdo. DISP ACUM</t>
  </si>
  <si>
    <t>1er AÑO</t>
  </si>
  <si>
    <t>POSTERIORES</t>
  </si>
  <si>
    <t>AMORTIZACIONES PRIMER AÑO</t>
  </si>
  <si>
    <t>En % s/Ventas</t>
  </si>
  <si>
    <t>Gastos excepcionales</t>
  </si>
  <si>
    <t xml:space="preserve"> Comisiones</t>
  </si>
  <si>
    <t>PAGO CASH</t>
  </si>
  <si>
    <t>Intereses y gst</t>
  </si>
  <si>
    <t>RESUMEN PRÉSTAMOS Y GASTOS FINANCIEROS</t>
  </si>
  <si>
    <t>AJUSTE RÁPIDO  ►</t>
  </si>
  <si>
    <t>1º Se descuenta de los conceptos anteriores</t>
  </si>
  <si>
    <t>2º Se carga a una sección especial</t>
  </si>
  <si>
    <t>Presupuesto con gastos iniciales</t>
  </si>
  <si>
    <t>No tiene en cuenta los gastos iniciales</t>
  </si>
  <si>
    <t>TIENE EN CUENTA LOS COSTES INICIALES</t>
  </si>
  <si>
    <t>PAGOS ESTABLEC/INVERSIONES IVA incluido</t>
  </si>
  <si>
    <t>PAGOS PERSONAL, gastos y rentenciones</t>
  </si>
  <si>
    <t>INMOVILIZADO INTANGIBLE</t>
  </si>
  <si>
    <t>ARRENDAMIENTO</t>
  </si>
  <si>
    <t>Tratamiento de los LEASINGS</t>
  </si>
  <si>
    <t>ACTIVOS LEASING según tratamiento</t>
  </si>
  <si>
    <t>1er. AÑO</t>
  </si>
  <si>
    <t>TRATAMIENTO:</t>
  </si>
  <si>
    <t>Arrendamientos</t>
  </si>
  <si>
    <t>Leasings / Arren.</t>
  </si>
  <si>
    <t>Leasings tratados como arrendamiento (cálculo)</t>
  </si>
  <si>
    <t>Tipo de activo y forma de adquisición</t>
  </si>
  <si>
    <t>G. financieros en %</t>
  </si>
  <si>
    <t>Coste de las ventas</t>
  </si>
  <si>
    <t>Libro para Excel® basado en un original de A.M. Dunyó y A.Gil</t>
  </si>
  <si>
    <t>puede comerciar con él, usarlo para crear productos destinados  a la venta o arrogarse su autoría.</t>
  </si>
  <si>
    <r>
      <t xml:space="preserve">Esta sección incluye los gastos de </t>
    </r>
    <r>
      <rPr>
        <b/>
        <sz val="12"/>
        <rFont val="Tahoma"/>
        <family val="2"/>
      </rPr>
      <t>marketing, ventas y administración.</t>
    </r>
  </si>
  <si>
    <r>
      <t xml:space="preserve">Aquí se ponen las </t>
    </r>
    <r>
      <rPr>
        <b/>
        <sz val="12"/>
        <rFont val="Tahoma"/>
        <family val="2"/>
      </rPr>
      <t>remuneraciones</t>
    </r>
    <r>
      <rPr>
        <sz val="12"/>
        <rFont val="Tahoma"/>
        <family val="2"/>
      </rPr>
      <t xml:space="preserve"> del personal.</t>
    </r>
  </si>
  <si>
    <t>Pon las inversiones, los gastos y las provisiones necesarias para dicha puesta en marcha.</t>
  </si>
  <si>
    <t>Aquí debes definir el dinero que pondrán los socios y la financiación de terceros que esperas obtener.</t>
  </si>
  <si>
    <r>
      <t xml:space="preserve">Incluye en esta sección las </t>
    </r>
    <r>
      <rPr>
        <b/>
        <sz val="12"/>
        <color indexed="16"/>
        <rFont val="Tahoma"/>
        <family val="2"/>
      </rPr>
      <t xml:space="preserve">subvenciones no exigibles </t>
    </r>
    <r>
      <rPr>
        <sz val="12"/>
        <color indexed="16"/>
        <rFont val="Tahoma"/>
        <family val="2"/>
      </rPr>
      <t>(que no hay que devolver, son "a fondo perdido").</t>
    </r>
  </si>
  <si>
    <t>Recomendación: Pon aquí un resumen de los gastos, los detalles ponlos en la hoja de notas anexa.</t>
  </si>
  <si>
    <t>Para que se calcule dicha previsión informativa debes poner el % de margen de beneficio que te gustaría obtener.</t>
  </si>
  <si>
    <t>En esta sección deberás indicar tus previsiones de cobro y pago así como gestionar las polizas de crédito que tengas.</t>
  </si>
  <si>
    <t>Saldo proveedores (sin IVA) compra activos:</t>
  </si>
  <si>
    <t>Valor compra</t>
  </si>
  <si>
    <t xml:space="preserve">© e.ditor consulting y los autores. </t>
  </si>
  <si>
    <t>información</t>
  </si>
  <si>
    <t>comenzar</t>
  </si>
  <si>
    <t xml:space="preserve">SI DEVOLUCIÓN </t>
  </si>
  <si>
    <t>LIQUIDACIÓN TRIMESTRAL IVA</t>
  </si>
  <si>
    <t>LIQUIDACIÓN</t>
  </si>
  <si>
    <t>MES LIQUIDACIÓN</t>
  </si>
  <si>
    <t>SALDOS MENSUALES (NO ACUM)</t>
  </si>
  <si>
    <t>PAGO (MES SIGUIENTE)</t>
  </si>
  <si>
    <t>SALDO (menos pagos)</t>
  </si>
  <si>
    <t>SALDOS TRIMESTRALES (NO ACUM)</t>
  </si>
  <si>
    <t>OPCIÓN ELEGIDA</t>
  </si>
  <si>
    <t>SALDO (activo)</t>
  </si>
  <si>
    <t>SALDO (pasivo)</t>
  </si>
  <si>
    <t>COBRO EFECTIVO</t>
  </si>
  <si>
    <t>PAGO EFECTIVO (mes siguiente)</t>
  </si>
  <si>
    <t>año siguiente</t>
  </si>
  <si>
    <t>PAGO EFECTIVO</t>
  </si>
  <si>
    <t>TOTAL PAGOS (con mensual)</t>
  </si>
  <si>
    <t>PAGOS</t>
  </si>
  <si>
    <t>Intereses</t>
  </si>
  <si>
    <t>AÑO</t>
  </si>
  <si>
    <t>Pago Principal</t>
  </si>
  <si>
    <t>Pago Intereses</t>
  </si>
  <si>
    <t>Principal</t>
  </si>
  <si>
    <t>PRINCIPAL</t>
  </si>
  <si>
    <t>INTERESES</t>
  </si>
  <si>
    <t>Comprobación</t>
  </si>
  <si>
    <t>Interés</t>
  </si>
  <si>
    <t>LEASINGS (sin IVA)</t>
  </si>
  <si>
    <t>comprobacion</t>
  </si>
  <si>
    <t>IVA sobre LEASINGS (soportado)</t>
  </si>
  <si>
    <t xml:space="preserve"> IVA se aplica sobre pago y sobre principal más intereses</t>
  </si>
  <si>
    <t>PAGO principal</t>
  </si>
  <si>
    <t>PAGO intereses</t>
  </si>
  <si>
    <t>IVA soportado pral.</t>
  </si>
  <si>
    <t>PAGO INVERSIONES (sin IVA)</t>
  </si>
  <si>
    <t>INICIO</t>
  </si>
  <si>
    <t xml:space="preserve"> Cada pago</t>
  </si>
  <si>
    <t>PAGOS SIN FIN</t>
  </si>
  <si>
    <t>SALDO INICIO MES</t>
  </si>
  <si>
    <t>PENDIENTE</t>
  </si>
  <si>
    <t>AÑO 2</t>
  </si>
  <si>
    <t>Sdo. Pend.</t>
  </si>
  <si>
    <t>RENOVAR</t>
  </si>
  <si>
    <t>NO</t>
  </si>
  <si>
    <t>12 MESES</t>
  </si>
  <si>
    <t>24 MESES</t>
  </si>
  <si>
    <t>CANCELAR</t>
  </si>
  <si>
    <t>repolizas</t>
  </si>
  <si>
    <t>1º año</t>
  </si>
  <si>
    <t>Fin año</t>
  </si>
  <si>
    <t>POLIZAS DISPONIBLES</t>
  </si>
  <si>
    <t>GASTOS ANUALES</t>
  </si>
  <si>
    <t>Tipo de activo</t>
  </si>
  <si>
    <t>compra</t>
  </si>
  <si>
    <t>importe</t>
  </si>
  <si>
    <t>▲ IMPOSIBLE</t>
  </si>
  <si>
    <t>imposible</t>
  </si>
  <si>
    <t>sdo. Clientes</t>
  </si>
  <si>
    <t>Dudosos</t>
  </si>
  <si>
    <t>inmovilizado financiero</t>
  </si>
  <si>
    <t>Equipos informáticos</t>
  </si>
  <si>
    <t>años</t>
  </si>
  <si>
    <t>formas pago</t>
  </si>
  <si>
    <t>meses</t>
  </si>
  <si>
    <t>enero</t>
  </si>
  <si>
    <t>Clientes de dudoso cobro</t>
  </si>
  <si>
    <t>Insolvencias</t>
  </si>
  <si>
    <t>SALDO CLIENTES (con IVA) SIN IMPAGADOS</t>
  </si>
  <si>
    <t>Saldo clientes DUDOSOS</t>
  </si>
  <si>
    <t>Gastos fijos (Serie costes fijos)</t>
  </si>
  <si>
    <t>Unidades (Eje categorías (x))</t>
  </si>
  <si>
    <t>▲</t>
  </si>
  <si>
    <t>NO BORRAR NI OCULTAR</t>
  </si>
  <si>
    <t xml:space="preserve"> GRÁFICO PUNTO EQUILIBRIO</t>
  </si>
  <si>
    <t>% INICIAL</t>
  </si>
  <si>
    <t xml:space="preserve"> NUEVO %</t>
  </si>
  <si>
    <t>se APLICA</t>
  </si>
  <si>
    <t>Venta neta total</t>
  </si>
  <si>
    <t>Venta bruta</t>
  </si>
  <si>
    <t>PÓLIZAS CRÉDITO</t>
  </si>
  <si>
    <t>FINAL 1ER A</t>
  </si>
  <si>
    <t>Coste anual</t>
  </si>
  <si>
    <t>interés disposición</t>
  </si>
  <si>
    <t>PRESTAMOS A CORTO PLAZO - AÑOS</t>
  </si>
  <si>
    <t>Préstamos LP</t>
  </si>
  <si>
    <t>abril</t>
  </si>
  <si>
    <t>mayo</t>
  </si>
  <si>
    <t>junio</t>
  </si>
  <si>
    <t>julio</t>
  </si>
  <si>
    <t>agosto</t>
  </si>
  <si>
    <t>septiembre</t>
  </si>
  <si>
    <t>octubre</t>
  </si>
  <si>
    <t>noviembre</t>
  </si>
  <si>
    <t>diciembre</t>
  </si>
  <si>
    <t>dividir por</t>
  </si>
  <si>
    <t>AÑOS</t>
  </si>
  <si>
    <t>30 días</t>
  </si>
  <si>
    <t>60 días</t>
  </si>
  <si>
    <t>90 días</t>
  </si>
  <si>
    <t>120 días</t>
  </si>
  <si>
    <t>150 días</t>
  </si>
  <si>
    <t>Impuesto SOCIEDADES</t>
  </si>
  <si>
    <t>Generales y adm</t>
  </si>
  <si>
    <t>Total gastos</t>
  </si>
  <si>
    <t>Gst. generales</t>
  </si>
  <si>
    <r>
      <t xml:space="preserve">% </t>
    </r>
    <r>
      <rPr>
        <b/>
        <sz val="10"/>
        <rFont val="Arial"/>
      </rPr>
      <t xml:space="preserve">Coste </t>
    </r>
  </si>
  <si>
    <r>
      <t xml:space="preserve">% </t>
    </r>
    <r>
      <rPr>
        <b/>
        <sz val="10"/>
        <rFont val="Arial"/>
      </rPr>
      <t xml:space="preserve"> Ret.</t>
    </r>
  </si>
  <si>
    <r>
      <t xml:space="preserve">Pers. </t>
    </r>
    <r>
      <rPr>
        <b/>
        <sz val="10"/>
        <rFont val="Arial"/>
      </rPr>
      <t>EVENTUAL</t>
    </r>
  </si>
  <si>
    <t>Importe bruto de la remuneración en el mes donde corresponderá</t>
  </si>
  <si>
    <t>Importe Bruto final (la hoja toma como válido este importe)</t>
  </si>
  <si>
    <t>Fianzas y depósitos</t>
  </si>
  <si>
    <t>Total soportado</t>
  </si>
  <si>
    <t>pagado</t>
  </si>
  <si>
    <t>Sdo. Ejercicio</t>
  </si>
  <si>
    <t>IVA - LIQUIDACIÓN</t>
  </si>
  <si>
    <t>Cash flow</t>
  </si>
  <si>
    <t xml:space="preserve">irá a reservas </t>
  </si>
  <si>
    <t>febrero</t>
  </si>
  <si>
    <t>marzo</t>
  </si>
  <si>
    <t>Stocks</t>
  </si>
  <si>
    <r>
      <t>Saldo neto</t>
    </r>
    <r>
      <rPr>
        <b/>
        <sz val="12"/>
        <rFont val="Tahoma"/>
        <family val="2"/>
      </rPr>
      <t xml:space="preserve"> mensual</t>
    </r>
  </si>
  <si>
    <r>
      <t xml:space="preserve">Saldo </t>
    </r>
    <r>
      <rPr>
        <b/>
        <sz val="12"/>
        <rFont val="Tahoma"/>
        <family val="2"/>
      </rPr>
      <t>acumulado a final</t>
    </r>
    <r>
      <rPr>
        <sz val="12"/>
        <rFont val="Tahoma"/>
        <family val="2"/>
      </rPr>
      <t xml:space="preserve"> de mes</t>
    </r>
  </si>
  <si>
    <r>
      <t xml:space="preserve">Saldo </t>
    </r>
    <r>
      <rPr>
        <b/>
        <sz val="12"/>
        <rFont val="Tahoma"/>
        <family val="2"/>
      </rPr>
      <t>acumulado</t>
    </r>
    <r>
      <rPr>
        <sz val="12"/>
        <rFont val="Tahoma"/>
        <family val="2"/>
      </rPr>
      <t xml:space="preserve"> </t>
    </r>
    <r>
      <rPr>
        <b/>
        <sz val="12"/>
        <rFont val="Tahoma"/>
        <family val="2"/>
      </rPr>
      <t xml:space="preserve"> con pólizas</t>
    </r>
  </si>
  <si>
    <t>COSTE de las VENTAS</t>
  </si>
  <si>
    <t>Personal prod/servicio</t>
  </si>
  <si>
    <t>Total Coste Ventas</t>
  </si>
  <si>
    <t>COSTES MARKETING</t>
  </si>
  <si>
    <t>Personal mk/ventas</t>
  </si>
  <si>
    <t>Publicidad y promoción</t>
  </si>
  <si>
    <t>Total Coste Marketing</t>
  </si>
  <si>
    <t>Costes ADMINISTRAC.</t>
  </si>
  <si>
    <t>Personal admón y direcc.</t>
  </si>
  <si>
    <t>Otros gastos administrac.</t>
  </si>
  <si>
    <t>Total Costes Admin.</t>
  </si>
  <si>
    <t>MARGEN BRUTO</t>
  </si>
  <si>
    <t>Impuestos</t>
  </si>
  <si>
    <r>
      <t>Presupuesto de Tesorería</t>
    </r>
    <r>
      <rPr>
        <sz val="16"/>
        <rFont val="Tahoma"/>
        <family val="2"/>
      </rPr>
      <t xml:space="preserve"> (Cash Flow)</t>
    </r>
  </si>
  <si>
    <t>Presupuestos Ejercicio</t>
  </si>
  <si>
    <t>Previsión de Pérdidas y Ganancias</t>
  </si>
  <si>
    <r>
      <t xml:space="preserve">   Ventas mínimas</t>
    </r>
    <r>
      <rPr>
        <sz val="12"/>
        <rFont val="Tahoma"/>
        <family val="2"/>
      </rPr>
      <t xml:space="preserve"> anuales en unidades</t>
    </r>
  </si>
  <si>
    <r>
      <t xml:space="preserve">   Facturación necesaria </t>
    </r>
    <r>
      <rPr>
        <sz val="12"/>
        <rFont val="Tahoma"/>
        <family val="2"/>
      </rPr>
      <t>para alcanzar el Punto de Equilibrio</t>
    </r>
  </si>
  <si>
    <r>
      <t xml:space="preserve">   Total días </t>
    </r>
    <r>
      <rPr>
        <sz val="12"/>
        <rFont val="Tahoma"/>
        <family val="2"/>
      </rPr>
      <t>para alcanzar el Punto de Equilibrio anual</t>
    </r>
  </si>
  <si>
    <t xml:space="preserve">     1- Portada.</t>
  </si>
  <si>
    <r>
      <t xml:space="preserve">     2- Cuenta de Resultados del 1er. año</t>
    </r>
    <r>
      <rPr>
        <sz val="12"/>
        <rFont val="Tahoma"/>
        <family val="2"/>
      </rPr>
      <t xml:space="preserve"> elaborada en formato "Pérdidas y Ganancias".</t>
    </r>
  </si>
  <si>
    <t xml:space="preserve">     3- Gráficos de la Cuenta de PyG anterior.</t>
  </si>
  <si>
    <t>Terrenos, construcciones y edificaciones</t>
  </si>
  <si>
    <t>Otras instalaciones</t>
  </si>
  <si>
    <t>Maquinaria, utillaje y herramientas</t>
  </si>
  <si>
    <t>Vehículos y elementos de transporte</t>
  </si>
  <si>
    <t>Mobiliario y equipos oficina</t>
  </si>
  <si>
    <t>Gastos de investigación y desarrollo</t>
  </si>
  <si>
    <t>Aplicaciones informáticas</t>
  </si>
  <si>
    <t>Licencias, patentes y marcas</t>
  </si>
  <si>
    <t>Derechos de traspaso</t>
  </si>
  <si>
    <t>Activos intangibles amortizables</t>
  </si>
  <si>
    <t>mes</t>
  </si>
  <si>
    <t>Inversiones en ACTIVO MATERIAL</t>
  </si>
  <si>
    <t>Inversiones en ACTIVO INTANGIBLE</t>
  </si>
  <si>
    <t>Depósitos o fianzas</t>
  </si>
  <si>
    <t>TOTAL fondos necesarios</t>
  </si>
  <si>
    <t>tiposdeactivos</t>
  </si>
  <si>
    <t>Otros activos amortizables</t>
  </si>
  <si>
    <t>activosintangiblesamort</t>
  </si>
  <si>
    <t>Mobiliario</t>
  </si>
  <si>
    <t>Decoración</t>
  </si>
  <si>
    <t>Furgoneta</t>
  </si>
  <si>
    <t>Ordenadores, impresoras, cajas y soportes</t>
  </si>
  <si>
    <t>Equipamiento vario</t>
  </si>
  <si>
    <t>Página web</t>
  </si>
  <si>
    <t>Software standard</t>
  </si>
  <si>
    <t>Traspaso</t>
  </si>
  <si>
    <t>Patentes y marca</t>
  </si>
  <si>
    <t>Otros activos intangibles</t>
  </si>
  <si>
    <t>Gastos de lanzamiento</t>
  </si>
  <si>
    <t>Gastos de preparación</t>
  </si>
  <si>
    <t>Gastos legales de constitución</t>
  </si>
  <si>
    <t>CÁLCULOS PRESTAMOS LARGO PLAZO</t>
  </si>
  <si>
    <t>PLP1  UNO</t>
  </si>
  <si>
    <t>PLP1 DOS</t>
  </si>
  <si>
    <t>PLP1 TRES</t>
  </si>
  <si>
    <t>Préstamo largo plazo 1 PRIMER AÑO</t>
  </si>
  <si>
    <t>Préstamo largo plazo 2 PRIMER AÑO</t>
  </si>
  <si>
    <t>Préstamo largo plazo 3 PRIMER AÑO</t>
  </si>
  <si>
    <t>AÑOS POSTERIORES</t>
  </si>
  <si>
    <t>Préstamo CORTO plazo 2 PRIMER AÑO</t>
  </si>
  <si>
    <t>PCP1 DOS</t>
  </si>
  <si>
    <t>PRÉSTAMOS A CORTO PLAZO  PRIMER AÑO</t>
  </si>
  <si>
    <t>gastos fijos</t>
  </si>
  <si>
    <t>gastos variables</t>
  </si>
  <si>
    <t>gasto variable unitario</t>
  </si>
  <si>
    <t>precio unitario</t>
  </si>
  <si>
    <t>Facturación para PE</t>
  </si>
  <si>
    <t>disposición</t>
  </si>
  <si>
    <t>devolución</t>
  </si>
  <si>
    <t>Fin mes</t>
  </si>
  <si>
    <t>Saldo pólizas</t>
  </si>
  <si>
    <t>DISPUESTO</t>
  </si>
  <si>
    <t>Gastos financieros</t>
  </si>
  <si>
    <t>Sdo. Deudor</t>
  </si>
  <si>
    <t>Gastos iniciales</t>
  </si>
  <si>
    <t>Prestamos corto pl</t>
  </si>
  <si>
    <t>Número de personas cada mes</t>
  </si>
  <si>
    <r>
      <t>ratio</t>
    </r>
    <r>
      <rPr>
        <sz val="8"/>
        <rFont val="Arial"/>
        <family val="2"/>
      </rPr>
      <t>▲</t>
    </r>
  </si>
  <si>
    <t>devengados a pagar</t>
  </si>
  <si>
    <t>Retenciones</t>
  </si>
  <si>
    <t>Costes Salariales</t>
  </si>
  <si>
    <t>SIN IVA</t>
  </si>
  <si>
    <t>Garantía</t>
  </si>
  <si>
    <t>◄ Faltan DATOS</t>
  </si>
  <si>
    <t>SDO. C.E. CON PAGO MENSUAL</t>
  </si>
  <si>
    <t>SDO. C.E. CON PAGO TRIMESTRAL</t>
  </si>
  <si>
    <t>Retenciones salariales</t>
  </si>
  <si>
    <t>Costes salariales</t>
  </si>
  <si>
    <t>IVA (acreedor)</t>
  </si>
  <si>
    <t>IVA (deudor)</t>
  </si>
  <si>
    <t>SALDO</t>
  </si>
  <si>
    <t>TES▲</t>
  </si>
  <si>
    <t>Salario neto a pgar</t>
  </si>
  <si>
    <t>total cobrar</t>
  </si>
  <si>
    <t>iva</t>
  </si>
  <si>
    <t>ejercicio</t>
  </si>
  <si>
    <t>ratio</t>
  </si>
  <si>
    <t>ejercicio SIG</t>
  </si>
  <si>
    <t>DEVENG</t>
  </si>
  <si>
    <t>RATIOS DE PAGO</t>
  </si>
  <si>
    <t>ingresos EXTRAORDINARIOS</t>
  </si>
  <si>
    <t>GASTOS CON IVA</t>
  </si>
  <si>
    <t>IVA SOP</t>
  </si>
  <si>
    <t>iva aplicar</t>
  </si>
  <si>
    <t>anterior</t>
  </si>
  <si>
    <t>PRIMER EJERCICIO</t>
  </si>
  <si>
    <t>devengado con iva</t>
  </si>
  <si>
    <t>pendiente</t>
  </si>
  <si>
    <t>año 6</t>
  </si>
  <si>
    <t>RETENCIONES:</t>
  </si>
  <si>
    <t>ING EXTRA</t>
  </si>
  <si>
    <r>
      <t>▲</t>
    </r>
    <r>
      <rPr>
        <sz val="7.5"/>
        <rFont val="Arial"/>
      </rPr>
      <t xml:space="preserve"> Tesorería</t>
    </r>
  </si>
  <si>
    <t>devengadas a pagar</t>
  </si>
  <si>
    <t>Comisiones Cemp</t>
  </si>
  <si>
    <t>Comisiones Brutas</t>
  </si>
  <si>
    <t xml:space="preserve">  - Coste Emp</t>
  </si>
  <si>
    <t xml:space="preserve">   - retenciones</t>
  </si>
  <si>
    <t>Salarios Cemp</t>
  </si>
  <si>
    <t>Clientes deudores (total)</t>
  </si>
  <si>
    <t>Saldos Clientes</t>
  </si>
  <si>
    <t>ACTIVOS PRIMER EJERCICIO</t>
  </si>
  <si>
    <t>Amortizaciones NUEVOS ACTIVOS ver hoja Pagoinversiones</t>
  </si>
  <si>
    <t>Planes de Negocio RECOMENDADOS</t>
  </si>
  <si>
    <t xml:space="preserve">    Punto de equilibrio es lo mismo que "umbral de rentabilidad", "punto crítico", "punto muerto",</t>
  </si>
  <si>
    <t xml:space="preserve">    y otras denominaciones similares (Break-even en inglés).</t>
  </si>
  <si>
    <t xml:space="preserve">    ¿Qué es?</t>
  </si>
  <si>
    <t xml:space="preserve">     Es el punto económico a partir del cual comienzas a ganar dinero (obtener beneficios) o, lo que es lo mismo, las</t>
  </si>
  <si>
    <t xml:space="preserve">    ventas mínimas que tienes que alcanzar para cubrir costes.</t>
  </si>
  <si>
    <t xml:space="preserve">    Ten en cuenta:</t>
  </si>
  <si>
    <t xml:space="preserve">    en caso contrario no calcula ni elabora el gráfico.</t>
  </si>
  <si>
    <t xml:space="preserve">     Como sabes el hecho de tener beneficios económicos no significa necesariamente tener liquidez (dinero en caja),</t>
  </si>
  <si>
    <t xml:space="preserve">    existe un segundo punto de equilibrio (financiero) que cubre este aspecto y se calcula partiendo de las previsiones</t>
  </si>
  <si>
    <t xml:space="preserve">    de tesorería. No lo hemos desarrollado en este producto (sí en nuestros planes financieros).</t>
  </si>
  <si>
    <t>Viene de la hoja Pagoinversiones</t>
  </si>
  <si>
    <t>VARIOS AÑOS</t>
  </si>
  <si>
    <t>NUEVOS ACTIVOS cash</t>
  </si>
  <si>
    <t>LISTA</t>
  </si>
  <si>
    <t>RANGOS</t>
  </si>
  <si>
    <t>SELECCIÓN MESES</t>
  </si>
  <si>
    <t xml:space="preserve"> </t>
  </si>
  <si>
    <t>Suministros</t>
  </si>
  <si>
    <t>Material Oficina</t>
  </si>
  <si>
    <t>Transportes</t>
  </si>
  <si>
    <t>Retenciones (PAGAR )</t>
  </si>
  <si>
    <t>Costes Salariales (PAGAR )</t>
  </si>
  <si>
    <t xml:space="preserve">PAGO INVERSIONES </t>
  </si>
  <si>
    <t>RATIO</t>
  </si>
  <si>
    <t>PEND</t>
  </si>
  <si>
    <t>TIPO</t>
  </si>
  <si>
    <t>comp activos</t>
  </si>
  <si>
    <t>PÓLIZAS DE CRÉDITO</t>
  </si>
  <si>
    <t>Amortización</t>
  </si>
  <si>
    <t>ACTIVOS AÑOS POSTERIORES</t>
  </si>
  <si>
    <t xml:space="preserve">ATENCIÓN: MIENTRAS LAS RETENCIONES Y SUS LIQUIDACIONES LAS TOMA DEL TOTAL Y DEVENGO=PAGO - SE DA LA POSIBILIDAD DE ABONAR LAS COMISIONES NETAS A PLAZO: </t>
  </si>
  <si>
    <t>PRÉSTAMOS CORTO PLAZO - PRIMER AÑO -</t>
  </si>
  <si>
    <t>CUIDADO: VER ANOTACIONES EN ESTA Y OTRAS HOJAS</t>
  </si>
  <si>
    <t>- B5 - BALANCES A 5 AÑOS</t>
  </si>
  <si>
    <t>3º Comisiones sobre ventas</t>
  </si>
  <si>
    <t>En esta parte se reflejan las comisiones sobre ventas.</t>
  </si>
  <si>
    <t xml:space="preserve">   % promedio de coste empresa.</t>
  </si>
  <si>
    <t xml:space="preserve">   % promedio de retención.</t>
  </si>
  <si>
    <t xml:space="preserve">   % promedio de comisión.</t>
  </si>
  <si>
    <t>Poniendo un único % (promedio) se calcula sobre el total de las ventas.</t>
  </si>
  <si>
    <t xml:space="preserve"> 5- INGRESOS: Previsión de ventas y otros ingresos.</t>
  </si>
  <si>
    <t xml:space="preserve"> 1- INVERSIONES, GASTOS Y PROVISIONES para poner en marcha el negocio.</t>
  </si>
  <si>
    <t xml:space="preserve"> 3- GASTOS: Detalle de los gastos para las operaciones corrientes.</t>
  </si>
  <si>
    <t xml:space="preserve"> 4- PERSONAL: Gastos del personal necesario.</t>
  </si>
  <si>
    <t xml:space="preserve"> 6- COBRO Y PAGO: Estimaciones de plazos de cobro y pago. Gestión pólizas de crédito.</t>
  </si>
  <si>
    <t xml:space="preserve"> 2- FINANCIACIÓN: Capital, subvenciones y préstamos con que financiarás el negocio.</t>
  </si>
  <si>
    <t>Ponlos donde corresponda y según la clasificación siguiente:</t>
  </si>
  <si>
    <r>
      <t xml:space="preserve">1- Inversiones en activo material </t>
    </r>
    <r>
      <rPr>
        <sz val="12"/>
        <rFont val="Tahoma"/>
        <family val="2"/>
      </rPr>
      <t>(activos tangibles, físicos: inmuebles, muebles, maquinaria, etc.)</t>
    </r>
    <r>
      <rPr>
        <b/>
        <sz val="12"/>
        <rFont val="Tahoma"/>
        <family val="2"/>
      </rPr>
      <t xml:space="preserve"> </t>
    </r>
  </si>
  <si>
    <t xml:space="preserve">      1º Pon el activo (nombre). 2º Elige de lista el TIPO DE ACTIVO. 3º Pon en IMPORTE el valor del activo. 4º Indica el MES en que se activará (elige de la lista).</t>
  </si>
  <si>
    <t xml:space="preserve">      Puedes hacer tus cálculos o notas en la hoja adjunta (haz clic en el link).</t>
  </si>
  <si>
    <r>
      <t xml:space="preserve">2- Inversiones en activo inmaterial </t>
    </r>
    <r>
      <rPr>
        <sz val="12"/>
        <rFont val="Tahoma"/>
        <family val="2"/>
      </rPr>
      <t>(activos intangibles: derechos, licencias, etc.)</t>
    </r>
    <r>
      <rPr>
        <b/>
        <sz val="12"/>
        <rFont val="Tahoma"/>
        <family val="2"/>
      </rPr>
      <t xml:space="preserve"> </t>
    </r>
  </si>
  <si>
    <t xml:space="preserve">      1º Pon en IMPORTE TOTAL. 2º Indica el MES en que se ABONARÁ (elige de la lista).</t>
  </si>
  <si>
    <r>
      <t xml:space="preserve">3- Depósitos y fianzas </t>
    </r>
    <r>
      <rPr>
        <sz val="12"/>
        <rFont val="Tahoma"/>
        <family val="2"/>
      </rPr>
      <t>(importes que se dejan en prenda a devolver al final de cierto período)</t>
    </r>
    <r>
      <rPr>
        <b/>
        <sz val="12"/>
        <rFont val="Tahoma"/>
        <family val="2"/>
      </rPr>
      <t xml:space="preserve"> </t>
    </r>
  </si>
  <si>
    <r>
      <t xml:space="preserve">4- Gastos de establecimiento </t>
    </r>
    <r>
      <rPr>
        <sz val="12"/>
        <rFont val="Tahoma"/>
        <family val="2"/>
      </rPr>
      <t>(gastos para la puesta en marcha del negocio que no se amortizan, se deducen)</t>
    </r>
    <r>
      <rPr>
        <b/>
        <sz val="12"/>
        <rFont val="Tahoma"/>
        <family val="2"/>
      </rPr>
      <t xml:space="preserve"> </t>
    </r>
  </si>
  <si>
    <t xml:space="preserve">      1º Pon el gasto (nombre). 2º Pon en IMPORTE.</t>
  </si>
  <si>
    <r>
      <t xml:space="preserve">5- Provisión de fondos </t>
    </r>
    <r>
      <rPr>
        <sz val="12"/>
        <rFont val="Tahoma"/>
        <family val="2"/>
      </rPr>
      <t xml:space="preserve">(reserva en efectivo que prevés necesitarás hasta que las ventas no cubran los gastos). </t>
    </r>
  </si>
  <si>
    <t xml:space="preserve">      Pon en IMPORTE TOTAL. </t>
  </si>
  <si>
    <r>
      <t xml:space="preserve">6- Stock inicial - provisión de fondos </t>
    </r>
    <r>
      <rPr>
        <sz val="12"/>
        <rFont val="Tahoma"/>
        <family val="2"/>
      </rPr>
      <t xml:space="preserve">(importe necesario para proceder a la compra del stok inicial del material de venta). </t>
    </r>
  </si>
  <si>
    <t>Una vez puestos todos los datos la hoja te informa (abajo) del total de fondos necesarios que precisas para</t>
  </si>
  <si>
    <t>poner en marcha el negocio, en la hoja siguiente deberás definir como se financiará esta inversión.</t>
  </si>
  <si>
    <t>2º Subvenciones</t>
  </si>
  <si>
    <t>3º Préstamos</t>
  </si>
  <si>
    <t xml:space="preserve"> Préstamos con vencimiento máximo a dos años. (Préstamos bancarios, de los socios o "subvenciones" reintegrables)</t>
  </si>
  <si>
    <t xml:space="preserve"> Líneas de crédito por las que se paga interés únicamente por la cantidad y el tiempo en que se disponen.</t>
  </si>
  <si>
    <t xml:space="preserve"> Préstamos con vencimiento a un plazo superior de dos años.</t>
  </si>
  <si>
    <t xml:space="preserve"> Estos préstamos permiten la posibilidad de una carencia de amortización del principal hasta un máximo de dos años. </t>
  </si>
  <si>
    <t>Producto GRATUITO: EASYPlanning 2013</t>
  </si>
  <si>
    <t>Lee los comentarios incluidos en cada celda para comprender lo que hay que poner en cada una de ellas.</t>
  </si>
  <si>
    <t>2- Préstamos largo plazo</t>
  </si>
  <si>
    <t xml:space="preserve"> Durante el período de carencia sólo se pagan los intereses.</t>
  </si>
  <si>
    <t>3- Pólizas de crédito</t>
  </si>
  <si>
    <t>El funcionamiento es muy sencillo:</t>
  </si>
  <si>
    <t>1º Cobros</t>
  </si>
  <si>
    <t>2º Pagos</t>
  </si>
  <si>
    <t>El funcionamiento es muy simple: elige, caso por caso, el plazo de pago de la lista.</t>
  </si>
  <si>
    <t>Ten en cuenta que (dado que se actualiza manualmente) deberás volver aquí siempre que hagas cambios en el plan. Por</t>
  </si>
  <si>
    <t>ello, lo más recomendable es gestionar las pólizas cuando el resto del plan ya esté acabado.</t>
  </si>
  <si>
    <t xml:space="preserve">  Te informa del saldo de la tesorería teniendo en cuenta los saldos dispuestos de las pólizas</t>
  </si>
  <si>
    <t>IMPORTANTE:</t>
  </si>
  <si>
    <t>El libro tiene dos partes:</t>
  </si>
  <si>
    <t>1ª-  Hojas de trabajo</t>
  </si>
  <si>
    <t xml:space="preserve"> En ellas debes introducir tus datos y tus previsiones.</t>
  </si>
  <si>
    <t xml:space="preserve"> Son las hojas: </t>
  </si>
  <si>
    <t>2ª-  Cuentas, previsiones y gráficos para presentar</t>
  </si>
  <si>
    <t>MAX 2AÑOS</t>
  </si>
  <si>
    <t>mesconcesion</t>
  </si>
  <si>
    <t>Columna1</t>
  </si>
  <si>
    <t>SDO. INICIAL</t>
  </si>
  <si>
    <t>PAGO PAL/MES</t>
  </si>
  <si>
    <t>PAGOPALMES</t>
  </si>
  <si>
    <t>PAGO PAL</t>
  </si>
  <si>
    <t>PAGO INT</t>
  </si>
  <si>
    <t>pal</t>
  </si>
  <si>
    <t>int</t>
  </si>
  <si>
    <t xml:space="preserve">NO TOCAR: siempre en AMORTIZABLES </t>
  </si>
  <si>
    <t>SANDBOX: No tocar</t>
  </si>
  <si>
    <t>AJUSTE RÁPIDO</t>
  </si>
  <si>
    <t>SANDBOX</t>
  </si>
  <si>
    <t>Balances previsionales</t>
  </si>
  <si>
    <t xml:space="preserve"> Inmoviliz. INTANGIBLE</t>
  </si>
  <si>
    <t>Inmovilizado MATERIAL</t>
  </si>
  <si>
    <t>Inversiones FINANCIERAS</t>
  </si>
  <si>
    <t>Leasings (inmov)</t>
  </si>
  <si>
    <t>Diferencia en el PASIVO</t>
  </si>
  <si>
    <t>FONDO DE MANIOBRA</t>
  </si>
  <si>
    <t>ATENCIÓN: FONDO DE MANIOBRA NEGATIVO, ALTO RIESGO</t>
  </si>
  <si>
    <t>en el MES</t>
  </si>
  <si>
    <t>Participación</t>
  </si>
  <si>
    <t>ingresos extraordinarios</t>
  </si>
  <si>
    <t>otros gastos de marketing</t>
  </si>
  <si>
    <t>gastos variables de ventas</t>
  </si>
  <si>
    <t>% sobre g. financieros</t>
  </si>
  <si>
    <t>inversiones</t>
  </si>
  <si>
    <t>liquidaciónhacienda</t>
  </si>
  <si>
    <t>MENSUAL</t>
  </si>
  <si>
    <t>TRIMESTRAL</t>
  </si>
  <si>
    <t>CÁLCULO IVA DEVENGADO:</t>
  </si>
  <si>
    <t>Gastos I+D</t>
  </si>
  <si>
    <t>Conservación</t>
  </si>
  <si>
    <t>Seguros</t>
  </si>
  <si>
    <t>Otros servicios</t>
  </si>
  <si>
    <t>% G. Variables</t>
  </si>
  <si>
    <t>Coste Ventas</t>
  </si>
  <si>
    <t>Res. Explotación</t>
  </si>
  <si>
    <t>Otros gastos financ.</t>
  </si>
  <si>
    <t>RESULTADO NETO</t>
  </si>
  <si>
    <t>Previstos en la hoja 5b (anteriores)</t>
  </si>
  <si>
    <t>Resultados ejercicio</t>
  </si>
  <si>
    <t>cuotames</t>
  </si>
  <si>
    <t xml:space="preserve">Pagos anteriores </t>
  </si>
  <si>
    <t>Saldo proveedores</t>
  </si>
  <si>
    <t>Ejercicio</t>
  </si>
  <si>
    <t>3º año</t>
  </si>
  <si>
    <t>COBRO</t>
  </si>
  <si>
    <t>LIQUIDACIÓN RETENCIONES</t>
  </si>
  <si>
    <t>Trimestral</t>
  </si>
  <si>
    <t>Mensual</t>
  </si>
  <si>
    <t>LIQUIDACIÓN COSTE SALARIAL</t>
  </si>
  <si>
    <t>CÁLCULO COSTE SALARIAL:</t>
  </si>
  <si>
    <t>cobros</t>
  </si>
  <si>
    <t>inputs</t>
  </si>
  <si>
    <t>% cobro en el mismo mes</t>
  </si>
  <si>
    <t>% cobro 30 DÍAS</t>
  </si>
  <si>
    <t>% cobro 60 días</t>
  </si>
  <si>
    <t>% cobro 90 días</t>
  </si>
  <si>
    <t>% cobro 120 días</t>
  </si>
  <si>
    <t>Variables en %</t>
  </si>
  <si>
    <t>Total ingresos</t>
  </si>
  <si>
    <t>CINCO AÑOS</t>
  </si>
  <si>
    <t>Crédito fiscal o impuesto a pagar</t>
  </si>
  <si>
    <t>Marketing y ventas</t>
  </si>
  <si>
    <r>
      <t>pago dividendos</t>
    </r>
    <r>
      <rPr>
        <sz val="11"/>
        <rFont val="Verdana"/>
        <family val="2"/>
      </rPr>
      <t xml:space="preserve"> ej. anterior ►</t>
    </r>
  </si>
  <si>
    <t xml:space="preserve">            Precio medio previsto</t>
  </si>
  <si>
    <t>Venta Neta</t>
  </si>
  <si>
    <t>RESULTADO</t>
  </si>
  <si>
    <t>4.2</t>
  </si>
  <si>
    <t>4.3</t>
  </si>
  <si>
    <t>CARENCIA</t>
  </si>
  <si>
    <t xml:space="preserve"> AMORT MES</t>
  </si>
  <si>
    <t>primer AÑO</t>
  </si>
  <si>
    <t xml:space="preserve"> AÑOS</t>
  </si>
  <si>
    <t>MESES</t>
  </si>
  <si>
    <t>selector</t>
  </si>
  <si>
    <t>amort</t>
  </si>
  <si>
    <t>RESTO</t>
  </si>
  <si>
    <t>Total pagado</t>
  </si>
  <si>
    <t>Total cobrado</t>
  </si>
  <si>
    <t>total/comp</t>
  </si>
  <si>
    <t>VALOR RES</t>
  </si>
  <si>
    <t>VALOR RESIDUAL</t>
  </si>
  <si>
    <t>pdte</t>
  </si>
  <si>
    <t>interes</t>
  </si>
  <si>
    <t>CUOTA MES</t>
  </si>
  <si>
    <t>MESES P</t>
  </si>
  <si>
    <t>PAL.</t>
  </si>
  <si>
    <t>Stock Seguridad</t>
  </si>
  <si>
    <t>Necesidad</t>
  </si>
  <si>
    <t>PC/NNC</t>
  </si>
  <si>
    <t>Compras</t>
  </si>
  <si>
    <t>Stock al final</t>
  </si>
  <si>
    <t>Venta Bruta</t>
  </si>
  <si>
    <t>Menos venta</t>
  </si>
  <si>
    <t>Concesión</t>
  </si>
  <si>
    <t>Disponible</t>
  </si>
  <si>
    <t>Saldo inicial DISP</t>
  </si>
  <si>
    <t xml:space="preserve">1er PAGO CUOTA </t>
  </si>
  <si>
    <t>Stock inicial de material para la venta</t>
  </si>
  <si>
    <t>Gastos de nuevo establecimiento</t>
  </si>
  <si>
    <r>
      <t>Provisión de fondos</t>
    </r>
    <r>
      <rPr>
        <sz val="8"/>
        <rFont val="Tahoma"/>
        <family val="2"/>
      </rPr>
      <t xml:space="preserve"> (puesta en marcha)</t>
    </r>
  </si>
  <si>
    <t>1- INVERSIONES</t>
  </si>
  <si>
    <t xml:space="preserve">    3- Pólizas de crédito</t>
  </si>
  <si>
    <t>Inversion en activos (material e inmaterial)</t>
  </si>
  <si>
    <t>Inversión en activos</t>
  </si>
  <si>
    <t>Provisión de fondos</t>
  </si>
  <si>
    <t xml:space="preserve">Total   </t>
  </si>
  <si>
    <t xml:space="preserve">    Financiación</t>
  </si>
  <si>
    <t xml:space="preserve">    1- Fondos Propios: capital social y subvenciones a fondo perdido</t>
  </si>
  <si>
    <t xml:space="preserve">    2- Financiación Ajena: Préstamos de Entidades Financieras</t>
  </si>
  <si>
    <t xml:space="preserve">     Necesidad estimada de fondos para poner en marcha el negocio</t>
  </si>
  <si>
    <t>2- FINANCIACIÓN</t>
  </si>
  <si>
    <t>3- GASTOS OPERATIVOS</t>
  </si>
  <si>
    <t>Coste de ventas</t>
  </si>
  <si>
    <t>Gastos en % SV</t>
  </si>
  <si>
    <t>ZONA DE CÁLCULOS - NO BORRAR</t>
  </si>
  <si>
    <t>GASTOS OPERATIVOS</t>
  </si>
  <si>
    <t>4- GASTOS DE PERSONAL</t>
  </si>
  <si>
    <t>Salario B/mes</t>
  </si>
  <si>
    <t>Costes y retenciones</t>
  </si>
  <si>
    <r>
      <t>Número de personas cada mes</t>
    </r>
    <r>
      <rPr>
        <b/>
        <sz val="8"/>
        <color indexed="43"/>
        <rFont val="Tahoma"/>
        <family val="2"/>
      </rPr>
      <t xml:space="preserve"> </t>
    </r>
    <r>
      <rPr>
        <sz val="8"/>
        <color indexed="43"/>
        <rFont val="Tahoma"/>
        <family val="2"/>
      </rPr>
      <t xml:space="preserve">con ese salario </t>
    </r>
  </si>
  <si>
    <t>Bonus y primas</t>
  </si>
  <si>
    <t>Coste Total PERSONAL</t>
  </si>
  <si>
    <t>Total GASTOS OPERATIVOS</t>
  </si>
  <si>
    <r>
      <t xml:space="preserve">TOTAL GASTOS </t>
    </r>
    <r>
      <rPr>
        <sz val="8"/>
        <color indexed="43"/>
        <rFont val="Tahoma"/>
        <family val="2"/>
      </rPr>
      <t>hasta ahora</t>
    </r>
  </si>
  <si>
    <t>VALOR ACTIVOS MAS INTERESES</t>
  </si>
  <si>
    <t>intereses</t>
  </si>
  <si>
    <t>principal</t>
  </si>
  <si>
    <t>VALOR ACTIVOS</t>
  </si>
  <si>
    <t>Saldo ANUAL PAL sin IVA</t>
  </si>
  <si>
    <t>PAGO INVERSIONES - COMPRA CASH</t>
  </si>
  <si>
    <t>PAGOS 1ER AÑO</t>
  </si>
  <si>
    <t>5 AÑOS</t>
  </si>
  <si>
    <r>
      <t xml:space="preserve">Easy </t>
    </r>
    <r>
      <rPr>
        <b/>
        <sz val="28"/>
        <color indexed="9"/>
        <rFont val="Tahoma"/>
        <family val="2"/>
      </rPr>
      <t>PLANNING</t>
    </r>
  </si>
  <si>
    <t>Sección</t>
  </si>
  <si>
    <t>IN</t>
  </si>
  <si>
    <t>Si tienes alguna sugerencia, comentario o detectas algún error en este producto ponte en contacto con nosotros, te contestaremos</t>
  </si>
  <si>
    <t>inmediatamente y, si es el caso, lo resolveremos a la mayor brevedad.</t>
  </si>
  <si>
    <t>Si nos haces saber tus sugerencias y son factibles, las incluiremos y te enviaremos gratuitamente la nueva versión en cuanto esté disponible.</t>
  </si>
  <si>
    <t>CÁLCULO LEASINGS</t>
  </si>
  <si>
    <t>LEASINGS - RESUMEN y enlaces</t>
  </si>
  <si>
    <t>Gastos de Ventas</t>
  </si>
  <si>
    <t>Variables de Ventas</t>
  </si>
  <si>
    <t xml:space="preserve"> IVA se aplica sobre el pago (se devenga en el momento del pago… es de suponer que nadie hará facturas a cobrar a muy largo plazo).</t>
  </si>
  <si>
    <t>PAGO (SIN IVA)</t>
  </si>
  <si>
    <t>Comp</t>
  </si>
  <si>
    <t>TOTAL IVA SOPORTADO</t>
  </si>
  <si>
    <t>INGRESOS FINANC BRUTOS</t>
  </si>
  <si>
    <t>DEVENGADO</t>
  </si>
  <si>
    <t>INGRESOS EXTRA BRUTOS</t>
  </si>
  <si>
    <t>TOTAL GASTOS CON IVA</t>
  </si>
  <si>
    <t>subtotal</t>
  </si>
  <si>
    <t>ANTERIOR</t>
  </si>
  <si>
    <t xml:space="preserve">NUEVOS Ingresos netos </t>
  </si>
  <si>
    <t>DEV=PAGO</t>
  </si>
  <si>
    <t>IVA SOPORTADO</t>
  </si>
  <si>
    <t>DEV=INGR</t>
  </si>
  <si>
    <t>AÑO SIG</t>
  </si>
  <si>
    <t>PAGO TRIMESTRAL</t>
  </si>
  <si>
    <t>sdo.</t>
  </si>
  <si>
    <t>PAGO MENSUAL</t>
  </si>
  <si>
    <t>PAGO ANUAL</t>
  </si>
  <si>
    <t>CÁLCULO RETENCIONES:</t>
  </si>
  <si>
    <t>AFECTA TESORERÍA Y BALANCES</t>
  </si>
  <si>
    <t>SALARIO BRUTO</t>
  </si>
  <si>
    <t>COSTE EMPRESA</t>
  </si>
  <si>
    <t>PATRIMONIO NETO Y PASIVO</t>
  </si>
  <si>
    <t>IVA Rep</t>
  </si>
  <si>
    <t>A LIQUIDAR</t>
  </si>
  <si>
    <t>Res. Financiero</t>
  </si>
  <si>
    <t>Coste ventas</t>
  </si>
  <si>
    <t>Generales</t>
  </si>
  <si>
    <t>Amort. y otros</t>
  </si>
  <si>
    <t>NO OCULTAR NI BORRAR (DATOS PARA GRÁFICOS)</t>
  </si>
  <si>
    <t xml:space="preserve">Total Gastos </t>
  </si>
  <si>
    <t>Gastos acumulados</t>
  </si>
  <si>
    <t>Ingresos acumulados</t>
  </si>
  <si>
    <t>Otros pagos</t>
  </si>
  <si>
    <t>BALANCES previsionales</t>
  </si>
  <si>
    <r>
      <t xml:space="preserve">Diferencia en el </t>
    </r>
    <r>
      <rPr>
        <b/>
        <sz val="10"/>
        <rFont val="Arial"/>
      </rPr>
      <t>ACTIVO</t>
    </r>
  </si>
  <si>
    <r>
      <t xml:space="preserve">Diferencia en el </t>
    </r>
    <r>
      <rPr>
        <b/>
        <sz val="10"/>
        <rFont val="Arial"/>
      </rPr>
      <t>PASIVO</t>
    </r>
  </si>
  <si>
    <t>PASSWORD</t>
  </si>
  <si>
    <t xml:space="preserve">REM. Coste empresa </t>
  </si>
  <si>
    <t>SALARIO NETO (PAGAR)</t>
  </si>
  <si>
    <t>% cobro 180 días</t>
  </si>
  <si>
    <t>Primer mes &gt;</t>
  </si>
  <si>
    <t>NOTAS</t>
  </si>
  <si>
    <t>PREMISAS</t>
  </si>
  <si>
    <t>% Impuestos s/beneficios &gt;</t>
  </si>
  <si>
    <t xml:space="preserve">    Son costes que pueden expresarse o son directamente un % sobre cada venta realizada. Ten en cuenta que este % se aplicará a todas las ventas, por tanto</t>
  </si>
  <si>
    <t xml:space="preserve">    si tienes un coste de este tipo pero de afectación parcial pon el % promedio en función de su peso respecto al total de las ventas.</t>
  </si>
  <si>
    <t xml:space="preserve"> Son costes que pueden expresarse o son directamente un % sobre cada venta realizada.</t>
  </si>
  <si>
    <t>En primer lugar, aquí, debes definir qué es lo que necesitas para montar el negocio.</t>
  </si>
  <si>
    <t>En segundo lugar debes prever cómo financiarás las inversiones previstas en la hoja anterior.</t>
  </si>
  <si>
    <t>Tienes tres posibilidades u opciones:</t>
  </si>
  <si>
    <t>En tercer lugar, aquí, debes prever los costes mensuales que tendrá la empresa.</t>
  </si>
  <si>
    <r>
      <t xml:space="preserve">Pon aquí todos los gastos corrientes (SIN I.V.A.) excepto los de personal </t>
    </r>
    <r>
      <rPr>
        <sz val="12"/>
        <rFont val="Tahoma"/>
        <family val="2"/>
      </rPr>
      <t>(los incluiremos en la hoja siguiente).</t>
    </r>
  </si>
  <si>
    <t xml:space="preserve">    © Versión en español: e.ditor consulting s.l. y A.M. Dunyo</t>
  </si>
  <si>
    <r>
      <t xml:space="preserve">    Pon aquí el % de margen bruto de compras:</t>
    </r>
    <r>
      <rPr>
        <sz val="12"/>
        <rFont val="Tahoma"/>
        <family val="2"/>
      </rPr>
      <t xml:space="preserve"> </t>
    </r>
    <r>
      <rPr>
        <b/>
        <sz val="12"/>
        <rFont val="Tahoma"/>
        <family val="2"/>
      </rPr>
      <t>Si tu empresa es 100% de servicios, pon 100%.</t>
    </r>
  </si>
  <si>
    <t xml:space="preserve">      Este Margen Bruto es el % que representan los costes de producto en la venta. Por ejemplo: Si el precio neto de venta es de 100 (promedio) y cada venta </t>
  </si>
  <si>
    <r>
      <t xml:space="preserve">   Si lo tienes, pon aquí el % de coste (variable) sobre ventas: </t>
    </r>
    <r>
      <rPr>
        <sz val="12"/>
        <rFont val="Tahoma"/>
        <family val="2"/>
      </rPr>
      <t>son, por ejemplo, royalties o comisiones de personal autónomo (no propio)</t>
    </r>
  </si>
  <si>
    <t xml:space="preserve">   Si los tienes, pon aquí los costes directos de venta y el importe mensual detallado en cada mes donde se producirá.</t>
  </si>
  <si>
    <t xml:space="preserve">   Pueden ser muy diversos (almacenaje, transformación, transporte, etc.).Pon los importes, mes a mes, en las celdas con fondo blanco.</t>
  </si>
  <si>
    <t>Gastos de Marketing son, por ejemplo: Publicidad, promoción, relaciones públicas, campañas en internet, etc. Gastos de Ventas son, por ejemplo: Materiales para</t>
  </si>
  <si>
    <t xml:space="preserve">la venta, gastos de los vendedores, etc. Gastos de Ventas son, por ejemplo: Materiales para la venta, gastos de los vendedores, etc. </t>
  </si>
  <si>
    <t>3º Pon los gastos GENERALES O DE ADMINISTRACIÓN.</t>
  </si>
  <si>
    <t>4º Pon los gastos EXCEPCIONALES Y LOS FINANCIEROS.</t>
  </si>
  <si>
    <r>
      <t>1º Pon los COSTES de VENTA</t>
    </r>
    <r>
      <rPr>
        <sz val="14"/>
        <color indexed="9"/>
        <rFont val="Tahoma"/>
        <family val="2"/>
      </rPr>
      <t xml:space="preserve"> (Coste de las ventas - Cost of Sales - Cost of Goods)</t>
    </r>
  </si>
  <si>
    <r>
      <t>2º Pon los gastos de VENTAS y MARKETING</t>
    </r>
    <r>
      <rPr>
        <sz val="14"/>
        <color indexed="9"/>
        <rFont val="Tahoma"/>
        <family val="2"/>
      </rPr>
      <t xml:space="preserve"> (Gastos de publicidad, promoción y comercialización)</t>
    </r>
  </si>
  <si>
    <t>Financieros en % SV</t>
  </si>
  <si>
    <r>
      <t xml:space="preserve"> </t>
    </r>
    <r>
      <rPr>
        <b/>
        <sz val="11"/>
        <rFont val="Tahoma"/>
        <family val="2"/>
      </rPr>
      <t>Coste Empresa ¿Qué es?</t>
    </r>
    <r>
      <rPr>
        <sz val="11"/>
        <rFont val="Tahoma"/>
        <family val="2"/>
      </rPr>
      <t>: Es un coste adicional proporcional al salario en concepto de Seg social, formación, etc. (cada país tiene su normativa)</t>
    </r>
  </si>
  <si>
    <r>
      <t xml:space="preserve"> </t>
    </r>
    <r>
      <rPr>
        <b/>
        <sz val="11"/>
        <rFont val="Tahoma"/>
        <family val="2"/>
      </rPr>
      <t>¿Cómo calcularlo?</t>
    </r>
    <r>
      <rPr>
        <sz val="11"/>
        <rFont val="Tahoma"/>
        <family val="2"/>
      </rPr>
      <t>: 1º Sumar todos los costes anuales a cargo de la empresa (a) 2º Dividir dichos costes por el salario bruto anual y %</t>
    </r>
  </si>
  <si>
    <r>
      <t>% Ret. ¿Qué es?</t>
    </r>
    <r>
      <rPr>
        <sz val="11"/>
        <rFont val="Tahoma"/>
        <family val="2"/>
      </rPr>
      <t>: Es un descuento que la empresa aplica sobre los salarios (IRPF u otros) y, después paga al Estado. (cada país tiene su normativa)</t>
    </r>
  </si>
  <si>
    <t>Para facilitarte el trabajo, el libro te propone las ventas necesarias para alcanzar un determinado margen de beneficio (%)</t>
  </si>
  <si>
    <t>Es una utilidad que te servirà para decidir si dichas ventas son factibles o no, si necesitas ajustar mas tus previsiones o no.</t>
  </si>
  <si>
    <t>En esta sección debes incluir la previsión de ingresos por ventas y por cualquier otro concepto.</t>
  </si>
  <si>
    <t>Aquí debes incluir la previsión de ingresos por ventas y por otros conceptos.</t>
  </si>
  <si>
    <r>
      <t>Definir las previsiones de</t>
    </r>
    <r>
      <rPr>
        <b/>
        <sz val="16"/>
        <color indexed="26"/>
        <rFont val="Tahoma"/>
        <family val="2"/>
      </rPr>
      <t xml:space="preserve"> </t>
    </r>
    <r>
      <rPr>
        <b/>
        <sz val="18"/>
        <color indexed="26"/>
        <rFont val="Tahoma"/>
        <family val="2"/>
      </rPr>
      <t>COBRO Y PAGO</t>
    </r>
  </si>
  <si>
    <t>Una vez elaborada la cuenta de resultados, debemos crear y analizar el presupuesto de tesorería (cash flow).</t>
  </si>
  <si>
    <t>Como sabes, facturar y cobrar o comprar y pagar no son la misma cosa. El presupuesto de tesorería, nos sirve para verificar que el negocio</t>
  </si>
  <si>
    <t>genera los flujos positivos de caja necesarios para asegurar su viabilidad.</t>
  </si>
  <si>
    <t>Define aquí el plazo medio en que prevés cobrar tus facturas, elige de la lista.</t>
  </si>
  <si>
    <t>Observa el resultado de tus previsiones la previsión de tesorería (abajo).</t>
  </si>
  <si>
    <t>COBROS</t>
  </si>
  <si>
    <r>
      <t xml:space="preserve">1º Capital social </t>
    </r>
    <r>
      <rPr>
        <sz val="12"/>
        <color indexed="9"/>
        <rFont val="Tahoma"/>
        <family val="2"/>
      </rPr>
      <t>(el dinero que aportarán los socios)</t>
    </r>
  </si>
  <si>
    <r>
      <t>3º Gestiona las pólizas de crédito</t>
    </r>
    <r>
      <rPr>
        <sz val="14"/>
        <color indexed="9"/>
        <rFont val="Tahoma"/>
        <family val="2"/>
      </rPr>
      <t xml:space="preserve"> (si las has previsto)</t>
    </r>
  </si>
  <si>
    <r>
      <t xml:space="preserve">Poner la </t>
    </r>
    <r>
      <rPr>
        <b/>
        <sz val="18"/>
        <color indexed="26"/>
        <rFont val="Tahoma"/>
        <family val="2"/>
      </rPr>
      <t>FINANCIACIÓN</t>
    </r>
  </si>
  <si>
    <r>
      <t>Detallar las</t>
    </r>
    <r>
      <rPr>
        <b/>
        <sz val="18"/>
        <color indexed="26"/>
        <rFont val="Tahoma"/>
        <family val="2"/>
      </rPr>
      <t xml:space="preserve"> INVERSIONES</t>
    </r>
  </si>
  <si>
    <r>
      <t xml:space="preserve">Poner los </t>
    </r>
    <r>
      <rPr>
        <b/>
        <sz val="18"/>
        <color indexed="26"/>
        <rFont val="Tahoma"/>
        <family val="2"/>
      </rPr>
      <t>GASTOS DE RECURSOS HUMANOS</t>
    </r>
  </si>
  <si>
    <r>
      <t>Poner los</t>
    </r>
    <r>
      <rPr>
        <b/>
        <sz val="16"/>
        <color indexed="26"/>
        <rFont val="Tahoma"/>
        <family val="2"/>
      </rPr>
      <t xml:space="preserve"> </t>
    </r>
    <r>
      <rPr>
        <b/>
        <sz val="18"/>
        <color indexed="26"/>
        <rFont val="Tahoma"/>
        <family val="2"/>
      </rPr>
      <t>INGRESOS</t>
    </r>
  </si>
  <si>
    <t>% cobro en el mes</t>
  </si>
  <si>
    <t>LINK</t>
  </si>
  <si>
    <t>COBROS POR VENTAS</t>
  </si>
  <si>
    <t>PRÉSTAMOS LARGO PLAZO - PRIMER AÑO -</t>
  </si>
  <si>
    <t>PRESTAMOS A LARGO PLAZO - VARIOS AÑOS</t>
  </si>
  <si>
    <t>gastos de producción o servicio</t>
  </si>
  <si>
    <t>gastos de ventas</t>
  </si>
  <si>
    <t>INT.</t>
  </si>
  <si>
    <t>sdo PAL</t>
  </si>
  <si>
    <t>FIN AÑO</t>
  </si>
  <si>
    <t>Total</t>
  </si>
  <si>
    <t>INGRESOS</t>
  </si>
  <si>
    <t>VENTAS</t>
  </si>
  <si>
    <t>GASTOS</t>
  </si>
  <si>
    <t>Margen bruto</t>
  </si>
  <si>
    <t>Consumo Fijo</t>
  </si>
  <si>
    <t>Cons Variable</t>
  </si>
  <si>
    <t>Consumo</t>
  </si>
  <si>
    <t>Stock al inicio</t>
  </si>
  <si>
    <t>CÁLCULOS IVA</t>
  </si>
  <si>
    <r>
      <t xml:space="preserve">Pago </t>
    </r>
    <r>
      <rPr>
        <sz val="8"/>
        <rFont val="Verdana"/>
        <family val="2"/>
      </rPr>
      <t>stock inic.</t>
    </r>
  </si>
  <si>
    <r>
      <t xml:space="preserve">Pago del stock inicial </t>
    </r>
    <r>
      <rPr>
        <sz val="8"/>
        <rFont val="Verdana"/>
        <family val="2"/>
      </rPr>
      <t>(incluir importes en el mes que corresponda)</t>
    </r>
  </si>
  <si>
    <t>Gastos amortizables (incluir importes en el mes de pago)</t>
  </si>
  <si>
    <t>Gastos no amortizables (anteriores)</t>
  </si>
  <si>
    <t>Importe a amortizar (depreciar)</t>
  </si>
  <si>
    <r>
      <t xml:space="preserve">    3- Descuento de efectos comerciales </t>
    </r>
    <r>
      <rPr>
        <sz val="8"/>
        <rFont val="Verdana"/>
        <family val="2"/>
      </rPr>
      <t>(línea de crédito)</t>
    </r>
  </si>
  <si>
    <r>
      <t xml:space="preserve">    5- Préstamos especiales a INTERÉS "0"</t>
    </r>
    <r>
      <rPr>
        <sz val="8"/>
        <rFont val="Verdana"/>
        <family val="2"/>
      </rPr>
      <t xml:space="preserve"> (sólo se devuelve el capital)</t>
    </r>
  </si>
  <si>
    <t>Variables prod/servicio</t>
  </si>
  <si>
    <t>Liq. costes salariales</t>
  </si>
  <si>
    <t>Equipo Directivo</t>
  </si>
  <si>
    <t>Personal FIJO</t>
  </si>
  <si>
    <t>departamento</t>
  </si>
  <si>
    <t>Marketing</t>
  </si>
  <si>
    <t>Administración</t>
  </si>
  <si>
    <t>Prod./Servicio</t>
  </si>
  <si>
    <t>retención</t>
  </si>
  <si>
    <t>personal directivo</t>
  </si>
  <si>
    <t>PERSONAL FIJO</t>
  </si>
  <si>
    <t>PERSONAL EVENTUAL</t>
  </si>
  <si>
    <t xml:space="preserve"> NUMES</t>
  </si>
  <si>
    <t>BUSCARMES</t>
  </si>
  <si>
    <t>mesesx</t>
  </si>
  <si>
    <t>Tributos</t>
  </si>
  <si>
    <t>EXISTENCIAS</t>
  </si>
  <si>
    <t>%</t>
  </si>
  <si>
    <t>% cobro impagados</t>
  </si>
  <si>
    <t>Impagados</t>
  </si>
  <si>
    <t>SEISMESES</t>
  </si>
  <si>
    <t>Capital social total</t>
  </si>
  <si>
    <t xml:space="preserve">Total subvenciones </t>
  </si>
  <si>
    <t xml:space="preserve">% impagados </t>
  </si>
  <si>
    <t xml:space="preserve">Pagos al personal </t>
  </si>
  <si>
    <t>Compras (producto)</t>
  </si>
  <si>
    <t xml:space="preserve">Otros proveedores </t>
  </si>
  <si>
    <t>Gestión pólizas</t>
  </si>
  <si>
    <t>SALDO CON PÓLIZAS</t>
  </si>
  <si>
    <t>SALDO SIN PÓLIZAS</t>
  </si>
  <si>
    <t>COMISIÓN</t>
  </si>
  <si>
    <t>Gastos Financieros</t>
  </si>
  <si>
    <t>GF en% más resto</t>
  </si>
  <si>
    <t>SISTEMA DE AVISO - NO BORRAR</t>
  </si>
  <si>
    <t>plargo</t>
  </si>
  <si>
    <t>pólizas CRÉDITO</t>
  </si>
  <si>
    <t>Ingresos y gastos sin IVA - No se tiene en cuenta ni Tributos ni gastos Iniciales. Ni Inversiones</t>
  </si>
  <si>
    <t>LOS SALARIOS SE INCLUYEN EN EL CAPÍTULO RETENCIONES</t>
  </si>
  <si>
    <t>GASTOS Operativos</t>
  </si>
  <si>
    <t>COMPROBACIÓN  con Tesorería:</t>
  </si>
  <si>
    <t>Total a PAGAR IVA INCLUIDO</t>
  </si>
  <si>
    <t xml:space="preserve"> Sólo se refleja en la Tesorería y los balances</t>
  </si>
  <si>
    <t>FONDOS PROPIOS</t>
  </si>
  <si>
    <t>Iva aplicar</t>
  </si>
  <si>
    <t>resumen</t>
  </si>
  <si>
    <t xml:space="preserve">OTROS COBROS </t>
  </si>
  <si>
    <t>AÑO POSTERIOR</t>
  </si>
  <si>
    <t>previo</t>
  </si>
  <si>
    <t>CAPITAL</t>
  </si>
  <si>
    <t>TOTAL COBROS</t>
  </si>
  <si>
    <t>DEVENGO</t>
  </si>
  <si>
    <t>OUTPUT</t>
  </si>
  <si>
    <t>gastos establecimiento NO AMORT</t>
  </si>
  <si>
    <t>PARA LA TESORERÍA:</t>
  </si>
  <si>
    <t>ESTO VA (SIN IVA) A LA CUENTA DE RESULTADOS (en cada concepto)</t>
  </si>
  <si>
    <t>no tocar - cambios abajo</t>
  </si>
  <si>
    <t xml:space="preserve"> VAL+INT</t>
  </si>
  <si>
    <t>con INT</t>
  </si>
  <si>
    <t>VALOR CON int</t>
  </si>
  <si>
    <t>leasing</t>
  </si>
  <si>
    <t>PAGOS OPERATIVOS (menos personal e iniciales) IVA incluido</t>
  </si>
  <si>
    <r>
      <t xml:space="preserve">LINK </t>
    </r>
    <r>
      <rPr>
        <sz val="8"/>
        <rFont val="Arial"/>
        <family val="2"/>
      </rPr>
      <t>▼</t>
    </r>
    <r>
      <rPr>
        <sz val="8"/>
        <rFont val="Arial"/>
      </rPr>
      <t>plazo pago</t>
    </r>
  </si>
  <si>
    <t>OUTPOUT▲ Tesorería</t>
  </si>
  <si>
    <t>INPUT ▼</t>
  </si>
  <si>
    <t>LEASINGS</t>
  </si>
  <si>
    <t>CON HOJA PAGOiNVERSIONES</t>
  </si>
  <si>
    <t>% COMISIÓN</t>
  </si>
  <si>
    <t>GASTO (no se amortiza)</t>
  </si>
  <si>
    <t>ACTIVOS CASH 1ER AÑO</t>
  </si>
  <si>
    <t>LEASINGS 1ER AÑO</t>
  </si>
  <si>
    <t xml:space="preserve"> TOTAL AMORTIZACIONES</t>
  </si>
  <si>
    <t>Septiembre</t>
  </si>
  <si>
    <t>Octubre</t>
  </si>
  <si>
    <t>Noviembre</t>
  </si>
  <si>
    <t>Diciembre</t>
  </si>
  <si>
    <t>Enero</t>
  </si>
  <si>
    <t>Febrero</t>
  </si>
  <si>
    <t>Marzo</t>
  </si>
  <si>
    <t>Abril</t>
  </si>
  <si>
    <t xml:space="preserve">Mayo </t>
  </si>
  <si>
    <t>Junio</t>
  </si>
  <si>
    <t>Julio</t>
  </si>
  <si>
    <t>Agosto</t>
  </si>
  <si>
    <t>1</t>
  </si>
  <si>
    <t>Unidades</t>
  </si>
  <si>
    <t>COMP</t>
  </si>
  <si>
    <t>ACTIVOS CASH</t>
  </si>
  <si>
    <t>SELECTOR ACTIVOS Y DATOS BÁSICOS</t>
  </si>
  <si>
    <t>cálculo alternativo (no operativo, para tareas programación)</t>
  </si>
  <si>
    <t>ACTIVOS CASH SEGÚN PLAZO AMORTIZACIÓN</t>
  </si>
  <si>
    <t>datos adicionales y cálculo alternativo (cash)</t>
  </si>
  <si>
    <t>Leasings anteriores</t>
  </si>
  <si>
    <t xml:space="preserve"> Total repercutido</t>
  </si>
  <si>
    <t>% Menos venta</t>
  </si>
  <si>
    <t>% Margen Bruto</t>
  </si>
  <si>
    <t>Ingresos financieros</t>
  </si>
  <si>
    <t>Ing. Netos</t>
  </si>
  <si>
    <t>NO CORRIENTE</t>
  </si>
  <si>
    <t>Gastos amortizables</t>
  </si>
  <si>
    <t>BALANCES</t>
  </si>
  <si>
    <t>Depósitos y fianzas</t>
  </si>
  <si>
    <t>REALIZABLE</t>
  </si>
  <si>
    <t>CORRIENTE</t>
  </si>
  <si>
    <t>PATRIMONIO NETO</t>
  </si>
  <si>
    <t>Nuevos activos</t>
  </si>
  <si>
    <t>Ejercicio &gt;</t>
  </si>
  <si>
    <t>DATOS, PREMISAS Y NOTAS</t>
  </si>
  <si>
    <t xml:space="preserve">    PRESUPUESTO para presentar</t>
  </si>
  <si>
    <t>Planificación rápida del lanzamiento de un negocio</t>
  </si>
  <si>
    <t>Informe</t>
  </si>
  <si>
    <t>Hojas de trabajo</t>
  </si>
  <si>
    <t>Cuentas para presentar</t>
  </si>
  <si>
    <t>Presupuestos  listos para imprimir (7 páginas).</t>
  </si>
  <si>
    <t>Registro, premisas y notas del autor. Las premisas afectan a todo el libro.</t>
  </si>
  <si>
    <t>Esta hoja, incluye índice e información sobre las hojas del libro y su uso.</t>
  </si>
  <si>
    <t>versión gratuita simplificada del "Plan de Negocio Express" de los mismos autores</t>
  </si>
  <si>
    <t xml:space="preserve"> Son las 7 hojas del: </t>
  </si>
  <si>
    <r>
      <t xml:space="preserve"> - Informe</t>
    </r>
    <r>
      <rPr>
        <sz val="12"/>
        <rFont val="Tahoma"/>
        <family val="2"/>
      </rPr>
      <t>: Cuentas y análisis.</t>
    </r>
  </si>
  <si>
    <t>En caso de error o mal funcionamiento de origen, te reenviaremos el producto reparado.</t>
  </si>
  <si>
    <r>
      <t xml:space="preserve"> </t>
    </r>
    <r>
      <rPr>
        <b/>
        <u/>
        <sz val="12"/>
        <color indexed="60"/>
        <rFont val="Tahoma"/>
        <family val="2"/>
      </rPr>
      <t>INDICE</t>
    </r>
  </si>
  <si>
    <t xml:space="preserve">     Esta hoja te presenta 7 páginas con las cuentas referidas al ejercicio: </t>
  </si>
  <si>
    <t xml:space="preserve">Una vez conocidos todos los gastos, debes definir los ingresos... </t>
  </si>
  <si>
    <t>amortización ACTIVOS PRIMER AÑO</t>
  </si>
  <si>
    <t xml:space="preserve"> Resultado antes impuestos</t>
  </si>
  <si>
    <t>NECESIDAD TESORERÍA</t>
  </si>
  <si>
    <t>Posición</t>
  </si>
  <si>
    <t>Salario</t>
  </si>
  <si>
    <t>mensual</t>
  </si>
  <si>
    <t>empresa</t>
  </si>
  <si>
    <t>o empleo</t>
  </si>
  <si>
    <t>asignado</t>
  </si>
  <si>
    <t>2</t>
  </si>
  <si>
    <t>3</t>
  </si>
  <si>
    <t>4</t>
  </si>
  <si>
    <t>5</t>
  </si>
  <si>
    <t>6</t>
  </si>
  <si>
    <t>7</t>
  </si>
  <si>
    <t>8</t>
  </si>
  <si>
    <t>9</t>
  </si>
  <si>
    <t>10</t>
  </si>
  <si>
    <t>11</t>
  </si>
  <si>
    <t>12</t>
  </si>
  <si>
    <t>OTRO iva SOPORTADO</t>
  </si>
  <si>
    <t>gastos</t>
  </si>
  <si>
    <t>personal</t>
  </si>
  <si>
    <t>producción/servicio</t>
  </si>
  <si>
    <t>variables</t>
  </si>
  <si>
    <t>total gastos</t>
  </si>
  <si>
    <t>TOTAL SUBVENCIONES</t>
  </si>
  <si>
    <t>▲ TES/BAL</t>
  </si>
  <si>
    <t>SALDO INICIAL</t>
  </si>
  <si>
    <t>SALDO FINAL</t>
  </si>
  <si>
    <t>1ER AÑO</t>
  </si>
  <si>
    <t>% sobre Leasings</t>
  </si>
  <si>
    <t>% sobre int. Préstamos</t>
  </si>
  <si>
    <t>TOTAL</t>
  </si>
  <si>
    <t>Venta bruta anual</t>
  </si>
  <si>
    <t>Tratamiento: Aparece en el presupuesto siempre y cuando al final del año haya beneficios, si hay pérdidas no aparecen los impuestos en las cuentas</t>
  </si>
  <si>
    <t>formacompra</t>
  </si>
  <si>
    <t>CASH</t>
  </si>
  <si>
    <t>LEASING</t>
  </si>
  <si>
    <t>amortización</t>
  </si>
  <si>
    <t>Resultados Ejercicio</t>
  </si>
  <si>
    <t>Subvenciones previstas</t>
  </si>
  <si>
    <t>PROVEEDORES</t>
  </si>
  <si>
    <t>OTRAS CUENTAS PAGAR</t>
  </si>
  <si>
    <t>TOTAL P. N. y PASIVO</t>
  </si>
  <si>
    <t>FONDO de MANIOBRA</t>
  </si>
  <si>
    <t>compra activos</t>
  </si>
  <si>
    <t>A</t>
  </si>
  <si>
    <t>B</t>
  </si>
  <si>
    <t>Se aplicará el ▼</t>
  </si>
  <si>
    <t>ingresos financieros</t>
  </si>
  <si>
    <t>Comprobación gastos</t>
  </si>
  <si>
    <t>Comprobación ingresos</t>
  </si>
  <si>
    <t>menos tributos</t>
  </si>
  <si>
    <t>COMPROBACIÓN</t>
  </si>
  <si>
    <t>IVA sobre INVERSIONES (soportado)</t>
  </si>
  <si>
    <t>Saldo disponible</t>
  </si>
  <si>
    <t>1º mes</t>
  </si>
  <si>
    <t>◄ Si quieres reflejar otras, pon los importes aquí</t>
  </si>
  <si>
    <t>Amortizaciones PRIMER AÑO</t>
  </si>
  <si>
    <t>% IVA a repercutir en las VENTAS</t>
  </si>
  <si>
    <t>% IVA INGRESOS FINANCIEROS</t>
  </si>
  <si>
    <t>% IVA INGRESOS NO ORDINARIOS</t>
  </si>
  <si>
    <t>Consumo calculado sobre venta neta (sin tener en cuenta insolvencias)</t>
  </si>
  <si>
    <t>Anteriores (ajustes)</t>
  </si>
  <si>
    <t>Facturación diaria</t>
  </si>
  <si>
    <t>Días para PE</t>
  </si>
  <si>
    <t>PE mensual promedio</t>
  </si>
  <si>
    <t>Efectos comerciales a descontar cada mes</t>
  </si>
  <si>
    <t>Máximo que puedes descontar</t>
  </si>
  <si>
    <t>Saldo cartera efectos comerciales</t>
  </si>
  <si>
    <t>TOTAL COBROS con DESCUENTO EFECTOS</t>
  </si>
  <si>
    <t>SALDO EFECTOS EN CIRCULACIÓN</t>
  </si>
  <si>
    <t>DESCUENTO DE EFECTOS</t>
  </si>
  <si>
    <t>ANTERIORES</t>
  </si>
  <si>
    <t>Total repercutido</t>
  </si>
  <si>
    <t>SALDO EJERCICIO</t>
  </si>
  <si>
    <t>RATIO 1er AÑO</t>
  </si>
  <si>
    <t>AÑO SIGUIENTE</t>
  </si>
  <si>
    <t>Liquidar ejercicio</t>
  </si>
  <si>
    <t>Pdte. Año anterior</t>
  </si>
  <si>
    <t>TOTAL LIQUIDAR</t>
  </si>
  <si>
    <t>Saldo IVA fin año</t>
  </si>
  <si>
    <t>Saldos para Tesoreria</t>
  </si>
  <si>
    <t>COBRAR</t>
  </si>
  <si>
    <t>PAGAR</t>
  </si>
  <si>
    <t>Saldos para balances</t>
  </si>
  <si>
    <t>SDO. DEUDOR</t>
  </si>
  <si>
    <t>SDO. ACREEDOR</t>
  </si>
  <si>
    <t>hoja 1a</t>
  </si>
  <si>
    <t>input</t>
  </si>
  <si>
    <t>EFECTOS EN CIRCULACION</t>
  </si>
  <si>
    <t xml:space="preserve">input </t>
  </si>
  <si>
    <t>GESTION DE COBRO</t>
  </si>
  <si>
    <t>DESCONTADO INICIO MES</t>
  </si>
  <si>
    <t>VENCE MES</t>
  </si>
  <si>
    <t>VENCIMIENTOS AD y POST</t>
  </si>
  <si>
    <t>SALDO DESCONTADO</t>
  </si>
  <si>
    <t>EN CARTERA</t>
  </si>
  <si>
    <t>vence mes</t>
  </si>
  <si>
    <t>Saldo dispuesto</t>
  </si>
  <si>
    <t>No dispuesto</t>
  </si>
  <si>
    <t>COMPROBACION</t>
  </si>
  <si>
    <t>saldo CARTERA EFECTOS</t>
  </si>
  <si>
    <t>FILTRO</t>
  </si>
  <si>
    <t>CRÉDITO DISPONIBLE</t>
  </si>
  <si>
    <t>EFECTOS A DESCONTAR</t>
  </si>
  <si>
    <t>EFECTOS DESC DISPONIBIL.</t>
  </si>
  <si>
    <t>ERROR ▲</t>
  </si>
  <si>
    <t>▼  ERROR</t>
  </si>
  <si>
    <t>CÁLCULO IMPAGADOS</t>
  </si>
  <si>
    <t>TOTAL VENCIM.</t>
  </si>
  <si>
    <t>GEST. PROPIA</t>
  </si>
  <si>
    <t>VTO. EF. DESCONT</t>
  </si>
  <si>
    <t>TOTAL IMPAGADOS</t>
  </si>
  <si>
    <t>COMPROBACIONES</t>
  </si>
  <si>
    <t>SALDO EFECT. DESCONTADOS</t>
  </si>
  <si>
    <t>límite crédito</t>
  </si>
  <si>
    <r>
      <t>◄</t>
    </r>
    <r>
      <rPr>
        <sz val="7.5"/>
        <rFont val="Arial"/>
      </rPr>
      <t xml:space="preserve"> FALTA</t>
    </r>
  </si>
  <si>
    <t>FALTA ►</t>
  </si>
  <si>
    <t>Estructura y uso del libro</t>
  </si>
  <si>
    <t>2º Pon el importe total mensual (facturación) de ventas que prevés tener.</t>
  </si>
  <si>
    <t xml:space="preserve">     Estos son ingresos no ordinarios, no son estrictamente ventas (pueden ser excepcionales o fruto de una actividad puntual).</t>
  </si>
  <si>
    <t xml:space="preserve">     Si no lo tienes previsto no pongas nada aquí.</t>
  </si>
  <si>
    <t>% Beneficio b.</t>
  </si>
  <si>
    <t>Gastos de nuevo ESTABLECIMIENTO</t>
  </si>
  <si>
    <t>Total gastos sin var.</t>
  </si>
  <si>
    <r>
      <t>▲</t>
    </r>
    <r>
      <rPr>
        <sz val="8"/>
        <color indexed="10"/>
        <rFont val="Tahoma"/>
        <family val="2"/>
      </rPr>
      <t xml:space="preserve"> Estimación de los ingresos necesarios para lograr el % beneficio deseable. CALCULO MERAMENTE INFORMATIVO, </t>
    </r>
    <r>
      <rPr>
        <b/>
        <sz val="8"/>
        <color indexed="10"/>
        <rFont val="Tahoma"/>
        <family val="2"/>
      </rPr>
      <t>pon las ventas abajo</t>
    </r>
    <r>
      <rPr>
        <sz val="8"/>
        <color indexed="10"/>
        <rFont val="Tahoma"/>
        <family val="2"/>
      </rPr>
      <t>.</t>
    </r>
  </si>
  <si>
    <r>
      <t>30</t>
    </r>
    <r>
      <rPr>
        <sz val="8"/>
        <rFont val="Tahoma"/>
        <family val="2"/>
      </rPr>
      <t xml:space="preserve"> días</t>
    </r>
  </si>
  <si>
    <r>
      <t xml:space="preserve">60 </t>
    </r>
    <r>
      <rPr>
        <sz val="8"/>
        <rFont val="Tahoma"/>
        <family val="2"/>
      </rPr>
      <t>días</t>
    </r>
  </si>
  <si>
    <r>
      <t>90</t>
    </r>
    <r>
      <rPr>
        <sz val="8"/>
        <rFont val="Tahoma"/>
        <family val="2"/>
      </rPr>
      <t xml:space="preserve"> días</t>
    </r>
  </si>
  <si>
    <r>
      <t xml:space="preserve">120 </t>
    </r>
    <r>
      <rPr>
        <sz val="8"/>
        <rFont val="Tahoma"/>
        <family val="2"/>
      </rPr>
      <t>días</t>
    </r>
  </si>
  <si>
    <r>
      <t>150</t>
    </r>
    <r>
      <rPr>
        <sz val="8"/>
        <rFont val="Tahoma"/>
        <family val="2"/>
      </rPr>
      <t xml:space="preserve"> días</t>
    </r>
  </si>
  <si>
    <r>
      <t>180</t>
    </r>
    <r>
      <rPr>
        <sz val="8"/>
        <rFont val="Tahoma"/>
        <family val="2"/>
      </rPr>
      <t xml:space="preserve"> días</t>
    </r>
  </si>
  <si>
    <t>COBRO DE LOS CLIENTES</t>
  </si>
  <si>
    <t>6- COBROS Y PAGOS</t>
  </si>
  <si>
    <t>CASHFLOW</t>
  </si>
  <si>
    <t>Otros prefijados</t>
  </si>
  <si>
    <t>Saldo mensual</t>
  </si>
  <si>
    <t>Saldo acumulado</t>
  </si>
  <si>
    <t>Datos de la empresa</t>
  </si>
  <si>
    <t>Beneficios y Pérdidas previstas (P&amp;L)</t>
  </si>
  <si>
    <t>Stock inicial</t>
  </si>
  <si>
    <t>Ponlo todo, menos el personal (que está en otra hoja).</t>
  </si>
  <si>
    <t>Gastos generales son, por ejemplo: Alquileres, gastos de viaje, asesorías, tributos, suministros, material de oficina, etc.</t>
  </si>
  <si>
    <t>(extraordinario: que no se encuadra en los gastos de la actividad ordinaria de la empresa, no recurrente).</t>
  </si>
  <si>
    <t xml:space="preserve">Gastos financieros son, por ejemplo: Intereses y comisiones por servicios (que no son en % ) de entidades financieras. </t>
  </si>
  <si>
    <t>Gastos financieros en % sobre las ventas. Por ejemplo: cargos por pago mediante tarjeta.</t>
  </si>
  <si>
    <t>promedio en función de su peso respecto al total de las ventas.</t>
  </si>
  <si>
    <t xml:space="preserve">Ten en cuenta que este % se aplicará a todas las ventas, por tanto si tienes un coste de este tipo pero de afectación parcial pon  el % </t>
  </si>
  <si>
    <t>En esta sección debes incluir el personal, sus salarios y costes mes a mes.</t>
  </si>
  <si>
    <t xml:space="preserve">  Puesto de trabajo o cargo que ocupa (opcionalmente: nombre del empleado)</t>
  </si>
  <si>
    <t xml:space="preserve">  Importe del salario bruto mensual o salario bruto total anual dividido por el número de pagas.</t>
  </si>
  <si>
    <t xml:space="preserve">  Por ejemplo: Salario bruto total anual: 14.000. Número de pagas: 14. Salario bruto mensual: 1.000.</t>
  </si>
  <si>
    <t xml:space="preserve">  % sobre el salario bruto que expresa el coste adicional de la empresa.</t>
  </si>
  <si>
    <t xml:space="preserve">  % Retención: % a descontar y retener respecto al salario (IRPF, impuestos u otros conceptos).</t>
  </si>
  <si>
    <t xml:space="preserve"> No es un coste para la empresa, es un mero "trasvase" de fondos.</t>
  </si>
  <si>
    <t>Número personas…</t>
  </si>
  <si>
    <t xml:space="preserve">  Personas que forman parte del equipo directivo: consejeros (en nómina), gerente y directivos.</t>
  </si>
  <si>
    <t>En cada fila debes indicar:</t>
  </si>
  <si>
    <t xml:space="preserve">  Ejemplo: Salario bruto anual: 14.000. Coste empresa (adicional) anual: 1400. % Coste empresa: 10%.</t>
  </si>
  <si>
    <t>2º Bonus y primas</t>
  </si>
  <si>
    <t>1º Salarios y personal</t>
  </si>
  <si>
    <t>Aquí debes reflejar los importes correspondientes a incentivos (no comisiones).</t>
  </si>
  <si>
    <t xml:space="preserve">  Puesto de trabajo o cargo que ocupa (opcionalmente: nombre del empleado).</t>
  </si>
  <si>
    <t>Importe bruto…</t>
  </si>
  <si>
    <r>
      <t xml:space="preserve">    1- Préstamos a corto plazo</t>
    </r>
    <r>
      <rPr>
        <sz val="9"/>
        <rFont val="Tahoma"/>
        <family val="2"/>
      </rPr>
      <t xml:space="preserve"> (máximo 2 años)</t>
    </r>
  </si>
  <si>
    <t>Activos intangibles 2</t>
  </si>
  <si>
    <r>
      <t>Plazo de reintegro</t>
    </r>
    <r>
      <rPr>
        <sz val="10"/>
        <color indexed="63"/>
        <rFont val="Verdana"/>
        <family val="2"/>
      </rPr>
      <t xml:space="preserve"> del I.V.A. (previsión)</t>
    </r>
  </si>
  <si>
    <t>Fianzas y depósitos (incluir importes en el mes de pago)</t>
  </si>
  <si>
    <r>
      <t xml:space="preserve">    2- Préstamos a largo plazo</t>
    </r>
    <r>
      <rPr>
        <sz val="9"/>
        <rFont val="Tahoma"/>
        <family val="2"/>
      </rPr>
      <t xml:space="preserve"> (más de 2 años)</t>
    </r>
  </si>
  <si>
    <r>
      <t>Amortización</t>
    </r>
    <r>
      <rPr>
        <sz val="8"/>
        <rFont val="Tahoma"/>
        <family val="2"/>
      </rPr>
      <t xml:space="preserve"> importes</t>
    </r>
    <r>
      <rPr>
        <b/>
        <sz val="8"/>
        <rFont val="Tahoma"/>
        <family val="2"/>
      </rPr>
      <t xml:space="preserve"> </t>
    </r>
    <r>
      <rPr>
        <sz val="8"/>
        <rFont val="Tahoma"/>
        <family val="2"/>
      </rPr>
      <t>(dev)</t>
    </r>
  </si>
  <si>
    <t>Uso de esta hoja: revisar, imprimir y-o presentar</t>
  </si>
  <si>
    <r>
      <t>CASH FLOW</t>
    </r>
    <r>
      <rPr>
        <sz val="12"/>
        <rFont val="Tahoma"/>
        <family val="2"/>
      </rPr>
      <t xml:space="preserve"> </t>
    </r>
  </si>
  <si>
    <r>
      <t xml:space="preserve">Saldo </t>
    </r>
    <r>
      <rPr>
        <b/>
        <sz val="12"/>
        <rFont val="Tahoma"/>
        <family val="2"/>
      </rPr>
      <t>acumulado inicio</t>
    </r>
    <r>
      <rPr>
        <sz val="12"/>
        <rFont val="Tahoma"/>
        <family val="2"/>
      </rPr>
      <t xml:space="preserve"> del mes</t>
    </r>
  </si>
  <si>
    <t xml:space="preserve">  Importante: En este caso pon el importe bruto del incentivo en el mes donde corresponda.</t>
  </si>
  <si>
    <t xml:space="preserve">  Elige de la lista a que departamento asignas dicho coste salarial (ventas, marketing, producción, etc.).</t>
  </si>
  <si>
    <t>Líneas crédito dispuestas</t>
  </si>
  <si>
    <t>VTOS. VENTAS EJERCICIO</t>
  </si>
  <si>
    <t>VTOS. VTAS. ANTERIORES</t>
  </si>
  <si>
    <t>TOTAL COBROS POR VTO.</t>
  </si>
  <si>
    <t>Ventas - descuento efectos</t>
  </si>
  <si>
    <t>LÍNEAS DESCUENTO DE EFECTOS COMERCIALES</t>
  </si>
  <si>
    <t>LÍMITE DTO</t>
  </si>
  <si>
    <t>COSTE ANUAL</t>
  </si>
  <si>
    <t>%INT ANUAL</t>
  </si>
  <si>
    <t>COSTE IMPAG</t>
  </si>
  <si>
    <t>SALDO DISPUESTO</t>
  </si>
  <si>
    <t>IMPAGADOS</t>
  </si>
  <si>
    <t>GASTOS IMPAGADOS</t>
  </si>
  <si>
    <t>sólo se refleja el gasto si se ha usado la línea de descuento (celda de control arriba)</t>
  </si>
  <si>
    <t>MES DISPONIB</t>
  </si>
  <si>
    <t>DISPONIBILIDAD</t>
  </si>
  <si>
    <t>Pólizas y líneas CR</t>
  </si>
  <si>
    <t>Gastos pólizas y líneas crédito</t>
  </si>
  <si>
    <t>Aclaraciones y aviso legal</t>
  </si>
  <si>
    <t xml:space="preserve">            % s/Total ventas previstas</t>
  </si>
  <si>
    <t>Análisis del Punto de Equilibrio</t>
  </si>
  <si>
    <t>IMPUESTO</t>
  </si>
  <si>
    <t>PRESTAMOS</t>
  </si>
  <si>
    <t>CORTO</t>
  </si>
  <si>
    <t>Pago Princ.</t>
  </si>
  <si>
    <t>LARGO</t>
  </si>
  <si>
    <t>Intereses prest</t>
  </si>
  <si>
    <r>
      <t xml:space="preserve">cuenta 5a </t>
    </r>
    <r>
      <rPr>
        <sz val="10"/>
        <rFont val="Arial"/>
        <family val="2"/>
      </rPr>
      <t>▲</t>
    </r>
  </si>
  <si>
    <t>sin iva</t>
  </si>
  <si>
    <t>GST FINANc</t>
  </si>
  <si>
    <t>Cuenta resultados 4 años post</t>
  </si>
  <si>
    <t>IVA MEDIO</t>
  </si>
  <si>
    <t>REPERCUTIDO</t>
  </si>
  <si>
    <t>Inversiones en activo no corriente</t>
  </si>
  <si>
    <t>Gastos de nuevo establecimiento o desarrollo</t>
  </si>
  <si>
    <t>Recursos ajenos</t>
  </si>
  <si>
    <t>Ingresos y gastos financieros</t>
  </si>
  <si>
    <t xml:space="preserve">Gastos Generales </t>
  </si>
  <si>
    <r>
      <t>Gastos comerciales - 2 - Ventas</t>
    </r>
    <r>
      <rPr>
        <sz val="14"/>
        <rFont val="Verdana"/>
        <family val="2"/>
      </rPr>
      <t xml:space="preserve"> - </t>
    </r>
  </si>
  <si>
    <t xml:space="preserve">Gastos comerciales - 1 - Marketing </t>
  </si>
  <si>
    <t>Gastos excepcionales son, por ejemplo: indemnizaciones, multas, sanciones, compensaciones, etc.</t>
  </si>
  <si>
    <t xml:space="preserve"> Con estos datos, automáticamente se elaboran las cuentas y se presentan los resúmenes siguientes.</t>
  </si>
  <si>
    <t>Esta sección te entrega las cuentas y sus gráficos listos para ser presentados.</t>
  </si>
  <si>
    <t>Pon los importes, mes a mes, en las celdas con fondo blanco.</t>
  </si>
  <si>
    <t xml:space="preserve">     Este dato es importante para el cálculo del punto de equilibrio.</t>
  </si>
  <si>
    <t>Aquí debes poner el capital social de la empresa.</t>
  </si>
  <si>
    <t>Aquí debes reflejar los préstamos a corto y largo plazo que prevés obtener.</t>
  </si>
  <si>
    <t>Son el resto de costes directamente asociados al producto o al servicio (excepto costes de personal).</t>
  </si>
  <si>
    <t>Pon, primero el concepto (tipo de gasto) y luego los importes, mes a mes, en las celdas con fondo blanco.</t>
  </si>
  <si>
    <t>Pon los gastos excepcionales o extraordinarios.</t>
  </si>
  <si>
    <t>Observa el resultado de tus previsiones en el gráfico de la tesorería.</t>
  </si>
  <si>
    <t>Aquí puedes especificar el plazo de pago que prevés.</t>
  </si>
  <si>
    <t>Aquí debes definir las disposiciones y las amortizaciones de las pólizas de crédito.</t>
  </si>
  <si>
    <t xml:space="preserve">  Te informa del saldo de la tesorería sin tener en cuenta las pólizas.</t>
  </si>
  <si>
    <t xml:space="preserve">  Te informa del crédito disponible (puedes usarlo cuando es positivo).</t>
  </si>
  <si>
    <t xml:space="preserve">  Aquí debes poner los importes que quieres disponer (usar).</t>
  </si>
  <si>
    <t xml:space="preserve">  Aquí debes poner los importes que quieres amortizar (devolver).</t>
  </si>
  <si>
    <t xml:space="preserve">  Si dispones más del crédito disponible, aparecerá un saldo negativo resaltado en rojo.</t>
  </si>
  <si>
    <t xml:space="preserve">  Naturalmente, deberás corregir el error pues no es posible disponer saldo sin crédito.</t>
  </si>
  <si>
    <t>ÍNDICE</t>
  </si>
  <si>
    <r>
      <t>Aquí defines las</t>
    </r>
    <r>
      <rPr>
        <b/>
        <sz val="12"/>
        <rFont val="Tahoma"/>
        <family val="2"/>
      </rPr>
      <t xml:space="preserve"> inversiones</t>
    </r>
    <r>
      <rPr>
        <sz val="12"/>
        <rFont val="Tahoma"/>
        <family val="2"/>
      </rPr>
      <t xml:space="preserve"> que debes hacer para poner en marcha el negocio.</t>
    </r>
  </si>
  <si>
    <r>
      <t xml:space="preserve">Aquí indicas la financiación del proyecto: </t>
    </r>
    <r>
      <rPr>
        <b/>
        <sz val="12"/>
        <rFont val="Tahoma"/>
        <family val="2"/>
      </rPr>
      <t>capital y préstamos</t>
    </r>
    <r>
      <rPr>
        <sz val="12"/>
        <rFont val="Tahoma"/>
        <family val="2"/>
      </rPr>
      <t xml:space="preserve"> que necesitarás.</t>
    </r>
  </si>
  <si>
    <t>I</t>
  </si>
  <si>
    <t>COBROS Y PAGOS</t>
  </si>
  <si>
    <r>
      <t xml:space="preserve">Aquí se detallan los plazos de </t>
    </r>
    <r>
      <rPr>
        <b/>
        <sz val="12"/>
        <rFont val="Tahoma"/>
        <family val="2"/>
      </rPr>
      <t>cobro y pago</t>
    </r>
    <r>
      <rPr>
        <sz val="12"/>
        <rFont val="Tahoma"/>
        <family val="2"/>
      </rPr>
      <t xml:space="preserve"> así como la gestión de la tesorería.</t>
    </r>
  </si>
  <si>
    <r>
      <t xml:space="preserve">Aquí debes poner los </t>
    </r>
    <r>
      <rPr>
        <b/>
        <sz val="12"/>
        <rFont val="Tahoma"/>
        <family val="2"/>
      </rPr>
      <t>ingresos.</t>
    </r>
  </si>
  <si>
    <t xml:space="preserve">Coste de las ventas </t>
  </si>
  <si>
    <t>Compras y existencias</t>
  </si>
  <si>
    <t>Total Ingresos</t>
  </si>
  <si>
    <r>
      <t xml:space="preserve">ingresos </t>
    </r>
    <r>
      <rPr>
        <sz val="12"/>
        <rFont val="Verdana"/>
        <family val="2"/>
      </rPr>
      <t>financieros</t>
    </r>
  </si>
  <si>
    <r>
      <t>pagos anteriores</t>
    </r>
    <r>
      <rPr>
        <sz val="8"/>
        <rFont val="Verdana"/>
        <family val="2"/>
      </rPr>
      <t xml:space="preserve"> (preparación)</t>
    </r>
  </si>
  <si>
    <t xml:space="preserve">Ventas </t>
  </si>
  <si>
    <r>
      <t>Crédito disponible</t>
    </r>
    <r>
      <rPr>
        <b/>
        <sz val="8"/>
        <rFont val="Verdana"/>
        <family val="2"/>
      </rPr>
      <t xml:space="preserve"> </t>
    </r>
    <r>
      <rPr>
        <sz val="8"/>
        <rFont val="Verdana"/>
        <family val="2"/>
      </rPr>
      <t>(saldo d. línea descuento)</t>
    </r>
  </si>
  <si>
    <t>Presupuesto de Tesorería</t>
  </si>
  <si>
    <t>Cobros por ventas</t>
  </si>
  <si>
    <t>Amort. préstamos</t>
  </si>
  <si>
    <t>Pagos operativos</t>
  </si>
  <si>
    <t>IVA REPERCUTIDO MEDIO</t>
  </si>
  <si>
    <t>TOTAL AMORTIZACIONES</t>
  </si>
  <si>
    <t>link PRE</t>
  </si>
  <si>
    <t>Amortización activo material</t>
  </si>
  <si>
    <t>Amortización activo inmaterial</t>
  </si>
  <si>
    <t>TOTAL ACTIVO MATERIAL</t>
  </si>
  <si>
    <t>TOTAL ACTIVO INTANGIBLE</t>
  </si>
  <si>
    <t>Activo MATERIAL</t>
  </si>
  <si>
    <t>Activo INTANGIBLE</t>
  </si>
  <si>
    <t>Amortizaciones INTANGIBLE</t>
  </si>
  <si>
    <t>Amortizaciones MATERIAL</t>
  </si>
  <si>
    <t>Menos Venta</t>
  </si>
  <si>
    <t>Préstamo chollo</t>
  </si>
  <si>
    <t>PLargoPlazo y SI</t>
  </si>
  <si>
    <t>P Sin Intereses</t>
  </si>
  <si>
    <t>Sdo préstamos interés "0"</t>
  </si>
  <si>
    <t>LARGO y SIN INTERES</t>
  </si>
  <si>
    <t>Préstamos LP Y SI</t>
  </si>
  <si>
    <t>saldo mensual IVA</t>
  </si>
  <si>
    <t>LIQUIDACIÓN IVA</t>
  </si>
  <si>
    <t>TOTAL PAGOS</t>
  </si>
  <si>
    <t>inapreciable</t>
  </si>
  <si>
    <t>GASTOS Establecimiento e Inversiones</t>
  </si>
  <si>
    <t>D</t>
  </si>
  <si>
    <t>GASTOS Y RETENCIONES SALARIALES</t>
  </si>
  <si>
    <t>préstamos</t>
  </si>
  <si>
    <t>compras (material para venta)</t>
  </si>
  <si>
    <t>Remuneraciones Brutas (total)</t>
  </si>
  <si>
    <t>Salarios Bruto</t>
  </si>
  <si>
    <t>Retenciones salarios (PAGAR)</t>
  </si>
  <si>
    <t>Comisiones Bruto</t>
  </si>
  <si>
    <t>Retenciones comisiones (PAGAR)</t>
  </si>
  <si>
    <t>Comisiones Coste empresa</t>
  </si>
  <si>
    <t>Coste Empresa Comisiones</t>
  </si>
  <si>
    <t>Salarios Coste empresa</t>
  </si>
  <si>
    <t>Costes Salariales Empresa</t>
  </si>
  <si>
    <t>Salarios e Incentivos</t>
  </si>
  <si>
    <t>TOTAL REMUNERACIONES</t>
  </si>
  <si>
    <t>RESULTADOS PARA BALANCE (NETOS)</t>
  </si>
  <si>
    <t>Pérdida</t>
  </si>
  <si>
    <t>Beneficio</t>
  </si>
  <si>
    <t>inicial</t>
  </si>
  <si>
    <t>devengado</t>
  </si>
  <si>
    <t>Saldo</t>
  </si>
  <si>
    <t>Saldo remuneraciones pendientes (comisiones)</t>
  </si>
  <si>
    <t>Saldo retenciones salariales</t>
  </si>
  <si>
    <t>Saldo costes salariales</t>
  </si>
  <si>
    <t>cobro impagados</t>
  </si>
  <si>
    <t>Efectivamente cobrado (mes)</t>
  </si>
  <si>
    <t>activos en leasing</t>
  </si>
  <si>
    <t>Denominación abreviada</t>
  </si>
  <si>
    <t>Teléfono</t>
  </si>
  <si>
    <t xml:space="preserve">DATOS DEL PROYECTO </t>
  </si>
  <si>
    <r>
      <t xml:space="preserve">% I.V.A. a </t>
    </r>
    <r>
      <rPr>
        <b/>
        <sz val="8"/>
        <rFont val="Tahoma"/>
        <family val="2"/>
      </rPr>
      <t>REPERCUTIR</t>
    </r>
    <r>
      <rPr>
        <sz val="8"/>
        <rFont val="Tahoma"/>
        <family val="2"/>
      </rPr>
      <t xml:space="preserve"> (ventas) &gt;</t>
    </r>
  </si>
  <si>
    <r>
      <t xml:space="preserve">% I.V.A. a </t>
    </r>
    <r>
      <rPr>
        <b/>
        <sz val="8"/>
        <rFont val="Tahoma"/>
        <family val="2"/>
      </rPr>
      <t>SOPORTAR</t>
    </r>
    <r>
      <rPr>
        <sz val="8"/>
        <rFont val="Tahoma"/>
        <family val="2"/>
      </rPr>
      <t xml:space="preserve"> (compras) &gt;</t>
    </r>
  </si>
  <si>
    <r>
      <t xml:space="preserve">Prever la </t>
    </r>
    <r>
      <rPr>
        <b/>
        <sz val="8"/>
        <color indexed="63"/>
        <rFont val="Tahoma"/>
        <family val="2"/>
      </rPr>
      <t xml:space="preserve">devolución del I.V.A. </t>
    </r>
    <r>
      <rPr>
        <sz val="8"/>
        <color indexed="63"/>
        <rFont val="Tahoma"/>
        <family val="2"/>
      </rPr>
      <t>&gt;</t>
    </r>
  </si>
  <si>
    <t>Portada</t>
  </si>
  <si>
    <t>DATOS</t>
  </si>
  <si>
    <t>PERSONAL</t>
  </si>
  <si>
    <t>INVERSIONES</t>
  </si>
  <si>
    <t>FINANCIACIÓN</t>
  </si>
  <si>
    <t>Cuenta RESULTADOS</t>
  </si>
  <si>
    <t>Punto de Equilibrio</t>
  </si>
  <si>
    <t>Dos modelos distintos de cuenta de resultados, gráficos.</t>
  </si>
  <si>
    <t>Análisis del punto de equilibrio, gráfico.</t>
  </si>
  <si>
    <t>Presupuesto de Tesorería, gráficos</t>
  </si>
  <si>
    <t>Presupuesto de TESORERÍA</t>
  </si>
  <si>
    <t>no borrar ni ocultar - DATOS PARA GRÁFICOS</t>
  </si>
  <si>
    <t>COSTE DE LAS VENTAS</t>
  </si>
  <si>
    <t>resultado</t>
  </si>
  <si>
    <t>RESULTADO BRUTO</t>
  </si>
  <si>
    <t>ingresos</t>
  </si>
  <si>
    <t>ing</t>
  </si>
  <si>
    <t>gas</t>
  </si>
  <si>
    <t>bai</t>
  </si>
  <si>
    <r>
      <t xml:space="preserve">     4- Cuenta de Beneficios y Pérdidas (cuenta de resultados) del 1er. año </t>
    </r>
    <r>
      <rPr>
        <sz val="12"/>
        <rFont val="Tahoma"/>
        <family val="2"/>
      </rPr>
      <t>elaborada en formato "Profit and Loss".</t>
    </r>
  </si>
  <si>
    <t xml:space="preserve">     5- Presupuesto de Tesorería (cash flow) del 1er. Año.</t>
  </si>
  <si>
    <t xml:space="preserve">     6- Gráficos de la página (cash flow) anterior.</t>
  </si>
  <si>
    <t xml:space="preserve">     7- Análisis del Punto de Equilibrio.</t>
  </si>
  <si>
    <t xml:space="preserve">    Si quieres hacer algún cambio en las cifras ve a las hojas anteriores.</t>
  </si>
  <si>
    <t xml:space="preserve">     Están listas para imprimir y presentar pero…</t>
  </si>
  <si>
    <t xml:space="preserve">    (3) Revisa y ajusta (si es necesario) el rango de impresión.</t>
  </si>
  <si>
    <t xml:space="preserve">     Antes de imprimir es importante que: (1) Revises y - en caso necesario - ajustes los gráficos. (2) Oculta la cuenta de resultados que no necesites. </t>
  </si>
  <si>
    <t>Terreno</t>
  </si>
  <si>
    <t>NO BORRAR - ZONA DE CÁLCULOS</t>
  </si>
  <si>
    <t>TOTAL ACTIVOS</t>
  </si>
  <si>
    <t>activos (compra)</t>
  </si>
  <si>
    <t>ACTIVOS SEGÚN FORMA COMPRA</t>
  </si>
  <si>
    <t>Total gastos financieros</t>
  </si>
  <si>
    <t>Valor ACT</t>
  </si>
  <si>
    <t>PAL AMORT</t>
  </si>
  <si>
    <t>PAL+INT</t>
  </si>
  <si>
    <t>Principal  amortiz ANUAL</t>
  </si>
  <si>
    <t>Intereses anuales sin IVA</t>
  </si>
  <si>
    <t>TOTAL pagos anuales</t>
  </si>
  <si>
    <t>COMPROB</t>
  </si>
  <si>
    <t>valor inicial MES</t>
  </si>
  <si>
    <t>FIN</t>
  </si>
  <si>
    <t>Personal Directivo</t>
  </si>
  <si>
    <t>Personal EVENTUAL</t>
  </si>
  <si>
    <t>resumen SALARIO BRUTO</t>
  </si>
  <si>
    <t xml:space="preserve"> TOTAL</t>
  </si>
  <si>
    <t>resumen COSTE EMPRESA</t>
  </si>
  <si>
    <t>RETENCIONES</t>
  </si>
  <si>
    <t>RESUMEN RETENCIONES</t>
  </si>
  <si>
    <t>RESUMEN SALARIO NETO</t>
  </si>
  <si>
    <t xml:space="preserve">Personal y salarios mensuales  </t>
  </si>
  <si>
    <t>Bonus, primas e incentivos en general</t>
  </si>
  <si>
    <t>total año</t>
  </si>
  <si>
    <t>bruto año</t>
  </si>
  <si>
    <t>personal FIJO</t>
  </si>
  <si>
    <t>personal eventual</t>
  </si>
  <si>
    <t>BONUS Y PRIMAS</t>
  </si>
  <si>
    <t>◄ Este % se aplicará a todos los gastos que no tengan un IVA específico.</t>
  </si>
  <si>
    <t>gastos de PRODUCCIÓN o SERVICIO</t>
  </si>
  <si>
    <t>IVA SOPORTADO ESPECÍFICO</t>
  </si>
  <si>
    <t>IVA SOPORTADO GENERAL</t>
  </si>
  <si>
    <t>▼ Aquí puedes incluir el % de IVA específico (por gasto o tipo de gasto) que desees.</t>
  </si>
  <si>
    <t>◄ Hay filas ocultas</t>
  </si>
  <si>
    <t>Ajuste del IVA según los tipos de ingreso y gasto</t>
  </si>
  <si>
    <t>◄ Elige el método de amortización que prefieras</t>
  </si>
  <si>
    <t>gastos establecimiento</t>
  </si>
  <si>
    <t>tratamiento leasings</t>
  </si>
  <si>
    <t>leasings</t>
  </si>
  <si>
    <t>AMORTIZABLES (España y otros paises)</t>
  </si>
  <si>
    <t>ACTIVOS COMPRADOS</t>
  </si>
  <si>
    <t>IMPORTE</t>
  </si>
  <si>
    <t>PLAZO</t>
  </si>
  <si>
    <t>plazo</t>
  </si>
  <si>
    <t>total</t>
  </si>
  <si>
    <t>pdte final</t>
  </si>
  <si>
    <t>PRIMER AÑO</t>
  </si>
  <si>
    <t>% variación</t>
  </si>
  <si>
    <t xml:space="preserve"> %VALOR RES</t>
  </si>
  <si>
    <t>Valor residual</t>
  </si>
  <si>
    <t>A AMORTIZAR</t>
  </si>
  <si>
    <t>Total según ASPA</t>
  </si>
  <si>
    <t>Total según AA</t>
  </si>
  <si>
    <t>comprobación</t>
  </si>
  <si>
    <t>Total cobros</t>
  </si>
  <si>
    <t>promedio</t>
  </si>
  <si>
    <t>amortiz ANUAL</t>
  </si>
  <si>
    <t>AMORTIZACIÓN POR MES</t>
  </si>
  <si>
    <t>ESTAS SON LAS QUE SE INCLUIRÁN ►</t>
  </si>
  <si>
    <t>pago</t>
  </si>
  <si>
    <t>Nº Pagos</t>
  </si>
  <si>
    <t>% interés</t>
  </si>
  <si>
    <t>intereses polizas y lineas</t>
  </si>
  <si>
    <t>gastos Pólizas y líneas crédito</t>
  </si>
  <si>
    <t>Leasings (pal.)</t>
  </si>
  <si>
    <t>LIQUIDACIÓN MENSUAL IVA</t>
  </si>
  <si>
    <t>A PAGAR</t>
  </si>
  <si>
    <t>A COBRAR</t>
  </si>
  <si>
    <t>opción elegida</t>
  </si>
  <si>
    <t>pagoiva</t>
  </si>
  <si>
    <t>NO DEVOLUCIÓN</t>
  </si>
  <si>
    <t>sdo. Inicio</t>
  </si>
  <si>
    <t>SALDOS PROVEEDORES INVERSIONES Y GASTOS INICIALES</t>
  </si>
  <si>
    <t>Stock Inicial</t>
  </si>
  <si>
    <t>SDO. RETENCIONES CON PAGO MENSUAL</t>
  </si>
  <si>
    <t>SDO. RETENCIONES CON PAGO TRIMESTRAL</t>
  </si>
  <si>
    <t>DEUDAS a corto plazo</t>
  </si>
  <si>
    <t>Ajuste de las amortizaciones (depreciaciones) de los activos adquiridos este año</t>
  </si>
  <si>
    <r>
      <t xml:space="preserve">¿OTRAS? PON AQUÍ LOS IMPORTES  </t>
    </r>
    <r>
      <rPr>
        <b/>
        <sz val="11"/>
        <color indexed="10"/>
        <rFont val="Arial"/>
      </rPr>
      <t>▼</t>
    </r>
  </si>
  <si>
    <r>
      <t>%  GENERAL</t>
    </r>
    <r>
      <rPr>
        <sz val="11"/>
        <color indexed="10"/>
        <rFont val="Arial"/>
        <family val="2"/>
      </rPr>
      <t xml:space="preserve"> </t>
    </r>
    <r>
      <rPr>
        <sz val="10"/>
        <color indexed="10"/>
        <rFont val="Arial"/>
        <family val="2"/>
      </rPr>
      <t>(se aplica a todos los gastos)</t>
    </r>
  </si>
  <si>
    <r>
      <t>COMPRAS</t>
    </r>
    <r>
      <rPr>
        <sz val="12"/>
        <color indexed="10"/>
        <rFont val="Arial"/>
        <family val="2"/>
      </rPr>
      <t xml:space="preserve"> (material para la venta)</t>
    </r>
  </si>
  <si>
    <r>
      <t xml:space="preserve">◄ Este % se aplicará a </t>
    </r>
    <r>
      <rPr>
        <sz val="11"/>
        <color indexed="10"/>
        <rFont val="Arial"/>
        <family val="2"/>
      </rPr>
      <t xml:space="preserve">todos los gastos de </t>
    </r>
    <r>
      <rPr>
        <u/>
        <sz val="11"/>
        <color indexed="10"/>
        <rFont val="Arial"/>
        <family val="2"/>
      </rPr>
      <t>esta sección</t>
    </r>
    <r>
      <rPr>
        <sz val="11"/>
        <color indexed="10"/>
        <rFont val="Arial"/>
      </rPr>
      <t xml:space="preserve"> que no tengan un IVA específico.</t>
    </r>
  </si>
  <si>
    <r>
      <t xml:space="preserve">Poner los </t>
    </r>
    <r>
      <rPr>
        <b/>
        <sz val="18"/>
        <color indexed="26"/>
        <rFont val="Tahoma"/>
        <family val="2"/>
      </rPr>
      <t>GASTOS OPERATIVOS</t>
    </r>
  </si>
  <si>
    <t>al servicio que se presta. Por ejemplo, son costes de venta: (1) El coste de los productos que un comercio vende a sus clientes. 2) El coste de los materiales que usa un</t>
  </si>
  <si>
    <t>electricista para efectuar sus reparaciones. (3) Todas las materias primas y los gastos de transformación o producción de un producto industrial… etc.</t>
  </si>
  <si>
    <r>
      <t xml:space="preserve">Aquí debes poner todos los </t>
    </r>
    <r>
      <rPr>
        <b/>
        <sz val="12"/>
        <rFont val="Tahoma"/>
        <family val="2"/>
      </rPr>
      <t>costes de producción o de prestación del servicio</t>
    </r>
    <r>
      <rPr>
        <sz val="12"/>
        <rFont val="Tahoma"/>
        <family val="2"/>
      </rPr>
      <t>:</t>
    </r>
    <r>
      <rPr>
        <sz val="11"/>
        <rFont val="Tahoma"/>
        <family val="2"/>
      </rPr>
      <t xml:space="preserve"> los costes directamente vinculados al producto que se vende o </t>
    </r>
  </si>
  <si>
    <t xml:space="preserve">     de promedio incluye producto por valor de 25, el margen bruto será del 75% (100-25=75) . </t>
  </si>
  <si>
    <r>
      <t xml:space="preserve">   </t>
    </r>
    <r>
      <rPr>
        <b/>
        <sz val="12"/>
        <rFont val="Tahoma"/>
        <family val="2"/>
      </rPr>
      <t xml:space="preserve"> Importante:</t>
    </r>
    <r>
      <rPr>
        <sz val="12"/>
        <rFont val="Tahoma"/>
        <family val="2"/>
      </rPr>
      <t xml:space="preserve"> Si no pones nada, la hoja lo considerará como 100% (coste producto cero)</t>
    </r>
  </si>
  <si>
    <t xml:space="preserve">Este es un dato esencial que permite calcular automáticamente las compras   </t>
  </si>
  <si>
    <r>
      <t xml:space="preserve">variables </t>
    </r>
    <r>
      <rPr>
        <b/>
        <sz val="11"/>
        <color indexed="10"/>
        <rFont val="Arial"/>
        <family val="2"/>
      </rPr>
      <t>de producción o servicio</t>
    </r>
  </si>
  <si>
    <t>HOJA DE AJUSTES DE LAS AMORTIZACIONES Y EL IVA</t>
  </si>
  <si>
    <r>
      <t xml:space="preserve"> Inmovilizado</t>
    </r>
    <r>
      <rPr>
        <b/>
        <sz val="8"/>
        <rFont val="Arial"/>
      </rPr>
      <t xml:space="preserve"> INTANGIBLE</t>
    </r>
  </si>
  <si>
    <r>
      <t>Inmovilizado</t>
    </r>
    <r>
      <rPr>
        <b/>
        <sz val="8"/>
        <rFont val="Arial"/>
      </rPr>
      <t xml:space="preserve"> MATERIAL</t>
    </r>
  </si>
  <si>
    <r>
      <t xml:space="preserve">Inversiones </t>
    </r>
    <r>
      <rPr>
        <b/>
        <sz val="8"/>
        <rFont val="Arial"/>
      </rPr>
      <t>FINANCIERAS</t>
    </r>
  </si>
  <si>
    <t>Clientes deudores</t>
  </si>
  <si>
    <r>
      <t>Socios</t>
    </r>
    <r>
      <rPr>
        <sz val="12"/>
        <rFont val="Verdana"/>
        <family val="2"/>
      </rPr>
      <t xml:space="preserve"> </t>
    </r>
  </si>
  <si>
    <t>otros mk</t>
  </si>
  <si>
    <t>generales</t>
  </si>
  <si>
    <t>financieros NETO</t>
  </si>
  <si>
    <t>EXTRIOS NETO</t>
  </si>
  <si>
    <t>EBITDA</t>
  </si>
  <si>
    <t>fijos</t>
  </si>
  <si>
    <t>gastos TOTAL</t>
  </si>
  <si>
    <t>Ingresos</t>
  </si>
  <si>
    <t>BAI</t>
  </si>
  <si>
    <t>GST FIJOS</t>
  </si>
  <si>
    <t>GST VARIABLES</t>
  </si>
  <si>
    <t xml:space="preserve"> Fijo</t>
  </si>
  <si>
    <t>Variable</t>
  </si>
  <si>
    <t>SI</t>
  </si>
  <si>
    <t>respuesta</t>
  </si>
  <si>
    <t>50% Fijo</t>
  </si>
  <si>
    <t>Fijo</t>
  </si>
  <si>
    <t>Salarios</t>
  </si>
  <si>
    <t>Coste</t>
  </si>
  <si>
    <t>No fijo</t>
  </si>
  <si>
    <t>Comisiones</t>
  </si>
  <si>
    <t>comsiones</t>
  </si>
  <si>
    <t>TOTAL GASTOS</t>
  </si>
  <si>
    <t>Acumulado</t>
  </si>
  <si>
    <t>Margen Bruto</t>
  </si>
  <si>
    <t xml:space="preserve">                                  PRESTAMOS - POLIZAS DE CRÉDITO - GASTOS FINANCIEROS</t>
  </si>
  <si>
    <t>ESTA HOJA ES SÓLO UN FILTRO DE COMPROBACIÓN y control de calidad - NO TOCAR</t>
  </si>
  <si>
    <t>TOTAL INGRESOS</t>
  </si>
  <si>
    <t>gastos financieros</t>
  </si>
  <si>
    <t>gastos extraordinarios</t>
  </si>
  <si>
    <t>Gastos Vs Ingresos</t>
  </si>
  <si>
    <t>Ventas</t>
  </si>
  <si>
    <t>Gastos</t>
  </si>
  <si>
    <t>Amortizaciones</t>
  </si>
  <si>
    <t>Activos en leasing</t>
  </si>
  <si>
    <t>Resultados</t>
  </si>
  <si>
    <t>TESORERÍA</t>
  </si>
  <si>
    <t>ACTIVOS LEASING (valor más intereses)</t>
  </si>
  <si>
    <t>variables de producción o servicio</t>
  </si>
  <si>
    <t>TOTAL PAGOS (ajustados para cuadre con tesorería)</t>
  </si>
  <si>
    <t>salarios</t>
  </si>
  <si>
    <t>Crédito disponible</t>
  </si>
  <si>
    <t>Disposiciones</t>
  </si>
  <si>
    <t>Importe dispuesto</t>
  </si>
  <si>
    <t>Préstamo</t>
  </si>
  <si>
    <t>Carencia</t>
  </si>
  <si>
    <t>concesión</t>
  </si>
  <si>
    <t>CARENCIA SIGNIFICA</t>
  </si>
  <si>
    <t xml:space="preserve"> AÑO</t>
  </si>
  <si>
    <t>INI</t>
  </si>
  <si>
    <t>MESES CARENC</t>
  </si>
  <si>
    <t>PAGOS MENSUALES</t>
  </si>
  <si>
    <t>meses PAL</t>
  </si>
  <si>
    <t>TOTAL MESES</t>
  </si>
  <si>
    <t>Años PAL</t>
  </si>
  <si>
    <t>Préstamos largo plazo</t>
  </si>
  <si>
    <t>BAL▲</t>
  </si>
  <si>
    <t>Saldo Leasings</t>
  </si>
  <si>
    <t>Subvenciones</t>
  </si>
  <si>
    <t>COBRO MENSUAL</t>
  </si>
  <si>
    <t>I.V.A. y otros</t>
  </si>
  <si>
    <t>COBRO TRIMESTRAL</t>
  </si>
  <si>
    <r>
      <t>▲</t>
    </r>
    <r>
      <rPr>
        <sz val="8"/>
        <rFont val="Arial"/>
      </rPr>
      <t xml:space="preserve"> BALANCE</t>
    </r>
  </si>
  <si>
    <t>▲ BAL</t>
  </si>
  <si>
    <t>▲ PRE/BAL</t>
  </si>
  <si>
    <t>SUBVENCIONES</t>
  </si>
  <si>
    <t>en el mes</t>
  </si>
  <si>
    <t>Oficinas</t>
  </si>
  <si>
    <t>Inter. depósito</t>
  </si>
  <si>
    <t>La sección está dividida en dos grandes grupos:</t>
  </si>
  <si>
    <t>Resto de Personal</t>
  </si>
  <si>
    <t xml:space="preserve">  Personal fijo o eventual de la empresa.</t>
  </si>
  <si>
    <t xml:space="preserve">  Elige de la lista a qué dpto o sección asignas dicho coste salarial (ventas, marketing, producción, etc.).</t>
  </si>
  <si>
    <t>Resultado Neto</t>
  </si>
  <si>
    <t>Sdo préstamos corto</t>
  </si>
  <si>
    <t>Años</t>
  </si>
  <si>
    <t>Coste Anual</t>
  </si>
  <si>
    <t>Gastos In.</t>
  </si>
  <si>
    <t>pcorto</t>
  </si>
  <si>
    <t>UN año</t>
  </si>
  <si>
    <t>DOS años</t>
  </si>
  <si>
    <t>pagosaño</t>
  </si>
  <si>
    <t>SIGNIFICA</t>
  </si>
  <si>
    <t>Pago cuota</t>
  </si>
  <si>
    <t>cada MES</t>
  </si>
  <si>
    <t>BIMENSUAL</t>
  </si>
  <si>
    <t>ANUAL</t>
  </si>
  <si>
    <t>LISTAS▼</t>
  </si>
  <si>
    <t>Unidades vendidas</t>
  </si>
  <si>
    <t>saldo proveedores (IVA Inc)</t>
  </si>
  <si>
    <t>Ppto.</t>
  </si>
  <si>
    <t>COMPROBACIÓN  con Presupuesto:</t>
  </si>
  <si>
    <t>Denominación</t>
  </si>
  <si>
    <t>Importe</t>
  </si>
  <si>
    <t>E</t>
  </si>
  <si>
    <t xml:space="preserve">I.V.A. CÁLCULO LIQUIDACIONES </t>
  </si>
  <si>
    <t>I.V.A. - RESUMEN</t>
  </si>
  <si>
    <t>C</t>
  </si>
  <si>
    <t>F</t>
  </si>
  <si>
    <t>INGRESOS PRÉSTAMOS</t>
  </si>
  <si>
    <t>Pcorto Plazo</t>
  </si>
  <si>
    <t>link hoja</t>
  </si>
  <si>
    <t>CTesorería</t>
  </si>
  <si>
    <t>GASTOS FINANCIEROS</t>
  </si>
  <si>
    <t>P Corto Plazo</t>
  </si>
  <si>
    <t>SALDOS 1er AÑO</t>
  </si>
  <si>
    <t>P Largo Plazo</t>
  </si>
  <si>
    <t>link Balances</t>
  </si>
  <si>
    <t>Sólo se tiene en cuenta el principal</t>
  </si>
  <si>
    <t>SALDOS 5años</t>
  </si>
  <si>
    <t xml:space="preserve"> Ingresos</t>
  </si>
  <si>
    <t>link balances 5a</t>
  </si>
  <si>
    <t>marranerias (no sé que pasa si lo borro)</t>
  </si>
  <si>
    <t>su uso poco racional puede dar lugar a desviaciones (por ejemplo: si demoran el pago)</t>
  </si>
  <si>
    <t>PAGO PROVEEDORES(menos zona gris)</t>
  </si>
  <si>
    <t>Devengo PROVEEDORES</t>
  </si>
  <si>
    <t>saldo remuneraciones pendientes</t>
  </si>
  <si>
    <t>cuidado posible desfase 30 días</t>
  </si>
  <si>
    <t>Salarios e incentivos</t>
  </si>
  <si>
    <t>Compra activos</t>
  </si>
  <si>
    <t>Liquidación I.V.A.</t>
  </si>
  <si>
    <t>Impuesto sociedades</t>
  </si>
  <si>
    <t>Dividendos</t>
  </si>
  <si>
    <t>pagos anteriores (preparación)</t>
  </si>
  <si>
    <t>NECESIDAD (HOJA)</t>
  </si>
  <si>
    <t>Gastos Fijos</t>
  </si>
  <si>
    <t>% G.Variables</t>
  </si>
  <si>
    <t>MES</t>
  </si>
  <si>
    <t>Quality control</t>
  </si>
  <si>
    <t>COBROS AÑO</t>
  </si>
  <si>
    <t>AÑO SIG.</t>
  </si>
  <si>
    <t>1er año</t>
  </si>
  <si>
    <t>2º año</t>
  </si>
  <si>
    <t>3er año</t>
  </si>
  <si>
    <t>4º año</t>
  </si>
  <si>
    <t>5º año</t>
  </si>
  <si>
    <t>% Margen BRUTO</t>
  </si>
  <si>
    <t>Stock SEGURIDAD</t>
  </si>
  <si>
    <t>Ventas y Marketing</t>
  </si>
  <si>
    <t>Gastos Generales</t>
  </si>
  <si>
    <t xml:space="preserve">Publicidad </t>
  </si>
  <si>
    <t>S. Profesionales</t>
  </si>
  <si>
    <t>Viajes, dietas…</t>
  </si>
  <si>
    <t>Relaciones Púb.</t>
  </si>
  <si>
    <t>Varios ventas</t>
  </si>
  <si>
    <t>Financ. en %SV</t>
  </si>
  <si>
    <t>CÁLCULO DE LAS AMORTIZACIONES</t>
  </si>
  <si>
    <t>CÁLCULO DE LAS INVERSIONES Y SU FINANCIACIÓN</t>
  </si>
  <si>
    <t>PCP1 UNO</t>
  </si>
  <si>
    <t>Préstamo CORTO plazo 1 PRIMER AÑO</t>
  </si>
  <si>
    <t>P.N. y PASIVO</t>
  </si>
  <si>
    <t>Directivos</t>
  </si>
  <si>
    <t>Asignado a</t>
  </si>
  <si>
    <t xml:space="preserve">% Coste </t>
  </si>
  <si>
    <t>%  Ret.</t>
  </si>
  <si>
    <t>Resto personal</t>
  </si>
  <si>
    <t>% Comisiones sobre ventas</t>
  </si>
  <si>
    <t>c. total año</t>
  </si>
  <si>
    <t>s. bruto año</t>
  </si>
  <si>
    <t>1ª OPCIÓN: sin detalles</t>
  </si>
  <si>
    <t xml:space="preserve"> Concepto 1</t>
  </si>
  <si>
    <t>Concepto 2</t>
  </si>
  <si>
    <t>Concepto 3</t>
  </si>
  <si>
    <t>Costes de venta</t>
  </si>
  <si>
    <t>LINEAL (la más común)</t>
  </si>
  <si>
    <t>SALDO FIJO (decreciente, función DB Excel)</t>
  </si>
  <si>
    <t>ACTIVOS</t>
  </si>
  <si>
    <t>valor sin iva</t>
  </si>
  <si>
    <t>LINK DESDE 4a</t>
  </si>
  <si>
    <t>quality control OK</t>
  </si>
  <si>
    <t>PAGO</t>
  </si>
  <si>
    <t>SUMARSI</t>
  </si>
  <si>
    <t>IVA devengado</t>
  </si>
  <si>
    <t>Total IVA</t>
  </si>
  <si>
    <t>Promedio IVA</t>
  </si>
  <si>
    <t>IVA Repercutido</t>
  </si>
  <si>
    <t>IVA REPERCUTIDO</t>
  </si>
  <si>
    <t>VENTA NETA</t>
  </si>
  <si>
    <t>Socios</t>
  </si>
  <si>
    <t>Sobre Bruto (sólo para definir media)</t>
  </si>
  <si>
    <t>TOTAL A COBRAR</t>
  </si>
  <si>
    <t>IVA DEVENGADO S/VTA NETA</t>
  </si>
  <si>
    <t>IVA sobre otros ingresos (soportado)</t>
  </si>
  <si>
    <t>IVA Soportado</t>
  </si>
  <si>
    <t>IVA sobre GASTOS (soportado)</t>
  </si>
  <si>
    <t>COMPRAS</t>
  </si>
  <si>
    <t>STOCK INICIAL</t>
  </si>
  <si>
    <t>PREVIO</t>
  </si>
  <si>
    <t>TOTAL A PAGAR</t>
  </si>
  <si>
    <t>Gasto</t>
  </si>
  <si>
    <t>IVA DEVENGADO S/GASTO</t>
  </si>
  <si>
    <t xml:space="preserve">   Incluye los presupuestos del primer año y el análisis del punto de equilibrio.</t>
  </si>
  <si>
    <t xml:space="preserve">   Son, en total, siete pàginas listas para imprimir y presentar.</t>
  </si>
  <si>
    <t xml:space="preserve">GASTO </t>
  </si>
  <si>
    <t>gastos establecimiento AMORT</t>
  </si>
  <si>
    <t>Leasings</t>
  </si>
  <si>
    <t>1er pago</t>
  </si>
  <si>
    <t xml:space="preserve">gastos establecimiento </t>
  </si>
  <si>
    <t xml:space="preserve">INICIO PAGO </t>
  </si>
  <si>
    <t>Cuota 1A</t>
  </si>
  <si>
    <t>CADA DOS MESES</t>
  </si>
  <si>
    <t>SEMESTRAL</t>
  </si>
  <si>
    <t>HOJA DE CÁLCULOS VARIOS Y VERIFICACIÓN</t>
  </si>
  <si>
    <t>MK Y VTAS</t>
  </si>
  <si>
    <t xml:space="preserve">DEFINITIVAS </t>
  </si>
  <si>
    <t>AJUSTES DEL USUARIO - NUEVAS INVERSIONES (AJUSTES1)</t>
  </si>
  <si>
    <t>TIENE EN CUENTA LAS ANTIGUAS INVERSIONES (AJUSTES2)</t>
  </si>
  <si>
    <t>AMORTIZACIONES CINCO AÑOS</t>
  </si>
  <si>
    <t>link BAL</t>
  </si>
  <si>
    <t>FILA DE AJUSTE RÁPIDO</t>
  </si>
  <si>
    <t>Desajuste Balance</t>
  </si>
  <si>
    <t>% Medio de coste y comisión</t>
  </si>
  <si>
    <t>▼ FALTA INDICAR DEPMTO. SI NO SE HACE CALCULA MAL</t>
  </si>
  <si>
    <t>Gastos Variables por unidad</t>
  </si>
  <si>
    <t>Precio o ingreso por unidad</t>
  </si>
  <si>
    <t>Ventas (unidades) para PE</t>
  </si>
  <si>
    <t>Redondeo</t>
  </si>
  <si>
    <t>Total Gastos fijos</t>
  </si>
  <si>
    <t>Compra en LEASING</t>
  </si>
  <si>
    <t xml:space="preserve"> Definición activos y valor residual (dejado a cero)</t>
  </si>
  <si>
    <t>valor residual</t>
  </si>
  <si>
    <t>SANDBOX - NO TOCAR▼</t>
  </si>
  <si>
    <t>Capital de la empresa y socios</t>
  </si>
  <si>
    <t>Desembolso del capital</t>
  </si>
  <si>
    <t>Capital escriturado</t>
  </si>
  <si>
    <t>Capital no desembolsado</t>
  </si>
  <si>
    <t>CAPITAL ESCRITURADO</t>
  </si>
  <si>
    <t>Desembolsado</t>
  </si>
  <si>
    <t>Subvenciones no exigibles</t>
  </si>
  <si>
    <t>Resultados (acumulado)</t>
  </si>
  <si>
    <t>menos dividendos (acumulado)</t>
  </si>
  <si>
    <t>redondeado a la baja</t>
  </si>
  <si>
    <t>Resultado FINANCIERO</t>
  </si>
  <si>
    <t>Gastos variables</t>
  </si>
  <si>
    <t>Ingresos netos</t>
  </si>
  <si>
    <t>Ingresos Totales (Serie Ingresos)</t>
  </si>
  <si>
    <t>Costes totales (Serie Costes)</t>
  </si>
  <si>
    <t>% impagados &gt;</t>
  </si>
  <si>
    <t xml:space="preserve">% cobro impagados </t>
  </si>
  <si>
    <t>Pon las premisas adecuadas:</t>
  </si>
  <si>
    <r>
      <t xml:space="preserve">AMORTIZACIÓN AÑOS </t>
    </r>
    <r>
      <rPr>
        <b/>
        <sz val="8"/>
        <color indexed="60"/>
        <rFont val="Arial"/>
        <family val="2"/>
      </rPr>
      <t>▼</t>
    </r>
  </si>
  <si>
    <r>
      <t xml:space="preserve">     Este método de calculo del punto de equilibrio requiere que se hayan introducido (hoja 5) las </t>
    </r>
    <r>
      <rPr>
        <u/>
        <sz val="12"/>
        <rFont val="Tahoma"/>
        <family val="2"/>
      </rPr>
      <t>ventas en unidades</t>
    </r>
  </si>
  <si>
    <t>IMPORTES QUE LA HOJA TOMA COMO VÁLIDOS</t>
  </si>
  <si>
    <t>5- VENTAS y OTROS INGRESOS</t>
  </si>
  <si>
    <t>INGRESOS DESEABLES</t>
  </si>
  <si>
    <t>% Beneficio deseable</t>
  </si>
  <si>
    <t>Estimación de</t>
  </si>
  <si>
    <t>INGRESOS PREVISTOS</t>
  </si>
  <si>
    <t>Unidades o Número</t>
  </si>
  <si>
    <t xml:space="preserve">Cuenta de resultados previsional  </t>
  </si>
  <si>
    <t>Gastos generales</t>
  </si>
  <si>
    <t>Costes marketing</t>
  </si>
  <si>
    <t>NÚMERO DE EMPLEADOS - RESUMEN</t>
  </si>
  <si>
    <t>TOTAL EMPLEADOS</t>
  </si>
  <si>
    <t>TOTAL EMPLEADOS según cuadro superior</t>
  </si>
  <si>
    <t>VERIFICACIÓN ERRORES</t>
  </si>
  <si>
    <t>Si no coincide puede ser NO HABER ADJUDICADO EL EMPLEADO A UN DPTO.</t>
  </si>
  <si>
    <t>SALARIOS (PARTE 1) - RESUMEN</t>
  </si>
  <si>
    <t>REMUNERACIÓN BRUTA (rem neta más retenciones)</t>
  </si>
  <si>
    <t>REMUNERACIÓN BRUTA (Coste empresa total menos CE)</t>
  </si>
  <si>
    <t>RESUMEN PARA PRESUPUESTO</t>
  </si>
  <si>
    <t>BONUS Y PRIMAS (PARTE 2)</t>
  </si>
  <si>
    <t>COMISIONES (PARTE 3)</t>
  </si>
  <si>
    <t>SALARIOS - CÁLCULOS DETALLADOS</t>
  </si>
  <si>
    <t>RESTOS DE 5 AÑOS</t>
  </si>
  <si>
    <t xml:space="preserve">Total </t>
  </si>
  <si>
    <t>Otros costes</t>
  </si>
  <si>
    <t>BONUS Y PRIMAS - CÁLCULOS DETALLADOS</t>
  </si>
  <si>
    <t>&gt;&gt;&gt;&gt;&gt;&gt;&gt;&gt;&gt;&gt;</t>
  </si>
  <si>
    <t>El usuario de este libro para Excel® puede distribuir de forma gratuita todas las copias que desee pero, en ningún caso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</si>
</sst>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164" formatCode="#,##0_ ;[Red]\-#,##0\ "/>
    <numFmt numFmtId="165" formatCode="#,##0.0"/>
    <numFmt numFmtId="166" formatCode="0.0%"/>
    <numFmt numFmtId="167" formatCode="#,##0.00_ ;[Red]\-#,##0.00\ "/>
    <numFmt numFmtId="168" formatCode="#,##0_ ;\-#,##0\ "/>
    <numFmt numFmtId="169" formatCode="#,##0.0000000000"/>
    <numFmt numFmtId="170" formatCode="#,##0.00_ ;\-#,##0.00\ "/>
  </numFmts>
  <fonts count="192" x14ac:knownFonts="1">
    <font>
      <sz val="10"/>
      <name val="Arial"/>
    </font>
    <font>
      <sz val="10"/>
      <name val="Arial"/>
    </font>
    <font>
      <sz val="8"/>
      <name val="Arial"/>
    </font>
    <font>
      <sz val="10"/>
      <name val="Arial"/>
      <family val="2"/>
    </font>
    <font>
      <sz val="9"/>
      <name val="Arial"/>
      <family val="2"/>
    </font>
    <font>
      <sz val="11"/>
      <name val="Arial"/>
      <family val="2"/>
    </font>
    <font>
      <b/>
      <sz val="9"/>
      <name val="Arial"/>
      <family val="2"/>
    </font>
    <font>
      <u/>
      <sz val="10"/>
      <color indexed="12"/>
      <name val="Arial"/>
    </font>
    <font>
      <sz val="11"/>
      <name val="Arial"/>
    </font>
    <font>
      <b/>
      <sz val="12"/>
      <name val="Arial"/>
    </font>
    <font>
      <sz val="12"/>
      <name val="Arial"/>
    </font>
    <font>
      <b/>
      <sz val="11"/>
      <color indexed="10"/>
      <name val="Arial"/>
      <family val="2"/>
    </font>
    <font>
      <sz val="11"/>
      <color indexed="23"/>
      <name val="Arial"/>
      <family val="2"/>
    </font>
    <font>
      <sz val="11"/>
      <color indexed="23"/>
      <name val="Arial"/>
    </font>
    <font>
      <b/>
      <sz val="10"/>
      <name val="Arial"/>
      <family val="2"/>
    </font>
    <font>
      <sz val="10"/>
      <name val="Arial"/>
    </font>
    <font>
      <b/>
      <sz val="10"/>
      <name val="Arial"/>
    </font>
    <font>
      <sz val="8"/>
      <name val="Arial"/>
      <family val="2"/>
    </font>
    <font>
      <b/>
      <sz val="11"/>
      <color indexed="81"/>
      <name val="Tahoma"/>
      <family val="2"/>
    </font>
    <font>
      <b/>
      <sz val="12"/>
      <color indexed="81"/>
      <name val="Tahoma"/>
      <family val="2"/>
    </font>
    <font>
      <sz val="10"/>
      <color indexed="10"/>
      <name val="Arial"/>
      <family val="2"/>
    </font>
    <font>
      <b/>
      <sz val="8"/>
      <name val="Arial"/>
    </font>
    <font>
      <sz val="10"/>
      <name val="Arial"/>
    </font>
    <font>
      <b/>
      <sz val="8"/>
      <color indexed="81"/>
      <name val="Tahoma"/>
    </font>
    <font>
      <sz val="10"/>
      <color indexed="10"/>
      <name val="Arial"/>
    </font>
    <font>
      <sz val="11"/>
      <color indexed="81"/>
      <name val="Tahoma"/>
      <family val="2"/>
    </font>
    <font>
      <sz val="8"/>
      <name val="Verdana"/>
      <family val="2"/>
    </font>
    <font>
      <sz val="7.5"/>
      <name val="Arial"/>
    </font>
    <font>
      <sz val="11"/>
      <name val="Verdana"/>
      <family val="2"/>
    </font>
    <font>
      <sz val="12"/>
      <color indexed="81"/>
      <name val="Tahoma"/>
      <family val="2"/>
    </font>
    <font>
      <sz val="12"/>
      <name val="Verdana"/>
      <family val="2"/>
    </font>
    <font>
      <sz val="14"/>
      <name val="Arial"/>
    </font>
    <font>
      <b/>
      <sz val="8"/>
      <name val="Verdana"/>
      <family val="2"/>
    </font>
    <font>
      <sz val="14"/>
      <name val="Verdana"/>
      <family val="2"/>
    </font>
    <font>
      <sz val="10"/>
      <name val="Verdana"/>
      <family val="2"/>
    </font>
    <font>
      <sz val="10"/>
      <name val="Arial"/>
    </font>
    <font>
      <sz val="11"/>
      <color indexed="60"/>
      <name val="Verdana"/>
      <family val="2"/>
    </font>
    <font>
      <b/>
      <sz val="8"/>
      <color indexed="9"/>
      <name val="Verdana"/>
      <family val="2"/>
    </font>
    <font>
      <sz val="12"/>
      <color indexed="60"/>
      <name val="Tahoma"/>
      <family val="2"/>
    </font>
    <font>
      <sz val="11"/>
      <color indexed="60"/>
      <name val="Tahoma"/>
      <family val="2"/>
    </font>
    <font>
      <sz val="10"/>
      <color indexed="18"/>
      <name val="Arial"/>
    </font>
    <font>
      <sz val="11"/>
      <color indexed="16"/>
      <name val="Tahoma"/>
      <family val="2"/>
    </font>
    <font>
      <b/>
      <sz val="12"/>
      <color indexed="10"/>
      <name val="Tahoma"/>
      <family val="2"/>
    </font>
    <font>
      <b/>
      <sz val="16"/>
      <color indexed="9"/>
      <name val="Verdana"/>
      <family val="2"/>
    </font>
    <font>
      <b/>
      <sz val="11"/>
      <color indexed="10"/>
      <name val="Verdana"/>
      <family val="2"/>
    </font>
    <font>
      <b/>
      <sz val="11"/>
      <color indexed="16"/>
      <name val="Tahoma"/>
      <family val="2"/>
    </font>
    <font>
      <sz val="8"/>
      <color indexed="10"/>
      <name val="Verdana"/>
      <family val="2"/>
    </font>
    <font>
      <sz val="7.5"/>
      <name val="Arial"/>
      <family val="2"/>
    </font>
    <font>
      <sz val="8"/>
      <color indexed="60"/>
      <name val="Verdana"/>
      <family val="2"/>
    </font>
    <font>
      <b/>
      <sz val="12"/>
      <color indexed="16"/>
      <name val="Tahoma"/>
      <family val="2"/>
    </font>
    <font>
      <sz val="12"/>
      <color indexed="16"/>
      <name val="Tahoma"/>
      <family val="2"/>
    </font>
    <font>
      <sz val="11"/>
      <color indexed="10"/>
      <name val="Arial"/>
    </font>
    <font>
      <b/>
      <sz val="8"/>
      <name val="Arial"/>
      <family val="2"/>
    </font>
    <font>
      <b/>
      <sz val="9"/>
      <color indexed="81"/>
      <name val="Tahoma"/>
      <charset val="1"/>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ont>
    <font>
      <sz val="9"/>
      <name val="Arial"/>
    </font>
    <font>
      <sz val="9"/>
      <name val="Verdana"/>
      <family val="2"/>
    </font>
    <font>
      <sz val="8"/>
      <color indexed="60"/>
      <name val="Tahoma"/>
      <family val="2"/>
    </font>
    <font>
      <b/>
      <sz val="9"/>
      <color indexed="60"/>
      <name val="Tahoma"/>
      <family val="2"/>
    </font>
    <font>
      <sz val="9"/>
      <color indexed="60"/>
      <name val="Tahoma"/>
      <family val="2"/>
    </font>
    <font>
      <sz val="9"/>
      <color indexed="16"/>
      <name val="Tahoma"/>
      <family val="2"/>
    </font>
    <font>
      <sz val="8"/>
      <color indexed="16"/>
      <name val="Tahoma"/>
      <family val="2"/>
    </font>
    <font>
      <b/>
      <sz val="8"/>
      <color indexed="10"/>
      <name val="Tahoma"/>
      <family val="2"/>
    </font>
    <font>
      <sz val="8"/>
      <color indexed="10"/>
      <name val="Tahoma"/>
      <family val="2"/>
    </font>
    <font>
      <b/>
      <sz val="8"/>
      <color indexed="16"/>
      <name val="Tahoma"/>
      <family val="2"/>
    </font>
    <font>
      <b/>
      <sz val="9"/>
      <color indexed="16"/>
      <name val="Tahoma"/>
      <family val="2"/>
    </font>
    <font>
      <sz val="9"/>
      <color indexed="60"/>
      <name val="Verdana"/>
      <family val="2"/>
    </font>
    <font>
      <sz val="16"/>
      <name val="Arial"/>
    </font>
    <font>
      <b/>
      <sz val="11"/>
      <color indexed="10"/>
      <name val="Arial"/>
    </font>
    <font>
      <sz val="11"/>
      <color indexed="10"/>
      <name val="Arial"/>
      <family val="2"/>
    </font>
    <font>
      <sz val="12"/>
      <color indexed="10"/>
      <name val="Arial"/>
      <family val="2"/>
    </font>
    <font>
      <u/>
      <sz val="11"/>
      <color indexed="10"/>
      <name val="Arial"/>
      <family val="2"/>
    </font>
    <font>
      <b/>
      <sz val="10"/>
      <color indexed="81"/>
      <name val="Tahoma"/>
      <family val="2"/>
    </font>
    <font>
      <sz val="10"/>
      <color indexed="81"/>
      <name val="Tahoma"/>
      <family val="2"/>
    </font>
    <font>
      <b/>
      <sz val="10"/>
      <color indexed="60"/>
      <name val="Tahoma"/>
      <family val="2"/>
    </font>
    <font>
      <sz val="8"/>
      <color indexed="18"/>
      <name val="Tahoma"/>
      <family val="2"/>
    </font>
    <font>
      <sz val="8"/>
      <name val="Tahoma"/>
      <family val="2"/>
    </font>
    <font>
      <sz val="14"/>
      <color indexed="42"/>
      <name val="Tahoma"/>
      <family val="2"/>
    </font>
    <font>
      <sz val="10"/>
      <name val="Tahoma"/>
      <family val="2"/>
    </font>
    <font>
      <sz val="10"/>
      <color indexed="23"/>
      <name val="Tahoma"/>
      <family val="2"/>
    </font>
    <font>
      <sz val="12"/>
      <color indexed="23"/>
      <name val="Tahoma"/>
      <family val="2"/>
    </font>
    <font>
      <sz val="11"/>
      <name val="Tahoma"/>
      <family val="2"/>
    </font>
    <font>
      <b/>
      <sz val="16"/>
      <name val="Tahoma"/>
      <family val="2"/>
    </font>
    <font>
      <b/>
      <u/>
      <sz val="12"/>
      <color indexed="42"/>
      <name val="Tahoma"/>
      <family val="2"/>
    </font>
    <font>
      <sz val="8"/>
      <color indexed="42"/>
      <name val="Tahoma"/>
      <family val="2"/>
    </font>
    <font>
      <b/>
      <sz val="8"/>
      <name val="Tahoma"/>
      <family val="2"/>
    </font>
    <font>
      <b/>
      <sz val="12"/>
      <name val="Tahoma"/>
      <family val="2"/>
    </font>
    <font>
      <sz val="12"/>
      <name val="Tahoma"/>
      <family val="2"/>
    </font>
    <font>
      <sz val="14"/>
      <name val="Tahoma"/>
      <family val="2"/>
    </font>
    <font>
      <sz val="11"/>
      <color indexed="23"/>
      <name val="Tahoma"/>
      <family val="2"/>
    </font>
    <font>
      <sz val="8"/>
      <color indexed="63"/>
      <name val="Tahoma"/>
      <family val="2"/>
    </font>
    <font>
      <b/>
      <sz val="14"/>
      <name val="Tahoma"/>
      <family val="2"/>
    </font>
    <font>
      <b/>
      <sz val="16"/>
      <color indexed="9"/>
      <name val="Tahoma"/>
      <family val="2"/>
    </font>
    <font>
      <b/>
      <sz val="11"/>
      <name val="Tahoma"/>
      <family val="2"/>
    </font>
    <font>
      <b/>
      <sz val="14"/>
      <color indexed="16"/>
      <name val="Tahoma"/>
      <family val="2"/>
    </font>
    <font>
      <sz val="11"/>
      <color indexed="42"/>
      <name val="Tahoma"/>
      <family val="2"/>
    </font>
    <font>
      <b/>
      <sz val="16"/>
      <color indexed="16"/>
      <name val="Tahoma"/>
      <family val="2"/>
    </font>
    <font>
      <sz val="10"/>
      <color indexed="9"/>
      <name val="Tahoma"/>
      <family val="2"/>
    </font>
    <font>
      <b/>
      <sz val="14"/>
      <color indexed="60"/>
      <name val="Tahoma"/>
      <family val="2"/>
    </font>
    <font>
      <sz val="11"/>
      <color indexed="10"/>
      <name val="Tahoma"/>
      <family val="2"/>
    </font>
    <font>
      <b/>
      <sz val="11"/>
      <color indexed="60"/>
      <name val="Tahoma"/>
      <family val="2"/>
    </font>
    <font>
      <sz val="12"/>
      <color indexed="18"/>
      <name val="Tahoma"/>
      <family val="2"/>
    </font>
    <font>
      <b/>
      <sz val="10"/>
      <name val="Tahoma"/>
      <family val="2"/>
    </font>
    <font>
      <sz val="9"/>
      <name val="Tahoma"/>
      <family val="2"/>
    </font>
    <font>
      <sz val="8"/>
      <color indexed="23"/>
      <name val="Tahoma"/>
      <family val="2"/>
    </font>
    <font>
      <b/>
      <sz val="11"/>
      <color indexed="9"/>
      <name val="Tahoma"/>
      <family val="2"/>
    </font>
    <font>
      <b/>
      <sz val="8"/>
      <color indexed="43"/>
      <name val="Tahoma"/>
      <family val="2"/>
    </font>
    <font>
      <b/>
      <sz val="8"/>
      <color indexed="9"/>
      <name val="Tahoma"/>
      <family val="2"/>
    </font>
    <font>
      <sz val="9"/>
      <color indexed="62"/>
      <name val="Tahoma"/>
      <family val="2"/>
    </font>
    <font>
      <sz val="10"/>
      <color indexed="18"/>
      <name val="Tahoma"/>
      <family val="2"/>
    </font>
    <font>
      <sz val="8"/>
      <color indexed="62"/>
      <name val="Tahoma"/>
      <family val="2"/>
    </font>
    <font>
      <b/>
      <sz val="9"/>
      <color indexed="9"/>
      <name val="Tahoma"/>
      <family val="2"/>
    </font>
    <font>
      <sz val="11"/>
      <color indexed="9"/>
      <name val="Tahoma"/>
      <family val="2"/>
    </font>
    <font>
      <b/>
      <sz val="14"/>
      <color indexed="9"/>
      <name val="Tahoma"/>
      <family val="2"/>
    </font>
    <font>
      <sz val="9"/>
      <color indexed="18"/>
      <name val="Tahoma"/>
      <family val="2"/>
    </font>
    <font>
      <b/>
      <sz val="9"/>
      <color indexed="18"/>
      <name val="Tahoma"/>
      <family val="2"/>
    </font>
    <font>
      <b/>
      <sz val="12"/>
      <color indexed="9"/>
      <name val="Tahoma"/>
      <family val="2"/>
    </font>
    <font>
      <b/>
      <sz val="9"/>
      <name val="Tahoma"/>
      <family val="2"/>
    </font>
    <font>
      <b/>
      <sz val="10"/>
      <color indexed="9"/>
      <name val="Tahoma"/>
      <family val="2"/>
    </font>
    <font>
      <b/>
      <sz val="11"/>
      <color indexed="23"/>
      <name val="Tahoma"/>
      <family val="2"/>
    </font>
    <font>
      <b/>
      <sz val="9"/>
      <color indexed="43"/>
      <name val="Tahoma"/>
      <family val="2"/>
    </font>
    <font>
      <b/>
      <u/>
      <sz val="10"/>
      <name val="Tahoma"/>
      <family val="2"/>
    </font>
    <font>
      <u/>
      <sz val="10"/>
      <name val="Tahoma"/>
      <family val="2"/>
    </font>
    <font>
      <b/>
      <sz val="20"/>
      <color indexed="9"/>
      <name val="Tahoma"/>
      <family val="2"/>
    </font>
    <font>
      <u/>
      <sz val="12"/>
      <name val="Tahoma"/>
      <family val="2"/>
    </font>
    <font>
      <b/>
      <sz val="8"/>
      <color indexed="60"/>
      <name val="Tahoma"/>
      <family val="2"/>
    </font>
    <font>
      <b/>
      <sz val="12"/>
      <color indexed="43"/>
      <name val="Tahoma"/>
      <family val="2"/>
    </font>
    <font>
      <b/>
      <sz val="8"/>
      <color indexed="42"/>
      <name val="Tahoma"/>
      <family val="2"/>
    </font>
    <font>
      <b/>
      <sz val="20"/>
      <name val="Tahoma"/>
      <family val="2"/>
    </font>
    <font>
      <sz val="16"/>
      <name val="Tahoma"/>
      <family val="2"/>
    </font>
    <font>
      <sz val="18"/>
      <name val="Tahoma"/>
      <family val="2"/>
    </font>
    <font>
      <b/>
      <u/>
      <sz val="12"/>
      <name val="Tahoma"/>
      <family val="2"/>
    </font>
    <font>
      <u/>
      <sz val="8"/>
      <name val="Tahoma"/>
      <family val="2"/>
    </font>
    <font>
      <b/>
      <sz val="18"/>
      <color indexed="9"/>
      <name val="Tahoma"/>
      <family val="2"/>
    </font>
    <font>
      <sz val="14"/>
      <color indexed="10"/>
      <name val="Tahoma"/>
      <family val="2"/>
    </font>
    <font>
      <sz val="9"/>
      <color indexed="10"/>
      <name val="Tahoma"/>
      <family val="2"/>
    </font>
    <font>
      <sz val="10"/>
      <color indexed="10"/>
      <name val="Tahoma"/>
      <family val="2"/>
    </font>
    <font>
      <b/>
      <sz val="10"/>
      <color indexed="10"/>
      <name val="Tahoma"/>
      <family val="2"/>
    </font>
    <font>
      <b/>
      <sz val="8"/>
      <color indexed="63"/>
      <name val="Tahoma"/>
      <family val="2"/>
    </font>
    <font>
      <u/>
      <sz val="12"/>
      <color indexed="42"/>
      <name val="Tahoma"/>
      <family val="2"/>
    </font>
    <font>
      <u/>
      <sz val="12"/>
      <color indexed="60"/>
      <name val="Tahoma"/>
      <family val="2"/>
    </font>
    <font>
      <sz val="12"/>
      <color indexed="17"/>
      <name val="Tahoma"/>
      <family val="2"/>
    </font>
    <font>
      <sz val="10"/>
      <color indexed="18"/>
      <name val="Verdana"/>
      <family val="2"/>
    </font>
    <font>
      <sz val="12"/>
      <color indexed="56"/>
      <name val="Tahoma"/>
      <family val="2"/>
    </font>
    <font>
      <sz val="10"/>
      <color indexed="63"/>
      <name val="Verdana"/>
      <family val="2"/>
    </font>
    <font>
      <sz val="8"/>
      <color indexed="58"/>
      <name val="Tahoma"/>
      <family val="2"/>
    </font>
    <font>
      <b/>
      <sz val="9"/>
      <color indexed="8"/>
      <name val="Tahoma"/>
      <family val="2"/>
    </font>
    <font>
      <b/>
      <u/>
      <sz val="8"/>
      <color indexed="60"/>
      <name val="Tahoma"/>
      <family val="2"/>
    </font>
    <font>
      <b/>
      <sz val="8"/>
      <color indexed="8"/>
      <name val="Tahoma"/>
      <family val="2"/>
    </font>
    <font>
      <sz val="12"/>
      <name val="Arial"/>
      <family val="2"/>
    </font>
    <font>
      <sz val="8"/>
      <color indexed="10"/>
      <name val="Arial"/>
      <family val="2"/>
    </font>
    <font>
      <b/>
      <sz val="10"/>
      <color indexed="18"/>
      <name val="Tahoma"/>
      <family val="2"/>
    </font>
    <font>
      <b/>
      <sz val="10"/>
      <color indexed="43"/>
      <name val="Tahoma"/>
      <family val="2"/>
    </font>
    <font>
      <sz val="8"/>
      <color indexed="60"/>
      <name val="Arial"/>
      <family val="2"/>
    </font>
    <font>
      <sz val="8"/>
      <color indexed="16"/>
      <name val="Verdana"/>
      <family val="2"/>
    </font>
    <font>
      <sz val="8"/>
      <color indexed="16"/>
      <name val="Arial"/>
    </font>
    <font>
      <sz val="10"/>
      <color indexed="16"/>
      <name val="Verdana"/>
      <family val="2"/>
    </font>
    <font>
      <sz val="10"/>
      <color indexed="16"/>
      <name val="Arial"/>
    </font>
    <font>
      <sz val="8"/>
      <color indexed="43"/>
      <name val="Tahoma"/>
      <family val="2"/>
    </font>
    <font>
      <b/>
      <sz val="11"/>
      <color indexed="43"/>
      <name val="Tahoma"/>
      <family val="2"/>
    </font>
    <font>
      <b/>
      <sz val="9"/>
      <color indexed="10"/>
      <name val="Tahoma"/>
      <family val="2"/>
    </font>
    <font>
      <b/>
      <sz val="8"/>
      <color indexed="10"/>
      <name val="Verdana"/>
      <family val="2"/>
    </font>
    <font>
      <sz val="20"/>
      <color indexed="42"/>
      <name val="Tahoma"/>
      <family val="2"/>
    </font>
    <font>
      <b/>
      <sz val="20"/>
      <color indexed="43"/>
      <name val="Tahoma"/>
      <family val="2"/>
    </font>
    <font>
      <b/>
      <sz val="26"/>
      <color indexed="42"/>
      <name val="Tahoma"/>
      <family val="2"/>
    </font>
    <font>
      <b/>
      <sz val="14"/>
      <name val="Verdana"/>
      <family val="2"/>
    </font>
    <font>
      <b/>
      <sz val="16"/>
      <color indexed="26"/>
      <name val="Tahoma"/>
      <family val="2"/>
    </font>
    <font>
      <sz val="14"/>
      <color indexed="26"/>
      <name val="Tahoma"/>
      <family val="2"/>
    </font>
    <font>
      <b/>
      <u/>
      <sz val="12"/>
      <color indexed="16"/>
      <name val="Tahoma"/>
      <family val="2"/>
    </font>
    <font>
      <u/>
      <sz val="11"/>
      <color indexed="16"/>
      <name val="Tahoma"/>
      <family val="2"/>
    </font>
    <font>
      <u/>
      <sz val="12"/>
      <color indexed="16"/>
      <name val="Tahoma"/>
      <family val="2"/>
    </font>
    <font>
      <sz val="12"/>
      <color indexed="9"/>
      <name val="Tahoma"/>
      <family val="2"/>
    </font>
    <font>
      <b/>
      <sz val="18"/>
      <color indexed="26"/>
      <name val="Tahoma"/>
      <family val="2"/>
    </font>
    <font>
      <sz val="14"/>
      <color indexed="9"/>
      <name val="Tahoma"/>
      <family val="2"/>
    </font>
    <font>
      <sz val="8"/>
      <color indexed="9"/>
      <name val="Tahoma"/>
      <family val="2"/>
    </font>
    <font>
      <sz val="10"/>
      <color indexed="59"/>
      <name val="Arial"/>
    </font>
    <font>
      <sz val="10"/>
      <name val="Arial"/>
    </font>
    <font>
      <b/>
      <sz val="8"/>
      <color indexed="60"/>
      <name val="Arial"/>
      <family val="2"/>
    </font>
    <font>
      <b/>
      <sz val="22"/>
      <color indexed="9"/>
      <name val="Tahoma"/>
      <family val="2"/>
    </font>
    <font>
      <b/>
      <u/>
      <sz val="12"/>
      <color indexed="53"/>
      <name val="Tahoma"/>
      <family val="2"/>
    </font>
    <font>
      <b/>
      <u/>
      <sz val="12"/>
      <color indexed="60"/>
      <name val="Tahoma"/>
      <family val="2"/>
    </font>
    <font>
      <u/>
      <sz val="12"/>
      <color indexed="17"/>
      <name val="Tahoma"/>
      <family val="2"/>
    </font>
    <font>
      <b/>
      <u/>
      <sz val="12"/>
      <color indexed="17"/>
      <name val="Tahoma"/>
      <family val="2"/>
    </font>
    <font>
      <b/>
      <u/>
      <sz val="14"/>
      <color indexed="9"/>
      <name val="Tahoma"/>
      <family val="2"/>
    </font>
    <font>
      <b/>
      <sz val="28"/>
      <color indexed="9"/>
      <name val="Tahoma"/>
      <family val="2"/>
    </font>
    <font>
      <b/>
      <i/>
      <sz val="36"/>
      <color indexed="42"/>
      <name val="Tahoma"/>
      <family val="2"/>
    </font>
    <font>
      <b/>
      <sz val="14"/>
      <color indexed="63"/>
      <name val="Tahoma"/>
      <family val="2"/>
    </font>
    <font>
      <b/>
      <sz val="20"/>
      <color indexed="26"/>
      <name val="Tahoma"/>
      <family val="2"/>
    </font>
  </fonts>
  <fills count="17">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16"/>
        <bgColor indexed="64"/>
      </patternFill>
    </fill>
    <fill>
      <patternFill patternType="solid">
        <fgColor indexed="60"/>
        <bgColor indexed="64"/>
      </patternFill>
    </fill>
    <fill>
      <patternFill patternType="solid">
        <fgColor indexed="59"/>
        <bgColor indexed="64"/>
      </patternFill>
    </fill>
    <fill>
      <patternFill patternType="solid">
        <fgColor indexed="50"/>
        <bgColor indexed="64"/>
      </patternFill>
    </fill>
    <fill>
      <patternFill patternType="solid">
        <fgColor indexed="22"/>
        <bgColor indexed="64"/>
      </patternFill>
    </fill>
    <fill>
      <patternFill patternType="solid">
        <fgColor indexed="47"/>
        <bgColor indexed="64"/>
      </patternFill>
    </fill>
    <fill>
      <patternFill patternType="solid">
        <fgColor indexed="17"/>
        <bgColor indexed="64"/>
      </patternFill>
    </fill>
    <fill>
      <patternFill patternType="solid">
        <fgColor indexed="53"/>
        <bgColor indexed="64"/>
      </patternFill>
    </fill>
    <fill>
      <patternFill patternType="solid">
        <fgColor indexed="19"/>
        <bgColor indexed="64"/>
      </patternFill>
    </fill>
    <fill>
      <patternFill patternType="solid">
        <fgColor indexed="23"/>
        <bgColor indexed="64"/>
      </patternFill>
    </fill>
  </fills>
  <borders count="32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right style="thin">
        <color indexed="22"/>
      </right>
      <top/>
      <bottom/>
      <diagonal/>
    </border>
    <border>
      <left/>
      <right style="thin">
        <color indexed="22"/>
      </right>
      <top/>
      <bottom style="thin">
        <color indexed="22"/>
      </bottom>
      <diagonal/>
    </border>
    <border>
      <left style="thin">
        <color indexed="22"/>
      </left>
      <right/>
      <top/>
      <bottom/>
      <diagonal/>
    </border>
    <border>
      <left style="thin">
        <color indexed="22"/>
      </left>
      <right style="thin">
        <color indexed="22"/>
      </right>
      <top style="thin">
        <color indexed="23"/>
      </top>
      <bottom style="hair">
        <color indexed="22"/>
      </bottom>
      <diagonal/>
    </border>
    <border>
      <left style="thin">
        <color indexed="22"/>
      </left>
      <right style="thin">
        <color indexed="22"/>
      </right>
      <top style="hair">
        <color indexed="22"/>
      </top>
      <bottom style="hair">
        <color indexed="22"/>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top style="thin">
        <color indexed="23"/>
      </top>
      <bottom/>
      <diagonal/>
    </border>
    <border>
      <left style="thin">
        <color indexed="22"/>
      </left>
      <right/>
      <top style="thin">
        <color indexed="22"/>
      </top>
      <bottom style="thin">
        <color indexed="22"/>
      </bottom>
      <diagonal/>
    </border>
    <border>
      <left style="thin">
        <color indexed="22"/>
      </left>
      <right/>
      <top style="thin">
        <color indexed="23"/>
      </top>
      <bottom style="thin">
        <color indexed="22"/>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9"/>
      </left>
      <right style="thin">
        <color indexed="9"/>
      </right>
      <top/>
      <bottom style="thin">
        <color indexed="55"/>
      </bottom>
      <diagonal/>
    </border>
    <border>
      <left/>
      <right/>
      <top/>
      <bottom style="thin">
        <color indexed="23"/>
      </bottom>
      <diagonal/>
    </border>
    <border>
      <left/>
      <right/>
      <top style="thin">
        <color indexed="22"/>
      </top>
      <bottom style="hair">
        <color indexed="22"/>
      </bottom>
      <diagonal/>
    </border>
    <border>
      <left style="thin">
        <color indexed="22"/>
      </left>
      <right/>
      <top style="hair">
        <color indexed="22"/>
      </top>
      <bottom style="hair">
        <color indexed="22"/>
      </bottom>
      <diagonal/>
    </border>
    <border>
      <left/>
      <right/>
      <top style="hair">
        <color indexed="22"/>
      </top>
      <bottom style="hair">
        <color indexed="22"/>
      </bottom>
      <diagonal/>
    </border>
    <border>
      <left style="thin">
        <color indexed="22"/>
      </left>
      <right/>
      <top style="hair">
        <color indexed="22"/>
      </top>
      <bottom style="thin">
        <color indexed="22"/>
      </bottom>
      <diagonal/>
    </border>
    <border>
      <left/>
      <right/>
      <top style="hair">
        <color indexed="22"/>
      </top>
      <bottom style="thin">
        <color indexed="22"/>
      </bottom>
      <diagonal/>
    </border>
    <border>
      <left style="thin">
        <color indexed="22"/>
      </left>
      <right/>
      <top style="thin">
        <color indexed="22"/>
      </top>
      <bottom style="hair">
        <color indexed="22"/>
      </bottom>
      <diagonal/>
    </border>
    <border>
      <left/>
      <right style="thin">
        <color indexed="22"/>
      </right>
      <top style="thin">
        <color indexed="22"/>
      </top>
      <bottom style="hair">
        <color indexed="22"/>
      </bottom>
      <diagonal/>
    </border>
    <border>
      <left/>
      <right style="thin">
        <color indexed="22"/>
      </right>
      <top style="hair">
        <color indexed="22"/>
      </top>
      <bottom style="hair">
        <color indexed="22"/>
      </bottom>
      <diagonal/>
    </border>
    <border>
      <left/>
      <right style="thin">
        <color indexed="22"/>
      </right>
      <top style="hair">
        <color indexed="22"/>
      </top>
      <bottom style="thin">
        <color indexed="22"/>
      </bottom>
      <diagonal/>
    </border>
    <border>
      <left style="thin">
        <color indexed="23"/>
      </left>
      <right style="thin">
        <color indexed="23"/>
      </right>
      <top style="thin">
        <color indexed="23"/>
      </top>
      <bottom style="hair">
        <color indexed="22"/>
      </bottom>
      <diagonal/>
    </border>
    <border>
      <left style="thin">
        <color indexed="23"/>
      </left>
      <right style="thin">
        <color indexed="23"/>
      </right>
      <top style="hair">
        <color indexed="22"/>
      </top>
      <bottom style="hair">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3"/>
      </left>
      <right style="thin">
        <color indexed="63"/>
      </right>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style="thin">
        <color indexed="63"/>
      </right>
      <top style="thin">
        <color indexed="22"/>
      </top>
      <bottom style="thin">
        <color indexed="63"/>
      </bottom>
      <diagonal/>
    </border>
    <border>
      <left style="thin">
        <color indexed="63"/>
      </left>
      <right style="thin">
        <color indexed="63"/>
      </right>
      <top style="thin">
        <color indexed="63"/>
      </top>
      <bottom style="thin">
        <color indexed="22"/>
      </bottom>
      <diagonal/>
    </border>
    <border>
      <left style="thin">
        <color indexed="63"/>
      </left>
      <right style="thin">
        <color indexed="63"/>
      </right>
      <top style="thin">
        <color indexed="63"/>
      </top>
      <bottom style="thin">
        <color indexed="23"/>
      </bottom>
      <diagonal/>
    </border>
    <border>
      <left style="medium">
        <color indexed="16"/>
      </left>
      <right style="medium">
        <color indexed="16"/>
      </right>
      <top style="medium">
        <color indexed="16"/>
      </top>
      <bottom style="medium">
        <color indexed="16"/>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medium">
        <color indexed="16"/>
      </top>
      <bottom style="medium">
        <color indexed="16"/>
      </bottom>
      <diagonal/>
    </border>
    <border>
      <left style="thin">
        <color indexed="63"/>
      </left>
      <right style="thin">
        <color indexed="22"/>
      </right>
      <top style="thin">
        <color indexed="63"/>
      </top>
      <bottom style="thin">
        <color indexed="63"/>
      </bottom>
      <diagonal/>
    </border>
    <border>
      <left style="medium">
        <color indexed="60"/>
      </left>
      <right/>
      <top style="medium">
        <color indexed="60"/>
      </top>
      <bottom style="medium">
        <color indexed="60"/>
      </bottom>
      <diagonal/>
    </border>
    <border>
      <left/>
      <right/>
      <top style="medium">
        <color indexed="60"/>
      </top>
      <bottom style="medium">
        <color indexed="60"/>
      </bottom>
      <diagonal/>
    </border>
    <border>
      <left/>
      <right style="medium">
        <color indexed="60"/>
      </right>
      <top style="medium">
        <color indexed="60"/>
      </top>
      <bottom style="medium">
        <color indexed="60"/>
      </bottom>
      <diagonal/>
    </border>
    <border>
      <left style="thin">
        <color indexed="22"/>
      </left>
      <right style="thin">
        <color indexed="22"/>
      </right>
      <top/>
      <bottom style="thin">
        <color indexed="22"/>
      </bottom>
      <diagonal/>
    </border>
    <border>
      <left style="thin">
        <color indexed="64"/>
      </left>
      <right style="thin">
        <color indexed="22"/>
      </right>
      <top style="thin">
        <color indexed="64"/>
      </top>
      <bottom style="thin">
        <color indexed="23"/>
      </bottom>
      <diagonal/>
    </border>
    <border>
      <left style="thin">
        <color indexed="22"/>
      </left>
      <right style="thin">
        <color indexed="22"/>
      </right>
      <top style="thin">
        <color indexed="64"/>
      </top>
      <bottom style="thin">
        <color indexed="23"/>
      </bottom>
      <diagonal/>
    </border>
    <border>
      <left style="thin">
        <color indexed="22"/>
      </left>
      <right style="thin">
        <color indexed="64"/>
      </right>
      <top style="thin">
        <color indexed="64"/>
      </top>
      <bottom style="thin">
        <color indexed="23"/>
      </bottom>
      <diagonal/>
    </border>
    <border>
      <left style="thin">
        <color indexed="64"/>
      </left>
      <right style="thin">
        <color indexed="22"/>
      </right>
      <top/>
      <bottom style="thin">
        <color indexed="22"/>
      </bottom>
      <diagonal/>
    </border>
    <border>
      <left style="thin">
        <color indexed="22"/>
      </left>
      <right style="thin">
        <color indexed="64"/>
      </right>
      <top/>
      <bottom style="thin">
        <color indexed="22"/>
      </bottom>
      <diagonal/>
    </border>
    <border>
      <left style="thin">
        <color indexed="64"/>
      </left>
      <right style="thin">
        <color indexed="22"/>
      </right>
      <top/>
      <bottom style="thin">
        <color indexed="64"/>
      </bottom>
      <diagonal/>
    </border>
    <border>
      <left style="thin">
        <color indexed="22"/>
      </left>
      <right style="thin">
        <color indexed="22"/>
      </right>
      <top/>
      <bottom style="thin">
        <color indexed="64"/>
      </bottom>
      <diagonal/>
    </border>
    <border>
      <left style="thin">
        <color indexed="22"/>
      </left>
      <right style="thin">
        <color indexed="64"/>
      </right>
      <top/>
      <bottom style="thin">
        <color indexed="64"/>
      </bottom>
      <diagonal/>
    </border>
    <border>
      <left style="thin">
        <color indexed="22"/>
      </left>
      <right style="thin">
        <color indexed="23"/>
      </right>
      <top style="thin">
        <color indexed="64"/>
      </top>
      <bottom style="thin">
        <color indexed="23"/>
      </bottom>
      <diagonal/>
    </border>
    <border>
      <left style="thin">
        <color indexed="23"/>
      </left>
      <right style="thin">
        <color indexed="23"/>
      </right>
      <top style="thin">
        <color indexed="63"/>
      </top>
      <bottom style="thin">
        <color indexed="23"/>
      </bottom>
      <diagonal/>
    </border>
    <border>
      <left style="thin">
        <color indexed="23"/>
      </left>
      <right style="thin">
        <color indexed="63"/>
      </right>
      <top style="thin">
        <color indexed="63"/>
      </top>
      <bottom style="thin">
        <color indexed="23"/>
      </bottom>
      <diagonal/>
    </border>
    <border>
      <left style="thin">
        <color indexed="63"/>
      </left>
      <right/>
      <top/>
      <bottom style="hair">
        <color indexed="22"/>
      </bottom>
      <diagonal/>
    </border>
    <border>
      <left style="thin">
        <color indexed="63"/>
      </left>
      <right/>
      <top style="hair">
        <color indexed="22"/>
      </top>
      <bottom style="hair">
        <color indexed="22"/>
      </bottom>
      <diagonal/>
    </border>
    <border>
      <left style="thin">
        <color indexed="63"/>
      </left>
      <right style="thin">
        <color indexed="63"/>
      </right>
      <top/>
      <bottom style="thin">
        <color indexed="63"/>
      </bottom>
      <diagonal/>
    </border>
    <border>
      <left style="thin">
        <color indexed="63"/>
      </left>
      <right/>
      <top style="thin">
        <color indexed="63"/>
      </top>
      <bottom style="thin">
        <color indexed="23"/>
      </bottom>
      <diagonal/>
    </border>
    <border>
      <left style="thin">
        <color indexed="63"/>
      </left>
      <right/>
      <top style="thin">
        <color indexed="23"/>
      </top>
      <bottom style="hair">
        <color indexed="22"/>
      </bottom>
      <diagonal/>
    </border>
    <border>
      <left style="thin">
        <color indexed="63"/>
      </left>
      <right/>
      <top style="hair">
        <color indexed="22"/>
      </top>
      <bottom style="thin">
        <color indexed="63"/>
      </bottom>
      <diagonal/>
    </border>
    <border>
      <left style="thin">
        <color indexed="23"/>
      </left>
      <right style="thin">
        <color indexed="23"/>
      </right>
      <top style="hair">
        <color indexed="22"/>
      </top>
      <bottom style="thin">
        <color indexed="63"/>
      </bottom>
      <diagonal/>
    </border>
    <border>
      <left style="thin">
        <color indexed="23"/>
      </left>
      <right style="thin">
        <color indexed="63"/>
      </right>
      <top style="thin">
        <color indexed="63"/>
      </top>
      <bottom style="thin">
        <color indexed="63"/>
      </bottom>
      <diagonal/>
    </border>
    <border>
      <left style="thin">
        <color indexed="23"/>
      </left>
      <right style="thin">
        <color indexed="23"/>
      </right>
      <top style="thin">
        <color indexed="63"/>
      </top>
      <bottom style="hair">
        <color indexed="22"/>
      </bottom>
      <diagonal/>
    </border>
    <border>
      <left style="thin">
        <color indexed="63"/>
      </left>
      <right/>
      <top style="thin">
        <color indexed="63"/>
      </top>
      <bottom/>
      <diagonal/>
    </border>
    <border>
      <left style="thin">
        <color indexed="63"/>
      </left>
      <right style="thin">
        <color indexed="23"/>
      </right>
      <top style="thin">
        <color indexed="22"/>
      </top>
      <bottom style="thin">
        <color indexed="22"/>
      </bottom>
      <diagonal/>
    </border>
    <border>
      <left style="thin">
        <color indexed="23"/>
      </left>
      <right style="thin">
        <color indexed="23"/>
      </right>
      <top style="thin">
        <color indexed="63"/>
      </top>
      <bottom style="thin">
        <color indexed="63"/>
      </bottom>
      <diagonal/>
    </border>
    <border>
      <left style="thin">
        <color indexed="23"/>
      </left>
      <right style="thin">
        <color indexed="23"/>
      </right>
      <top/>
      <bottom style="thin">
        <color indexed="63"/>
      </bottom>
      <diagonal/>
    </border>
    <border>
      <left style="thin">
        <color indexed="23"/>
      </left>
      <right style="thin">
        <color indexed="22"/>
      </right>
      <top style="thin">
        <color indexed="23"/>
      </top>
      <bottom style="hair">
        <color indexed="22"/>
      </bottom>
      <diagonal/>
    </border>
    <border>
      <left style="thin">
        <color indexed="22"/>
      </left>
      <right style="thin">
        <color indexed="63"/>
      </right>
      <top style="thin">
        <color indexed="23"/>
      </top>
      <bottom style="hair">
        <color indexed="22"/>
      </bottom>
      <diagonal/>
    </border>
    <border>
      <left style="thin">
        <color indexed="23"/>
      </left>
      <right style="thin">
        <color indexed="22"/>
      </right>
      <top style="hair">
        <color indexed="22"/>
      </top>
      <bottom style="hair">
        <color indexed="22"/>
      </bottom>
      <diagonal/>
    </border>
    <border>
      <left style="thin">
        <color indexed="22"/>
      </left>
      <right style="thin">
        <color indexed="63"/>
      </right>
      <top style="hair">
        <color indexed="22"/>
      </top>
      <bottom style="hair">
        <color indexed="22"/>
      </bottom>
      <diagonal/>
    </border>
    <border>
      <left style="thin">
        <color indexed="23"/>
      </left>
      <right style="thin">
        <color indexed="22"/>
      </right>
      <top style="hair">
        <color indexed="22"/>
      </top>
      <bottom style="thin">
        <color indexed="63"/>
      </bottom>
      <diagonal/>
    </border>
    <border>
      <left style="thin">
        <color indexed="22"/>
      </left>
      <right style="thin">
        <color indexed="22"/>
      </right>
      <top style="hair">
        <color indexed="22"/>
      </top>
      <bottom style="thin">
        <color indexed="63"/>
      </bottom>
      <diagonal/>
    </border>
    <border>
      <left style="thin">
        <color indexed="22"/>
      </left>
      <right style="thin">
        <color indexed="63"/>
      </right>
      <top style="hair">
        <color indexed="22"/>
      </top>
      <bottom style="thin">
        <color indexed="63"/>
      </bottom>
      <diagonal/>
    </border>
    <border>
      <left style="thin">
        <color indexed="23"/>
      </left>
      <right style="thin">
        <color indexed="22"/>
      </right>
      <top style="thin">
        <color indexed="63"/>
      </top>
      <bottom style="hair">
        <color indexed="22"/>
      </bottom>
      <diagonal/>
    </border>
    <border>
      <left style="thin">
        <color indexed="22"/>
      </left>
      <right style="thin">
        <color indexed="22"/>
      </right>
      <top style="thin">
        <color indexed="63"/>
      </top>
      <bottom style="hair">
        <color indexed="22"/>
      </bottom>
      <diagonal/>
    </border>
    <border>
      <left style="thin">
        <color indexed="22"/>
      </left>
      <right style="thin">
        <color indexed="63"/>
      </right>
      <top style="thin">
        <color indexed="63"/>
      </top>
      <bottom style="hair">
        <color indexed="22"/>
      </bottom>
      <diagonal/>
    </border>
    <border>
      <left style="thin">
        <color indexed="23"/>
      </left>
      <right style="thin">
        <color indexed="22"/>
      </right>
      <top style="thin">
        <color indexed="63"/>
      </top>
      <bottom style="thin">
        <color indexed="63"/>
      </bottom>
      <diagonal/>
    </border>
    <border>
      <left style="thin">
        <color indexed="22"/>
      </left>
      <right style="thin">
        <color indexed="22"/>
      </right>
      <top style="thin">
        <color indexed="63"/>
      </top>
      <bottom style="thin">
        <color indexed="63"/>
      </bottom>
      <diagonal/>
    </border>
    <border>
      <left style="thin">
        <color indexed="22"/>
      </left>
      <right style="thin">
        <color indexed="63"/>
      </right>
      <top style="thin">
        <color indexed="63"/>
      </top>
      <bottom style="thin">
        <color indexed="63"/>
      </bottom>
      <diagonal/>
    </border>
    <border>
      <left style="thin">
        <color indexed="23"/>
      </left>
      <right style="thin">
        <color indexed="22"/>
      </right>
      <top/>
      <bottom style="thin">
        <color indexed="63"/>
      </bottom>
      <diagonal/>
    </border>
    <border>
      <left style="thin">
        <color indexed="22"/>
      </left>
      <right style="thin">
        <color indexed="22"/>
      </right>
      <top/>
      <bottom style="thin">
        <color indexed="63"/>
      </bottom>
      <diagonal/>
    </border>
    <border>
      <left style="thin">
        <color indexed="22"/>
      </left>
      <right style="thin">
        <color indexed="63"/>
      </right>
      <top/>
      <bottom style="thin">
        <color indexed="63"/>
      </bottom>
      <diagonal/>
    </border>
    <border>
      <left style="thin">
        <color indexed="63"/>
      </left>
      <right/>
      <top style="thin">
        <color indexed="63"/>
      </top>
      <bottom style="thin">
        <color indexed="63"/>
      </bottom>
      <diagonal/>
    </border>
    <border>
      <left style="thin">
        <color indexed="63"/>
      </left>
      <right/>
      <top/>
      <bottom style="thin">
        <color indexed="63"/>
      </bottom>
      <diagonal/>
    </border>
    <border>
      <left style="thin">
        <color indexed="63"/>
      </left>
      <right style="thin">
        <color indexed="23"/>
      </right>
      <top style="thin">
        <color indexed="63"/>
      </top>
      <bottom style="thin">
        <color indexed="63"/>
      </bottom>
      <diagonal/>
    </border>
    <border>
      <left style="thin">
        <color indexed="22"/>
      </left>
      <right style="thin">
        <color indexed="22"/>
      </right>
      <top style="thin">
        <color indexed="16"/>
      </top>
      <bottom style="thin">
        <color indexed="23"/>
      </bottom>
      <diagonal/>
    </border>
    <border>
      <left style="thin">
        <color indexed="22"/>
      </left>
      <right style="thin">
        <color indexed="63"/>
      </right>
      <top style="thin">
        <color indexed="16"/>
      </top>
      <bottom style="thin">
        <color indexed="23"/>
      </bottom>
      <diagonal/>
    </border>
    <border>
      <left style="thin">
        <color indexed="63"/>
      </left>
      <right style="thin">
        <color indexed="22"/>
      </right>
      <top style="thin">
        <color indexed="23"/>
      </top>
      <bottom style="hair">
        <color indexed="22"/>
      </bottom>
      <diagonal/>
    </border>
    <border>
      <left style="thin">
        <color indexed="63"/>
      </left>
      <right style="thin">
        <color indexed="22"/>
      </right>
      <top style="hair">
        <color indexed="22"/>
      </top>
      <bottom style="hair">
        <color indexed="22"/>
      </bottom>
      <diagonal/>
    </border>
    <border>
      <left style="thin">
        <color indexed="63"/>
      </left>
      <right style="thin">
        <color indexed="22"/>
      </right>
      <top style="hair">
        <color indexed="22"/>
      </top>
      <bottom style="thin">
        <color indexed="63"/>
      </bottom>
      <diagonal/>
    </border>
    <border>
      <left style="thin">
        <color indexed="63"/>
      </left>
      <right style="thin">
        <color indexed="22"/>
      </right>
      <top style="thin">
        <color indexed="16"/>
      </top>
      <bottom style="thin">
        <color indexed="23"/>
      </bottom>
      <diagonal/>
    </border>
    <border>
      <left style="thin">
        <color indexed="63"/>
      </left>
      <right style="thin">
        <color indexed="22"/>
      </right>
      <top/>
      <bottom style="hair">
        <color indexed="22"/>
      </bottom>
      <diagonal/>
    </border>
    <border>
      <left style="thin">
        <color indexed="22"/>
      </left>
      <right style="thin">
        <color indexed="22"/>
      </right>
      <top/>
      <bottom style="hair">
        <color indexed="22"/>
      </bottom>
      <diagonal/>
    </border>
    <border>
      <left style="thin">
        <color indexed="22"/>
      </left>
      <right style="thin">
        <color indexed="63"/>
      </right>
      <top/>
      <bottom style="hair">
        <color indexed="22"/>
      </bottom>
      <diagonal/>
    </border>
    <border>
      <left style="thin">
        <color indexed="63"/>
      </left>
      <right style="thin">
        <color indexed="22"/>
      </right>
      <top style="thin">
        <color indexed="63"/>
      </top>
      <bottom style="thin">
        <color indexed="23"/>
      </bottom>
      <diagonal/>
    </border>
    <border>
      <left style="thin">
        <color indexed="22"/>
      </left>
      <right style="thin">
        <color indexed="22"/>
      </right>
      <top style="thin">
        <color indexed="63"/>
      </top>
      <bottom style="thin">
        <color indexed="23"/>
      </bottom>
      <diagonal/>
    </border>
    <border>
      <left style="thin">
        <color indexed="22"/>
      </left>
      <right style="thin">
        <color indexed="63"/>
      </right>
      <top style="thin">
        <color indexed="63"/>
      </top>
      <bottom style="thin">
        <color indexed="23"/>
      </bottom>
      <diagonal/>
    </border>
    <border>
      <left style="thin">
        <color indexed="63"/>
      </left>
      <right style="thin">
        <color indexed="22"/>
      </right>
      <top/>
      <bottom style="thin">
        <color indexed="63"/>
      </bottom>
      <diagonal/>
    </border>
    <border>
      <left style="thin">
        <color indexed="63"/>
      </left>
      <right style="thin">
        <color indexed="22"/>
      </right>
      <top style="thin">
        <color indexed="23"/>
      </top>
      <bottom style="thin">
        <color indexed="63"/>
      </bottom>
      <diagonal/>
    </border>
    <border>
      <left style="thin">
        <color indexed="22"/>
      </left>
      <right style="thin">
        <color indexed="63"/>
      </right>
      <top style="thin">
        <color indexed="23"/>
      </top>
      <bottom style="thin">
        <color indexed="63"/>
      </bottom>
      <diagonal/>
    </border>
    <border>
      <left style="thin">
        <color indexed="22"/>
      </left>
      <right style="thin">
        <color indexed="63"/>
      </right>
      <top style="thin">
        <color indexed="16"/>
      </top>
      <bottom style="hair">
        <color indexed="22"/>
      </bottom>
      <diagonal/>
    </border>
    <border>
      <left style="thin">
        <color indexed="64"/>
      </left>
      <right style="thin">
        <color indexed="22"/>
      </right>
      <top style="hair">
        <color indexed="22"/>
      </top>
      <bottom style="hair">
        <color indexed="22"/>
      </bottom>
      <diagonal/>
    </border>
    <border>
      <left style="thin">
        <color indexed="22"/>
      </left>
      <right style="thin">
        <color indexed="64"/>
      </right>
      <top style="hair">
        <color indexed="22"/>
      </top>
      <bottom style="hair">
        <color indexed="22"/>
      </bottom>
      <diagonal/>
    </border>
    <border>
      <left style="thin">
        <color indexed="64"/>
      </left>
      <right style="thin">
        <color indexed="22"/>
      </right>
      <top style="hair">
        <color indexed="22"/>
      </top>
      <bottom style="thin">
        <color indexed="64"/>
      </bottom>
      <diagonal/>
    </border>
    <border>
      <left style="thin">
        <color indexed="22"/>
      </left>
      <right style="thin">
        <color indexed="22"/>
      </right>
      <top style="hair">
        <color indexed="22"/>
      </top>
      <bottom style="thin">
        <color indexed="64"/>
      </bottom>
      <diagonal/>
    </border>
    <border>
      <left style="thin">
        <color indexed="22"/>
      </left>
      <right style="thin">
        <color indexed="64"/>
      </right>
      <top style="hair">
        <color indexed="22"/>
      </top>
      <bottom style="thin">
        <color indexed="64"/>
      </bottom>
      <diagonal/>
    </border>
    <border>
      <left style="thin">
        <color indexed="64"/>
      </left>
      <right style="thin">
        <color indexed="22"/>
      </right>
      <top/>
      <bottom style="hair">
        <color indexed="22"/>
      </bottom>
      <diagonal/>
    </border>
    <border>
      <left style="thin">
        <color indexed="22"/>
      </left>
      <right style="thin">
        <color indexed="64"/>
      </right>
      <top/>
      <bottom style="hair">
        <color indexed="22"/>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23"/>
      </left>
      <right style="thin">
        <color indexed="63"/>
      </right>
      <top style="thin">
        <color indexed="63"/>
      </top>
      <bottom/>
      <diagonal/>
    </border>
    <border>
      <left style="thin">
        <color indexed="22"/>
      </left>
      <right style="thin">
        <color indexed="22"/>
      </right>
      <top style="thin">
        <color indexed="63"/>
      </top>
      <bottom style="thin">
        <color indexed="22"/>
      </bottom>
      <diagonal/>
    </border>
    <border>
      <left style="thin">
        <color indexed="22"/>
      </left>
      <right style="thin">
        <color indexed="63"/>
      </right>
      <top style="thin">
        <color indexed="63"/>
      </top>
      <bottom style="thin">
        <color indexed="22"/>
      </bottom>
      <diagonal/>
    </border>
    <border>
      <left style="thin">
        <color indexed="63"/>
      </left>
      <right style="thin">
        <color indexed="23"/>
      </right>
      <top/>
      <bottom style="thin">
        <color indexed="63"/>
      </bottom>
      <diagonal/>
    </border>
    <border>
      <left style="thin">
        <color indexed="63"/>
      </left>
      <right style="thin">
        <color indexed="23"/>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right/>
      <top/>
      <bottom style="thin">
        <color indexed="63"/>
      </bottom>
      <diagonal/>
    </border>
    <border>
      <left/>
      <right style="thin">
        <color indexed="63"/>
      </right>
      <top/>
      <bottom style="thin">
        <color indexed="63"/>
      </bottom>
      <diagonal/>
    </border>
    <border>
      <left style="thin">
        <color indexed="22"/>
      </left>
      <right style="thin">
        <color indexed="22"/>
      </right>
      <top style="thin">
        <color indexed="22"/>
      </top>
      <bottom style="hair">
        <color indexed="22"/>
      </bottom>
      <diagonal/>
    </border>
    <border>
      <left/>
      <right style="thin">
        <color indexed="22"/>
      </right>
      <top style="thin">
        <color indexed="63"/>
      </top>
      <bottom style="thin">
        <color indexed="22"/>
      </bottom>
      <diagonal/>
    </border>
    <border>
      <left style="thin">
        <color indexed="23"/>
      </left>
      <right style="thin">
        <color indexed="63"/>
      </right>
      <top style="thin">
        <color indexed="63"/>
      </top>
      <bottom style="thin">
        <color indexed="22"/>
      </bottom>
      <diagonal/>
    </border>
    <border>
      <left style="thin">
        <color indexed="23"/>
      </left>
      <right style="thin">
        <color indexed="63"/>
      </right>
      <top style="thin">
        <color indexed="22"/>
      </top>
      <bottom style="thin">
        <color indexed="63"/>
      </bottom>
      <diagonal/>
    </border>
    <border>
      <left style="thin">
        <color indexed="23"/>
      </left>
      <right style="thin">
        <color indexed="63"/>
      </right>
      <top style="thin">
        <color indexed="23"/>
      </top>
      <bottom style="hair">
        <color indexed="22"/>
      </bottom>
      <diagonal/>
    </border>
    <border>
      <left style="thin">
        <color indexed="22"/>
      </left>
      <right style="thin">
        <color indexed="63"/>
      </right>
      <top style="thin">
        <color indexed="22"/>
      </top>
      <bottom style="hair">
        <color indexed="22"/>
      </bottom>
      <diagonal/>
    </border>
    <border>
      <left style="thin">
        <color indexed="23"/>
      </left>
      <right style="thin">
        <color indexed="63"/>
      </right>
      <top/>
      <bottom style="thin">
        <color indexed="63"/>
      </bottom>
      <diagonal/>
    </border>
    <border>
      <left/>
      <right style="thin">
        <color indexed="22"/>
      </right>
      <top/>
      <bottom style="thin">
        <color indexed="63"/>
      </bottom>
      <diagonal/>
    </border>
    <border>
      <left/>
      <right style="thin">
        <color indexed="22"/>
      </right>
      <top style="thin">
        <color indexed="22"/>
      </top>
      <bottom style="thin">
        <color indexed="63"/>
      </bottom>
      <diagonal/>
    </border>
    <border>
      <left style="thin">
        <color indexed="22"/>
      </left>
      <right style="thin">
        <color indexed="22"/>
      </right>
      <top style="thin">
        <color indexed="22"/>
      </top>
      <bottom style="thin">
        <color indexed="63"/>
      </bottom>
      <diagonal/>
    </border>
    <border>
      <left style="thin">
        <color indexed="22"/>
      </left>
      <right style="thin">
        <color indexed="63"/>
      </right>
      <top style="thin">
        <color indexed="22"/>
      </top>
      <bottom style="thin">
        <color indexed="63"/>
      </bottom>
      <diagonal/>
    </border>
    <border>
      <left style="thin">
        <color indexed="23"/>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3"/>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23"/>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3"/>
      </left>
      <right style="thin">
        <color indexed="22"/>
      </right>
      <top style="thin">
        <color indexed="63"/>
      </top>
      <bottom style="thin">
        <color indexed="22"/>
      </bottom>
      <diagonal/>
    </border>
    <border>
      <left style="thin">
        <color indexed="63"/>
      </left>
      <right/>
      <top style="thin">
        <color indexed="22"/>
      </top>
      <bottom style="thin">
        <color indexed="63"/>
      </bottom>
      <diagonal/>
    </border>
    <border>
      <left/>
      <right style="thin">
        <color indexed="63"/>
      </right>
      <top style="thin">
        <color indexed="22"/>
      </top>
      <bottom style="thin">
        <color indexed="63"/>
      </bottom>
      <diagonal/>
    </border>
    <border>
      <left style="thin">
        <color indexed="23"/>
      </left>
      <right style="thin">
        <color indexed="22"/>
      </right>
      <top style="thin">
        <color indexed="23"/>
      </top>
      <bottom style="thin">
        <color indexed="22"/>
      </bottom>
      <diagonal/>
    </border>
    <border>
      <left/>
      <right style="thin">
        <color indexed="22"/>
      </right>
      <top style="thin">
        <color indexed="63"/>
      </top>
      <bottom style="thin">
        <color indexed="63"/>
      </bottom>
      <diagonal/>
    </border>
    <border>
      <left/>
      <right/>
      <top style="thin">
        <color indexed="22"/>
      </top>
      <bottom style="thin">
        <color indexed="63"/>
      </bottom>
      <diagonal/>
    </border>
    <border>
      <left style="thin">
        <color indexed="16"/>
      </left>
      <right style="thin">
        <color indexed="16"/>
      </right>
      <top style="thin">
        <color indexed="63"/>
      </top>
      <bottom style="thin">
        <color indexed="63"/>
      </bottom>
      <diagonal/>
    </border>
    <border>
      <left style="thin">
        <color indexed="16"/>
      </left>
      <right style="thin">
        <color indexed="63"/>
      </right>
      <top style="thin">
        <color indexed="63"/>
      </top>
      <bottom style="thin">
        <color indexed="63"/>
      </bottom>
      <diagonal/>
    </border>
    <border>
      <left style="thin">
        <color indexed="23"/>
      </left>
      <right style="thin">
        <color indexed="22"/>
      </right>
      <top style="thin">
        <color indexed="23"/>
      </top>
      <bottom style="thin">
        <color indexed="23"/>
      </bottom>
      <diagonal/>
    </border>
    <border>
      <left style="thin">
        <color indexed="22"/>
      </left>
      <right style="thin">
        <color indexed="22"/>
      </right>
      <top style="thin">
        <color indexed="23"/>
      </top>
      <bottom style="thin">
        <color indexed="23"/>
      </bottom>
      <diagonal/>
    </border>
    <border>
      <left style="thin">
        <color indexed="22"/>
      </left>
      <right style="thin">
        <color indexed="63"/>
      </right>
      <top style="thin">
        <color indexed="23"/>
      </top>
      <bottom style="thin">
        <color indexed="23"/>
      </bottom>
      <diagonal/>
    </border>
    <border>
      <left style="thin">
        <color indexed="59"/>
      </left>
      <right style="thin">
        <color indexed="23"/>
      </right>
      <top style="thin">
        <color indexed="59"/>
      </top>
      <bottom style="thin">
        <color indexed="59"/>
      </bottom>
      <diagonal/>
    </border>
    <border>
      <left style="thin">
        <color indexed="23"/>
      </left>
      <right style="thin">
        <color indexed="63"/>
      </right>
      <top style="thin">
        <color indexed="59"/>
      </top>
      <bottom style="thin">
        <color indexed="59"/>
      </bottom>
      <diagonal/>
    </border>
    <border>
      <left/>
      <right style="thin">
        <color indexed="22"/>
      </right>
      <top style="thin">
        <color indexed="59"/>
      </top>
      <bottom style="thin">
        <color indexed="59"/>
      </bottom>
      <diagonal/>
    </border>
    <border>
      <left style="thin">
        <color indexed="22"/>
      </left>
      <right style="thin">
        <color indexed="22"/>
      </right>
      <top style="thin">
        <color indexed="59"/>
      </top>
      <bottom style="thin">
        <color indexed="59"/>
      </bottom>
      <diagonal/>
    </border>
    <border>
      <left style="thin">
        <color indexed="22"/>
      </left>
      <right style="thin">
        <color indexed="59"/>
      </right>
      <top style="thin">
        <color indexed="59"/>
      </top>
      <bottom style="thin">
        <color indexed="59"/>
      </bottom>
      <diagonal/>
    </border>
    <border>
      <left style="thin">
        <color indexed="59"/>
      </left>
      <right style="thin">
        <color indexed="23"/>
      </right>
      <top/>
      <bottom/>
      <diagonal/>
    </border>
    <border>
      <left style="thin">
        <color indexed="23"/>
      </left>
      <right style="thin">
        <color indexed="63"/>
      </right>
      <top/>
      <bottom/>
      <diagonal/>
    </border>
    <border>
      <left style="thin">
        <color indexed="22"/>
      </left>
      <right style="thin">
        <color indexed="22"/>
      </right>
      <top/>
      <bottom/>
      <diagonal/>
    </border>
    <border>
      <left style="thin">
        <color indexed="22"/>
      </left>
      <right style="thin">
        <color indexed="59"/>
      </right>
      <top/>
      <bottom/>
      <diagonal/>
    </border>
    <border>
      <left style="thin">
        <color indexed="59"/>
      </left>
      <right style="thin">
        <color indexed="23"/>
      </right>
      <top/>
      <bottom style="thin">
        <color indexed="63"/>
      </bottom>
      <diagonal/>
    </border>
    <border>
      <left style="thin">
        <color indexed="22"/>
      </left>
      <right style="thin">
        <color indexed="59"/>
      </right>
      <top/>
      <bottom style="thin">
        <color indexed="63"/>
      </bottom>
      <diagonal/>
    </border>
    <border>
      <left style="thin">
        <color indexed="59"/>
      </left>
      <right style="thin">
        <color indexed="23"/>
      </right>
      <top style="thin">
        <color indexed="63"/>
      </top>
      <bottom style="thin">
        <color indexed="63"/>
      </bottom>
      <diagonal/>
    </border>
    <border>
      <left style="thin">
        <color indexed="22"/>
      </left>
      <right style="thin">
        <color indexed="59"/>
      </right>
      <top style="thin">
        <color indexed="63"/>
      </top>
      <bottom style="thin">
        <color indexed="63"/>
      </bottom>
      <diagonal/>
    </border>
    <border>
      <left style="thin">
        <color indexed="59"/>
      </left>
      <right style="thin">
        <color indexed="23"/>
      </right>
      <top style="thin">
        <color indexed="63"/>
      </top>
      <bottom style="thin">
        <color indexed="22"/>
      </bottom>
      <diagonal/>
    </border>
    <border>
      <left style="thin">
        <color indexed="22"/>
      </left>
      <right style="thin">
        <color indexed="59"/>
      </right>
      <top style="thin">
        <color indexed="63"/>
      </top>
      <bottom style="thin">
        <color indexed="22"/>
      </bottom>
      <diagonal/>
    </border>
    <border>
      <left style="thin">
        <color indexed="59"/>
      </left>
      <right style="thin">
        <color indexed="23"/>
      </right>
      <top style="thin">
        <color indexed="22"/>
      </top>
      <bottom style="thin">
        <color indexed="63"/>
      </bottom>
      <diagonal/>
    </border>
    <border>
      <left style="thin">
        <color indexed="22"/>
      </left>
      <right style="thin">
        <color indexed="59"/>
      </right>
      <top style="thin">
        <color indexed="22"/>
      </top>
      <bottom style="thin">
        <color indexed="63"/>
      </bottom>
      <diagonal/>
    </border>
    <border>
      <left style="thin">
        <color indexed="59"/>
      </left>
      <right style="thin">
        <color indexed="23"/>
      </right>
      <top/>
      <bottom style="thin">
        <color indexed="22"/>
      </bottom>
      <diagonal/>
    </border>
    <border>
      <left style="thin">
        <color indexed="23"/>
      </left>
      <right style="thin">
        <color indexed="63"/>
      </right>
      <top/>
      <bottom style="thin">
        <color indexed="22"/>
      </bottom>
      <diagonal/>
    </border>
    <border>
      <left style="thin">
        <color indexed="22"/>
      </left>
      <right style="thin">
        <color indexed="59"/>
      </right>
      <top/>
      <bottom style="thin">
        <color indexed="22"/>
      </bottom>
      <diagonal/>
    </border>
    <border>
      <left style="thin">
        <color indexed="59"/>
      </left>
      <right style="thin">
        <color indexed="23"/>
      </right>
      <top style="thin">
        <color indexed="22"/>
      </top>
      <bottom/>
      <diagonal/>
    </border>
    <border>
      <left style="thin">
        <color indexed="23"/>
      </left>
      <right style="thin">
        <color indexed="63"/>
      </right>
      <top style="thin">
        <color indexed="22"/>
      </top>
      <bottom/>
      <diagonal/>
    </border>
    <border>
      <left style="thin">
        <color indexed="22"/>
      </left>
      <right style="thin">
        <color indexed="22"/>
      </right>
      <top style="thin">
        <color indexed="22"/>
      </top>
      <bottom/>
      <diagonal/>
    </border>
    <border>
      <left style="thin">
        <color indexed="22"/>
      </left>
      <right style="thin">
        <color indexed="59"/>
      </right>
      <top style="thin">
        <color indexed="22"/>
      </top>
      <bottom/>
      <diagonal/>
    </border>
    <border>
      <left style="thin">
        <color indexed="59"/>
      </left>
      <right style="thin">
        <color indexed="23"/>
      </right>
      <top style="thin">
        <color indexed="59"/>
      </top>
      <bottom/>
      <diagonal/>
    </border>
    <border>
      <left style="thin">
        <color indexed="23"/>
      </left>
      <right style="thin">
        <color indexed="63"/>
      </right>
      <top style="thin">
        <color indexed="59"/>
      </top>
      <bottom/>
      <diagonal/>
    </border>
    <border>
      <left/>
      <right style="thin">
        <color indexed="22"/>
      </right>
      <top style="thin">
        <color indexed="59"/>
      </top>
      <bottom/>
      <diagonal/>
    </border>
    <border>
      <left style="thin">
        <color indexed="22"/>
      </left>
      <right style="thin">
        <color indexed="22"/>
      </right>
      <top style="thin">
        <color indexed="59"/>
      </top>
      <bottom/>
      <diagonal/>
    </border>
    <border>
      <left style="thin">
        <color indexed="22"/>
      </left>
      <right style="thin">
        <color indexed="59"/>
      </right>
      <top style="thin">
        <color indexed="59"/>
      </top>
      <bottom/>
      <diagonal/>
    </border>
    <border>
      <left style="thin">
        <color indexed="23"/>
      </left>
      <right style="thin">
        <color indexed="63"/>
      </right>
      <top style="medium">
        <color indexed="59"/>
      </top>
      <bottom style="medium">
        <color indexed="59"/>
      </bottom>
      <diagonal/>
    </border>
    <border>
      <left/>
      <right style="thin">
        <color indexed="22"/>
      </right>
      <top style="medium">
        <color indexed="59"/>
      </top>
      <bottom style="medium">
        <color indexed="59"/>
      </bottom>
      <diagonal/>
    </border>
    <border>
      <left style="thin">
        <color indexed="22"/>
      </left>
      <right style="thin">
        <color indexed="22"/>
      </right>
      <top style="medium">
        <color indexed="59"/>
      </top>
      <bottom style="medium">
        <color indexed="59"/>
      </bottom>
      <diagonal/>
    </border>
    <border>
      <left style="thin">
        <color indexed="22"/>
      </left>
      <right style="medium">
        <color indexed="59"/>
      </right>
      <top style="medium">
        <color indexed="59"/>
      </top>
      <bottom style="medium">
        <color indexed="59"/>
      </bottom>
      <diagonal/>
    </border>
    <border>
      <left/>
      <right/>
      <top/>
      <bottom style="thin">
        <color indexed="10"/>
      </bottom>
      <diagonal/>
    </border>
    <border>
      <left/>
      <right/>
      <top style="thin">
        <color indexed="22"/>
      </top>
      <bottom style="thin">
        <color indexed="64"/>
      </bottom>
      <diagonal/>
    </border>
    <border>
      <left style="thick">
        <color indexed="17"/>
      </left>
      <right style="thick">
        <color indexed="17"/>
      </right>
      <top style="thick">
        <color indexed="17"/>
      </top>
      <bottom style="thick">
        <color indexed="17"/>
      </bottom>
      <diagonal/>
    </border>
    <border>
      <left style="thick">
        <color indexed="53"/>
      </left>
      <right style="thick">
        <color indexed="53"/>
      </right>
      <top style="thick">
        <color indexed="53"/>
      </top>
      <bottom style="thick">
        <color indexed="53"/>
      </bottom>
      <diagonal/>
    </border>
    <border>
      <left style="medium">
        <color indexed="16"/>
      </left>
      <right/>
      <top style="medium">
        <color indexed="16"/>
      </top>
      <bottom style="medium">
        <color indexed="16"/>
      </bottom>
      <diagonal/>
    </border>
    <border>
      <left style="thin">
        <color indexed="60"/>
      </left>
      <right/>
      <top style="thin">
        <color indexed="60"/>
      </top>
      <bottom style="thin">
        <color indexed="60"/>
      </bottom>
      <diagonal/>
    </border>
    <border>
      <left/>
      <right/>
      <top style="thin">
        <color indexed="60"/>
      </top>
      <bottom style="thin">
        <color indexed="60"/>
      </bottom>
      <diagonal/>
    </border>
    <border>
      <left/>
      <right style="thin">
        <color indexed="60"/>
      </right>
      <top style="thin">
        <color indexed="60"/>
      </top>
      <bottom style="thin">
        <color indexed="60"/>
      </bottom>
      <diagonal/>
    </border>
    <border>
      <left style="medium">
        <color indexed="59"/>
      </left>
      <right style="thin">
        <color indexed="23"/>
      </right>
      <top style="medium">
        <color indexed="59"/>
      </top>
      <bottom style="medium">
        <color indexed="59"/>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style="thin">
        <color indexed="23"/>
      </right>
      <top/>
      <bottom style="thin">
        <color indexed="23"/>
      </bottom>
      <diagonal/>
    </border>
    <border>
      <left/>
      <right style="thin">
        <color indexed="55"/>
      </right>
      <top style="thin">
        <color indexed="55"/>
      </top>
      <bottom/>
      <diagonal/>
    </border>
    <border>
      <left style="medium">
        <color indexed="19"/>
      </left>
      <right/>
      <top style="medium">
        <color indexed="19"/>
      </top>
      <bottom style="medium">
        <color indexed="19"/>
      </bottom>
      <diagonal/>
    </border>
    <border>
      <left/>
      <right style="medium">
        <color indexed="19"/>
      </right>
      <top style="medium">
        <color indexed="19"/>
      </top>
      <bottom style="medium">
        <color indexed="19"/>
      </bottom>
      <diagonal/>
    </border>
    <border>
      <left style="thin">
        <color indexed="19"/>
      </left>
      <right/>
      <top style="thin">
        <color indexed="19"/>
      </top>
      <bottom style="thin">
        <color indexed="19"/>
      </bottom>
      <diagonal/>
    </border>
    <border>
      <left/>
      <right/>
      <top style="thin">
        <color indexed="19"/>
      </top>
      <bottom style="thin">
        <color indexed="19"/>
      </bottom>
      <diagonal/>
    </border>
    <border>
      <left/>
      <right style="thin">
        <color indexed="19"/>
      </right>
      <top style="thin">
        <color indexed="19"/>
      </top>
      <bottom style="thin">
        <color indexed="19"/>
      </bottom>
      <diagonal/>
    </border>
    <border>
      <left/>
      <right/>
      <top style="medium">
        <color indexed="19"/>
      </top>
      <bottom style="medium">
        <color indexed="19"/>
      </bottom>
      <diagonal/>
    </border>
    <border>
      <left style="thin">
        <color indexed="22"/>
      </left>
      <right style="thin">
        <color indexed="9"/>
      </right>
      <top/>
      <bottom style="thin">
        <color indexed="55"/>
      </bottom>
      <diagonal/>
    </border>
    <border>
      <left style="thin">
        <color indexed="9"/>
      </left>
      <right style="thin">
        <color indexed="22"/>
      </right>
      <top/>
      <bottom style="thin">
        <color indexed="55"/>
      </bottom>
      <diagonal/>
    </border>
    <border>
      <left style="thick">
        <color indexed="60"/>
      </left>
      <right style="thick">
        <color indexed="60"/>
      </right>
      <top style="thick">
        <color indexed="60"/>
      </top>
      <bottom style="thick">
        <color indexed="60"/>
      </bottom>
      <diagonal/>
    </border>
    <border>
      <left style="medium">
        <color indexed="19"/>
      </left>
      <right/>
      <top style="medium">
        <color indexed="19"/>
      </top>
      <bottom/>
      <diagonal/>
    </border>
    <border>
      <left/>
      <right/>
      <top style="medium">
        <color indexed="19"/>
      </top>
      <bottom/>
      <diagonal/>
    </border>
    <border>
      <left/>
      <right style="medium">
        <color indexed="19"/>
      </right>
      <top style="medium">
        <color indexed="19"/>
      </top>
      <bottom/>
      <diagonal/>
    </border>
    <border>
      <left style="medium">
        <color indexed="19"/>
      </left>
      <right/>
      <top/>
      <bottom/>
      <diagonal/>
    </border>
    <border>
      <left/>
      <right style="medium">
        <color indexed="19"/>
      </right>
      <top/>
      <bottom/>
      <diagonal/>
    </border>
    <border>
      <left style="medium">
        <color indexed="19"/>
      </left>
      <right/>
      <top/>
      <bottom style="medium">
        <color indexed="19"/>
      </bottom>
      <diagonal/>
    </border>
    <border>
      <left/>
      <right/>
      <top/>
      <bottom style="medium">
        <color indexed="19"/>
      </bottom>
      <diagonal/>
    </border>
    <border>
      <left/>
      <right style="medium">
        <color indexed="19"/>
      </right>
      <top/>
      <bottom style="medium">
        <color indexed="19"/>
      </bottom>
      <diagonal/>
    </border>
    <border>
      <left/>
      <right style="thin">
        <color indexed="63"/>
      </right>
      <top style="thin">
        <color indexed="63"/>
      </top>
      <bottom style="thin">
        <color indexed="63"/>
      </bottom>
      <diagonal/>
    </border>
    <border>
      <left style="thick">
        <color indexed="10"/>
      </left>
      <right style="thick">
        <color indexed="10"/>
      </right>
      <top style="thick">
        <color indexed="10"/>
      </top>
      <bottom style="thick">
        <color indexed="10"/>
      </bottom>
      <diagonal/>
    </border>
    <border>
      <left style="thin">
        <color indexed="23"/>
      </left>
      <right style="thin">
        <color indexed="55"/>
      </right>
      <top style="medium">
        <color indexed="16"/>
      </top>
      <bottom style="thin">
        <color indexed="55"/>
      </bottom>
      <diagonal/>
    </border>
    <border>
      <left style="thin">
        <color indexed="55"/>
      </left>
      <right style="thin">
        <color indexed="55"/>
      </right>
      <top style="medium">
        <color indexed="16"/>
      </top>
      <bottom style="thin">
        <color indexed="55"/>
      </bottom>
      <diagonal/>
    </border>
    <border>
      <left style="thin">
        <color indexed="55"/>
      </left>
      <right style="medium">
        <color indexed="16"/>
      </right>
      <top style="medium">
        <color indexed="16"/>
      </top>
      <bottom style="thin">
        <color indexed="55"/>
      </bottom>
      <diagonal/>
    </border>
    <border>
      <left style="thin">
        <color indexed="23"/>
      </left>
      <right style="thin">
        <color indexed="55"/>
      </right>
      <top style="thin">
        <color indexed="55"/>
      </top>
      <bottom style="medium">
        <color indexed="16"/>
      </bottom>
      <diagonal/>
    </border>
    <border>
      <left style="thin">
        <color indexed="55"/>
      </left>
      <right style="thin">
        <color indexed="55"/>
      </right>
      <top style="thin">
        <color indexed="55"/>
      </top>
      <bottom style="medium">
        <color indexed="16"/>
      </bottom>
      <diagonal/>
    </border>
    <border>
      <left style="thin">
        <color indexed="55"/>
      </left>
      <right style="medium">
        <color indexed="16"/>
      </right>
      <top style="thin">
        <color indexed="55"/>
      </top>
      <bottom style="medium">
        <color indexed="16"/>
      </bottom>
      <diagonal/>
    </border>
    <border>
      <left style="thin">
        <color indexed="23"/>
      </left>
      <right style="thin">
        <color indexed="22"/>
      </right>
      <top style="thin">
        <color indexed="63"/>
      </top>
      <bottom style="thin">
        <color indexed="22"/>
      </bottom>
      <diagonal/>
    </border>
    <border>
      <left style="thin">
        <color indexed="23"/>
      </left>
      <right style="thin">
        <color indexed="22"/>
      </right>
      <top style="thin">
        <color indexed="22"/>
      </top>
      <bottom/>
      <diagonal/>
    </border>
    <border>
      <left style="thin">
        <color indexed="22"/>
      </left>
      <right style="thin">
        <color indexed="63"/>
      </right>
      <top style="thin">
        <color indexed="22"/>
      </top>
      <bottom/>
      <diagonal/>
    </border>
    <border>
      <left style="thin">
        <color indexed="23"/>
      </left>
      <right style="thin">
        <color indexed="22"/>
      </right>
      <top/>
      <bottom/>
      <diagonal/>
    </border>
    <border>
      <left style="thin">
        <color indexed="22"/>
      </left>
      <right style="thin">
        <color indexed="63"/>
      </right>
      <top/>
      <bottom/>
      <diagonal/>
    </border>
    <border>
      <left/>
      <right/>
      <top style="thin">
        <color indexed="64"/>
      </top>
      <bottom style="thin">
        <color indexed="22"/>
      </bottom>
      <diagonal/>
    </border>
    <border>
      <left/>
      <right/>
      <top style="thin">
        <color indexed="22"/>
      </top>
      <bottom style="thin">
        <color indexed="22"/>
      </bottom>
      <diagonal/>
    </border>
    <border>
      <left style="thin">
        <color indexed="22"/>
      </left>
      <right style="thin">
        <color indexed="55"/>
      </right>
      <top/>
      <bottom/>
      <diagonal/>
    </border>
    <border>
      <left style="thin">
        <color indexed="63"/>
      </left>
      <right style="medium">
        <color indexed="16"/>
      </right>
      <top style="medium">
        <color indexed="16"/>
      </top>
      <bottom style="medium">
        <color indexed="16"/>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bottom style="thin">
        <color indexed="16"/>
      </bottom>
      <diagonal/>
    </border>
    <border>
      <left style="thin">
        <color indexed="63"/>
      </left>
      <right style="thin">
        <color indexed="22"/>
      </right>
      <top style="thin">
        <color indexed="16"/>
      </top>
      <bottom style="hair">
        <color indexed="22"/>
      </bottom>
      <diagonal/>
    </border>
    <border>
      <left style="thin">
        <color indexed="19"/>
      </left>
      <right/>
      <top style="medium">
        <color indexed="19"/>
      </top>
      <bottom/>
      <diagonal/>
    </border>
    <border>
      <left/>
      <right style="thin">
        <color indexed="19"/>
      </right>
      <top style="medium">
        <color indexed="19"/>
      </top>
      <bottom/>
      <diagonal/>
    </border>
    <border>
      <left style="thin">
        <color indexed="19"/>
      </left>
      <right/>
      <top/>
      <bottom/>
      <diagonal/>
    </border>
    <border>
      <left/>
      <right style="thin">
        <color indexed="19"/>
      </right>
      <top/>
      <bottom/>
      <diagonal/>
    </border>
    <border>
      <left style="thin">
        <color indexed="19"/>
      </left>
      <right/>
      <top/>
      <bottom style="thin">
        <color indexed="19"/>
      </bottom>
      <diagonal/>
    </border>
    <border>
      <left/>
      <right/>
      <top/>
      <bottom style="thin">
        <color indexed="19"/>
      </bottom>
      <diagonal/>
    </border>
    <border>
      <left/>
      <right style="thin">
        <color indexed="19"/>
      </right>
      <top/>
      <bottom style="thin">
        <color indexed="19"/>
      </bottom>
      <diagonal/>
    </border>
    <border>
      <left style="thin">
        <color indexed="19"/>
      </left>
      <right/>
      <top/>
      <bottom style="medium">
        <color indexed="19"/>
      </bottom>
      <diagonal/>
    </border>
    <border>
      <left/>
      <right style="thin">
        <color indexed="19"/>
      </right>
      <top/>
      <bottom style="medium">
        <color indexed="19"/>
      </bottom>
      <diagonal/>
    </border>
    <border>
      <left style="thick">
        <color indexed="19"/>
      </left>
      <right/>
      <top style="thick">
        <color indexed="19"/>
      </top>
      <bottom style="thin">
        <color indexed="9"/>
      </bottom>
      <diagonal/>
    </border>
    <border>
      <left/>
      <right/>
      <top style="thick">
        <color indexed="19"/>
      </top>
      <bottom style="thin">
        <color indexed="9"/>
      </bottom>
      <diagonal/>
    </border>
    <border>
      <left/>
      <right style="thick">
        <color indexed="19"/>
      </right>
      <top style="thick">
        <color indexed="19"/>
      </top>
      <bottom style="thin">
        <color indexed="9"/>
      </bottom>
      <diagonal/>
    </border>
    <border>
      <left style="thick">
        <color indexed="19"/>
      </left>
      <right/>
      <top style="thin">
        <color indexed="9"/>
      </top>
      <bottom style="thin">
        <color indexed="9"/>
      </bottom>
      <diagonal/>
    </border>
    <border>
      <left/>
      <right/>
      <top style="thin">
        <color indexed="9"/>
      </top>
      <bottom style="thin">
        <color indexed="9"/>
      </bottom>
      <diagonal/>
    </border>
    <border>
      <left/>
      <right style="thick">
        <color indexed="19"/>
      </right>
      <top style="thin">
        <color indexed="9"/>
      </top>
      <bottom style="thin">
        <color indexed="9"/>
      </bottom>
      <diagonal/>
    </border>
    <border>
      <left style="thick">
        <color indexed="19"/>
      </left>
      <right/>
      <top style="thin">
        <color indexed="9"/>
      </top>
      <bottom style="thick">
        <color indexed="19"/>
      </bottom>
      <diagonal/>
    </border>
    <border>
      <left/>
      <right/>
      <top style="thin">
        <color indexed="9"/>
      </top>
      <bottom style="thick">
        <color indexed="19"/>
      </bottom>
      <diagonal/>
    </border>
    <border>
      <left/>
      <right style="thick">
        <color indexed="19"/>
      </right>
      <top style="thin">
        <color indexed="9"/>
      </top>
      <bottom style="thick">
        <color indexed="19"/>
      </bottom>
      <diagonal/>
    </border>
    <border>
      <left style="thin">
        <color indexed="23"/>
      </left>
      <right/>
      <top style="thin">
        <color indexed="22"/>
      </top>
      <bottom/>
      <diagonal/>
    </border>
    <border>
      <left/>
      <right style="thin">
        <color indexed="23"/>
      </right>
      <top style="thin">
        <color indexed="22"/>
      </top>
      <bottom/>
      <diagonal/>
    </border>
    <border>
      <left style="thin">
        <color indexed="23"/>
      </left>
      <right/>
      <top/>
      <bottom style="thin">
        <color indexed="22"/>
      </bottom>
      <diagonal/>
    </border>
    <border>
      <left/>
      <right style="thin">
        <color indexed="23"/>
      </right>
      <top/>
      <bottom style="thin">
        <color indexed="22"/>
      </bottom>
      <diagonal/>
    </border>
    <border>
      <left style="thin">
        <color indexed="23"/>
      </left>
      <right/>
      <top style="thin">
        <color indexed="23"/>
      </top>
      <bottom style="thin">
        <color indexed="22"/>
      </bottom>
      <diagonal/>
    </border>
    <border>
      <left/>
      <right style="thin">
        <color indexed="23"/>
      </right>
      <top style="thin">
        <color indexed="23"/>
      </top>
      <bottom style="thin">
        <color indexed="22"/>
      </bottom>
      <diagonal/>
    </border>
    <border>
      <left/>
      <right style="medium">
        <color indexed="16"/>
      </right>
      <top style="medium">
        <color indexed="16"/>
      </top>
      <bottom style="medium">
        <color indexed="16"/>
      </bottom>
      <diagonal/>
    </border>
    <border>
      <left style="thin">
        <color indexed="63"/>
      </left>
      <right style="thin">
        <color indexed="22"/>
      </right>
      <top/>
      <bottom style="thin">
        <color indexed="22"/>
      </bottom>
      <diagonal/>
    </border>
    <border>
      <left style="thin">
        <color indexed="22"/>
      </left>
      <right style="thin">
        <color indexed="63"/>
      </right>
      <top/>
      <bottom style="thin">
        <color indexed="22"/>
      </bottom>
      <diagonal/>
    </border>
    <border>
      <left/>
      <right/>
      <top style="thin">
        <color indexed="63"/>
      </top>
      <bottom style="thin">
        <color indexed="63"/>
      </bottom>
      <diagonal/>
    </border>
    <border>
      <left style="thin">
        <color indexed="64"/>
      </left>
      <right style="thin">
        <color indexed="22"/>
      </right>
      <top style="thin">
        <color indexed="22"/>
      </top>
      <bottom style="thin">
        <color indexed="64"/>
      </bottom>
      <diagonal/>
    </border>
    <border>
      <left/>
      <right style="thin">
        <color indexed="63"/>
      </right>
      <top style="thin">
        <color indexed="23"/>
      </top>
      <bottom style="thin">
        <color indexed="23"/>
      </bottom>
      <diagonal/>
    </border>
    <border>
      <left/>
      <right style="thin">
        <color indexed="16"/>
      </right>
      <top style="medium">
        <color indexed="16"/>
      </top>
      <bottom style="medium">
        <color indexed="16"/>
      </bottom>
      <diagonal/>
    </border>
    <border>
      <left style="thin">
        <color indexed="16"/>
      </left>
      <right/>
      <top style="thin">
        <color indexed="16"/>
      </top>
      <bottom style="thin">
        <color indexed="16"/>
      </bottom>
      <diagonal/>
    </border>
    <border>
      <left/>
      <right style="thin">
        <color indexed="16"/>
      </right>
      <top style="thin">
        <color indexed="16"/>
      </top>
      <bottom style="thin">
        <color indexed="16"/>
      </bottom>
      <diagonal/>
    </border>
    <border>
      <left style="thin">
        <color indexed="16"/>
      </left>
      <right style="thin">
        <color indexed="22"/>
      </right>
      <top style="thin">
        <color indexed="16"/>
      </top>
      <bottom style="thin">
        <color indexed="16"/>
      </bottom>
      <diagonal/>
    </border>
    <border>
      <left style="thin">
        <color indexed="22"/>
      </left>
      <right style="thin">
        <color indexed="22"/>
      </right>
      <top style="thin">
        <color indexed="16"/>
      </top>
      <bottom style="thin">
        <color indexed="16"/>
      </bottom>
      <diagonal/>
    </border>
    <border>
      <left style="thin">
        <color indexed="22"/>
      </left>
      <right style="thin">
        <color indexed="16"/>
      </right>
      <top style="thin">
        <color indexed="16"/>
      </top>
      <bottom style="thin">
        <color indexed="16"/>
      </bottom>
      <diagonal/>
    </border>
    <border>
      <left/>
      <right/>
      <top style="thin">
        <color indexed="16"/>
      </top>
      <bottom style="thin">
        <color indexed="16"/>
      </bottom>
      <diagonal/>
    </border>
    <border>
      <left/>
      <right/>
      <top/>
      <bottom style="thin">
        <color indexed="59"/>
      </bottom>
      <diagonal/>
    </border>
    <border>
      <left/>
      <right style="thin">
        <color indexed="23"/>
      </right>
      <top/>
      <bottom style="thin">
        <color indexed="63"/>
      </bottom>
      <diagonal/>
    </border>
    <border>
      <left style="thin">
        <color indexed="63"/>
      </left>
      <right/>
      <top style="thin">
        <color indexed="22"/>
      </top>
      <bottom/>
      <diagonal/>
    </border>
    <border>
      <left style="thin">
        <color indexed="63"/>
      </left>
      <right/>
      <top style="thin">
        <color indexed="63"/>
      </top>
      <bottom style="thin">
        <color indexed="22"/>
      </bottom>
      <diagonal/>
    </border>
    <border>
      <left/>
      <right style="thin">
        <color indexed="23"/>
      </right>
      <top style="thin">
        <color indexed="63"/>
      </top>
      <bottom style="thin">
        <color indexed="22"/>
      </bottom>
      <diagonal/>
    </border>
    <border>
      <left style="thin">
        <color indexed="63"/>
      </left>
      <right/>
      <top style="thin">
        <color indexed="23"/>
      </top>
      <bottom style="thin">
        <color indexed="23"/>
      </bottom>
      <diagonal/>
    </border>
    <border>
      <left style="thin">
        <color indexed="63"/>
      </left>
      <right style="thin">
        <color indexed="16"/>
      </right>
      <top style="thin">
        <color indexed="63"/>
      </top>
      <bottom style="thin">
        <color indexed="63"/>
      </bottom>
      <diagonal/>
    </border>
    <border>
      <left style="medium">
        <color indexed="23"/>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16"/>
      </left>
      <right/>
      <top style="medium">
        <color indexed="16"/>
      </top>
      <bottom style="thin">
        <color indexed="9"/>
      </bottom>
      <diagonal/>
    </border>
    <border>
      <left/>
      <right/>
      <top style="medium">
        <color indexed="16"/>
      </top>
      <bottom style="thin">
        <color indexed="9"/>
      </bottom>
      <diagonal/>
    </border>
    <border>
      <left style="medium">
        <color indexed="16"/>
      </left>
      <right/>
      <top style="thin">
        <color indexed="9"/>
      </top>
      <bottom style="medium">
        <color indexed="16"/>
      </bottom>
      <diagonal/>
    </border>
    <border>
      <left/>
      <right/>
      <top style="thin">
        <color indexed="9"/>
      </top>
      <bottom style="medium">
        <color indexed="16"/>
      </bottom>
      <diagonal/>
    </border>
  </borders>
  <cellStyleXfs count="4">
    <xf numFmtId="0" fontId="0" fillId="0" borderId="0"/>
    <xf numFmtId="0" fontId="7"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cellStyleXfs>
  <cellXfs count="1540">
    <xf numFmtId="0" fontId="0" fillId="0" borderId="0" xfId="0"/>
    <xf numFmtId="0" fontId="0" fillId="0" borderId="0" xfId="0" applyBorder="1"/>
    <xf numFmtId="0" fontId="0" fillId="0" borderId="4" xfId="0" applyBorder="1"/>
    <xf numFmtId="0" fontId="16" fillId="0" borderId="0" xfId="0" applyFont="1"/>
    <xf numFmtId="0" fontId="10" fillId="0" borderId="0" xfId="0" applyFont="1"/>
    <xf numFmtId="0" fontId="8" fillId="0" borderId="0" xfId="0" applyFont="1"/>
    <xf numFmtId="0" fontId="9" fillId="0" borderId="0" xfId="0" applyFont="1"/>
    <xf numFmtId="0" fontId="2" fillId="0" borderId="0" xfId="0" applyFont="1" applyFill="1" applyBorder="1"/>
    <xf numFmtId="165" fontId="2" fillId="0" borderId="0" xfId="0" applyNumberFormat="1" applyFont="1" applyFill="1" applyBorder="1"/>
    <xf numFmtId="40" fontId="2" fillId="0" borderId="0" xfId="0" applyNumberFormat="1" applyFont="1" applyFill="1" applyBorder="1"/>
    <xf numFmtId="1" fontId="2" fillId="0" borderId="0" xfId="0" applyNumberFormat="1" applyFont="1" applyFill="1" applyBorder="1"/>
    <xf numFmtId="0" fontId="15" fillId="0" borderId="0" xfId="0" applyFont="1" applyFill="1"/>
    <xf numFmtId="0" fontId="22" fillId="0" borderId="0" xfId="0" applyFont="1" applyFill="1"/>
    <xf numFmtId="0" fontId="0" fillId="0" borderId="5" xfId="0" applyBorder="1"/>
    <xf numFmtId="0" fontId="0" fillId="0" borderId="6" xfId="0" applyBorder="1"/>
    <xf numFmtId="0" fontId="0" fillId="0" borderId="0" xfId="0" applyFill="1"/>
    <xf numFmtId="0" fontId="14" fillId="0" borderId="0" xfId="0" applyFont="1"/>
    <xf numFmtId="40" fontId="21" fillId="0" borderId="0" xfId="0" applyNumberFormat="1" applyFont="1" applyFill="1" applyBorder="1"/>
    <xf numFmtId="1" fontId="2" fillId="0" borderId="0" xfId="0" applyNumberFormat="1" applyFont="1" applyFill="1" applyBorder="1" applyAlignment="1">
      <alignment horizontal="center"/>
    </xf>
    <xf numFmtId="165" fontId="6" fillId="0" borderId="0" xfId="0" applyNumberFormat="1" applyFont="1" applyFill="1" applyBorder="1" applyAlignment="1">
      <alignment horizontal="left"/>
    </xf>
    <xf numFmtId="0" fontId="2" fillId="0" borderId="0" xfId="0" applyFont="1" applyFill="1" applyBorder="1" applyAlignment="1"/>
    <xf numFmtId="165" fontId="2" fillId="0" borderId="0" xfId="0" applyNumberFormat="1" applyFont="1" applyFill="1" applyBorder="1" applyAlignment="1"/>
    <xf numFmtId="40" fontId="2" fillId="0" borderId="0" xfId="0" applyNumberFormat="1" applyFont="1" applyFill="1" applyBorder="1" applyAlignment="1"/>
    <xf numFmtId="0" fontId="2" fillId="0" borderId="0" xfId="0" applyNumberFormat="1" applyFont="1" applyFill="1" applyAlignment="1" applyProtection="1"/>
    <xf numFmtId="0" fontId="2" fillId="0" borderId="0" xfId="0" applyNumberFormat="1" applyFont="1" applyFill="1" applyBorder="1" applyAlignment="1"/>
    <xf numFmtId="0" fontId="2" fillId="0" borderId="0" xfId="0" applyNumberFormat="1" applyFont="1" applyFill="1" applyAlignment="1"/>
    <xf numFmtId="0" fontId="2" fillId="0" borderId="7" xfId="0" applyNumberFormat="1" applyFont="1" applyFill="1" applyBorder="1" applyAlignment="1"/>
    <xf numFmtId="3" fontId="2" fillId="0" borderId="0" xfId="0" applyNumberFormat="1" applyFont="1"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16" fillId="0" borderId="0" xfId="0" applyFont="1" applyBorder="1"/>
    <xf numFmtId="0" fontId="0" fillId="0" borderId="0" xfId="0" applyAlignment="1">
      <alignment horizontal="center"/>
    </xf>
    <xf numFmtId="0" fontId="15" fillId="2" borderId="0" xfId="0" applyFont="1" applyFill="1"/>
    <xf numFmtId="0" fontId="15" fillId="2" borderId="0" xfId="0" applyFont="1" applyFill="1" applyAlignment="1" applyProtection="1">
      <alignment vertical="center"/>
    </xf>
    <xf numFmtId="0" fontId="0" fillId="2" borderId="13" xfId="0" applyFill="1" applyBorder="1"/>
    <xf numFmtId="0" fontId="2" fillId="0" borderId="0" xfId="0" applyFont="1" applyFill="1"/>
    <xf numFmtId="0" fontId="1" fillId="0" borderId="0" xfId="0" applyFont="1" applyAlignment="1">
      <alignment horizontal="center"/>
    </xf>
    <xf numFmtId="40" fontId="1" fillId="0" borderId="0" xfId="0" applyNumberFormat="1" applyFont="1" applyFill="1" applyBorder="1" applyAlignment="1">
      <alignment horizontal="center"/>
    </xf>
    <xf numFmtId="0" fontId="1" fillId="0" borderId="0" xfId="0" applyFont="1" applyFill="1" applyBorder="1" applyAlignment="1">
      <alignment horizontal="center"/>
    </xf>
    <xf numFmtId="0" fontId="16" fillId="0" borderId="0" xfId="0" applyFont="1" applyAlignment="1">
      <alignment horizontal="center"/>
    </xf>
    <xf numFmtId="1" fontId="0" fillId="0" borderId="0" xfId="0" applyNumberFormat="1" applyAlignment="1">
      <alignment horizontal="center"/>
    </xf>
    <xf numFmtId="0" fontId="3" fillId="0" borderId="0" xfId="0" applyFont="1" applyFill="1" applyBorder="1"/>
    <xf numFmtId="0" fontId="2" fillId="0" borderId="0" xfId="0" applyFont="1"/>
    <xf numFmtId="0" fontId="2" fillId="0" borderId="0" xfId="0" applyFont="1" applyProtection="1"/>
    <xf numFmtId="0" fontId="0" fillId="0" borderId="14" xfId="0" applyBorder="1"/>
    <xf numFmtId="0" fontId="0" fillId="0" borderId="15" xfId="0" applyBorder="1"/>
    <xf numFmtId="0" fontId="40" fillId="3" borderId="0" xfId="0" applyFont="1" applyFill="1"/>
    <xf numFmtId="0" fontId="40" fillId="0" borderId="0" xfId="0" applyFont="1" applyFill="1"/>
    <xf numFmtId="0" fontId="0" fillId="0" borderId="0" xfId="0" applyProtection="1">
      <protection locked="0"/>
    </xf>
    <xf numFmtId="0" fontId="1" fillId="0" borderId="0" xfId="0" applyFont="1"/>
    <xf numFmtId="0" fontId="0" fillId="0" borderId="0" xfId="0" applyFill="1" applyAlignment="1">
      <alignment vertical="center"/>
    </xf>
    <xf numFmtId="0" fontId="0" fillId="0" borderId="0" xfId="0" applyFill="1" applyAlignment="1">
      <alignment horizontal="right"/>
    </xf>
    <xf numFmtId="0" fontId="8" fillId="0" borderId="0" xfId="0" applyFont="1" applyAlignment="1">
      <alignment horizontal="right"/>
    </xf>
    <xf numFmtId="0" fontId="0" fillId="0" borderId="0" xfId="0" applyFill="1" applyProtection="1">
      <protection locked="0"/>
    </xf>
    <xf numFmtId="0" fontId="15" fillId="0" borderId="0" xfId="0" applyFont="1" applyFill="1" applyProtection="1">
      <protection locked="0"/>
    </xf>
    <xf numFmtId="0" fontId="10" fillId="0" borderId="0" xfId="0" applyFont="1" applyFill="1"/>
    <xf numFmtId="3" fontId="2" fillId="0" borderId="7" xfId="0" applyNumberFormat="1" applyFont="1" applyFill="1" applyBorder="1" applyAlignment="1"/>
    <xf numFmtId="3" fontId="2" fillId="0" borderId="16" xfId="0" applyNumberFormat="1" applyFont="1" applyFill="1" applyBorder="1" applyAlignment="1"/>
    <xf numFmtId="3" fontId="2" fillId="0" borderId="9" xfId="0" applyNumberFormat="1" applyFont="1" applyFill="1" applyBorder="1" applyAlignment="1"/>
    <xf numFmtId="3" fontId="2" fillId="0" borderId="10" xfId="0" applyNumberFormat="1" applyFont="1" applyFill="1" applyBorder="1" applyAlignment="1"/>
    <xf numFmtId="3" fontId="2" fillId="0" borderId="17" xfId="0" applyNumberFormat="1" applyFont="1" applyFill="1" applyBorder="1" applyAlignment="1"/>
    <xf numFmtId="3" fontId="2" fillId="0" borderId="8" xfId="0" applyNumberFormat="1" applyFont="1" applyFill="1" applyBorder="1" applyAlignment="1"/>
    <xf numFmtId="3" fontId="2" fillId="0" borderId="4" xfId="0" applyNumberFormat="1" applyFont="1" applyFill="1" applyBorder="1" applyAlignment="1"/>
    <xf numFmtId="3" fontId="2" fillId="0" borderId="18" xfId="0" applyNumberFormat="1" applyFont="1" applyFill="1" applyBorder="1" applyAlignment="1"/>
    <xf numFmtId="3" fontId="2" fillId="0" borderId="0" xfId="0" applyNumberFormat="1" applyFont="1" applyFill="1" applyBorder="1" applyAlignment="1">
      <alignment horizontal="right"/>
    </xf>
    <xf numFmtId="166" fontId="2" fillId="0" borderId="0" xfId="0" applyNumberFormat="1" applyFont="1" applyFill="1" applyBorder="1" applyAlignment="1"/>
    <xf numFmtId="3" fontId="2" fillId="0" borderId="5" xfId="0" applyNumberFormat="1" applyFont="1" applyFill="1" applyBorder="1" applyAlignment="1"/>
    <xf numFmtId="3" fontId="2" fillId="0" borderId="6" xfId="0" applyNumberFormat="1" applyFont="1" applyFill="1" applyBorder="1" applyAlignment="1"/>
    <xf numFmtId="3" fontId="2" fillId="0" borderId="12" xfId="0" applyNumberFormat="1" applyFont="1" applyFill="1" applyBorder="1" applyAlignment="1"/>
    <xf numFmtId="3" fontId="2" fillId="0" borderId="11" xfId="0" applyNumberFormat="1" applyFont="1" applyFill="1" applyBorder="1" applyAlignment="1"/>
    <xf numFmtId="3" fontId="2" fillId="0" borderId="14" xfId="0" applyNumberFormat="1" applyFont="1" applyFill="1" applyBorder="1" applyAlignment="1"/>
    <xf numFmtId="3" fontId="2" fillId="0" borderId="15" xfId="0" applyNumberFormat="1" applyFont="1" applyFill="1" applyBorder="1" applyAlignment="1"/>
    <xf numFmtId="10" fontId="2" fillId="0" borderId="0" xfId="0" applyNumberFormat="1" applyFont="1" applyFill="1" applyBorder="1" applyAlignment="1"/>
    <xf numFmtId="0" fontId="2" fillId="0" borderId="0" xfId="0" applyFont="1" applyAlignment="1">
      <alignment vertical="center"/>
    </xf>
    <xf numFmtId="3" fontId="2" fillId="0" borderId="0" xfId="0" applyNumberFormat="1" applyFont="1"/>
    <xf numFmtId="0" fontId="34" fillId="0" borderId="0" xfId="0" applyFont="1" applyFill="1"/>
    <xf numFmtId="0" fontId="35" fillId="0" borderId="0" xfId="0" applyFont="1" applyFill="1"/>
    <xf numFmtId="0" fontId="35" fillId="0" borderId="0" xfId="0" applyFont="1" applyFill="1" applyBorder="1"/>
    <xf numFmtId="0" fontId="15" fillId="0" borderId="0" xfId="0" applyFont="1" applyFill="1" applyBorder="1" applyProtection="1">
      <protection locked="0"/>
    </xf>
    <xf numFmtId="0" fontId="35" fillId="0" borderId="0" xfId="0" applyFont="1" applyFill="1" applyProtection="1">
      <protection locked="0"/>
    </xf>
    <xf numFmtId="0" fontId="35" fillId="0" borderId="0" xfId="0" applyFont="1" applyFill="1" applyBorder="1" applyProtection="1">
      <protection locked="0"/>
    </xf>
    <xf numFmtId="0" fontId="1" fillId="0" borderId="0" xfId="0" applyFont="1" applyBorder="1"/>
    <xf numFmtId="0" fontId="1" fillId="0" borderId="16" xfId="0" applyFont="1" applyBorder="1"/>
    <xf numFmtId="0" fontId="1" fillId="0" borderId="4" xfId="0" applyFont="1" applyBorder="1"/>
    <xf numFmtId="0" fontId="1" fillId="0" borderId="18" xfId="0" applyFont="1" applyBorder="1"/>
    <xf numFmtId="0" fontId="35" fillId="0" borderId="9" xfId="0" applyFont="1" applyFill="1" applyBorder="1" applyProtection="1">
      <protection locked="0"/>
    </xf>
    <xf numFmtId="0" fontId="35" fillId="0" borderId="10" xfId="0" applyFont="1" applyFill="1" applyBorder="1" applyProtection="1">
      <protection locked="0"/>
    </xf>
    <xf numFmtId="0" fontId="15" fillId="0" borderId="10" xfId="0" applyFont="1" applyFill="1" applyBorder="1" applyProtection="1">
      <protection locked="0"/>
    </xf>
    <xf numFmtId="0" fontId="15" fillId="0" borderId="17" xfId="0" applyFont="1" applyFill="1" applyBorder="1" applyProtection="1">
      <protection locked="0"/>
    </xf>
    <xf numFmtId="0" fontId="35" fillId="0" borderId="7" xfId="0" applyFont="1" applyFill="1" applyBorder="1" applyProtection="1">
      <protection locked="0"/>
    </xf>
    <xf numFmtId="0" fontId="15" fillId="0" borderId="16" xfId="0" applyFont="1" applyFill="1" applyBorder="1" applyProtection="1">
      <protection locked="0"/>
    </xf>
    <xf numFmtId="0" fontId="35" fillId="0" borderId="16" xfId="0" applyFont="1" applyFill="1" applyBorder="1" applyProtection="1">
      <protection locked="0"/>
    </xf>
    <xf numFmtId="0" fontId="35" fillId="0" borderId="8" xfId="0" applyFont="1" applyFill="1" applyBorder="1" applyProtection="1">
      <protection locked="0"/>
    </xf>
    <xf numFmtId="0" fontId="35" fillId="0" borderId="4" xfId="0" applyFont="1" applyFill="1" applyBorder="1" applyProtection="1">
      <protection locked="0"/>
    </xf>
    <xf numFmtId="0" fontId="35" fillId="0" borderId="18" xfId="0" applyFont="1" applyFill="1" applyBorder="1" applyProtection="1">
      <protection locked="0"/>
    </xf>
    <xf numFmtId="0" fontId="58" fillId="0" borderId="10" xfId="0" applyFont="1" applyFill="1" applyBorder="1" applyProtection="1">
      <protection locked="0"/>
    </xf>
    <xf numFmtId="0" fontId="58" fillId="0" borderId="17" xfId="0" applyFont="1" applyFill="1" applyBorder="1" applyProtection="1">
      <protection locked="0"/>
    </xf>
    <xf numFmtId="0" fontId="10" fillId="0" borderId="10" xfId="0" applyFont="1" applyBorder="1"/>
    <xf numFmtId="0" fontId="0" fillId="3" borderId="19" xfId="0" applyFill="1" applyBorder="1" applyProtection="1"/>
    <xf numFmtId="0" fontId="0" fillId="3" borderId="20" xfId="0" applyFill="1" applyBorder="1" applyProtection="1"/>
    <xf numFmtId="0" fontId="0" fillId="3" borderId="21" xfId="0" applyFill="1" applyBorder="1"/>
    <xf numFmtId="3" fontId="2" fillId="3" borderId="0" xfId="0" applyNumberFormat="1" applyFont="1" applyFill="1" applyBorder="1" applyAlignment="1"/>
    <xf numFmtId="3" fontId="2" fillId="3" borderId="4" xfId="0" applyNumberFormat="1" applyFont="1" applyFill="1" applyBorder="1" applyAlignment="1"/>
    <xf numFmtId="0" fontId="44" fillId="3" borderId="20" xfId="0" applyFont="1" applyFill="1" applyBorder="1" applyProtection="1"/>
    <xf numFmtId="3" fontId="2" fillId="3" borderId="7" xfId="0" applyNumberFormat="1" applyFont="1" applyFill="1" applyBorder="1" applyAlignment="1"/>
    <xf numFmtId="3" fontId="52" fillId="3" borderId="0" xfId="0" applyNumberFormat="1" applyFont="1" applyFill="1" applyBorder="1" applyAlignment="1"/>
    <xf numFmtId="3" fontId="2" fillId="3" borderId="16" xfId="0" applyNumberFormat="1" applyFont="1" applyFill="1" applyBorder="1" applyAlignment="1"/>
    <xf numFmtId="3" fontId="2" fillId="3" borderId="10" xfId="0" applyNumberFormat="1" applyFont="1" applyFill="1" applyBorder="1" applyAlignment="1"/>
    <xf numFmtId="3" fontId="2" fillId="3" borderId="17" xfId="0" applyNumberFormat="1" applyFont="1" applyFill="1" applyBorder="1" applyAlignment="1"/>
    <xf numFmtId="3" fontId="2" fillId="3" borderId="10" xfId="0" applyNumberFormat="1" applyFont="1" applyFill="1" applyBorder="1" applyAlignment="1">
      <alignment horizontal="right"/>
    </xf>
    <xf numFmtId="3" fontId="2" fillId="3" borderId="22" xfId="0" applyNumberFormat="1" applyFont="1" applyFill="1" applyBorder="1" applyAlignment="1"/>
    <xf numFmtId="3" fontId="2" fillId="3" borderId="18" xfId="0" applyNumberFormat="1" applyFont="1" applyFill="1" applyBorder="1" applyAlignment="1"/>
    <xf numFmtId="0" fontId="71" fillId="0" borderId="0" xfId="0" applyFont="1"/>
    <xf numFmtId="0" fontId="5" fillId="3" borderId="0" xfId="0" applyFont="1" applyFill="1" applyBorder="1" applyAlignment="1">
      <alignment vertical="center"/>
    </xf>
    <xf numFmtId="3" fontId="5" fillId="3" borderId="0" xfId="0" applyNumberFormat="1" applyFont="1" applyFill="1" applyBorder="1" applyAlignment="1">
      <alignment vertical="center"/>
    </xf>
    <xf numFmtId="164" fontId="5" fillId="3" borderId="0" xfId="0" applyNumberFormat="1" applyFont="1" applyFill="1" applyBorder="1" applyAlignment="1">
      <alignment vertical="center"/>
    </xf>
    <xf numFmtId="0" fontId="0" fillId="0" borderId="17" xfId="0" applyBorder="1"/>
    <xf numFmtId="0" fontId="0" fillId="0" borderId="16" xfId="0" applyBorder="1"/>
    <xf numFmtId="0" fontId="0" fillId="0" borderId="18" xfId="0" applyBorder="1"/>
    <xf numFmtId="3" fontId="8" fillId="0" borderId="0" xfId="0" applyNumberFormat="1" applyFont="1" applyBorder="1"/>
    <xf numFmtId="0" fontId="0" fillId="3" borderId="23" xfId="0" applyFill="1" applyBorder="1"/>
    <xf numFmtId="0" fontId="0" fillId="3" borderId="24" xfId="0" applyFill="1" applyBorder="1"/>
    <xf numFmtId="0" fontId="0" fillId="3" borderId="0" xfId="0" applyFill="1" applyBorder="1" applyProtection="1"/>
    <xf numFmtId="0" fontId="0" fillId="3" borderId="25" xfId="0" applyFill="1" applyBorder="1" applyProtection="1"/>
    <xf numFmtId="0" fontId="0" fillId="3" borderId="21" xfId="0" applyFill="1" applyBorder="1" applyProtection="1"/>
    <xf numFmtId="0" fontId="0" fillId="3" borderId="23" xfId="0" applyFill="1" applyBorder="1" applyProtection="1"/>
    <xf numFmtId="0" fontId="34" fillId="0" borderId="0" xfId="0" applyFont="1" applyFill="1" applyAlignment="1">
      <alignment horizontal="center" vertical="center"/>
    </xf>
    <xf numFmtId="0" fontId="0" fillId="0" borderId="22" xfId="0" applyFill="1" applyBorder="1"/>
    <xf numFmtId="0" fontId="28" fillId="3" borderId="22" xfId="0" applyFont="1" applyFill="1" applyBorder="1" applyAlignment="1">
      <alignment horizontal="right"/>
    </xf>
    <xf numFmtId="0" fontId="35" fillId="3" borderId="22" xfId="0" applyFont="1" applyFill="1" applyBorder="1" applyProtection="1"/>
    <xf numFmtId="3" fontId="8" fillId="3" borderId="22" xfId="0" applyNumberFormat="1" applyFont="1" applyFill="1" applyBorder="1" applyAlignment="1">
      <alignment shrinkToFit="1"/>
    </xf>
    <xf numFmtId="166" fontId="13" fillId="3" borderId="22" xfId="0" applyNumberFormat="1" applyFont="1" applyFill="1" applyBorder="1" applyAlignment="1">
      <alignment shrinkToFit="1"/>
    </xf>
    <xf numFmtId="166" fontId="12" fillId="0" borderId="22" xfId="0" applyNumberFormat="1" applyFont="1" applyBorder="1" applyAlignment="1">
      <alignment shrinkToFit="1"/>
    </xf>
    <xf numFmtId="0" fontId="24" fillId="3" borderId="0" xfId="0" applyFont="1" applyFill="1" applyBorder="1"/>
    <xf numFmtId="3" fontId="8" fillId="0" borderId="0" xfId="0" applyNumberFormat="1" applyFont="1" applyFill="1" applyBorder="1" applyAlignment="1"/>
    <xf numFmtId="0" fontId="24" fillId="0" borderId="0" xfId="0" applyFont="1" applyFill="1"/>
    <xf numFmtId="169" fontId="2" fillId="0" borderId="16" xfId="0" applyNumberFormat="1" applyFont="1" applyFill="1" applyBorder="1" applyAlignment="1"/>
    <xf numFmtId="3" fontId="2" fillId="0" borderId="11" xfId="0" applyNumberFormat="1" applyFont="1" applyFill="1" applyBorder="1" applyAlignment="1">
      <alignment horizontal="right"/>
    </xf>
    <xf numFmtId="3" fontId="2" fillId="3" borderId="14" xfId="0" applyNumberFormat="1" applyFont="1" applyFill="1" applyBorder="1" applyAlignment="1"/>
    <xf numFmtId="3" fontId="2" fillId="3" borderId="11" xfId="0" applyNumberFormat="1" applyFont="1" applyFill="1" applyBorder="1" applyAlignment="1"/>
    <xf numFmtId="3" fontId="2" fillId="3" borderId="15" xfId="0" applyNumberFormat="1" applyFont="1" applyFill="1" applyBorder="1" applyAlignment="1"/>
    <xf numFmtId="4" fontId="2" fillId="0" borderId="16" xfId="0" applyNumberFormat="1" applyFont="1" applyFill="1" applyBorder="1" applyAlignment="1"/>
    <xf numFmtId="3" fontId="79" fillId="3" borderId="26" xfId="0" applyNumberFormat="1" applyFont="1" applyFill="1" applyBorder="1" applyAlignment="1" applyProtection="1">
      <alignment horizontal="right" shrinkToFit="1"/>
      <protection locked="0"/>
    </xf>
    <xf numFmtId="3" fontId="79" fillId="3" borderId="27" xfId="0" applyNumberFormat="1" applyFont="1" applyFill="1" applyBorder="1" applyAlignment="1" applyProtection="1">
      <alignment horizontal="right" shrinkToFit="1"/>
      <protection locked="0"/>
    </xf>
    <xf numFmtId="0" fontId="24" fillId="0" borderId="0" xfId="0" applyFont="1"/>
    <xf numFmtId="0" fontId="80" fillId="3" borderId="28" xfId="0" applyFont="1" applyFill="1" applyBorder="1" applyProtection="1">
      <protection locked="0"/>
    </xf>
    <xf numFmtId="0" fontId="80" fillId="3" borderId="0" xfId="0" applyFont="1" applyFill="1" applyBorder="1" applyProtection="1">
      <protection locked="0"/>
    </xf>
    <xf numFmtId="0" fontId="80" fillId="3" borderId="29" xfId="0" applyFont="1" applyFill="1" applyBorder="1" applyProtection="1">
      <protection locked="0"/>
    </xf>
    <xf numFmtId="0" fontId="82" fillId="3" borderId="28" xfId="0" applyFont="1" applyFill="1" applyBorder="1" applyProtection="1">
      <protection locked="0"/>
    </xf>
    <xf numFmtId="0" fontId="98" fillId="3" borderId="0" xfId="0" applyFont="1" applyFill="1" applyBorder="1"/>
    <xf numFmtId="0" fontId="97" fillId="3" borderId="0" xfId="0" applyFont="1" applyFill="1" applyBorder="1" applyAlignment="1" applyProtection="1">
      <alignment horizontal="left"/>
      <protection locked="0"/>
    </xf>
    <xf numFmtId="0" fontId="82" fillId="3" borderId="29" xfId="0" applyFont="1" applyFill="1" applyBorder="1" applyProtection="1">
      <protection locked="0"/>
    </xf>
    <xf numFmtId="0" fontId="91" fillId="3" borderId="0" xfId="0" applyFont="1" applyFill="1" applyBorder="1"/>
    <xf numFmtId="0" fontId="78" fillId="3" borderId="0" xfId="0" applyFont="1" applyFill="1" applyBorder="1" applyAlignment="1" applyProtection="1">
      <alignment horizontal="left"/>
      <protection locked="0"/>
    </xf>
    <xf numFmtId="0" fontId="80" fillId="3" borderId="0" xfId="0" applyFont="1" applyFill="1" applyBorder="1" applyAlignment="1" applyProtection="1">
      <alignment horizontal="left"/>
      <protection locked="0"/>
    </xf>
    <xf numFmtId="0" fontId="95" fillId="3" borderId="0" xfId="0" applyFont="1" applyFill="1" applyBorder="1"/>
    <xf numFmtId="0" fontId="82" fillId="3" borderId="30" xfId="0" applyFont="1" applyFill="1" applyBorder="1" applyProtection="1">
      <protection locked="0"/>
    </xf>
    <xf numFmtId="0" fontId="82" fillId="3" borderId="31" xfId="0" applyFont="1" applyFill="1" applyBorder="1" applyProtection="1">
      <protection locked="0"/>
    </xf>
    <xf numFmtId="0" fontId="82" fillId="3" borderId="32" xfId="0" applyFont="1" applyFill="1" applyBorder="1" applyProtection="1">
      <protection locked="0"/>
    </xf>
    <xf numFmtId="0" fontId="85" fillId="3" borderId="0" xfId="0" applyFont="1" applyFill="1" applyBorder="1"/>
    <xf numFmtId="0" fontId="82" fillId="3" borderId="0" xfId="0" applyFont="1" applyFill="1" applyBorder="1" applyAlignment="1" applyProtection="1">
      <alignment horizontal="left"/>
      <protection locked="0"/>
    </xf>
    <xf numFmtId="0" fontId="80" fillId="3" borderId="33" xfId="0" applyFont="1" applyFill="1" applyBorder="1" applyProtection="1">
      <protection locked="0"/>
    </xf>
    <xf numFmtId="0" fontId="82" fillId="3" borderId="0" xfId="0" applyFont="1" applyFill="1" applyBorder="1" applyProtection="1">
      <protection locked="0"/>
    </xf>
    <xf numFmtId="0" fontId="90" fillId="3" borderId="0" xfId="0" applyFont="1" applyFill="1" applyBorder="1"/>
    <xf numFmtId="0" fontId="80" fillId="3" borderId="0" xfId="0" applyFont="1" applyFill="1" applyBorder="1"/>
    <xf numFmtId="3" fontId="90" fillId="4" borderId="34" xfId="0" applyNumberFormat="1" applyFont="1" applyFill="1" applyBorder="1" applyAlignment="1" applyProtection="1">
      <alignment horizontal="center" vertical="center"/>
    </xf>
    <xf numFmtId="3" fontId="90" fillId="4" borderId="35" xfId="0" applyNumberFormat="1" applyFont="1" applyFill="1" applyBorder="1" applyAlignment="1" applyProtection="1">
      <alignment horizontal="center" vertical="center"/>
    </xf>
    <xf numFmtId="0" fontId="91" fillId="3" borderId="0" xfId="0" applyFont="1" applyFill="1" applyBorder="1" applyAlignment="1"/>
    <xf numFmtId="0" fontId="90" fillId="4" borderId="2" xfId="0" applyFont="1" applyFill="1" applyBorder="1" applyAlignment="1" applyProtection="1">
      <alignment horizontal="center"/>
    </xf>
    <xf numFmtId="0" fontId="90" fillId="4" borderId="36" xfId="0" applyFont="1" applyFill="1" applyBorder="1" applyAlignment="1" applyProtection="1">
      <alignment horizontal="center"/>
    </xf>
    <xf numFmtId="0" fontId="91" fillId="4" borderId="2" xfId="0" applyFont="1" applyFill="1" applyBorder="1" applyAlignment="1" applyProtection="1">
      <alignment horizontal="center"/>
    </xf>
    <xf numFmtId="0" fontId="82" fillId="3" borderId="0" xfId="0" applyFont="1" applyFill="1" applyBorder="1"/>
    <xf numFmtId="0" fontId="82" fillId="3" borderId="20" xfId="0" applyFont="1" applyFill="1" applyBorder="1"/>
    <xf numFmtId="0" fontId="82" fillId="3" borderId="37" xfId="0" applyFont="1" applyFill="1" applyBorder="1"/>
    <xf numFmtId="0" fontId="0" fillId="3" borderId="0" xfId="0" applyFill="1" applyBorder="1" applyProtection="1">
      <protection locked="0"/>
    </xf>
    <xf numFmtId="0" fontId="90" fillId="4" borderId="34" xfId="0" applyFont="1" applyFill="1" applyBorder="1" applyAlignment="1" applyProtection="1"/>
    <xf numFmtId="0" fontId="82" fillId="4" borderId="38" xfId="0" applyFont="1" applyFill="1" applyBorder="1"/>
    <xf numFmtId="3" fontId="107" fillId="5" borderId="0" xfId="0" applyNumberFormat="1" applyFont="1" applyFill="1" applyBorder="1" applyAlignment="1">
      <alignment horizontal="right" shrinkToFit="1"/>
    </xf>
    <xf numFmtId="3" fontId="80" fillId="6" borderId="0" xfId="0" applyNumberFormat="1" applyFont="1" applyFill="1" applyBorder="1" applyAlignment="1">
      <alignment horizontal="right" shrinkToFit="1"/>
    </xf>
    <xf numFmtId="0" fontId="82" fillId="3" borderId="19" xfId="0" applyFont="1" applyFill="1" applyBorder="1" applyProtection="1"/>
    <xf numFmtId="0" fontId="82" fillId="3" borderId="20" xfId="0" applyFont="1" applyFill="1" applyBorder="1" applyProtection="1"/>
    <xf numFmtId="0" fontId="82" fillId="3" borderId="25" xfId="0" applyFont="1" applyFill="1" applyBorder="1" applyProtection="1"/>
    <xf numFmtId="0" fontId="86" fillId="3" borderId="37" xfId="0" applyFont="1" applyFill="1" applyBorder="1" applyProtection="1"/>
    <xf numFmtId="0" fontId="82" fillId="3" borderId="37" xfId="0" applyFont="1" applyFill="1" applyBorder="1" applyProtection="1"/>
    <xf numFmtId="0" fontId="92" fillId="3" borderId="37" xfId="0" applyFont="1" applyFill="1" applyBorder="1" applyAlignment="1" applyProtection="1">
      <alignment horizontal="right"/>
    </xf>
    <xf numFmtId="0" fontId="82" fillId="3" borderId="0" xfId="0" applyFont="1" applyFill="1" applyBorder="1" applyProtection="1"/>
    <xf numFmtId="0" fontId="90" fillId="3" borderId="0" xfId="0" applyFont="1" applyFill="1" applyBorder="1" applyAlignment="1">
      <alignment horizontal="center"/>
    </xf>
    <xf numFmtId="0" fontId="82" fillId="3" borderId="0" xfId="0" applyFont="1" applyFill="1" applyBorder="1" applyAlignment="1">
      <alignment shrinkToFit="1"/>
    </xf>
    <xf numFmtId="0" fontId="93" fillId="3" borderId="0" xfId="0" applyFont="1" applyFill="1" applyBorder="1" applyAlignment="1">
      <alignment shrinkToFit="1"/>
    </xf>
    <xf numFmtId="0" fontId="82" fillId="3" borderId="0" xfId="0" applyFont="1" applyFill="1" applyBorder="1" applyAlignment="1">
      <alignment vertical="center"/>
    </xf>
    <xf numFmtId="0" fontId="82" fillId="3" borderId="0" xfId="0" applyFont="1" applyFill="1" applyBorder="1" applyAlignment="1">
      <alignment vertical="center" shrinkToFit="1"/>
    </xf>
    <xf numFmtId="0" fontId="93" fillId="3" borderId="0" xfId="0" applyFont="1" applyFill="1" applyBorder="1" applyAlignment="1">
      <alignment vertical="center" shrinkToFit="1"/>
    </xf>
    <xf numFmtId="0" fontId="83" fillId="3" borderId="0" xfId="0" applyFont="1" applyFill="1" applyBorder="1" applyAlignment="1">
      <alignment vertical="center" shrinkToFit="1"/>
    </xf>
    <xf numFmtId="0" fontId="82" fillId="3" borderId="39" xfId="0" applyFont="1" applyFill="1" applyBorder="1" applyAlignment="1">
      <alignment vertical="center"/>
    </xf>
    <xf numFmtId="0" fontId="126" fillId="3" borderId="37" xfId="0" applyFont="1" applyFill="1" applyBorder="1" applyAlignment="1">
      <alignment vertical="center"/>
    </xf>
    <xf numFmtId="0" fontId="82" fillId="3" borderId="37" xfId="0" applyFont="1" applyFill="1" applyBorder="1" applyAlignment="1">
      <alignment vertical="center"/>
    </xf>
    <xf numFmtId="0" fontId="126" fillId="3" borderId="0" xfId="0" applyFont="1" applyFill="1" applyBorder="1" applyAlignment="1">
      <alignment vertical="center"/>
    </xf>
    <xf numFmtId="0" fontId="82" fillId="3" borderId="20" xfId="0" applyFont="1" applyFill="1" applyBorder="1" applyAlignment="1">
      <alignment vertical="center"/>
    </xf>
    <xf numFmtId="0" fontId="85" fillId="3" borderId="0" xfId="0" applyFont="1" applyFill="1" applyBorder="1" applyAlignment="1">
      <alignment vertical="center"/>
    </xf>
    <xf numFmtId="3" fontId="82" fillId="3" borderId="37" xfId="0" applyNumberFormat="1" applyFont="1" applyFill="1" applyBorder="1" applyAlignment="1">
      <alignment vertical="center"/>
    </xf>
    <xf numFmtId="3" fontId="85" fillId="3" borderId="0" xfId="0" applyNumberFormat="1" applyFont="1" applyFill="1" applyBorder="1" applyAlignment="1" applyProtection="1">
      <alignment vertical="center"/>
      <protection locked="0"/>
    </xf>
    <xf numFmtId="0" fontId="85" fillId="3" borderId="0" xfId="0" applyFont="1" applyFill="1" applyBorder="1" applyAlignment="1" applyProtection="1">
      <alignment horizontal="right"/>
    </xf>
    <xf numFmtId="3" fontId="85" fillId="3" borderId="0" xfId="0" applyNumberFormat="1" applyFont="1" applyFill="1" applyBorder="1" applyAlignment="1">
      <alignment vertical="center"/>
    </xf>
    <xf numFmtId="3" fontId="91" fillId="3" borderId="37" xfId="0" applyNumberFormat="1" applyFont="1" applyFill="1" applyBorder="1" applyAlignment="1">
      <alignment vertical="center"/>
    </xf>
    <xf numFmtId="3" fontId="84" fillId="3" borderId="0" xfId="0" applyNumberFormat="1" applyFont="1" applyFill="1" applyBorder="1" applyAlignment="1"/>
    <xf numFmtId="3" fontId="91" fillId="3" borderId="0" xfId="0" applyNumberFormat="1" applyFont="1" applyFill="1" applyBorder="1" applyAlignment="1">
      <alignment vertical="center"/>
    </xf>
    <xf numFmtId="167" fontId="91" fillId="3" borderId="0" xfId="2" applyNumberFormat="1" applyFont="1" applyFill="1" applyBorder="1" applyProtection="1"/>
    <xf numFmtId="10" fontId="91" fillId="3" borderId="0" xfId="0" applyNumberFormat="1" applyFont="1" applyFill="1" applyBorder="1" applyAlignment="1" applyProtection="1">
      <alignment vertical="center"/>
      <protection locked="0"/>
    </xf>
    <xf numFmtId="164" fontId="95" fillId="3" borderId="0" xfId="2" applyNumberFormat="1" applyFont="1" applyFill="1" applyBorder="1" applyProtection="1"/>
    <xf numFmtId="3" fontId="85" fillId="6" borderId="20" xfId="0" applyNumberFormat="1" applyFont="1" applyFill="1" applyBorder="1" applyAlignment="1" applyProtection="1">
      <alignment vertical="center"/>
      <protection locked="0"/>
    </xf>
    <xf numFmtId="0" fontId="97" fillId="3" borderId="20" xfId="0" applyFont="1" applyFill="1" applyBorder="1" applyProtection="1"/>
    <xf numFmtId="0" fontId="82" fillId="3" borderId="37" xfId="0" applyFont="1" applyFill="1" applyBorder="1" applyAlignment="1"/>
    <xf numFmtId="0" fontId="80" fillId="3" borderId="19" xfId="0" applyFont="1" applyFill="1" applyBorder="1" applyProtection="1"/>
    <xf numFmtId="0" fontId="80" fillId="3" borderId="20" xfId="0" applyFont="1" applyFill="1" applyBorder="1" applyProtection="1"/>
    <xf numFmtId="0" fontId="80" fillId="3" borderId="25" xfId="0" applyFont="1" applyFill="1" applyBorder="1" applyProtection="1"/>
    <xf numFmtId="0" fontId="80" fillId="3" borderId="0" xfId="0" applyFont="1" applyFill="1" applyBorder="1" applyProtection="1"/>
    <xf numFmtId="0" fontId="90" fillId="3" borderId="0" xfId="0" applyFont="1" applyFill="1" applyBorder="1" applyAlignment="1">
      <alignment horizontal="center" shrinkToFit="1"/>
    </xf>
    <xf numFmtId="3" fontId="85" fillId="3" borderId="0" xfId="0" applyNumberFormat="1" applyFont="1" applyFill="1" applyBorder="1" applyAlignment="1">
      <alignment shrinkToFit="1"/>
    </xf>
    <xf numFmtId="3" fontId="93" fillId="3" borderId="0" xfId="0" applyNumberFormat="1" applyFont="1" applyFill="1" applyBorder="1" applyAlignment="1">
      <alignment shrinkToFit="1"/>
    </xf>
    <xf numFmtId="166" fontId="93" fillId="3" borderId="0" xfId="0" applyNumberFormat="1" applyFont="1" applyFill="1" applyBorder="1" applyAlignment="1">
      <alignment shrinkToFit="1"/>
    </xf>
    <xf numFmtId="164" fontId="85" fillId="3" borderId="0" xfId="0" applyNumberFormat="1" applyFont="1" applyFill="1" applyBorder="1" applyAlignment="1">
      <alignment shrinkToFit="1"/>
    </xf>
    <xf numFmtId="0" fontId="91" fillId="3" borderId="0" xfId="0" applyFont="1" applyFill="1" applyBorder="1" applyAlignment="1">
      <alignment vertical="center"/>
    </xf>
    <xf numFmtId="0" fontId="129" fillId="3" borderId="0" xfId="0" applyFont="1" applyFill="1" applyBorder="1" applyAlignment="1" applyProtection="1">
      <alignment horizontal="left"/>
      <protection locked="0"/>
    </xf>
    <xf numFmtId="0" fontId="0" fillId="3" borderId="20" xfId="0" applyFill="1" applyBorder="1"/>
    <xf numFmtId="0" fontId="85" fillId="3" borderId="40" xfId="0" applyFont="1" applyFill="1" applyBorder="1" applyAlignment="1">
      <alignment horizontal="center" vertical="center"/>
    </xf>
    <xf numFmtId="3" fontId="97" fillId="3" borderId="0" xfId="0" applyNumberFormat="1" applyFont="1" applyFill="1" applyBorder="1" applyAlignment="1">
      <alignment shrinkToFit="1"/>
    </xf>
    <xf numFmtId="164" fontId="97" fillId="3" borderId="0" xfId="0" applyNumberFormat="1" applyFont="1" applyFill="1" applyBorder="1" applyAlignment="1">
      <alignment shrinkToFit="1"/>
    </xf>
    <xf numFmtId="166" fontId="93" fillId="3" borderId="37" xfId="0" applyNumberFormat="1" applyFont="1" applyFill="1" applyBorder="1" applyAlignment="1">
      <alignment shrinkToFit="1"/>
    </xf>
    <xf numFmtId="3" fontId="97" fillId="3" borderId="37" xfId="0" applyNumberFormat="1" applyFont="1" applyFill="1" applyBorder="1" applyAlignment="1">
      <alignment shrinkToFit="1"/>
    </xf>
    <xf numFmtId="0" fontId="85" fillId="3" borderId="0" xfId="0" applyFont="1" applyFill="1" applyBorder="1" applyAlignment="1">
      <alignment vertical="center" shrinkToFit="1"/>
    </xf>
    <xf numFmtId="0" fontId="85" fillId="3" borderId="0" xfId="0" applyFont="1" applyFill="1" applyBorder="1" applyAlignment="1">
      <alignment horizontal="center" shrinkToFit="1"/>
    </xf>
    <xf numFmtId="0" fontId="93" fillId="3" borderId="0" xfId="0" applyFont="1" applyFill="1" applyBorder="1" applyAlignment="1">
      <alignment horizontal="center" shrinkToFit="1"/>
    </xf>
    <xf numFmtId="164" fontId="97" fillId="3" borderId="37" xfId="0" applyNumberFormat="1" applyFont="1" applyFill="1" applyBorder="1" applyAlignment="1">
      <alignment shrinkToFit="1"/>
    </xf>
    <xf numFmtId="166" fontId="123" fillId="3" borderId="0" xfId="0" applyNumberFormat="1" applyFont="1" applyFill="1" applyBorder="1" applyAlignment="1">
      <alignment shrinkToFit="1"/>
    </xf>
    <xf numFmtId="0" fontId="92" fillId="3" borderId="37" xfId="0" applyFont="1" applyFill="1" applyBorder="1" applyAlignment="1" applyProtection="1">
      <alignment horizontal="left"/>
    </xf>
    <xf numFmtId="0" fontId="85" fillId="3" borderId="0" xfId="0" applyFont="1" applyFill="1" applyBorder="1" applyProtection="1"/>
    <xf numFmtId="0" fontId="85" fillId="3" borderId="0" xfId="0" applyFont="1" applyFill="1" applyBorder="1" applyAlignment="1" applyProtection="1">
      <alignment shrinkToFit="1"/>
    </xf>
    <xf numFmtId="0" fontId="85" fillId="3" borderId="0" xfId="0" applyFont="1" applyFill="1" applyBorder="1" applyAlignment="1"/>
    <xf numFmtId="0" fontId="85" fillId="3" borderId="0" xfId="0" applyFont="1" applyFill="1" applyBorder="1" applyAlignment="1">
      <alignment shrinkToFit="1"/>
    </xf>
    <xf numFmtId="166" fontId="93" fillId="3" borderId="37" xfId="0" applyNumberFormat="1" applyFont="1" applyFill="1" applyBorder="1" applyAlignment="1">
      <alignment horizontal="center" shrinkToFit="1"/>
    </xf>
    <xf numFmtId="3" fontId="97" fillId="3" borderId="20" xfId="0" applyNumberFormat="1" applyFont="1" applyFill="1" applyBorder="1" applyAlignment="1">
      <alignment shrinkToFit="1"/>
    </xf>
    <xf numFmtId="166" fontId="93" fillId="3" borderId="20" xfId="0" applyNumberFormat="1" applyFont="1" applyFill="1" applyBorder="1" applyAlignment="1">
      <alignment shrinkToFit="1"/>
    </xf>
    <xf numFmtId="3" fontId="85" fillId="3" borderId="37" xfId="0" applyNumberFormat="1" applyFont="1" applyFill="1" applyBorder="1" applyAlignment="1">
      <alignment shrinkToFit="1"/>
    </xf>
    <xf numFmtId="0" fontId="85" fillId="3" borderId="41" xfId="0" applyFont="1" applyFill="1" applyBorder="1"/>
    <xf numFmtId="0" fontId="82" fillId="0" borderId="0" xfId="0" applyFont="1" applyFill="1" applyBorder="1" applyProtection="1"/>
    <xf numFmtId="0" fontId="85" fillId="0" borderId="37" xfId="0" applyFont="1" applyFill="1" applyBorder="1" applyProtection="1"/>
    <xf numFmtId="0" fontId="0" fillId="3" borderId="0" xfId="0" applyFill="1" applyBorder="1"/>
    <xf numFmtId="0" fontId="0" fillId="3" borderId="37" xfId="0" applyFill="1" applyBorder="1"/>
    <xf numFmtId="0" fontId="0" fillId="0" borderId="37" xfId="0" applyBorder="1"/>
    <xf numFmtId="3" fontId="85" fillId="3" borderId="37" xfId="0" applyNumberFormat="1" applyFont="1" applyFill="1" applyBorder="1" applyAlignment="1" applyProtection="1">
      <alignment vertical="center"/>
      <protection locked="0"/>
    </xf>
    <xf numFmtId="3" fontId="85" fillId="6" borderId="19" xfId="0" applyNumberFormat="1" applyFont="1" applyFill="1" applyBorder="1" applyAlignment="1" applyProtection="1">
      <alignment vertical="center"/>
      <protection locked="0"/>
    </xf>
    <xf numFmtId="0" fontId="0" fillId="6" borderId="20" xfId="0" applyFill="1" applyBorder="1"/>
    <xf numFmtId="0" fontId="0" fillId="6" borderId="21" xfId="0" applyFill="1" applyBorder="1"/>
    <xf numFmtId="0" fontId="0" fillId="6" borderId="25" xfId="0" applyFill="1" applyBorder="1"/>
    <xf numFmtId="0" fontId="0" fillId="6" borderId="0" xfId="0" applyFill="1" applyBorder="1"/>
    <xf numFmtId="0" fontId="0" fillId="6" borderId="23" xfId="0" applyFill="1" applyBorder="1"/>
    <xf numFmtId="0" fontId="0" fillId="6" borderId="39" xfId="0" applyFill="1" applyBorder="1"/>
    <xf numFmtId="0" fontId="0" fillId="6" borderId="37" xfId="0" applyFill="1" applyBorder="1"/>
    <xf numFmtId="0" fontId="0" fillId="6" borderId="24" xfId="0" applyFill="1" applyBorder="1"/>
    <xf numFmtId="0" fontId="44" fillId="3" borderId="0" xfId="0" applyFont="1" applyFill="1" applyBorder="1" applyProtection="1"/>
    <xf numFmtId="49" fontId="134" fillId="3" borderId="0" xfId="0" applyNumberFormat="1" applyFont="1" applyFill="1" applyBorder="1" applyAlignment="1" applyProtection="1">
      <alignment vertical="center"/>
    </xf>
    <xf numFmtId="0" fontId="132" fillId="3" borderId="37" xfId="0" applyFont="1" applyFill="1" applyBorder="1" applyAlignment="1">
      <alignment horizontal="left"/>
    </xf>
    <xf numFmtId="0" fontId="133" fillId="3" borderId="0" xfId="0" applyFont="1" applyFill="1" applyBorder="1"/>
    <xf numFmtId="164" fontId="90" fillId="3" borderId="37" xfId="2" applyNumberFormat="1" applyFont="1" applyFill="1" applyBorder="1" applyProtection="1"/>
    <xf numFmtId="167" fontId="84" fillId="3" borderId="0" xfId="2" applyNumberFormat="1" applyFont="1" applyFill="1" applyBorder="1" applyAlignment="1" applyProtection="1"/>
    <xf numFmtId="10" fontId="84" fillId="3" borderId="0" xfId="2" applyNumberFormat="1" applyFont="1" applyFill="1" applyBorder="1" applyAlignment="1" applyProtection="1"/>
    <xf numFmtId="49" fontId="107" fillId="3" borderId="42" xfId="0" applyNumberFormat="1" applyFont="1" applyFill="1" applyBorder="1" applyAlignment="1" applyProtection="1">
      <protection locked="0"/>
    </xf>
    <xf numFmtId="10" fontId="139" fillId="3" borderId="2" xfId="0" applyNumberFormat="1" applyFont="1" applyFill="1" applyBorder="1" applyAlignment="1" applyProtection="1">
      <alignment horizontal="right" shrinkToFit="1"/>
      <protection locked="0"/>
    </xf>
    <xf numFmtId="0" fontId="141" fillId="3" borderId="2" xfId="0" applyNumberFormat="1" applyFont="1" applyFill="1" applyBorder="1" applyAlignment="1" applyProtection="1">
      <alignment horizontal="center"/>
      <protection locked="0"/>
    </xf>
    <xf numFmtId="0" fontId="140" fillId="3" borderId="2" xfId="0" applyNumberFormat="1" applyFont="1" applyFill="1" applyBorder="1" applyAlignment="1" applyProtection="1">
      <alignment horizontal="center" shrinkToFit="1"/>
      <protection locked="0"/>
    </xf>
    <xf numFmtId="49" fontId="107" fillId="3" borderId="43" xfId="0" applyNumberFormat="1" applyFont="1" applyFill="1" applyBorder="1" applyAlignment="1" applyProtection="1">
      <alignment shrinkToFit="1"/>
      <protection locked="0"/>
    </xf>
    <xf numFmtId="49" fontId="107" fillId="3" borderId="44" xfId="0" applyNumberFormat="1" applyFont="1" applyFill="1" applyBorder="1" applyAlignment="1" applyProtection="1">
      <alignment shrinkToFit="1"/>
      <protection locked="0"/>
    </xf>
    <xf numFmtId="49" fontId="107" fillId="3" borderId="45" xfId="0" applyNumberFormat="1" applyFont="1" applyFill="1" applyBorder="1" applyAlignment="1" applyProtection="1">
      <alignment shrinkToFit="1"/>
      <protection locked="0"/>
    </xf>
    <xf numFmtId="49" fontId="107" fillId="3" borderId="46" xfId="0" applyNumberFormat="1" applyFont="1" applyFill="1" applyBorder="1" applyAlignment="1" applyProtection="1">
      <alignment shrinkToFit="1"/>
      <protection locked="0"/>
    </xf>
    <xf numFmtId="0" fontId="147" fillId="5" borderId="0" xfId="0" applyFont="1" applyFill="1" applyBorder="1" applyProtection="1">
      <protection locked="0"/>
    </xf>
    <xf numFmtId="49" fontId="107" fillId="3" borderId="47" xfId="0" applyNumberFormat="1" applyFont="1" applyFill="1" applyBorder="1" applyAlignment="1" applyProtection="1">
      <protection locked="0"/>
    </xf>
    <xf numFmtId="49" fontId="107" fillId="3" borderId="48" xfId="0" applyNumberFormat="1" applyFont="1" applyFill="1" applyBorder="1" applyAlignment="1" applyProtection="1">
      <protection locked="0"/>
    </xf>
    <xf numFmtId="49" fontId="80" fillId="3" borderId="43" xfId="0" applyNumberFormat="1" applyFont="1" applyFill="1" applyBorder="1" applyAlignment="1" applyProtection="1">
      <protection locked="0"/>
    </xf>
    <xf numFmtId="49" fontId="80" fillId="3" borderId="44" xfId="0" applyNumberFormat="1" applyFont="1" applyFill="1" applyBorder="1" applyAlignment="1" applyProtection="1">
      <protection locked="0"/>
    </xf>
    <xf numFmtId="49" fontId="80" fillId="3" borderId="49" xfId="0" applyNumberFormat="1" applyFont="1" applyFill="1" applyBorder="1" applyAlignment="1" applyProtection="1">
      <protection locked="0"/>
    </xf>
    <xf numFmtId="49" fontId="107" fillId="3" borderId="49" xfId="0" applyNumberFormat="1" applyFont="1" applyFill="1" applyBorder="1" applyAlignment="1" applyProtection="1">
      <alignment shrinkToFit="1"/>
      <protection locked="0"/>
    </xf>
    <xf numFmtId="49" fontId="107" fillId="3" borderId="50" xfId="0" applyNumberFormat="1" applyFont="1" applyFill="1" applyBorder="1" applyAlignment="1" applyProtection="1">
      <alignment shrinkToFit="1"/>
      <protection locked="0"/>
    </xf>
    <xf numFmtId="3" fontId="1" fillId="0" borderId="0" xfId="0" applyNumberFormat="1" applyFont="1" applyFill="1" applyBorder="1"/>
    <xf numFmtId="164" fontId="107" fillId="4" borderId="51" xfId="0" applyNumberFormat="1" applyFont="1" applyFill="1" applyBorder="1" applyAlignment="1">
      <alignment shrinkToFit="1"/>
    </xf>
    <xf numFmtId="164" fontId="107" fillId="4" borderId="52" xfId="0" applyNumberFormat="1" applyFont="1" applyFill="1" applyBorder="1" applyAlignment="1">
      <alignment shrinkToFit="1"/>
    </xf>
    <xf numFmtId="0" fontId="1" fillId="0" borderId="5" xfId="0" applyFont="1" applyFill="1" applyBorder="1" applyProtection="1">
      <protection locked="0"/>
    </xf>
    <xf numFmtId="0" fontId="15" fillId="0" borderId="6" xfId="0" applyFont="1" applyFill="1" applyBorder="1" applyProtection="1">
      <protection locked="0"/>
    </xf>
    <xf numFmtId="0" fontId="15" fillId="0" borderId="12" xfId="0" applyFont="1" applyFill="1" applyBorder="1" applyProtection="1">
      <protection locked="0"/>
    </xf>
    <xf numFmtId="0" fontId="1" fillId="0" borderId="5" xfId="0" applyFont="1" applyBorder="1"/>
    <xf numFmtId="0" fontId="1" fillId="0" borderId="6" xfId="0" applyFont="1" applyBorder="1"/>
    <xf numFmtId="0" fontId="1" fillId="0" borderId="12" xfId="0" applyFont="1" applyBorder="1"/>
    <xf numFmtId="3" fontId="17" fillId="0" borderId="0" xfId="0" applyNumberFormat="1" applyFont="1" applyFill="1" applyBorder="1" applyAlignment="1"/>
    <xf numFmtId="0" fontId="2" fillId="0" borderId="0" xfId="0" applyFont="1" applyFill="1" applyProtection="1">
      <protection locked="0"/>
    </xf>
    <xf numFmtId="0" fontId="2" fillId="0" borderId="23" xfId="0" applyFont="1" applyFill="1" applyBorder="1"/>
    <xf numFmtId="0" fontId="26" fillId="0" borderId="0" xfId="0" applyFont="1" applyFill="1" applyBorder="1" applyProtection="1">
      <protection locked="0"/>
    </xf>
    <xf numFmtId="0" fontId="26" fillId="0" borderId="0" xfId="0" applyFont="1" applyFill="1" applyBorder="1"/>
    <xf numFmtId="0" fontId="26" fillId="0" borderId="0" xfId="0" applyFont="1" applyFill="1" applyBorder="1" applyAlignment="1">
      <alignment vertical="center"/>
    </xf>
    <xf numFmtId="0" fontId="2" fillId="0" borderId="0" xfId="0" applyFont="1" applyFill="1" applyAlignment="1">
      <alignment vertical="center"/>
    </xf>
    <xf numFmtId="0" fontId="2" fillId="0" borderId="23" xfId="0" applyFont="1" applyFill="1" applyBorder="1" applyAlignment="1">
      <alignment vertical="center"/>
    </xf>
    <xf numFmtId="3" fontId="26" fillId="0" borderId="0" xfId="0" applyNumberFormat="1" applyFont="1" applyFill="1" applyBorder="1"/>
    <xf numFmtId="3" fontId="2" fillId="0" borderId="0" xfId="0" applyNumberFormat="1" applyFont="1" applyFill="1"/>
    <xf numFmtId="3" fontId="2" fillId="0" borderId="23" xfId="0" applyNumberFormat="1" applyFont="1" applyFill="1" applyBorder="1"/>
    <xf numFmtId="0" fontId="59" fillId="0" borderId="0" xfId="0" applyFont="1"/>
    <xf numFmtId="0" fontId="6" fillId="0" borderId="0" xfId="0" applyFont="1"/>
    <xf numFmtId="3" fontId="118" fillId="3" borderId="53" xfId="0" applyNumberFormat="1" applyFont="1" applyFill="1" applyBorder="1" applyAlignment="1" applyProtection="1">
      <alignment horizontal="right"/>
      <protection locked="0"/>
    </xf>
    <xf numFmtId="3" fontId="118" fillId="3" borderId="54" xfId="0" applyNumberFormat="1" applyFont="1" applyFill="1" applyBorder="1" applyAlignment="1" applyProtection="1">
      <alignment horizontal="right"/>
      <protection locked="0"/>
    </xf>
    <xf numFmtId="3" fontId="149" fillId="3" borderId="53" xfId="0" applyNumberFormat="1" applyFont="1" applyFill="1" applyBorder="1" applyAlignment="1" applyProtection="1">
      <alignment horizontal="center"/>
      <protection locked="0"/>
    </xf>
    <xf numFmtId="3" fontId="149" fillId="3" borderId="54" xfId="0" applyNumberFormat="1" applyFont="1" applyFill="1" applyBorder="1" applyAlignment="1" applyProtection="1">
      <alignment horizontal="center"/>
      <protection locked="0"/>
    </xf>
    <xf numFmtId="3" fontId="149" fillId="3" borderId="55" xfId="0" applyNumberFormat="1" applyFont="1" applyFill="1" applyBorder="1" applyAlignment="1" applyProtection="1">
      <alignment horizontal="center"/>
      <protection locked="0"/>
    </xf>
    <xf numFmtId="3" fontId="149" fillId="3" borderId="56" xfId="0" applyNumberFormat="1" applyFont="1" applyFill="1" applyBorder="1" applyAlignment="1" applyProtection="1">
      <alignment horizontal="center"/>
      <protection locked="0"/>
    </xf>
    <xf numFmtId="3" fontId="149" fillId="3" borderId="57" xfId="0" applyNumberFormat="1" applyFont="1" applyFill="1" applyBorder="1" applyAlignment="1" applyProtection="1">
      <alignment horizontal="center"/>
      <protection locked="0"/>
    </xf>
    <xf numFmtId="3" fontId="118" fillId="3" borderId="56" xfId="0" applyNumberFormat="1" applyFont="1" applyFill="1" applyBorder="1" applyAlignment="1" applyProtection="1">
      <alignment horizontal="right"/>
      <protection locked="0"/>
    </xf>
    <xf numFmtId="3" fontId="118" fillId="3" borderId="57" xfId="0" applyNumberFormat="1" applyFont="1" applyFill="1" applyBorder="1" applyAlignment="1" applyProtection="1">
      <alignment horizontal="right"/>
      <protection locked="0"/>
    </xf>
    <xf numFmtId="3" fontId="79" fillId="0" borderId="58" xfId="0" applyNumberFormat="1" applyFont="1" applyBorder="1" applyAlignment="1" applyProtection="1">
      <alignment horizontal="center" shrinkToFit="1"/>
      <protection locked="0"/>
    </xf>
    <xf numFmtId="3" fontId="79" fillId="0" borderId="56" xfId="0" applyNumberFormat="1" applyFont="1" applyBorder="1" applyAlignment="1" applyProtection="1">
      <alignment horizontal="center" shrinkToFit="1"/>
      <protection locked="0"/>
    </xf>
    <xf numFmtId="3" fontId="79" fillId="0" borderId="57" xfId="0" applyNumberFormat="1" applyFont="1" applyBorder="1" applyAlignment="1" applyProtection="1">
      <alignment horizontal="center" shrinkToFit="1"/>
      <protection locked="0"/>
    </xf>
    <xf numFmtId="3" fontId="89" fillId="4" borderId="3" xfId="0" applyNumberFormat="1" applyFont="1" applyFill="1" applyBorder="1" applyAlignment="1" applyProtection="1">
      <alignment horizontal="center" vertical="center"/>
    </xf>
    <xf numFmtId="0" fontId="152" fillId="4" borderId="59" xfId="0" applyFont="1" applyFill="1" applyBorder="1" applyAlignment="1">
      <alignment horizontal="center" vertical="center"/>
    </xf>
    <xf numFmtId="0" fontId="79" fillId="0" borderId="3" xfId="0" applyFont="1" applyBorder="1" applyAlignment="1" applyProtection="1">
      <alignment horizontal="center" shrinkToFit="1"/>
      <protection locked="0"/>
    </xf>
    <xf numFmtId="0" fontId="152" fillId="4" borderId="3" xfId="0" applyFont="1" applyFill="1" applyBorder="1" applyAlignment="1">
      <alignment horizontal="center" vertical="center"/>
    </xf>
    <xf numFmtId="3" fontId="150" fillId="4" borderId="3" xfId="0" applyNumberFormat="1" applyFont="1" applyFill="1" applyBorder="1" applyAlignment="1">
      <alignment horizontal="right" vertical="center"/>
    </xf>
    <xf numFmtId="0" fontId="17" fillId="0" borderId="0" xfId="0" applyFont="1" applyFill="1" applyProtection="1">
      <protection locked="0"/>
    </xf>
    <xf numFmtId="0" fontId="17" fillId="0" borderId="0" xfId="0" applyFont="1" applyFill="1" applyAlignment="1" applyProtection="1">
      <alignment vertical="center"/>
      <protection locked="0"/>
    </xf>
    <xf numFmtId="3" fontId="17" fillId="0" borderId="0" xfId="0" applyNumberFormat="1" applyFont="1" applyFill="1" applyProtection="1">
      <protection locked="0"/>
    </xf>
    <xf numFmtId="0" fontId="17" fillId="0" borderId="0" xfId="0" applyFont="1" applyFill="1" applyAlignment="1" applyProtection="1">
      <protection locked="0"/>
    </xf>
    <xf numFmtId="0" fontId="17" fillId="0" borderId="0" xfId="0" applyFont="1" applyFill="1" applyBorder="1" applyProtection="1">
      <protection locked="0"/>
    </xf>
    <xf numFmtId="0" fontId="3" fillId="0" borderId="37" xfId="0" applyFont="1" applyFill="1" applyBorder="1"/>
    <xf numFmtId="0" fontId="3" fillId="0" borderId="0" xfId="0" applyFont="1" applyFill="1"/>
    <xf numFmtId="0" fontId="17" fillId="0" borderId="0" xfId="0" applyFont="1" applyFill="1"/>
    <xf numFmtId="0" fontId="153" fillId="0" borderId="0" xfId="0" applyFont="1" applyFill="1" applyBorder="1"/>
    <xf numFmtId="0" fontId="17" fillId="0" borderId="0" xfId="0" applyFont="1" applyFill="1" applyBorder="1"/>
    <xf numFmtId="0" fontId="17" fillId="0" borderId="0" xfId="0" applyFont="1" applyFill="1" applyBorder="1" applyAlignment="1">
      <alignment vertical="center"/>
    </xf>
    <xf numFmtId="3" fontId="17" fillId="0" borderId="0" xfId="0" applyNumberFormat="1" applyFont="1" applyFill="1" applyBorder="1"/>
    <xf numFmtId="3" fontId="154" fillId="0" borderId="25" xfId="0" applyNumberFormat="1" applyFont="1" applyFill="1" applyBorder="1"/>
    <xf numFmtId="0" fontId="154" fillId="0" borderId="25" xfId="0" applyFont="1" applyFill="1" applyBorder="1"/>
    <xf numFmtId="0" fontId="3" fillId="0" borderId="23" xfId="0" applyFont="1" applyFill="1" applyBorder="1"/>
    <xf numFmtId="0" fontId="3" fillId="0" borderId="24" xfId="0" applyFont="1" applyFill="1" applyBorder="1"/>
    <xf numFmtId="3" fontId="0" fillId="0" borderId="0" xfId="0" applyNumberFormat="1" applyBorder="1"/>
    <xf numFmtId="3" fontId="80" fillId="5" borderId="22" xfId="0" applyNumberFormat="1" applyFont="1" applyFill="1" applyBorder="1"/>
    <xf numFmtId="3" fontId="17" fillId="5" borderId="9" xfId="0" applyNumberFormat="1" applyFont="1" applyFill="1" applyBorder="1" applyProtection="1">
      <protection locked="0"/>
    </xf>
    <xf numFmtId="0" fontId="17" fillId="5" borderId="10" xfId="0" applyFont="1" applyFill="1" applyBorder="1" applyProtection="1">
      <protection locked="0"/>
    </xf>
    <xf numFmtId="0" fontId="17" fillId="5" borderId="17" xfId="0" applyFont="1" applyFill="1" applyBorder="1" applyProtection="1">
      <protection locked="0"/>
    </xf>
    <xf numFmtId="3" fontId="17" fillId="5" borderId="7" xfId="0" applyNumberFormat="1" applyFont="1" applyFill="1" applyBorder="1" applyProtection="1">
      <protection locked="0"/>
    </xf>
    <xf numFmtId="0" fontId="17" fillId="5" borderId="0" xfId="0" applyFont="1" applyFill="1" applyBorder="1" applyProtection="1">
      <protection locked="0"/>
    </xf>
    <xf numFmtId="0" fontId="17" fillId="5" borderId="16" xfId="0" applyFont="1" applyFill="1" applyBorder="1" applyProtection="1">
      <protection locked="0"/>
    </xf>
    <xf numFmtId="3" fontId="17" fillId="5" borderId="8" xfId="0" applyNumberFormat="1" applyFont="1" applyFill="1" applyBorder="1" applyProtection="1">
      <protection locked="0"/>
    </xf>
    <xf numFmtId="0" fontId="17" fillId="5" borderId="4" xfId="0" applyFont="1" applyFill="1" applyBorder="1" applyProtection="1">
      <protection locked="0"/>
    </xf>
    <xf numFmtId="0" fontId="17" fillId="5" borderId="18" xfId="0" applyFont="1" applyFill="1" applyBorder="1" applyProtection="1">
      <protection locked="0"/>
    </xf>
    <xf numFmtId="0" fontId="17" fillId="5" borderId="7" xfId="0" applyFont="1" applyFill="1" applyBorder="1" applyAlignment="1" applyProtection="1">
      <protection locked="0"/>
    </xf>
    <xf numFmtId="0" fontId="17" fillId="5" borderId="0" xfId="0" applyFont="1" applyFill="1" applyBorder="1" applyAlignment="1" applyProtection="1">
      <protection locked="0"/>
    </xf>
    <xf numFmtId="3" fontId="80" fillId="5" borderId="22" xfId="0" applyNumberFormat="1" applyFont="1" applyFill="1" applyBorder="1" applyProtection="1">
      <protection locked="0"/>
    </xf>
    <xf numFmtId="0" fontId="17" fillId="5" borderId="16" xfId="0" applyFont="1" applyFill="1" applyBorder="1" applyAlignment="1" applyProtection="1">
      <protection locked="0"/>
    </xf>
    <xf numFmtId="0" fontId="17" fillId="5" borderId="7" xfId="0" applyFont="1" applyFill="1" applyBorder="1" applyProtection="1">
      <protection locked="0"/>
    </xf>
    <xf numFmtId="0" fontId="3" fillId="5" borderId="16" xfId="0" applyFont="1" applyFill="1" applyBorder="1"/>
    <xf numFmtId="0" fontId="17" fillId="5" borderId="22" xfId="0" applyFont="1" applyFill="1" applyBorder="1" applyProtection="1">
      <protection locked="0"/>
    </xf>
    <xf numFmtId="0" fontId="17" fillId="5" borderId="8" xfId="0" applyFont="1" applyFill="1" applyBorder="1" applyProtection="1">
      <protection locked="0"/>
    </xf>
    <xf numFmtId="0" fontId="3" fillId="5" borderId="18" xfId="0" applyFont="1" applyFill="1" applyBorder="1"/>
    <xf numFmtId="0" fontId="17" fillId="5" borderId="9" xfId="0" applyFont="1" applyFill="1" applyBorder="1" applyProtection="1">
      <protection locked="0"/>
    </xf>
    <xf numFmtId="3" fontId="17" fillId="5" borderId="22" xfId="0" applyNumberFormat="1" applyFont="1" applyFill="1" applyBorder="1" applyProtection="1">
      <protection locked="0"/>
    </xf>
    <xf numFmtId="3" fontId="17" fillId="5" borderId="4" xfId="0" applyNumberFormat="1" applyFont="1" applyFill="1" applyBorder="1" applyProtection="1">
      <protection locked="0"/>
    </xf>
    <xf numFmtId="0" fontId="52" fillId="5" borderId="9" xfId="0" applyFont="1" applyFill="1" applyBorder="1" applyAlignment="1" applyProtection="1">
      <protection locked="0"/>
    </xf>
    <xf numFmtId="0" fontId="52" fillId="5" borderId="10" xfId="0" applyFont="1" applyFill="1" applyBorder="1" applyProtection="1">
      <protection locked="0"/>
    </xf>
    <xf numFmtId="3" fontId="17" fillId="5" borderId="22" xfId="0" applyNumberFormat="1" applyFont="1" applyFill="1" applyBorder="1" applyAlignment="1" applyProtection="1">
      <protection locked="0"/>
    </xf>
    <xf numFmtId="3" fontId="17" fillId="5" borderId="0" xfId="0" applyNumberFormat="1" applyFont="1" applyFill="1" applyBorder="1" applyProtection="1">
      <protection locked="0"/>
    </xf>
    <xf numFmtId="3" fontId="17" fillId="5" borderId="16" xfId="0" applyNumberFormat="1" applyFont="1" applyFill="1" applyBorder="1" applyProtection="1">
      <protection locked="0"/>
    </xf>
    <xf numFmtId="3" fontId="17" fillId="5" borderId="18" xfId="0" applyNumberFormat="1" applyFont="1" applyFill="1" applyBorder="1" applyProtection="1">
      <protection locked="0"/>
    </xf>
    <xf numFmtId="0" fontId="52" fillId="5" borderId="9" xfId="0" applyFont="1" applyFill="1" applyBorder="1" applyProtection="1">
      <protection locked="0"/>
    </xf>
    <xf numFmtId="0" fontId="52" fillId="5" borderId="5" xfId="0" applyFont="1" applyFill="1" applyBorder="1" applyProtection="1">
      <protection locked="0"/>
    </xf>
    <xf numFmtId="0" fontId="17" fillId="5" borderId="6" xfId="0" applyFont="1" applyFill="1" applyBorder="1" applyProtection="1">
      <protection locked="0"/>
    </xf>
    <xf numFmtId="3" fontId="52" fillId="5" borderId="6" xfId="0" applyNumberFormat="1" applyFont="1" applyFill="1" applyBorder="1" applyProtection="1">
      <protection locked="0"/>
    </xf>
    <xf numFmtId="0" fontId="17" fillId="5" borderId="12" xfId="0" applyFont="1" applyFill="1" applyBorder="1" applyProtection="1">
      <protection locked="0"/>
    </xf>
    <xf numFmtId="3" fontId="80" fillId="5" borderId="15" xfId="0" applyNumberFormat="1" applyFont="1" applyFill="1" applyBorder="1" applyProtection="1">
      <protection locked="0"/>
    </xf>
    <xf numFmtId="3" fontId="17" fillId="5" borderId="7" xfId="0" applyNumberFormat="1" applyFont="1" applyFill="1" applyBorder="1" applyAlignment="1" applyProtection="1">
      <protection locked="0"/>
    </xf>
    <xf numFmtId="3" fontId="80" fillId="5" borderId="15" xfId="0" applyNumberFormat="1" applyFont="1" applyFill="1" applyBorder="1"/>
    <xf numFmtId="0" fontId="17" fillId="5" borderId="5" xfId="0" applyFont="1" applyFill="1" applyBorder="1" applyAlignment="1" applyProtection="1">
      <protection locked="0"/>
    </xf>
    <xf numFmtId="0" fontId="17" fillId="5" borderId="6" xfId="0" applyFont="1" applyFill="1" applyBorder="1" applyAlignment="1" applyProtection="1">
      <protection locked="0"/>
    </xf>
    <xf numFmtId="3" fontId="17" fillId="5" borderId="6" xfId="0" applyNumberFormat="1" applyFont="1" applyFill="1" applyBorder="1" applyAlignment="1" applyProtection="1">
      <protection locked="0"/>
    </xf>
    <xf numFmtId="0" fontId="17" fillId="5" borderId="12" xfId="0" applyFont="1" applyFill="1" applyBorder="1" applyAlignment="1" applyProtection="1">
      <protection locked="0"/>
    </xf>
    <xf numFmtId="3" fontId="121" fillId="4" borderId="3" xfId="0" applyNumberFormat="1" applyFont="1" applyFill="1" applyBorder="1" applyAlignment="1" applyProtection="1">
      <alignment horizontal="right"/>
    </xf>
    <xf numFmtId="168" fontId="155" fillId="3" borderId="3" xfId="0" applyNumberFormat="1" applyFont="1" applyFill="1" applyBorder="1" applyAlignment="1" applyProtection="1">
      <alignment shrinkToFit="1"/>
      <protection locked="0"/>
    </xf>
    <xf numFmtId="3" fontId="113" fillId="0" borderId="58" xfId="0" applyNumberFormat="1" applyFont="1" applyBorder="1" applyAlignment="1" applyProtection="1">
      <alignment horizontal="right" shrinkToFit="1"/>
      <protection locked="0"/>
    </xf>
    <xf numFmtId="3" fontId="113" fillId="0" borderId="56" xfId="0" applyNumberFormat="1" applyFont="1" applyBorder="1" applyAlignment="1" applyProtection="1">
      <alignment horizontal="right" shrinkToFit="1"/>
      <protection locked="0"/>
    </xf>
    <xf numFmtId="3" fontId="113" fillId="0" borderId="57" xfId="0" applyNumberFormat="1" applyFont="1" applyBorder="1" applyAlignment="1" applyProtection="1">
      <alignment horizontal="right" shrinkToFit="1"/>
      <protection locked="0"/>
    </xf>
    <xf numFmtId="3" fontId="113" fillId="0" borderId="3" xfId="0" applyNumberFormat="1" applyFont="1" applyBorder="1" applyAlignment="1" applyProtection="1">
      <alignment horizontal="right" shrinkToFit="1"/>
      <protection locked="0"/>
    </xf>
    <xf numFmtId="3" fontId="115" fillId="7" borderId="60" xfId="0" applyNumberFormat="1" applyFont="1" applyFill="1" applyBorder="1" applyAlignment="1" applyProtection="1">
      <alignment horizontal="center" vertical="center"/>
    </xf>
    <xf numFmtId="0" fontId="121" fillId="4" borderId="61" xfId="0" applyFont="1" applyFill="1" applyBorder="1" applyAlignment="1" applyProtection="1"/>
    <xf numFmtId="0" fontId="121" fillId="4" borderId="62" xfId="0" applyFont="1" applyFill="1" applyBorder="1" applyAlignment="1" applyProtection="1"/>
    <xf numFmtId="0" fontId="121" fillId="4" borderId="63" xfId="0" applyFont="1" applyFill="1" applyBorder="1" applyAlignment="1" applyProtection="1"/>
    <xf numFmtId="3" fontId="61" fillId="0" borderId="11" xfId="0" applyNumberFormat="1" applyFont="1" applyFill="1" applyBorder="1"/>
    <xf numFmtId="3" fontId="61" fillId="0" borderId="14" xfId="0" applyNumberFormat="1" applyFont="1" applyFill="1" applyBorder="1"/>
    <xf numFmtId="3" fontId="61" fillId="0" borderId="15" xfId="0" applyNumberFormat="1" applyFont="1" applyFill="1" applyBorder="1"/>
    <xf numFmtId="3" fontId="122" fillId="7" borderId="64" xfId="0" applyNumberFormat="1" applyFont="1" applyFill="1" applyBorder="1" applyAlignment="1" applyProtection="1">
      <alignment vertical="center"/>
    </xf>
    <xf numFmtId="3" fontId="122" fillId="7" borderId="64" xfId="0" applyNumberFormat="1" applyFont="1" applyFill="1" applyBorder="1" applyAlignment="1" applyProtection="1">
      <alignment horizontal="right" vertical="center"/>
    </xf>
    <xf numFmtId="3" fontId="79" fillId="3" borderId="65" xfId="0" applyNumberFormat="1" applyFont="1" applyFill="1" applyBorder="1" applyAlignment="1" applyProtection="1">
      <alignment horizontal="right" vertical="center" shrinkToFit="1"/>
      <protection locked="0"/>
    </xf>
    <xf numFmtId="3" fontId="122" fillId="8" borderId="66" xfId="0" applyNumberFormat="1" applyFont="1" applyFill="1" applyBorder="1" applyAlignment="1" applyProtection="1">
      <alignment vertical="center"/>
    </xf>
    <xf numFmtId="3" fontId="122" fillId="8" borderId="67" xfId="0" applyNumberFormat="1" applyFont="1" applyFill="1" applyBorder="1" applyAlignment="1" applyProtection="1">
      <alignment vertical="center"/>
    </xf>
    <xf numFmtId="3" fontId="122" fillId="8" borderId="68" xfId="0" applyNumberFormat="1" applyFont="1" applyFill="1" applyBorder="1" applyAlignment="1" applyProtection="1">
      <alignment horizontal="right" vertical="center"/>
    </xf>
    <xf numFmtId="166" fontId="156" fillId="7" borderId="60" xfId="0" applyNumberFormat="1" applyFont="1" applyFill="1" applyBorder="1" applyAlignment="1">
      <alignment vertical="center" shrinkToFit="1"/>
    </xf>
    <xf numFmtId="0" fontId="26" fillId="0" borderId="0" xfId="0" applyFont="1" applyFill="1" applyProtection="1">
      <protection locked="0"/>
    </xf>
    <xf numFmtId="0" fontId="80" fillId="0" borderId="0" xfId="0" applyFont="1" applyFill="1" applyProtection="1">
      <protection locked="0"/>
    </xf>
    <xf numFmtId="0" fontId="59" fillId="0" borderId="0" xfId="0" applyFont="1" applyFill="1" applyProtection="1">
      <protection locked="0"/>
    </xf>
    <xf numFmtId="0" fontId="107" fillId="0" borderId="0" xfId="0" applyFont="1" applyFill="1" applyProtection="1">
      <protection locked="0"/>
    </xf>
    <xf numFmtId="0" fontId="2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3" fontId="26" fillId="0" borderId="0" xfId="0" applyNumberFormat="1" applyFont="1" applyFill="1" applyProtection="1">
      <protection locked="0"/>
    </xf>
    <xf numFmtId="3" fontId="80" fillId="0" borderId="0" xfId="0" applyNumberFormat="1" applyFont="1" applyFill="1" applyProtection="1">
      <protection locked="0"/>
    </xf>
    <xf numFmtId="0" fontId="26" fillId="0" borderId="0" xfId="0" applyFont="1" applyFill="1" applyAlignment="1" applyProtection="1">
      <protection locked="0"/>
    </xf>
    <xf numFmtId="0" fontId="2" fillId="0" borderId="0" xfId="0" applyFont="1" applyFill="1" applyBorder="1" applyProtection="1">
      <protection locked="0"/>
    </xf>
    <xf numFmtId="0" fontId="0" fillId="0" borderId="0" xfId="0" applyFill="1" applyBorder="1"/>
    <xf numFmtId="0" fontId="0" fillId="0" borderId="37" xfId="0" applyFill="1" applyBorder="1"/>
    <xf numFmtId="0" fontId="80" fillId="0" borderId="0" xfId="0" applyFont="1" applyFill="1" applyBorder="1" applyProtection="1">
      <protection locked="0"/>
    </xf>
    <xf numFmtId="0" fontId="61" fillId="0" borderId="0" xfId="0" applyFont="1" applyFill="1" applyBorder="1" applyProtection="1">
      <protection locked="0"/>
    </xf>
    <xf numFmtId="0" fontId="48" fillId="0" borderId="0" xfId="0" applyFont="1" applyFill="1" applyBorder="1" applyProtection="1">
      <protection locked="0"/>
    </xf>
    <xf numFmtId="0" fontId="91" fillId="0" borderId="0" xfId="0" applyFont="1" applyFill="1" applyBorder="1"/>
    <xf numFmtId="0" fontId="61" fillId="0" borderId="0" xfId="0" applyFont="1" applyFill="1" applyBorder="1"/>
    <xf numFmtId="0" fontId="48" fillId="0" borderId="0" xfId="0" applyFont="1" applyFill="1" applyBorder="1"/>
    <xf numFmtId="0" fontId="107" fillId="0" borderId="0" xfId="0" applyFont="1" applyFill="1" applyBorder="1"/>
    <xf numFmtId="0" fontId="63" fillId="0" borderId="0" xfId="0" applyFont="1" applyFill="1" applyBorder="1"/>
    <xf numFmtId="0" fontId="70" fillId="0" borderId="0" xfId="0" applyFont="1" applyFill="1" applyBorder="1"/>
    <xf numFmtId="0" fontId="60" fillId="0" borderId="0" xfId="0" applyFont="1" applyFill="1" applyBorder="1"/>
    <xf numFmtId="0" fontId="59" fillId="0" borderId="0" xfId="0" applyFont="1" applyFill="1" applyBorder="1"/>
    <xf numFmtId="0" fontId="59" fillId="0" borderId="0" xfId="0" applyFont="1" applyFill="1"/>
    <xf numFmtId="0" fontId="80" fillId="0" borderId="0" xfId="0" applyFont="1" applyFill="1" applyBorder="1"/>
    <xf numFmtId="0" fontId="157" fillId="0" borderId="0" xfId="0" applyFont="1" applyFill="1" applyBorder="1"/>
    <xf numFmtId="0" fontId="80" fillId="0" borderId="0" xfId="0" applyFont="1" applyFill="1" applyBorder="1" applyAlignment="1">
      <alignment vertical="center"/>
    </xf>
    <xf numFmtId="0" fontId="48" fillId="0" borderId="0" xfId="0" applyFont="1" applyFill="1" applyBorder="1" applyAlignment="1">
      <alignment vertical="center"/>
    </xf>
    <xf numFmtId="0" fontId="2" fillId="0" borderId="0" xfId="0" applyFont="1" applyFill="1" applyBorder="1" applyAlignment="1">
      <alignment vertical="center"/>
    </xf>
    <xf numFmtId="3" fontId="80" fillId="0" borderId="0" xfId="0" applyNumberFormat="1" applyFont="1" applyFill="1" applyBorder="1"/>
    <xf numFmtId="3" fontId="61" fillId="0" borderId="0" xfId="0" applyNumberFormat="1" applyFont="1" applyFill="1" applyProtection="1"/>
    <xf numFmtId="3" fontId="48" fillId="0" borderId="0" xfId="0" applyNumberFormat="1" applyFont="1" applyFill="1" applyBorder="1"/>
    <xf numFmtId="3" fontId="2" fillId="0" borderId="0" xfId="0" applyNumberFormat="1" applyFont="1" applyFill="1" applyBorder="1"/>
    <xf numFmtId="3" fontId="61" fillId="0" borderId="0" xfId="0" applyNumberFormat="1" applyFont="1" applyFill="1" applyAlignment="1" applyProtection="1">
      <alignment horizontal="right"/>
    </xf>
    <xf numFmtId="3" fontId="61" fillId="0" borderId="0" xfId="0" applyNumberFormat="1" applyFont="1" applyFill="1" applyBorder="1"/>
    <xf numFmtId="0" fontId="26" fillId="0" borderId="9" xfId="0" applyFont="1" applyFill="1" applyBorder="1" applyAlignment="1">
      <alignment vertical="center"/>
    </xf>
    <xf numFmtId="3" fontId="61" fillId="0" borderId="11" xfId="0" applyNumberFormat="1" applyFont="1" applyFill="1" applyBorder="1" applyAlignment="1" applyProtection="1">
      <alignment horizontal="right" vertical="center"/>
    </xf>
    <xf numFmtId="3" fontId="61" fillId="0" borderId="17" xfId="0" applyNumberFormat="1" applyFont="1" applyFill="1" applyBorder="1" applyAlignment="1" applyProtection="1">
      <alignment vertical="center"/>
    </xf>
    <xf numFmtId="3" fontId="26" fillId="0" borderId="8" xfId="0" applyNumberFormat="1" applyFont="1" applyFill="1" applyBorder="1"/>
    <xf numFmtId="3" fontId="61" fillId="0" borderId="15" xfId="0" applyNumberFormat="1" applyFont="1" applyFill="1" applyBorder="1" applyAlignment="1" applyProtection="1">
      <alignment horizontal="right"/>
    </xf>
    <xf numFmtId="3" fontId="26" fillId="0" borderId="18" xfId="0" applyNumberFormat="1" applyFont="1" applyFill="1" applyBorder="1"/>
    <xf numFmtId="3" fontId="67" fillId="0" borderId="25" xfId="0" applyNumberFormat="1" applyFont="1" applyFill="1" applyBorder="1"/>
    <xf numFmtId="0" fontId="67" fillId="0" borderId="25" xfId="0" applyFont="1" applyFill="1" applyBorder="1"/>
    <xf numFmtId="0" fontId="34" fillId="0" borderId="0" xfId="0" applyFont="1" applyFill="1" applyBorder="1"/>
    <xf numFmtId="0" fontId="1" fillId="0" borderId="0" xfId="0" applyFont="1" applyFill="1" applyBorder="1"/>
    <xf numFmtId="0" fontId="1" fillId="0" borderId="0" xfId="0" applyFont="1" applyFill="1"/>
    <xf numFmtId="0" fontId="1" fillId="0" borderId="23" xfId="0" applyFont="1" applyFill="1" applyBorder="1"/>
    <xf numFmtId="0" fontId="0" fillId="0" borderId="23" xfId="0" applyFill="1" applyBorder="1"/>
    <xf numFmtId="0" fontId="34" fillId="0" borderId="37" xfId="0" applyFont="1" applyFill="1" applyBorder="1"/>
    <xf numFmtId="0" fontId="0" fillId="0" borderId="24" xfId="0" applyFill="1" applyBorder="1"/>
    <xf numFmtId="3" fontId="79" fillId="3" borderId="69" xfId="0" applyNumberFormat="1" applyFont="1" applyFill="1" applyBorder="1" applyAlignment="1" applyProtection="1">
      <alignment horizontal="center" shrinkToFit="1"/>
      <protection locked="0"/>
    </xf>
    <xf numFmtId="166" fontId="79" fillId="3" borderId="69" xfId="0" applyNumberFormat="1" applyFont="1" applyFill="1" applyBorder="1" applyAlignment="1" applyProtection="1">
      <alignment shrinkToFit="1"/>
      <protection locked="0"/>
    </xf>
    <xf numFmtId="3" fontId="79" fillId="3" borderId="69" xfId="0" applyNumberFormat="1" applyFont="1" applyFill="1" applyBorder="1" applyAlignment="1" applyProtection="1">
      <alignment shrinkToFit="1"/>
      <protection locked="0"/>
    </xf>
    <xf numFmtId="166" fontId="79" fillId="3" borderId="69" xfId="0" applyNumberFormat="1" applyFont="1" applyFill="1" applyBorder="1" applyAlignment="1" applyProtection="1">
      <alignment horizontal="center" shrinkToFit="1"/>
      <protection locked="0"/>
    </xf>
    <xf numFmtId="3" fontId="80" fillId="4" borderId="70" xfId="0" applyNumberFormat="1" applyFont="1" applyFill="1" applyBorder="1" applyAlignment="1" applyProtection="1">
      <alignment horizontal="center"/>
      <protection locked="0"/>
    </xf>
    <xf numFmtId="3" fontId="80" fillId="4" borderId="71" xfId="0" applyNumberFormat="1" applyFont="1" applyFill="1" applyBorder="1" applyAlignment="1" applyProtection="1">
      <alignment horizontal="center"/>
      <protection locked="0"/>
    </xf>
    <xf numFmtId="3" fontId="80" fillId="4" borderId="72" xfId="0" applyNumberFormat="1" applyFont="1" applyFill="1" applyBorder="1" applyAlignment="1" applyProtection="1">
      <alignment horizontal="center"/>
      <protection locked="0"/>
    </xf>
    <xf numFmtId="3" fontId="79" fillId="3" borderId="73" xfId="0" applyNumberFormat="1" applyFont="1" applyFill="1" applyBorder="1" applyAlignment="1" applyProtection="1">
      <alignment shrinkToFit="1"/>
      <protection locked="0"/>
    </xf>
    <xf numFmtId="3" fontId="79" fillId="3" borderId="74" xfId="0" applyNumberFormat="1" applyFont="1" applyFill="1" applyBorder="1" applyAlignment="1" applyProtection="1">
      <alignment horizontal="center" shrinkToFit="1"/>
      <protection locked="0"/>
    </xf>
    <xf numFmtId="3" fontId="79" fillId="3" borderId="75" xfId="0" applyNumberFormat="1" applyFont="1" applyFill="1" applyBorder="1" applyAlignment="1" applyProtection="1">
      <alignment shrinkToFit="1"/>
      <protection locked="0"/>
    </xf>
    <xf numFmtId="3" fontId="79" fillId="3" borderId="76" xfId="0" applyNumberFormat="1" applyFont="1" applyFill="1" applyBorder="1" applyAlignment="1" applyProtection="1">
      <alignment horizontal="center" shrinkToFit="1"/>
      <protection locked="0"/>
    </xf>
    <xf numFmtId="166" fontId="79" fillId="3" borderId="76" xfId="0" applyNumberFormat="1" applyFont="1" applyFill="1" applyBorder="1" applyAlignment="1" applyProtection="1">
      <alignment shrinkToFit="1"/>
      <protection locked="0"/>
    </xf>
    <xf numFmtId="3" fontId="79" fillId="3" borderId="76" xfId="0" applyNumberFormat="1" applyFont="1" applyFill="1" applyBorder="1" applyAlignment="1" applyProtection="1">
      <alignment shrinkToFit="1"/>
      <protection locked="0"/>
    </xf>
    <xf numFmtId="3" fontId="79" fillId="3" borderId="77" xfId="0" applyNumberFormat="1" applyFont="1" applyFill="1" applyBorder="1" applyAlignment="1" applyProtection="1">
      <alignment horizontal="center" shrinkToFit="1"/>
      <protection locked="0"/>
    </xf>
    <xf numFmtId="3" fontId="80" fillId="4" borderId="78" xfId="0" applyNumberFormat="1" applyFont="1" applyFill="1" applyBorder="1" applyAlignment="1" applyProtection="1">
      <alignment horizontal="center"/>
      <protection locked="0"/>
    </xf>
    <xf numFmtId="166" fontId="79" fillId="3" borderId="76" xfId="0" applyNumberFormat="1" applyFont="1" applyFill="1" applyBorder="1" applyAlignment="1" applyProtection="1">
      <alignment horizontal="center" shrinkToFit="1"/>
      <protection locked="0"/>
    </xf>
    <xf numFmtId="0" fontId="2" fillId="3" borderId="0" xfId="0" applyFont="1" applyFill="1"/>
    <xf numFmtId="0" fontId="2" fillId="3" borderId="0" xfId="0" applyFont="1" applyFill="1" applyProtection="1">
      <protection locked="0"/>
    </xf>
    <xf numFmtId="0" fontId="26" fillId="3" borderId="0" xfId="0" applyFont="1" applyFill="1" applyProtection="1">
      <protection locked="0"/>
    </xf>
    <xf numFmtId="0" fontId="26" fillId="3" borderId="0" xfId="0" applyFont="1" applyFill="1" applyAlignment="1" applyProtection="1">
      <alignment vertical="center"/>
      <protection locked="0"/>
    </xf>
    <xf numFmtId="3" fontId="26" fillId="3" borderId="0" xfId="0" applyNumberFormat="1" applyFont="1" applyFill="1" applyProtection="1">
      <protection locked="0"/>
    </xf>
    <xf numFmtId="0" fontId="26" fillId="3" borderId="0" xfId="0" applyFont="1" applyFill="1" applyAlignment="1" applyProtection="1">
      <protection locked="0"/>
    </xf>
    <xf numFmtId="0" fontId="2" fillId="3" borderId="0" xfId="0" applyFont="1" applyFill="1" applyBorder="1" applyProtection="1">
      <protection locked="0"/>
    </xf>
    <xf numFmtId="0" fontId="0" fillId="3" borderId="0" xfId="0" applyFill="1"/>
    <xf numFmtId="0" fontId="26" fillId="3" borderId="0" xfId="0" applyFont="1" applyFill="1" applyBorder="1" applyProtection="1">
      <protection locked="0"/>
    </xf>
    <xf numFmtId="0" fontId="26" fillId="3" borderId="0" xfId="0" applyFont="1" applyFill="1" applyBorder="1"/>
    <xf numFmtId="0" fontId="2" fillId="3" borderId="0" xfId="0" applyFont="1" applyFill="1" applyBorder="1"/>
    <xf numFmtId="0" fontId="26" fillId="3" borderId="0" xfId="0" applyFont="1" applyFill="1" applyBorder="1" applyAlignment="1">
      <alignment vertical="center"/>
    </xf>
    <xf numFmtId="0" fontId="2" fillId="3" borderId="0" xfId="0" applyFont="1" applyFill="1" applyBorder="1" applyAlignment="1">
      <alignment vertical="center"/>
    </xf>
    <xf numFmtId="0" fontId="2" fillId="3" borderId="0" xfId="0" applyFont="1" applyFill="1" applyAlignment="1">
      <alignment vertical="center"/>
    </xf>
    <xf numFmtId="3" fontId="26" fillId="3" borderId="0" xfId="0" applyNumberFormat="1" applyFont="1" applyFill="1" applyBorder="1"/>
    <xf numFmtId="3" fontId="2" fillId="3" borderId="0" xfId="0" applyNumberFormat="1" applyFont="1" applyFill="1" applyBorder="1"/>
    <xf numFmtId="3" fontId="2" fillId="3" borderId="0" xfId="0" applyNumberFormat="1" applyFont="1" applyFill="1"/>
    <xf numFmtId="3" fontId="46" fillId="3" borderId="25" xfId="0" applyNumberFormat="1" applyFont="1" applyFill="1" applyBorder="1"/>
    <xf numFmtId="0" fontId="46" fillId="3" borderId="25" xfId="0" applyFont="1" applyFill="1" applyBorder="1"/>
    <xf numFmtId="0" fontId="34" fillId="3" borderId="0" xfId="0" applyFont="1" applyFill="1" applyBorder="1"/>
    <xf numFmtId="0" fontId="1" fillId="3" borderId="0" xfId="0" applyFont="1" applyFill="1" applyBorder="1"/>
    <xf numFmtId="0" fontId="1" fillId="3" borderId="0" xfId="0" applyFont="1" applyFill="1"/>
    <xf numFmtId="0" fontId="34" fillId="3" borderId="37" xfId="0" applyFont="1" applyFill="1" applyBorder="1"/>
    <xf numFmtId="0" fontId="34" fillId="3" borderId="0" xfId="0" applyFont="1" applyFill="1"/>
    <xf numFmtId="49" fontId="80" fillId="4" borderId="79" xfId="0" applyNumberFormat="1" applyFont="1" applyFill="1" applyBorder="1" applyAlignment="1">
      <alignment horizontal="center" vertical="center" shrinkToFit="1"/>
    </xf>
    <xf numFmtId="49" fontId="80" fillId="4" borderId="80" xfId="0" applyNumberFormat="1" applyFont="1" applyFill="1" applyBorder="1" applyAlignment="1">
      <alignment horizontal="center" vertical="center" shrinkToFit="1"/>
    </xf>
    <xf numFmtId="0" fontId="114" fillId="3" borderId="81" xfId="0" applyFont="1" applyFill="1" applyBorder="1" applyAlignment="1" applyProtection="1">
      <alignment horizontal="right" vertical="center"/>
      <protection locked="0"/>
    </xf>
    <xf numFmtId="0" fontId="114" fillId="3" borderId="82" xfId="0" applyFont="1" applyFill="1" applyBorder="1" applyAlignment="1" applyProtection="1">
      <alignment horizontal="right" vertical="center"/>
      <protection locked="0"/>
    </xf>
    <xf numFmtId="10" fontId="113" fillId="3" borderId="83" xfId="0" applyNumberFormat="1" applyFont="1" applyFill="1" applyBorder="1" applyAlignment="1" applyProtection="1">
      <alignment horizontal="center" vertical="center"/>
      <protection locked="0"/>
    </xf>
    <xf numFmtId="49" fontId="80" fillId="4" borderId="84" xfId="0" applyNumberFormat="1" applyFont="1" applyFill="1" applyBorder="1" applyAlignment="1">
      <alignment horizontal="center" vertical="center"/>
    </xf>
    <xf numFmtId="49" fontId="80" fillId="4" borderId="79" xfId="0" applyNumberFormat="1" applyFont="1" applyFill="1" applyBorder="1" applyAlignment="1">
      <alignment horizontal="center" vertical="center"/>
    </xf>
    <xf numFmtId="0" fontId="114" fillId="3" borderId="85" xfId="0" applyFont="1" applyFill="1" applyBorder="1" applyAlignment="1" applyProtection="1">
      <alignment horizontal="right" vertical="center"/>
      <protection locked="0"/>
    </xf>
    <xf numFmtId="0" fontId="114" fillId="3" borderId="86" xfId="0" applyFont="1" applyFill="1" applyBorder="1" applyAlignment="1" applyProtection="1">
      <alignment horizontal="right" vertical="center"/>
      <protection locked="0"/>
    </xf>
    <xf numFmtId="164" fontId="107" fillId="4" borderId="87" xfId="0" applyNumberFormat="1" applyFont="1" applyFill="1" applyBorder="1" applyAlignment="1">
      <alignment shrinkToFit="1"/>
    </xf>
    <xf numFmtId="10" fontId="112" fillId="3" borderId="88" xfId="0" applyNumberFormat="1" applyFont="1" applyFill="1" applyBorder="1" applyAlignment="1" applyProtection="1">
      <alignment horizontal="right" shrinkToFit="1"/>
      <protection locked="0"/>
    </xf>
    <xf numFmtId="0" fontId="80" fillId="4" borderId="83" xfId="0" applyFont="1" applyFill="1" applyBorder="1" applyAlignment="1" applyProtection="1">
      <alignment horizontal="right" vertical="center"/>
      <protection locked="0"/>
    </xf>
    <xf numFmtId="164" fontId="107" fillId="4" borderId="89" xfId="0" applyNumberFormat="1" applyFont="1" applyFill="1" applyBorder="1" applyAlignment="1">
      <alignment shrinkToFit="1"/>
    </xf>
    <xf numFmtId="0" fontId="114" fillId="3" borderId="90" xfId="0" applyFont="1" applyFill="1" applyBorder="1" applyAlignment="1" applyProtection="1">
      <alignment horizontal="right" vertical="center"/>
      <protection locked="0"/>
    </xf>
    <xf numFmtId="0" fontId="80" fillId="4" borderId="91" xfId="0" applyFont="1" applyFill="1" applyBorder="1" applyAlignment="1" applyProtection="1">
      <alignment horizontal="right" vertical="center"/>
    </xf>
    <xf numFmtId="164" fontId="107" fillId="4" borderId="92" xfId="0" applyNumberFormat="1" applyFont="1" applyFill="1" applyBorder="1" applyAlignment="1">
      <alignment shrinkToFit="1"/>
    </xf>
    <xf numFmtId="164" fontId="107" fillId="4" borderId="93" xfId="0" applyNumberFormat="1" applyFont="1" applyFill="1" applyBorder="1" applyAlignment="1">
      <alignment shrinkToFit="1"/>
    </xf>
    <xf numFmtId="3" fontId="26" fillId="3" borderId="0" xfId="0" applyNumberFormat="1" applyFont="1" applyFill="1" applyAlignment="1">
      <alignment horizontal="right"/>
    </xf>
    <xf numFmtId="3" fontId="26" fillId="3" borderId="0" xfId="0" applyNumberFormat="1" applyFont="1" applyFill="1"/>
    <xf numFmtId="164" fontId="26" fillId="3" borderId="0" xfId="0" applyNumberFormat="1" applyFont="1" applyFill="1" applyBorder="1" applyAlignment="1">
      <alignment vertical="center"/>
    </xf>
    <xf numFmtId="3" fontId="114" fillId="3" borderId="94" xfId="0" applyNumberFormat="1" applyFont="1" applyFill="1" applyBorder="1" applyAlignment="1" applyProtection="1">
      <alignment horizontal="right" shrinkToFit="1"/>
      <protection locked="0"/>
    </xf>
    <xf numFmtId="3" fontId="114" fillId="3" borderId="26" xfId="0" applyNumberFormat="1" applyFont="1" applyFill="1" applyBorder="1" applyAlignment="1" applyProtection="1">
      <alignment horizontal="right" shrinkToFit="1"/>
      <protection locked="0"/>
    </xf>
    <xf numFmtId="3" fontId="114" fillId="3" borderId="95" xfId="0" applyNumberFormat="1" applyFont="1" applyFill="1" applyBorder="1" applyAlignment="1" applyProtection="1">
      <alignment horizontal="right" shrinkToFit="1"/>
      <protection locked="0"/>
    </xf>
    <xf numFmtId="3" fontId="114" fillId="3" borderId="96" xfId="0" applyNumberFormat="1" applyFont="1" applyFill="1" applyBorder="1" applyAlignment="1" applyProtection="1">
      <alignment horizontal="right" shrinkToFit="1"/>
      <protection locked="0"/>
    </xf>
    <xf numFmtId="3" fontId="114" fillId="3" borderId="27" xfId="0" applyNumberFormat="1" applyFont="1" applyFill="1" applyBorder="1" applyAlignment="1" applyProtection="1">
      <alignment horizontal="right" shrinkToFit="1"/>
      <protection locked="0"/>
    </xf>
    <xf numFmtId="3" fontId="114" fillId="3" borderId="97" xfId="0" applyNumberFormat="1" applyFont="1" applyFill="1" applyBorder="1" applyAlignment="1" applyProtection="1">
      <alignment horizontal="right" shrinkToFit="1"/>
      <protection locked="0"/>
    </xf>
    <xf numFmtId="3" fontId="114" fillId="3" borderId="98" xfId="0" applyNumberFormat="1" applyFont="1" applyFill="1" applyBorder="1" applyAlignment="1" applyProtection="1">
      <alignment horizontal="right" shrinkToFit="1"/>
      <protection locked="0"/>
    </xf>
    <xf numFmtId="3" fontId="114" fillId="3" borderId="99" xfId="0" applyNumberFormat="1" applyFont="1" applyFill="1" applyBorder="1" applyAlignment="1" applyProtection="1">
      <alignment horizontal="right" shrinkToFit="1"/>
      <protection locked="0"/>
    </xf>
    <xf numFmtId="3" fontId="114" fillId="3" borderId="100" xfId="0" applyNumberFormat="1" applyFont="1" applyFill="1" applyBorder="1" applyAlignment="1" applyProtection="1">
      <alignment horizontal="right" shrinkToFit="1"/>
      <protection locked="0"/>
    </xf>
    <xf numFmtId="3" fontId="114" fillId="3" borderId="101" xfId="0" applyNumberFormat="1" applyFont="1" applyFill="1" applyBorder="1" applyAlignment="1" applyProtection="1">
      <alignment horizontal="right" shrinkToFit="1"/>
      <protection locked="0"/>
    </xf>
    <xf numFmtId="3" fontId="114" fillId="3" borderId="102" xfId="0" applyNumberFormat="1" applyFont="1" applyFill="1" applyBorder="1" applyAlignment="1" applyProtection="1">
      <alignment horizontal="right" shrinkToFit="1"/>
      <protection locked="0"/>
    </xf>
    <xf numFmtId="3" fontId="114" fillId="3" borderId="103" xfId="0" applyNumberFormat="1" applyFont="1" applyFill="1" applyBorder="1" applyAlignment="1" applyProtection="1">
      <alignment horizontal="right" shrinkToFit="1"/>
      <protection locked="0"/>
    </xf>
    <xf numFmtId="3" fontId="114" fillId="3" borderId="104" xfId="0" applyNumberFormat="1" applyFont="1" applyFill="1" applyBorder="1" applyAlignment="1" applyProtection="1">
      <alignment horizontal="right" shrinkToFit="1"/>
      <protection locked="0"/>
    </xf>
    <xf numFmtId="3" fontId="114" fillId="3" borderId="105" xfId="0" applyNumberFormat="1" applyFont="1" applyFill="1" applyBorder="1" applyAlignment="1" applyProtection="1">
      <alignment horizontal="right" shrinkToFit="1"/>
      <protection locked="0"/>
    </xf>
    <xf numFmtId="3" fontId="114" fillId="3" borderId="106" xfId="0" applyNumberFormat="1" applyFont="1" applyFill="1" applyBorder="1" applyAlignment="1" applyProtection="1">
      <alignment horizontal="right" shrinkToFit="1"/>
      <protection locked="0"/>
    </xf>
    <xf numFmtId="3" fontId="114" fillId="3" borderId="107" xfId="0" applyNumberFormat="1" applyFont="1" applyFill="1" applyBorder="1" applyAlignment="1" applyProtection="1">
      <alignment horizontal="right" shrinkToFit="1"/>
      <protection locked="0"/>
    </xf>
    <xf numFmtId="3" fontId="114" fillId="3" borderId="108" xfId="0" applyNumberFormat="1" applyFont="1" applyFill="1" applyBorder="1" applyAlignment="1" applyProtection="1">
      <alignment horizontal="right" shrinkToFit="1"/>
      <protection locked="0"/>
    </xf>
    <xf numFmtId="3" fontId="114" fillId="3" borderId="109" xfId="0" applyNumberFormat="1" applyFont="1" applyFill="1" applyBorder="1" applyAlignment="1" applyProtection="1">
      <alignment horizontal="right" shrinkToFit="1"/>
      <protection locked="0"/>
    </xf>
    <xf numFmtId="0" fontId="89" fillId="4" borderId="110" xfId="0" applyFont="1" applyFill="1" applyBorder="1" applyAlignment="1" applyProtection="1">
      <alignment horizontal="right" vertical="center"/>
    </xf>
    <xf numFmtId="0" fontId="89" fillId="4" borderId="111" xfId="0" applyFont="1" applyFill="1" applyBorder="1" applyAlignment="1" applyProtection="1">
      <alignment horizontal="right" vertical="center"/>
    </xf>
    <xf numFmtId="0" fontId="46" fillId="3" borderId="0" xfId="0" applyFont="1" applyFill="1" applyBorder="1"/>
    <xf numFmtId="0" fontId="17" fillId="3" borderId="0" xfId="0" applyFont="1" applyFill="1" applyBorder="1"/>
    <xf numFmtId="10" fontId="113" fillId="3" borderId="88" xfId="0" applyNumberFormat="1" applyFont="1" applyFill="1" applyBorder="1" applyAlignment="1" applyProtection="1">
      <alignment horizontal="center" vertical="center"/>
      <protection locked="0"/>
    </xf>
    <xf numFmtId="0" fontId="89" fillId="4" borderId="83" xfId="0" applyFont="1" applyFill="1" applyBorder="1" applyAlignment="1" applyProtection="1">
      <alignment horizontal="center" vertical="center"/>
      <protection locked="0"/>
    </xf>
    <xf numFmtId="0" fontId="89" fillId="4" borderId="112" xfId="0" applyFont="1" applyFill="1" applyBorder="1" applyAlignment="1" applyProtection="1">
      <alignment horizontal="center" vertical="center"/>
      <protection locked="0"/>
    </xf>
    <xf numFmtId="0" fontId="80" fillId="4" borderId="110" xfId="0" applyFont="1" applyFill="1" applyBorder="1" applyAlignment="1" applyProtection="1">
      <alignment horizontal="center" vertical="center"/>
    </xf>
    <xf numFmtId="0" fontId="17" fillId="3" borderId="0" xfId="0" applyFont="1" applyFill="1"/>
    <xf numFmtId="0" fontId="17" fillId="3" borderId="0" xfId="0" applyFont="1" applyFill="1" applyAlignment="1" applyProtection="1">
      <protection locked="0"/>
    </xf>
    <xf numFmtId="0" fontId="3" fillId="3" borderId="0" xfId="0" applyFont="1" applyFill="1"/>
    <xf numFmtId="0" fontId="3" fillId="3" borderId="0" xfId="0" applyFont="1" applyFill="1" applyBorder="1"/>
    <xf numFmtId="0" fontId="17" fillId="3" borderId="0" xfId="0" applyFont="1" applyFill="1" applyBorder="1" applyProtection="1">
      <protection locked="0"/>
    </xf>
    <xf numFmtId="0" fontId="17" fillId="3" borderId="7" xfId="0" applyFont="1" applyFill="1" applyBorder="1" applyProtection="1">
      <protection locked="0"/>
    </xf>
    <xf numFmtId="0" fontId="17" fillId="3" borderId="16" xfId="0" applyFont="1" applyFill="1" applyBorder="1" applyProtection="1">
      <protection locked="0"/>
    </xf>
    <xf numFmtId="0" fontId="17" fillId="3" borderId="0" xfId="0" applyFont="1" applyFill="1" applyProtection="1">
      <protection locked="0"/>
    </xf>
    <xf numFmtId="0" fontId="17" fillId="3" borderId="8" xfId="0" applyFont="1" applyFill="1" applyBorder="1" applyProtection="1">
      <protection locked="0"/>
    </xf>
    <xf numFmtId="0" fontId="17" fillId="3" borderId="4" xfId="0" applyFont="1" applyFill="1" applyBorder="1" applyProtection="1">
      <protection locked="0"/>
    </xf>
    <xf numFmtId="0" fontId="17" fillId="3" borderId="18" xfId="0" applyFont="1" applyFill="1" applyBorder="1" applyProtection="1">
      <protection locked="0"/>
    </xf>
    <xf numFmtId="49" fontId="17" fillId="4" borderId="111" xfId="0" applyNumberFormat="1" applyFont="1" applyFill="1" applyBorder="1" applyAlignment="1">
      <alignment horizontal="center" vertical="center"/>
    </xf>
    <xf numFmtId="164" fontId="4" fillId="4" borderId="93" xfId="0" applyNumberFormat="1" applyFont="1" applyFill="1" applyBorder="1" applyAlignment="1" applyProtection="1">
      <alignment shrinkToFit="1"/>
    </xf>
    <xf numFmtId="3" fontId="4" fillId="4" borderId="107" xfId="0" applyNumberFormat="1" applyFont="1" applyFill="1" applyBorder="1" applyAlignment="1" applyProtection="1">
      <alignment horizontal="right" shrinkToFit="1"/>
    </xf>
    <xf numFmtId="3" fontId="4" fillId="4" borderId="108" xfId="0" applyNumberFormat="1" applyFont="1" applyFill="1" applyBorder="1" applyAlignment="1" applyProtection="1">
      <alignment horizontal="right" shrinkToFit="1"/>
    </xf>
    <xf numFmtId="3" fontId="4" fillId="4" borderId="109" xfId="0" applyNumberFormat="1" applyFont="1" applyFill="1" applyBorder="1" applyAlignment="1" applyProtection="1">
      <alignment horizontal="right" shrinkToFit="1"/>
    </xf>
    <xf numFmtId="0" fontId="17" fillId="3" borderId="5" xfId="0" applyFont="1" applyFill="1" applyBorder="1" applyAlignment="1" applyProtection="1">
      <protection locked="0"/>
    </xf>
    <xf numFmtId="0" fontId="17" fillId="3" borderId="6" xfId="0" applyFont="1" applyFill="1" applyBorder="1" applyAlignment="1" applyProtection="1">
      <protection locked="0"/>
    </xf>
    <xf numFmtId="0" fontId="17" fillId="3" borderId="12" xfId="0" applyFont="1" applyFill="1" applyBorder="1" applyAlignment="1" applyProtection="1">
      <protection locked="0"/>
    </xf>
    <xf numFmtId="3" fontId="79" fillId="3" borderId="26" xfId="0" applyNumberFormat="1" applyFont="1" applyFill="1" applyBorder="1" applyAlignment="1" applyProtection="1">
      <alignment horizontal="center" shrinkToFit="1"/>
      <protection locked="0"/>
    </xf>
    <xf numFmtId="3" fontId="79" fillId="3" borderId="27" xfId="0" applyNumberFormat="1" applyFont="1" applyFill="1" applyBorder="1" applyAlignment="1" applyProtection="1">
      <alignment horizontal="center" shrinkToFit="1"/>
      <protection locked="0"/>
    </xf>
    <xf numFmtId="0" fontId="158" fillId="0" borderId="0" xfId="0" applyFont="1" applyFill="1" applyProtection="1">
      <protection locked="0"/>
    </xf>
    <xf numFmtId="0" fontId="159" fillId="0" borderId="0" xfId="0" applyFont="1" applyFill="1" applyProtection="1">
      <protection locked="0"/>
    </xf>
    <xf numFmtId="0" fontId="159" fillId="0" borderId="0" xfId="0" applyFont="1" applyFill="1"/>
    <xf numFmtId="0" fontId="158" fillId="0" borderId="0" xfId="0" applyFont="1" applyFill="1" applyBorder="1" applyProtection="1"/>
    <xf numFmtId="0" fontId="158" fillId="0" borderId="0" xfId="0" applyFont="1" applyFill="1" applyBorder="1" applyProtection="1">
      <protection locked="0"/>
    </xf>
    <xf numFmtId="0" fontId="159" fillId="0" borderId="0" xfId="0" applyFont="1" applyFill="1" applyBorder="1" applyProtection="1">
      <protection locked="0"/>
    </xf>
    <xf numFmtId="0" fontId="158" fillId="0" borderId="0" xfId="0" applyFont="1" applyFill="1" applyBorder="1"/>
    <xf numFmtId="0" fontId="159" fillId="0" borderId="0" xfId="0" applyFont="1" applyFill="1" applyBorder="1"/>
    <xf numFmtId="0" fontId="158" fillId="0" borderId="0" xfId="0" applyFont="1" applyFill="1" applyBorder="1" applyAlignment="1">
      <alignment vertical="center"/>
    </xf>
    <xf numFmtId="0" fontId="159" fillId="0" borderId="0" xfId="0" applyFont="1" applyFill="1" applyBorder="1" applyAlignment="1">
      <alignment vertical="center"/>
    </xf>
    <xf numFmtId="0" fontId="159" fillId="0" borderId="0" xfId="0" applyFont="1" applyFill="1" applyAlignment="1">
      <alignment vertical="center"/>
    </xf>
    <xf numFmtId="3" fontId="158" fillId="0" borderId="0" xfId="0" applyNumberFormat="1" applyFont="1" applyFill="1" applyBorder="1" applyProtection="1"/>
    <xf numFmtId="3" fontId="158" fillId="0" borderId="0" xfId="0" applyNumberFormat="1" applyFont="1" applyFill="1" applyBorder="1"/>
    <xf numFmtId="3" fontId="159" fillId="0" borderId="0" xfId="0" applyNumberFormat="1" applyFont="1" applyFill="1" applyBorder="1"/>
    <xf numFmtId="3" fontId="159" fillId="0" borderId="0" xfId="0" applyNumberFormat="1" applyFont="1" applyFill="1"/>
    <xf numFmtId="0" fontId="158" fillId="0" borderId="0" xfId="0" applyFont="1" applyFill="1" applyAlignment="1" applyProtection="1">
      <protection locked="0"/>
    </xf>
    <xf numFmtId="0" fontId="160" fillId="0" borderId="0" xfId="0" applyFont="1" applyFill="1" applyBorder="1"/>
    <xf numFmtId="0" fontId="161" fillId="0" borderId="0" xfId="0" applyFont="1" applyFill="1" applyBorder="1"/>
    <xf numFmtId="0" fontId="161" fillId="0" borderId="0" xfId="0" applyFont="1" applyFill="1"/>
    <xf numFmtId="0" fontId="160" fillId="0" borderId="37" xfId="0" applyFont="1" applyFill="1" applyBorder="1"/>
    <xf numFmtId="0" fontId="161" fillId="0" borderId="37" xfId="0" applyFont="1" applyFill="1" applyBorder="1"/>
    <xf numFmtId="0" fontId="160" fillId="0" borderId="0" xfId="0" applyFont="1" applyFill="1"/>
    <xf numFmtId="49" fontId="99" fillId="0" borderId="0" xfId="0" applyNumberFormat="1" applyFont="1" applyFill="1" applyBorder="1" applyAlignment="1" applyProtection="1">
      <alignment vertical="center" shrinkToFit="1"/>
      <protection locked="0"/>
    </xf>
    <xf numFmtId="0" fontId="108" fillId="0" borderId="0" xfId="0" applyFont="1" applyFill="1" applyBorder="1" applyAlignment="1"/>
    <xf numFmtId="3" fontId="107" fillId="0" borderId="0" xfId="0" applyNumberFormat="1" applyFont="1" applyFill="1" applyBorder="1" applyAlignment="1">
      <alignment horizontal="right" shrinkToFit="1"/>
    </xf>
    <xf numFmtId="49" fontId="80" fillId="4" borderId="113" xfId="0" applyNumberFormat="1" applyFont="1" applyFill="1" applyBorder="1" applyAlignment="1">
      <alignment horizontal="center" vertical="center"/>
    </xf>
    <xf numFmtId="0" fontId="80" fillId="4" borderId="114" xfId="0" applyFont="1" applyFill="1" applyBorder="1" applyAlignment="1" applyProtection="1">
      <alignment horizontal="center"/>
    </xf>
    <xf numFmtId="0" fontId="114" fillId="3" borderId="115" xfId="0" applyFont="1" applyFill="1" applyBorder="1" applyAlignment="1" applyProtection="1">
      <alignment horizontal="right" vertical="center"/>
      <protection locked="0"/>
    </xf>
    <xf numFmtId="3" fontId="79" fillId="3" borderId="95" xfId="0" applyNumberFormat="1" applyFont="1" applyFill="1" applyBorder="1" applyAlignment="1" applyProtection="1">
      <alignment horizontal="right" shrinkToFit="1"/>
      <protection locked="0"/>
    </xf>
    <xf numFmtId="0" fontId="114" fillId="3" borderId="116" xfId="0" applyFont="1" applyFill="1" applyBorder="1" applyAlignment="1" applyProtection="1">
      <alignment horizontal="right" vertical="center"/>
      <protection locked="0"/>
    </xf>
    <xf numFmtId="3" fontId="79" fillId="3" borderId="97" xfId="0" applyNumberFormat="1" applyFont="1" applyFill="1" applyBorder="1" applyAlignment="1" applyProtection="1">
      <alignment horizontal="right" shrinkToFit="1"/>
      <protection locked="0"/>
    </xf>
    <xf numFmtId="0" fontId="114" fillId="3" borderId="117" xfId="0" applyFont="1" applyFill="1" applyBorder="1" applyAlignment="1" applyProtection="1">
      <alignment horizontal="right" vertical="center"/>
      <protection locked="0"/>
    </xf>
    <xf numFmtId="3" fontId="79" fillId="3" borderId="99" xfId="0" applyNumberFormat="1" applyFont="1" applyFill="1" applyBorder="1" applyAlignment="1" applyProtection="1">
      <alignment horizontal="center" shrinkToFit="1"/>
      <protection locked="0"/>
    </xf>
    <xf numFmtId="3" fontId="79" fillId="3" borderId="100" xfId="0" applyNumberFormat="1" applyFont="1" applyFill="1" applyBorder="1" applyAlignment="1" applyProtection="1">
      <alignment horizontal="right" shrinkToFit="1"/>
      <protection locked="0"/>
    </xf>
    <xf numFmtId="49" fontId="89" fillId="4" borderId="118" xfId="0" applyNumberFormat="1" applyFont="1" applyFill="1" applyBorder="1" applyAlignment="1">
      <alignment horizontal="center" vertical="center"/>
    </xf>
    <xf numFmtId="49" fontId="80" fillId="4" borderId="105" xfId="0" applyNumberFormat="1" applyFont="1" applyFill="1" applyBorder="1" applyAlignment="1">
      <alignment horizontal="center" vertical="center"/>
    </xf>
    <xf numFmtId="0" fontId="80" fillId="4" borderId="106" xfId="0" applyFont="1" applyFill="1" applyBorder="1" applyAlignment="1" applyProtection="1">
      <alignment horizontal="center"/>
    </xf>
    <xf numFmtId="0" fontId="114" fillId="3" borderId="119" xfId="0" applyFont="1" applyFill="1" applyBorder="1" applyAlignment="1" applyProtection="1">
      <alignment horizontal="right" vertical="center"/>
      <protection locked="0"/>
    </xf>
    <xf numFmtId="3" fontId="79" fillId="3" borderId="120" xfId="0" applyNumberFormat="1" applyFont="1" applyFill="1" applyBorder="1" applyAlignment="1" applyProtection="1">
      <alignment horizontal="center" shrinkToFit="1"/>
      <protection locked="0"/>
    </xf>
    <xf numFmtId="3" fontId="79" fillId="3" borderId="121" xfId="0" applyNumberFormat="1" applyFont="1" applyFill="1" applyBorder="1" applyAlignment="1" applyProtection="1">
      <alignment horizontal="right" shrinkToFit="1"/>
      <protection locked="0"/>
    </xf>
    <xf numFmtId="49" fontId="80" fillId="4" borderId="118" xfId="0" applyNumberFormat="1" applyFont="1" applyFill="1" applyBorder="1" applyAlignment="1">
      <alignment horizontal="center" vertical="center" shrinkToFit="1"/>
    </xf>
    <xf numFmtId="49" fontId="80" fillId="4" borderId="113" xfId="0" applyNumberFormat="1" applyFont="1" applyFill="1" applyBorder="1" applyAlignment="1">
      <alignment horizontal="center" vertical="center" shrinkToFit="1"/>
    </xf>
    <xf numFmtId="49" fontId="80" fillId="4" borderId="114" xfId="0" applyNumberFormat="1" applyFont="1" applyFill="1" applyBorder="1" applyAlignment="1">
      <alignment horizontal="center" vertical="center" shrinkToFit="1"/>
    </xf>
    <xf numFmtId="3" fontId="79" fillId="3" borderId="115" xfId="0" applyNumberFormat="1" applyFont="1" applyFill="1" applyBorder="1" applyAlignment="1" applyProtection="1">
      <alignment horizontal="center" shrinkToFit="1"/>
      <protection locked="0"/>
    </xf>
    <xf numFmtId="3" fontId="79" fillId="3" borderId="95" xfId="0" applyNumberFormat="1" applyFont="1" applyFill="1" applyBorder="1" applyAlignment="1" applyProtection="1">
      <alignment horizontal="center" shrinkToFit="1"/>
      <protection locked="0"/>
    </xf>
    <xf numFmtId="3" fontId="79" fillId="3" borderId="116" xfId="0" applyNumberFormat="1" applyFont="1" applyFill="1" applyBorder="1" applyAlignment="1" applyProtection="1">
      <alignment horizontal="center" shrinkToFit="1"/>
      <protection locked="0"/>
    </xf>
    <xf numFmtId="3" fontId="79" fillId="3" borderId="97" xfId="0" applyNumberFormat="1" applyFont="1" applyFill="1" applyBorder="1" applyAlignment="1" applyProtection="1">
      <alignment horizontal="center" shrinkToFit="1"/>
      <protection locked="0"/>
    </xf>
    <xf numFmtId="3" fontId="79" fillId="3" borderId="117" xfId="0" applyNumberFormat="1" applyFont="1" applyFill="1" applyBorder="1" applyAlignment="1" applyProtection="1">
      <alignment horizontal="center" shrinkToFit="1"/>
      <protection locked="0"/>
    </xf>
    <xf numFmtId="3" fontId="79" fillId="3" borderId="100" xfId="0" applyNumberFormat="1" applyFont="1" applyFill="1" applyBorder="1" applyAlignment="1" applyProtection="1">
      <alignment horizontal="center" shrinkToFit="1"/>
      <protection locked="0"/>
    </xf>
    <xf numFmtId="49" fontId="80" fillId="4" borderId="122" xfId="0" applyNumberFormat="1" applyFont="1" applyFill="1" applyBorder="1" applyAlignment="1">
      <alignment horizontal="center" vertical="center" shrinkToFit="1"/>
    </xf>
    <xf numFmtId="49" fontId="80" fillId="4" borderId="123" xfId="0" applyNumberFormat="1" applyFont="1" applyFill="1" applyBorder="1" applyAlignment="1">
      <alignment horizontal="center" vertical="center" shrinkToFit="1"/>
    </xf>
    <xf numFmtId="49" fontId="80" fillId="4" borderId="124" xfId="0" applyNumberFormat="1" applyFont="1" applyFill="1" applyBorder="1" applyAlignment="1">
      <alignment horizontal="center" vertical="center" shrinkToFit="1"/>
    </xf>
    <xf numFmtId="3" fontId="79" fillId="3" borderId="115" xfId="0" applyNumberFormat="1" applyFont="1" applyFill="1" applyBorder="1" applyAlignment="1" applyProtection="1">
      <alignment horizontal="right" shrinkToFit="1"/>
      <protection locked="0"/>
    </xf>
    <xf numFmtId="3" fontId="79" fillId="3" borderId="116" xfId="0" applyNumberFormat="1" applyFont="1" applyFill="1" applyBorder="1" applyAlignment="1" applyProtection="1">
      <alignment horizontal="right" shrinkToFit="1"/>
      <protection locked="0"/>
    </xf>
    <xf numFmtId="3" fontId="79" fillId="3" borderId="117" xfId="0" applyNumberFormat="1" applyFont="1" applyFill="1" applyBorder="1" applyAlignment="1" applyProtection="1">
      <alignment horizontal="right" shrinkToFit="1"/>
      <protection locked="0"/>
    </xf>
    <xf numFmtId="3" fontId="79" fillId="3" borderId="99" xfId="0" applyNumberFormat="1" applyFont="1" applyFill="1" applyBorder="1" applyAlignment="1" applyProtection="1">
      <alignment horizontal="right" shrinkToFit="1"/>
      <protection locked="0"/>
    </xf>
    <xf numFmtId="0" fontId="80" fillId="4" borderId="122" xfId="0" applyFont="1" applyFill="1" applyBorder="1" applyAlignment="1" applyProtection="1">
      <alignment horizontal="center"/>
    </xf>
    <xf numFmtId="0" fontId="80" fillId="4" borderId="124" xfId="0" applyFont="1" applyFill="1" applyBorder="1" applyAlignment="1" applyProtection="1">
      <alignment horizontal="center"/>
    </xf>
    <xf numFmtId="10" fontId="79" fillId="3" borderId="115" xfId="0" applyNumberFormat="1" applyFont="1" applyFill="1" applyBorder="1" applyAlignment="1" applyProtection="1">
      <alignment horizontal="right" shrinkToFit="1"/>
      <protection locked="0"/>
    </xf>
    <xf numFmtId="10" fontId="79" fillId="3" borderId="95" xfId="0" applyNumberFormat="1" applyFont="1" applyFill="1" applyBorder="1" applyAlignment="1" applyProtection="1">
      <alignment horizontal="right" shrinkToFit="1"/>
      <protection locked="0"/>
    </xf>
    <xf numFmtId="10" fontId="79" fillId="3" borderId="116" xfId="0" applyNumberFormat="1" applyFont="1" applyFill="1" applyBorder="1" applyAlignment="1" applyProtection="1">
      <alignment horizontal="right" shrinkToFit="1"/>
      <protection locked="0"/>
    </xf>
    <xf numFmtId="10" fontId="79" fillId="3" borderId="97" xfId="0" applyNumberFormat="1" applyFont="1" applyFill="1" applyBorder="1" applyAlignment="1" applyProtection="1">
      <alignment horizontal="right" shrinkToFit="1"/>
      <protection locked="0"/>
    </xf>
    <xf numFmtId="10" fontId="79" fillId="3" borderId="117" xfId="0" applyNumberFormat="1" applyFont="1" applyFill="1" applyBorder="1" applyAlignment="1" applyProtection="1">
      <alignment horizontal="right" shrinkToFit="1"/>
      <protection locked="0"/>
    </xf>
    <xf numFmtId="10" fontId="79" fillId="3" borderId="100" xfId="0" applyNumberFormat="1" applyFont="1" applyFill="1" applyBorder="1" applyAlignment="1" applyProtection="1">
      <alignment horizontal="right" shrinkToFit="1"/>
      <protection locked="0"/>
    </xf>
    <xf numFmtId="10" fontId="79" fillId="3" borderId="119" xfId="0" applyNumberFormat="1" applyFont="1" applyFill="1" applyBorder="1" applyAlignment="1" applyProtection="1">
      <alignment horizontal="right" shrinkToFit="1"/>
      <protection locked="0"/>
    </xf>
    <xf numFmtId="10" fontId="79" fillId="3" borderId="121" xfId="0" applyNumberFormat="1" applyFont="1" applyFill="1" applyBorder="1" applyAlignment="1" applyProtection="1">
      <alignment horizontal="right" shrinkToFit="1"/>
      <protection locked="0"/>
    </xf>
    <xf numFmtId="0" fontId="80" fillId="4" borderId="125" xfId="0" applyFont="1" applyFill="1" applyBorder="1" applyAlignment="1" applyProtection="1">
      <alignment horizontal="center"/>
    </xf>
    <xf numFmtId="0" fontId="80" fillId="4" borderId="109" xfId="0" applyFont="1" applyFill="1" applyBorder="1" applyAlignment="1" applyProtection="1">
      <alignment horizontal="center"/>
    </xf>
    <xf numFmtId="166" fontId="118" fillId="3" borderId="126" xfId="0" applyNumberFormat="1" applyFont="1" applyFill="1" applyBorder="1" applyAlignment="1" applyProtection="1">
      <alignment horizontal="center" vertical="center" shrinkToFit="1"/>
      <protection locked="0"/>
    </xf>
    <xf numFmtId="166" fontId="118" fillId="3" borderId="127" xfId="0" applyNumberFormat="1" applyFont="1" applyFill="1" applyBorder="1" applyAlignment="1" applyProtection="1">
      <alignment horizontal="center" shrinkToFit="1"/>
      <protection locked="0"/>
    </xf>
    <xf numFmtId="3" fontId="79" fillId="3" borderId="128" xfId="0" applyNumberFormat="1" applyFont="1" applyFill="1" applyBorder="1" applyAlignment="1" applyProtection="1">
      <alignment horizontal="center" shrinkToFit="1"/>
      <protection locked="0"/>
    </xf>
    <xf numFmtId="3" fontId="79" fillId="3" borderId="129" xfId="0" applyNumberFormat="1" applyFont="1" applyFill="1" applyBorder="1" applyAlignment="1" applyProtection="1">
      <alignment horizontal="right" shrinkToFit="1"/>
      <protection locked="0"/>
    </xf>
    <xf numFmtId="3" fontId="79" fillId="3" borderId="130" xfId="0" applyNumberFormat="1" applyFont="1" applyFill="1" applyBorder="1" applyAlignment="1" applyProtection="1">
      <alignment horizontal="right" shrinkToFit="1"/>
      <protection locked="0"/>
    </xf>
    <xf numFmtId="3" fontId="79" fillId="3" borderId="131" xfId="0" applyNumberFormat="1" applyFont="1" applyFill="1" applyBorder="1" applyAlignment="1" applyProtection="1">
      <alignment horizontal="right" shrinkToFit="1"/>
      <protection locked="0"/>
    </xf>
    <xf numFmtId="3" fontId="79" fillId="3" borderId="132" xfId="0" applyNumberFormat="1" applyFont="1" applyFill="1" applyBorder="1" applyAlignment="1" applyProtection="1">
      <alignment horizontal="right" shrinkToFit="1"/>
      <protection locked="0"/>
    </xf>
    <xf numFmtId="3" fontId="79" fillId="3" borderId="133" xfId="0" applyNumberFormat="1" applyFont="1" applyFill="1" applyBorder="1" applyAlignment="1" applyProtection="1">
      <alignment horizontal="right" shrinkToFit="1"/>
      <protection locked="0"/>
    </xf>
    <xf numFmtId="3" fontId="79" fillId="3" borderId="134" xfId="0" applyNumberFormat="1" applyFont="1" applyFill="1" applyBorder="1" applyAlignment="1" applyProtection="1">
      <alignment horizontal="right" shrinkToFit="1"/>
      <protection locked="0"/>
    </xf>
    <xf numFmtId="3" fontId="79" fillId="3" borderId="120" xfId="0" applyNumberFormat="1" applyFont="1" applyFill="1" applyBorder="1" applyAlignment="1" applyProtection="1">
      <alignment horizontal="right" shrinkToFit="1"/>
      <protection locked="0"/>
    </xf>
    <xf numFmtId="3" fontId="79" fillId="3" borderId="135" xfId="0" applyNumberFormat="1" applyFont="1" applyFill="1" applyBorder="1" applyAlignment="1" applyProtection="1">
      <alignment horizontal="right" shrinkToFit="1"/>
      <protection locked="0"/>
    </xf>
    <xf numFmtId="49" fontId="80" fillId="4" borderId="136" xfId="0" applyNumberFormat="1" applyFont="1" applyFill="1" applyBorder="1" applyAlignment="1">
      <alignment horizontal="center" vertical="center" shrinkToFit="1"/>
    </xf>
    <xf numFmtId="49" fontId="80" fillId="4" borderId="137" xfId="0" applyNumberFormat="1" applyFont="1" applyFill="1" applyBorder="1" applyAlignment="1">
      <alignment horizontal="center" vertical="center" shrinkToFit="1"/>
    </xf>
    <xf numFmtId="49" fontId="80" fillId="4" borderId="138" xfId="0" applyNumberFormat="1" applyFont="1" applyFill="1" applyBorder="1" applyAlignment="1">
      <alignment horizontal="center" vertical="center" shrinkToFit="1"/>
    </xf>
    <xf numFmtId="0" fontId="80" fillId="4" borderId="139" xfId="0" applyFont="1" applyFill="1" applyBorder="1" applyAlignment="1" applyProtection="1">
      <alignment horizontal="center"/>
    </xf>
    <xf numFmtId="166" fontId="119" fillId="3" borderId="3" xfId="0" applyNumberFormat="1" applyFont="1" applyFill="1" applyBorder="1" applyAlignment="1" applyProtection="1">
      <alignment horizontal="center" shrinkToFit="1"/>
      <protection locked="0"/>
    </xf>
    <xf numFmtId="0" fontId="26" fillId="0" borderId="0" xfId="0" applyFont="1" applyFill="1" applyBorder="1" applyAlignment="1" applyProtection="1">
      <protection locked="0"/>
    </xf>
    <xf numFmtId="0" fontId="36" fillId="0" borderId="0" xfId="0" applyFont="1" applyFill="1" applyBorder="1" applyAlignment="1" applyProtection="1">
      <alignment vertical="center"/>
      <protection locked="0"/>
    </xf>
    <xf numFmtId="0" fontId="2" fillId="0" borderId="0" xfId="0" applyFont="1" applyFill="1" applyBorder="1" applyAlignment="1" applyProtection="1">
      <protection locked="0"/>
    </xf>
    <xf numFmtId="3" fontId="48" fillId="0" borderId="0" xfId="1" applyNumberFormat="1" applyFont="1" applyFill="1" applyBorder="1" applyAlignment="1" applyProtection="1">
      <alignment horizontal="center" vertical="center"/>
    </xf>
    <xf numFmtId="0" fontId="48" fillId="0" borderId="0" xfId="1" applyFont="1" applyFill="1" applyBorder="1" applyAlignment="1" applyProtection="1">
      <alignment horizontal="center" vertical="center"/>
    </xf>
    <xf numFmtId="0" fontId="158" fillId="0" borderId="0" xfId="0" applyFont="1" applyFill="1" applyBorder="1" applyAlignment="1" applyProtection="1">
      <protection locked="0"/>
    </xf>
    <xf numFmtId="0" fontId="108" fillId="0" borderId="9" xfId="0" applyFont="1" applyFill="1" applyBorder="1" applyAlignment="1"/>
    <xf numFmtId="0" fontId="108" fillId="0" borderId="17" xfId="0" applyFont="1" applyFill="1" applyBorder="1" applyAlignment="1"/>
    <xf numFmtId="0" fontId="89" fillId="0" borderId="7" xfId="0" applyFont="1" applyFill="1" applyBorder="1" applyAlignment="1" applyProtection="1">
      <alignment horizontal="center"/>
    </xf>
    <xf numFmtId="0" fontId="89" fillId="0" borderId="16" xfId="0" applyFont="1" applyFill="1" applyBorder="1" applyAlignment="1" applyProtection="1">
      <alignment horizontal="center"/>
    </xf>
    <xf numFmtId="49" fontId="80" fillId="0" borderId="7" xfId="0" applyNumberFormat="1" applyFont="1" applyFill="1" applyBorder="1" applyAlignment="1" applyProtection="1">
      <alignment horizontal="center" vertical="top"/>
    </xf>
    <xf numFmtId="49" fontId="80" fillId="0" borderId="16" xfId="0" applyNumberFormat="1" applyFont="1" applyFill="1" applyBorder="1" applyAlignment="1" applyProtection="1">
      <alignment horizontal="center" vertical="top"/>
    </xf>
    <xf numFmtId="3" fontId="80" fillId="0" borderId="7" xfId="0" applyNumberFormat="1" applyFont="1" applyFill="1" applyBorder="1" applyAlignment="1" applyProtection="1">
      <alignment horizontal="right" shrinkToFit="1"/>
    </xf>
    <xf numFmtId="3" fontId="80" fillId="0" borderId="16" xfId="0" applyNumberFormat="1" applyFont="1" applyFill="1" applyBorder="1" applyAlignment="1" applyProtection="1">
      <alignment horizontal="right" shrinkToFit="1"/>
    </xf>
    <xf numFmtId="3" fontId="80" fillId="0" borderId="7" xfId="0" applyNumberFormat="1" applyFont="1" applyFill="1" applyBorder="1" applyAlignment="1">
      <alignment horizontal="right" shrinkToFit="1"/>
    </xf>
    <xf numFmtId="3" fontId="80" fillId="0" borderId="16" xfId="0" applyNumberFormat="1" applyFont="1" applyFill="1" applyBorder="1" applyAlignment="1">
      <alignment horizontal="right" shrinkToFit="1"/>
    </xf>
    <xf numFmtId="3" fontId="107" fillId="0" borderId="7" xfId="0" applyNumberFormat="1" applyFont="1" applyFill="1" applyBorder="1" applyAlignment="1">
      <alignment horizontal="right" shrinkToFit="1"/>
    </xf>
    <xf numFmtId="3" fontId="107" fillId="0" borderId="16" xfId="0" applyNumberFormat="1" applyFont="1" applyFill="1" applyBorder="1" applyAlignment="1">
      <alignment horizontal="right" shrinkToFit="1"/>
    </xf>
    <xf numFmtId="3" fontId="107" fillId="0" borderId="8" xfId="0" applyNumberFormat="1" applyFont="1" applyFill="1" applyBorder="1" applyAlignment="1">
      <alignment horizontal="right" shrinkToFit="1"/>
    </xf>
    <xf numFmtId="3" fontId="107" fillId="0" borderId="18" xfId="0" applyNumberFormat="1" applyFont="1" applyFill="1" applyBorder="1" applyAlignment="1">
      <alignment horizontal="right" shrinkToFit="1"/>
    </xf>
    <xf numFmtId="0" fontId="46" fillId="0" borderId="0" xfId="0" applyFont="1" applyFill="1" applyBorder="1" applyProtection="1"/>
    <xf numFmtId="0" fontId="46" fillId="0" borderId="0" xfId="0" applyFont="1" applyFill="1" applyBorder="1"/>
    <xf numFmtId="0" fontId="46" fillId="0" borderId="0" xfId="0" applyFont="1" applyFill="1" applyBorder="1" applyAlignment="1" applyProtection="1">
      <alignment vertical="center"/>
    </xf>
    <xf numFmtId="0" fontId="46" fillId="0" borderId="0" xfId="0" applyFont="1" applyFill="1" applyBorder="1" applyAlignment="1">
      <alignment vertical="center"/>
    </xf>
    <xf numFmtId="3" fontId="46" fillId="0" borderId="0" xfId="0" applyNumberFormat="1" applyFont="1" applyFill="1" applyBorder="1" applyProtection="1"/>
    <xf numFmtId="3" fontId="46" fillId="0" borderId="0" xfId="0" applyNumberFormat="1" applyFont="1" applyFill="1" applyAlignment="1" applyProtection="1">
      <alignment horizontal="right"/>
    </xf>
    <xf numFmtId="3" fontId="46" fillId="0" borderId="0" xfId="0" applyNumberFormat="1" applyFont="1" applyFill="1" applyProtection="1"/>
    <xf numFmtId="3" fontId="46" fillId="0" borderId="0" xfId="0" applyNumberFormat="1" applyFont="1" applyFill="1" applyBorder="1"/>
    <xf numFmtId="0" fontId="80" fillId="5" borderId="5" xfId="0" applyFont="1" applyFill="1" applyBorder="1" applyAlignment="1" applyProtection="1">
      <alignment horizontal="right" vertical="center"/>
      <protection locked="0"/>
    </xf>
    <xf numFmtId="3" fontId="107" fillId="5" borderId="6" xfId="0" applyNumberFormat="1" applyFont="1" applyFill="1" applyBorder="1" applyAlignment="1" applyProtection="1">
      <alignment horizontal="right" shrinkToFit="1"/>
      <protection locked="0"/>
    </xf>
    <xf numFmtId="3" fontId="107" fillId="5" borderId="12" xfId="0" applyNumberFormat="1" applyFont="1" applyFill="1" applyBorder="1" applyAlignment="1" applyProtection="1">
      <alignment horizontal="right" shrinkToFit="1"/>
      <protection locked="0"/>
    </xf>
    <xf numFmtId="0" fontId="80" fillId="5" borderId="5" xfId="0" applyFont="1" applyFill="1" applyBorder="1" applyAlignment="1" applyProtection="1">
      <alignment horizontal="center" vertical="center"/>
    </xf>
    <xf numFmtId="3" fontId="107" fillId="5" borderId="6" xfId="0" applyNumberFormat="1" applyFont="1" applyFill="1" applyBorder="1" applyAlignment="1" applyProtection="1">
      <alignment horizontal="right" shrinkToFit="1"/>
    </xf>
    <xf numFmtId="3" fontId="107" fillId="5" borderId="12" xfId="0" applyNumberFormat="1" applyFont="1" applyFill="1" applyBorder="1" applyAlignment="1" applyProtection="1">
      <alignment horizontal="right" shrinkToFit="1"/>
    </xf>
    <xf numFmtId="10" fontId="112" fillId="0" borderId="0" xfId="0" applyNumberFormat="1" applyFont="1" applyFill="1" applyBorder="1" applyAlignment="1" applyProtection="1">
      <alignment horizontal="right" shrinkToFit="1"/>
    </xf>
    <xf numFmtId="164" fontId="44" fillId="3" borderId="0" xfId="0" applyNumberFormat="1" applyFont="1" applyFill="1" applyBorder="1" applyProtection="1"/>
    <xf numFmtId="164" fontId="0" fillId="3" borderId="0" xfId="0" applyNumberFormat="1" applyFill="1" applyBorder="1" applyProtection="1"/>
    <xf numFmtId="3" fontId="80" fillId="9" borderId="90" xfId="0" applyNumberFormat="1" applyFont="1" applyFill="1" applyBorder="1" applyAlignment="1"/>
    <xf numFmtId="0" fontId="111" fillId="9" borderId="144" xfId="0" applyFont="1" applyFill="1" applyBorder="1" applyAlignment="1" applyProtection="1">
      <alignment horizontal="center" vertical="center"/>
    </xf>
    <xf numFmtId="164" fontId="107" fillId="9" borderId="144" xfId="0" applyNumberFormat="1" applyFont="1" applyFill="1" applyBorder="1" applyAlignment="1" applyProtection="1">
      <alignment shrinkToFit="1"/>
    </xf>
    <xf numFmtId="3" fontId="107" fillId="9" borderId="144" xfId="0" applyNumberFormat="1" applyFont="1" applyFill="1" applyBorder="1" applyAlignment="1" applyProtection="1">
      <alignment horizontal="right" shrinkToFit="1"/>
    </xf>
    <xf numFmtId="3" fontId="80" fillId="9" borderId="145" xfId="0" applyNumberFormat="1" applyFont="1" applyFill="1" applyBorder="1"/>
    <xf numFmtId="49" fontId="109" fillId="9" borderId="146" xfId="0" applyNumberFormat="1" applyFont="1" applyFill="1" applyBorder="1" applyAlignment="1" applyProtection="1">
      <alignment vertical="center"/>
    </xf>
    <xf numFmtId="49" fontId="109" fillId="9" borderId="0" xfId="0" applyNumberFormat="1" applyFont="1" applyFill="1" applyBorder="1" applyAlignment="1" applyProtection="1">
      <alignment vertical="center"/>
    </xf>
    <xf numFmtId="49" fontId="109" fillId="9" borderId="147" xfId="0" applyNumberFormat="1" applyFont="1" applyFill="1" applyBorder="1" applyAlignment="1" applyProtection="1">
      <alignment vertical="center"/>
    </xf>
    <xf numFmtId="0" fontId="80" fillId="9" borderId="146" xfId="0" applyFont="1" applyFill="1" applyBorder="1" applyAlignment="1" applyProtection="1">
      <protection locked="0"/>
    </xf>
    <xf numFmtId="0" fontId="80" fillId="9" borderId="147" xfId="0" applyFont="1" applyFill="1" applyBorder="1"/>
    <xf numFmtId="0" fontId="80" fillId="9" borderId="147" xfId="0" applyFont="1" applyFill="1" applyBorder="1" applyAlignment="1" applyProtection="1">
      <protection locked="0"/>
    </xf>
    <xf numFmtId="0" fontId="80" fillId="9" borderId="111" xfId="0" applyFont="1" applyFill="1" applyBorder="1" applyProtection="1">
      <protection locked="0"/>
    </xf>
    <xf numFmtId="0" fontId="80" fillId="9" borderId="148" xfId="0" applyFont="1" applyFill="1" applyBorder="1" applyProtection="1">
      <protection locked="0"/>
    </xf>
    <xf numFmtId="0" fontId="80" fillId="9" borderId="149" xfId="0" applyFont="1" applyFill="1" applyBorder="1" applyProtection="1">
      <protection locked="0"/>
    </xf>
    <xf numFmtId="3" fontId="114" fillId="3" borderId="150" xfId="0" applyNumberFormat="1" applyFont="1" applyFill="1" applyBorder="1" applyAlignment="1" applyProtection="1">
      <alignment horizontal="right" shrinkToFit="1"/>
      <protection locked="0"/>
    </xf>
    <xf numFmtId="3" fontId="114" fillId="3" borderId="48" xfId="0" applyNumberFormat="1" applyFont="1" applyFill="1" applyBorder="1" applyAlignment="1" applyProtection="1">
      <alignment horizontal="right" shrinkToFit="1"/>
      <protection locked="0"/>
    </xf>
    <xf numFmtId="0" fontId="80" fillId="4" borderId="85" xfId="0" applyFont="1" applyFill="1" applyBorder="1" applyAlignment="1" applyProtection="1">
      <alignment horizontal="right" vertical="center"/>
      <protection locked="0"/>
    </xf>
    <xf numFmtId="3" fontId="114" fillId="3" borderId="155" xfId="0" applyNumberFormat="1" applyFont="1" applyFill="1" applyBorder="1" applyAlignment="1" applyProtection="1">
      <alignment horizontal="right" shrinkToFit="1"/>
      <protection locked="0"/>
    </xf>
    <xf numFmtId="0" fontId="89" fillId="4" borderId="111" xfId="0" applyFont="1" applyFill="1" applyBorder="1" applyAlignment="1" applyProtection="1">
      <alignment horizontal="right" vertical="center"/>
      <protection locked="0"/>
    </xf>
    <xf numFmtId="3" fontId="114" fillId="3" borderId="157" xfId="0" applyNumberFormat="1" applyFont="1" applyFill="1" applyBorder="1" applyAlignment="1" applyProtection="1">
      <alignment horizontal="right" shrinkToFit="1"/>
      <protection locked="0"/>
    </xf>
    <xf numFmtId="0" fontId="89" fillId="4" borderId="110" xfId="0" applyFont="1" applyFill="1" applyBorder="1" applyAlignment="1" applyProtection="1">
      <alignment horizontal="right" vertical="center"/>
      <protection locked="0"/>
    </xf>
    <xf numFmtId="3" fontId="80" fillId="4" borderId="105" xfId="0" applyNumberFormat="1" applyFont="1" applyFill="1" applyBorder="1" applyAlignment="1" applyProtection="1">
      <alignment horizontal="right" shrinkToFit="1"/>
    </xf>
    <xf numFmtId="3" fontId="80" fillId="4" borderId="106" xfId="0" applyNumberFormat="1" applyFont="1" applyFill="1" applyBorder="1" applyAlignment="1" applyProtection="1">
      <alignment horizontal="right" shrinkToFit="1"/>
    </xf>
    <xf numFmtId="0" fontId="2" fillId="0" borderId="14" xfId="0" applyFont="1" applyFill="1" applyBorder="1" applyProtection="1">
      <protection locked="0"/>
    </xf>
    <xf numFmtId="3" fontId="2" fillId="0" borderId="0" xfId="0" applyNumberFormat="1" applyFont="1" applyFill="1" applyBorder="1" applyProtection="1">
      <protection locked="0"/>
    </xf>
    <xf numFmtId="3" fontId="118" fillId="3" borderId="55" xfId="0" applyNumberFormat="1" applyFont="1" applyFill="1" applyBorder="1" applyAlignment="1" applyProtection="1">
      <alignment horizontal="right"/>
      <protection locked="0"/>
    </xf>
    <xf numFmtId="0" fontId="2" fillId="0" borderId="16" xfId="0" applyFont="1" applyFill="1" applyBorder="1" applyProtection="1">
      <protection locked="0"/>
    </xf>
    <xf numFmtId="3" fontId="2" fillId="0" borderId="4" xfId="0" applyNumberFormat="1" applyFont="1" applyFill="1" applyBorder="1" applyProtection="1">
      <protection locked="0"/>
    </xf>
    <xf numFmtId="3" fontId="2" fillId="0" borderId="18" xfId="0" applyNumberFormat="1" applyFont="1" applyFill="1" applyBorder="1" applyProtection="1">
      <protection locked="0"/>
    </xf>
    <xf numFmtId="2" fontId="2" fillId="5" borderId="9" xfId="0" applyNumberFormat="1" applyFont="1" applyFill="1" applyBorder="1" applyProtection="1">
      <protection locked="0"/>
    </xf>
    <xf numFmtId="0" fontId="2" fillId="5" borderId="7" xfId="0" applyFont="1" applyFill="1" applyBorder="1" applyProtection="1">
      <protection locked="0"/>
    </xf>
    <xf numFmtId="0" fontId="2" fillId="5" borderId="8" xfId="0" applyFont="1" applyFill="1" applyBorder="1" applyProtection="1">
      <protection locked="0"/>
    </xf>
    <xf numFmtId="164" fontId="107" fillId="5" borderId="22" xfId="0" applyNumberFormat="1" applyFont="1" applyFill="1" applyBorder="1" applyAlignment="1">
      <alignment shrinkToFit="1"/>
    </xf>
    <xf numFmtId="164" fontId="107" fillId="5" borderId="22" xfId="0" applyNumberFormat="1" applyFont="1" applyFill="1" applyBorder="1" applyAlignment="1" applyProtection="1">
      <alignment shrinkToFit="1"/>
    </xf>
    <xf numFmtId="3" fontId="2" fillId="0" borderId="15" xfId="0" applyNumberFormat="1" applyFont="1" applyFill="1" applyBorder="1" applyProtection="1">
      <protection locked="0"/>
    </xf>
    <xf numFmtId="166" fontId="2" fillId="0" borderId="0" xfId="0" applyNumberFormat="1" applyFont="1" applyFill="1" applyBorder="1" applyProtection="1">
      <protection locked="0"/>
    </xf>
    <xf numFmtId="0" fontId="2" fillId="0" borderId="9" xfId="0" applyFont="1" applyFill="1" applyBorder="1" applyProtection="1">
      <protection locked="0"/>
    </xf>
    <xf numFmtId="0" fontId="2" fillId="0" borderId="17" xfId="0" applyFont="1" applyFill="1" applyBorder="1" applyProtection="1">
      <protection locked="0"/>
    </xf>
    <xf numFmtId="0" fontId="2" fillId="0" borderId="7" xfId="0" applyFont="1" applyFill="1" applyBorder="1" applyProtection="1">
      <protection locked="0"/>
    </xf>
    <xf numFmtId="0" fontId="2" fillId="0" borderId="8" xfId="0" applyFont="1" applyFill="1" applyBorder="1" applyProtection="1">
      <protection locked="0"/>
    </xf>
    <xf numFmtId="0" fontId="2" fillId="0" borderId="4" xfId="0" applyFont="1" applyFill="1" applyBorder="1" applyProtection="1">
      <protection locked="0"/>
    </xf>
    <xf numFmtId="0" fontId="2" fillId="0" borderId="18" xfId="0" applyFont="1" applyFill="1" applyBorder="1" applyProtection="1">
      <protection locked="0"/>
    </xf>
    <xf numFmtId="0" fontId="2" fillId="0" borderId="6" xfId="0" applyFont="1" applyFill="1" applyBorder="1" applyProtection="1">
      <protection locked="0"/>
    </xf>
    <xf numFmtId="0" fontId="2" fillId="0" borderId="12" xfId="0" applyFont="1" applyFill="1" applyBorder="1" applyProtection="1">
      <protection locked="0"/>
    </xf>
    <xf numFmtId="3" fontId="80" fillId="4" borderId="161" xfId="0" applyNumberFormat="1" applyFont="1" applyFill="1" applyBorder="1" applyAlignment="1" applyProtection="1">
      <alignment horizontal="right" shrinkToFit="1"/>
    </xf>
    <xf numFmtId="3" fontId="80" fillId="4" borderId="162" xfId="0" applyNumberFormat="1" applyFont="1" applyFill="1" applyBorder="1" applyAlignment="1" applyProtection="1">
      <alignment horizontal="right" shrinkToFit="1"/>
    </xf>
    <xf numFmtId="3" fontId="80" fillId="4" borderId="163" xfId="0" applyNumberFormat="1" applyFont="1" applyFill="1" applyBorder="1" applyAlignment="1" applyProtection="1">
      <alignment horizontal="right" shrinkToFit="1"/>
    </xf>
    <xf numFmtId="3" fontId="80" fillId="4" borderId="164" xfId="0" applyNumberFormat="1" applyFont="1" applyFill="1" applyBorder="1" applyAlignment="1" applyProtection="1">
      <alignment horizontal="right" shrinkToFit="1"/>
    </xf>
    <xf numFmtId="3" fontId="80" fillId="4" borderId="165" xfId="0" applyNumberFormat="1" applyFont="1" applyFill="1" applyBorder="1" applyAlignment="1" applyProtection="1">
      <alignment horizontal="right" shrinkToFit="1"/>
    </xf>
    <xf numFmtId="3" fontId="80" fillId="4" borderId="166" xfId="0" applyNumberFormat="1" applyFont="1" applyFill="1" applyBorder="1" applyAlignment="1" applyProtection="1">
      <alignment horizontal="right" shrinkToFit="1"/>
    </xf>
    <xf numFmtId="3" fontId="80" fillId="4" borderId="167" xfId="0" applyNumberFormat="1" applyFont="1" applyFill="1" applyBorder="1" applyAlignment="1" applyProtection="1">
      <alignment horizontal="right" shrinkToFit="1"/>
    </xf>
    <xf numFmtId="3" fontId="80" fillId="4" borderId="2" xfId="0" applyNumberFormat="1" applyFont="1" applyFill="1" applyBorder="1" applyAlignment="1" applyProtection="1">
      <alignment horizontal="right" shrinkToFit="1"/>
    </xf>
    <xf numFmtId="3" fontId="80" fillId="4" borderId="168" xfId="0" applyNumberFormat="1" applyFont="1" applyFill="1" applyBorder="1" applyAlignment="1" applyProtection="1">
      <alignment horizontal="right" shrinkToFit="1"/>
    </xf>
    <xf numFmtId="3" fontId="80" fillId="4" borderId="169" xfId="0" applyNumberFormat="1" applyFont="1" applyFill="1" applyBorder="1" applyAlignment="1" applyProtection="1">
      <alignment horizontal="right" shrinkToFit="1"/>
    </xf>
    <xf numFmtId="3" fontId="80" fillId="4" borderId="170" xfId="0" applyNumberFormat="1" applyFont="1" applyFill="1" applyBorder="1" applyAlignment="1" applyProtection="1">
      <alignment horizontal="right" shrinkToFit="1"/>
    </xf>
    <xf numFmtId="0" fontId="80" fillId="4" borderId="171" xfId="0" applyFont="1" applyFill="1" applyBorder="1" applyAlignment="1" applyProtection="1">
      <alignment horizontal="right" vertical="center"/>
      <protection locked="0"/>
    </xf>
    <xf numFmtId="0" fontId="79" fillId="3" borderId="141" xfId="0" applyFont="1" applyFill="1" applyBorder="1" applyAlignment="1" applyProtection="1">
      <alignment horizontal="center"/>
      <protection locked="0"/>
    </xf>
    <xf numFmtId="49" fontId="80" fillId="4" borderId="172" xfId="0" applyNumberFormat="1" applyFont="1" applyFill="1" applyBorder="1" applyAlignment="1">
      <alignment horizontal="right"/>
    </xf>
    <xf numFmtId="49" fontId="80" fillId="4" borderId="173" xfId="0" applyNumberFormat="1" applyFont="1" applyFill="1" applyBorder="1" applyAlignment="1"/>
    <xf numFmtId="49" fontId="80" fillId="4" borderId="174" xfId="0" applyNumberFormat="1" applyFont="1" applyFill="1" applyBorder="1" applyAlignment="1"/>
    <xf numFmtId="49" fontId="80" fillId="4" borderId="167" xfId="0" applyNumberFormat="1" applyFont="1" applyFill="1" applyBorder="1" applyAlignment="1"/>
    <xf numFmtId="0" fontId="10" fillId="0" borderId="0" xfId="0" applyFont="1" applyFill="1" applyBorder="1" applyProtection="1">
      <protection locked="0"/>
    </xf>
    <xf numFmtId="0" fontId="10" fillId="0" borderId="0" xfId="0" applyFont="1" applyFill="1" applyBorder="1"/>
    <xf numFmtId="0" fontId="10" fillId="0" borderId="37" xfId="0" applyFont="1" applyFill="1" applyBorder="1"/>
    <xf numFmtId="0" fontId="165" fillId="0" borderId="0" xfId="0" applyFont="1" applyFill="1" applyBorder="1"/>
    <xf numFmtId="3" fontId="46" fillId="0" borderId="25" xfId="0" applyNumberFormat="1" applyFont="1" applyFill="1" applyBorder="1"/>
    <xf numFmtId="3" fontId="80" fillId="4" borderId="175" xfId="0" applyNumberFormat="1" applyFont="1" applyFill="1" applyBorder="1" applyAlignment="1" applyProtection="1">
      <alignment horizontal="right" shrinkToFit="1"/>
    </xf>
    <xf numFmtId="49" fontId="80" fillId="4" borderId="172" xfId="0" applyNumberFormat="1" applyFont="1" applyFill="1" applyBorder="1" applyAlignment="1">
      <alignment horizontal="left"/>
    </xf>
    <xf numFmtId="0" fontId="79" fillId="3" borderId="35" xfId="0" applyFont="1" applyFill="1" applyBorder="1" applyAlignment="1" applyProtection="1">
      <alignment horizontal="center"/>
      <protection locked="0"/>
    </xf>
    <xf numFmtId="0" fontId="79" fillId="3" borderId="34" xfId="0" applyFont="1" applyFill="1" applyBorder="1" applyAlignment="1" applyProtection="1">
      <alignment horizontal="center"/>
      <protection locked="0"/>
    </xf>
    <xf numFmtId="49" fontId="79" fillId="3" borderId="34" xfId="0" applyNumberFormat="1" applyFont="1" applyFill="1" applyBorder="1" applyAlignment="1" applyProtection="1">
      <alignment horizontal="center" shrinkToFit="1"/>
      <protection locked="0"/>
    </xf>
    <xf numFmtId="49" fontId="80" fillId="4" borderId="176" xfId="0" applyNumberFormat="1" applyFont="1" applyFill="1" applyBorder="1" applyAlignment="1"/>
    <xf numFmtId="49" fontId="80" fillId="4" borderId="177" xfId="0" applyNumberFormat="1" applyFont="1" applyFill="1" applyBorder="1" applyAlignment="1">
      <alignment horizontal="center" vertical="center" shrinkToFit="1"/>
    </xf>
    <xf numFmtId="49" fontId="80" fillId="4" borderId="178" xfId="0" applyNumberFormat="1" applyFont="1" applyFill="1" applyBorder="1" applyAlignment="1">
      <alignment horizontal="center" vertical="center" shrinkToFit="1"/>
    </xf>
    <xf numFmtId="164" fontId="80" fillId="3" borderId="179" xfId="0" applyNumberFormat="1" applyFont="1" applyFill="1" applyBorder="1" applyAlignment="1" applyProtection="1">
      <alignment shrinkToFit="1"/>
      <protection locked="0"/>
    </xf>
    <xf numFmtId="164" fontId="80" fillId="3" borderId="180" xfId="0" applyNumberFormat="1" applyFont="1" applyFill="1" applyBorder="1" applyAlignment="1" applyProtection="1">
      <alignment shrinkToFit="1"/>
      <protection locked="0"/>
    </xf>
    <xf numFmtId="164" fontId="80" fillId="3" borderId="181" xfId="0" applyNumberFormat="1" applyFont="1" applyFill="1" applyBorder="1" applyAlignment="1" applyProtection="1">
      <alignment shrinkToFit="1"/>
      <protection locked="0"/>
    </xf>
    <xf numFmtId="0" fontId="80" fillId="0" borderId="0" xfId="0" applyFont="1" applyFill="1" applyAlignment="1" applyProtection="1">
      <protection locked="0"/>
    </xf>
    <xf numFmtId="164" fontId="80" fillId="0" borderId="0" xfId="0" applyNumberFormat="1" applyFont="1" applyFill="1" applyAlignment="1" applyProtection="1">
      <protection locked="0"/>
    </xf>
    <xf numFmtId="49" fontId="89" fillId="10" borderId="182" xfId="0" applyNumberFormat="1" applyFont="1" applyFill="1" applyBorder="1" applyAlignment="1" applyProtection="1">
      <alignment horizontal="center" shrinkToFit="1"/>
    </xf>
    <xf numFmtId="49" fontId="89" fillId="4" borderId="183" xfId="0" applyNumberFormat="1" applyFont="1" applyFill="1" applyBorder="1" applyAlignment="1" applyProtection="1">
      <alignment horizontal="center" shrinkToFit="1"/>
    </xf>
    <xf numFmtId="49" fontId="80" fillId="4" borderId="184" xfId="0" applyNumberFormat="1" applyFont="1" applyFill="1" applyBorder="1" applyAlignment="1" applyProtection="1">
      <alignment horizontal="center" shrinkToFit="1"/>
    </xf>
    <xf numFmtId="49" fontId="80" fillId="4" borderId="185" xfId="0" applyNumberFormat="1" applyFont="1" applyFill="1" applyBorder="1" applyAlignment="1" applyProtection="1">
      <alignment horizontal="center" shrinkToFit="1"/>
    </xf>
    <xf numFmtId="49" fontId="80" fillId="4" borderId="186" xfId="0" applyNumberFormat="1" applyFont="1" applyFill="1" applyBorder="1" applyAlignment="1" applyProtection="1">
      <alignment horizontal="center" shrinkToFit="1"/>
    </xf>
    <xf numFmtId="0" fontId="89" fillId="4" borderId="187" xfId="0" applyFont="1" applyFill="1" applyBorder="1" applyAlignment="1" applyProtection="1">
      <alignment horizontal="right" shrinkToFit="1"/>
    </xf>
    <xf numFmtId="164" fontId="142" fillId="6" borderId="188" xfId="0" applyNumberFormat="1" applyFont="1" applyFill="1" applyBorder="1" applyAlignment="1" applyProtection="1">
      <alignment shrinkToFit="1"/>
    </xf>
    <xf numFmtId="3" fontId="94" fillId="6" borderId="23" xfId="0" applyNumberFormat="1" applyFont="1" applyFill="1" applyBorder="1" applyAlignment="1" applyProtection="1">
      <alignment shrinkToFit="1"/>
    </xf>
    <xf numFmtId="3" fontId="94" fillId="6" borderId="189" xfId="0" applyNumberFormat="1" applyFont="1" applyFill="1" applyBorder="1" applyAlignment="1" applyProtection="1">
      <alignment shrinkToFit="1"/>
    </xf>
    <xf numFmtId="3" fontId="94" fillId="6" borderId="190" xfId="0" applyNumberFormat="1" applyFont="1" applyFill="1" applyBorder="1" applyAlignment="1" applyProtection="1">
      <alignment shrinkToFit="1"/>
    </xf>
    <xf numFmtId="49" fontId="89" fillId="11" borderId="182" xfId="0" applyNumberFormat="1" applyFont="1" applyFill="1" applyBorder="1" applyAlignment="1" applyProtection="1">
      <alignment horizontal="center" shrinkToFit="1"/>
    </xf>
    <xf numFmtId="0" fontId="80" fillId="4" borderId="191" xfId="0" applyFont="1" applyFill="1" applyBorder="1" applyAlignment="1" applyProtection="1">
      <alignment horizontal="right" shrinkToFit="1"/>
    </xf>
    <xf numFmtId="164" fontId="142" fillId="6" borderId="156" xfId="0" applyNumberFormat="1" applyFont="1" applyFill="1" applyBorder="1" applyAlignment="1" applyProtection="1">
      <alignment shrinkToFit="1"/>
    </xf>
    <xf numFmtId="3" fontId="94" fillId="6" borderId="157" xfId="0" applyNumberFormat="1" applyFont="1" applyFill="1" applyBorder="1" applyAlignment="1" applyProtection="1">
      <alignment shrinkToFit="1"/>
    </xf>
    <xf numFmtId="3" fontId="94" fillId="6" borderId="108" xfId="0" applyNumberFormat="1" applyFont="1" applyFill="1" applyBorder="1" applyAlignment="1" applyProtection="1">
      <alignment shrinkToFit="1"/>
    </xf>
    <xf numFmtId="3" fontId="94" fillId="6" borderId="192" xfId="0" applyNumberFormat="1" applyFont="1" applyFill="1" applyBorder="1" applyAlignment="1" applyProtection="1">
      <alignment shrinkToFit="1"/>
    </xf>
    <xf numFmtId="49" fontId="89" fillId="10" borderId="193" xfId="0" applyNumberFormat="1" applyFont="1" applyFill="1" applyBorder="1" applyAlignment="1" applyProtection="1">
      <alignment horizontal="center" vertical="center" shrinkToFit="1"/>
    </xf>
    <xf numFmtId="164" fontId="142" fillId="5" borderId="88" xfId="0" applyNumberFormat="1" applyFont="1" applyFill="1" applyBorder="1" applyAlignment="1" applyProtection="1">
      <alignment shrinkToFit="1"/>
    </xf>
    <xf numFmtId="164" fontId="94" fillId="5" borderId="175" xfId="0" applyNumberFormat="1" applyFont="1" applyFill="1" applyBorder="1" applyAlignment="1" applyProtection="1">
      <alignment shrinkToFit="1"/>
    </xf>
    <xf numFmtId="164" fontId="94" fillId="5" borderId="105" xfId="0" applyNumberFormat="1" applyFont="1" applyFill="1" applyBorder="1" applyAlignment="1" applyProtection="1">
      <alignment shrinkToFit="1"/>
    </xf>
    <xf numFmtId="164" fontId="94" fillId="5" borderId="194" xfId="0" applyNumberFormat="1" applyFont="1" applyFill="1" applyBorder="1" applyAlignment="1" applyProtection="1">
      <alignment shrinkToFit="1"/>
    </xf>
    <xf numFmtId="0" fontId="80" fillId="4" borderId="195" xfId="0" applyFont="1" applyFill="1" applyBorder="1" applyAlignment="1" applyProtection="1">
      <alignment horizontal="right" shrinkToFit="1"/>
    </xf>
    <xf numFmtId="164" fontId="142" fillId="6" borderId="152" xfId="0" applyNumberFormat="1" applyFont="1" applyFill="1" applyBorder="1" applyAlignment="1" applyProtection="1">
      <alignment shrinkToFit="1"/>
    </xf>
    <xf numFmtId="3" fontId="94" fillId="6" borderId="151" xfId="0" applyNumberFormat="1" applyFont="1" applyFill="1" applyBorder="1" applyAlignment="1" applyProtection="1">
      <alignment shrinkToFit="1"/>
    </xf>
    <xf numFmtId="3" fontId="94" fillId="6" borderId="140" xfId="0" applyNumberFormat="1" applyFont="1" applyFill="1" applyBorder="1" applyAlignment="1" applyProtection="1">
      <alignment shrinkToFit="1"/>
    </xf>
    <xf numFmtId="3" fontId="94" fillId="6" borderId="196" xfId="0" applyNumberFormat="1" applyFont="1" applyFill="1" applyBorder="1" applyAlignment="1" applyProtection="1">
      <alignment shrinkToFit="1"/>
    </xf>
    <xf numFmtId="0" fontId="80" fillId="4" borderId="197" xfId="0" applyFont="1" applyFill="1" applyBorder="1" applyAlignment="1" applyProtection="1">
      <alignment horizontal="right" shrinkToFit="1"/>
    </xf>
    <xf numFmtId="164" fontId="142" fillId="6" borderId="153" xfId="0" applyNumberFormat="1" applyFont="1" applyFill="1" applyBorder="1" applyAlignment="1" applyProtection="1">
      <alignment shrinkToFit="1"/>
    </xf>
    <xf numFmtId="3" fontId="94" fillId="6" borderId="158" xfId="0" applyNumberFormat="1" applyFont="1" applyFill="1" applyBorder="1" applyAlignment="1" applyProtection="1">
      <alignment shrinkToFit="1"/>
    </xf>
    <xf numFmtId="3" fontId="94" fillId="6" borderId="159" xfId="0" applyNumberFormat="1" applyFont="1" applyFill="1" applyBorder="1" applyAlignment="1" applyProtection="1">
      <alignment shrinkToFit="1"/>
    </xf>
    <xf numFmtId="3" fontId="94" fillId="6" borderId="198" xfId="0" applyNumberFormat="1" applyFont="1" applyFill="1" applyBorder="1" applyAlignment="1" applyProtection="1">
      <alignment shrinkToFit="1"/>
    </xf>
    <xf numFmtId="49" fontId="80" fillId="4" borderId="199" xfId="0" applyNumberFormat="1" applyFont="1" applyFill="1" applyBorder="1" applyAlignment="1" applyProtection="1">
      <alignment horizontal="right" shrinkToFit="1"/>
    </xf>
    <xf numFmtId="164" fontId="142" fillId="6" borderId="200" xfId="0" applyNumberFormat="1" applyFont="1" applyFill="1" applyBorder="1" applyAlignment="1" applyProtection="1">
      <alignment shrinkToFit="1"/>
    </xf>
    <xf numFmtId="3" fontId="94" fillId="6" borderId="24" xfId="0" applyNumberFormat="1" applyFont="1" applyFill="1" applyBorder="1" applyAlignment="1" applyProtection="1">
      <alignment shrinkToFit="1"/>
    </xf>
    <xf numFmtId="3" fontId="94" fillId="6" borderId="69" xfId="0" applyNumberFormat="1" applyFont="1" applyFill="1" applyBorder="1" applyAlignment="1" applyProtection="1">
      <alignment shrinkToFit="1"/>
    </xf>
    <xf numFmtId="3" fontId="94" fillId="6" borderId="201" xfId="0" applyNumberFormat="1" applyFont="1" applyFill="1" applyBorder="1" applyAlignment="1" applyProtection="1">
      <alignment shrinkToFit="1"/>
    </xf>
    <xf numFmtId="0" fontId="80" fillId="4" borderId="202" xfId="0" applyFont="1" applyFill="1" applyBorder="1" applyAlignment="1" applyProtection="1">
      <alignment horizontal="right" shrinkToFit="1"/>
    </xf>
    <xf numFmtId="164" fontId="142" fillId="6" borderId="203" xfId="0" applyNumberFormat="1" applyFont="1" applyFill="1" applyBorder="1" applyAlignment="1" applyProtection="1">
      <alignment shrinkToFit="1"/>
    </xf>
    <xf numFmtId="3" fontId="94" fillId="6" borderId="21" xfId="0" applyNumberFormat="1" applyFont="1" applyFill="1" applyBorder="1" applyAlignment="1" applyProtection="1">
      <alignment shrinkToFit="1"/>
    </xf>
    <xf numFmtId="3" fontId="94" fillId="6" borderId="204" xfId="0" applyNumberFormat="1" applyFont="1" applyFill="1" applyBorder="1" applyAlignment="1" applyProtection="1">
      <alignment shrinkToFit="1"/>
    </xf>
    <xf numFmtId="3" fontId="94" fillId="6" borderId="205" xfId="0" applyNumberFormat="1" applyFont="1" applyFill="1" applyBorder="1" applyAlignment="1" applyProtection="1">
      <alignment shrinkToFit="1"/>
    </xf>
    <xf numFmtId="49" fontId="89" fillId="11" borderId="206" xfId="0" applyNumberFormat="1" applyFont="1" applyFill="1" applyBorder="1" applyAlignment="1" applyProtection="1">
      <alignment horizontal="center" shrinkToFit="1"/>
    </xf>
    <xf numFmtId="164" fontId="142" fillId="5" borderId="207" xfId="0" applyNumberFormat="1" applyFont="1" applyFill="1" applyBorder="1" applyAlignment="1" applyProtection="1">
      <alignment shrinkToFit="1"/>
    </xf>
    <xf numFmtId="3" fontId="94" fillId="5" borderId="208" xfId="0" applyNumberFormat="1" applyFont="1" applyFill="1" applyBorder="1" applyAlignment="1" applyProtection="1">
      <alignment shrinkToFit="1"/>
    </xf>
    <xf numFmtId="3" fontId="94" fillId="5" borderId="209" xfId="0" applyNumberFormat="1" applyFont="1" applyFill="1" applyBorder="1" applyAlignment="1" applyProtection="1">
      <alignment shrinkToFit="1"/>
    </xf>
    <xf numFmtId="3" fontId="94" fillId="5" borderId="210" xfId="0" applyNumberFormat="1" applyFont="1" applyFill="1" applyBorder="1" applyAlignment="1" applyProtection="1">
      <alignment shrinkToFit="1"/>
    </xf>
    <xf numFmtId="164" fontId="142" fillId="12" borderId="211" xfId="0" applyNumberFormat="1" applyFont="1" applyFill="1" applyBorder="1" applyAlignment="1" applyProtection="1">
      <alignment shrinkToFit="1"/>
    </xf>
    <xf numFmtId="164" fontId="94" fillId="12" borderId="212" xfId="0" applyNumberFormat="1" applyFont="1" applyFill="1" applyBorder="1" applyAlignment="1" applyProtection="1">
      <alignment shrinkToFit="1"/>
    </xf>
    <xf numFmtId="164" fontId="94" fillId="12" borderId="213" xfId="0" applyNumberFormat="1" applyFont="1" applyFill="1" applyBorder="1" applyAlignment="1" applyProtection="1">
      <alignment shrinkToFit="1"/>
    </xf>
    <xf numFmtId="164" fontId="94" fillId="12" borderId="214" xfId="0" applyNumberFormat="1" applyFont="1" applyFill="1" applyBorder="1" applyAlignment="1" applyProtection="1">
      <alignment shrinkToFit="1"/>
    </xf>
    <xf numFmtId="0" fontId="71" fillId="0" borderId="0" xfId="0" applyFont="1" applyBorder="1"/>
    <xf numFmtId="0" fontId="2" fillId="0" borderId="23" xfId="0" applyFont="1" applyFill="1" applyBorder="1" applyProtection="1">
      <protection locked="0"/>
    </xf>
    <xf numFmtId="0" fontId="31" fillId="0" borderId="0" xfId="0" applyFont="1" applyFill="1" applyProtection="1">
      <protection locked="0"/>
    </xf>
    <xf numFmtId="0" fontId="31" fillId="0" borderId="0" xfId="0" applyFont="1" applyFill="1" applyBorder="1" applyProtection="1">
      <protection locked="0"/>
    </xf>
    <xf numFmtId="0" fontId="31" fillId="0" borderId="23" xfId="0" applyFont="1" applyFill="1" applyBorder="1" applyProtection="1">
      <protection locked="0"/>
    </xf>
    <xf numFmtId="0" fontId="71" fillId="0" borderId="0" xfId="0" applyFont="1" applyFill="1"/>
    <xf numFmtId="0" fontId="71" fillId="0" borderId="0" xfId="0" applyFont="1" applyFill="1" applyProtection="1">
      <protection locked="0"/>
    </xf>
    <xf numFmtId="0" fontId="0" fillId="0" borderId="0" xfId="0" applyFill="1" applyProtection="1"/>
    <xf numFmtId="49" fontId="43" fillId="0" borderId="0" xfId="0" applyNumberFormat="1" applyFont="1" applyFill="1" applyBorder="1" applyAlignment="1" applyProtection="1">
      <alignment horizontal="right" vertical="center"/>
    </xf>
    <xf numFmtId="0" fontId="71" fillId="0" borderId="0" xfId="0" applyFont="1" applyFill="1" applyBorder="1"/>
    <xf numFmtId="0" fontId="71" fillId="0" borderId="23" xfId="0" applyFont="1" applyFill="1" applyBorder="1"/>
    <xf numFmtId="0" fontId="0" fillId="0" borderId="215" xfId="0" applyFill="1" applyBorder="1"/>
    <xf numFmtId="3" fontId="0" fillId="0" borderId="23" xfId="0" applyNumberFormat="1" applyFill="1" applyBorder="1"/>
    <xf numFmtId="0" fontId="0" fillId="0" borderId="20" xfId="0" applyFill="1" applyBorder="1"/>
    <xf numFmtId="0" fontId="0" fillId="0" borderId="21" xfId="0" applyFill="1" applyBorder="1"/>
    <xf numFmtId="0" fontId="0" fillId="0" borderId="19" xfId="0" applyFill="1" applyBorder="1"/>
    <xf numFmtId="0" fontId="0" fillId="0" borderId="216" xfId="0" applyFill="1" applyBorder="1"/>
    <xf numFmtId="0" fontId="0" fillId="0" borderId="39" xfId="0" applyFill="1" applyBorder="1"/>
    <xf numFmtId="0" fontId="0" fillId="3" borderId="0" xfId="0" applyFill="1" applyBorder="1" applyAlignment="1">
      <alignment vertical="center"/>
    </xf>
    <xf numFmtId="0" fontId="96" fillId="3" borderId="0" xfId="0" applyFont="1" applyFill="1" applyBorder="1" applyAlignment="1">
      <alignment horizontal="center" vertical="center"/>
    </xf>
    <xf numFmtId="0" fontId="91" fillId="0" borderId="216" xfId="0" applyFont="1" applyFill="1" applyBorder="1"/>
    <xf numFmtId="49" fontId="37" fillId="0" borderId="0" xfId="0" applyNumberFormat="1" applyFont="1" applyFill="1" applyBorder="1" applyAlignment="1" applyProtection="1">
      <alignment horizontal="right" vertical="center"/>
    </xf>
    <xf numFmtId="49" fontId="110" fillId="0" borderId="25" xfId="0" applyNumberFormat="1" applyFont="1" applyFill="1" applyBorder="1" applyAlignment="1" applyProtection="1">
      <alignment vertical="center"/>
    </xf>
    <xf numFmtId="0" fontId="0" fillId="0" borderId="37" xfId="0" applyFill="1" applyBorder="1" applyProtection="1"/>
    <xf numFmtId="0" fontId="0" fillId="0" borderId="39" xfId="0" applyFill="1" applyBorder="1" applyProtection="1"/>
    <xf numFmtId="0" fontId="95" fillId="3" borderId="37" xfId="0" applyFont="1" applyFill="1" applyBorder="1" applyAlignment="1" applyProtection="1">
      <alignment horizontal="left"/>
    </xf>
    <xf numFmtId="0" fontId="2" fillId="0" borderId="0" xfId="0" applyFont="1" applyFill="1" applyBorder="1" applyProtection="1"/>
    <xf numFmtId="0" fontId="26" fillId="0" borderId="0" xfId="0" applyFont="1" applyFill="1" applyBorder="1" applyProtection="1"/>
    <xf numFmtId="0" fontId="168"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vertical="center"/>
    </xf>
    <xf numFmtId="0" fontId="81" fillId="0" borderId="0" xfId="0" applyFont="1" applyFill="1" applyBorder="1" applyAlignment="1" applyProtection="1">
      <alignment horizontal="center" vertical="center"/>
      <protection locked="0"/>
    </xf>
    <xf numFmtId="0" fontId="1" fillId="0" borderId="0" xfId="0" applyFont="1" applyFill="1" applyBorder="1" applyProtection="1"/>
    <xf numFmtId="0" fontId="82" fillId="0" borderId="0" xfId="0" applyFont="1" applyFill="1" applyBorder="1" applyAlignment="1" applyProtection="1">
      <alignment vertical="center"/>
    </xf>
    <xf numFmtId="0" fontId="34" fillId="0" borderId="0" xfId="0" applyFont="1" applyFill="1" applyBorder="1" applyProtection="1"/>
    <xf numFmtId="0" fontId="84" fillId="0" borderId="0" xfId="0" applyFont="1" applyFill="1" applyBorder="1" applyAlignment="1" applyProtection="1"/>
    <xf numFmtId="0" fontId="80" fillId="0" borderId="0" xfId="0" applyFont="1" applyFill="1" applyBorder="1" applyProtection="1"/>
    <xf numFmtId="0" fontId="34" fillId="0" borderId="0" xfId="0" applyFont="1" applyFill="1" applyBorder="1" applyProtection="1">
      <protection locked="0"/>
    </xf>
    <xf numFmtId="0" fontId="82" fillId="0" borderId="25" xfId="0" applyFont="1" applyFill="1" applyBorder="1" applyProtection="1"/>
    <xf numFmtId="0" fontId="82" fillId="0" borderId="23" xfId="0" applyFont="1" applyFill="1" applyBorder="1" applyProtection="1"/>
    <xf numFmtId="0" fontId="82" fillId="0" borderId="39" xfId="0" applyFont="1" applyFill="1" applyBorder="1" applyProtection="1"/>
    <xf numFmtId="0" fontId="82" fillId="0" borderId="37" xfId="0" applyFont="1" applyFill="1" applyBorder="1" applyProtection="1"/>
    <xf numFmtId="0" fontId="82" fillId="0" borderId="24" xfId="0" applyFont="1" applyFill="1" applyBorder="1" applyProtection="1"/>
    <xf numFmtId="0" fontId="83" fillId="0" borderId="19" xfId="0" applyFont="1" applyFill="1" applyBorder="1" applyProtection="1"/>
    <xf numFmtId="0" fontId="83" fillId="0" borderId="20" xfId="0" applyFont="1" applyFill="1" applyBorder="1" applyProtection="1"/>
    <xf numFmtId="0" fontId="83" fillId="0" borderId="21" xfId="0" applyFont="1" applyFill="1" applyBorder="1" applyProtection="1"/>
    <xf numFmtId="0" fontId="84" fillId="0" borderId="25" xfId="0" applyFont="1" applyFill="1" applyBorder="1" applyAlignment="1" applyProtection="1">
      <alignment horizontal="center"/>
    </xf>
    <xf numFmtId="0" fontId="84" fillId="0" borderId="0" xfId="0" applyFont="1" applyFill="1" applyBorder="1" applyAlignment="1" applyProtection="1">
      <alignment horizontal="center"/>
    </xf>
    <xf numFmtId="0" fontId="84" fillId="0" borderId="23" xfId="0" applyFont="1" applyFill="1" applyBorder="1" applyAlignment="1" applyProtection="1">
      <alignment horizontal="center"/>
    </xf>
    <xf numFmtId="0" fontId="80" fillId="0" borderId="39" xfId="0" applyFont="1" applyFill="1" applyBorder="1" applyProtection="1"/>
    <xf numFmtId="0" fontId="85" fillId="0" borderId="24" xfId="0" applyFont="1" applyFill="1" applyBorder="1" applyProtection="1"/>
    <xf numFmtId="0" fontId="82" fillId="0" borderId="19" xfId="0" applyFont="1" applyFill="1" applyBorder="1" applyProtection="1"/>
    <xf numFmtId="0" fontId="82" fillId="0" borderId="20" xfId="0" applyFont="1" applyFill="1" applyBorder="1" applyProtection="1"/>
    <xf numFmtId="0" fontId="82" fillId="0" borderId="21" xfId="0" applyFont="1" applyFill="1" applyBorder="1" applyProtection="1"/>
    <xf numFmtId="0" fontId="26" fillId="0" borderId="0" xfId="0" applyFont="1" applyFill="1" applyBorder="1" applyAlignment="1" applyProtection="1">
      <alignment horizontal="right"/>
      <protection locked="0"/>
    </xf>
    <xf numFmtId="0" fontId="80" fillId="0" borderId="0" xfId="0" applyFont="1" applyFill="1" applyBorder="1" applyAlignment="1" applyProtection="1">
      <protection locked="0"/>
    </xf>
    <xf numFmtId="0" fontId="86" fillId="0" borderId="0" xfId="0" applyFont="1" applyFill="1" applyBorder="1" applyAlignment="1" applyProtection="1">
      <alignment vertical="center"/>
    </xf>
    <xf numFmtId="0" fontId="34" fillId="0" borderId="0" xfId="0" applyFont="1" applyFill="1" applyBorder="1" applyAlignment="1" applyProtection="1">
      <alignment horizontal="right"/>
      <protection locked="0"/>
    </xf>
    <xf numFmtId="49" fontId="169" fillId="0" borderId="0" xfId="0" applyNumberFormat="1" applyFont="1" applyFill="1" applyBorder="1" applyAlignment="1" applyProtection="1">
      <protection locked="0"/>
    </xf>
    <xf numFmtId="0" fontId="173" fillId="4" borderId="1" xfId="1" applyFont="1" applyFill="1" applyBorder="1" applyAlignment="1" applyProtection="1">
      <alignment horizontal="center" vertical="center"/>
    </xf>
    <xf numFmtId="0" fontId="160" fillId="5" borderId="0" xfId="0" applyFont="1" applyFill="1" applyBorder="1" applyAlignment="1">
      <alignment horizontal="center" vertical="center"/>
    </xf>
    <xf numFmtId="0" fontId="120" fillId="13" borderId="217" xfId="0" applyFont="1" applyFill="1" applyBorder="1" applyAlignment="1" applyProtection="1">
      <alignment horizontal="center" vertical="center"/>
    </xf>
    <xf numFmtId="0" fontId="120" fillId="14" borderId="218" xfId="0" applyFont="1" applyFill="1" applyBorder="1" applyAlignment="1" applyProtection="1">
      <alignment horizontal="center" vertical="center"/>
    </xf>
    <xf numFmtId="0" fontId="2" fillId="3" borderId="25" xfId="0" applyFont="1" applyFill="1" applyBorder="1" applyProtection="1"/>
    <xf numFmtId="0" fontId="2" fillId="3" borderId="0" xfId="0" applyFont="1" applyFill="1" applyBorder="1" applyProtection="1"/>
    <xf numFmtId="0" fontId="2" fillId="3" borderId="25" xfId="0" applyFont="1" applyFill="1" applyBorder="1" applyAlignment="1" applyProtection="1">
      <alignment vertical="center"/>
    </xf>
    <xf numFmtId="0" fontId="80" fillId="3" borderId="0" xfId="0" applyFont="1" applyFill="1" applyBorder="1" applyAlignment="1" applyProtection="1">
      <alignment vertical="center"/>
    </xf>
    <xf numFmtId="0" fontId="26" fillId="3" borderId="25"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80" fillId="3" borderId="0" xfId="0" applyFont="1" applyFill="1" applyBorder="1" applyAlignment="1" applyProtection="1">
      <protection locked="0"/>
    </xf>
    <xf numFmtId="0" fontId="80" fillId="3" borderId="0" xfId="0" applyFont="1" applyFill="1" applyBorder="1" applyAlignment="1">
      <alignment vertical="center"/>
    </xf>
    <xf numFmtId="0" fontId="2" fillId="3" borderId="0" xfId="0" applyFont="1" applyFill="1" applyBorder="1" applyAlignment="1" applyProtection="1">
      <alignment vertical="center"/>
    </xf>
    <xf numFmtId="0" fontId="0" fillId="3" borderId="23" xfId="0" applyFill="1" applyBorder="1" applyAlignment="1">
      <alignment vertical="center"/>
    </xf>
    <xf numFmtId="0" fontId="0" fillId="3" borderId="0" xfId="0" applyFill="1" applyAlignment="1">
      <alignment vertical="center"/>
    </xf>
    <xf numFmtId="0" fontId="80" fillId="3" borderId="0" xfId="0" applyFont="1" applyFill="1" applyBorder="1" applyAlignment="1">
      <alignment horizontal="center" vertical="center"/>
    </xf>
    <xf numFmtId="0" fontId="26" fillId="3" borderId="0" xfId="0" applyFont="1" applyFill="1" applyBorder="1" applyAlignment="1" applyProtection="1">
      <alignment horizontal="center" vertical="center"/>
    </xf>
    <xf numFmtId="0" fontId="26" fillId="3" borderId="0" xfId="0" applyFont="1" applyFill="1" applyBorder="1" applyAlignment="1">
      <alignment horizontal="center" vertical="center"/>
    </xf>
    <xf numFmtId="0" fontId="34" fillId="3" borderId="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0" xfId="0" applyFont="1" applyFill="1" applyAlignment="1">
      <alignment horizontal="center" vertical="center"/>
    </xf>
    <xf numFmtId="0" fontId="2" fillId="3" borderId="23" xfId="0" applyFont="1" applyFill="1" applyBorder="1"/>
    <xf numFmtId="10" fontId="0" fillId="3" borderId="0" xfId="0" applyNumberFormat="1" applyFill="1" applyBorder="1"/>
    <xf numFmtId="0" fontId="80" fillId="3" borderId="0" xfId="0" applyFont="1" applyFill="1" applyBorder="1" applyAlignment="1" applyProtection="1">
      <alignment horizontal="right"/>
      <protection locked="0"/>
    </xf>
    <xf numFmtId="0" fontId="82" fillId="3" borderId="0" xfId="0" applyFont="1" applyFill="1" applyBorder="1" applyAlignment="1" applyProtection="1">
      <alignment horizontal="right"/>
      <protection locked="0"/>
    </xf>
    <xf numFmtId="49" fontId="95" fillId="3" borderId="0" xfId="0" applyNumberFormat="1" applyFont="1" applyFill="1" applyBorder="1" applyAlignment="1" applyProtection="1">
      <protection locked="0"/>
    </xf>
    <xf numFmtId="0" fontId="98" fillId="3" borderId="41" xfId="0" applyFont="1" applyFill="1" applyBorder="1"/>
    <xf numFmtId="0" fontId="91" fillId="3" borderId="0" xfId="0" applyFont="1" applyFill="1" applyBorder="1" applyAlignment="1" applyProtection="1">
      <alignment horizontal="center"/>
    </xf>
    <xf numFmtId="0" fontId="80" fillId="3" borderId="0" xfId="0" applyFont="1" applyFill="1" applyBorder="1" applyAlignment="1" applyProtection="1">
      <alignment horizontal="left"/>
    </xf>
    <xf numFmtId="0" fontId="80" fillId="6" borderId="0" xfId="0" applyFont="1" applyFill="1" applyBorder="1" applyProtection="1">
      <protection locked="0"/>
    </xf>
    <xf numFmtId="0" fontId="97" fillId="6" borderId="0" xfId="0" applyFont="1" applyFill="1" applyBorder="1" applyAlignment="1" applyProtection="1">
      <alignment horizontal="left"/>
      <protection locked="0"/>
    </xf>
    <xf numFmtId="0" fontId="98" fillId="6" borderId="0" xfId="0" applyFont="1" applyFill="1" applyBorder="1"/>
    <xf numFmtId="0" fontId="91" fillId="6" borderId="0" xfId="0" applyFont="1" applyFill="1" applyBorder="1"/>
    <xf numFmtId="0" fontId="80" fillId="6" borderId="0" xfId="0" applyFont="1" applyFill="1" applyBorder="1" applyAlignment="1" applyProtection="1">
      <alignment horizontal="left"/>
      <protection locked="0"/>
    </xf>
    <xf numFmtId="3" fontId="109" fillId="7" borderId="219" xfId="0" applyNumberFormat="1" applyFont="1" applyFill="1" applyBorder="1" applyAlignment="1" applyProtection="1">
      <alignment vertical="center"/>
    </xf>
    <xf numFmtId="0" fontId="80" fillId="6" borderId="0" xfId="0" applyFont="1" applyFill="1" applyBorder="1"/>
    <xf numFmtId="0" fontId="91" fillId="6" borderId="0" xfId="0" applyFont="1" applyFill="1" applyBorder="1" applyAlignment="1"/>
    <xf numFmtId="0" fontId="82" fillId="6" borderId="0" xfId="0" applyFont="1" applyFill="1" applyBorder="1"/>
    <xf numFmtId="0" fontId="80" fillId="6" borderId="28" xfId="0" applyFont="1" applyFill="1" applyBorder="1" applyProtection="1">
      <protection locked="0"/>
    </xf>
    <xf numFmtId="0" fontId="80" fillId="6" borderId="29" xfId="0" applyFont="1" applyFill="1" applyBorder="1" applyProtection="1">
      <protection locked="0"/>
    </xf>
    <xf numFmtId="0" fontId="82" fillId="6" borderId="29" xfId="0" applyFont="1" applyFill="1" applyBorder="1" applyProtection="1">
      <protection locked="0"/>
    </xf>
    <xf numFmtId="0" fontId="90" fillId="4" borderId="112" xfId="0" applyFont="1" applyFill="1" applyBorder="1" applyAlignment="1" applyProtection="1">
      <alignment horizontal="center" vertical="center"/>
      <protection locked="0"/>
    </xf>
    <xf numFmtId="0" fontId="90" fillId="4" borderId="22" xfId="0" applyFont="1" applyFill="1" applyBorder="1" applyAlignment="1" applyProtection="1">
      <alignment horizontal="center" vertical="center"/>
      <protection locked="0"/>
    </xf>
    <xf numFmtId="49" fontId="89" fillId="4" borderId="84" xfId="0" applyNumberFormat="1" applyFont="1" applyFill="1" applyBorder="1" applyAlignment="1">
      <alignment horizontal="center" vertical="center"/>
    </xf>
    <xf numFmtId="0" fontId="78" fillId="6" borderId="0" xfId="0" applyFont="1" applyFill="1" applyBorder="1" applyAlignment="1" applyProtection="1">
      <alignment horizontal="left"/>
      <protection locked="0"/>
    </xf>
    <xf numFmtId="49" fontId="89" fillId="4" borderId="65" xfId="0" applyNumberFormat="1" applyFont="1" applyFill="1" applyBorder="1" applyAlignment="1">
      <alignment horizontal="center" vertical="center"/>
    </xf>
    <xf numFmtId="0" fontId="90" fillId="4" borderId="69" xfId="0" applyFont="1" applyFill="1" applyBorder="1" applyAlignment="1" applyProtection="1">
      <alignment horizontal="center"/>
    </xf>
    <xf numFmtId="0" fontId="117" fillId="8" borderId="220" xfId="0" applyFont="1" applyFill="1" applyBorder="1"/>
    <xf numFmtId="0" fontId="178" fillId="8" borderId="221" xfId="0" applyFont="1" applyFill="1" applyBorder="1" applyProtection="1">
      <protection locked="0"/>
    </xf>
    <xf numFmtId="0" fontId="178" fillId="8" borderId="222" xfId="0" applyFont="1" applyFill="1" applyBorder="1" applyProtection="1">
      <protection locked="0"/>
    </xf>
    <xf numFmtId="49" fontId="115" fillId="14" borderId="223" xfId="0" applyNumberFormat="1" applyFont="1" applyFill="1" applyBorder="1" applyAlignment="1" applyProtection="1">
      <alignment horizontal="center" vertical="center" shrinkToFit="1"/>
    </xf>
    <xf numFmtId="0" fontId="80" fillId="6" borderId="31" xfId="0" applyFont="1" applyFill="1" applyBorder="1" applyAlignment="1" applyProtection="1">
      <alignment horizontal="left"/>
      <protection locked="0"/>
    </xf>
    <xf numFmtId="0" fontId="80" fillId="6" borderId="32" xfId="0" applyFont="1" applyFill="1" applyBorder="1" applyProtection="1">
      <protection locked="0"/>
    </xf>
    <xf numFmtId="0" fontId="179" fillId="3" borderId="0" xfId="0" applyFont="1" applyFill="1" applyBorder="1"/>
    <xf numFmtId="0" fontId="139" fillId="3" borderId="2" xfId="0" applyNumberFormat="1" applyFont="1" applyFill="1" applyBorder="1" applyAlignment="1" applyProtection="1">
      <alignment horizontal="center" vertical="center"/>
      <protection locked="0"/>
    </xf>
    <xf numFmtId="0" fontId="107" fillId="0" borderId="0" xfId="0" applyFont="1" applyFill="1" applyBorder="1" applyProtection="1">
      <protection locked="0"/>
    </xf>
    <xf numFmtId="0" fontId="107" fillId="0" borderId="0" xfId="0" applyFont="1" applyFill="1"/>
    <xf numFmtId="0" fontId="107" fillId="0" borderId="0" xfId="0" applyFont="1"/>
    <xf numFmtId="0" fontId="80" fillId="0" borderId="9" xfId="0" applyFont="1" applyFill="1" applyBorder="1" applyProtection="1">
      <protection locked="0"/>
    </xf>
    <xf numFmtId="0" fontId="80" fillId="0" borderId="8" xfId="0" applyFont="1" applyFill="1" applyBorder="1" applyAlignment="1" applyProtection="1">
      <alignment horizontal="right" vertical="center"/>
      <protection locked="0"/>
    </xf>
    <xf numFmtId="166" fontId="107" fillId="0" borderId="22" xfId="0" applyNumberFormat="1" applyFont="1" applyFill="1" applyBorder="1" applyAlignment="1" applyProtection="1">
      <alignment horizontal="center"/>
      <protection locked="0"/>
    </xf>
    <xf numFmtId="0" fontId="180" fillId="0" borderId="10" xfId="0" applyFont="1" applyFill="1" applyBorder="1"/>
    <xf numFmtId="0" fontId="180" fillId="0" borderId="17" xfId="0" applyFont="1" applyFill="1" applyBorder="1"/>
    <xf numFmtId="0" fontId="80" fillId="6" borderId="224" xfId="0" applyFont="1" applyFill="1" applyBorder="1" applyProtection="1">
      <protection locked="0"/>
    </xf>
    <xf numFmtId="0" fontId="80" fillId="6" borderId="225" xfId="0" applyFont="1" applyFill="1" applyBorder="1" applyProtection="1">
      <protection locked="0"/>
    </xf>
    <xf numFmtId="0" fontId="98" fillId="6" borderId="224" xfId="0" applyFont="1" applyFill="1" applyBorder="1"/>
    <xf numFmtId="0" fontId="97" fillId="6" borderId="225" xfId="0" applyFont="1" applyFill="1" applyBorder="1" applyAlignment="1" applyProtection="1">
      <alignment horizontal="left"/>
      <protection locked="0"/>
    </xf>
    <xf numFmtId="0" fontId="90" fillId="6" borderId="224" xfId="0" applyFont="1" applyFill="1" applyBorder="1"/>
    <xf numFmtId="0" fontId="91" fillId="6" borderId="224" xfId="0" applyFont="1" applyFill="1" applyBorder="1"/>
    <xf numFmtId="0" fontId="82" fillId="6" borderId="226" xfId="0" applyFont="1" applyFill="1" applyBorder="1" applyAlignment="1" applyProtection="1">
      <alignment horizontal="left"/>
      <protection locked="0"/>
    </xf>
    <xf numFmtId="0" fontId="82" fillId="6" borderId="41" xfId="0" applyFont="1" applyFill="1" applyBorder="1" applyAlignment="1" applyProtection="1">
      <alignment horizontal="left"/>
      <protection locked="0"/>
    </xf>
    <xf numFmtId="0" fontId="82" fillId="6" borderId="227" xfId="0" applyFont="1" applyFill="1" applyBorder="1" applyAlignment="1" applyProtection="1">
      <alignment horizontal="left"/>
      <protection locked="0"/>
    </xf>
    <xf numFmtId="0" fontId="80" fillId="6" borderId="228" xfId="0" applyFont="1" applyFill="1" applyBorder="1" applyProtection="1">
      <protection locked="0"/>
    </xf>
    <xf numFmtId="0" fontId="98" fillId="6" borderId="28" xfId="0" applyFont="1" applyFill="1" applyBorder="1"/>
    <xf numFmtId="0" fontId="90" fillId="6" borderId="28" xfId="0" applyFont="1" applyFill="1" applyBorder="1" applyAlignment="1">
      <alignment horizontal="left"/>
    </xf>
    <xf numFmtId="0" fontId="91" fillId="6" borderId="28" xfId="0" applyFont="1" applyFill="1" applyBorder="1"/>
    <xf numFmtId="0" fontId="91" fillId="6" borderId="28" xfId="0" applyFont="1" applyFill="1" applyBorder="1" applyAlignment="1">
      <alignment horizontal="left"/>
    </xf>
    <xf numFmtId="0" fontId="89" fillId="6" borderId="28" xfId="0" applyFont="1" applyFill="1" applyBorder="1" applyAlignment="1">
      <alignment horizontal="left"/>
    </xf>
    <xf numFmtId="0" fontId="129" fillId="6" borderId="0" xfId="0" applyFont="1" applyFill="1" applyBorder="1" applyAlignment="1" applyProtection="1">
      <alignment horizontal="left"/>
      <protection locked="0"/>
    </xf>
    <xf numFmtId="0" fontId="91" fillId="6" borderId="30" xfId="0" applyFont="1" applyFill="1" applyBorder="1"/>
    <xf numFmtId="0" fontId="82" fillId="6" borderId="31" xfId="0" applyFont="1" applyFill="1" applyBorder="1"/>
    <xf numFmtId="0" fontId="92" fillId="3" borderId="0" xfId="0" applyFont="1" applyFill="1" applyBorder="1"/>
    <xf numFmtId="0" fontId="80" fillId="6" borderId="25" xfId="0" applyFont="1" applyFill="1" applyBorder="1" applyProtection="1">
      <protection locked="0"/>
    </xf>
    <xf numFmtId="0" fontId="80" fillId="15" borderId="229" xfId="0" applyFont="1" applyFill="1" applyBorder="1" applyProtection="1">
      <protection locked="0"/>
    </xf>
    <xf numFmtId="0" fontId="80" fillId="15" borderId="230" xfId="0" applyFont="1" applyFill="1" applyBorder="1" applyAlignment="1" applyProtection="1">
      <protection locked="0"/>
    </xf>
    <xf numFmtId="0" fontId="0" fillId="0" borderId="37" xfId="0" applyBorder="1" applyAlignment="1">
      <alignment horizontal="right"/>
    </xf>
    <xf numFmtId="0" fontId="71" fillId="15" borderId="231" xfId="0" applyFont="1" applyFill="1" applyBorder="1"/>
    <xf numFmtId="49" fontId="127" fillId="15" borderId="232" xfId="0" applyNumberFormat="1" applyFont="1" applyFill="1" applyBorder="1" applyAlignment="1" applyProtection="1">
      <alignment vertical="center"/>
    </xf>
    <xf numFmtId="49" fontId="166" fillId="15" borderId="232" xfId="0" applyNumberFormat="1" applyFont="1" applyFill="1" applyBorder="1" applyAlignment="1" applyProtection="1">
      <alignment vertical="center"/>
    </xf>
    <xf numFmtId="49" fontId="167" fillId="15" borderId="233" xfId="0" applyNumberFormat="1" applyFont="1" applyFill="1" applyBorder="1" applyAlignment="1" applyProtection="1">
      <alignment vertical="center"/>
    </xf>
    <xf numFmtId="0" fontId="80" fillId="15" borderId="229" xfId="0" applyFont="1" applyFill="1" applyBorder="1" applyAlignment="1" applyProtection="1">
      <protection locked="0"/>
    </xf>
    <xf numFmtId="0" fontId="137" fillId="15" borderId="234" xfId="0" applyFont="1" applyFill="1" applyBorder="1" applyAlignment="1" applyProtection="1">
      <alignment vertical="center"/>
      <protection locked="0"/>
    </xf>
    <xf numFmtId="49" fontId="120" fillId="15" borderId="229" xfId="0" applyNumberFormat="1" applyFont="1" applyFill="1" applyBorder="1" applyAlignment="1" applyProtection="1">
      <alignment vertical="center"/>
    </xf>
    <xf numFmtId="49" fontId="81" fillId="15" borderId="234" xfId="0" applyNumberFormat="1" applyFont="1" applyFill="1" applyBorder="1" applyAlignment="1" applyProtection="1">
      <alignment vertical="center" shrinkToFit="1"/>
    </xf>
    <xf numFmtId="0" fontId="80" fillId="15" borderId="234" xfId="0" applyFont="1" applyFill="1" applyBorder="1" applyAlignment="1" applyProtection="1">
      <protection locked="0"/>
    </xf>
    <xf numFmtId="0" fontId="96" fillId="15" borderId="234" xfId="0" applyFont="1" applyFill="1" applyBorder="1" applyAlignment="1">
      <alignment vertical="center"/>
    </xf>
    <xf numFmtId="0" fontId="101" fillId="15" borderId="230" xfId="0" applyFont="1" applyFill="1" applyBorder="1" applyProtection="1">
      <protection locked="0"/>
    </xf>
    <xf numFmtId="0" fontId="80" fillId="3" borderId="21" xfId="0" applyFont="1" applyFill="1" applyBorder="1" applyProtection="1"/>
    <xf numFmtId="0" fontId="80" fillId="3" borderId="23" xfId="0" applyFont="1" applyFill="1" applyBorder="1" applyProtection="1"/>
    <xf numFmtId="0" fontId="0" fillId="0" borderId="0" xfId="0" applyBorder="1" applyAlignment="1"/>
    <xf numFmtId="0" fontId="82" fillId="3" borderId="24" xfId="0" applyFont="1" applyFill="1" applyBorder="1" applyProtection="1"/>
    <xf numFmtId="0" fontId="82" fillId="3" borderId="23" xfId="0" applyFont="1" applyFill="1" applyBorder="1" applyProtection="1"/>
    <xf numFmtId="0" fontId="90" fillId="3" borderId="235" xfId="0" applyFont="1" applyFill="1" applyBorder="1" applyAlignment="1">
      <alignment horizontal="center" vertical="center"/>
    </xf>
    <xf numFmtId="0" fontId="85" fillId="3" borderId="236" xfId="0" applyFont="1" applyFill="1" applyBorder="1" applyAlignment="1">
      <alignment horizontal="center" vertical="center"/>
    </xf>
    <xf numFmtId="0" fontId="86" fillId="3" borderId="25" xfId="0" applyFont="1" applyFill="1" applyBorder="1" applyAlignment="1">
      <alignment horizontal="center" vertical="center"/>
    </xf>
    <xf numFmtId="0" fontId="90" fillId="3" borderId="23" xfId="0" applyFont="1" applyFill="1" applyBorder="1" applyAlignment="1">
      <alignment horizontal="center"/>
    </xf>
    <xf numFmtId="0" fontId="91" fillId="3" borderId="25" xfId="0" applyFont="1" applyFill="1" applyBorder="1" applyAlignment="1">
      <alignment horizontal="right" vertical="center"/>
    </xf>
    <xf numFmtId="3" fontId="85" fillId="3" borderId="23" xfId="0" applyNumberFormat="1" applyFont="1" applyFill="1" applyBorder="1" applyAlignment="1">
      <alignment shrinkToFit="1"/>
    </xf>
    <xf numFmtId="0" fontId="85" fillId="3" borderId="25" xfId="0" applyFont="1" applyFill="1" applyBorder="1" applyAlignment="1">
      <alignment horizontal="right"/>
    </xf>
    <xf numFmtId="164" fontId="85" fillId="3" borderId="23" xfId="0" applyNumberFormat="1" applyFont="1" applyFill="1" applyBorder="1" applyAlignment="1">
      <alignment shrinkToFit="1"/>
    </xf>
    <xf numFmtId="0" fontId="82" fillId="3" borderId="25" xfId="0" applyFont="1" applyFill="1" applyBorder="1" applyAlignment="1">
      <alignment horizontal="right"/>
    </xf>
    <xf numFmtId="0" fontId="82" fillId="3" borderId="23" xfId="0" applyFont="1" applyFill="1" applyBorder="1" applyAlignment="1">
      <alignment shrinkToFit="1"/>
    </xf>
    <xf numFmtId="0" fontId="90" fillId="3" borderId="39" xfId="0" applyFont="1" applyFill="1" applyBorder="1" applyAlignment="1">
      <alignment horizontal="right" vertical="center"/>
    </xf>
    <xf numFmtId="3" fontId="97" fillId="3" borderId="24" xfId="0" applyNumberFormat="1" applyFont="1" applyFill="1" applyBorder="1" applyAlignment="1">
      <alignment shrinkToFit="1"/>
    </xf>
    <xf numFmtId="0" fontId="82" fillId="3" borderId="25" xfId="0" applyFont="1" applyFill="1" applyBorder="1" applyAlignment="1"/>
    <xf numFmtId="0" fontId="90" fillId="3" borderId="23" xfId="0" applyFont="1" applyFill="1" applyBorder="1" applyAlignment="1">
      <alignment horizontal="center" shrinkToFit="1"/>
    </xf>
    <xf numFmtId="49" fontId="85" fillId="3" borderId="25" xfId="0" applyNumberFormat="1" applyFont="1" applyFill="1" applyBorder="1" applyAlignment="1">
      <alignment horizontal="right"/>
    </xf>
    <xf numFmtId="0" fontId="82" fillId="3" borderId="25" xfId="0" applyFont="1" applyFill="1" applyBorder="1" applyAlignment="1">
      <alignment vertical="center"/>
    </xf>
    <xf numFmtId="0" fontId="82" fillId="3" borderId="23" xfId="0" applyFont="1" applyFill="1" applyBorder="1" applyAlignment="1">
      <alignment vertical="center" shrinkToFit="1"/>
    </xf>
    <xf numFmtId="0" fontId="82" fillId="3" borderId="25" xfId="0" applyFont="1" applyFill="1" applyBorder="1" applyAlignment="1">
      <alignment horizontal="right" vertical="center"/>
    </xf>
    <xf numFmtId="0" fontId="85" fillId="3" borderId="25" xfId="0" applyFont="1" applyFill="1" applyBorder="1" applyAlignment="1">
      <alignment horizontal="right" vertical="center"/>
    </xf>
    <xf numFmtId="0" fontId="85" fillId="3" borderId="23" xfId="0" applyFont="1" applyFill="1" applyBorder="1" applyAlignment="1">
      <alignment vertical="center" shrinkToFit="1"/>
    </xf>
    <xf numFmtId="164" fontId="97" fillId="3" borderId="24" xfId="0" applyNumberFormat="1" applyFont="1" applyFill="1" applyBorder="1" applyAlignment="1">
      <alignment shrinkToFit="1"/>
    </xf>
    <xf numFmtId="0" fontId="85" fillId="3" borderId="25" xfId="0" applyFont="1" applyFill="1" applyBorder="1" applyAlignment="1">
      <alignment vertical="center"/>
    </xf>
    <xf numFmtId="0" fontId="85" fillId="3" borderId="25" xfId="0" applyFont="1" applyFill="1" applyBorder="1" applyAlignment="1">
      <alignment horizontal="center" vertical="center"/>
    </xf>
    <xf numFmtId="0" fontId="85" fillId="3" borderId="23" xfId="0" applyFont="1" applyFill="1" applyBorder="1" applyAlignment="1">
      <alignment horizontal="center" shrinkToFit="1"/>
    </xf>
    <xf numFmtId="49" fontId="85" fillId="3" borderId="25" xfId="0" applyNumberFormat="1" applyFont="1" applyFill="1" applyBorder="1" applyAlignment="1">
      <alignment horizontal="right" vertical="center"/>
    </xf>
    <xf numFmtId="164" fontId="97" fillId="3" borderId="23" xfId="0" applyNumberFormat="1" applyFont="1" applyFill="1" applyBorder="1" applyAlignment="1">
      <alignment shrinkToFit="1"/>
    </xf>
    <xf numFmtId="0" fontId="125" fillId="3" borderId="39" xfId="0" applyFont="1" applyFill="1" applyBorder="1" applyAlignment="1">
      <alignment vertical="center"/>
    </xf>
    <xf numFmtId="0" fontId="82" fillId="3" borderId="24" xfId="0" applyFont="1" applyFill="1" applyBorder="1" applyAlignment="1">
      <alignment vertical="center"/>
    </xf>
    <xf numFmtId="0" fontId="125" fillId="3" borderId="25" xfId="0" applyFont="1" applyFill="1" applyBorder="1" applyAlignment="1">
      <alignment vertical="center"/>
    </xf>
    <xf numFmtId="0" fontId="82" fillId="3" borderId="23" xfId="0" applyFont="1" applyFill="1" applyBorder="1" applyAlignment="1">
      <alignment vertical="center"/>
    </xf>
    <xf numFmtId="0" fontId="82" fillId="0" borderId="25" xfId="0" applyFont="1" applyBorder="1"/>
    <xf numFmtId="0" fontId="82" fillId="0" borderId="0" xfId="0" applyFont="1" applyBorder="1"/>
    <xf numFmtId="0" fontId="82" fillId="0" borderId="23" xfId="0" applyFont="1" applyBorder="1"/>
    <xf numFmtId="0" fontId="85" fillId="3" borderId="23" xfId="0" applyFont="1" applyFill="1" applyBorder="1" applyAlignment="1">
      <alignment vertical="center"/>
    </xf>
    <xf numFmtId="0" fontId="90" fillId="3" borderId="235" xfId="0" applyFont="1" applyFill="1" applyBorder="1" applyAlignment="1">
      <alignment horizontal="right" vertical="center"/>
    </xf>
    <xf numFmtId="49" fontId="91" fillId="3" borderId="25" xfId="0" applyNumberFormat="1" applyFont="1" applyFill="1" applyBorder="1" applyAlignment="1">
      <alignment horizontal="right" vertical="center"/>
    </xf>
    <xf numFmtId="164" fontId="0" fillId="3" borderId="23" xfId="0" applyNumberFormat="1" applyFill="1" applyBorder="1" applyProtection="1"/>
    <xf numFmtId="0" fontId="82" fillId="3" borderId="21" xfId="0" applyFont="1" applyFill="1" applyBorder="1" applyProtection="1"/>
    <xf numFmtId="0" fontId="85" fillId="3" borderId="25" xfId="0" applyFont="1" applyFill="1" applyBorder="1" applyProtection="1"/>
    <xf numFmtId="0" fontId="85" fillId="3" borderId="23" xfId="0" applyFont="1" applyFill="1" applyBorder="1" applyAlignment="1" applyProtection="1">
      <alignment shrinkToFit="1"/>
    </xf>
    <xf numFmtId="0" fontId="97" fillId="3" borderId="19" xfId="0" applyFont="1" applyFill="1" applyBorder="1" applyAlignment="1">
      <alignment horizontal="center" vertical="center"/>
    </xf>
    <xf numFmtId="3" fontId="97" fillId="3" borderId="21" xfId="0" applyNumberFormat="1" applyFont="1" applyFill="1" applyBorder="1" applyAlignment="1">
      <alignment shrinkToFit="1"/>
    </xf>
    <xf numFmtId="0" fontId="85" fillId="3" borderId="39" xfId="0" applyFont="1" applyFill="1" applyBorder="1" applyAlignment="1">
      <alignment horizontal="right"/>
    </xf>
    <xf numFmtId="3" fontId="85" fillId="3" borderId="24" xfId="0" applyNumberFormat="1" applyFont="1" applyFill="1" applyBorder="1" applyAlignment="1">
      <alignment shrinkToFit="1"/>
    </xf>
    <xf numFmtId="0" fontId="97" fillId="3" borderId="25" xfId="0" applyFont="1" applyFill="1" applyBorder="1" applyAlignment="1">
      <alignment horizontal="center" vertical="center"/>
    </xf>
    <xf numFmtId="3" fontId="97" fillId="3" borderId="23" xfId="0" applyNumberFormat="1" applyFont="1" applyFill="1" applyBorder="1" applyAlignment="1">
      <alignment shrinkToFit="1"/>
    </xf>
    <xf numFmtId="0" fontId="85" fillId="3" borderId="25" xfId="0" applyFont="1" applyFill="1" applyBorder="1" applyAlignment="1"/>
    <xf numFmtId="49" fontId="85" fillId="3" borderId="39" xfId="0" applyNumberFormat="1" applyFont="1" applyFill="1" applyBorder="1" applyAlignment="1">
      <alignment horizontal="right"/>
    </xf>
    <xf numFmtId="0" fontId="85" fillId="3" borderId="23" xfId="0" applyFont="1" applyFill="1" applyBorder="1" applyAlignment="1">
      <alignment shrinkToFit="1"/>
    </xf>
    <xf numFmtId="0" fontId="82" fillId="3" borderId="39" xfId="0" applyFont="1" applyFill="1" applyBorder="1" applyAlignment="1"/>
    <xf numFmtId="0" fontId="82" fillId="3" borderId="24" xfId="0" applyFont="1" applyFill="1" applyBorder="1" applyAlignment="1"/>
    <xf numFmtId="0" fontId="0" fillId="3" borderId="19" xfId="0" applyFill="1" applyBorder="1"/>
    <xf numFmtId="0" fontId="0" fillId="3" borderId="25" xfId="0" applyFill="1" applyBorder="1"/>
    <xf numFmtId="0" fontId="85" fillId="3" borderId="25" xfId="0" applyFont="1" applyFill="1" applyBorder="1" applyAlignment="1" applyProtection="1">
      <alignment horizontal="right"/>
    </xf>
    <xf numFmtId="0" fontId="90" fillId="3" borderId="39" xfId="0" applyFont="1" applyFill="1" applyBorder="1" applyAlignment="1" applyProtection="1">
      <alignment horizontal="left"/>
    </xf>
    <xf numFmtId="0" fontId="91" fillId="3" borderId="25" xfId="0" applyFont="1" applyFill="1" applyBorder="1" applyAlignment="1" applyProtection="1">
      <alignment horizontal="left"/>
    </xf>
    <xf numFmtId="0" fontId="91" fillId="3" borderId="25" xfId="0" applyFont="1" applyFill="1" applyBorder="1" applyAlignment="1" applyProtection="1">
      <alignment horizontal="right"/>
    </xf>
    <xf numFmtId="0" fontId="95" fillId="3" borderId="25" xfId="0" applyFont="1" applyFill="1" applyBorder="1" applyAlignment="1" applyProtection="1">
      <alignment horizontal="left"/>
    </xf>
    <xf numFmtId="0" fontId="138" fillId="3" borderId="25" xfId="0" applyFont="1" applyFill="1" applyBorder="1"/>
    <xf numFmtId="0" fontId="0" fillId="3" borderId="39" xfId="0" applyFill="1" applyBorder="1"/>
    <xf numFmtId="0" fontId="91" fillId="3" borderId="0" xfId="0" applyFont="1" applyFill="1" applyBorder="1" applyProtection="1">
      <protection locked="0"/>
    </xf>
    <xf numFmtId="0" fontId="91" fillId="3" borderId="0" xfId="0" applyFont="1" applyFill="1" applyBorder="1" applyAlignment="1" applyProtection="1">
      <alignment vertical="center"/>
      <protection locked="0"/>
    </xf>
    <xf numFmtId="0" fontId="130" fillId="8" borderId="237" xfId="0" applyFont="1" applyFill="1" applyBorder="1" applyAlignment="1" applyProtection="1">
      <alignment horizontal="center" vertical="center"/>
    </xf>
    <xf numFmtId="0" fontId="145" fillId="3" borderId="0" xfId="0" applyFont="1" applyFill="1" applyBorder="1" applyAlignment="1" applyProtection="1">
      <alignment vertical="center"/>
      <protection locked="0"/>
    </xf>
    <xf numFmtId="0" fontId="147" fillId="3" borderId="0" xfId="0" applyFont="1" applyFill="1" applyBorder="1" applyProtection="1">
      <protection locked="0"/>
    </xf>
    <xf numFmtId="0" fontId="50" fillId="3" borderId="0" xfId="0" applyFont="1" applyFill="1" applyBorder="1" applyProtection="1">
      <protection locked="0"/>
    </xf>
    <xf numFmtId="0" fontId="172" fillId="3" borderId="0" xfId="0" applyFont="1" applyFill="1" applyBorder="1" applyAlignment="1" applyProtection="1">
      <alignment horizontal="center" vertical="center"/>
      <protection locked="0"/>
    </xf>
    <xf numFmtId="0" fontId="174" fillId="3" borderId="0" xfId="0" applyFont="1" applyFill="1" applyBorder="1" applyAlignment="1" applyProtection="1">
      <alignment horizontal="center" vertical="center"/>
      <protection locked="0"/>
    </xf>
    <xf numFmtId="0" fontId="135" fillId="3" borderId="0" xfId="0" applyFont="1" applyFill="1" applyBorder="1" applyAlignment="1" applyProtection="1">
      <alignment horizontal="center" vertical="center"/>
      <protection locked="0"/>
    </xf>
    <xf numFmtId="0" fontId="146" fillId="3" borderId="0" xfId="0" applyFont="1" applyFill="1" applyBorder="1" applyAlignment="1">
      <alignment horizontal="center" vertical="center"/>
    </xf>
    <xf numFmtId="0" fontId="87" fillId="3" borderId="0" xfId="0" applyFont="1" applyFill="1" applyBorder="1" applyAlignment="1" applyProtection="1">
      <alignment horizontal="center" vertical="center"/>
      <protection locked="0"/>
    </xf>
    <xf numFmtId="0" fontId="91" fillId="3" borderId="0" xfId="0" applyFont="1" applyFill="1" applyBorder="1" applyAlignment="1" applyProtection="1">
      <alignment horizontal="center" vertical="center"/>
      <protection locked="0"/>
    </xf>
    <xf numFmtId="0" fontId="143" fillId="3" borderId="0" xfId="0" applyFont="1" applyFill="1" applyBorder="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144" fillId="3" borderId="0" xfId="0" applyFont="1" applyFill="1" applyBorder="1" applyAlignment="1" applyProtection="1">
      <alignment horizontal="center" vertical="center"/>
      <protection locked="0"/>
    </xf>
    <xf numFmtId="0" fontId="80" fillId="3" borderId="238" xfId="0" applyFont="1" applyFill="1" applyBorder="1" applyProtection="1">
      <protection locked="0"/>
    </xf>
    <xf numFmtId="0" fontId="80" fillId="3" borderId="239" xfId="0" applyFont="1" applyFill="1" applyBorder="1" applyProtection="1">
      <protection locked="0"/>
    </xf>
    <xf numFmtId="0" fontId="80" fillId="3" borderId="240" xfId="0" applyFont="1" applyFill="1" applyBorder="1" applyProtection="1">
      <protection locked="0"/>
    </xf>
    <xf numFmtId="0" fontId="80" fillId="3" borderId="241" xfId="0" applyFont="1" applyFill="1" applyBorder="1" applyAlignment="1" applyProtection="1">
      <alignment vertical="center"/>
      <protection locked="0"/>
    </xf>
    <xf numFmtId="0" fontId="80" fillId="3" borderId="242" xfId="0" applyFont="1" applyFill="1" applyBorder="1" applyAlignment="1" applyProtection="1">
      <alignment vertical="center"/>
      <protection locked="0"/>
    </xf>
    <xf numFmtId="0" fontId="80" fillId="3" borderId="241" xfId="0" applyFont="1" applyFill="1" applyBorder="1" applyProtection="1">
      <protection locked="0"/>
    </xf>
    <xf numFmtId="0" fontId="80" fillId="3" borderId="242" xfId="0" applyFont="1" applyFill="1" applyBorder="1" applyProtection="1">
      <protection locked="0"/>
    </xf>
    <xf numFmtId="0" fontId="80" fillId="3" borderId="241" xfId="0" applyFont="1" applyFill="1" applyBorder="1" applyAlignment="1" applyProtection="1">
      <alignment horizontal="center" vertical="center"/>
      <protection locked="0"/>
    </xf>
    <xf numFmtId="0" fontId="80" fillId="3" borderId="242" xfId="0" applyFont="1" applyFill="1" applyBorder="1" applyAlignment="1" applyProtection="1">
      <alignment horizontal="center" vertical="center"/>
      <protection locked="0"/>
    </xf>
    <xf numFmtId="0" fontId="80" fillId="3" borderId="243" xfId="0" applyFont="1" applyFill="1" applyBorder="1" applyProtection="1">
      <protection locked="0"/>
    </xf>
    <xf numFmtId="0" fontId="136" fillId="3" borderId="244" xfId="0" applyFont="1" applyFill="1" applyBorder="1"/>
    <xf numFmtId="0" fontId="34" fillId="3" borderId="244" xfId="0" applyFont="1" applyFill="1" applyBorder="1" applyAlignment="1">
      <alignment horizontal="center" vertical="center"/>
    </xf>
    <xf numFmtId="0" fontId="136" fillId="3" borderId="244" xfId="0" applyFont="1" applyFill="1" applyBorder="1" applyProtection="1">
      <protection locked="0"/>
    </xf>
    <xf numFmtId="0" fontId="80" fillId="3" borderId="244" xfId="0" applyFont="1" applyFill="1" applyBorder="1" applyProtection="1">
      <protection locked="0"/>
    </xf>
    <xf numFmtId="0" fontId="80" fillId="3" borderId="244" xfId="0" applyFont="1" applyFill="1" applyBorder="1"/>
    <xf numFmtId="0" fontId="80" fillId="3" borderId="245" xfId="0" applyFont="1" applyFill="1" applyBorder="1" applyProtection="1">
      <protection locked="0"/>
    </xf>
    <xf numFmtId="0" fontId="136" fillId="3" borderId="239" xfId="0" applyFont="1" applyFill="1" applyBorder="1" applyProtection="1">
      <protection locked="0"/>
    </xf>
    <xf numFmtId="0" fontId="183" fillId="4" borderId="246" xfId="0" applyFont="1" applyFill="1" applyBorder="1" applyAlignment="1" applyProtection="1">
      <alignment horizontal="center" vertical="center"/>
      <protection locked="0"/>
    </xf>
    <xf numFmtId="0" fontId="128" fillId="3" borderId="0" xfId="0" applyFont="1" applyFill="1" applyBorder="1" applyAlignment="1" applyProtection="1">
      <alignment vertical="center"/>
      <protection locked="0"/>
    </xf>
    <xf numFmtId="0" fontId="183" fillId="4" borderId="3" xfId="0" applyFont="1" applyFill="1" applyBorder="1" applyAlignment="1" applyProtection="1">
      <alignment horizontal="center" vertical="center"/>
      <protection locked="0"/>
    </xf>
    <xf numFmtId="0" fontId="144" fillId="4" borderId="246" xfId="0" applyFont="1" applyFill="1" applyBorder="1" applyAlignment="1" applyProtection="1">
      <alignment horizontal="center" vertical="center"/>
      <protection locked="0"/>
    </xf>
    <xf numFmtId="0" fontId="185" fillId="3" borderId="0" xfId="0" applyFont="1" applyFill="1" applyBorder="1" applyAlignment="1" applyProtection="1">
      <alignment vertical="center"/>
      <protection locked="0"/>
    </xf>
    <xf numFmtId="0" fontId="186" fillId="4" borderId="246" xfId="0" applyFont="1" applyFill="1" applyBorder="1" applyAlignment="1" applyProtection="1">
      <alignment horizontal="center" vertical="center"/>
    </xf>
    <xf numFmtId="0" fontId="187" fillId="2" borderId="247" xfId="0" applyFont="1" applyFill="1" applyBorder="1" applyAlignment="1" applyProtection="1">
      <alignment horizontal="center"/>
      <protection locked="0"/>
    </xf>
    <xf numFmtId="0" fontId="82" fillId="4" borderId="0" xfId="0" applyFont="1" applyFill="1" applyBorder="1" applyAlignment="1"/>
    <xf numFmtId="3" fontId="107" fillId="4" borderId="0" xfId="0" applyNumberFormat="1" applyFont="1" applyFill="1" applyBorder="1" applyAlignment="1">
      <alignment horizontal="right" shrinkToFit="1"/>
    </xf>
    <xf numFmtId="3" fontId="107" fillId="5" borderId="3" xfId="0" applyNumberFormat="1" applyFont="1" applyFill="1" applyBorder="1" applyAlignment="1" applyProtection="1">
      <alignment horizontal="right" shrinkToFit="1"/>
    </xf>
    <xf numFmtId="0" fontId="79" fillId="3" borderId="106" xfId="0" applyFont="1" applyFill="1" applyBorder="1" applyAlignment="1" applyProtection="1">
      <alignment horizontal="center" vertical="center" shrinkToFit="1"/>
      <protection locked="0"/>
    </xf>
    <xf numFmtId="0" fontId="80" fillId="4" borderId="0" xfId="0" applyFont="1" applyFill="1" applyBorder="1" applyAlignment="1" applyProtection="1">
      <alignment horizontal="center" vertical="center"/>
    </xf>
    <xf numFmtId="164" fontId="80" fillId="5" borderId="248" xfId="0" applyNumberFormat="1" applyFont="1" applyFill="1" applyBorder="1" applyAlignment="1" applyProtection="1">
      <alignment horizontal="right" shrinkToFit="1"/>
    </xf>
    <xf numFmtId="164" fontId="80" fillId="5" borderId="249" xfId="0" applyNumberFormat="1" applyFont="1" applyFill="1" applyBorder="1" applyAlignment="1" applyProtection="1">
      <alignment horizontal="right" shrinkToFit="1"/>
    </xf>
    <xf numFmtId="164" fontId="80" fillId="5" borderId="250" xfId="0" applyNumberFormat="1" applyFont="1" applyFill="1" applyBorder="1" applyAlignment="1" applyProtection="1">
      <alignment horizontal="right" shrinkToFit="1"/>
    </xf>
    <xf numFmtId="164" fontId="80" fillId="5" borderId="251" xfId="0" applyNumberFormat="1" applyFont="1" applyFill="1" applyBorder="1" applyAlignment="1" applyProtection="1">
      <alignment horizontal="right" shrinkToFit="1"/>
    </xf>
    <xf numFmtId="164" fontId="80" fillId="5" borderId="252" xfId="0" applyNumberFormat="1" applyFont="1" applyFill="1" applyBorder="1" applyAlignment="1" applyProtection="1">
      <alignment horizontal="right" shrinkToFit="1"/>
    </xf>
    <xf numFmtId="164" fontId="80" fillId="5" borderId="253" xfId="0" applyNumberFormat="1" applyFont="1" applyFill="1" applyBorder="1" applyAlignment="1" applyProtection="1">
      <alignment horizontal="right" shrinkToFit="1"/>
    </xf>
    <xf numFmtId="164" fontId="80" fillId="5" borderId="254" xfId="0" applyNumberFormat="1" applyFont="1" applyFill="1" applyBorder="1" applyAlignment="1">
      <alignment shrinkToFit="1"/>
    </xf>
    <xf numFmtId="164" fontId="80" fillId="5" borderId="140" xfId="0" applyNumberFormat="1" applyFont="1" applyFill="1" applyBorder="1" applyAlignment="1">
      <alignment shrinkToFit="1"/>
    </xf>
    <xf numFmtId="164" fontId="80" fillId="5" borderId="141" xfId="0" applyNumberFormat="1" applyFont="1" applyFill="1" applyBorder="1" applyAlignment="1">
      <alignment shrinkToFit="1"/>
    </xf>
    <xf numFmtId="164" fontId="80" fillId="5" borderId="255" xfId="0" applyNumberFormat="1" applyFont="1" applyFill="1" applyBorder="1" applyAlignment="1">
      <alignment shrinkToFit="1"/>
    </xf>
    <xf numFmtId="164" fontId="80" fillId="5" borderId="204" xfId="0" applyNumberFormat="1" applyFont="1" applyFill="1" applyBorder="1" applyAlignment="1">
      <alignment shrinkToFit="1"/>
    </xf>
    <xf numFmtId="164" fontId="80" fillId="5" borderId="256" xfId="0" applyNumberFormat="1" applyFont="1" applyFill="1" applyBorder="1" applyAlignment="1">
      <alignment shrinkToFit="1"/>
    </xf>
    <xf numFmtId="164" fontId="80" fillId="5" borderId="257" xfId="0" applyNumberFormat="1" applyFont="1" applyFill="1" applyBorder="1" applyAlignment="1">
      <alignment shrinkToFit="1"/>
    </xf>
    <xf numFmtId="164" fontId="80" fillId="5" borderId="189" xfId="0" applyNumberFormat="1" applyFont="1" applyFill="1" applyBorder="1" applyAlignment="1">
      <alignment shrinkToFit="1"/>
    </xf>
    <xf numFmtId="164" fontId="80" fillId="5" borderId="258" xfId="0" applyNumberFormat="1" applyFont="1" applyFill="1" applyBorder="1" applyAlignment="1">
      <alignment shrinkToFit="1"/>
    </xf>
    <xf numFmtId="164" fontId="80" fillId="5" borderId="107" xfId="0" applyNumberFormat="1" applyFont="1" applyFill="1" applyBorder="1" applyAlignment="1">
      <alignment shrinkToFit="1"/>
    </xf>
    <xf numFmtId="164" fontId="80" fillId="5" borderId="108" xfId="0" applyNumberFormat="1" applyFont="1" applyFill="1" applyBorder="1" applyAlignment="1">
      <alignment shrinkToFit="1"/>
    </xf>
    <xf numFmtId="164" fontId="80" fillId="5" borderId="109" xfId="0" applyNumberFormat="1" applyFont="1" applyFill="1" applyBorder="1" applyAlignment="1">
      <alignment shrinkToFit="1"/>
    </xf>
    <xf numFmtId="0" fontId="100" fillId="3" borderId="0" xfId="0" applyFont="1" applyFill="1" applyBorder="1"/>
    <xf numFmtId="0" fontId="89" fillId="3" borderId="0" xfId="0" applyFont="1" applyFill="1" applyBorder="1" applyAlignment="1" applyProtection="1">
      <alignment horizontal="left"/>
      <protection locked="0"/>
    </xf>
    <xf numFmtId="0" fontId="80" fillId="3" borderId="30" xfId="0" applyFont="1" applyFill="1" applyBorder="1" applyProtection="1">
      <protection locked="0"/>
    </xf>
    <xf numFmtId="0" fontId="80" fillId="3" borderId="31" xfId="0" applyFont="1" applyFill="1" applyBorder="1" applyAlignment="1" applyProtection="1">
      <alignment horizontal="left"/>
      <protection locked="0"/>
    </xf>
    <xf numFmtId="0" fontId="91" fillId="3" borderId="31" xfId="0" applyFont="1" applyFill="1" applyBorder="1"/>
    <xf numFmtId="0" fontId="80" fillId="3" borderId="32" xfId="0" applyFont="1" applyFill="1" applyBorder="1" applyProtection="1">
      <protection locked="0"/>
    </xf>
    <xf numFmtId="0" fontId="42" fillId="4" borderId="39" xfId="0" applyFont="1" applyFill="1" applyBorder="1" applyAlignment="1">
      <alignment horizontal="right"/>
    </xf>
    <xf numFmtId="0" fontId="42" fillId="4" borderId="37" xfId="0" applyFont="1" applyFill="1" applyBorder="1" applyAlignment="1">
      <alignment horizontal="right"/>
    </xf>
    <xf numFmtId="0" fontId="80" fillId="6" borderId="25" xfId="0" applyFont="1" applyFill="1" applyBorder="1" applyAlignment="1"/>
    <xf numFmtId="0" fontId="91" fillId="6" borderId="23" xfId="0" applyFont="1" applyFill="1" applyBorder="1" applyAlignment="1"/>
    <xf numFmtId="0" fontId="80" fillId="6" borderId="0" xfId="0" applyFont="1" applyFill="1" applyBorder="1" applyAlignment="1">
      <alignment vertical="center"/>
    </xf>
    <xf numFmtId="0" fontId="80" fillId="6" borderId="23" xfId="0" applyFont="1" applyFill="1" applyBorder="1" applyAlignment="1">
      <alignment vertical="center"/>
    </xf>
    <xf numFmtId="3" fontId="80" fillId="6" borderId="0" xfId="0" applyNumberFormat="1" applyFont="1" applyFill="1" applyBorder="1"/>
    <xf numFmtId="3" fontId="80" fillId="6" borderId="23" xfId="0" applyNumberFormat="1" applyFont="1" applyFill="1" applyBorder="1"/>
    <xf numFmtId="3" fontId="107" fillId="6" borderId="0" xfId="0" applyNumberFormat="1" applyFont="1" applyFill="1" applyBorder="1" applyAlignment="1">
      <alignment horizontal="right" shrinkToFit="1"/>
    </xf>
    <xf numFmtId="0" fontId="80" fillId="6" borderId="23" xfId="0" applyFont="1" applyFill="1" applyBorder="1"/>
    <xf numFmtId="0" fontId="80" fillId="6" borderId="37" xfId="0" applyFont="1" applyFill="1" applyBorder="1"/>
    <xf numFmtId="0" fontId="80" fillId="6" borderId="24" xfId="0" applyFont="1" applyFill="1" applyBorder="1"/>
    <xf numFmtId="3" fontId="80" fillId="6" borderId="25" xfId="0" applyNumberFormat="1" applyFont="1" applyFill="1" applyBorder="1" applyAlignment="1"/>
    <xf numFmtId="3" fontId="80" fillId="6" borderId="0" xfId="0" applyNumberFormat="1" applyFont="1" applyFill="1" applyBorder="1" applyAlignment="1" applyProtection="1">
      <alignment horizontal="center" vertical="center"/>
    </xf>
    <xf numFmtId="3" fontId="79" fillId="6" borderId="0" xfId="0" applyNumberFormat="1" applyFont="1" applyFill="1" applyBorder="1" applyAlignment="1" applyProtection="1">
      <alignment horizontal="right"/>
      <protection locked="0"/>
    </xf>
    <xf numFmtId="3" fontId="89" fillId="6" borderId="146" xfId="0" applyNumberFormat="1" applyFont="1" applyFill="1" applyBorder="1" applyAlignment="1" applyProtection="1"/>
    <xf numFmtId="0" fontId="82" fillId="6" borderId="0" xfId="0" applyFont="1" applyFill="1" applyBorder="1" applyAlignment="1"/>
    <xf numFmtId="3" fontId="80" fillId="6" borderId="0" xfId="0" applyNumberFormat="1" applyFont="1" applyFill="1"/>
    <xf numFmtId="3" fontId="80" fillId="6" borderId="0" xfId="0" applyNumberFormat="1" applyFont="1" applyFill="1" applyBorder="1" applyAlignment="1">
      <alignment horizontal="center" shrinkToFit="1"/>
    </xf>
    <xf numFmtId="0" fontId="80" fillId="6" borderId="0" xfId="0" applyFont="1" applyFill="1" applyBorder="1" applyAlignment="1" applyProtection="1">
      <alignment horizontal="right" vertical="center"/>
    </xf>
    <xf numFmtId="3" fontId="107" fillId="6" borderId="0" xfId="0" applyNumberFormat="1" applyFont="1" applyFill="1" applyBorder="1" applyAlignment="1">
      <alignment shrinkToFit="1"/>
    </xf>
    <xf numFmtId="3" fontId="80" fillId="6" borderId="4" xfId="0" applyNumberFormat="1" applyFont="1" applyFill="1" applyBorder="1" applyAlignment="1">
      <alignment horizontal="right" shrinkToFit="1"/>
    </xf>
    <xf numFmtId="0" fontId="80" fillId="6" borderId="259" xfId="0" applyFont="1" applyFill="1" applyBorder="1"/>
    <xf numFmtId="0" fontId="80" fillId="6" borderId="260" xfId="0" applyFont="1" applyFill="1" applyBorder="1"/>
    <xf numFmtId="3" fontId="80" fillId="6" borderId="20" xfId="0" applyNumberFormat="1" applyFont="1" applyFill="1" applyBorder="1" applyAlignment="1">
      <alignment horizontal="right" shrinkToFit="1"/>
    </xf>
    <xf numFmtId="0" fontId="80" fillId="6" borderId="148" xfId="0" applyFont="1" applyFill="1" applyBorder="1"/>
    <xf numFmtId="3" fontId="80" fillId="6" borderId="144" xfId="0" applyNumberFormat="1" applyFont="1" applyFill="1" applyBorder="1" applyAlignment="1">
      <alignment horizontal="right" shrinkToFit="1"/>
    </xf>
    <xf numFmtId="0" fontId="80" fillId="6" borderId="39" xfId="0" applyFont="1" applyFill="1" applyBorder="1" applyAlignment="1"/>
    <xf numFmtId="0" fontId="107" fillId="6" borderId="25" xfId="0" applyFont="1" applyFill="1" applyBorder="1" applyAlignment="1"/>
    <xf numFmtId="0" fontId="80" fillId="6" borderId="25" xfId="0" applyFont="1" applyFill="1" applyBorder="1" applyAlignment="1">
      <alignment vertical="center"/>
    </xf>
    <xf numFmtId="0" fontId="107" fillId="6" borderId="0" xfId="0" applyFont="1" applyFill="1" applyBorder="1" applyAlignment="1"/>
    <xf numFmtId="0" fontId="59" fillId="6" borderId="0" xfId="0" applyFont="1" applyFill="1"/>
    <xf numFmtId="0" fontId="107" fillId="6" borderId="23" xfId="0" applyFont="1" applyFill="1" applyBorder="1" applyAlignment="1"/>
    <xf numFmtId="0" fontId="108" fillId="6" borderId="0" xfId="0" applyFont="1" applyFill="1" applyBorder="1" applyAlignment="1"/>
    <xf numFmtId="3" fontId="107" fillId="6" borderId="0" xfId="0" applyNumberFormat="1" applyFont="1" applyFill="1" applyBorder="1" applyAlignment="1">
      <alignment horizontal="right" vertical="center" shrinkToFit="1"/>
    </xf>
    <xf numFmtId="0" fontId="139" fillId="6" borderId="0" xfId="0" applyFont="1" applyFill="1" applyBorder="1" applyAlignment="1"/>
    <xf numFmtId="3" fontId="139" fillId="6" borderId="0" xfId="0" applyNumberFormat="1" applyFont="1" applyFill="1" applyBorder="1" applyAlignment="1">
      <alignment horizontal="left" vertical="center"/>
    </xf>
    <xf numFmtId="3" fontId="67" fillId="6" borderId="0" xfId="0" applyNumberFormat="1" applyFont="1" applyFill="1" applyBorder="1" applyAlignment="1">
      <alignment horizontal="left"/>
    </xf>
    <xf numFmtId="3" fontId="67" fillId="6" borderId="0" xfId="0" applyNumberFormat="1" applyFont="1" applyFill="1" applyAlignment="1">
      <alignment horizontal="right"/>
    </xf>
    <xf numFmtId="3" fontId="67" fillId="6" borderId="0" xfId="0" applyNumberFormat="1" applyFont="1" applyFill="1" applyAlignment="1">
      <alignment horizontal="left"/>
    </xf>
    <xf numFmtId="3" fontId="91" fillId="6" borderId="0" xfId="0" applyNumberFormat="1" applyFont="1" applyFill="1" applyBorder="1" applyAlignment="1">
      <alignment shrinkToFit="1"/>
    </xf>
    <xf numFmtId="0" fontId="91" fillId="6" borderId="0" xfId="0" applyFont="1" applyFill="1" applyBorder="1" applyAlignment="1">
      <alignment shrinkToFit="1"/>
    </xf>
    <xf numFmtId="0" fontId="164" fillId="6" borderId="0" xfId="0" applyFont="1" applyFill="1" applyBorder="1" applyAlignment="1"/>
    <xf numFmtId="0" fontId="67" fillId="6" borderId="0" xfId="0" applyFont="1" applyFill="1" applyBorder="1" applyAlignment="1"/>
    <xf numFmtId="0" fontId="89" fillId="6" borderId="0" xfId="0" applyFont="1" applyFill="1" applyBorder="1" applyAlignment="1" applyProtection="1">
      <alignment horizontal="right" vertical="center"/>
      <protection locked="0"/>
    </xf>
    <xf numFmtId="0" fontId="26" fillId="6" borderId="25" xfId="0" applyFont="1" applyFill="1" applyBorder="1" applyAlignment="1"/>
    <xf numFmtId="0" fontId="26" fillId="6" borderId="39" xfId="0" applyFont="1" applyFill="1" applyBorder="1" applyAlignment="1" applyProtection="1">
      <protection locked="0"/>
    </xf>
    <xf numFmtId="10" fontId="112" fillId="6" borderId="0" xfId="0" applyNumberFormat="1" applyFont="1" applyFill="1" applyBorder="1" applyAlignment="1" applyProtection="1">
      <alignment horizontal="right" shrinkToFit="1"/>
    </xf>
    <xf numFmtId="0" fontId="80" fillId="6" borderId="0" xfId="0" applyFont="1" applyFill="1" applyBorder="1" applyAlignment="1" applyProtection="1">
      <alignment horizontal="center" vertical="center"/>
    </xf>
    <xf numFmtId="0" fontId="2" fillId="6" borderId="0" xfId="0" applyFont="1" applyFill="1" applyBorder="1"/>
    <xf numFmtId="0" fontId="26" fillId="6" borderId="23" xfId="0" applyFont="1" applyFill="1" applyBorder="1"/>
    <xf numFmtId="0" fontId="26" fillId="6" borderId="37" xfId="0" applyFont="1" applyFill="1" applyBorder="1" applyAlignment="1" applyProtection="1">
      <protection locked="0"/>
    </xf>
    <xf numFmtId="0" fontId="26" fillId="6" borderId="24" xfId="0" applyFont="1" applyFill="1" applyBorder="1" applyAlignment="1" applyProtection="1">
      <protection locked="0"/>
    </xf>
    <xf numFmtId="0" fontId="26" fillId="6" borderId="39" xfId="0" applyFont="1" applyFill="1" applyBorder="1" applyAlignment="1"/>
    <xf numFmtId="3" fontId="66" fillId="6" borderId="0" xfId="0" applyNumberFormat="1" applyFont="1" applyFill="1" applyBorder="1" applyAlignment="1">
      <alignment horizontal="left"/>
    </xf>
    <xf numFmtId="0" fontId="122" fillId="6" borderId="0" xfId="0" applyFont="1" applyFill="1" applyBorder="1" applyAlignment="1" applyProtection="1">
      <alignment horizontal="center" vertical="center"/>
    </xf>
    <xf numFmtId="3" fontId="106" fillId="6" borderId="0" xfId="0" applyNumberFormat="1" applyFont="1" applyFill="1" applyBorder="1" applyAlignment="1" applyProtection="1">
      <alignment horizontal="center"/>
    </xf>
    <xf numFmtId="3" fontId="118" fillId="6" borderId="0" xfId="0" applyNumberFormat="1" applyFont="1" applyFill="1" applyBorder="1" applyAlignment="1" applyProtection="1">
      <alignment horizontal="right" shrinkToFit="1"/>
      <protection locked="0"/>
    </xf>
    <xf numFmtId="0" fontId="111" fillId="6" borderId="0" xfId="0" applyFont="1" applyFill="1" applyBorder="1" applyAlignment="1" applyProtection="1">
      <alignment horizontal="center" vertical="center"/>
    </xf>
    <xf numFmtId="164" fontId="107" fillId="6" borderId="0" xfId="0" applyNumberFormat="1" applyFont="1" applyFill="1" applyBorder="1" applyAlignment="1" applyProtection="1">
      <alignment shrinkToFit="1"/>
    </xf>
    <xf numFmtId="3" fontId="107" fillId="6" borderId="0" xfId="0" applyNumberFormat="1" applyFont="1" applyFill="1" applyBorder="1" applyAlignment="1" applyProtection="1">
      <alignment horizontal="right" shrinkToFit="1"/>
    </xf>
    <xf numFmtId="0" fontId="80" fillId="6" borderId="0" xfId="0" applyFont="1" applyFill="1" applyBorder="1" applyAlignment="1" applyProtection="1">
      <alignment horizontal="right" vertical="center"/>
      <protection locked="0"/>
    </xf>
    <xf numFmtId="3" fontId="112" fillId="6" borderId="0" xfId="0" applyNumberFormat="1" applyFont="1" applyFill="1" applyBorder="1" applyAlignment="1" applyProtection="1">
      <alignment horizontal="right"/>
      <protection locked="0"/>
    </xf>
    <xf numFmtId="0" fontId="108" fillId="6" borderId="25" xfId="0" applyFont="1" applyFill="1" applyBorder="1" applyAlignment="1"/>
    <xf numFmtId="0" fontId="61" fillId="6" borderId="23" xfId="1" applyFont="1" applyFill="1" applyBorder="1" applyAlignment="1" applyProtection="1">
      <alignment horizontal="center" vertical="center"/>
    </xf>
    <xf numFmtId="3" fontId="110" fillId="6" borderId="25" xfId="0" applyNumberFormat="1" applyFont="1" applyFill="1" applyBorder="1" applyAlignment="1">
      <alignment horizontal="center"/>
    </xf>
    <xf numFmtId="3" fontId="61" fillId="6" borderId="23" xfId="1" applyNumberFormat="1" applyFont="1" applyFill="1" applyBorder="1" applyAlignment="1" applyProtection="1">
      <alignment horizontal="center" vertical="center"/>
    </xf>
    <xf numFmtId="3" fontId="110" fillId="6" borderId="39" xfId="0" applyNumberFormat="1" applyFont="1" applyFill="1" applyBorder="1" applyAlignment="1">
      <alignment horizontal="center"/>
    </xf>
    <xf numFmtId="0" fontId="80" fillId="6" borderId="37" xfId="0" applyFont="1" applyFill="1" applyBorder="1" applyAlignment="1" applyProtection="1">
      <alignment horizontal="right" vertical="center"/>
    </xf>
    <xf numFmtId="0" fontId="82" fillId="6" borderId="37" xfId="0" applyFont="1" applyFill="1" applyBorder="1" applyAlignment="1"/>
    <xf numFmtId="3" fontId="107" fillId="6" borderId="37" xfId="0" applyNumberFormat="1" applyFont="1" applyFill="1" applyBorder="1" applyAlignment="1">
      <alignment horizontal="right" shrinkToFit="1"/>
    </xf>
    <xf numFmtId="3" fontId="61" fillId="6" borderId="24" xfId="1" applyNumberFormat="1" applyFont="1" applyFill="1" applyBorder="1" applyAlignment="1" applyProtection="1">
      <alignment horizontal="center" vertical="center"/>
    </xf>
    <xf numFmtId="0" fontId="110" fillId="6" borderId="25" xfId="0" applyFont="1" applyFill="1" applyBorder="1" applyAlignment="1">
      <alignment horizontal="center"/>
    </xf>
    <xf numFmtId="0" fontId="2" fillId="6" borderId="25" xfId="0" applyFont="1" applyFill="1" applyBorder="1"/>
    <xf numFmtId="49" fontId="37" fillId="6" borderId="0" xfId="0" applyNumberFormat="1" applyFont="1" applyFill="1" applyBorder="1" applyAlignment="1" applyProtection="1">
      <alignment vertical="center"/>
    </xf>
    <xf numFmtId="49" fontId="111" fillId="6" borderId="0" xfId="0" applyNumberFormat="1" applyFont="1" applyFill="1" applyBorder="1" applyAlignment="1" applyProtection="1">
      <alignment vertical="center"/>
    </xf>
    <xf numFmtId="49" fontId="111" fillId="6" borderId="0" xfId="0" applyNumberFormat="1" applyFont="1" applyFill="1" applyBorder="1" applyAlignment="1" applyProtection="1">
      <alignment horizontal="right" vertical="center"/>
    </xf>
    <xf numFmtId="49" fontId="88" fillId="6" borderId="0" xfId="0" applyNumberFormat="1" applyFont="1" applyFill="1" applyBorder="1" applyAlignment="1" applyProtection="1">
      <alignment horizontal="center" vertical="center"/>
    </xf>
    <xf numFmtId="49" fontId="131" fillId="6" borderId="0" xfId="0" applyNumberFormat="1" applyFont="1" applyFill="1" applyBorder="1" applyAlignment="1" applyProtection="1">
      <alignment vertical="center"/>
    </xf>
    <xf numFmtId="49" fontId="131" fillId="6" borderId="0" xfId="0" applyNumberFormat="1" applyFont="1" applyFill="1" applyBorder="1" applyAlignment="1" applyProtection="1">
      <alignment horizontal="right" vertical="center"/>
    </xf>
    <xf numFmtId="0" fontId="0" fillId="6" borderId="39" xfId="0" applyFill="1" applyBorder="1" applyProtection="1"/>
    <xf numFmtId="0" fontId="0" fillId="6" borderId="37" xfId="0" applyFill="1" applyBorder="1" applyProtection="1"/>
    <xf numFmtId="0" fontId="82" fillId="6" borderId="25" xfId="0" applyFont="1" applyFill="1" applyBorder="1" applyProtection="1"/>
    <xf numFmtId="0" fontId="82" fillId="6" borderId="0" xfId="0" applyFont="1" applyFill="1" applyBorder="1" applyProtection="1"/>
    <xf numFmtId="0" fontId="82" fillId="6" borderId="39" xfId="0" applyFont="1" applyFill="1" applyBorder="1" applyProtection="1"/>
    <xf numFmtId="0" fontId="82" fillId="6" borderId="25" xfId="0" applyFont="1" applyFill="1" applyBorder="1" applyAlignment="1">
      <alignment vertical="center"/>
    </xf>
    <xf numFmtId="0" fontId="82" fillId="6" borderId="39" xfId="0" applyFont="1" applyFill="1" applyBorder="1" applyAlignment="1">
      <alignment vertical="center"/>
    </xf>
    <xf numFmtId="0" fontId="0" fillId="6" borderId="19" xfId="0" applyFill="1" applyBorder="1" applyProtection="1"/>
    <xf numFmtId="0" fontId="0" fillId="6" borderId="25" xfId="0" applyFill="1" applyBorder="1" applyProtection="1"/>
    <xf numFmtId="0" fontId="1" fillId="6" borderId="25" xfId="0" applyFont="1" applyFill="1" applyBorder="1" applyProtection="1"/>
    <xf numFmtId="0" fontId="58" fillId="6" borderId="25" xfId="0" applyFont="1" applyFill="1" applyBorder="1" applyProtection="1"/>
    <xf numFmtId="0" fontId="35" fillId="6" borderId="25" xfId="0" applyFont="1" applyFill="1" applyBorder="1" applyProtection="1"/>
    <xf numFmtId="0" fontId="15" fillId="6" borderId="25" xfId="0" applyFont="1" applyFill="1" applyBorder="1" applyProtection="1"/>
    <xf numFmtId="0" fontId="15" fillId="6" borderId="25" xfId="0" applyFont="1" applyFill="1" applyBorder="1" applyAlignment="1">
      <alignment vertical="center"/>
    </xf>
    <xf numFmtId="0" fontId="35" fillId="6" borderId="25" xfId="0" applyFont="1" applyFill="1" applyBorder="1" applyAlignment="1">
      <alignment vertical="center"/>
    </xf>
    <xf numFmtId="0" fontId="15" fillId="6" borderId="39" xfId="0" applyFont="1" applyFill="1" applyBorder="1" applyAlignment="1">
      <alignment vertical="center"/>
    </xf>
    <xf numFmtId="0" fontId="0" fillId="6" borderId="19" xfId="0" applyFill="1" applyBorder="1"/>
    <xf numFmtId="0" fontId="82" fillId="6" borderId="19" xfId="0" applyFont="1" applyFill="1" applyBorder="1"/>
    <xf numFmtId="0" fontId="82" fillId="6" borderId="25" xfId="0" applyFont="1" applyFill="1" applyBorder="1"/>
    <xf numFmtId="0" fontId="82" fillId="6" borderId="20" xfId="0" applyFont="1" applyFill="1" applyBorder="1"/>
    <xf numFmtId="0" fontId="82" fillId="6" borderId="0" xfId="0" applyFont="1" applyFill="1" applyBorder="1" applyAlignment="1">
      <alignment vertical="center"/>
    </xf>
    <xf numFmtId="0" fontId="58" fillId="6" borderId="0" xfId="0" applyFont="1" applyFill="1" applyBorder="1"/>
    <xf numFmtId="0" fontId="35" fillId="6" borderId="0" xfId="0" applyFont="1" applyFill="1" applyBorder="1"/>
    <xf numFmtId="0" fontId="15" fillId="6" borderId="0" xfId="0" applyFont="1" applyFill="1" applyBorder="1"/>
    <xf numFmtId="0" fontId="2" fillId="3" borderId="28" xfId="0" applyFont="1" applyFill="1" applyBorder="1" applyProtection="1">
      <protection locked="0"/>
    </xf>
    <xf numFmtId="0" fontId="2" fillId="3" borderId="29" xfId="0" applyFont="1" applyFill="1" applyBorder="1" applyProtection="1">
      <protection locked="0"/>
    </xf>
    <xf numFmtId="0" fontId="0" fillId="3" borderId="28" xfId="0" applyFill="1" applyBorder="1" applyProtection="1">
      <protection locked="0"/>
    </xf>
    <xf numFmtId="0" fontId="0" fillId="3" borderId="30" xfId="0" applyFill="1" applyBorder="1" applyProtection="1">
      <protection locked="0"/>
    </xf>
    <xf numFmtId="0" fontId="0" fillId="3" borderId="31" xfId="0" applyFill="1" applyBorder="1" applyProtection="1">
      <protection locked="0"/>
    </xf>
    <xf numFmtId="0" fontId="90" fillId="3" borderId="0" xfId="0" applyFont="1" applyFill="1" applyBorder="1" applyAlignment="1"/>
    <xf numFmtId="0" fontId="38" fillId="3" borderId="0" xfId="0" applyFont="1" applyFill="1" applyBorder="1"/>
    <xf numFmtId="0" fontId="0" fillId="3" borderId="29" xfId="0" applyFill="1" applyBorder="1" applyProtection="1">
      <protection locked="0"/>
    </xf>
    <xf numFmtId="0" fontId="2" fillId="3" borderId="261" xfId="0" applyFont="1" applyFill="1" applyBorder="1" applyProtection="1">
      <protection locked="0"/>
    </xf>
    <xf numFmtId="0" fontId="0" fillId="3" borderId="32" xfId="0" applyFill="1" applyBorder="1" applyProtection="1">
      <protection locked="0"/>
    </xf>
    <xf numFmtId="0" fontId="91" fillId="3" borderId="20" xfId="0" applyFont="1" applyFill="1" applyBorder="1" applyAlignment="1"/>
    <xf numFmtId="0" fontId="91" fillId="3" borderId="37" xfId="0" applyFont="1" applyFill="1" applyBorder="1" applyAlignment="1"/>
    <xf numFmtId="0" fontId="90" fillId="3" borderId="20" xfId="0" applyFont="1" applyFill="1" applyBorder="1"/>
    <xf numFmtId="0" fontId="90" fillId="3" borderId="37" xfId="0" applyFont="1" applyFill="1" applyBorder="1"/>
    <xf numFmtId="9" fontId="141" fillId="3" borderId="262" xfId="0" applyNumberFormat="1" applyFont="1" applyFill="1" applyBorder="1" applyAlignment="1" applyProtection="1">
      <alignment horizontal="center" vertical="center" shrinkToFit="1"/>
      <protection locked="0"/>
    </xf>
    <xf numFmtId="0" fontId="50" fillId="3" borderId="0" xfId="0" applyFont="1" applyFill="1" applyBorder="1"/>
    <xf numFmtId="0" fontId="90" fillId="3" borderId="0" xfId="0" applyFont="1" applyFill="1" applyBorder="1" applyAlignment="1">
      <alignment vertical="center"/>
    </xf>
    <xf numFmtId="0" fontId="85" fillId="3" borderId="19" xfId="0" applyFont="1" applyFill="1" applyBorder="1"/>
    <xf numFmtId="0" fontId="97" fillId="3" borderId="20" xfId="0" applyFont="1" applyFill="1" applyBorder="1" applyAlignment="1" applyProtection="1">
      <alignment horizontal="left"/>
      <protection locked="0"/>
    </xf>
    <xf numFmtId="0" fontId="97" fillId="3" borderId="21" xfId="0" applyFont="1" applyFill="1" applyBorder="1" applyAlignment="1" applyProtection="1">
      <alignment horizontal="left"/>
      <protection locked="0"/>
    </xf>
    <xf numFmtId="0" fontId="85" fillId="3" borderId="25" xfId="0" applyFont="1" applyFill="1" applyBorder="1"/>
    <xf numFmtId="0" fontId="104" fillId="3" borderId="0" xfId="0" applyFont="1" applyFill="1" applyBorder="1" applyAlignment="1" applyProtection="1">
      <alignment horizontal="left"/>
      <protection locked="0"/>
    </xf>
    <xf numFmtId="0" fontId="97" fillId="3" borderId="23" xfId="0" applyFont="1" applyFill="1" applyBorder="1" applyAlignment="1" applyProtection="1">
      <alignment horizontal="left"/>
      <protection locked="0"/>
    </xf>
    <xf numFmtId="3" fontId="105" fillId="3" borderId="19" xfId="0" applyNumberFormat="1" applyFont="1" applyFill="1" applyBorder="1" applyAlignment="1" applyProtection="1">
      <alignment horizontal="right" vertical="center" shrinkToFit="1"/>
      <protection locked="0"/>
    </xf>
    <xf numFmtId="0" fontId="89" fillId="3" borderId="23" xfId="0" applyFont="1" applyFill="1" applyBorder="1" applyAlignment="1" applyProtection="1">
      <alignment horizontal="left"/>
      <protection locked="0"/>
    </xf>
    <xf numFmtId="0" fontId="90" fillId="3" borderId="39" xfId="0" applyFont="1" applyFill="1" applyBorder="1" applyAlignment="1">
      <alignment vertical="center"/>
    </xf>
    <xf numFmtId="0" fontId="85" fillId="3" borderId="260" xfId="0" applyFont="1" applyFill="1" applyBorder="1"/>
    <xf numFmtId="0" fontId="104" fillId="3" borderId="260" xfId="0" applyFont="1" applyFill="1" applyBorder="1" applyAlignment="1" applyProtection="1">
      <alignment horizontal="left"/>
      <protection locked="0"/>
    </xf>
    <xf numFmtId="0" fontId="78" fillId="3" borderId="260" xfId="0" applyFont="1" applyFill="1" applyBorder="1" applyAlignment="1" applyProtection="1">
      <alignment horizontal="left"/>
      <protection locked="0"/>
    </xf>
    <xf numFmtId="0" fontId="91" fillId="3" borderId="260" xfId="0" applyFont="1" applyFill="1" applyBorder="1"/>
    <xf numFmtId="0" fontId="89" fillId="3" borderId="260" xfId="0" applyFont="1" applyFill="1" applyBorder="1" applyAlignment="1" applyProtection="1">
      <alignment horizontal="left"/>
      <protection locked="0"/>
    </xf>
    <xf numFmtId="0" fontId="89" fillId="3" borderId="38" xfId="0" applyFont="1" applyFill="1" applyBorder="1" applyAlignment="1" applyProtection="1">
      <alignment horizontal="left"/>
      <protection locked="0"/>
    </xf>
    <xf numFmtId="0" fontId="85" fillId="3" borderId="20" xfId="0" applyFont="1" applyFill="1" applyBorder="1"/>
    <xf numFmtId="0" fontId="104" fillId="3" borderId="20" xfId="0" applyFont="1" applyFill="1" applyBorder="1" applyAlignment="1" applyProtection="1">
      <alignment horizontal="left"/>
      <protection locked="0"/>
    </xf>
    <xf numFmtId="0" fontId="78" fillId="3" borderId="20" xfId="0" applyFont="1" applyFill="1" applyBorder="1" applyAlignment="1" applyProtection="1">
      <alignment horizontal="left"/>
      <protection locked="0"/>
    </xf>
    <xf numFmtId="0" fontId="91" fillId="3" borderId="20" xfId="0" applyFont="1" applyFill="1" applyBorder="1"/>
    <xf numFmtId="0" fontId="89" fillId="3" borderId="20" xfId="0" applyFont="1" applyFill="1" applyBorder="1" applyAlignment="1" applyProtection="1">
      <alignment horizontal="left"/>
      <protection locked="0"/>
    </xf>
    <xf numFmtId="0" fontId="89" fillId="3" borderId="21" xfId="0" applyFont="1" applyFill="1" applyBorder="1" applyAlignment="1" applyProtection="1">
      <alignment horizontal="left"/>
      <protection locked="0"/>
    </xf>
    <xf numFmtId="3" fontId="90" fillId="3" borderId="39" xfId="0" applyNumberFormat="1" applyFont="1" applyFill="1" applyBorder="1" applyAlignment="1" applyProtection="1">
      <alignment horizontal="center" vertical="center"/>
      <protection locked="0"/>
    </xf>
    <xf numFmtId="0" fontId="85" fillId="3" borderId="37" xfId="0" applyFont="1" applyFill="1" applyBorder="1"/>
    <xf numFmtId="0" fontId="104" fillId="3" borderId="37" xfId="0" applyFont="1" applyFill="1" applyBorder="1" applyAlignment="1" applyProtection="1">
      <alignment horizontal="left"/>
      <protection locked="0"/>
    </xf>
    <xf numFmtId="0" fontId="78" fillId="3" borderId="37" xfId="0" applyFont="1" applyFill="1" applyBorder="1" applyAlignment="1" applyProtection="1">
      <alignment horizontal="left"/>
      <protection locked="0"/>
    </xf>
    <xf numFmtId="0" fontId="91" fillId="3" borderId="37" xfId="0" applyFont="1" applyFill="1" applyBorder="1"/>
    <xf numFmtId="0" fontId="89" fillId="3" borderId="37" xfId="0" applyFont="1" applyFill="1" applyBorder="1" applyAlignment="1" applyProtection="1">
      <alignment horizontal="left"/>
      <protection locked="0"/>
    </xf>
    <xf numFmtId="0" fontId="89" fillId="3" borderId="24" xfId="0" applyFont="1" applyFill="1" applyBorder="1" applyAlignment="1" applyProtection="1">
      <alignment horizontal="left"/>
      <protection locked="0"/>
    </xf>
    <xf numFmtId="3" fontId="90" fillId="3" borderId="25" xfId="0" applyNumberFormat="1" applyFont="1" applyFill="1" applyBorder="1" applyAlignment="1" applyProtection="1">
      <alignment horizontal="center" vertical="center"/>
      <protection locked="0"/>
    </xf>
    <xf numFmtId="0" fontId="85" fillId="3" borderId="263" xfId="0" applyFont="1" applyFill="1" applyBorder="1"/>
    <xf numFmtId="0" fontId="85" fillId="3" borderId="33" xfId="0" applyFont="1" applyFill="1" applyBorder="1"/>
    <xf numFmtId="0" fontId="104" fillId="3" borderId="33" xfId="0" applyFont="1" applyFill="1" applyBorder="1" applyAlignment="1" applyProtection="1">
      <alignment horizontal="left"/>
      <protection locked="0"/>
    </xf>
    <xf numFmtId="0" fontId="78" fillId="3" borderId="33" xfId="0" applyFont="1" applyFill="1" applyBorder="1" applyAlignment="1" applyProtection="1">
      <alignment horizontal="left"/>
      <protection locked="0"/>
    </xf>
    <xf numFmtId="0" fontId="91" fillId="3" borderId="33" xfId="0" applyFont="1" applyFill="1" applyBorder="1"/>
    <xf numFmtId="0" fontId="89" fillId="3" borderId="33" xfId="0" applyFont="1" applyFill="1" applyBorder="1" applyAlignment="1" applyProtection="1">
      <alignment horizontal="left"/>
      <protection locked="0"/>
    </xf>
    <xf numFmtId="0" fontId="89" fillId="3" borderId="264" xfId="0" applyFont="1" applyFill="1" applyBorder="1" applyAlignment="1" applyProtection="1">
      <alignment horizontal="left"/>
      <protection locked="0"/>
    </xf>
    <xf numFmtId="0" fontId="85" fillId="3" borderId="226" xfId="0" applyFont="1" applyFill="1" applyBorder="1"/>
    <xf numFmtId="0" fontId="104" fillId="3" borderId="41" xfId="0" applyFont="1" applyFill="1" applyBorder="1" applyAlignment="1" applyProtection="1">
      <alignment horizontal="left"/>
      <protection locked="0"/>
    </xf>
    <xf numFmtId="0" fontId="78" fillId="3" borderId="41" xfId="0" applyFont="1" applyFill="1" applyBorder="1" applyAlignment="1" applyProtection="1">
      <alignment horizontal="left"/>
      <protection locked="0"/>
    </xf>
    <xf numFmtId="0" fontId="91" fillId="3" borderId="41" xfId="0" applyFont="1" applyFill="1" applyBorder="1"/>
    <xf numFmtId="0" fontId="80" fillId="3" borderId="41" xfId="0" applyFont="1" applyFill="1" applyBorder="1" applyAlignment="1" applyProtection="1">
      <alignment horizontal="left"/>
      <protection locked="0"/>
    </xf>
    <xf numFmtId="0" fontId="80" fillId="3" borderId="227" xfId="0" applyFont="1" applyFill="1" applyBorder="1" applyAlignment="1" applyProtection="1">
      <alignment horizontal="left"/>
      <protection locked="0"/>
    </xf>
    <xf numFmtId="0" fontId="80" fillId="3" borderId="23" xfId="0" applyFont="1" applyFill="1" applyBorder="1" applyAlignment="1" applyProtection="1">
      <alignment horizontal="left"/>
      <protection locked="0"/>
    </xf>
    <xf numFmtId="0" fontId="80" fillId="3" borderId="260" xfId="0" applyFont="1" applyFill="1" applyBorder="1" applyAlignment="1" applyProtection="1">
      <alignment horizontal="left"/>
      <protection locked="0"/>
    </xf>
    <xf numFmtId="0" fontId="80" fillId="3" borderId="38" xfId="0" applyFont="1" applyFill="1" applyBorder="1" applyAlignment="1" applyProtection="1">
      <alignment horizontal="left"/>
      <protection locked="0"/>
    </xf>
    <xf numFmtId="0" fontId="103" fillId="3" borderId="20" xfId="0" applyFont="1" applyFill="1" applyBorder="1"/>
    <xf numFmtId="0" fontId="80" fillId="3" borderId="20" xfId="0" applyFont="1" applyFill="1" applyBorder="1" applyAlignment="1" applyProtection="1">
      <alignment horizontal="left"/>
      <protection locked="0"/>
    </xf>
    <xf numFmtId="0" fontId="80" fillId="3" borderId="21" xfId="0" applyFont="1" applyFill="1" applyBorder="1" applyAlignment="1" applyProtection="1">
      <alignment horizontal="left"/>
      <protection locked="0"/>
    </xf>
    <xf numFmtId="0" fontId="85" fillId="3" borderId="39" xfId="0" applyFont="1" applyFill="1" applyBorder="1"/>
    <xf numFmtId="0" fontId="80" fillId="3" borderId="37" xfId="0" applyFont="1" applyFill="1" applyBorder="1" applyAlignment="1" applyProtection="1">
      <alignment horizontal="left"/>
      <protection locked="0"/>
    </xf>
    <xf numFmtId="0" fontId="80" fillId="3" borderId="24" xfId="0" applyFont="1" applyFill="1" applyBorder="1" applyAlignment="1" applyProtection="1">
      <alignment horizontal="left"/>
      <protection locked="0"/>
    </xf>
    <xf numFmtId="0" fontId="80" fillId="3" borderId="265" xfId="0" applyFont="1" applyFill="1" applyBorder="1" applyProtection="1">
      <protection locked="0"/>
    </xf>
    <xf numFmtId="3" fontId="105" fillId="3" borderId="0" xfId="0" applyNumberFormat="1" applyFont="1" applyFill="1" applyBorder="1" applyAlignment="1" applyProtection="1">
      <alignment horizontal="right" vertical="center" shrinkToFit="1"/>
      <protection locked="0"/>
    </xf>
    <xf numFmtId="0" fontId="85" fillId="3" borderId="266" xfId="0" applyFont="1" applyFill="1" applyBorder="1" applyAlignment="1"/>
    <xf numFmtId="0" fontId="85" fillId="3" borderId="267" xfId="0" applyFont="1" applyFill="1" applyBorder="1" applyProtection="1">
      <protection locked="0"/>
    </xf>
    <xf numFmtId="0" fontId="80" fillId="3" borderId="267" xfId="0" applyFont="1" applyFill="1" applyBorder="1" applyProtection="1">
      <protection locked="0"/>
    </xf>
    <xf numFmtId="0" fontId="91" fillId="3" borderId="267" xfId="0" applyFont="1" applyFill="1" applyBorder="1"/>
    <xf numFmtId="0" fontId="89" fillId="3" borderId="267" xfId="0" applyFont="1" applyFill="1" applyBorder="1" applyAlignment="1" applyProtection="1">
      <alignment horizontal="left"/>
      <protection locked="0"/>
    </xf>
    <xf numFmtId="0" fontId="89" fillId="3" borderId="268" xfId="0" applyFont="1" applyFill="1" applyBorder="1" applyAlignment="1" applyProtection="1">
      <alignment horizontal="left"/>
      <protection locked="0"/>
    </xf>
    <xf numFmtId="0" fontId="42" fillId="3" borderId="0" xfId="0" applyFont="1" applyFill="1" applyBorder="1" applyAlignment="1" applyProtection="1">
      <alignment horizontal="left"/>
      <protection locked="0"/>
    </xf>
    <xf numFmtId="0" fontId="49" fillId="3" borderId="0" xfId="0" applyFont="1" applyFill="1" applyBorder="1" applyAlignment="1">
      <alignment vertical="center"/>
    </xf>
    <xf numFmtId="0" fontId="90" fillId="3" borderId="0" xfId="0" applyFont="1" applyFill="1" applyBorder="1" applyAlignment="1" applyProtection="1">
      <alignment horizontal="left"/>
      <protection locked="0"/>
    </xf>
    <xf numFmtId="0" fontId="91" fillId="3" borderId="0" xfId="0" applyFont="1" applyFill="1" applyBorder="1" applyAlignment="1" applyProtection="1">
      <alignment horizontal="left"/>
      <protection locked="0"/>
    </xf>
    <xf numFmtId="0" fontId="39" fillId="3" borderId="0" xfId="0" applyFont="1" applyFill="1" applyBorder="1"/>
    <xf numFmtId="0" fontId="117" fillId="7" borderId="66" xfId="0" applyFont="1" applyFill="1" applyBorder="1"/>
    <xf numFmtId="0" fontId="109" fillId="7" borderId="67" xfId="0" applyFont="1" applyFill="1" applyBorder="1" applyAlignment="1" applyProtection="1">
      <alignment horizontal="left"/>
      <protection locked="0"/>
    </xf>
    <xf numFmtId="0" fontId="109" fillId="7" borderId="68" xfId="0" applyFont="1" applyFill="1" applyBorder="1" applyAlignment="1" applyProtection="1">
      <alignment horizontal="left"/>
      <protection locked="0"/>
    </xf>
    <xf numFmtId="0" fontId="97" fillId="3" borderId="0" xfId="0" applyFont="1" applyFill="1" applyBorder="1" applyAlignment="1" applyProtection="1"/>
    <xf numFmtId="0" fontId="102" fillId="3" borderId="0" xfId="0" applyFont="1" applyFill="1" applyBorder="1" applyAlignment="1" applyProtection="1"/>
    <xf numFmtId="0" fontId="102" fillId="3" borderId="0" xfId="0" applyFont="1" applyFill="1" applyBorder="1"/>
    <xf numFmtId="0" fontId="98" fillId="3" borderId="269" xfId="0" applyFont="1" applyFill="1" applyBorder="1"/>
    <xf numFmtId="0" fontId="97" fillId="3" borderId="269" xfId="0" applyFont="1" applyFill="1" applyBorder="1" applyAlignment="1" applyProtection="1">
      <alignment horizontal="left"/>
      <protection locked="0"/>
    </xf>
    <xf numFmtId="0" fontId="82" fillId="6" borderId="25" xfId="0" applyFont="1" applyFill="1" applyBorder="1" applyAlignment="1" applyProtection="1"/>
    <xf numFmtId="49" fontId="82" fillId="6" borderId="0" xfId="0" applyNumberFormat="1" applyFont="1" applyFill="1" applyBorder="1" applyAlignment="1" applyProtection="1">
      <alignment shrinkToFit="1"/>
    </xf>
    <xf numFmtId="0" fontId="82" fillId="6" borderId="0" xfId="0" applyFont="1" applyFill="1" applyBorder="1" applyAlignment="1" applyProtection="1"/>
    <xf numFmtId="0" fontId="82" fillId="6" borderId="23" xfId="0" applyFont="1" applyFill="1" applyBorder="1" applyAlignment="1" applyProtection="1"/>
    <xf numFmtId="0" fontId="80" fillId="6" borderId="25" xfId="0" applyFont="1" applyFill="1" applyBorder="1" applyAlignment="1" applyProtection="1"/>
    <xf numFmtId="49" fontId="80" fillId="6" borderId="0" xfId="0" applyNumberFormat="1" applyFont="1" applyFill="1" applyBorder="1" applyAlignment="1" applyProtection="1">
      <alignment shrinkToFit="1"/>
    </xf>
    <xf numFmtId="0" fontId="80" fillId="6" borderId="0" xfId="0" applyFont="1" applyFill="1" applyBorder="1" applyAlignment="1" applyProtection="1"/>
    <xf numFmtId="0" fontId="80" fillId="6" borderId="23" xfId="0" applyFont="1" applyFill="1" applyBorder="1" applyAlignment="1" applyProtection="1"/>
    <xf numFmtId="49" fontId="107" fillId="6" borderId="0" xfId="0" applyNumberFormat="1" applyFont="1" applyFill="1" applyBorder="1" applyAlignment="1" applyProtection="1"/>
    <xf numFmtId="0" fontId="139" fillId="6" borderId="0" xfId="0" applyFont="1" applyFill="1" applyBorder="1" applyAlignment="1" applyProtection="1"/>
    <xf numFmtId="0" fontId="107" fillId="6" borderId="0" xfId="0" applyFont="1" applyFill="1" applyBorder="1" applyAlignment="1">
      <alignment horizontal="right"/>
    </xf>
    <xf numFmtId="49" fontId="107" fillId="6" borderId="23" xfId="0" applyNumberFormat="1" applyFont="1" applyFill="1" applyBorder="1" applyAlignment="1" applyProtection="1"/>
    <xf numFmtId="0" fontId="107" fillId="6" borderId="0" xfId="0" applyFont="1" applyFill="1" applyBorder="1" applyAlignment="1" applyProtection="1"/>
    <xf numFmtId="49" fontId="80" fillId="6" borderId="0" xfId="0" applyNumberFormat="1" applyFont="1" applyFill="1" applyBorder="1" applyAlignment="1" applyProtection="1"/>
    <xf numFmtId="49" fontId="82" fillId="6" borderId="4" xfId="0" applyNumberFormat="1" applyFont="1" applyFill="1" applyBorder="1" applyAlignment="1" applyProtection="1">
      <alignment shrinkToFit="1"/>
    </xf>
    <xf numFmtId="0" fontId="82" fillId="6" borderId="4" xfId="0" applyFont="1" applyFill="1" applyBorder="1" applyAlignment="1" applyProtection="1"/>
    <xf numFmtId="0" fontId="107" fillId="6" borderId="25" xfId="0" applyFont="1" applyFill="1" applyBorder="1" applyAlignment="1" applyProtection="1"/>
    <xf numFmtId="49" fontId="107" fillId="6" borderId="0" xfId="0" applyNumberFormat="1" applyFont="1" applyFill="1" applyBorder="1" applyAlignment="1" applyProtection="1">
      <alignment shrinkToFit="1"/>
    </xf>
    <xf numFmtId="49" fontId="107" fillId="6" borderId="0" xfId="0" applyNumberFormat="1" applyFont="1" applyFill="1" applyBorder="1" applyAlignment="1" applyProtection="1">
      <protection locked="0"/>
    </xf>
    <xf numFmtId="0" fontId="107" fillId="6" borderId="0" xfId="0" applyFont="1" applyFill="1" applyBorder="1" applyAlignment="1" applyProtection="1">
      <protection locked="0"/>
    </xf>
    <xf numFmtId="49" fontId="121" fillId="6" borderId="0" xfId="0" applyNumberFormat="1" applyFont="1" applyFill="1" applyBorder="1" applyAlignment="1" applyProtection="1">
      <alignment horizontal="center"/>
      <protection locked="0"/>
    </xf>
    <xf numFmtId="1" fontId="107" fillId="6" borderId="0" xfId="0" applyNumberFormat="1" applyFont="1" applyFill="1" applyBorder="1" applyAlignment="1" applyProtection="1">
      <alignment horizontal="center"/>
      <protection locked="0"/>
    </xf>
    <xf numFmtId="1" fontId="107" fillId="6" borderId="0" xfId="0" applyNumberFormat="1" applyFont="1" applyFill="1" applyBorder="1" applyAlignment="1" applyProtection="1">
      <protection locked="0"/>
    </xf>
    <xf numFmtId="0" fontId="107" fillId="6" borderId="23" xfId="0" applyFont="1" applyFill="1" applyBorder="1" applyAlignment="1" applyProtection="1"/>
    <xf numFmtId="49" fontId="97" fillId="6" borderId="23" xfId="0" applyNumberFormat="1" applyFont="1" applyFill="1" applyBorder="1" applyAlignment="1" applyProtection="1"/>
    <xf numFmtId="0" fontId="91" fillId="6" borderId="0" xfId="0" applyFont="1" applyFill="1" applyBorder="1" applyProtection="1">
      <protection locked="0"/>
    </xf>
    <xf numFmtId="49" fontId="97" fillId="6" borderId="0" xfId="0" applyNumberFormat="1" applyFont="1" applyFill="1" applyBorder="1" applyAlignment="1" applyProtection="1"/>
    <xf numFmtId="0" fontId="78" fillId="6" borderId="0" xfId="0" applyFont="1" applyFill="1" applyBorder="1" applyProtection="1">
      <protection locked="0"/>
    </xf>
    <xf numFmtId="0" fontId="129" fillId="6" borderId="0" xfId="0" applyFont="1" applyFill="1" applyBorder="1" applyAlignment="1" applyProtection="1">
      <alignment horizontal="right"/>
      <protection locked="0"/>
    </xf>
    <xf numFmtId="0" fontId="107" fillId="6" borderId="25" xfId="0" applyFont="1" applyFill="1" applyBorder="1" applyProtection="1">
      <protection locked="0"/>
    </xf>
    <xf numFmtId="0" fontId="107" fillId="6" borderId="0" xfId="0" applyFont="1" applyFill="1" applyBorder="1" applyProtection="1">
      <protection locked="0"/>
    </xf>
    <xf numFmtId="49" fontId="142" fillId="6" borderId="23" xfId="0" applyNumberFormat="1" applyFont="1" applyFill="1" applyBorder="1" applyAlignment="1" applyProtection="1">
      <alignment horizontal="right"/>
    </xf>
    <xf numFmtId="0" fontId="80" fillId="6" borderId="0" xfId="0" applyFont="1" applyFill="1" applyAlignment="1">
      <alignment horizontal="right"/>
    </xf>
    <xf numFmtId="49" fontId="94" fillId="6" borderId="0" xfId="0" applyNumberFormat="1" applyFont="1" applyFill="1" applyBorder="1" applyAlignment="1" applyProtection="1">
      <alignment horizontal="right"/>
    </xf>
    <xf numFmtId="0" fontId="80" fillId="6" borderId="0" xfId="0" applyFont="1" applyFill="1" applyBorder="1" applyAlignment="1" applyProtection="1">
      <alignment horizontal="right"/>
    </xf>
    <xf numFmtId="0" fontId="107" fillId="6" borderId="0" xfId="0" applyFont="1" applyFill="1"/>
    <xf numFmtId="0" fontId="107" fillId="6" borderId="39" xfId="0" applyFont="1" applyFill="1" applyBorder="1" applyProtection="1">
      <protection locked="0"/>
    </xf>
    <xf numFmtId="0" fontId="107" fillId="6" borderId="37" xfId="0" applyFont="1" applyFill="1" applyBorder="1" applyProtection="1">
      <protection locked="0"/>
    </xf>
    <xf numFmtId="0" fontId="107" fillId="6" borderId="24" xfId="0" applyFont="1" applyFill="1" applyBorder="1" applyProtection="1">
      <protection locked="0"/>
    </xf>
    <xf numFmtId="3" fontId="139" fillId="3" borderId="2" xfId="0" applyNumberFormat="1" applyFont="1" applyFill="1" applyBorder="1" applyAlignment="1" applyProtection="1">
      <alignment horizontal="center"/>
      <protection locked="0"/>
    </xf>
    <xf numFmtId="0" fontId="79" fillId="3" borderId="82" xfId="0" applyFont="1" applyFill="1" applyBorder="1" applyAlignment="1" applyProtection="1">
      <alignment horizontal="right" vertical="center"/>
      <protection locked="0"/>
    </xf>
    <xf numFmtId="0" fontId="79" fillId="3" borderId="86" xfId="0" applyFont="1" applyFill="1" applyBorder="1" applyAlignment="1" applyProtection="1">
      <alignment horizontal="right" vertical="center"/>
      <protection locked="0"/>
    </xf>
    <xf numFmtId="3" fontId="79" fillId="0" borderId="270" xfId="0" applyNumberFormat="1" applyFont="1" applyFill="1" applyBorder="1" applyAlignment="1" applyProtection="1">
      <alignment horizontal="right" shrinkToFit="1"/>
      <protection locked="0"/>
    </xf>
    <xf numFmtId="0" fontId="190" fillId="3" borderId="0" xfId="0" applyFont="1" applyFill="1" applyBorder="1"/>
    <xf numFmtId="0" fontId="91" fillId="3" borderId="0" xfId="0" applyFont="1" applyFill="1" applyBorder="1" applyAlignment="1">
      <alignment horizontal="center" vertical="center"/>
    </xf>
    <xf numFmtId="0" fontId="0" fillId="3" borderId="271" xfId="0" applyFill="1" applyBorder="1"/>
    <xf numFmtId="0" fontId="0" fillId="3" borderId="239" xfId="0" applyFill="1" applyBorder="1"/>
    <xf numFmtId="0" fontId="0" fillId="3" borderId="272" xfId="0" applyFill="1" applyBorder="1"/>
    <xf numFmtId="0" fontId="0" fillId="3" borderId="273" xfId="0" applyFill="1" applyBorder="1"/>
    <xf numFmtId="0" fontId="0" fillId="3" borderId="274" xfId="0" applyFill="1" applyBorder="1"/>
    <xf numFmtId="0" fontId="0" fillId="3" borderId="275" xfId="0" applyFill="1" applyBorder="1"/>
    <xf numFmtId="0" fontId="0" fillId="3" borderId="276" xfId="0" applyFill="1" applyBorder="1"/>
    <xf numFmtId="0" fontId="0" fillId="3" borderId="277" xfId="0" applyFill="1" applyBorder="1"/>
    <xf numFmtId="0" fontId="0" fillId="3" borderId="278" xfId="0" applyFill="1" applyBorder="1"/>
    <xf numFmtId="0" fontId="0" fillId="3" borderId="244" xfId="0" applyFill="1" applyBorder="1"/>
    <xf numFmtId="0" fontId="0" fillId="3" borderId="279" xfId="0" applyFill="1" applyBorder="1"/>
    <xf numFmtId="3" fontId="59" fillId="0" borderId="0" xfId="0" applyNumberFormat="1" applyFont="1" applyFill="1" applyBorder="1" applyAlignment="1"/>
    <xf numFmtId="3" fontId="1" fillId="0" borderId="0" xfId="0" applyNumberFormat="1" applyFont="1" applyFill="1" applyBorder="1" applyAlignment="1"/>
    <xf numFmtId="3" fontId="59" fillId="0" borderId="9" xfId="0" applyNumberFormat="1" applyFont="1" applyFill="1" applyBorder="1" applyAlignment="1"/>
    <xf numFmtId="0" fontId="176" fillId="15" borderId="238" xfId="1" applyFont="1" applyFill="1" applyBorder="1" applyAlignment="1" applyProtection="1">
      <alignment horizontal="center" vertical="center"/>
    </xf>
    <xf numFmtId="0" fontId="176" fillId="15" borderId="239" xfId="1" applyFont="1" applyFill="1" applyBorder="1" applyAlignment="1" applyProtection="1">
      <alignment horizontal="center" vertical="center"/>
    </xf>
    <xf numFmtId="0" fontId="176" fillId="15" borderId="240" xfId="1" applyFont="1" applyFill="1" applyBorder="1" applyAlignment="1" applyProtection="1">
      <alignment horizontal="center" vertical="center"/>
    </xf>
    <xf numFmtId="0" fontId="176" fillId="15" borderId="243" xfId="1" applyFont="1" applyFill="1" applyBorder="1" applyAlignment="1" applyProtection="1">
      <alignment horizontal="center" vertical="center"/>
    </xf>
    <xf numFmtId="0" fontId="176" fillId="15" borderId="244" xfId="1" applyFont="1" applyFill="1" applyBorder="1" applyAlignment="1" applyProtection="1">
      <alignment horizontal="center" vertical="center"/>
    </xf>
    <xf numFmtId="0" fontId="176" fillId="15" borderId="245" xfId="1" applyFont="1" applyFill="1" applyBorder="1" applyAlignment="1" applyProtection="1">
      <alignment horizontal="center" vertical="center"/>
    </xf>
    <xf numFmtId="0" fontId="189" fillId="15" borderId="280" xfId="0" applyFont="1" applyFill="1" applyBorder="1" applyAlignment="1" applyProtection="1">
      <alignment horizontal="center" vertical="center"/>
      <protection locked="0"/>
    </xf>
    <xf numFmtId="0" fontId="168" fillId="15" borderId="281" xfId="0" applyFont="1" applyFill="1" applyBorder="1" applyAlignment="1" applyProtection="1">
      <alignment horizontal="center" vertical="center"/>
      <protection locked="0"/>
    </xf>
    <xf numFmtId="0" fontId="168" fillId="15" borderId="282" xfId="0" applyFont="1" applyFill="1" applyBorder="1" applyAlignment="1" applyProtection="1">
      <alignment horizontal="center" vertical="center"/>
      <protection locked="0"/>
    </xf>
    <xf numFmtId="0" fontId="168" fillId="15" borderId="283" xfId="0" applyFont="1" applyFill="1" applyBorder="1" applyAlignment="1" applyProtection="1">
      <alignment horizontal="center" vertical="center"/>
      <protection locked="0"/>
    </xf>
    <xf numFmtId="0" fontId="168" fillId="15" borderId="284" xfId="0" applyFont="1" applyFill="1" applyBorder="1" applyAlignment="1" applyProtection="1">
      <alignment horizontal="center" vertical="center"/>
      <protection locked="0"/>
    </xf>
    <xf numFmtId="0" fontId="168" fillId="15" borderId="285" xfId="0" applyFont="1" applyFill="1" applyBorder="1" applyAlignment="1" applyProtection="1">
      <alignment horizontal="center" vertical="center"/>
      <protection locked="0"/>
    </xf>
    <xf numFmtId="0" fontId="171" fillId="15" borderId="286" xfId="0" applyFont="1" applyFill="1" applyBorder="1" applyAlignment="1" applyProtection="1">
      <alignment horizontal="center" vertical="center"/>
      <protection locked="0"/>
    </xf>
    <xf numFmtId="0" fontId="171" fillId="15" borderId="287" xfId="0" applyFont="1" applyFill="1" applyBorder="1" applyAlignment="1" applyProtection="1">
      <alignment horizontal="center" vertical="center"/>
      <protection locked="0"/>
    </xf>
    <xf numFmtId="0" fontId="171" fillId="15" borderId="288" xfId="0" applyFont="1" applyFill="1" applyBorder="1" applyAlignment="1" applyProtection="1">
      <alignment horizontal="center" vertical="center"/>
      <protection locked="0"/>
    </xf>
    <xf numFmtId="0" fontId="84" fillId="0" borderId="25" xfId="0" applyFont="1" applyFill="1" applyBorder="1" applyAlignment="1" applyProtection="1">
      <alignment horizontal="center"/>
    </xf>
    <xf numFmtId="0" fontId="84" fillId="0" borderId="0" xfId="0" applyFont="1" applyFill="1" applyBorder="1" applyAlignment="1" applyProtection="1">
      <alignment horizontal="center"/>
    </xf>
    <xf numFmtId="0" fontId="84" fillId="0" borderId="23" xfId="0" applyFont="1" applyFill="1" applyBorder="1" applyAlignment="1" applyProtection="1">
      <alignment horizontal="center"/>
    </xf>
    <xf numFmtId="49" fontId="117" fillId="15" borderId="234" xfId="0" applyNumberFormat="1" applyFont="1" applyFill="1" applyBorder="1" applyAlignment="1" applyProtection="1">
      <alignment horizontal="center" vertical="center"/>
      <protection locked="0"/>
    </xf>
    <xf numFmtId="0" fontId="80" fillId="6" borderId="25" xfId="0" applyFont="1" applyFill="1" applyBorder="1" applyAlignment="1" applyProtection="1">
      <alignment horizontal="center"/>
    </xf>
    <xf numFmtId="49" fontId="116" fillId="0" borderId="0" xfId="0" applyNumberFormat="1" applyFont="1" applyFill="1" applyBorder="1" applyAlignment="1" applyProtection="1">
      <alignment horizontal="center" vertical="center" shrinkToFit="1"/>
      <protection locked="0"/>
    </xf>
    <xf numFmtId="49" fontId="97" fillId="6" borderId="0" xfId="0" applyNumberFormat="1" applyFont="1" applyFill="1" applyBorder="1" applyAlignment="1" applyProtection="1">
      <alignment horizontal="left"/>
    </xf>
    <xf numFmtId="49" fontId="140" fillId="3" borderId="34" xfId="0" applyNumberFormat="1" applyFont="1" applyFill="1" applyBorder="1" applyAlignment="1" applyProtection="1">
      <alignment horizontal="center" vertical="center"/>
      <protection locked="0"/>
    </xf>
    <xf numFmtId="49" fontId="140" fillId="3" borderId="38" xfId="0" applyNumberFormat="1" applyFont="1" applyFill="1" applyBorder="1" applyAlignment="1" applyProtection="1">
      <alignment horizontal="center" vertical="center"/>
      <protection locked="0"/>
    </xf>
    <xf numFmtId="49" fontId="82" fillId="3" borderId="45" xfId="0" applyNumberFormat="1" applyFont="1" applyFill="1" applyBorder="1" applyAlignment="1" applyProtection="1">
      <alignment horizontal="center"/>
      <protection locked="0"/>
    </xf>
    <xf numFmtId="49" fontId="82" fillId="3" borderId="46" xfId="0" applyNumberFormat="1" applyFont="1" applyFill="1" applyBorder="1" applyAlignment="1" applyProtection="1">
      <alignment horizontal="center"/>
      <protection locked="0"/>
    </xf>
    <xf numFmtId="49" fontId="82" fillId="3" borderId="50" xfId="0" applyNumberFormat="1" applyFont="1" applyFill="1" applyBorder="1" applyAlignment="1" applyProtection="1">
      <alignment horizontal="center"/>
      <protection locked="0"/>
    </xf>
    <xf numFmtId="0" fontId="82" fillId="3" borderId="39" xfId="0" applyFont="1" applyFill="1" applyBorder="1" applyAlignment="1" applyProtection="1">
      <alignment horizontal="center"/>
      <protection locked="0"/>
    </xf>
    <xf numFmtId="0" fontId="82" fillId="3" borderId="37" xfId="0" applyFont="1" applyFill="1" applyBorder="1" applyAlignment="1" applyProtection="1">
      <alignment horizontal="center"/>
      <protection locked="0"/>
    </xf>
    <xf numFmtId="0" fontId="82" fillId="3" borderId="24" xfId="0" applyFont="1" applyFill="1" applyBorder="1" applyAlignment="1" applyProtection="1">
      <alignment horizontal="center"/>
      <protection locked="0"/>
    </xf>
    <xf numFmtId="49" fontId="106" fillId="3" borderId="47" xfId="0" applyNumberFormat="1" applyFont="1" applyFill="1" applyBorder="1" applyAlignment="1" applyProtection="1">
      <alignment horizontal="center"/>
      <protection locked="0"/>
    </xf>
    <xf numFmtId="49" fontId="106" fillId="3" borderId="42" xfId="0" applyNumberFormat="1" applyFont="1" applyFill="1" applyBorder="1" applyAlignment="1" applyProtection="1">
      <alignment horizontal="center"/>
      <protection locked="0"/>
    </xf>
    <xf numFmtId="49" fontId="106" fillId="3" borderId="48" xfId="0" applyNumberFormat="1" applyFont="1" applyFill="1" applyBorder="1" applyAlignment="1" applyProtection="1">
      <alignment horizontal="center"/>
      <protection locked="0"/>
    </xf>
    <xf numFmtId="49" fontId="90" fillId="11" borderId="61" xfId="0" applyNumberFormat="1" applyFont="1" applyFill="1" applyBorder="1" applyAlignment="1">
      <alignment horizontal="center"/>
    </xf>
    <xf numFmtId="49" fontId="90" fillId="11" borderId="63" xfId="0" applyNumberFormat="1" applyFont="1" applyFill="1" applyBorder="1" applyAlignment="1">
      <alignment horizontal="center"/>
    </xf>
    <xf numFmtId="49" fontId="91" fillId="4" borderId="289" xfId="0" applyNumberFormat="1" applyFont="1" applyFill="1" applyBorder="1" applyAlignment="1">
      <alignment horizontal="center"/>
    </xf>
    <xf numFmtId="49" fontId="91" fillId="4" borderId="290" xfId="0" applyNumberFormat="1" applyFont="1" applyFill="1" applyBorder="1" applyAlignment="1">
      <alignment horizontal="center"/>
    </xf>
    <xf numFmtId="0" fontId="42" fillId="4" borderId="19" xfId="0" applyFont="1" applyFill="1" applyBorder="1" applyAlignment="1">
      <alignment horizontal="right"/>
    </xf>
    <xf numFmtId="0" fontId="42" fillId="4" borderId="20" xfId="0" applyFont="1" applyFill="1" applyBorder="1" applyAlignment="1">
      <alignment horizontal="right"/>
    </xf>
    <xf numFmtId="49" fontId="91" fillId="4" borderId="291" xfId="0" applyNumberFormat="1" applyFont="1" applyFill="1" applyBorder="1" applyAlignment="1">
      <alignment horizontal="center"/>
    </xf>
    <xf numFmtId="49" fontId="91" fillId="4" borderId="292" xfId="0" applyNumberFormat="1" applyFont="1" applyFill="1" applyBorder="1" applyAlignment="1">
      <alignment horizontal="center"/>
    </xf>
    <xf numFmtId="49" fontId="91" fillId="4" borderId="293" xfId="0" applyNumberFormat="1" applyFont="1" applyFill="1" applyBorder="1" applyAlignment="1">
      <alignment horizontal="center"/>
    </xf>
    <xf numFmtId="49" fontId="91" fillId="4" borderId="294" xfId="0" applyNumberFormat="1" applyFont="1" applyFill="1" applyBorder="1" applyAlignment="1">
      <alignment horizontal="center"/>
    </xf>
    <xf numFmtId="0" fontId="50" fillId="3" borderId="0" xfId="0" applyFont="1" applyFill="1" applyBorder="1" applyAlignment="1" applyProtection="1">
      <alignment horizontal="center"/>
    </xf>
    <xf numFmtId="0" fontId="95" fillId="3" borderId="0" xfId="0" applyFont="1" applyFill="1" applyBorder="1" applyAlignment="1" applyProtection="1">
      <alignment horizontal="center"/>
    </xf>
    <xf numFmtId="0" fontId="91" fillId="3" borderId="0" xfId="0" applyFont="1" applyFill="1" applyBorder="1" applyAlignment="1" applyProtection="1">
      <alignment horizontal="center"/>
    </xf>
    <xf numFmtId="0" fontId="96" fillId="15" borderId="238" xfId="0" applyFont="1" applyFill="1" applyBorder="1" applyAlignment="1">
      <alignment horizontal="center" vertical="center"/>
    </xf>
    <xf numFmtId="0" fontId="96" fillId="15" borderId="239" xfId="0" applyFont="1" applyFill="1" applyBorder="1" applyAlignment="1">
      <alignment horizontal="center" vertical="center"/>
    </xf>
    <xf numFmtId="0" fontId="96" fillId="15" borderId="240" xfId="0" applyFont="1" applyFill="1" applyBorder="1" applyAlignment="1">
      <alignment horizontal="center" vertical="center"/>
    </xf>
    <xf numFmtId="0" fontId="96" fillId="15" borderId="243" xfId="0" applyFont="1" applyFill="1" applyBorder="1" applyAlignment="1">
      <alignment horizontal="center" vertical="center"/>
    </xf>
    <xf numFmtId="0" fontId="96" fillId="15" borderId="244" xfId="0" applyFont="1" applyFill="1" applyBorder="1" applyAlignment="1">
      <alignment horizontal="center" vertical="center"/>
    </xf>
    <xf numFmtId="0" fontId="96" fillId="15" borderId="245" xfId="0" applyFont="1" applyFill="1" applyBorder="1" applyAlignment="1">
      <alignment horizontal="center" vertical="center"/>
    </xf>
    <xf numFmtId="0" fontId="92" fillId="3" borderId="0" xfId="0" applyFont="1" applyFill="1" applyBorder="1" applyAlignment="1" applyProtection="1">
      <alignment horizontal="center"/>
    </xf>
    <xf numFmtId="0" fontId="120" fillId="7" borderId="219" xfId="0" applyFont="1" applyFill="1" applyBorder="1" applyAlignment="1" applyProtection="1">
      <alignment horizontal="center" vertical="center"/>
    </xf>
    <xf numFmtId="0" fontId="120" fillId="7" borderId="295" xfId="0" applyFont="1" applyFill="1" applyBorder="1" applyAlignment="1" applyProtection="1">
      <alignment horizontal="center" vertical="center"/>
    </xf>
    <xf numFmtId="0" fontId="176" fillId="15" borderId="238" xfId="0" applyFont="1" applyFill="1" applyBorder="1" applyAlignment="1">
      <alignment horizontal="center" vertical="center"/>
    </xf>
    <xf numFmtId="0" fontId="176" fillId="15" borderId="239" xfId="0" applyFont="1" applyFill="1" applyBorder="1" applyAlignment="1">
      <alignment horizontal="center" vertical="center"/>
    </xf>
    <xf numFmtId="0" fontId="176" fillId="15" borderId="240" xfId="0" applyFont="1" applyFill="1" applyBorder="1" applyAlignment="1">
      <alignment horizontal="center" vertical="center"/>
    </xf>
    <xf numFmtId="0" fontId="176" fillId="15" borderId="243" xfId="0" applyFont="1" applyFill="1" applyBorder="1" applyAlignment="1">
      <alignment horizontal="center" vertical="center"/>
    </xf>
    <xf numFmtId="0" fontId="176" fillId="15" borderId="244" xfId="0" applyFont="1" applyFill="1" applyBorder="1" applyAlignment="1">
      <alignment horizontal="center" vertical="center"/>
    </xf>
    <xf numFmtId="0" fontId="176" fillId="15" borderId="245" xfId="0" applyFont="1" applyFill="1" applyBorder="1" applyAlignment="1">
      <alignment horizontal="center" vertical="center"/>
    </xf>
    <xf numFmtId="0" fontId="191" fillId="15" borderId="229" xfId="0" applyFont="1" applyFill="1" applyBorder="1" applyAlignment="1">
      <alignment horizontal="center" vertical="center"/>
    </xf>
    <xf numFmtId="0" fontId="191" fillId="15" borderId="234" xfId="0" applyFont="1" applyFill="1" applyBorder="1" applyAlignment="1">
      <alignment horizontal="center" vertical="center"/>
    </xf>
    <xf numFmtId="0" fontId="191" fillId="15" borderId="230" xfId="0" applyFont="1" applyFill="1" applyBorder="1" applyAlignment="1">
      <alignment horizontal="center" vertical="center"/>
    </xf>
    <xf numFmtId="0" fontId="182" fillId="15" borderId="234" xfId="0" applyFont="1" applyFill="1" applyBorder="1" applyAlignment="1" applyProtection="1">
      <alignment horizontal="center" vertical="center"/>
      <protection locked="0"/>
    </xf>
    <xf numFmtId="0" fontId="96" fillId="15" borderId="229" xfId="0" applyFont="1" applyFill="1" applyBorder="1" applyAlignment="1">
      <alignment horizontal="center" vertical="center"/>
    </xf>
    <xf numFmtId="0" fontId="96" fillId="15" borderId="234" xfId="0" applyFont="1" applyFill="1" applyBorder="1" applyAlignment="1">
      <alignment horizontal="center" vertical="center"/>
    </xf>
    <xf numFmtId="0" fontId="170" fillId="15" borderId="229" xfId="0" applyFont="1" applyFill="1" applyBorder="1" applyAlignment="1" applyProtection="1">
      <alignment horizontal="center" vertical="center"/>
      <protection locked="0"/>
    </xf>
    <xf numFmtId="0" fontId="170" fillId="15" borderId="234" xfId="0" applyFont="1" applyFill="1" applyBorder="1" applyAlignment="1" applyProtection="1">
      <alignment horizontal="center" vertical="center"/>
      <protection locked="0"/>
    </xf>
    <xf numFmtId="0" fontId="170" fillId="15" borderId="230" xfId="0" applyFont="1" applyFill="1" applyBorder="1" applyAlignment="1" applyProtection="1">
      <alignment horizontal="center" vertical="center"/>
      <protection locked="0"/>
    </xf>
    <xf numFmtId="0" fontId="91" fillId="3" borderId="0" xfId="0" applyFont="1" applyFill="1" applyBorder="1" applyAlignment="1">
      <alignment horizontal="center"/>
    </xf>
    <xf numFmtId="3" fontId="79" fillId="3" borderId="75" xfId="0" applyNumberFormat="1" applyFont="1" applyFill="1" applyBorder="1" applyAlignment="1" applyProtection="1">
      <alignment horizontal="center"/>
      <protection locked="0"/>
    </xf>
    <xf numFmtId="3" fontId="79" fillId="3" borderId="77" xfId="0" applyNumberFormat="1" applyFont="1" applyFill="1" applyBorder="1" applyAlignment="1" applyProtection="1">
      <alignment horizontal="center"/>
      <protection locked="0"/>
    </xf>
    <xf numFmtId="3" fontId="79" fillId="3" borderId="299" xfId="0" applyNumberFormat="1" applyFont="1" applyFill="1" applyBorder="1" applyAlignment="1" applyProtection="1">
      <alignment horizontal="center"/>
      <protection locked="0"/>
    </xf>
    <xf numFmtId="3" fontId="79" fillId="3" borderId="166" xfId="0" applyNumberFormat="1" applyFont="1" applyFill="1" applyBorder="1" applyAlignment="1" applyProtection="1">
      <alignment horizontal="center"/>
      <protection locked="0"/>
    </xf>
    <xf numFmtId="3" fontId="80" fillId="4" borderId="70" xfId="0" applyNumberFormat="1" applyFont="1" applyFill="1" applyBorder="1" applyAlignment="1" applyProtection="1">
      <alignment horizontal="center" vertical="center"/>
    </xf>
    <xf numFmtId="3" fontId="80" fillId="4" borderId="72" xfId="0" applyNumberFormat="1" applyFont="1" applyFill="1" applyBorder="1" applyAlignment="1" applyProtection="1">
      <alignment horizontal="center" vertical="center"/>
    </xf>
    <xf numFmtId="3" fontId="79" fillId="3" borderId="73" xfId="0" applyNumberFormat="1" applyFont="1" applyFill="1" applyBorder="1" applyAlignment="1" applyProtection="1">
      <alignment horizontal="center"/>
      <protection locked="0"/>
    </xf>
    <xf numFmtId="3" fontId="79" fillId="3" borderId="74" xfId="0" applyNumberFormat="1" applyFont="1" applyFill="1" applyBorder="1" applyAlignment="1" applyProtection="1">
      <alignment horizontal="center"/>
      <protection locked="0"/>
    </xf>
    <xf numFmtId="3" fontId="79" fillId="3" borderId="125" xfId="0" applyNumberFormat="1" applyFont="1" applyFill="1" applyBorder="1" applyAlignment="1" applyProtection="1">
      <alignment horizontal="center"/>
      <protection locked="0"/>
    </xf>
    <xf numFmtId="3" fontId="79" fillId="3" borderId="109" xfId="0" applyNumberFormat="1" applyFont="1" applyFill="1" applyBorder="1" applyAlignment="1" applyProtection="1">
      <alignment horizontal="center"/>
      <protection locked="0"/>
    </xf>
    <xf numFmtId="0" fontId="121" fillId="4" borderId="110" xfId="0" applyFont="1" applyFill="1" applyBorder="1" applyAlignment="1" applyProtection="1">
      <alignment horizontal="left"/>
    </xf>
    <xf numFmtId="0" fontId="121" fillId="4" borderId="298" xfId="0" applyFont="1" applyFill="1" applyBorder="1" applyAlignment="1" applyProtection="1">
      <alignment horizontal="left"/>
    </xf>
    <xf numFmtId="0" fontId="121" fillId="4" borderId="246" xfId="0" applyFont="1" applyFill="1" applyBorder="1" applyAlignment="1" applyProtection="1">
      <alignment horizontal="left"/>
    </xf>
    <xf numFmtId="3" fontId="80" fillId="4" borderId="122" xfId="0" applyNumberFormat="1" applyFont="1" applyFill="1" applyBorder="1" applyAlignment="1" applyProtection="1">
      <alignment horizontal="center" vertical="center"/>
    </xf>
    <xf numFmtId="3" fontId="80" fillId="4" borderId="124" xfId="0" applyNumberFormat="1" applyFont="1" applyFill="1" applyBorder="1" applyAlignment="1" applyProtection="1">
      <alignment horizontal="center" vertical="center"/>
    </xf>
    <xf numFmtId="3" fontId="79" fillId="3" borderId="296" xfId="0" applyNumberFormat="1" applyFont="1" applyFill="1" applyBorder="1" applyAlignment="1" applyProtection="1">
      <alignment horizontal="center"/>
      <protection locked="0"/>
    </xf>
    <xf numFmtId="3" fontId="79" fillId="3" borderId="297" xfId="0" applyNumberFormat="1" applyFont="1" applyFill="1" applyBorder="1" applyAlignment="1" applyProtection="1">
      <alignment horizontal="center"/>
      <protection locked="0"/>
    </xf>
    <xf numFmtId="49" fontId="117" fillId="15" borderId="229" xfId="0" applyNumberFormat="1" applyFont="1" applyFill="1" applyBorder="1" applyAlignment="1" applyProtection="1">
      <alignment horizontal="center" vertical="center"/>
      <protection locked="0"/>
    </xf>
    <xf numFmtId="0" fontId="0" fillId="15" borderId="234" xfId="0" applyFill="1" applyBorder="1"/>
    <xf numFmtId="0" fontId="0" fillId="15" borderId="230" xfId="0" applyFill="1" applyBorder="1"/>
    <xf numFmtId="3" fontId="121" fillId="4" borderId="110" xfId="0" applyNumberFormat="1" applyFont="1" applyFill="1" applyBorder="1" applyAlignment="1" applyProtection="1">
      <alignment horizontal="center" vertical="center"/>
    </xf>
    <xf numFmtId="3" fontId="121" fillId="4" borderId="246" xfId="0" applyNumberFormat="1" applyFont="1" applyFill="1" applyBorder="1" applyAlignment="1" applyProtection="1">
      <alignment horizontal="center" vertical="center"/>
    </xf>
    <xf numFmtId="3" fontId="121" fillId="4" borderId="61" xfId="0" applyNumberFormat="1" applyFont="1" applyFill="1" applyBorder="1" applyAlignment="1" applyProtection="1">
      <alignment horizontal="center" vertical="center"/>
    </xf>
    <xf numFmtId="3" fontId="121" fillId="4" borderId="62" xfId="0" applyNumberFormat="1" applyFont="1" applyFill="1" applyBorder="1" applyAlignment="1" applyProtection="1">
      <alignment horizontal="center" vertical="center"/>
    </xf>
    <xf numFmtId="3" fontId="121" fillId="4" borderId="300" xfId="0" applyNumberFormat="1" applyFont="1" applyFill="1" applyBorder="1" applyAlignment="1" applyProtection="1">
      <alignment horizontal="center" vertical="center"/>
    </xf>
    <xf numFmtId="3" fontId="121" fillId="4" borderId="63" xfId="0" applyNumberFormat="1" applyFont="1" applyFill="1" applyBorder="1" applyAlignment="1" applyProtection="1">
      <alignment horizontal="center" vertical="center"/>
    </xf>
    <xf numFmtId="3" fontId="106" fillId="5" borderId="67" xfId="0" applyNumberFormat="1" applyFont="1" applyFill="1" applyBorder="1" applyAlignment="1" applyProtection="1">
      <alignment horizontal="center" vertical="center"/>
    </xf>
    <xf numFmtId="3" fontId="106" fillId="5" borderId="68" xfId="0" applyNumberFormat="1" applyFont="1" applyFill="1" applyBorder="1" applyAlignment="1" applyProtection="1">
      <alignment horizontal="center" vertical="center"/>
    </xf>
    <xf numFmtId="3" fontId="121" fillId="4" borderId="5" xfId="0" applyNumberFormat="1" applyFont="1" applyFill="1" applyBorder="1" applyAlignment="1" applyProtection="1">
      <alignment horizontal="center" vertical="center"/>
    </xf>
    <xf numFmtId="3" fontId="121" fillId="4" borderId="6" xfId="0" applyNumberFormat="1" applyFont="1" applyFill="1" applyBorder="1" applyAlignment="1" applyProtection="1">
      <alignment horizontal="center" vertical="center"/>
    </xf>
    <xf numFmtId="3" fontId="106" fillId="5" borderId="219" xfId="0" applyNumberFormat="1" applyFont="1" applyFill="1" applyBorder="1" applyAlignment="1" applyProtection="1">
      <alignment horizontal="center"/>
    </xf>
    <xf numFmtId="3" fontId="106" fillId="5" borderId="295" xfId="0" applyNumberFormat="1" applyFont="1" applyFill="1" applyBorder="1" applyAlignment="1" applyProtection="1">
      <alignment horizontal="center"/>
    </xf>
    <xf numFmtId="0" fontId="156" fillId="7" borderId="219" xfId="0" applyFont="1" applyFill="1" applyBorder="1" applyAlignment="1" applyProtection="1">
      <alignment horizontal="center" vertical="center"/>
    </xf>
    <xf numFmtId="0" fontId="156" fillId="7" borderId="301" xfId="0" applyFont="1" applyFill="1" applyBorder="1" applyAlignment="1" applyProtection="1">
      <alignment horizontal="center" vertical="center"/>
    </xf>
    <xf numFmtId="0" fontId="122" fillId="7" borderId="219" xfId="0" applyFont="1" applyFill="1" applyBorder="1" applyAlignment="1" applyProtection="1">
      <alignment horizontal="center" vertical="center"/>
    </xf>
    <xf numFmtId="0" fontId="122" fillId="7" borderId="301" xfId="0" applyFont="1" applyFill="1" applyBorder="1" applyAlignment="1" applyProtection="1">
      <alignment horizontal="center" vertical="center"/>
    </xf>
    <xf numFmtId="49" fontId="117" fillId="15" borderId="230" xfId="0" applyNumberFormat="1" applyFont="1" applyFill="1" applyBorder="1" applyAlignment="1" applyProtection="1">
      <alignment horizontal="center" vertical="center"/>
      <protection locked="0"/>
    </xf>
    <xf numFmtId="49" fontId="117" fillId="15" borderId="229" xfId="0" applyNumberFormat="1" applyFont="1" applyFill="1" applyBorder="1" applyAlignment="1" applyProtection="1">
      <alignment horizontal="center" vertical="center"/>
    </xf>
    <xf numFmtId="49" fontId="117" fillId="15" borderId="234" xfId="0" applyNumberFormat="1" applyFont="1" applyFill="1" applyBorder="1" applyAlignment="1" applyProtection="1">
      <alignment horizontal="center" vertical="center"/>
    </xf>
    <xf numFmtId="49" fontId="117" fillId="15" borderId="230" xfId="0" applyNumberFormat="1" applyFont="1" applyFill="1" applyBorder="1" applyAlignment="1" applyProtection="1">
      <alignment horizontal="center" vertical="center"/>
    </xf>
    <xf numFmtId="0" fontId="162" fillId="7" borderId="302" xfId="0" applyFont="1" applyFill="1" applyBorder="1" applyAlignment="1">
      <alignment horizontal="center"/>
    </xf>
    <xf numFmtId="0" fontId="162" fillId="7" borderId="303" xfId="0" applyFont="1" applyFill="1" applyBorder="1" applyAlignment="1">
      <alignment horizontal="center"/>
    </xf>
    <xf numFmtId="49" fontId="115" fillId="7" borderId="302" xfId="0" applyNumberFormat="1" applyFont="1" applyFill="1" applyBorder="1" applyAlignment="1">
      <alignment horizontal="center" vertical="center"/>
    </xf>
    <xf numFmtId="49" fontId="115" fillId="7" borderId="303" xfId="0" applyNumberFormat="1" applyFont="1" applyFill="1" applyBorder="1" applyAlignment="1">
      <alignment horizontal="center" vertical="center"/>
    </xf>
    <xf numFmtId="3" fontId="106" fillId="5" borderId="64" xfId="0" applyNumberFormat="1" applyFont="1" applyFill="1" applyBorder="1" applyAlignment="1" applyProtection="1">
      <alignment horizontal="center"/>
    </xf>
    <xf numFmtId="0" fontId="124" fillId="7" borderId="304" xfId="0" applyFont="1" applyFill="1" applyBorder="1" applyAlignment="1" applyProtection="1">
      <alignment horizontal="center" vertical="center"/>
    </xf>
    <xf numFmtId="0" fontId="110" fillId="7" borderId="305" xfId="0" applyFont="1" applyFill="1" applyBorder="1" applyAlignment="1" applyProtection="1">
      <alignment horizontal="center" vertical="center"/>
    </xf>
    <xf numFmtId="0" fontId="110" fillId="7" borderId="306" xfId="0" applyFont="1" applyFill="1" applyBorder="1" applyAlignment="1" applyProtection="1">
      <alignment horizontal="center" vertical="center"/>
    </xf>
    <xf numFmtId="49" fontId="122" fillId="7" borderId="302" xfId="0" applyNumberFormat="1" applyFont="1" applyFill="1" applyBorder="1" applyAlignment="1">
      <alignment horizontal="center" vertical="center"/>
    </xf>
    <xf numFmtId="49" fontId="122" fillId="7" borderId="307" xfId="0" applyNumberFormat="1" applyFont="1" applyFill="1" applyBorder="1" applyAlignment="1">
      <alignment horizontal="center" vertical="center"/>
    </xf>
    <xf numFmtId="49" fontId="122" fillId="7" borderId="303" xfId="0" applyNumberFormat="1" applyFont="1" applyFill="1" applyBorder="1" applyAlignment="1">
      <alignment horizontal="center" vertical="center"/>
    </xf>
    <xf numFmtId="49" fontId="163" fillId="9" borderId="144" xfId="0" applyNumberFormat="1" applyFont="1" applyFill="1" applyBorder="1" applyAlignment="1" applyProtection="1">
      <alignment horizontal="right" vertical="center"/>
    </xf>
    <xf numFmtId="49" fontId="163" fillId="9" borderId="308" xfId="0" applyNumberFormat="1" applyFont="1" applyFill="1" applyBorder="1" applyAlignment="1" applyProtection="1">
      <alignment horizontal="right" vertical="center"/>
    </xf>
    <xf numFmtId="49" fontId="163" fillId="9" borderId="144" xfId="0" applyNumberFormat="1" applyFont="1" applyFill="1" applyBorder="1" applyAlignment="1" applyProtection="1">
      <alignment horizontal="left" vertical="center"/>
    </xf>
    <xf numFmtId="49" fontId="163" fillId="9" borderId="308" xfId="0" applyNumberFormat="1" applyFont="1" applyFill="1" applyBorder="1" applyAlignment="1" applyProtection="1">
      <alignment horizontal="left" vertical="center"/>
    </xf>
    <xf numFmtId="3" fontId="124" fillId="9" borderId="144" xfId="0" applyNumberFormat="1" applyFont="1" applyFill="1" applyBorder="1" applyAlignment="1" applyProtection="1">
      <alignment horizontal="right" vertical="center" shrinkToFit="1"/>
    </xf>
    <xf numFmtId="3" fontId="124" fillId="9" borderId="308" xfId="0" applyNumberFormat="1" applyFont="1" applyFill="1" applyBorder="1" applyAlignment="1" applyProtection="1">
      <alignment horizontal="right" vertical="center" shrinkToFit="1"/>
    </xf>
    <xf numFmtId="10" fontId="124" fillId="9" borderId="144" xfId="0" applyNumberFormat="1" applyFont="1" applyFill="1" applyBorder="1" applyAlignment="1" applyProtection="1">
      <alignment horizontal="left" vertical="center" shrinkToFit="1"/>
    </xf>
    <xf numFmtId="10" fontId="124" fillId="9" borderId="308" xfId="0" applyNumberFormat="1" applyFont="1" applyFill="1" applyBorder="1" applyAlignment="1" applyProtection="1">
      <alignment horizontal="left" vertical="center" shrinkToFit="1"/>
    </xf>
    <xf numFmtId="49" fontId="80" fillId="4" borderId="111" xfId="0" applyNumberFormat="1" applyFont="1" applyFill="1" applyBorder="1" applyAlignment="1">
      <alignment horizontal="center"/>
    </xf>
    <xf numFmtId="49" fontId="80" fillId="4" borderId="309" xfId="0" applyNumberFormat="1" applyFont="1" applyFill="1" applyBorder="1" applyAlignment="1">
      <alignment horizontal="center"/>
    </xf>
    <xf numFmtId="49" fontId="80" fillId="4" borderId="310" xfId="0" applyNumberFormat="1" applyFont="1" applyFill="1" applyBorder="1" applyAlignment="1">
      <alignment horizontal="center"/>
    </xf>
    <xf numFmtId="49" fontId="80" fillId="4" borderId="290" xfId="0" applyNumberFormat="1" applyFont="1" applyFill="1" applyBorder="1" applyAlignment="1">
      <alignment horizontal="center"/>
    </xf>
    <xf numFmtId="49" fontId="80" fillId="4" borderId="146" xfId="0" applyNumberFormat="1" applyFont="1" applyFill="1" applyBorder="1" applyAlignment="1">
      <alignment horizontal="center"/>
    </xf>
    <xf numFmtId="49" fontId="80" fillId="4" borderId="225" xfId="0" applyNumberFormat="1" applyFont="1" applyFill="1" applyBorder="1" applyAlignment="1">
      <alignment horizontal="center"/>
    </xf>
    <xf numFmtId="49" fontId="80" fillId="4" borderId="311" xfId="0" applyNumberFormat="1" applyFont="1" applyFill="1" applyBorder="1" applyAlignment="1">
      <alignment horizontal="center"/>
    </xf>
    <xf numFmtId="49" fontId="80" fillId="4" borderId="312" xfId="0" applyNumberFormat="1" applyFont="1" applyFill="1" applyBorder="1" applyAlignment="1">
      <alignment horizontal="center"/>
    </xf>
    <xf numFmtId="49" fontId="89" fillId="11" borderId="313" xfId="0" applyNumberFormat="1" applyFont="1" applyFill="1" applyBorder="1" applyAlignment="1">
      <alignment horizontal="center"/>
    </xf>
    <xf numFmtId="49" fontId="89" fillId="11" borderId="63" xfId="0" applyNumberFormat="1" applyFont="1" applyFill="1" applyBorder="1" applyAlignment="1">
      <alignment horizontal="center"/>
    </xf>
    <xf numFmtId="0" fontId="122" fillId="7" borderId="314" xfId="0" applyFont="1" applyFill="1" applyBorder="1" applyAlignment="1" applyProtection="1">
      <alignment horizontal="center" vertical="center"/>
    </xf>
    <xf numFmtId="0" fontId="122" fillId="7" borderId="177" xfId="0" applyFont="1" applyFill="1" applyBorder="1" applyAlignment="1" applyProtection="1">
      <alignment horizontal="center" vertical="center"/>
    </xf>
    <xf numFmtId="0" fontId="122" fillId="16" borderId="315" xfId="0" applyFont="1" applyFill="1" applyBorder="1" applyAlignment="1" applyProtection="1">
      <alignment horizontal="center" vertical="center"/>
    </xf>
    <xf numFmtId="0" fontId="122" fillId="16" borderId="316" xfId="0" applyFont="1" applyFill="1" applyBorder="1" applyAlignment="1" applyProtection="1">
      <alignment horizontal="center" vertical="center"/>
    </xf>
    <xf numFmtId="0" fontId="115" fillId="7" borderId="317" xfId="0" applyFont="1" applyFill="1" applyBorder="1" applyAlignment="1" applyProtection="1">
      <alignment horizontal="right" vertical="center"/>
    </xf>
    <xf numFmtId="0" fontId="115" fillId="7" borderId="318" xfId="0" applyFont="1" applyFill="1" applyBorder="1" applyAlignment="1" applyProtection="1">
      <alignment horizontal="right" vertical="center"/>
    </xf>
    <xf numFmtId="0" fontId="115" fillId="7" borderId="319" xfId="0" applyFont="1" applyFill="1" applyBorder="1" applyAlignment="1" applyProtection="1">
      <alignment horizontal="right" vertical="center"/>
    </xf>
    <xf numFmtId="0" fontId="115" fillId="7" borderId="320" xfId="0" applyFont="1" applyFill="1" applyBorder="1" applyAlignment="1" applyProtection="1">
      <alignment horizontal="right" vertical="center"/>
    </xf>
    <xf numFmtId="0" fontId="91" fillId="3" borderId="39" xfId="0" applyFont="1" applyFill="1" applyBorder="1" applyAlignment="1">
      <alignment horizontal="right"/>
    </xf>
    <xf numFmtId="0" fontId="91" fillId="3" borderId="37" xfId="0" applyFont="1" applyFill="1" applyBorder="1" applyAlignment="1">
      <alignment horizontal="right"/>
    </xf>
    <xf numFmtId="0" fontId="86" fillId="3" borderId="25" xfId="0" applyFont="1" applyFill="1" applyBorder="1" applyAlignment="1">
      <alignment horizontal="center"/>
    </xf>
    <xf numFmtId="0" fontId="86" fillId="3" borderId="0" xfId="0" applyFont="1" applyFill="1" applyBorder="1" applyAlignment="1">
      <alignment horizontal="center"/>
    </xf>
    <xf numFmtId="49" fontId="91" fillId="3" borderId="39" xfId="0" applyNumberFormat="1" applyFont="1" applyFill="1" applyBorder="1" applyAlignment="1" applyProtection="1">
      <alignment horizontal="center" shrinkToFit="1"/>
    </xf>
    <xf numFmtId="49" fontId="91" fillId="3" borderId="37" xfId="0" applyNumberFormat="1" applyFont="1" applyFill="1" applyBorder="1" applyAlignment="1" applyProtection="1">
      <alignment horizontal="center" shrinkToFit="1"/>
    </xf>
    <xf numFmtId="0" fontId="86" fillId="3" borderId="37" xfId="0" applyFont="1" applyFill="1" applyBorder="1" applyAlignment="1" applyProtection="1">
      <alignment horizontal="right"/>
    </xf>
    <xf numFmtId="49" fontId="127" fillId="15" borderId="232" xfId="0" applyNumberFormat="1" applyFont="1" applyFill="1" applyBorder="1" applyAlignment="1" applyProtection="1">
      <alignment horizontal="right" vertical="center"/>
    </xf>
    <xf numFmtId="0" fontId="91" fillId="3" borderId="39" xfId="0" applyFont="1" applyFill="1" applyBorder="1" applyAlignment="1">
      <alignment horizontal="center"/>
    </xf>
    <xf numFmtId="0" fontId="91" fillId="3" borderId="37" xfId="0" applyFont="1" applyFill="1" applyBorder="1" applyAlignment="1">
      <alignment horizontal="center"/>
    </xf>
    <xf numFmtId="170" fontId="82" fillId="0" borderId="5" xfId="0" applyNumberFormat="1" applyFont="1" applyFill="1" applyBorder="1" applyAlignment="1" applyProtection="1">
      <alignment horizontal="center" shrinkToFit="1"/>
      <protection locked="0"/>
    </xf>
    <xf numFmtId="170" fontId="82" fillId="0" borderId="6" xfId="0" applyNumberFormat="1" applyFont="1" applyFill="1" applyBorder="1" applyAlignment="1" applyProtection="1">
      <alignment horizontal="center" shrinkToFit="1"/>
      <protection locked="0"/>
    </xf>
    <xf numFmtId="170" fontId="82" fillId="0" borderId="12" xfId="0" applyNumberFormat="1" applyFont="1" applyFill="1" applyBorder="1" applyAlignment="1" applyProtection="1">
      <alignment horizontal="center" shrinkToFit="1"/>
      <protection locked="0"/>
    </xf>
    <xf numFmtId="0" fontId="122" fillId="7" borderId="219" xfId="0" applyFont="1" applyFill="1" applyBorder="1" applyAlignment="1" applyProtection="1">
      <alignment horizontal="center" vertical="center"/>
      <protection locked="0"/>
    </xf>
    <xf numFmtId="0" fontId="122" fillId="7" borderId="295" xfId="0" applyFont="1" applyFill="1" applyBorder="1" applyAlignment="1" applyProtection="1">
      <alignment horizontal="center" vertical="center"/>
      <protection locked="0"/>
    </xf>
    <xf numFmtId="0" fontId="108" fillId="6" borderId="0" xfId="0" applyFont="1" applyFill="1" applyBorder="1" applyAlignment="1" applyProtection="1">
      <protection locked="0"/>
    </xf>
    <xf numFmtId="49" fontId="115" fillId="7" borderId="219" xfId="0" applyNumberFormat="1" applyFont="1" applyFill="1" applyBorder="1" applyAlignment="1" applyProtection="1">
      <alignment horizontal="center" vertical="center"/>
      <protection locked="0"/>
    </xf>
    <xf numFmtId="49" fontId="115" fillId="7" borderId="64" xfId="0" applyNumberFormat="1" applyFont="1" applyFill="1" applyBorder="1" applyAlignment="1" applyProtection="1">
      <alignment horizontal="center" vertical="center"/>
      <protection locked="0"/>
    </xf>
    <xf numFmtId="49" fontId="115" fillId="7" borderId="301" xfId="0" applyNumberFormat="1" applyFont="1" applyFill="1" applyBorder="1" applyAlignment="1" applyProtection="1">
      <alignment horizontal="center" vertical="center"/>
      <protection locked="0"/>
    </xf>
    <xf numFmtId="49" fontId="89" fillId="4" borderId="143" xfId="0" applyNumberFormat="1" applyFont="1" applyFill="1" applyBorder="1" applyAlignment="1" applyProtection="1">
      <alignment horizontal="right" vertical="center"/>
      <protection locked="0"/>
    </xf>
    <xf numFmtId="49" fontId="89" fillId="4" borderId="152" xfId="0" applyNumberFormat="1" applyFont="1" applyFill="1" applyBorder="1" applyAlignment="1" applyProtection="1">
      <alignment horizontal="center" vertical="center"/>
      <protection locked="0"/>
    </xf>
    <xf numFmtId="49" fontId="80" fillId="4" borderId="151" xfId="0" applyNumberFormat="1" applyFont="1" applyFill="1" applyBorder="1" applyAlignment="1" applyProtection="1">
      <alignment horizontal="center" vertical="center" shrinkToFit="1"/>
      <protection locked="0"/>
    </xf>
    <xf numFmtId="49" fontId="80" fillId="4" borderId="140" xfId="0" applyNumberFormat="1" applyFont="1" applyFill="1" applyBorder="1" applyAlignment="1" applyProtection="1">
      <alignment horizontal="center" vertical="center" shrinkToFit="1"/>
      <protection locked="0"/>
    </xf>
    <xf numFmtId="49" fontId="80" fillId="4" borderId="141" xfId="0" applyNumberFormat="1" applyFont="1" applyFill="1" applyBorder="1" applyAlignment="1" applyProtection="1">
      <alignment horizontal="center" vertical="center" shrinkToFit="1"/>
      <protection locked="0"/>
    </xf>
    <xf numFmtId="0" fontId="89" fillId="4" borderId="142" xfId="0" applyFont="1" applyFill="1" applyBorder="1" applyAlignment="1" applyProtection="1">
      <alignment horizontal="right" vertical="center"/>
      <protection locked="0"/>
    </xf>
    <xf numFmtId="164" fontId="89" fillId="4" borderId="153" xfId="0" applyNumberFormat="1" applyFont="1" applyFill="1" applyBorder="1" applyAlignment="1" applyProtection="1">
      <alignment shrinkToFit="1"/>
      <protection locked="0"/>
    </xf>
    <xf numFmtId="3" fontId="80" fillId="4" borderId="158" xfId="0" applyNumberFormat="1" applyFont="1" applyFill="1" applyBorder="1" applyAlignment="1" applyProtection="1">
      <alignment horizontal="right" shrinkToFit="1"/>
      <protection locked="0"/>
    </xf>
    <xf numFmtId="3" fontId="80" fillId="4" borderId="159" xfId="0" applyNumberFormat="1" applyFont="1" applyFill="1" applyBorder="1" applyAlignment="1" applyProtection="1">
      <alignment horizontal="right" shrinkToFit="1"/>
      <protection locked="0"/>
    </xf>
    <xf numFmtId="3" fontId="80" fillId="4" borderId="160" xfId="0" applyNumberFormat="1" applyFont="1" applyFill="1" applyBorder="1" applyAlignment="1" applyProtection="1">
      <alignment horizontal="right" shrinkToFit="1"/>
      <protection locked="0"/>
    </xf>
    <xf numFmtId="0" fontId="154" fillId="6" borderId="0" xfId="0" applyFont="1" applyFill="1" applyBorder="1" applyAlignment="1" applyProtection="1">
      <protection locked="0"/>
    </xf>
    <xf numFmtId="49" fontId="121" fillId="4" borderId="84" xfId="0" applyNumberFormat="1" applyFont="1" applyFill="1" applyBorder="1" applyAlignment="1" applyProtection="1">
      <alignment horizontal="center" vertical="center"/>
      <protection locked="0"/>
    </xf>
    <xf numFmtId="49" fontId="89" fillId="4" borderId="80" xfId="0" applyNumberFormat="1" applyFont="1" applyFill="1" applyBorder="1" applyAlignment="1" applyProtection="1">
      <alignment horizontal="center" vertical="center"/>
      <protection locked="0"/>
    </xf>
    <xf numFmtId="164" fontId="89" fillId="4" borderId="154" xfId="0" applyNumberFormat="1" applyFont="1" applyFill="1" applyBorder="1" applyAlignment="1" applyProtection="1">
      <alignment shrinkToFit="1"/>
      <protection locked="0"/>
    </xf>
    <xf numFmtId="164" fontId="89" fillId="4" borderId="156" xfId="0" applyNumberFormat="1" applyFont="1" applyFill="1" applyBorder="1" applyAlignment="1" applyProtection="1">
      <alignment shrinkToFit="1"/>
      <protection locked="0"/>
    </xf>
    <xf numFmtId="164" fontId="121" fillId="6" borderId="0" xfId="0" applyNumberFormat="1" applyFont="1" applyFill="1" applyBorder="1" applyAlignment="1" applyProtection="1">
      <protection locked="0"/>
    </xf>
    <xf numFmtId="164" fontId="89" fillId="4" borderId="92" xfId="0" applyNumberFormat="1" applyFont="1" applyFill="1" applyBorder="1" applyAlignment="1" applyProtection="1">
      <alignment shrinkToFit="1"/>
      <protection locked="0"/>
    </xf>
    <xf numFmtId="0" fontId="80" fillId="6" borderId="0" xfId="0" applyFont="1" applyFill="1" applyBorder="1" applyAlignment="1" applyProtection="1">
      <alignment horizontal="center" vertical="center"/>
      <protection locked="0"/>
    </xf>
    <xf numFmtId="0" fontId="106" fillId="6" borderId="0" xfId="0" applyFont="1" applyFill="1" applyBorder="1" applyAlignment="1" applyProtection="1">
      <alignment shrinkToFit="1"/>
      <protection locked="0"/>
    </xf>
    <xf numFmtId="3" fontId="107" fillId="6" borderId="0" xfId="0" applyNumberFormat="1" applyFont="1" applyFill="1" applyBorder="1" applyAlignment="1" applyProtection="1">
      <alignment horizontal="right" shrinkToFit="1"/>
      <protection locked="0"/>
    </xf>
    <xf numFmtId="0" fontId="121" fillId="4" borderId="110" xfId="0" applyFont="1" applyFill="1" applyBorder="1" applyAlignment="1" applyProtection="1">
      <alignment horizontal="center" vertical="center"/>
      <protection locked="0"/>
    </xf>
    <xf numFmtId="3" fontId="80" fillId="4" borderId="104" xfId="0" applyNumberFormat="1" applyFont="1" applyFill="1" applyBorder="1" applyAlignment="1" applyProtection="1">
      <alignment horizontal="right" shrinkToFit="1"/>
      <protection locked="0"/>
    </xf>
    <xf numFmtId="3" fontId="80" fillId="4" borderId="105" xfId="0" applyNumberFormat="1" applyFont="1" applyFill="1" applyBorder="1" applyAlignment="1" applyProtection="1">
      <alignment horizontal="right" shrinkToFit="1"/>
      <protection locked="0"/>
    </xf>
    <xf numFmtId="3" fontId="80" fillId="4" borderId="106" xfId="0" applyNumberFormat="1" applyFont="1" applyFill="1" applyBorder="1" applyAlignment="1" applyProtection="1">
      <alignment horizontal="right" shrinkToFit="1"/>
      <protection locked="0"/>
    </xf>
  </cellXfs>
  <cellStyles count="4">
    <cellStyle name="Hipervínculo" xfId="1" builtinId="8"/>
    <cellStyle name="Moneda" xfId="2" builtinId="4"/>
    <cellStyle name="Normal" xfId="0" builtinId="0"/>
    <cellStyle name="Normal 2" xfId="3"/>
  </cellStyles>
  <dxfs count="50">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8" formatCode="#,##0.00\ _€;[Red]\-#,##0.00\ 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 formatCode="0"/>
      <alignment horizontal="center" vertical="bottom" textRotation="0" wrapText="0" relativeIndent="0" justifyLastLine="0" shrinkToFit="0" readingOrder="0"/>
    </dxf>
    <dxf>
      <alignment horizontal="center" vertical="bottom" textRotation="0" wrapText="0" relativeIndent="0" justifyLastLine="0" shrinkToFit="0" readingOrder="0"/>
    </dxf>
    <dxf>
      <font>
        <b/>
        <i val="0"/>
        <strike val="0"/>
        <condense val="0"/>
        <extend val="0"/>
        <outline val="0"/>
        <shadow val="0"/>
        <u val="none"/>
        <vertAlign val="baseline"/>
        <sz val="8"/>
        <color auto="1"/>
        <name val="Arial"/>
        <scheme val="none"/>
      </font>
      <numFmt numFmtId="8" formatCode="#,##0.00\ _€;[Red]\-#,##0.00\ 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alignment horizontal="center" vertical="bottom" textRotation="0" wrapText="0" relativeIndent="0" justifyLastLine="0" shrinkToFit="0" readingOrder="0"/>
    </dxf>
    <dxf>
      <font>
        <b val="0"/>
        <i val="0"/>
        <strike val="0"/>
        <condense val="0"/>
        <extend val="0"/>
        <outline val="0"/>
        <shadow val="0"/>
        <u val="none"/>
        <vertAlign val="baseline"/>
        <sz val="8"/>
        <color auto="1"/>
        <name val="Arial"/>
        <scheme val="none"/>
      </font>
      <numFmt numFmtId="1" formatCode="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8"/>
        <color auto="1"/>
        <name val="Arial"/>
        <scheme val="none"/>
      </font>
      <numFmt numFmtId="8" formatCode="#,##0.00\ _€;[Red]\-#,##0.00\ 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8" formatCode="#,##0.00\ _€;[Red]\-#,##0.00\ 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5"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alignment horizontal="center" vertical="bottom" textRotation="0" wrapText="0" relativeIndent="0" justifyLastLine="0" shrinkToFit="0" readingOrder="0"/>
    </dxf>
    <dxf>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2"/>
        <color auto="1"/>
        <name val="Arial"/>
        <scheme val="none"/>
      </font>
    </dxf>
    <dxf>
      <font>
        <b val="0"/>
        <i val="0"/>
        <strike val="0"/>
        <condense val="0"/>
        <extend val="0"/>
        <outline val="0"/>
        <shadow val="0"/>
        <u val="none"/>
        <vertAlign val="baseline"/>
        <sz val="12"/>
        <color auto="1"/>
        <name val="Arial"/>
        <scheme val="none"/>
      </font>
    </dxf>
    <dxf>
      <font>
        <b/>
        <i val="0"/>
        <strike val="0"/>
        <condense val="0"/>
        <extend val="0"/>
        <outline val="0"/>
        <shadow val="0"/>
        <u val="none"/>
        <vertAlign val="baseline"/>
        <sz val="12"/>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font>
        <condense val="0"/>
        <extend val="0"/>
        <color indexed="13"/>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Tahoma"/>
                <a:ea typeface="Tahoma"/>
                <a:cs typeface="Tahoma"/>
              </a:defRPr>
            </a:pPr>
            <a:r>
              <a:t>Total </a:t>
            </a:r>
          </a:p>
        </c:rich>
      </c:tx>
      <c:overlay val="0"/>
      <c:spPr>
        <a:solidFill>
          <a:srgbClr val="C0C0C0"/>
        </a:solidFill>
        <a:ln w="3175">
          <a:solidFill>
            <a:srgbClr val="C0C0C0"/>
          </a:solidFill>
          <a:prstDash val="solid"/>
        </a:ln>
      </c:spPr>
    </c:title>
    <c:autoTitleDeleted val="0"/>
    <c:plotArea>
      <c:layout/>
      <c:barChart>
        <c:barDir val="col"/>
        <c:grouping val="clustered"/>
        <c:varyColors val="0"/>
        <c:ser>
          <c:idx val="2"/>
          <c:order val="0"/>
          <c:tx>
            <c:v>bai</c:v>
          </c:tx>
          <c:spPr>
            <a:gradFill rotWithShape="0">
              <a:gsLst>
                <a:gs pos="0">
                  <a:srgbClr val="FFCC99">
                    <a:gamma/>
                    <a:shade val="46275"/>
                    <a:invGamma/>
                  </a:srgbClr>
                </a:gs>
                <a:gs pos="50000">
                  <a:srgbClr val="FFCC99"/>
                </a:gs>
                <a:gs pos="100000">
                  <a:srgbClr val="FFCC99">
                    <a:gamma/>
                    <a:shade val="46275"/>
                    <a:invGamma/>
                  </a:srgbClr>
                </a:gs>
              </a:gsLst>
              <a:lin ang="0" scaled="1"/>
            </a:gradFill>
            <a:ln w="12700">
              <a:solidFill>
                <a:srgbClr val="808080"/>
              </a:solidFill>
              <a:prstDash val="solid"/>
            </a:ln>
          </c:spPr>
          <c:invertIfNegative val="0"/>
          <c:dLbls>
            <c:spPr>
              <a:noFill/>
              <a:ln w="25400">
                <a:noFill/>
              </a:ln>
            </c:spPr>
            <c:txPr>
              <a:bodyPr/>
              <a:lstStyle/>
              <a:p>
                <a:pPr>
                  <a:defRPr sz="800" b="0" i="0" u="none" strike="noStrike" baseline="0">
                    <a:solidFill>
                      <a:srgbClr val="333333"/>
                    </a:solidFill>
                    <a:latin typeface="Arial"/>
                    <a:ea typeface="Arial"/>
                    <a:cs typeface="Arial"/>
                  </a:defRPr>
                </a:pPr>
                <a:endParaRPr lang="es-ES"/>
              </a:p>
            </c:txPr>
            <c:dLblPos val="inBase"/>
            <c:showLegendKey val="0"/>
            <c:showVal val="0"/>
            <c:showCatName val="0"/>
            <c:showSerName val="1"/>
            <c:showPercent val="0"/>
            <c:showBubbleSize val="0"/>
            <c:showLeaderLines val="0"/>
          </c:dLbls>
          <c:cat>
            <c:multiLvlStrRef>
              <c:f>CResult!$Q$517:$S$517</c:f>
            </c:multiLvlStrRef>
          </c:cat>
          <c:val>
            <c:numRef>
              <c:f>CResult!$P$521</c:f>
            </c:numRef>
          </c:val>
        </c:ser>
        <c:ser>
          <c:idx val="0"/>
          <c:order val="1"/>
          <c:tx>
            <c:v>ga</c:v>
          </c:tx>
          <c:spPr>
            <a:gradFill rotWithShape="0">
              <a:gsLst>
                <a:gs pos="0">
                  <a:srgbClr val="CC99FF">
                    <a:gamma/>
                    <a:shade val="46275"/>
                    <a:invGamma/>
                  </a:srgbClr>
                </a:gs>
                <a:gs pos="50000">
                  <a:srgbClr val="CC99FF"/>
                </a:gs>
                <a:gs pos="100000">
                  <a:srgbClr val="CC99FF">
                    <a:gamma/>
                    <a:shade val="46275"/>
                    <a:invGamma/>
                  </a:srgbClr>
                </a:gs>
              </a:gsLst>
              <a:lin ang="0" scaled="1"/>
            </a:gradFill>
            <a:ln w="12700">
              <a:solidFill>
                <a:srgbClr val="808080"/>
              </a:solidFill>
              <a:prstDash val="solid"/>
            </a:ln>
          </c:spPr>
          <c:invertIfNegative val="0"/>
          <c:dLbls>
            <c:spPr>
              <a:noFill/>
              <a:ln w="25400">
                <a:noFill/>
              </a:ln>
            </c:spPr>
            <c:txPr>
              <a:bodyPr/>
              <a:lstStyle/>
              <a:p>
                <a:pPr>
                  <a:defRPr sz="800" b="0" i="0" u="none" strike="noStrike" baseline="0">
                    <a:solidFill>
                      <a:srgbClr val="333333"/>
                    </a:solidFill>
                    <a:latin typeface="Arial"/>
                    <a:ea typeface="Arial"/>
                    <a:cs typeface="Arial"/>
                  </a:defRPr>
                </a:pPr>
                <a:endParaRPr lang="es-ES"/>
              </a:p>
            </c:txPr>
            <c:dLblPos val="inBase"/>
            <c:showLegendKey val="0"/>
            <c:showVal val="0"/>
            <c:showCatName val="0"/>
            <c:showSerName val="1"/>
            <c:showPercent val="0"/>
            <c:showBubbleSize val="0"/>
            <c:showLeaderLines val="0"/>
          </c:dLbls>
          <c:cat>
            <c:multiLvlStrRef>
              <c:f>CResult!$Q$517:$S$517</c:f>
            </c:multiLvlStrRef>
          </c:cat>
          <c:val>
            <c:numRef>
              <c:f>CResult!$P$520</c:f>
            </c:numRef>
          </c:val>
        </c:ser>
        <c:ser>
          <c:idx val="1"/>
          <c:order val="2"/>
          <c:tx>
            <c:v>in</c:v>
          </c:tx>
          <c:spPr>
            <a:gradFill rotWithShape="0">
              <a:gsLst>
                <a:gs pos="0">
                  <a:srgbClr val="00FF00">
                    <a:gamma/>
                    <a:shade val="46275"/>
                    <a:invGamma/>
                  </a:srgbClr>
                </a:gs>
                <a:gs pos="50000">
                  <a:srgbClr val="00FF00"/>
                </a:gs>
                <a:gs pos="100000">
                  <a:srgbClr val="00FF00">
                    <a:gamma/>
                    <a:shade val="46275"/>
                    <a:invGamma/>
                  </a:srgbClr>
                </a:gs>
              </a:gsLst>
              <a:lin ang="0" scaled="1"/>
            </a:gradFill>
            <a:ln w="12700">
              <a:solidFill>
                <a:srgbClr val="808080"/>
              </a:solidFill>
              <a:prstDash val="solid"/>
            </a:ln>
          </c:spPr>
          <c:invertIfNegative val="0"/>
          <c:dLbls>
            <c:spPr>
              <a:noFill/>
              <a:ln w="25400">
                <a:noFill/>
              </a:ln>
            </c:spPr>
            <c:txPr>
              <a:bodyPr/>
              <a:lstStyle/>
              <a:p>
                <a:pPr>
                  <a:defRPr sz="800" b="0" i="0" u="none" strike="noStrike" baseline="0">
                    <a:solidFill>
                      <a:srgbClr val="333333"/>
                    </a:solidFill>
                    <a:latin typeface="Arial"/>
                    <a:ea typeface="Arial"/>
                    <a:cs typeface="Arial"/>
                  </a:defRPr>
                </a:pPr>
                <a:endParaRPr lang="es-ES"/>
              </a:p>
            </c:txPr>
            <c:dLblPos val="inBase"/>
            <c:showLegendKey val="0"/>
            <c:showVal val="0"/>
            <c:showCatName val="0"/>
            <c:showSerName val="1"/>
            <c:showPercent val="0"/>
            <c:showBubbleSize val="0"/>
            <c:showLeaderLines val="0"/>
          </c:dLbls>
          <c:cat>
            <c:multiLvlStrRef>
              <c:f>CResult!$Q$517:$S$517</c:f>
            </c:multiLvlStrRef>
          </c:cat>
          <c:val>
            <c:numRef>
              <c:f>INFORME!$E$89</c:f>
              <c:numCache>
                <c:formatCode>#,##0</c:formatCode>
                <c:ptCount val="1"/>
                <c:pt idx="0">
                  <c:v>0</c:v>
                </c:pt>
              </c:numCache>
            </c:numRef>
          </c:val>
        </c:ser>
        <c:dLbls>
          <c:showLegendKey val="0"/>
          <c:showVal val="0"/>
          <c:showCatName val="0"/>
          <c:showSerName val="1"/>
          <c:showPercent val="0"/>
          <c:showBubbleSize val="0"/>
        </c:dLbls>
        <c:gapWidth val="60"/>
        <c:overlap val="30"/>
        <c:axId val="190962304"/>
        <c:axId val="190968192"/>
      </c:barChart>
      <c:catAx>
        <c:axId val="190962304"/>
        <c:scaling>
          <c:orientation val="maxMin"/>
        </c:scaling>
        <c:delete val="1"/>
        <c:axPos val="b"/>
        <c:majorGridlines>
          <c:spPr>
            <a:ln w="3175">
              <a:solidFill>
                <a:srgbClr val="C0C0C0"/>
              </a:solidFill>
              <a:prstDash val="solid"/>
            </a:ln>
          </c:spPr>
        </c:majorGridlines>
        <c:majorTickMark val="out"/>
        <c:minorTickMark val="none"/>
        <c:tickLblPos val="none"/>
        <c:crossAx val="190968192"/>
        <c:crosses val="autoZero"/>
        <c:auto val="1"/>
        <c:lblAlgn val="ctr"/>
        <c:lblOffset val="100"/>
        <c:noMultiLvlLbl val="0"/>
      </c:catAx>
      <c:valAx>
        <c:axId val="190968192"/>
        <c:scaling>
          <c:orientation val="minMax"/>
        </c:scaling>
        <c:delete val="1"/>
        <c:axPos val="r"/>
        <c:numFmt formatCode="#,##0" sourceLinked="1"/>
        <c:majorTickMark val="out"/>
        <c:minorTickMark val="none"/>
        <c:tickLblPos val="none"/>
        <c:crossAx val="190962304"/>
        <c:crosses val="autoZero"/>
        <c:crossBetween val="between"/>
      </c:valAx>
      <c:spPr>
        <a:solidFill>
          <a:srgbClr val="FFFFFF"/>
        </a:solidFill>
        <a:ln w="3175">
          <a:solidFill>
            <a:srgbClr val="C0C0C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Gastos</a:t>
            </a:r>
          </a:p>
        </c:rich>
      </c:tx>
      <c:layout>
        <c:manualLayout>
          <c:xMode val="edge"/>
          <c:yMode val="edge"/>
          <c:x val="0.13293676551797645"/>
          <c:y val="1.5923566878980895E-2"/>
        </c:manualLayout>
      </c:layout>
      <c:overlay val="0"/>
      <c:spPr>
        <a:noFill/>
        <a:ln w="25400">
          <a:noFill/>
        </a:ln>
      </c:spPr>
    </c:title>
    <c:autoTitleDeleted val="0"/>
    <c:plotArea>
      <c:layout>
        <c:manualLayout>
          <c:layoutTarget val="inner"/>
          <c:xMode val="edge"/>
          <c:yMode val="edge"/>
          <c:x val="7.1428709830554452E-2"/>
          <c:y val="0.21019108280254786"/>
          <c:w val="0.89484300371055714"/>
          <c:h val="0.57324840764331275"/>
        </c:manualLayout>
      </c:layout>
      <c:barChart>
        <c:barDir val="col"/>
        <c:grouping val="stacked"/>
        <c:varyColors val="0"/>
        <c:ser>
          <c:idx val="0"/>
          <c:order val="0"/>
          <c:tx>
            <c:strRef>
              <c:f>INFORME!$D$651</c:f>
              <c:strCache>
                <c:ptCount val="1"/>
                <c:pt idx="0">
                  <c:v>Coste ventas</c:v>
                </c:pt>
              </c:strCache>
            </c:strRef>
          </c:tx>
          <c:spPr>
            <a:gradFill rotWithShape="0">
              <a:gsLst>
                <a:gs pos="0">
                  <a:srgbClr val="FF9900">
                    <a:gamma/>
                    <a:shade val="46275"/>
                    <a:invGamma/>
                  </a:srgbClr>
                </a:gs>
                <a:gs pos="50000">
                  <a:srgbClr val="FF9900"/>
                </a:gs>
                <a:gs pos="100000">
                  <a:srgbClr val="FF9900">
                    <a:gamma/>
                    <a:shade val="46275"/>
                    <a:invGamma/>
                  </a:srgbClr>
                </a:gs>
              </a:gsLst>
              <a:lin ang="0" scaled="1"/>
            </a:gradFill>
            <a:ln w="12700">
              <a:solidFill>
                <a:srgbClr val="333333"/>
              </a:solidFill>
              <a:prstDash val="solid"/>
            </a:ln>
          </c:spPr>
          <c:invertIfNegative val="0"/>
          <c:val>
            <c:numRef>
              <c:f>INFORME!$G$651:$R$651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1"/>
          <c:tx>
            <c:strRef>
              <c:f>INFORME!$D$652</c:f>
              <c:strCache>
                <c:ptCount val="1"/>
                <c:pt idx="0">
                  <c:v>Personal</c:v>
                </c:pt>
              </c:strCache>
            </c:strRef>
          </c:tx>
          <c:spPr>
            <a:gradFill rotWithShape="0">
              <a:gsLst>
                <a:gs pos="0">
                  <a:srgbClr val="FFCC00">
                    <a:gamma/>
                    <a:shade val="46275"/>
                    <a:invGamma/>
                  </a:srgbClr>
                </a:gs>
                <a:gs pos="50000">
                  <a:srgbClr val="FFCC00"/>
                </a:gs>
                <a:gs pos="100000">
                  <a:srgbClr val="FFCC00">
                    <a:gamma/>
                    <a:shade val="46275"/>
                    <a:invGamma/>
                  </a:srgbClr>
                </a:gs>
              </a:gsLst>
              <a:lin ang="0" scaled="1"/>
            </a:gradFill>
            <a:ln w="12700">
              <a:solidFill>
                <a:srgbClr val="333333"/>
              </a:solidFill>
              <a:prstDash val="solid"/>
            </a:ln>
          </c:spPr>
          <c:invertIfNegative val="0"/>
          <c:val>
            <c:numRef>
              <c:f>INFORME!$G$652:$R$652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2"/>
          <c:tx>
            <c:v>Financieros</c:v>
          </c:tx>
          <c:spPr>
            <a:gradFill rotWithShape="0">
              <a:gsLst>
                <a:gs pos="0">
                  <a:srgbClr val="FFCC99">
                    <a:gamma/>
                    <a:shade val="46275"/>
                    <a:invGamma/>
                  </a:srgbClr>
                </a:gs>
                <a:gs pos="50000">
                  <a:srgbClr val="FFCC99"/>
                </a:gs>
                <a:gs pos="100000">
                  <a:srgbClr val="FFCC99">
                    <a:gamma/>
                    <a:shade val="46275"/>
                    <a:invGamma/>
                  </a:srgbClr>
                </a:gs>
              </a:gsLst>
              <a:lin ang="0" scaled="1"/>
            </a:gradFill>
            <a:ln w="12700">
              <a:solidFill>
                <a:srgbClr val="333333"/>
              </a:solidFill>
              <a:prstDash val="solid"/>
            </a:ln>
          </c:spPr>
          <c:invertIfNegative val="0"/>
          <c:val>
            <c:numRef>
              <c:f>INFORME!$G$138:$R$138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3"/>
          <c:tx>
            <c:strRef>
              <c:f>INFORME!$D$653</c:f>
              <c:strCache>
                <c:ptCount val="1"/>
                <c:pt idx="0">
                  <c:v>Marketing</c:v>
                </c:pt>
              </c:strCache>
            </c:strRef>
          </c:tx>
          <c:spPr>
            <a:gradFill rotWithShape="0">
              <a:gsLst>
                <a:gs pos="0">
                  <a:srgbClr val="FFFF00">
                    <a:gamma/>
                    <a:shade val="46275"/>
                    <a:invGamma/>
                  </a:srgbClr>
                </a:gs>
                <a:gs pos="50000">
                  <a:srgbClr val="FFFF00"/>
                </a:gs>
                <a:gs pos="100000">
                  <a:srgbClr val="FFFF00">
                    <a:gamma/>
                    <a:shade val="46275"/>
                    <a:invGamma/>
                  </a:srgbClr>
                </a:gs>
              </a:gsLst>
              <a:lin ang="0" scaled="1"/>
            </a:gradFill>
            <a:ln w="12700">
              <a:solidFill>
                <a:srgbClr val="333333"/>
              </a:solidFill>
              <a:prstDash val="solid"/>
            </a:ln>
          </c:spPr>
          <c:invertIfNegative val="0"/>
          <c:val>
            <c:numRef>
              <c:f>INFORME!$G$653:$R$653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INFORME!$D$654</c:f>
              <c:strCache>
                <c:ptCount val="1"/>
                <c:pt idx="0">
                  <c:v>Generales</c:v>
                </c:pt>
              </c:strCache>
            </c:strRef>
          </c:tx>
          <c:spPr>
            <a:gradFill rotWithShape="0">
              <a:gsLst>
                <a:gs pos="0">
                  <a:srgbClr val="CC99FF">
                    <a:gamma/>
                    <a:shade val="46275"/>
                    <a:invGamma/>
                  </a:srgbClr>
                </a:gs>
                <a:gs pos="50000">
                  <a:srgbClr val="CC99FF"/>
                </a:gs>
                <a:gs pos="100000">
                  <a:srgbClr val="CC99FF">
                    <a:gamma/>
                    <a:shade val="46275"/>
                    <a:invGamma/>
                  </a:srgbClr>
                </a:gs>
              </a:gsLst>
              <a:lin ang="0" scaled="1"/>
            </a:gradFill>
            <a:ln w="12700">
              <a:solidFill>
                <a:srgbClr val="333333"/>
              </a:solidFill>
              <a:prstDash val="solid"/>
            </a:ln>
          </c:spPr>
          <c:invertIfNegative val="0"/>
          <c:val>
            <c:numRef>
              <c:f>INFORME!$G$654:$R$654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INFORME!$D$655</c:f>
              <c:strCache>
                <c:ptCount val="1"/>
                <c:pt idx="0">
                  <c:v>Amort. y otros</c:v>
                </c:pt>
              </c:strCache>
            </c:strRef>
          </c:tx>
          <c:spPr>
            <a:gradFill rotWithShape="0">
              <a:gsLst>
                <a:gs pos="0">
                  <a:srgbClr val="FF8080">
                    <a:gamma/>
                    <a:shade val="46275"/>
                    <a:invGamma/>
                  </a:srgbClr>
                </a:gs>
                <a:gs pos="50000">
                  <a:srgbClr val="FF8080"/>
                </a:gs>
                <a:gs pos="100000">
                  <a:srgbClr val="FF8080">
                    <a:gamma/>
                    <a:shade val="46275"/>
                    <a:invGamma/>
                  </a:srgbClr>
                </a:gs>
              </a:gsLst>
              <a:lin ang="0" scaled="1"/>
            </a:gradFill>
            <a:ln w="12700">
              <a:solidFill>
                <a:srgbClr val="333333"/>
              </a:solidFill>
              <a:prstDash val="solid"/>
            </a:ln>
          </c:spPr>
          <c:invertIfNegative val="0"/>
          <c:val>
            <c:numRef>
              <c:f>INFORME!$G$655:$R$655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INFORME!$D$656</c:f>
              <c:strCache>
                <c:ptCount val="1"/>
                <c:pt idx="0">
                  <c:v>Financieros</c:v>
                </c:pt>
              </c:strCache>
            </c:strRef>
          </c:tx>
          <c:spPr>
            <a:gradFill rotWithShape="0">
              <a:gsLst>
                <a:gs pos="0">
                  <a:srgbClr val="0066CC">
                    <a:gamma/>
                    <a:shade val="46275"/>
                    <a:invGamma/>
                  </a:srgbClr>
                </a:gs>
                <a:gs pos="50000">
                  <a:srgbClr val="0066CC"/>
                </a:gs>
                <a:gs pos="100000">
                  <a:srgbClr val="0066CC">
                    <a:gamma/>
                    <a:shade val="46275"/>
                    <a:invGamma/>
                  </a:srgbClr>
                </a:gs>
              </a:gsLst>
              <a:lin ang="0" scaled="1"/>
            </a:gradFill>
            <a:ln w="12700">
              <a:solidFill>
                <a:srgbClr val="333333"/>
              </a:solidFill>
              <a:prstDash val="solid"/>
            </a:ln>
          </c:spPr>
          <c:invertIfNegative val="0"/>
          <c:val>
            <c:numRef>
              <c:f>INFORME!$G$656:$R$656</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192328832"/>
        <c:axId val="192330368"/>
      </c:barChart>
      <c:catAx>
        <c:axId val="192328832"/>
        <c:scaling>
          <c:orientation val="minMax"/>
        </c:scaling>
        <c:delete val="0"/>
        <c:axPos val="b"/>
        <c:numFmt formatCode="General" sourceLinked="1"/>
        <c:majorTickMark val="out"/>
        <c:minorTickMark val="none"/>
        <c:tickLblPos val="low"/>
        <c:spPr>
          <a:ln w="3175">
            <a:solidFill>
              <a:srgbClr val="FF000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330368"/>
        <c:crosses val="autoZero"/>
        <c:auto val="0"/>
        <c:lblAlgn val="ctr"/>
        <c:lblOffset val="100"/>
        <c:tickLblSkip val="1"/>
        <c:tickMarkSkip val="1"/>
        <c:noMultiLvlLbl val="0"/>
      </c:catAx>
      <c:valAx>
        <c:axId val="192330368"/>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328832"/>
        <c:crosses val="autoZero"/>
        <c:crossBetween val="between"/>
      </c:valAx>
      <c:spPr>
        <a:noFill/>
        <a:ln w="3175">
          <a:solidFill>
            <a:srgbClr val="C0C0C0"/>
          </a:solidFill>
          <a:prstDash val="solid"/>
        </a:ln>
      </c:spPr>
    </c:plotArea>
    <c:legend>
      <c:legendPos val="b"/>
      <c:layout>
        <c:manualLayout>
          <c:xMode val="edge"/>
          <c:yMode val="edge"/>
          <c:x val="0.33928637169513393"/>
          <c:y val="2.2292993630573268E-2"/>
          <c:w val="0.62698534184597798"/>
          <c:h val="0.15605095541401273"/>
        </c:manualLayout>
      </c:layout>
      <c:overlay val="0"/>
      <c:spPr>
        <a:noFill/>
        <a:ln w="25400">
          <a:noFill/>
        </a:ln>
      </c:spPr>
      <c:txPr>
        <a:bodyPr/>
        <a:lstStyle/>
        <a:p>
          <a:pPr>
            <a:defRPr sz="920" b="0" i="0" u="none" strike="noStrike" baseline="0">
              <a:solidFill>
                <a:srgbClr val="808080"/>
              </a:solidFill>
              <a:latin typeface="Tahoma"/>
              <a:ea typeface="Tahoma"/>
              <a:cs typeface="Tahoma"/>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Ingresos </a:t>
            </a:r>
          </a:p>
        </c:rich>
      </c:tx>
      <c:layout>
        <c:manualLayout>
          <c:xMode val="edge"/>
          <c:yMode val="edge"/>
          <c:x val="0.16988416988416991"/>
          <c:y val="2.3026352774132602E-2"/>
        </c:manualLayout>
      </c:layout>
      <c:overlay val="0"/>
      <c:spPr>
        <a:noFill/>
        <a:ln w="25400">
          <a:noFill/>
        </a:ln>
      </c:spPr>
    </c:title>
    <c:autoTitleDeleted val="0"/>
    <c:plotArea>
      <c:layout>
        <c:manualLayout>
          <c:layoutTarget val="inner"/>
          <c:xMode val="edge"/>
          <c:yMode val="edge"/>
          <c:x val="6.9498069498069498E-2"/>
          <c:y val="0.16118446941892831"/>
          <c:w val="0.89382239382239359"/>
          <c:h val="0.61513256696611418"/>
        </c:manualLayout>
      </c:layout>
      <c:barChart>
        <c:barDir val="col"/>
        <c:grouping val="stacked"/>
        <c:varyColors val="0"/>
        <c:ser>
          <c:idx val="0"/>
          <c:order val="0"/>
          <c:tx>
            <c:v>Otros</c:v>
          </c:tx>
          <c:spPr>
            <a:gradFill rotWithShape="0">
              <a:gsLst>
                <a:gs pos="0">
                  <a:srgbClr val="99CC00">
                    <a:gamma/>
                    <a:shade val="46275"/>
                    <a:invGamma/>
                  </a:srgbClr>
                </a:gs>
                <a:gs pos="50000">
                  <a:srgbClr val="99CC00"/>
                </a:gs>
                <a:gs pos="100000">
                  <a:srgbClr val="99CC00">
                    <a:gamma/>
                    <a:shade val="46275"/>
                    <a:invGamma/>
                  </a:srgbClr>
                </a:gs>
              </a:gsLst>
              <a:lin ang="0" scaled="1"/>
            </a:gradFill>
            <a:ln w="3175">
              <a:solidFill>
                <a:srgbClr val="808080"/>
              </a:solidFill>
              <a:prstDash val="solid"/>
            </a:ln>
          </c:spPr>
          <c:invertIfNegative val="0"/>
          <c:val>
            <c:numRef>
              <c:f>INFORME!$G$87:$R$87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Ventas</c:v>
          </c:tx>
          <c:spPr>
            <a:gradFill rotWithShape="0">
              <a:gsLst>
                <a:gs pos="0">
                  <a:srgbClr val="00FF00">
                    <a:gamma/>
                    <a:shade val="46275"/>
                    <a:invGamma/>
                  </a:srgbClr>
                </a:gs>
                <a:gs pos="50000">
                  <a:srgbClr val="00FF00"/>
                </a:gs>
                <a:gs pos="100000">
                  <a:srgbClr val="00FF00">
                    <a:gamma/>
                    <a:shade val="46275"/>
                    <a:invGamma/>
                  </a:srgbClr>
                </a:gs>
              </a:gsLst>
              <a:lin ang="0" scaled="1"/>
            </a:gradFill>
            <a:ln w="3175">
              <a:solidFill>
                <a:srgbClr val="808080"/>
              </a:solidFill>
              <a:prstDash val="solid"/>
            </a:ln>
          </c:spPr>
          <c:invertIfNegative val="0"/>
          <c:val>
            <c:numRef>
              <c:f>INFORME!$G$83:$R$83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192557824"/>
        <c:axId val="192559360"/>
      </c:barChart>
      <c:catAx>
        <c:axId val="192557824"/>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FF000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559360"/>
        <c:crosses val="autoZero"/>
        <c:auto val="0"/>
        <c:lblAlgn val="ctr"/>
        <c:lblOffset val="100"/>
        <c:tickLblSkip val="1"/>
        <c:tickMarkSkip val="1"/>
        <c:noMultiLvlLbl val="0"/>
      </c:catAx>
      <c:valAx>
        <c:axId val="192559360"/>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557824"/>
        <c:crosses val="autoZero"/>
        <c:crossBetween val="between"/>
      </c:valAx>
      <c:spPr>
        <a:noFill/>
        <a:ln w="3175">
          <a:solidFill>
            <a:srgbClr val="C0C0C0"/>
          </a:solidFill>
          <a:prstDash val="solid"/>
        </a:ln>
      </c:spPr>
    </c:plotArea>
    <c:legend>
      <c:legendPos val="b"/>
      <c:layout>
        <c:manualLayout>
          <c:xMode val="edge"/>
          <c:yMode val="edge"/>
          <c:x val="0.72972972972972971"/>
          <c:y val="6.2500100386931393E-2"/>
          <c:w val="0.20656370656370659"/>
          <c:h val="7.2368537290131138E-2"/>
        </c:manualLayout>
      </c:layout>
      <c:overlay val="0"/>
      <c:spPr>
        <a:noFill/>
        <a:ln w="25400">
          <a:noFill/>
        </a:ln>
      </c:spPr>
      <c:txPr>
        <a:bodyPr/>
        <a:lstStyle/>
        <a:p>
          <a:pPr>
            <a:defRPr sz="920" b="0" i="0" u="none" strike="noStrike" baseline="0">
              <a:solidFill>
                <a:srgbClr val="808080"/>
              </a:solidFill>
              <a:latin typeface="Tahoma"/>
              <a:ea typeface="Tahoma"/>
              <a:cs typeface="Tahoma"/>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rPr lang="es-ES" sz="1400" b="1" i="0" u="none" strike="noStrike" baseline="0">
                <a:solidFill>
                  <a:srgbClr val="808080"/>
                </a:solidFill>
                <a:latin typeface="Tahoma"/>
                <a:ea typeface="Tahoma"/>
                <a:cs typeface="Tahoma"/>
              </a:rPr>
              <a:t>Resultado Neto</a:t>
            </a:r>
            <a:r>
              <a:rPr lang="es-ES" sz="1200" b="1" i="0" u="none" strike="noStrike" baseline="0">
                <a:solidFill>
                  <a:srgbClr val="808080"/>
                </a:solidFill>
                <a:latin typeface="Tahoma"/>
                <a:ea typeface="Tahoma"/>
                <a:cs typeface="Tahoma"/>
              </a:rPr>
              <a:t> (acumulado)</a:t>
            </a:r>
          </a:p>
        </c:rich>
      </c:tx>
      <c:layout>
        <c:manualLayout>
          <c:xMode val="edge"/>
          <c:yMode val="edge"/>
          <c:x val="3.6679536679536696E-2"/>
          <c:y val="1.6339921427955945E-2"/>
        </c:manualLayout>
      </c:layout>
      <c:overlay val="0"/>
      <c:spPr>
        <a:noFill/>
        <a:ln w="25400">
          <a:noFill/>
        </a:ln>
      </c:spPr>
    </c:title>
    <c:autoTitleDeleted val="0"/>
    <c:plotArea>
      <c:layout>
        <c:manualLayout>
          <c:layoutTarget val="inner"/>
          <c:xMode val="edge"/>
          <c:yMode val="edge"/>
          <c:x val="2.8957528957528948E-2"/>
          <c:y val="0.11437944999569161"/>
          <c:w val="0.93436293436293405"/>
          <c:h val="0.66340080997501161"/>
        </c:manualLayout>
      </c:layout>
      <c:barChart>
        <c:barDir val="col"/>
        <c:grouping val="clustered"/>
        <c:varyColors val="0"/>
        <c:ser>
          <c:idx val="0"/>
          <c:order val="0"/>
          <c:tx>
            <c:v>Otros</c:v>
          </c:tx>
          <c:spPr>
            <a:gradFill rotWithShape="0">
              <a:gsLst>
                <a:gs pos="0">
                  <a:srgbClr val="FFFF00">
                    <a:gamma/>
                    <a:shade val="46275"/>
                    <a:invGamma/>
                  </a:srgbClr>
                </a:gs>
                <a:gs pos="50000">
                  <a:srgbClr val="FFFF00"/>
                </a:gs>
                <a:gs pos="100000">
                  <a:srgbClr val="FFFF00">
                    <a:gamma/>
                    <a:shade val="46275"/>
                    <a:invGamma/>
                  </a:srgbClr>
                </a:gs>
              </a:gsLst>
              <a:lin ang="0" scaled="1"/>
            </a:gradFill>
            <a:ln w="3175">
              <a:solidFill>
                <a:srgbClr val="808080"/>
              </a:solidFill>
              <a:prstDash val="solid"/>
            </a:ln>
          </c:spPr>
          <c:invertIfNegative val="0"/>
          <c:dLbls>
            <c:dLbl>
              <c:idx val="11"/>
              <c:showLegendKey val="0"/>
              <c:showVal val="1"/>
              <c:showCatName val="0"/>
              <c:showSerName val="0"/>
              <c:showPercent val="0"/>
              <c:showBubbleSize val="0"/>
            </c:dLbl>
            <c:spPr>
              <a:noFill/>
              <a:ln w="25400">
                <a:noFill/>
              </a:ln>
            </c:spPr>
            <c:txPr>
              <a:bodyPr/>
              <a:lstStyle/>
              <a:p>
                <a:pPr algn="l">
                  <a:defRPr sz="1000" b="0" i="0" u="none" strike="noStrike" baseline="0">
                    <a:solidFill>
                      <a:srgbClr val="333333"/>
                    </a:solidFill>
                    <a:latin typeface="Tahoma"/>
                    <a:ea typeface="Tahoma"/>
                    <a:cs typeface="Tahoma"/>
                  </a:defRPr>
                </a:pPr>
                <a:endParaRPr lang="es-ES"/>
              </a:p>
            </c:txPr>
            <c:dLblPos val="outEnd"/>
            <c:showLegendKey val="0"/>
            <c:showVal val="1"/>
            <c:showCatName val="0"/>
            <c:showSerName val="0"/>
            <c:showPercent val="0"/>
            <c:showBubbleSize val="0"/>
            <c:showLeaderLines val="0"/>
          </c:dLbls>
          <c:val>
            <c:numRef>
              <c:f>INFORME!$G$148:$R$148</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axId val="192598784"/>
        <c:axId val="192600320"/>
      </c:barChart>
      <c:catAx>
        <c:axId val="192598784"/>
        <c:scaling>
          <c:orientation val="minMax"/>
        </c:scaling>
        <c:delete val="0"/>
        <c:axPos val="b"/>
        <c:numFmt formatCode="General" sourceLinked="1"/>
        <c:majorTickMark val="out"/>
        <c:minorTickMark val="none"/>
        <c:tickLblPos val="nextTo"/>
        <c:spPr>
          <a:ln w="3175">
            <a:solidFill>
              <a:srgbClr val="FF000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600320"/>
        <c:crosses val="autoZero"/>
        <c:auto val="0"/>
        <c:lblAlgn val="ctr"/>
        <c:lblOffset val="100"/>
        <c:tickLblSkip val="1"/>
        <c:tickMarkSkip val="1"/>
        <c:noMultiLvlLbl val="0"/>
      </c:catAx>
      <c:valAx>
        <c:axId val="192600320"/>
        <c:scaling>
          <c:orientation val="minMax"/>
        </c:scaling>
        <c:delete val="1"/>
        <c:axPos val="l"/>
        <c:numFmt formatCode="#,##0_ ;[Red]\-#,##0\ " sourceLinked="1"/>
        <c:majorTickMark val="out"/>
        <c:minorTickMark val="none"/>
        <c:tickLblPos val="none"/>
        <c:crossAx val="192598784"/>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Rendimientos acumulados</a:t>
            </a:r>
          </a:p>
        </c:rich>
      </c:tx>
      <c:layout>
        <c:manualLayout>
          <c:xMode val="edge"/>
          <c:yMode val="edge"/>
          <c:x val="0.12319798185486838"/>
          <c:y val="1.5337423312883444E-2"/>
        </c:manualLayout>
      </c:layout>
      <c:overlay val="0"/>
      <c:spPr>
        <a:noFill/>
        <a:ln w="25400">
          <a:noFill/>
        </a:ln>
      </c:spPr>
    </c:title>
    <c:autoTitleDeleted val="0"/>
    <c:plotArea>
      <c:layout>
        <c:manualLayout>
          <c:layoutTarget val="inner"/>
          <c:xMode val="edge"/>
          <c:yMode val="edge"/>
          <c:x val="3.5386654362568569E-2"/>
          <c:y val="0.15030674846625774"/>
          <c:w val="0.93971226585043188"/>
          <c:h val="0.75460122699386567"/>
        </c:manualLayout>
      </c:layout>
      <c:barChart>
        <c:barDir val="col"/>
        <c:grouping val="clustered"/>
        <c:varyColors val="0"/>
        <c:ser>
          <c:idx val="0"/>
          <c:order val="0"/>
          <c:tx>
            <c:v>Ingresos</c:v>
          </c:tx>
          <c:spPr>
            <a:gradFill rotWithShape="0">
              <a:gsLst>
                <a:gs pos="0">
                  <a:srgbClr val="00FF00">
                    <a:gamma/>
                    <a:shade val="46275"/>
                    <a:invGamma/>
                  </a:srgbClr>
                </a:gs>
                <a:gs pos="50000">
                  <a:srgbClr val="00FF00"/>
                </a:gs>
                <a:gs pos="100000">
                  <a:srgbClr val="00FF00">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INFORME!$G$648:$R$648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Gastos</c:v>
          </c:tx>
          <c:spPr>
            <a:gradFill rotWithShape="0">
              <a:gsLst>
                <a:gs pos="0">
                  <a:srgbClr val="CC99FF">
                    <a:gamma/>
                    <a:shade val="46275"/>
                    <a:invGamma/>
                  </a:srgbClr>
                </a:gs>
                <a:gs pos="50000">
                  <a:srgbClr val="CC99FF"/>
                </a:gs>
                <a:gs pos="100000">
                  <a:srgbClr val="CC99FF">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INFORME!$G$650:$R$650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2"/>
          <c:tx>
            <c:v>Resultado Neto</c:v>
          </c:tx>
          <c:spPr>
            <a:gradFill rotWithShape="0">
              <a:gsLst>
                <a:gs pos="0">
                  <a:srgbClr val="FFFF00">
                    <a:gamma/>
                    <a:shade val="46275"/>
                    <a:invGamma/>
                  </a:srgbClr>
                </a:gs>
                <a:gs pos="50000">
                  <a:srgbClr val="FFFF00"/>
                </a:gs>
                <a:gs pos="100000">
                  <a:srgbClr val="FFFF00">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INFORME!$G$148:$R$148</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30"/>
        <c:axId val="192715776"/>
        <c:axId val="192729856"/>
      </c:barChart>
      <c:catAx>
        <c:axId val="19271577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808080"/>
                </a:solidFill>
                <a:latin typeface="Tahoma"/>
                <a:ea typeface="Tahoma"/>
                <a:cs typeface="Tahoma"/>
              </a:defRPr>
            </a:pPr>
            <a:endParaRPr lang="es-ES"/>
          </a:p>
        </c:txPr>
        <c:crossAx val="192729856"/>
        <c:crosses val="autoZero"/>
        <c:auto val="0"/>
        <c:lblAlgn val="ctr"/>
        <c:lblOffset val="100"/>
        <c:tickLblSkip val="1"/>
        <c:tickMarkSkip val="1"/>
        <c:noMultiLvlLbl val="0"/>
      </c:catAx>
      <c:valAx>
        <c:axId val="192729856"/>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715776"/>
        <c:crosses val="autoZero"/>
        <c:crossBetween val="between"/>
      </c:valAx>
      <c:spPr>
        <a:noFill/>
        <a:ln w="3175">
          <a:solidFill>
            <a:srgbClr val="C0C0C0"/>
          </a:solidFill>
          <a:prstDash val="solid"/>
        </a:ln>
      </c:spPr>
    </c:plotArea>
    <c:legend>
      <c:legendPos val="r"/>
      <c:layout>
        <c:manualLayout>
          <c:xMode val="edge"/>
          <c:yMode val="edge"/>
          <c:x val="0.64875532998042429"/>
          <c:y val="4.6012269938650339E-2"/>
          <c:w val="0.34600284265622611"/>
          <c:h val="7.3619631901840552E-2"/>
        </c:manualLayout>
      </c:layout>
      <c:overlay val="0"/>
      <c:spPr>
        <a:noFill/>
        <a:ln w="25400">
          <a:noFill/>
        </a:ln>
      </c:spPr>
      <c:txPr>
        <a:bodyPr/>
        <a:lstStyle/>
        <a:p>
          <a:pPr>
            <a:defRPr sz="1010" b="0" i="0" u="none" strike="noStrike" baseline="0">
              <a:solidFill>
                <a:srgbClr val="808080"/>
              </a:solidFill>
              <a:latin typeface="Tahoma"/>
              <a:ea typeface="Tahoma"/>
              <a:cs typeface="Tahoma"/>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Resultados</a:t>
            </a:r>
          </a:p>
        </c:rich>
      </c:tx>
      <c:layout>
        <c:manualLayout>
          <c:xMode val="edge"/>
          <c:yMode val="edge"/>
          <c:x val="0.16405317262254307"/>
          <c:y val="2.6627218934911257E-2"/>
        </c:manualLayout>
      </c:layout>
      <c:overlay val="0"/>
      <c:spPr>
        <a:noFill/>
        <a:ln w="25400">
          <a:noFill/>
        </a:ln>
      </c:spPr>
    </c:title>
    <c:autoTitleDeleted val="0"/>
    <c:plotArea>
      <c:layout>
        <c:manualLayout>
          <c:layoutTarget val="inner"/>
          <c:xMode val="edge"/>
          <c:yMode val="edge"/>
          <c:x val="3.2569379858887235E-2"/>
          <c:y val="0.15384615384615397"/>
          <c:w val="0.94330574257962263"/>
          <c:h val="0.73076923076923073"/>
        </c:manualLayout>
      </c:layout>
      <c:barChart>
        <c:barDir val="col"/>
        <c:grouping val="clustered"/>
        <c:varyColors val="0"/>
        <c:ser>
          <c:idx val="0"/>
          <c:order val="0"/>
          <c:tx>
            <c:v>Explotación</c:v>
          </c:tx>
          <c:spPr>
            <a:gradFill rotWithShape="0">
              <a:gsLst>
                <a:gs pos="0">
                  <a:srgbClr val="FFCC00">
                    <a:gamma/>
                    <a:shade val="46275"/>
                    <a:invGamma/>
                  </a:srgbClr>
                </a:gs>
                <a:gs pos="50000">
                  <a:srgbClr val="FFCC00"/>
                </a:gs>
                <a:gs pos="100000">
                  <a:srgbClr val="FFCC00">
                    <a:gamma/>
                    <a:shade val="46275"/>
                    <a:invGamma/>
                  </a:srgbClr>
                </a:gs>
              </a:gsLst>
              <a:lin ang="0" scaled="1"/>
            </a:gradFill>
            <a:ln w="3175">
              <a:solidFill>
                <a:srgbClr val="808080"/>
              </a:solidFill>
              <a:prstDash val="solid"/>
            </a:ln>
          </c:spPr>
          <c:invertIfNegative val="0"/>
          <c:trendline>
            <c:spPr>
              <a:ln w="25400">
                <a:solidFill>
                  <a:srgbClr val="FF9900"/>
                </a:solidFill>
                <a:prstDash val="solid"/>
              </a:ln>
            </c:spPr>
            <c:trendlineType val="linear"/>
            <c:forward val="0.5"/>
            <c:backward val="0.5"/>
            <c:intercept val="0"/>
            <c:dispRSqr val="0"/>
            <c:dispEq val="0"/>
          </c:trendline>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INFORME!$G$135:$R$135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BAI</c:v>
          </c:tx>
          <c:spPr>
            <a:gradFill rotWithShape="0">
              <a:gsLst>
                <a:gs pos="0">
                  <a:srgbClr val="FFCC99">
                    <a:gamma/>
                    <a:shade val="46275"/>
                    <a:invGamma/>
                  </a:srgbClr>
                </a:gs>
                <a:gs pos="50000">
                  <a:srgbClr val="FFCC99"/>
                </a:gs>
                <a:gs pos="100000">
                  <a:srgbClr val="FFCC99">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INFORME!$G$144:$R$144</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v>Neto</c:v>
          </c:tx>
          <c:spPr>
            <a:gradFill rotWithShape="0">
              <a:gsLst>
                <a:gs pos="0">
                  <a:srgbClr val="FFFF00">
                    <a:gamma/>
                    <a:shade val="46275"/>
                    <a:invGamma/>
                  </a:srgbClr>
                </a:gs>
                <a:gs pos="50000">
                  <a:srgbClr val="FFFF00"/>
                </a:gs>
                <a:gs pos="100000">
                  <a:srgbClr val="FFFF00">
                    <a:gamma/>
                    <a:shade val="46275"/>
                    <a:invGamma/>
                  </a:srgbClr>
                </a:gs>
              </a:gsLst>
              <a:lin ang="0" scaled="1"/>
            </a:gradFill>
            <a:ln w="3175">
              <a:solidFill>
                <a:srgbClr val="808080"/>
              </a:solidFill>
              <a:prstDash val="solid"/>
            </a:ln>
          </c:spPr>
          <c:invertIfNegative val="0"/>
          <c:val>
            <c:numRef>
              <c:f>INFORME!$G$147:$R$147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0"/>
        <c:overlap val="30"/>
        <c:axId val="192770816"/>
        <c:axId val="192772352"/>
      </c:barChart>
      <c:catAx>
        <c:axId val="192770816"/>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FF0000"/>
            </a:solidFill>
            <a:prstDash val="solid"/>
          </a:ln>
        </c:spPr>
        <c:txPr>
          <a:bodyPr rot="0" vert="horz"/>
          <a:lstStyle/>
          <a:p>
            <a:pPr>
              <a:defRPr sz="900" b="0" i="0" u="none" strike="noStrike" baseline="0">
                <a:solidFill>
                  <a:srgbClr val="808080"/>
                </a:solidFill>
                <a:latin typeface="Tahoma"/>
                <a:ea typeface="Tahoma"/>
                <a:cs typeface="Tahoma"/>
              </a:defRPr>
            </a:pPr>
            <a:endParaRPr lang="es-ES"/>
          </a:p>
        </c:txPr>
        <c:crossAx val="192772352"/>
        <c:crosses val="autoZero"/>
        <c:auto val="0"/>
        <c:lblAlgn val="ctr"/>
        <c:lblOffset val="100"/>
        <c:tickLblSkip val="1"/>
        <c:tickMarkSkip val="1"/>
        <c:noMultiLvlLbl val="0"/>
      </c:catAx>
      <c:valAx>
        <c:axId val="192772352"/>
        <c:scaling>
          <c:orientation val="minMax"/>
        </c:scaling>
        <c:delete val="0"/>
        <c:axPos val="l"/>
        <c:majorGridlines>
          <c:spPr>
            <a:ln w="3175">
              <a:solidFill>
                <a:srgbClr val="C0C0C0"/>
              </a:solidFill>
              <a:prstDash val="solid"/>
            </a:ln>
          </c:spPr>
        </c:majorGridlines>
        <c:numFmt formatCode="#,##0"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770816"/>
        <c:crosses val="autoZero"/>
        <c:crossBetween val="between"/>
      </c:valAx>
      <c:spPr>
        <a:noFill/>
        <a:ln w="3175">
          <a:solidFill>
            <a:srgbClr val="C0C0C0"/>
          </a:solidFill>
          <a:prstDash val="solid"/>
        </a:ln>
      </c:spPr>
    </c:plotArea>
    <c:legend>
      <c:legendPos val="r"/>
      <c:layout>
        <c:manualLayout>
          <c:xMode val="edge"/>
          <c:yMode val="edge"/>
          <c:x val="0.45355877136820755"/>
          <c:y val="5.9171597633136119E-2"/>
          <c:w val="0.47044659796170452"/>
          <c:h val="7.1005917159763357E-2"/>
        </c:manualLayout>
      </c:layout>
      <c:overlay val="0"/>
      <c:spPr>
        <a:noFill/>
        <a:ln w="25400">
          <a:noFill/>
        </a:ln>
      </c:spPr>
      <c:txPr>
        <a:bodyPr/>
        <a:lstStyle/>
        <a:p>
          <a:pPr>
            <a:defRPr sz="1010" b="0" i="0" u="none" strike="noStrike" baseline="0">
              <a:solidFill>
                <a:srgbClr val="808080"/>
              </a:solidFill>
              <a:latin typeface="Tahoma"/>
              <a:ea typeface="Tahoma"/>
              <a:cs typeface="Tahoma"/>
            </a:defRPr>
          </a:pPr>
          <a:endParaRPr lang="es-E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Tesorería Mensual</a:t>
            </a:r>
          </a:p>
        </c:rich>
      </c:tx>
      <c:layout>
        <c:manualLayout>
          <c:xMode val="edge"/>
          <c:yMode val="edge"/>
          <c:x val="0.12452845485511853"/>
          <c:y val="1.5822809259433829E-2"/>
        </c:manualLayout>
      </c:layout>
      <c:overlay val="0"/>
      <c:spPr>
        <a:noFill/>
        <a:ln w="25400">
          <a:noFill/>
        </a:ln>
      </c:spPr>
    </c:title>
    <c:autoTitleDeleted val="0"/>
    <c:plotArea>
      <c:layout>
        <c:manualLayout>
          <c:layoutTarget val="inner"/>
          <c:xMode val="edge"/>
          <c:yMode val="edge"/>
          <c:x val="4.0251621771351415E-2"/>
          <c:y val="0.15822809259433829"/>
          <c:w val="0.93585020618392101"/>
          <c:h val="0.75316572074904931"/>
        </c:manualLayout>
      </c:layout>
      <c:barChart>
        <c:barDir val="col"/>
        <c:grouping val="clustered"/>
        <c:varyColors val="0"/>
        <c:ser>
          <c:idx val="0"/>
          <c:order val="0"/>
          <c:tx>
            <c:v>Cobros</c:v>
          </c:tx>
          <c:spPr>
            <a:gradFill rotWithShape="0">
              <a:gsLst>
                <a:gs pos="0">
                  <a:srgbClr val="CCFFFF">
                    <a:gamma/>
                    <a:shade val="46275"/>
                    <a:invGamma/>
                  </a:srgbClr>
                </a:gs>
                <a:gs pos="50000">
                  <a:srgbClr val="CCFFFF"/>
                </a:gs>
                <a:gs pos="100000">
                  <a:srgbClr val="CCFFFF">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INFORME!$G$238:$R$238</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v>Pagos</c:v>
          </c:tx>
          <c:spPr>
            <a:gradFill rotWithShape="0">
              <a:gsLst>
                <a:gs pos="0">
                  <a:srgbClr val="C0C0C0">
                    <a:gamma/>
                    <a:shade val="46275"/>
                    <a:invGamma/>
                  </a:srgbClr>
                </a:gs>
                <a:gs pos="50000">
                  <a:srgbClr val="C0C0C0"/>
                </a:gs>
                <a:gs pos="100000">
                  <a:srgbClr val="C0C0C0">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INFORME!$G$252:$R$252</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2"/>
          <c:tx>
            <c:v>Saldo Neto</c:v>
          </c:tx>
          <c:spPr>
            <a:gradFill rotWithShape="0">
              <a:gsLst>
                <a:gs pos="0">
                  <a:srgbClr val="FFCC99">
                    <a:gamma/>
                    <a:shade val="46275"/>
                    <a:invGamma/>
                  </a:srgbClr>
                </a:gs>
                <a:gs pos="50000">
                  <a:srgbClr val="FFCC99"/>
                </a:gs>
                <a:gs pos="100000">
                  <a:srgbClr val="FFCC99">
                    <a:gamma/>
                    <a:shade val="46275"/>
                    <a:invGamma/>
                  </a:srgbClr>
                </a:gs>
              </a:gsLst>
              <a:lin ang="0" scaled="1"/>
            </a:gradFill>
            <a:ln w="3175">
              <a:solidFill>
                <a:srgbClr val="808080"/>
              </a:solidFill>
              <a:prstDash val="solid"/>
            </a:ln>
          </c:spPr>
          <c:invertIfNegative val="0"/>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INFORME!$G$283:$R$283</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0"/>
        <c:overlap val="30"/>
        <c:axId val="192828928"/>
        <c:axId val="192830464"/>
      </c:barChart>
      <c:catAx>
        <c:axId val="192828928"/>
        <c:scaling>
          <c:orientation val="minMax"/>
        </c:scaling>
        <c:delete val="0"/>
        <c:axPos val="b"/>
        <c:majorGridlines>
          <c:spPr>
            <a:ln w="3175">
              <a:solidFill>
                <a:srgbClr val="C0C0C0"/>
              </a:solidFill>
              <a:prstDash val="solid"/>
            </a:ln>
          </c:spPr>
        </c:majorGridlines>
        <c:numFmt formatCode="General" sourceLinked="1"/>
        <c:majorTickMark val="out"/>
        <c:minorTickMark val="none"/>
        <c:tickLblPos val="low"/>
        <c:spPr>
          <a:ln w="3175">
            <a:solidFill>
              <a:srgbClr val="FF0000"/>
            </a:solidFill>
            <a:prstDash val="solid"/>
          </a:ln>
        </c:spPr>
        <c:txPr>
          <a:bodyPr rot="0" vert="horz"/>
          <a:lstStyle/>
          <a:p>
            <a:pPr>
              <a:defRPr sz="800" b="0" i="0" u="none" strike="noStrike" baseline="0">
                <a:solidFill>
                  <a:srgbClr val="808080"/>
                </a:solidFill>
                <a:latin typeface="Tahoma"/>
                <a:ea typeface="Tahoma"/>
                <a:cs typeface="Tahoma"/>
              </a:defRPr>
            </a:pPr>
            <a:endParaRPr lang="es-ES"/>
          </a:p>
        </c:txPr>
        <c:crossAx val="192830464"/>
        <c:crosses val="autoZero"/>
        <c:auto val="0"/>
        <c:lblAlgn val="ctr"/>
        <c:lblOffset val="100"/>
        <c:tickLblSkip val="1"/>
        <c:tickMarkSkip val="1"/>
        <c:noMultiLvlLbl val="0"/>
      </c:catAx>
      <c:valAx>
        <c:axId val="192830464"/>
        <c:scaling>
          <c:orientation val="minMax"/>
        </c:scaling>
        <c:delete val="0"/>
        <c:axPos val="l"/>
        <c:majorGridlines>
          <c:spPr>
            <a:ln w="3175">
              <a:solidFill>
                <a:srgbClr val="C0C0C0"/>
              </a:solidFill>
              <a:prstDash val="solid"/>
            </a:ln>
          </c:spPr>
        </c:majorGridlines>
        <c:numFmt formatCode="#,##0_ ;[Red]\-#,##0\ "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2828928"/>
        <c:crosses val="autoZero"/>
        <c:crossBetween val="between"/>
      </c:valAx>
      <c:spPr>
        <a:noFill/>
        <a:ln w="3175">
          <a:solidFill>
            <a:srgbClr val="C0C0C0"/>
          </a:solidFill>
          <a:prstDash val="solid"/>
        </a:ln>
      </c:spPr>
    </c:plotArea>
    <c:legend>
      <c:legendPos val="r"/>
      <c:layout>
        <c:manualLayout>
          <c:xMode val="edge"/>
          <c:yMode val="edge"/>
          <c:x val="0.67295680148978221"/>
          <c:y val="5.063298963018821E-2"/>
          <c:w val="0.27295631013697685"/>
          <c:h val="7.5949484445282309E-2"/>
        </c:manualLayout>
      </c:layout>
      <c:overlay val="0"/>
      <c:spPr>
        <a:noFill/>
        <a:ln w="25400">
          <a:noFill/>
        </a:ln>
      </c:spPr>
      <c:txPr>
        <a:bodyPr/>
        <a:lstStyle/>
        <a:p>
          <a:pPr>
            <a:defRPr sz="1010" b="0" i="0" u="none" strike="noStrike" baseline="0">
              <a:solidFill>
                <a:srgbClr val="808080"/>
              </a:solidFill>
              <a:latin typeface="Tahoma"/>
              <a:ea typeface="Tahoma"/>
              <a:cs typeface="Tahoma"/>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808080"/>
                </a:solidFill>
                <a:latin typeface="Tahoma"/>
                <a:ea typeface="Tahoma"/>
                <a:cs typeface="Tahoma"/>
              </a:defRPr>
            </a:pPr>
            <a:r>
              <a:t>Saldo Tesorería </a:t>
            </a:r>
          </a:p>
        </c:rich>
      </c:tx>
      <c:layout>
        <c:manualLayout>
          <c:xMode val="edge"/>
          <c:yMode val="edge"/>
          <c:x val="0.11237387593448639"/>
          <c:y val="2.00000651043786E-2"/>
        </c:manualLayout>
      </c:layout>
      <c:overlay val="0"/>
      <c:spPr>
        <a:noFill/>
        <a:ln w="25400">
          <a:noFill/>
        </a:ln>
      </c:spPr>
    </c:title>
    <c:autoTitleDeleted val="0"/>
    <c:plotArea>
      <c:layout>
        <c:manualLayout>
          <c:layoutTarget val="inner"/>
          <c:xMode val="edge"/>
          <c:yMode val="edge"/>
          <c:x val="4.0404090223635586E-2"/>
          <c:y val="0.16333386501909186"/>
          <c:w val="0.93560721424106119"/>
          <c:h val="0.72000234375762906"/>
        </c:manualLayout>
      </c:layout>
      <c:lineChart>
        <c:grouping val="standard"/>
        <c:varyColors val="0"/>
        <c:ser>
          <c:idx val="1"/>
          <c:order val="0"/>
          <c:tx>
            <c:v>Saldo con pólizas</c:v>
          </c:tx>
          <c:spPr>
            <a:ln w="38100">
              <a:solidFill>
                <a:srgbClr val="FF6600"/>
              </a:solidFill>
              <a:prstDash val="solid"/>
            </a:ln>
          </c:spPr>
          <c:marker>
            <c:symbol val="circle"/>
            <c:size val="7"/>
            <c:spPr>
              <a:solidFill>
                <a:srgbClr val="FFFFFF"/>
              </a:solidFill>
              <a:ln>
                <a:solidFill>
                  <a:srgbClr val="FF9900"/>
                </a:solidFill>
                <a:prstDash val="solid"/>
              </a:ln>
            </c:spPr>
          </c:marker>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INFORME!$G$287:$R$287</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0"/>
          <c:order val="1"/>
          <c:tx>
            <c:v>Saldo acumulado</c:v>
          </c:tx>
          <c:spPr>
            <a:ln w="38100">
              <a:solidFill>
                <a:srgbClr val="FF0000"/>
              </a:solidFill>
              <a:prstDash val="solid"/>
            </a:ln>
          </c:spPr>
          <c:marker>
            <c:symbol val="circle"/>
            <c:size val="7"/>
            <c:spPr>
              <a:solidFill>
                <a:srgbClr val="FFFFFF"/>
              </a:solidFill>
              <a:ln>
                <a:solidFill>
                  <a:srgbClr val="FF0000"/>
                </a:solidFill>
                <a:prstDash val="solid"/>
              </a:ln>
            </c:spPr>
          </c:marker>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INFORME!$G$285:$R$285</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ser>
        <c:ser>
          <c:idx val="3"/>
          <c:order val="2"/>
          <c:tx>
            <c:v>Saldo Neto</c:v>
          </c:tx>
          <c:spPr>
            <a:ln w="25400">
              <a:solidFill>
                <a:srgbClr val="FF9900"/>
              </a:solidFill>
              <a:prstDash val="solid"/>
            </a:ln>
          </c:spPr>
          <c:marker>
            <c:symbol val="none"/>
          </c:marker>
          <c:cat>
            <c:strRef>
              <c:f>INFORME!$G$81:$R$81</c:f>
              <c:strCache>
                <c:ptCount val="12"/>
                <c:pt idx="0">
                  <c:v>Enero</c:v>
                </c:pt>
                <c:pt idx="1">
                  <c:v>Febrero</c:v>
                </c:pt>
                <c:pt idx="2">
                  <c:v>Marzo</c:v>
                </c:pt>
                <c:pt idx="3">
                  <c:v>Abril</c:v>
                </c:pt>
                <c:pt idx="4">
                  <c:v>Mayo </c:v>
                </c:pt>
                <c:pt idx="5">
                  <c:v>Junio</c:v>
                </c:pt>
                <c:pt idx="6">
                  <c:v>Julio</c:v>
                </c:pt>
                <c:pt idx="7">
                  <c:v>Agosto</c:v>
                </c:pt>
                <c:pt idx="8">
                  <c:v>Septiembre</c:v>
                </c:pt>
                <c:pt idx="9">
                  <c:v>Octubre</c:v>
                </c:pt>
                <c:pt idx="10">
                  <c:v>Noviembre</c:v>
                </c:pt>
                <c:pt idx="11">
                  <c:v>Diciembre</c:v>
                </c:pt>
              </c:strCache>
            </c:strRef>
          </c:cat>
          <c:val>
            <c:numRef>
              <c:f>INFORME!$G$283:$R$283</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ser>
        <c:dLbls>
          <c:showLegendKey val="0"/>
          <c:showVal val="0"/>
          <c:showCatName val="0"/>
          <c:showSerName val="0"/>
          <c:showPercent val="0"/>
          <c:showBubbleSize val="0"/>
        </c:dLbls>
        <c:dropLines>
          <c:spPr>
            <a:ln w="3175">
              <a:solidFill>
                <a:srgbClr val="C0C0C0"/>
              </a:solidFill>
              <a:prstDash val="solid"/>
            </a:ln>
          </c:spPr>
        </c:dropLines>
        <c:marker val="1"/>
        <c:smooth val="0"/>
        <c:axId val="193096320"/>
        <c:axId val="193114496"/>
      </c:lineChart>
      <c:catAx>
        <c:axId val="193096320"/>
        <c:scaling>
          <c:orientation val="minMax"/>
        </c:scaling>
        <c:delete val="0"/>
        <c:axPos val="b"/>
        <c:numFmt formatCode="General" sourceLinked="1"/>
        <c:majorTickMark val="in"/>
        <c:minorTickMark val="in"/>
        <c:tickLblPos val="low"/>
        <c:spPr>
          <a:ln w="3175">
            <a:solidFill>
              <a:srgbClr val="FF9900"/>
            </a:solidFill>
            <a:prstDash val="solid"/>
          </a:ln>
        </c:spPr>
        <c:txPr>
          <a:bodyPr rot="0" vert="horz"/>
          <a:lstStyle/>
          <a:p>
            <a:pPr>
              <a:defRPr sz="1000" b="0" i="0" u="none" strike="noStrike" baseline="0">
                <a:solidFill>
                  <a:srgbClr val="808080"/>
                </a:solidFill>
                <a:latin typeface="Tahoma"/>
                <a:ea typeface="Tahoma"/>
                <a:cs typeface="Tahoma"/>
              </a:defRPr>
            </a:pPr>
            <a:endParaRPr lang="es-ES"/>
          </a:p>
        </c:txPr>
        <c:crossAx val="193114496"/>
        <c:crosses val="autoZero"/>
        <c:auto val="0"/>
        <c:lblAlgn val="ctr"/>
        <c:lblOffset val="100"/>
        <c:tickLblSkip val="1"/>
        <c:tickMarkSkip val="1"/>
        <c:noMultiLvlLbl val="0"/>
      </c:catAx>
      <c:valAx>
        <c:axId val="193114496"/>
        <c:scaling>
          <c:orientation val="minMax"/>
        </c:scaling>
        <c:delete val="0"/>
        <c:axPos val="l"/>
        <c:majorGridlines>
          <c:spPr>
            <a:ln w="3175">
              <a:solidFill>
                <a:srgbClr val="C0C0C0"/>
              </a:solidFill>
              <a:prstDash val="solid"/>
            </a:ln>
          </c:spPr>
        </c:majorGridlines>
        <c:numFmt formatCode="#,##0_ ;[Red]\-#,##0\ " sourceLinked="1"/>
        <c:majorTickMark val="out"/>
        <c:minorTickMark val="none"/>
        <c:tickLblPos val="nextTo"/>
        <c:spPr>
          <a:ln w="3175">
            <a:solidFill>
              <a:srgbClr val="C0C0C0"/>
            </a:solidFill>
            <a:prstDash val="solid"/>
          </a:ln>
        </c:spPr>
        <c:txPr>
          <a:bodyPr rot="0" vert="horz"/>
          <a:lstStyle/>
          <a:p>
            <a:pPr>
              <a:defRPr sz="1100" b="0" i="0" u="none" strike="noStrike" baseline="0">
                <a:solidFill>
                  <a:srgbClr val="808080"/>
                </a:solidFill>
                <a:latin typeface="Tahoma"/>
                <a:ea typeface="Tahoma"/>
                <a:cs typeface="Tahoma"/>
              </a:defRPr>
            </a:pPr>
            <a:endParaRPr lang="es-ES"/>
          </a:p>
        </c:txPr>
        <c:crossAx val="193096320"/>
        <c:crosses val="autoZero"/>
        <c:crossBetween val="between"/>
      </c:valAx>
      <c:spPr>
        <a:noFill/>
        <a:ln w="3175">
          <a:solidFill>
            <a:srgbClr val="C0C0C0"/>
          </a:solidFill>
          <a:prstDash val="solid"/>
        </a:ln>
      </c:spPr>
    </c:plotArea>
    <c:legend>
      <c:legendPos val="t"/>
      <c:layout>
        <c:manualLayout>
          <c:xMode val="edge"/>
          <c:yMode val="edge"/>
          <c:x val="0.44949550373794572"/>
          <c:y val="3.3333441840630994E-2"/>
          <c:w val="0.51515215035135298"/>
          <c:h val="8.0000260417514374E-2"/>
        </c:manualLayout>
      </c:layout>
      <c:overlay val="0"/>
      <c:spPr>
        <a:noFill/>
        <a:ln w="25400">
          <a:noFill/>
        </a:ln>
      </c:spPr>
      <c:txPr>
        <a:bodyPr/>
        <a:lstStyle/>
        <a:p>
          <a:pPr>
            <a:defRPr sz="1010" b="0" i="0" u="none" strike="noStrike" baseline="0">
              <a:solidFill>
                <a:srgbClr val="808080"/>
              </a:solidFill>
              <a:latin typeface="Tahoma"/>
              <a:ea typeface="Tahoma"/>
              <a:cs typeface="Tahoma"/>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58245234272317"/>
          <c:y val="4.4914163713003961E-2"/>
          <c:w val="0.80450180822264006"/>
          <c:h val="0.83355403832075003"/>
        </c:manualLayout>
      </c:layout>
      <c:lineChart>
        <c:grouping val="standard"/>
        <c:varyColors val="0"/>
        <c:ser>
          <c:idx val="0"/>
          <c:order val="0"/>
          <c:tx>
            <c:v>Costes Fijos</c:v>
          </c:tx>
          <c:spPr>
            <a:ln w="38100">
              <a:solidFill>
                <a:srgbClr val="FF0000"/>
              </a:solidFill>
              <a:prstDash val="solid"/>
            </a:ln>
          </c:spPr>
          <c:marker>
            <c:symbol val="none"/>
          </c:marker>
          <c:cat>
            <c:numRef>
              <c:f>'5años'!$C$292:$K$292</c:f>
              <c:numCache>
                <c:formatCode>#,##0</c:formatCode>
                <c:ptCount val="9"/>
                <c:pt idx="0">
                  <c:v>0</c:v>
                </c:pt>
                <c:pt idx="1">
                  <c:v>0</c:v>
                </c:pt>
                <c:pt idx="2">
                  <c:v>0</c:v>
                </c:pt>
                <c:pt idx="3">
                  <c:v>0</c:v>
                </c:pt>
                <c:pt idx="4">
                  <c:v>0</c:v>
                </c:pt>
                <c:pt idx="5">
                  <c:v>0</c:v>
                </c:pt>
                <c:pt idx="6">
                  <c:v>0</c:v>
                </c:pt>
                <c:pt idx="7">
                  <c:v>0</c:v>
                </c:pt>
                <c:pt idx="8">
                  <c:v>0</c:v>
                </c:pt>
              </c:numCache>
            </c:numRef>
          </c:cat>
          <c:val>
            <c:numRef>
              <c:f>'5años'!$C$293:$K$293</c:f>
              <c:numCache>
                <c:formatCode>#,##0</c:formatCode>
                <c:ptCount val="9"/>
                <c:pt idx="0">
                  <c:v>0</c:v>
                </c:pt>
                <c:pt idx="1">
                  <c:v>0</c:v>
                </c:pt>
                <c:pt idx="2">
                  <c:v>0</c:v>
                </c:pt>
                <c:pt idx="3">
                  <c:v>0</c:v>
                </c:pt>
                <c:pt idx="4">
                  <c:v>0</c:v>
                </c:pt>
                <c:pt idx="5">
                  <c:v>0</c:v>
                </c:pt>
                <c:pt idx="6">
                  <c:v>0</c:v>
                </c:pt>
                <c:pt idx="7">
                  <c:v>0</c:v>
                </c:pt>
                <c:pt idx="8">
                  <c:v>0</c:v>
                </c:pt>
              </c:numCache>
            </c:numRef>
          </c:val>
          <c:smooth val="0"/>
        </c:ser>
        <c:ser>
          <c:idx val="2"/>
          <c:order val="1"/>
          <c:tx>
            <c:v>Costes Totales</c:v>
          </c:tx>
          <c:spPr>
            <a:ln w="38100">
              <a:solidFill>
                <a:srgbClr val="000000"/>
              </a:solidFill>
              <a:prstDash val="solid"/>
            </a:ln>
          </c:spPr>
          <c:marker>
            <c:symbol val="none"/>
          </c:marker>
          <c:cat>
            <c:numRef>
              <c:f>'5años'!$C$292:$K$292</c:f>
              <c:numCache>
                <c:formatCode>#,##0</c:formatCode>
                <c:ptCount val="9"/>
                <c:pt idx="0">
                  <c:v>0</c:v>
                </c:pt>
                <c:pt idx="1">
                  <c:v>0</c:v>
                </c:pt>
                <c:pt idx="2">
                  <c:v>0</c:v>
                </c:pt>
                <c:pt idx="3">
                  <c:v>0</c:v>
                </c:pt>
                <c:pt idx="4">
                  <c:v>0</c:v>
                </c:pt>
                <c:pt idx="5">
                  <c:v>0</c:v>
                </c:pt>
                <c:pt idx="6">
                  <c:v>0</c:v>
                </c:pt>
                <c:pt idx="7">
                  <c:v>0</c:v>
                </c:pt>
                <c:pt idx="8">
                  <c:v>0</c:v>
                </c:pt>
              </c:numCache>
            </c:numRef>
          </c:cat>
          <c:val>
            <c:numRef>
              <c:f>'5años'!$C$295:$K$295</c:f>
              <c:numCache>
                <c:formatCode>#,##0</c:formatCode>
                <c:ptCount val="9"/>
                <c:pt idx="0">
                  <c:v>0</c:v>
                </c:pt>
                <c:pt idx="1">
                  <c:v>0</c:v>
                </c:pt>
                <c:pt idx="2">
                  <c:v>0</c:v>
                </c:pt>
                <c:pt idx="3">
                  <c:v>0</c:v>
                </c:pt>
                <c:pt idx="4">
                  <c:v>0</c:v>
                </c:pt>
                <c:pt idx="5">
                  <c:v>0</c:v>
                </c:pt>
                <c:pt idx="6">
                  <c:v>0</c:v>
                </c:pt>
                <c:pt idx="7">
                  <c:v>0</c:v>
                </c:pt>
                <c:pt idx="8">
                  <c:v>0</c:v>
                </c:pt>
              </c:numCache>
            </c:numRef>
          </c:val>
          <c:smooth val="0"/>
        </c:ser>
        <c:ser>
          <c:idx val="3"/>
          <c:order val="2"/>
          <c:tx>
            <c:v>Ingresos</c:v>
          </c:tx>
          <c:spPr>
            <a:ln w="38100">
              <a:solidFill>
                <a:srgbClr val="000080"/>
              </a:solidFill>
              <a:prstDash val="solid"/>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spPr>
              <a:solidFill>
                <a:srgbClr val="FFCC99"/>
              </a:solidFill>
              <a:ln w="3175">
                <a:solidFill>
                  <a:srgbClr val="993300"/>
                </a:solidFill>
                <a:prstDash val="solid"/>
              </a:ln>
            </c:spPr>
            <c:txPr>
              <a:bodyPr/>
              <a:lstStyle/>
              <a:p>
                <a:pPr>
                  <a:defRPr sz="1200" b="0" i="0" u="none" strike="noStrike" baseline="0">
                    <a:solidFill>
                      <a:srgbClr val="993300"/>
                    </a:solidFill>
                    <a:latin typeface="Tahoma"/>
                    <a:ea typeface="Tahoma"/>
                    <a:cs typeface="Tahoma"/>
                  </a:defRPr>
                </a:pPr>
                <a:endParaRPr lang="es-ES"/>
              </a:p>
            </c:txPr>
            <c:dLblPos val="t"/>
            <c:showLegendKey val="0"/>
            <c:showVal val="1"/>
            <c:showCatName val="0"/>
            <c:showSerName val="0"/>
            <c:showPercent val="0"/>
            <c:showBubbleSize val="0"/>
            <c:showLeaderLines val="0"/>
          </c:dLbls>
          <c:cat>
            <c:numRef>
              <c:f>'5años'!$C$292:$K$292</c:f>
              <c:numCache>
                <c:formatCode>#,##0</c:formatCode>
                <c:ptCount val="9"/>
                <c:pt idx="0">
                  <c:v>0</c:v>
                </c:pt>
                <c:pt idx="1">
                  <c:v>0</c:v>
                </c:pt>
                <c:pt idx="2">
                  <c:v>0</c:v>
                </c:pt>
                <c:pt idx="3">
                  <c:v>0</c:v>
                </c:pt>
                <c:pt idx="4">
                  <c:v>0</c:v>
                </c:pt>
                <c:pt idx="5">
                  <c:v>0</c:v>
                </c:pt>
                <c:pt idx="6">
                  <c:v>0</c:v>
                </c:pt>
                <c:pt idx="7">
                  <c:v>0</c:v>
                </c:pt>
                <c:pt idx="8">
                  <c:v>0</c:v>
                </c:pt>
              </c:numCache>
            </c:numRef>
          </c:cat>
          <c:val>
            <c:numRef>
              <c:f>'5años'!$C$296:$K$296</c:f>
              <c:numCache>
                <c:formatCode>#,##0</c:formatCode>
                <c:ptCount val="9"/>
                <c:pt idx="0">
                  <c:v>0</c:v>
                </c:pt>
                <c:pt idx="1">
                  <c:v>0</c:v>
                </c:pt>
                <c:pt idx="2">
                  <c:v>0</c:v>
                </c:pt>
                <c:pt idx="3">
                  <c:v>0</c:v>
                </c:pt>
                <c:pt idx="4">
                  <c:v>0</c:v>
                </c:pt>
                <c:pt idx="5">
                  <c:v>0</c:v>
                </c:pt>
                <c:pt idx="6">
                  <c:v>0</c:v>
                </c:pt>
                <c:pt idx="7">
                  <c:v>0</c:v>
                </c:pt>
                <c:pt idx="8">
                  <c:v>0</c:v>
                </c:pt>
              </c:numCache>
            </c:numRef>
          </c:val>
          <c:smooth val="0"/>
        </c:ser>
        <c:dLbls>
          <c:showLegendKey val="0"/>
          <c:showVal val="0"/>
          <c:showCatName val="0"/>
          <c:showSerName val="0"/>
          <c:showPercent val="0"/>
          <c:showBubbleSize val="0"/>
        </c:dLbls>
        <c:marker val="1"/>
        <c:smooth val="0"/>
        <c:axId val="193211776"/>
        <c:axId val="193238528"/>
      </c:lineChart>
      <c:catAx>
        <c:axId val="193211776"/>
        <c:scaling>
          <c:orientation val="minMax"/>
        </c:scaling>
        <c:delete val="0"/>
        <c:axPos val="b"/>
        <c:minorGridlines>
          <c:spPr>
            <a:ln w="3175">
              <a:solidFill>
                <a:srgbClr val="C0C0C0"/>
              </a:solidFill>
              <a:prstDash val="solid"/>
            </a:ln>
          </c:spPr>
        </c:minorGridlines>
        <c:title>
          <c:tx>
            <c:rich>
              <a:bodyPr/>
              <a:lstStyle/>
              <a:p>
                <a:pPr>
                  <a:defRPr sz="1200" b="0" i="0" u="none" strike="noStrike" baseline="0">
                    <a:solidFill>
                      <a:srgbClr val="808080"/>
                    </a:solidFill>
                    <a:latin typeface="Tahoma"/>
                    <a:ea typeface="Tahoma"/>
                    <a:cs typeface="Tahoma"/>
                  </a:defRPr>
                </a:pPr>
                <a:r>
                  <a:t>Unidades</a:t>
                </a:r>
              </a:p>
            </c:rich>
          </c:tx>
          <c:layout>
            <c:manualLayout>
              <c:xMode val="edge"/>
              <c:yMode val="edge"/>
              <c:x val="0.47257448874616631"/>
              <c:y val="0.91941935130149288"/>
            </c:manualLayout>
          </c:layout>
          <c:overlay val="0"/>
          <c:spPr>
            <a:noFill/>
            <a:ln w="25400">
              <a:noFill/>
            </a:ln>
          </c:spPr>
        </c:title>
        <c:numFmt formatCode="#,##0" sourceLinked="0"/>
        <c:majorTickMark val="out"/>
        <c:minorTickMark val="in"/>
        <c:tickLblPos val="nextTo"/>
        <c:spPr>
          <a:ln w="3175">
            <a:solidFill>
              <a:srgbClr val="C0C0C0"/>
            </a:solidFill>
            <a:prstDash val="solid"/>
          </a:ln>
        </c:spPr>
        <c:txPr>
          <a:bodyPr rot="0" vert="horz"/>
          <a:lstStyle/>
          <a:p>
            <a:pPr>
              <a:defRPr sz="1100" b="0" i="0" u="none" strike="noStrike" baseline="0">
                <a:solidFill>
                  <a:srgbClr val="969696"/>
                </a:solidFill>
                <a:latin typeface="Tahoma"/>
                <a:ea typeface="Tahoma"/>
                <a:cs typeface="Tahoma"/>
              </a:defRPr>
            </a:pPr>
            <a:endParaRPr lang="es-ES"/>
          </a:p>
        </c:txPr>
        <c:crossAx val="193238528"/>
        <c:crosses val="autoZero"/>
        <c:auto val="1"/>
        <c:lblAlgn val="ctr"/>
        <c:lblOffset val="100"/>
        <c:tickLblSkip val="1"/>
        <c:tickMarkSkip val="1"/>
        <c:noMultiLvlLbl val="0"/>
      </c:catAx>
      <c:valAx>
        <c:axId val="193238528"/>
        <c:scaling>
          <c:orientation val="minMax"/>
        </c:scaling>
        <c:delete val="0"/>
        <c:axPos val="l"/>
        <c:majorGridlines>
          <c:spPr>
            <a:ln w="3175">
              <a:solidFill>
                <a:srgbClr val="C0C0C0"/>
              </a:solidFill>
              <a:prstDash val="solid"/>
            </a:ln>
          </c:spPr>
        </c:majorGridlines>
        <c:title>
          <c:tx>
            <c:rich>
              <a:bodyPr/>
              <a:lstStyle/>
              <a:p>
                <a:pPr>
                  <a:defRPr sz="1200" b="0" i="0" u="none" strike="noStrike" baseline="0">
                    <a:solidFill>
                      <a:srgbClr val="808080"/>
                    </a:solidFill>
                    <a:latin typeface="Tahoma"/>
                    <a:ea typeface="Tahoma"/>
                    <a:cs typeface="Tahoma"/>
                  </a:defRPr>
                </a:pPr>
                <a:r>
                  <a:t>Ingresos y gastos</a:t>
                </a:r>
              </a:p>
            </c:rich>
          </c:tx>
          <c:layout>
            <c:manualLayout>
              <c:xMode val="edge"/>
              <c:yMode val="edge"/>
              <c:x val="2.2503547083150797E-2"/>
              <c:y val="0.39101742526615241"/>
            </c:manualLayout>
          </c:layout>
          <c:overlay val="0"/>
          <c:spPr>
            <a:noFill/>
            <a:ln w="25400">
              <a:noFill/>
            </a:ln>
          </c:spPr>
        </c:title>
        <c:numFmt formatCode="#,##0" sourceLinked="0"/>
        <c:majorTickMark val="out"/>
        <c:minorTickMark val="none"/>
        <c:tickLblPos val="nextTo"/>
        <c:spPr>
          <a:ln w="3175">
            <a:solidFill>
              <a:srgbClr val="C0C0C0"/>
            </a:solidFill>
            <a:prstDash val="solid"/>
          </a:ln>
        </c:spPr>
        <c:txPr>
          <a:bodyPr rot="0" vert="horz"/>
          <a:lstStyle/>
          <a:p>
            <a:pPr>
              <a:defRPr sz="1100" b="0" i="0" u="none" strike="noStrike" baseline="0">
                <a:solidFill>
                  <a:srgbClr val="969696"/>
                </a:solidFill>
                <a:latin typeface="Tahoma"/>
                <a:ea typeface="Tahoma"/>
                <a:cs typeface="Tahoma"/>
              </a:defRPr>
            </a:pPr>
            <a:endParaRPr lang="es-ES"/>
          </a:p>
        </c:txPr>
        <c:crossAx val="193211776"/>
        <c:crosses val="autoZero"/>
        <c:crossBetween val="between"/>
      </c:valAx>
      <c:spPr>
        <a:noFill/>
        <a:ln w="12700">
          <a:solidFill>
            <a:srgbClr val="C0C0C0"/>
          </a:solidFill>
          <a:prstDash val="solid"/>
        </a:ln>
      </c:spPr>
    </c:plotArea>
    <c:legend>
      <c:legendPos val="b"/>
      <c:layout>
        <c:manualLayout>
          <c:xMode val="edge"/>
          <c:yMode val="edge"/>
          <c:x val="0.30942377239332336"/>
          <c:y val="0.95904949575414389"/>
          <c:w val="0.61322165801585893"/>
          <c:h val="3.6988134822473852E-2"/>
        </c:manualLayout>
      </c:layout>
      <c:overlay val="0"/>
      <c:spPr>
        <a:noFill/>
        <a:ln w="25400">
          <a:noFill/>
        </a:ln>
      </c:spPr>
      <c:txPr>
        <a:bodyPr/>
        <a:lstStyle/>
        <a:p>
          <a:pPr>
            <a:defRPr sz="1010" b="0" i="0" u="none" strike="noStrike" baseline="0">
              <a:solidFill>
                <a:srgbClr val="808080"/>
              </a:solidFill>
              <a:latin typeface="Tahoma"/>
              <a:ea typeface="Tahoma"/>
              <a:cs typeface="Tahoma"/>
            </a:defRPr>
          </a:pPr>
          <a:endParaRPr lang="es-ES"/>
        </a:p>
      </c:txPr>
    </c:legend>
    <c:plotVisOnly val="1"/>
    <c:dispBlanksAs val="gap"/>
    <c:showDLblsOverMax val="0"/>
  </c:chart>
  <c:spPr>
    <a:solidFill>
      <a:srgbClr val="FFFFCC"/>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33" r="0.75000000000000033" t="1" header="0" footer="0"/>
    <c:pageSetup paperSize="9" orientation="landscape" horizontalDpi="-4"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png"/><Relationship Id="rId1" Type="http://schemas.openxmlformats.org/officeDocument/2006/relationships/hyperlink" Target="mailto:atencion@e.ditor.com?subject=Presupuesto%20EXPRESS%202013" TargetMode="External"/><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hyperlink" Target="#breakevenpoint"/><Relationship Id="rId18" Type="http://schemas.openxmlformats.org/officeDocument/2006/relationships/image" Target="../media/image6.png"/><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hyperlink" Target="#PRESUPCASHFLOW"/><Relationship Id="rId17" Type="http://schemas.openxmlformats.org/officeDocument/2006/relationships/hyperlink" Target="#INFOPYG"/><Relationship Id="rId2" Type="http://schemas.openxmlformats.org/officeDocument/2006/relationships/chart" Target="../charts/chart3.xml"/><Relationship Id="rId16" Type="http://schemas.openxmlformats.org/officeDocument/2006/relationships/image" Target="../media/image9.png"/><Relationship Id="rId20" Type="http://schemas.openxmlformats.org/officeDocument/2006/relationships/image" Target="../media/image3.pn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hyperlink" Target="#BYPPRESUP"/><Relationship Id="rId5" Type="http://schemas.openxmlformats.org/officeDocument/2006/relationships/chart" Target="../charts/chart6.xml"/><Relationship Id="rId15" Type="http://schemas.openxmlformats.org/officeDocument/2006/relationships/image" Target="../media/image4.png"/><Relationship Id="rId10" Type="http://schemas.openxmlformats.org/officeDocument/2006/relationships/hyperlink" Target="#PYGPRESUP"/><Relationship Id="rId19" Type="http://schemas.openxmlformats.org/officeDocument/2006/relationships/hyperlink" Target="#INDEXXXX"/><Relationship Id="rId4" Type="http://schemas.openxmlformats.org/officeDocument/2006/relationships/chart" Target="../charts/chart5.xml"/><Relationship Id="rId9" Type="http://schemas.openxmlformats.org/officeDocument/2006/relationships/hyperlink" Target="#PORTADAPRES"/><Relationship Id="rId14" Type="http://schemas.openxmlformats.org/officeDocument/2006/relationships/hyperlink" Target="#'6'!A1"/></Relationships>
</file>

<file path=xl/drawings/_rels/drawing17.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0.png"/><Relationship Id="rId1" Type="http://schemas.openxmlformats.org/officeDocument/2006/relationships/hyperlink" Target="#CResult!D4"/></Relationships>
</file>

<file path=xl/drawings/_rels/drawing18.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0.png"/><Relationship Id="rId1" Type="http://schemas.openxmlformats.org/officeDocument/2006/relationships/hyperlink" Target="#Amortizaciones!A3"/></Relationships>
</file>

<file path=xl/drawings/_rels/drawing19.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0.png"/><Relationship Id="rId1" Type="http://schemas.openxmlformats.org/officeDocument/2006/relationships/hyperlink" Target="#Pagoinversiones!A2"/></Relationships>
</file>

<file path=xl/drawings/_rels/drawing2.xml.rels><?xml version="1.0" encoding="UTF-8" standalone="yes"?>
<Relationships xmlns="http://schemas.openxmlformats.org/package/2006/relationships"><Relationship Id="rId8" Type="http://schemas.openxmlformats.org/officeDocument/2006/relationships/hyperlink" Target="#PROMOPLANES"/><Relationship Id="rId3" Type="http://schemas.openxmlformats.org/officeDocument/2006/relationships/hyperlink" Target="#I!A1"/><Relationship Id="rId7"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INDEXXXX"/><Relationship Id="rId6" Type="http://schemas.openxmlformats.org/officeDocument/2006/relationships/hyperlink" Target="#INFOIMPORTANT"/><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0.png"/><Relationship Id="rId1" Type="http://schemas.openxmlformats.org/officeDocument/2006/relationships/hyperlink" Target="#prestamos!C2"/></Relationships>
</file>

<file path=xl/drawings/_rels/drawing21.xml.rels><?xml version="1.0" encoding="UTF-8" standalone="yes"?>
<Relationships xmlns="http://schemas.openxmlformats.org/package/2006/relationships"><Relationship Id="rId3" Type="http://schemas.openxmlformats.org/officeDocument/2006/relationships/hyperlink" Target="#PROMOPLANES"/><Relationship Id="rId2" Type="http://schemas.openxmlformats.org/officeDocument/2006/relationships/image" Target="../media/image10.png"/><Relationship Id="rId1" Type="http://schemas.openxmlformats.org/officeDocument/2006/relationships/hyperlink" Target="#CTesorer&#237;a!A3"/></Relationships>
</file>

<file path=xl/drawings/_rels/drawing22.xml.rels><?xml version="1.0" encoding="UTF-8" standalone="yes"?>
<Relationships xmlns="http://schemas.openxmlformats.org/package/2006/relationships"><Relationship Id="rId1" Type="http://schemas.openxmlformats.org/officeDocument/2006/relationships/hyperlink" Target="#PROMOPLANES"/></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ilto:info@e.ditor.com?subject=Informaci&#243;n%20sobre%20derechos%20autor%20-%20PNEXP5" TargetMode="External"/><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hyperlink" Target="#PROMOPLANES"/></Relationships>
</file>

<file path=xl/drawings/_rels/drawing3.xml.rels><?xml version="1.0" encoding="UTF-8" standalone="yes"?>
<Relationships xmlns="http://schemas.openxmlformats.org/package/2006/relationships"><Relationship Id="rId8" Type="http://schemas.openxmlformats.org/officeDocument/2006/relationships/hyperlink" Target="#'2'!A1"/><Relationship Id="rId13" Type="http://schemas.openxmlformats.org/officeDocument/2006/relationships/hyperlink" Target="#INFOIMPORTANT"/><Relationship Id="rId18" Type="http://schemas.openxmlformats.org/officeDocument/2006/relationships/image" Target="../media/image8.png"/><Relationship Id="rId3" Type="http://schemas.openxmlformats.org/officeDocument/2006/relationships/hyperlink" Target="http://www.venmas.com/venmas/ventas/plan_de_ventas" TargetMode="External"/><Relationship Id="rId21" Type="http://schemas.openxmlformats.org/officeDocument/2006/relationships/hyperlink" Target="#PROMOPLANES"/><Relationship Id="rId7" Type="http://schemas.openxmlformats.org/officeDocument/2006/relationships/hyperlink" Target="#'1'!A1"/><Relationship Id="rId12" Type="http://schemas.openxmlformats.org/officeDocument/2006/relationships/image" Target="../media/image5.png"/><Relationship Id="rId17" Type="http://schemas.openxmlformats.org/officeDocument/2006/relationships/hyperlink" Target="http://www.plannegocios.com/plan_negocios/planes_de_negocio/plan_de_negocio_full_2013" TargetMode="External"/><Relationship Id="rId2" Type="http://schemas.openxmlformats.org/officeDocument/2006/relationships/image" Target="../media/image1.png"/><Relationship Id="rId16" Type="http://schemas.openxmlformats.org/officeDocument/2006/relationships/image" Target="../media/image7.png"/><Relationship Id="rId20" Type="http://schemas.openxmlformats.org/officeDocument/2006/relationships/image" Target="../media/image3.png"/><Relationship Id="rId1" Type="http://schemas.openxmlformats.org/officeDocument/2006/relationships/hyperlink" Target="mailto:atencion@e.ditor.com?subject=Presupuesto%20Express" TargetMode="External"/><Relationship Id="rId6" Type="http://schemas.openxmlformats.org/officeDocument/2006/relationships/hyperlink" Target="#'4'!A1"/><Relationship Id="rId11" Type="http://schemas.openxmlformats.org/officeDocument/2006/relationships/image" Target="../media/image4.png"/><Relationship Id="rId5" Type="http://schemas.openxmlformats.org/officeDocument/2006/relationships/hyperlink" Target="#'3'!A1"/><Relationship Id="rId15" Type="http://schemas.openxmlformats.org/officeDocument/2006/relationships/hyperlink" Target="https://www.plannegocios.com/plan_negocios/planes_de_negocio" TargetMode="External"/><Relationship Id="rId10" Type="http://schemas.openxmlformats.org/officeDocument/2006/relationships/hyperlink" Target="#D!A1"/><Relationship Id="rId19" Type="http://schemas.openxmlformats.org/officeDocument/2006/relationships/hyperlink" Target="#INDEXXXX"/><Relationship Id="rId4" Type="http://schemas.openxmlformats.org/officeDocument/2006/relationships/hyperlink" Target="#'5'!A1"/><Relationship Id="rId9" Type="http://schemas.openxmlformats.org/officeDocument/2006/relationships/hyperlink" Target="#'6'!A1"/><Relationship Id="rId14" Type="http://schemas.openxmlformats.org/officeDocument/2006/relationships/image" Target="../media/image6.png"/><Relationship Id="rId22"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hyperlink" Target="#PROMOPLANES"/><Relationship Id="rId3" Type="http://schemas.openxmlformats.org/officeDocument/2006/relationships/hyperlink" Target="#'2'!A1"/><Relationship Id="rId7"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hyperlink" Target="#INDEXXXX"/><Relationship Id="rId6" Type="http://schemas.openxmlformats.org/officeDocument/2006/relationships/hyperlink" Target="#INFOINVERSIONES"/><Relationship Id="rId5"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EXXXX"/><Relationship Id="rId7" Type="http://schemas.openxmlformats.org/officeDocument/2006/relationships/hyperlink" Target="#infofinanciacion"/><Relationship Id="rId2" Type="http://schemas.openxmlformats.org/officeDocument/2006/relationships/image" Target="../media/image4.png"/><Relationship Id="rId1" Type="http://schemas.openxmlformats.org/officeDocument/2006/relationships/hyperlink" Target="#'1'!A1"/><Relationship Id="rId6" Type="http://schemas.openxmlformats.org/officeDocument/2006/relationships/image" Target="../media/image5.png"/><Relationship Id="rId5" Type="http://schemas.openxmlformats.org/officeDocument/2006/relationships/hyperlink" Target="#'3'!A1"/><Relationship Id="rId10" Type="http://schemas.openxmlformats.org/officeDocument/2006/relationships/image" Target="../media/image2.jpeg"/><Relationship Id="rId4" Type="http://schemas.openxmlformats.org/officeDocument/2006/relationships/image" Target="../media/image3.png"/><Relationship Id="rId9" Type="http://schemas.openxmlformats.org/officeDocument/2006/relationships/hyperlink" Target="#PROMOPLANES"/></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EXXXX"/><Relationship Id="rId7" Type="http://schemas.openxmlformats.org/officeDocument/2006/relationships/hyperlink" Target="#INFOGASTOS"/><Relationship Id="rId2" Type="http://schemas.openxmlformats.org/officeDocument/2006/relationships/image" Target="../media/image4.png"/><Relationship Id="rId1" Type="http://schemas.openxmlformats.org/officeDocument/2006/relationships/hyperlink" Target="#'2'!A1"/><Relationship Id="rId6" Type="http://schemas.openxmlformats.org/officeDocument/2006/relationships/image" Target="../media/image5.png"/><Relationship Id="rId5" Type="http://schemas.openxmlformats.org/officeDocument/2006/relationships/hyperlink" Target="#'4'!A1"/><Relationship Id="rId10" Type="http://schemas.openxmlformats.org/officeDocument/2006/relationships/image" Target="../media/image2.jpeg"/><Relationship Id="rId4" Type="http://schemas.openxmlformats.org/officeDocument/2006/relationships/image" Target="../media/image3.png"/><Relationship Id="rId9" Type="http://schemas.openxmlformats.org/officeDocument/2006/relationships/hyperlink" Target="#PROMOPLANES"/></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EXXXX"/><Relationship Id="rId7" Type="http://schemas.openxmlformats.org/officeDocument/2006/relationships/hyperlink" Target="#INFOPERSONAL"/><Relationship Id="rId2" Type="http://schemas.openxmlformats.org/officeDocument/2006/relationships/image" Target="../media/image4.png"/><Relationship Id="rId1" Type="http://schemas.openxmlformats.org/officeDocument/2006/relationships/hyperlink" Target="#'3'!A1"/><Relationship Id="rId6" Type="http://schemas.openxmlformats.org/officeDocument/2006/relationships/image" Target="../media/image5.png"/><Relationship Id="rId5" Type="http://schemas.openxmlformats.org/officeDocument/2006/relationships/hyperlink" Target="#'5'!A1"/><Relationship Id="rId10" Type="http://schemas.openxmlformats.org/officeDocument/2006/relationships/image" Target="../media/image2.jpeg"/><Relationship Id="rId4" Type="http://schemas.openxmlformats.org/officeDocument/2006/relationships/image" Target="../media/image3.png"/><Relationship Id="rId9" Type="http://schemas.openxmlformats.org/officeDocument/2006/relationships/hyperlink" Target="#PROMOPLANES"/></Relationships>
</file>

<file path=xl/drawings/_rels/drawing8.xml.rels><?xml version="1.0" encoding="UTF-8" standalone="yes"?>
<Relationships xmlns="http://schemas.openxmlformats.org/package/2006/relationships"><Relationship Id="rId8" Type="http://schemas.openxmlformats.org/officeDocument/2006/relationships/hyperlink" Target="#infoingresos"/><Relationship Id="rId3" Type="http://schemas.openxmlformats.org/officeDocument/2006/relationships/image" Target="../media/image4.png"/><Relationship Id="rId7" Type="http://schemas.openxmlformats.org/officeDocument/2006/relationships/image" Target="../media/image5.png"/><Relationship Id="rId2" Type="http://schemas.openxmlformats.org/officeDocument/2006/relationships/hyperlink" Target="#'4'!A1"/><Relationship Id="rId1" Type="http://schemas.openxmlformats.org/officeDocument/2006/relationships/chart" Target="../charts/chart1.xml"/><Relationship Id="rId6" Type="http://schemas.openxmlformats.org/officeDocument/2006/relationships/hyperlink" Target="#'6'!A1"/><Relationship Id="rId11" Type="http://schemas.openxmlformats.org/officeDocument/2006/relationships/image" Target="../media/image2.jpeg"/><Relationship Id="rId5" Type="http://schemas.openxmlformats.org/officeDocument/2006/relationships/image" Target="../media/image3.png"/><Relationship Id="rId10" Type="http://schemas.openxmlformats.org/officeDocument/2006/relationships/hyperlink" Target="#PROMOPLANES"/><Relationship Id="rId4" Type="http://schemas.openxmlformats.org/officeDocument/2006/relationships/hyperlink" Target="#INDEXXXX"/><Relationship Id="rId9" Type="http://schemas.openxmlformats.org/officeDocument/2006/relationships/image" Target="../media/image6.png"/></Relationships>
</file>

<file path=xl/drawings/_rels/drawing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EXXXX"/><Relationship Id="rId7" Type="http://schemas.openxmlformats.org/officeDocument/2006/relationships/hyperlink" Target="#infocobroypago"/><Relationship Id="rId2" Type="http://schemas.openxmlformats.org/officeDocument/2006/relationships/image" Target="../media/image4.png"/><Relationship Id="rId1" Type="http://schemas.openxmlformats.org/officeDocument/2006/relationships/hyperlink" Target="#'5'!A1"/><Relationship Id="rId6" Type="http://schemas.openxmlformats.org/officeDocument/2006/relationships/image" Target="../media/image5.png"/><Relationship Id="rId5" Type="http://schemas.openxmlformats.org/officeDocument/2006/relationships/hyperlink" Target="#PORTADAPRES"/><Relationship Id="rId10" Type="http://schemas.openxmlformats.org/officeDocument/2006/relationships/image" Target="../media/image2.jpeg"/><Relationship Id="rId4" Type="http://schemas.openxmlformats.org/officeDocument/2006/relationships/image" Target="../media/image3.png"/><Relationship Id="rId9" Type="http://schemas.openxmlformats.org/officeDocument/2006/relationships/hyperlink" Target="#PROMOPLANES"/></Relationships>
</file>

<file path=xl/drawings/drawing1.xml><?xml version="1.0" encoding="utf-8"?>
<xdr:wsDr xmlns:xdr="http://schemas.openxmlformats.org/drawingml/2006/spreadsheetDrawing" xmlns:a="http://schemas.openxmlformats.org/drawingml/2006/main">
  <xdr:twoCellAnchor editAs="oneCell">
    <xdr:from>
      <xdr:col>13</xdr:col>
      <xdr:colOff>1028700</xdr:colOff>
      <xdr:row>9</xdr:row>
      <xdr:rowOff>152400</xdr:rowOff>
    </xdr:from>
    <xdr:to>
      <xdr:col>14</xdr:col>
      <xdr:colOff>28575</xdr:colOff>
      <xdr:row>10</xdr:row>
      <xdr:rowOff>190500</xdr:rowOff>
    </xdr:to>
    <xdr:pic>
      <xdr:nvPicPr>
        <xdr:cNvPr id="1026052" name="Picture 4" descr="EDITOR">
          <a:hlinkClick xmlns:r="http://schemas.openxmlformats.org/officeDocument/2006/relationships" r:id="rId1" tooltip="contactar por e-mail"/>
        </xdr:cNvPr>
        <xdr:cNvPicPr>
          <a:picLocks noChangeAspect="1" noChangeArrowheads="1"/>
        </xdr:cNvPicPr>
      </xdr:nvPicPr>
      <xdr:blipFill>
        <a:blip xmlns:r="http://schemas.openxmlformats.org/officeDocument/2006/relationships" r:embed="rId2" cstate="print"/>
        <a:srcRect/>
        <a:stretch>
          <a:fillRect/>
        </a:stretch>
      </xdr:blipFill>
      <xdr:spPr bwMode="auto">
        <a:xfrm>
          <a:off x="8915400" y="1809750"/>
          <a:ext cx="1038225" cy="390525"/>
        </a:xfrm>
        <a:prstGeom prst="rect">
          <a:avLst/>
        </a:prstGeom>
        <a:noFill/>
        <a:ln w="76200">
          <a:solidFill>
            <a:srgbClr val="808000"/>
          </a:solidFill>
          <a:miter lim="800000"/>
          <a:headEnd/>
          <a:tailEnd/>
        </a:ln>
        <a:effectLst/>
      </xdr:spPr>
    </xdr:pic>
    <xdr:clientData/>
  </xdr:twoCellAnchor>
  <xdr:twoCellAnchor editAs="oneCell">
    <xdr:from>
      <xdr:col>8</xdr:col>
      <xdr:colOff>942975</xdr:colOff>
      <xdr:row>22</xdr:row>
      <xdr:rowOff>38100</xdr:rowOff>
    </xdr:from>
    <xdr:to>
      <xdr:col>11</xdr:col>
      <xdr:colOff>962025</xdr:colOff>
      <xdr:row>35</xdr:row>
      <xdr:rowOff>9525</xdr:rowOff>
    </xdr:to>
    <xdr:pic>
      <xdr:nvPicPr>
        <xdr:cNvPr id="1026062" name="Picture 14" descr="Fotolia_36549914_XS">
          <a:hlinkClick xmlns:r="http://schemas.openxmlformats.org/officeDocument/2006/relationships" r:id="rId3" tooltip="Planes de Negocio RECOMENDADOS"/>
        </xdr:cNvPr>
        <xdr:cNvPicPr>
          <a:picLocks noChangeAspect="1" noChangeArrowheads="1"/>
        </xdr:cNvPicPr>
      </xdr:nvPicPr>
      <xdr:blipFill>
        <a:blip xmlns:r="http://schemas.openxmlformats.org/officeDocument/2006/relationships" r:embed="rId4" cstate="print"/>
        <a:srcRect/>
        <a:stretch>
          <a:fillRect/>
        </a:stretch>
      </xdr:blipFill>
      <xdr:spPr bwMode="auto">
        <a:xfrm>
          <a:off x="4676775" y="4010025"/>
          <a:ext cx="2286000" cy="2286000"/>
        </a:xfrm>
        <a:prstGeom prst="rect">
          <a:avLst/>
        </a:prstGeom>
        <a:solidFill>
          <a:srgbClr val="FFFFFF"/>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828675</xdr:colOff>
      <xdr:row>149</xdr:row>
      <xdr:rowOff>28575</xdr:rowOff>
    </xdr:from>
    <xdr:to>
      <xdr:col>12</xdr:col>
      <xdr:colOff>704850</xdr:colOff>
      <xdr:row>163</xdr:row>
      <xdr:rowOff>85725</xdr:rowOff>
    </xdr:to>
    <xdr:graphicFrame macro="">
      <xdr:nvGraphicFramePr>
        <xdr:cNvPr id="202546" name="Chart 8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149</xdr:row>
      <xdr:rowOff>123825</xdr:rowOff>
    </xdr:from>
    <xdr:to>
      <xdr:col>7</xdr:col>
      <xdr:colOff>657225</xdr:colOff>
      <xdr:row>163</xdr:row>
      <xdr:rowOff>85725</xdr:rowOff>
    </xdr:to>
    <xdr:graphicFrame macro="">
      <xdr:nvGraphicFramePr>
        <xdr:cNvPr id="202548" name="Chart 8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876300</xdr:colOff>
      <xdr:row>149</xdr:row>
      <xdr:rowOff>76200</xdr:rowOff>
    </xdr:from>
    <xdr:to>
      <xdr:col>17</xdr:col>
      <xdr:colOff>904875</xdr:colOff>
      <xdr:row>163</xdr:row>
      <xdr:rowOff>57150</xdr:rowOff>
    </xdr:to>
    <xdr:graphicFrame macro="">
      <xdr:nvGraphicFramePr>
        <xdr:cNvPr id="202549" name="Chart 8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163</xdr:row>
      <xdr:rowOff>38100</xdr:rowOff>
    </xdr:from>
    <xdr:to>
      <xdr:col>10</xdr:col>
      <xdr:colOff>66675</xdr:colOff>
      <xdr:row>178</xdr:row>
      <xdr:rowOff>0</xdr:rowOff>
    </xdr:to>
    <xdr:graphicFrame macro="">
      <xdr:nvGraphicFramePr>
        <xdr:cNvPr id="202555" name="Chart 8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163</xdr:row>
      <xdr:rowOff>28575</xdr:rowOff>
    </xdr:from>
    <xdr:to>
      <xdr:col>18</xdr:col>
      <xdr:colOff>38100</xdr:colOff>
      <xdr:row>178</xdr:row>
      <xdr:rowOff>104775</xdr:rowOff>
    </xdr:to>
    <xdr:graphicFrame macro="">
      <xdr:nvGraphicFramePr>
        <xdr:cNvPr id="202559" name="Chart 8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288</xdr:row>
      <xdr:rowOff>47625</xdr:rowOff>
    </xdr:from>
    <xdr:to>
      <xdr:col>10</xdr:col>
      <xdr:colOff>390525</xdr:colOff>
      <xdr:row>306</xdr:row>
      <xdr:rowOff>142875</xdr:rowOff>
    </xdr:to>
    <xdr:graphicFrame macro="">
      <xdr:nvGraphicFramePr>
        <xdr:cNvPr id="202578" name="Chart 8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285750</xdr:colOff>
      <xdr:row>288</xdr:row>
      <xdr:rowOff>95250</xdr:rowOff>
    </xdr:from>
    <xdr:to>
      <xdr:col>17</xdr:col>
      <xdr:colOff>942975</xdr:colOff>
      <xdr:row>306</xdr:row>
      <xdr:rowOff>38100</xdr:rowOff>
    </xdr:to>
    <xdr:graphicFrame macro="">
      <xdr:nvGraphicFramePr>
        <xdr:cNvPr id="202579" name="Chart 8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28575</xdr:colOff>
      <xdr:row>312</xdr:row>
      <xdr:rowOff>47625</xdr:rowOff>
    </xdr:from>
    <xdr:to>
      <xdr:col>17</xdr:col>
      <xdr:colOff>923925</xdr:colOff>
      <xdr:row>354</xdr:row>
      <xdr:rowOff>57150</xdr:rowOff>
    </xdr:to>
    <xdr:graphicFrame macro="">
      <xdr:nvGraphicFramePr>
        <xdr:cNvPr id="2025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3</xdr:col>
      <xdr:colOff>38100</xdr:colOff>
      <xdr:row>3</xdr:row>
      <xdr:rowOff>38100</xdr:rowOff>
    </xdr:from>
    <xdr:ext cx="897757" cy="264753"/>
    <xdr:sp macro="" textlink="">
      <xdr:nvSpPr>
        <xdr:cNvPr id="202605" name="Text Box 877">
          <a:hlinkClick xmlns:r="http://schemas.openxmlformats.org/officeDocument/2006/relationships" r:id="rId9" tooltip="Ir a esta sección"/>
        </xdr:cNvPr>
        <xdr:cNvSpPr txBox="1">
          <a:spLocks noChangeArrowheads="1"/>
        </xdr:cNvSpPr>
      </xdr:nvSpPr>
      <xdr:spPr bwMode="auto">
        <a:xfrm>
          <a:off x="381000" y="673100"/>
          <a:ext cx="897757" cy="264753"/>
        </a:xfrm>
        <a:prstGeom prst="rect">
          <a:avLst/>
        </a:prstGeom>
        <a:solidFill>
          <a:srgbClr val="FFFFCC"/>
        </a:solidFill>
        <a:ln w="9525">
          <a:solidFill>
            <a:srgbClr val="333300"/>
          </a:solidFill>
          <a:miter lim="800000"/>
          <a:headEnd/>
          <a:tailEnd/>
        </a:ln>
      </xdr:spPr>
      <xdr:txBody>
        <a:bodyPr wrap="none" lIns="72000" tIns="46800" rIns="90000" bIns="46800" anchor="t" upright="1">
          <a:spAutoFit/>
        </a:bodyPr>
        <a:lstStyle/>
        <a:p>
          <a:pPr algn="l" rtl="0">
            <a:defRPr sz="1000"/>
          </a:pPr>
          <a:r>
            <a:rPr lang="es-ES" sz="1100" b="1" i="0" u="none" strike="noStrike" baseline="0">
              <a:solidFill>
                <a:srgbClr val="333300"/>
              </a:solidFill>
              <a:latin typeface="Tahoma"/>
              <a:ea typeface="Tahoma"/>
              <a:cs typeface="Tahoma"/>
            </a:rPr>
            <a:t>PORTADA</a:t>
          </a:r>
          <a:r>
            <a:rPr lang="es-ES" sz="1100" b="0" i="0" u="none" strike="noStrike" baseline="0">
              <a:solidFill>
                <a:srgbClr val="333300"/>
              </a:solidFill>
              <a:latin typeface="Tahoma"/>
              <a:ea typeface="Tahoma"/>
              <a:cs typeface="Tahoma"/>
            </a:rPr>
            <a:t> </a:t>
          </a:r>
        </a:p>
      </xdr:txBody>
    </xdr:sp>
    <xdr:clientData/>
  </xdr:oneCellAnchor>
  <xdr:oneCellAnchor>
    <xdr:from>
      <xdr:col>3</xdr:col>
      <xdr:colOff>876300</xdr:colOff>
      <xdr:row>3</xdr:row>
      <xdr:rowOff>38100</xdr:rowOff>
    </xdr:from>
    <xdr:ext cx="1998380" cy="264753"/>
    <xdr:sp macro="" textlink="">
      <xdr:nvSpPr>
        <xdr:cNvPr id="202606" name="Text Box 878">
          <a:hlinkClick xmlns:r="http://schemas.openxmlformats.org/officeDocument/2006/relationships" r:id="rId10" tooltip="Ir a esta sección"/>
        </xdr:cNvPr>
        <xdr:cNvSpPr txBox="1">
          <a:spLocks noChangeArrowheads="1"/>
        </xdr:cNvSpPr>
      </xdr:nvSpPr>
      <xdr:spPr bwMode="auto">
        <a:xfrm>
          <a:off x="1219200" y="673100"/>
          <a:ext cx="1998380" cy="264753"/>
        </a:xfrm>
        <a:prstGeom prst="rect">
          <a:avLst/>
        </a:prstGeom>
        <a:solidFill>
          <a:srgbClr val="FFFFCC"/>
        </a:solidFill>
        <a:ln w="9525">
          <a:solidFill>
            <a:srgbClr val="333300"/>
          </a:solidFill>
          <a:miter lim="800000"/>
          <a:headEnd/>
          <a:tailEnd/>
        </a:ln>
      </xdr:spPr>
      <xdr:txBody>
        <a:bodyPr wrap="none" lIns="72000" tIns="46800" rIns="90000" bIns="46800" anchor="t" upright="1">
          <a:spAutoFit/>
        </a:bodyPr>
        <a:lstStyle/>
        <a:p>
          <a:pPr algn="l" rtl="0">
            <a:defRPr sz="1000"/>
          </a:pPr>
          <a:r>
            <a:rPr lang="es-ES" sz="1100" b="1" i="0" u="none" strike="noStrike" baseline="0">
              <a:solidFill>
                <a:srgbClr val="333300"/>
              </a:solidFill>
              <a:latin typeface="Tahoma"/>
              <a:ea typeface="Tahoma"/>
              <a:cs typeface="Tahoma"/>
            </a:rPr>
            <a:t>PÉRDIDAS Y GANANCIAS</a:t>
          </a:r>
          <a:r>
            <a:rPr lang="es-ES" sz="1100" b="0" i="0" u="none" strike="noStrike" baseline="0">
              <a:solidFill>
                <a:srgbClr val="333300"/>
              </a:solidFill>
              <a:latin typeface="Tahoma"/>
              <a:ea typeface="Tahoma"/>
              <a:cs typeface="Tahoma"/>
            </a:rPr>
            <a:t> </a:t>
          </a:r>
        </a:p>
      </xdr:txBody>
    </xdr:sp>
    <xdr:clientData/>
  </xdr:oneCellAnchor>
  <xdr:oneCellAnchor>
    <xdr:from>
      <xdr:col>5</xdr:col>
      <xdr:colOff>0</xdr:colOff>
      <xdr:row>3</xdr:row>
      <xdr:rowOff>38100</xdr:rowOff>
    </xdr:from>
    <xdr:ext cx="1510682" cy="264753"/>
    <xdr:sp macro="" textlink="">
      <xdr:nvSpPr>
        <xdr:cNvPr id="202607" name="Text Box 879">
          <a:hlinkClick xmlns:r="http://schemas.openxmlformats.org/officeDocument/2006/relationships" r:id="rId11" tooltip="Ir a esta sección"/>
        </xdr:cNvPr>
        <xdr:cNvSpPr txBox="1">
          <a:spLocks noChangeArrowheads="1"/>
        </xdr:cNvSpPr>
      </xdr:nvSpPr>
      <xdr:spPr bwMode="auto">
        <a:xfrm>
          <a:off x="3086100" y="673100"/>
          <a:ext cx="1510682" cy="264753"/>
        </a:xfrm>
        <a:prstGeom prst="rect">
          <a:avLst/>
        </a:prstGeom>
        <a:solidFill>
          <a:srgbClr val="FFFFCC"/>
        </a:solidFill>
        <a:ln w="9525">
          <a:solidFill>
            <a:srgbClr val="333300"/>
          </a:solidFill>
          <a:miter lim="800000"/>
          <a:headEnd/>
          <a:tailEnd/>
        </a:ln>
      </xdr:spPr>
      <xdr:txBody>
        <a:bodyPr wrap="none" lIns="72000" tIns="46800" rIns="90000" bIns="46800" anchor="t" upright="1">
          <a:spAutoFit/>
        </a:bodyPr>
        <a:lstStyle/>
        <a:p>
          <a:pPr algn="l" rtl="0">
            <a:defRPr sz="1000"/>
          </a:pPr>
          <a:r>
            <a:rPr lang="es-ES" sz="1100" b="1" i="0" u="none" strike="noStrike" baseline="0">
              <a:solidFill>
                <a:srgbClr val="333300"/>
              </a:solidFill>
              <a:latin typeface="Tahoma"/>
              <a:ea typeface="Tahoma"/>
              <a:cs typeface="Tahoma"/>
            </a:rPr>
            <a:t>PROFIT AND LOSS</a:t>
          </a:r>
          <a:r>
            <a:rPr lang="es-ES" sz="1100" b="0" i="0" u="none" strike="noStrike" baseline="0">
              <a:solidFill>
                <a:srgbClr val="333300"/>
              </a:solidFill>
              <a:latin typeface="Tahoma"/>
              <a:ea typeface="Tahoma"/>
              <a:cs typeface="Tahoma"/>
            </a:rPr>
            <a:t> </a:t>
          </a:r>
        </a:p>
      </xdr:txBody>
    </xdr:sp>
    <xdr:clientData/>
  </xdr:oneCellAnchor>
  <xdr:oneCellAnchor>
    <xdr:from>
      <xdr:col>6</xdr:col>
      <xdr:colOff>866775</xdr:colOff>
      <xdr:row>3</xdr:row>
      <xdr:rowOff>38100</xdr:rowOff>
    </xdr:from>
    <xdr:ext cx="1883155" cy="264753"/>
    <xdr:sp macro="" textlink="">
      <xdr:nvSpPr>
        <xdr:cNvPr id="202608" name="Text Box 880">
          <a:hlinkClick xmlns:r="http://schemas.openxmlformats.org/officeDocument/2006/relationships" r:id="rId12" tooltip="Ir a esta sección"/>
        </xdr:cNvPr>
        <xdr:cNvSpPr txBox="1">
          <a:spLocks noChangeArrowheads="1"/>
        </xdr:cNvSpPr>
      </xdr:nvSpPr>
      <xdr:spPr bwMode="auto">
        <a:xfrm>
          <a:off x="4498975" y="673100"/>
          <a:ext cx="1883155" cy="264753"/>
        </a:xfrm>
        <a:prstGeom prst="rect">
          <a:avLst/>
        </a:prstGeom>
        <a:solidFill>
          <a:srgbClr val="FFFFCC"/>
        </a:solidFill>
        <a:ln w="9525">
          <a:solidFill>
            <a:srgbClr val="333300"/>
          </a:solidFill>
          <a:miter lim="800000"/>
          <a:headEnd/>
          <a:tailEnd/>
        </a:ln>
      </xdr:spPr>
      <xdr:txBody>
        <a:bodyPr wrap="none" lIns="72000" tIns="46800" rIns="90000" bIns="46800" anchor="t" upright="1">
          <a:spAutoFit/>
        </a:bodyPr>
        <a:lstStyle/>
        <a:p>
          <a:pPr algn="l" rtl="0">
            <a:defRPr sz="1000"/>
          </a:pPr>
          <a:r>
            <a:rPr lang="es-ES" sz="1100" b="1" i="0" u="none" strike="noStrike" baseline="0">
              <a:solidFill>
                <a:srgbClr val="333300"/>
              </a:solidFill>
              <a:latin typeface="Tahoma"/>
              <a:ea typeface="Tahoma"/>
              <a:cs typeface="Tahoma"/>
            </a:rPr>
            <a:t>TESORERÍA (CashFlow)</a:t>
          </a:r>
          <a:r>
            <a:rPr lang="es-ES" sz="1100" b="0" i="0" u="none" strike="noStrike" baseline="0">
              <a:solidFill>
                <a:srgbClr val="333300"/>
              </a:solidFill>
              <a:latin typeface="Tahoma"/>
              <a:ea typeface="Tahoma"/>
              <a:cs typeface="Tahoma"/>
            </a:rPr>
            <a:t> </a:t>
          </a:r>
        </a:p>
      </xdr:txBody>
    </xdr:sp>
    <xdr:clientData/>
  </xdr:oneCellAnchor>
  <xdr:oneCellAnchor>
    <xdr:from>
      <xdr:col>8</xdr:col>
      <xdr:colOff>714375</xdr:colOff>
      <xdr:row>3</xdr:row>
      <xdr:rowOff>38100</xdr:rowOff>
    </xdr:from>
    <xdr:ext cx="3777648" cy="264753"/>
    <xdr:sp macro="" textlink="">
      <xdr:nvSpPr>
        <xdr:cNvPr id="202609" name="Text Box 881">
          <a:hlinkClick xmlns:r="http://schemas.openxmlformats.org/officeDocument/2006/relationships" r:id="rId13" tooltip="Ir a esta sección"/>
        </xdr:cNvPr>
        <xdr:cNvSpPr txBox="1">
          <a:spLocks noChangeArrowheads="1"/>
        </xdr:cNvSpPr>
      </xdr:nvSpPr>
      <xdr:spPr bwMode="auto">
        <a:xfrm>
          <a:off x="6302375" y="673100"/>
          <a:ext cx="3777648" cy="264753"/>
        </a:xfrm>
        <a:prstGeom prst="rect">
          <a:avLst/>
        </a:prstGeom>
        <a:solidFill>
          <a:srgbClr val="FFFFCC"/>
        </a:solidFill>
        <a:ln w="9525">
          <a:solidFill>
            <a:srgbClr val="333300"/>
          </a:solidFill>
          <a:miter lim="800000"/>
          <a:headEnd/>
          <a:tailEnd/>
        </a:ln>
      </xdr:spPr>
      <xdr:txBody>
        <a:bodyPr wrap="none" lIns="72000" tIns="46800" rIns="90000" bIns="46800" anchor="t" upright="1">
          <a:spAutoFit/>
        </a:bodyPr>
        <a:lstStyle/>
        <a:p>
          <a:pPr algn="l" rtl="0">
            <a:defRPr sz="1000"/>
          </a:pPr>
          <a:r>
            <a:rPr lang="es-ES" sz="1100" b="0" i="0" u="none" strike="noStrike" baseline="0">
              <a:solidFill>
                <a:srgbClr val="333300"/>
              </a:solidFill>
              <a:latin typeface="Tahoma"/>
              <a:ea typeface="Tahoma"/>
              <a:cs typeface="Tahoma"/>
            </a:rPr>
            <a:t>Análisis del </a:t>
          </a:r>
          <a:r>
            <a:rPr lang="es-ES" sz="1100" b="1" i="0" u="none" strike="noStrike" baseline="0">
              <a:solidFill>
                <a:srgbClr val="333300"/>
              </a:solidFill>
              <a:latin typeface="Tahoma"/>
              <a:ea typeface="Tahoma"/>
              <a:cs typeface="Tahoma"/>
            </a:rPr>
            <a:t>PUNTO DE EQUILIBRIO</a:t>
          </a:r>
          <a:r>
            <a:rPr lang="es-ES" sz="1100" b="0" i="0" u="none" strike="noStrike" baseline="0">
              <a:solidFill>
                <a:srgbClr val="333300"/>
              </a:solidFill>
              <a:latin typeface="Tahoma"/>
              <a:ea typeface="Tahoma"/>
              <a:cs typeface="Tahoma"/>
            </a:rPr>
            <a:t> (Break-Even Poin) </a:t>
          </a:r>
        </a:p>
      </xdr:txBody>
    </xdr:sp>
    <xdr:clientData/>
  </xdr:oneCellAnchor>
  <xdr:twoCellAnchor editAs="oneCell">
    <xdr:from>
      <xdr:col>3</xdr:col>
      <xdr:colOff>0</xdr:colOff>
      <xdr:row>2</xdr:row>
      <xdr:rowOff>66675</xdr:rowOff>
    </xdr:from>
    <xdr:to>
      <xdr:col>3</xdr:col>
      <xdr:colOff>419100</xdr:colOff>
      <xdr:row>2</xdr:row>
      <xdr:rowOff>476250</xdr:rowOff>
    </xdr:to>
    <xdr:pic>
      <xdr:nvPicPr>
        <xdr:cNvPr id="202624" name="Picture 896" descr="boto002">
          <a:hlinkClick xmlns:r="http://schemas.openxmlformats.org/officeDocument/2006/relationships" r:id="rId14" tooltip="Ir a la hoja ANTERIOR"/>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33375" y="180975"/>
          <a:ext cx="419100" cy="409575"/>
        </a:xfrm>
        <a:prstGeom prst="rect">
          <a:avLst/>
        </a:prstGeom>
        <a:noFill/>
        <a:ln w="9525">
          <a:noFill/>
          <a:miter lim="800000"/>
          <a:headEnd/>
          <a:tailEnd/>
        </a:ln>
      </xdr:spPr>
    </xdr:pic>
    <xdr:clientData/>
  </xdr:twoCellAnchor>
  <xdr:twoCellAnchor editAs="oneCell">
    <xdr:from>
      <xdr:col>3</xdr:col>
      <xdr:colOff>447675</xdr:colOff>
      <xdr:row>2</xdr:row>
      <xdr:rowOff>28575</xdr:rowOff>
    </xdr:from>
    <xdr:to>
      <xdr:col>3</xdr:col>
      <xdr:colOff>914400</xdr:colOff>
      <xdr:row>3</xdr:row>
      <xdr:rowOff>0</xdr:rowOff>
    </xdr:to>
    <xdr:pic>
      <xdr:nvPicPr>
        <xdr:cNvPr id="202625" name="Picture 897" descr="boto002">
          <a:hlinkClick xmlns:r="http://schemas.openxmlformats.org/officeDocument/2006/relationships" r:id="rId9" tooltip="VOLVER INICIO"/>
        </xdr:cNvPr>
        <xdr:cNvPicPr>
          <a:picLocks noChangeAspect="1" noChangeArrowheads="1"/>
        </xdr:cNvPicPr>
      </xdr:nvPicPr>
      <xdr:blipFill>
        <a:blip xmlns:r="http://schemas.openxmlformats.org/officeDocument/2006/relationships" r:embed="rId16" cstate="print"/>
        <a:srcRect/>
        <a:stretch>
          <a:fillRect/>
        </a:stretch>
      </xdr:blipFill>
      <xdr:spPr bwMode="auto">
        <a:xfrm>
          <a:off x="781050" y="142875"/>
          <a:ext cx="466725" cy="476250"/>
        </a:xfrm>
        <a:prstGeom prst="rect">
          <a:avLst/>
        </a:prstGeom>
        <a:noFill/>
        <a:ln w="9525">
          <a:noFill/>
          <a:miter lim="800000"/>
          <a:headEnd/>
          <a:tailEnd/>
        </a:ln>
      </xdr:spPr>
    </xdr:pic>
    <xdr:clientData/>
  </xdr:twoCellAnchor>
  <xdr:twoCellAnchor editAs="oneCell">
    <xdr:from>
      <xdr:col>12</xdr:col>
      <xdr:colOff>66675</xdr:colOff>
      <xdr:row>2</xdr:row>
      <xdr:rowOff>152400</xdr:rowOff>
    </xdr:from>
    <xdr:to>
      <xdr:col>13</xdr:col>
      <xdr:colOff>809625</xdr:colOff>
      <xdr:row>2</xdr:row>
      <xdr:rowOff>428625</xdr:rowOff>
    </xdr:to>
    <xdr:pic>
      <xdr:nvPicPr>
        <xdr:cNvPr id="202626" name="Picture 898" descr="info002">
          <a:hlinkClick xmlns:r="http://schemas.openxmlformats.org/officeDocument/2006/relationships" r:id="rId17" tooltip="Información sobre el uso del libro y de esta hoja"/>
        </xdr:cNvPr>
        <xdr:cNvPicPr>
          <a:picLocks noChangeAspect="1" noChangeArrowheads="1"/>
        </xdr:cNvPicPr>
      </xdr:nvPicPr>
      <xdr:blipFill>
        <a:blip xmlns:r="http://schemas.openxmlformats.org/officeDocument/2006/relationships" r:embed="rId18" cstate="print"/>
        <a:srcRect/>
        <a:stretch>
          <a:fillRect/>
        </a:stretch>
      </xdr:blipFill>
      <xdr:spPr bwMode="auto">
        <a:xfrm>
          <a:off x="9591675" y="266700"/>
          <a:ext cx="1724025" cy="276225"/>
        </a:xfrm>
        <a:prstGeom prst="rect">
          <a:avLst/>
        </a:prstGeom>
        <a:noFill/>
      </xdr:spPr>
    </xdr:pic>
    <xdr:clientData/>
  </xdr:twoCellAnchor>
  <xdr:twoCellAnchor editAs="oneCell">
    <xdr:from>
      <xdr:col>3</xdr:col>
      <xdr:colOff>1219200</xdr:colOff>
      <xdr:row>2</xdr:row>
      <xdr:rowOff>180975</xdr:rowOff>
    </xdr:from>
    <xdr:to>
      <xdr:col>4</xdr:col>
      <xdr:colOff>381000</xdr:colOff>
      <xdr:row>2</xdr:row>
      <xdr:rowOff>400050</xdr:rowOff>
    </xdr:to>
    <xdr:pic>
      <xdr:nvPicPr>
        <xdr:cNvPr id="202627" name="Picture 899"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552575" y="295275"/>
          <a:ext cx="923925" cy="219075"/>
        </a:xfrm>
        <a:prstGeom prst="rect">
          <a:avLst/>
        </a:prstGeom>
        <a:noFill/>
      </xdr:spPr>
    </xdr:pic>
    <xdr:clientData/>
  </xdr:twoCellAnchor>
</xdr:wsDr>
</file>

<file path=xl/drawings/drawing11.xml><?xml version="1.0" encoding="utf-8"?>
<c:userShapes xmlns:c="http://schemas.openxmlformats.org/drawingml/2006/chart">
  <cdr:relSizeAnchor xmlns:cdr="http://schemas.openxmlformats.org/drawingml/2006/chartDrawing">
    <cdr:from>
      <cdr:x>0.43614</cdr:x>
      <cdr:y>0.56766</cdr:y>
    </cdr:from>
    <cdr:to>
      <cdr:x>0.47091</cdr:x>
      <cdr:y>0.58827</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0.48016</cdr:x>
      <cdr:y>0.55961</cdr:y>
    </cdr:from>
    <cdr:to>
      <cdr:x>0.51151</cdr:x>
      <cdr:y>0.57976</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3.xml><?xml version="1.0" encoding="utf-8"?>
<c:userShapes xmlns:c="http://schemas.openxmlformats.org/drawingml/2006/chart">
  <cdr:relSizeAnchor xmlns:cdr="http://schemas.openxmlformats.org/drawingml/2006/chartDrawing">
    <cdr:from>
      <cdr:x>0.47422</cdr:x>
      <cdr:y>0.58082</cdr:y>
    </cdr:from>
    <cdr:to>
      <cdr:x>0.50682</cdr:x>
      <cdr:y>0.60238</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0.47294</cdr:x>
      <cdr:y>0.58382</cdr:y>
    </cdr:from>
    <cdr:to>
      <cdr:x>0.5048</cdr:x>
      <cdr:y>0.60537</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5.xml><?xml version="1.0" encoding="utf-8"?>
<c:userShapes xmlns:c="http://schemas.openxmlformats.org/drawingml/2006/chart">
  <cdr:relSizeAnchor xmlns:cdr="http://schemas.openxmlformats.org/drawingml/2006/chartDrawing">
    <cdr:from>
      <cdr:x>0.47716</cdr:x>
      <cdr:y>0.58771</cdr:y>
    </cdr:from>
    <cdr:to>
      <cdr:x>0.50951</cdr:x>
      <cdr:y>0.60929</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0.47716</cdr:x>
      <cdr:y>0.57379</cdr:y>
    </cdr:from>
    <cdr:to>
      <cdr:x>0.50976</cdr:x>
      <cdr:y>0.59444</cdr:y>
    </cdr:to>
    <cdr:sp macro="" textlink="">
      <cdr:nvSpPr>
        <cdr:cNvPr id="454657" name="Text Box 1"/>
        <cdr:cNvSpPr txBox="1">
          <a:spLocks xmlns:a="http://schemas.openxmlformats.org/drawingml/2006/main" noChangeArrowheads="1"/>
        </cdr:cNvSpPr>
      </cdr:nvSpPr>
      <cdr:spPr bwMode="auto">
        <a:xfrm xmlns:a="http://schemas.openxmlformats.org/drawingml/2006/main">
          <a:off x="2411828" y="2705799"/>
          <a:ext cx="130350" cy="1906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975" b="0" i="0" strike="noStrike">
              <a:solidFill>
                <a:srgbClr val="000000"/>
              </a:solidFill>
              <a:latin typeface="Arial"/>
              <a:cs typeface="Arial"/>
            </a:rPr>
            <a:t>,</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361950</xdr:colOff>
      <xdr:row>2</xdr:row>
      <xdr:rowOff>0</xdr:rowOff>
    </xdr:to>
    <xdr:pic>
      <xdr:nvPicPr>
        <xdr:cNvPr id="677870" name="Picture 110" descr="PLANNEGOCIOS003">
          <a:hlinkClick xmlns:r="http://schemas.openxmlformats.org/officeDocument/2006/relationships" r:id="rId1" tooltip="Volver al INICIO de la HOJA"/>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 y="0"/>
          <a:ext cx="361950" cy="314325"/>
        </a:xfrm>
        <a:prstGeom prst="rect">
          <a:avLst/>
        </a:prstGeom>
        <a:noFill/>
        <a:ln w="9525">
          <a:solidFill>
            <a:srgbClr val="808080"/>
          </a:solidFill>
          <a:miter lim="800000"/>
          <a:headEnd/>
          <a:tailEnd/>
        </a:ln>
      </xdr:spPr>
    </xdr:pic>
    <xdr:clientData/>
  </xdr:twoCellAnchor>
  <xdr:twoCellAnchor>
    <xdr:from>
      <xdr:col>5</xdr:col>
      <xdr:colOff>581025</xdr:colOff>
      <xdr:row>529</xdr:row>
      <xdr:rowOff>85725</xdr:rowOff>
    </xdr:from>
    <xdr:to>
      <xdr:col>9</xdr:col>
      <xdr:colOff>323850</xdr:colOff>
      <xdr:row>545</xdr:row>
      <xdr:rowOff>0</xdr:rowOff>
    </xdr:to>
    <xdr:sp macro="" textlink="">
      <xdr:nvSpPr>
        <xdr:cNvPr id="690801" name="Oval 2673">
          <a:hlinkClick xmlns:r="http://schemas.openxmlformats.org/officeDocument/2006/relationships" r:id="rId3" tooltip="Versiones 100% modificables por el usuario"/>
        </xdr:cNvPr>
        <xdr:cNvSpPr>
          <a:spLocks noChangeArrowheads="1"/>
        </xdr:cNvSpPr>
      </xdr:nvSpPr>
      <xdr:spPr bwMode="auto">
        <a:xfrm>
          <a:off x="3676650" y="714375"/>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0</xdr:row>
      <xdr:rowOff>0</xdr:rowOff>
    </xdr:from>
    <xdr:to>
      <xdr:col>1</xdr:col>
      <xdr:colOff>457200</xdr:colOff>
      <xdr:row>1</xdr:row>
      <xdr:rowOff>171450</xdr:rowOff>
    </xdr:to>
    <xdr:pic>
      <xdr:nvPicPr>
        <xdr:cNvPr id="401457" name="Picture 110" descr="PLANNEGOCIOS003">
          <a:hlinkClick xmlns:r="http://schemas.openxmlformats.org/officeDocument/2006/relationships" r:id="rId1" tooltip="Volver al INICIO de la HOJA"/>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 y="0"/>
          <a:ext cx="361950" cy="314325"/>
        </a:xfrm>
        <a:prstGeom prst="rect">
          <a:avLst/>
        </a:prstGeom>
        <a:noFill/>
        <a:ln w="9525">
          <a:solidFill>
            <a:srgbClr val="808080"/>
          </a:solidFill>
          <a:miter lim="800000"/>
          <a:headEnd/>
          <a:tailEnd/>
        </a:ln>
      </xdr:spPr>
    </xdr:pic>
    <xdr:clientData/>
  </xdr:twoCellAnchor>
  <xdr:twoCellAnchor>
    <xdr:from>
      <xdr:col>4</xdr:col>
      <xdr:colOff>371475</xdr:colOff>
      <xdr:row>130</xdr:row>
      <xdr:rowOff>85725</xdr:rowOff>
    </xdr:from>
    <xdr:to>
      <xdr:col>9</xdr:col>
      <xdr:colOff>209550</xdr:colOff>
      <xdr:row>148</xdr:row>
      <xdr:rowOff>19050</xdr:rowOff>
    </xdr:to>
    <xdr:sp macro="" textlink="">
      <xdr:nvSpPr>
        <xdr:cNvPr id="401515" name="Oval 2155">
          <a:hlinkClick xmlns:r="http://schemas.openxmlformats.org/officeDocument/2006/relationships" r:id="rId3" tooltip="Versiones 100% modificables por el usuario"/>
        </xdr:cNvPr>
        <xdr:cNvSpPr>
          <a:spLocks noChangeArrowheads="1"/>
        </xdr:cNvSpPr>
      </xdr:nvSpPr>
      <xdr:spPr bwMode="auto">
        <a:xfrm>
          <a:off x="3067050" y="838200"/>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95250</xdr:colOff>
      <xdr:row>0</xdr:row>
      <xdr:rowOff>0</xdr:rowOff>
    </xdr:from>
    <xdr:to>
      <xdr:col>1</xdr:col>
      <xdr:colOff>457200</xdr:colOff>
      <xdr:row>1</xdr:row>
      <xdr:rowOff>0</xdr:rowOff>
    </xdr:to>
    <xdr:pic>
      <xdr:nvPicPr>
        <xdr:cNvPr id="350726" name="Picture 110" descr="PLANNEGOCIOS003">
          <a:hlinkClick xmlns:r="http://schemas.openxmlformats.org/officeDocument/2006/relationships" r:id="rId1" tooltip="Volver al INICIO de la HOJA"/>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250" y="0"/>
          <a:ext cx="361950" cy="314325"/>
        </a:xfrm>
        <a:prstGeom prst="rect">
          <a:avLst/>
        </a:prstGeom>
        <a:noFill/>
        <a:ln w="9525">
          <a:solidFill>
            <a:srgbClr val="808080"/>
          </a:solidFill>
          <a:miter lim="800000"/>
          <a:headEnd/>
          <a:tailEnd/>
        </a:ln>
      </xdr:spPr>
    </xdr:pic>
    <xdr:clientData/>
  </xdr:twoCellAnchor>
  <xdr:twoCellAnchor>
    <xdr:from>
      <xdr:col>55</xdr:col>
      <xdr:colOff>514350</xdr:colOff>
      <xdr:row>382</xdr:row>
      <xdr:rowOff>66675</xdr:rowOff>
    </xdr:from>
    <xdr:to>
      <xdr:col>60</xdr:col>
      <xdr:colOff>352425</xdr:colOff>
      <xdr:row>400</xdr:row>
      <xdr:rowOff>0</xdr:rowOff>
    </xdr:to>
    <xdr:sp macro="" textlink="">
      <xdr:nvSpPr>
        <xdr:cNvPr id="351169" name="Oval 3009">
          <a:hlinkClick xmlns:r="http://schemas.openxmlformats.org/officeDocument/2006/relationships" r:id="rId3" tooltip="Versiones 100% modificables por el usuario"/>
        </xdr:cNvPr>
        <xdr:cNvSpPr>
          <a:spLocks noChangeArrowheads="1"/>
        </xdr:cNvSpPr>
      </xdr:nvSpPr>
      <xdr:spPr bwMode="auto">
        <a:xfrm>
          <a:off x="3381375" y="809625"/>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228600</xdr:colOff>
      <xdr:row>12</xdr:row>
      <xdr:rowOff>0</xdr:rowOff>
    </xdr:from>
    <xdr:to>
      <xdr:col>15</xdr:col>
      <xdr:colOff>228600</xdr:colOff>
      <xdr:row>12</xdr:row>
      <xdr:rowOff>0</xdr:rowOff>
    </xdr:to>
    <xdr:sp macro="" textlink="">
      <xdr:nvSpPr>
        <xdr:cNvPr id="958479" name="Line 15"/>
        <xdr:cNvSpPr>
          <a:spLocks noChangeShapeType="1"/>
        </xdr:cNvSpPr>
      </xdr:nvSpPr>
      <xdr:spPr bwMode="auto">
        <a:xfrm>
          <a:off x="7229475" y="1924050"/>
          <a:ext cx="0" cy="0"/>
        </a:xfrm>
        <a:prstGeom prst="line">
          <a:avLst/>
        </a:prstGeom>
        <a:noFill/>
        <a:ln w="9525">
          <a:noFill/>
          <a:round/>
          <a:headEnd/>
          <a:tailEnd/>
        </a:ln>
        <a:effectLst>
          <a:prstShdw prst="shdw17" dist="17961" dir="2700000">
            <a:srgbClr val="FFFFFF">
              <a:gamma/>
              <a:shade val="60000"/>
              <a:invGamma/>
            </a:srgbClr>
          </a:prstShdw>
        </a:effectLst>
      </xdr:spPr>
    </xdr:sp>
    <xdr:clientData/>
  </xdr:twoCellAnchor>
  <xdr:twoCellAnchor>
    <xdr:from>
      <xdr:col>21</xdr:col>
      <xdr:colOff>285750</xdr:colOff>
      <xdr:row>8</xdr:row>
      <xdr:rowOff>0</xdr:rowOff>
    </xdr:from>
    <xdr:to>
      <xdr:col>21</xdr:col>
      <xdr:colOff>285750</xdr:colOff>
      <xdr:row>12</xdr:row>
      <xdr:rowOff>0</xdr:rowOff>
    </xdr:to>
    <xdr:sp macro="" textlink="">
      <xdr:nvSpPr>
        <xdr:cNvPr id="958480" name="Line 16"/>
        <xdr:cNvSpPr>
          <a:spLocks noChangeShapeType="1"/>
        </xdr:cNvSpPr>
      </xdr:nvSpPr>
      <xdr:spPr bwMode="auto">
        <a:xfrm>
          <a:off x="9048750" y="1381125"/>
          <a:ext cx="0" cy="542925"/>
        </a:xfrm>
        <a:prstGeom prst="line">
          <a:avLst/>
        </a:prstGeom>
        <a:noFill/>
        <a:ln w="9525">
          <a:noFill/>
          <a:round/>
          <a:headEnd/>
          <a:tailEnd/>
        </a:ln>
        <a:effectLst>
          <a:prstShdw prst="shdw17" dist="17961" dir="2700000">
            <a:srgbClr val="FFFFFF">
              <a:gamma/>
              <a:shade val="60000"/>
              <a:invGamma/>
            </a:srgbClr>
          </a:prstShdw>
        </a:effectLst>
      </xdr:spPr>
    </xdr:sp>
    <xdr:clientData/>
  </xdr:twoCellAnchor>
  <xdr:twoCellAnchor editAs="oneCell">
    <xdr:from>
      <xdr:col>5</xdr:col>
      <xdr:colOff>609600</xdr:colOff>
      <xdr:row>1</xdr:row>
      <xdr:rowOff>114300</xdr:rowOff>
    </xdr:from>
    <xdr:to>
      <xdr:col>6</xdr:col>
      <xdr:colOff>295275</xdr:colOff>
      <xdr:row>1</xdr:row>
      <xdr:rowOff>295275</xdr:rowOff>
    </xdr:to>
    <xdr:pic>
      <xdr:nvPicPr>
        <xdr:cNvPr id="958495" name="Picture 31" descr="indice">
          <a:hlinkClick xmlns:r="http://schemas.openxmlformats.org/officeDocument/2006/relationships" r:id="rId1" tooltip="ir al índice"/>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57300" y="238125"/>
          <a:ext cx="733425" cy="180975"/>
        </a:xfrm>
        <a:prstGeom prst="rect">
          <a:avLst/>
        </a:prstGeom>
        <a:noFill/>
      </xdr:spPr>
    </xdr:pic>
    <xdr:clientData/>
  </xdr:twoCellAnchor>
  <xdr:twoCellAnchor editAs="oneCell">
    <xdr:from>
      <xdr:col>3</xdr:col>
      <xdr:colOff>19050</xdr:colOff>
      <xdr:row>1</xdr:row>
      <xdr:rowOff>28575</xdr:rowOff>
    </xdr:from>
    <xdr:to>
      <xdr:col>5</xdr:col>
      <xdr:colOff>257175</xdr:colOff>
      <xdr:row>1</xdr:row>
      <xdr:rowOff>352425</xdr:rowOff>
    </xdr:to>
    <xdr:pic>
      <xdr:nvPicPr>
        <xdr:cNvPr id="958496" name="Picture 32" descr="boto002">
          <a:hlinkClick xmlns:r="http://schemas.openxmlformats.org/officeDocument/2006/relationships" r:id="rId3" tooltip="Ir a la hoja ANTERIOR"/>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1500" y="152400"/>
          <a:ext cx="333375" cy="323850"/>
        </a:xfrm>
        <a:prstGeom prst="rect">
          <a:avLst/>
        </a:prstGeom>
        <a:noFill/>
      </xdr:spPr>
    </xdr:pic>
    <xdr:clientData/>
  </xdr:twoCellAnchor>
  <xdr:twoCellAnchor editAs="oneCell">
    <xdr:from>
      <xdr:col>16</xdr:col>
      <xdr:colOff>428625</xdr:colOff>
      <xdr:row>1</xdr:row>
      <xdr:rowOff>19050</xdr:rowOff>
    </xdr:from>
    <xdr:to>
      <xdr:col>18</xdr:col>
      <xdr:colOff>28575</xdr:colOff>
      <xdr:row>1</xdr:row>
      <xdr:rowOff>342900</xdr:rowOff>
    </xdr:to>
    <xdr:pic>
      <xdr:nvPicPr>
        <xdr:cNvPr id="958497" name="Picture 33" descr="boto002">
          <a:hlinkClick xmlns:r="http://schemas.openxmlformats.org/officeDocument/2006/relationships" r:id="rId1" tooltip="Ir a la hoja SIGUIENTE"/>
        </xdr:cNvPr>
        <xdr:cNvPicPr>
          <a:picLocks noChangeAspect="1" noChangeArrowheads="1"/>
        </xdr:cNvPicPr>
      </xdr:nvPicPr>
      <xdr:blipFill>
        <a:blip xmlns:r="http://schemas.openxmlformats.org/officeDocument/2006/relationships" r:embed="rId5" cstate="print"/>
        <a:srcRect/>
        <a:stretch>
          <a:fillRect/>
        </a:stretch>
      </xdr:blipFill>
      <xdr:spPr bwMode="auto">
        <a:xfrm>
          <a:off x="7991475" y="142875"/>
          <a:ext cx="333375" cy="323850"/>
        </a:xfrm>
        <a:prstGeom prst="rect">
          <a:avLst/>
        </a:prstGeom>
        <a:noFill/>
      </xdr:spPr>
    </xdr:pic>
    <xdr:clientData/>
  </xdr:twoCellAnchor>
  <xdr:twoCellAnchor editAs="oneCell">
    <xdr:from>
      <xdr:col>14</xdr:col>
      <xdr:colOff>38100</xdr:colOff>
      <xdr:row>1</xdr:row>
      <xdr:rowOff>104775</xdr:rowOff>
    </xdr:from>
    <xdr:to>
      <xdr:col>16</xdr:col>
      <xdr:colOff>228600</xdr:colOff>
      <xdr:row>1</xdr:row>
      <xdr:rowOff>323850</xdr:rowOff>
    </xdr:to>
    <xdr:pic>
      <xdr:nvPicPr>
        <xdr:cNvPr id="958499" name="Picture 35" descr="info002">
          <a:hlinkClick xmlns:r="http://schemas.openxmlformats.org/officeDocument/2006/relationships" r:id="rId6" tooltip="Información sobre el uso del libro y de esta hoja"/>
        </xdr:cNvPr>
        <xdr:cNvPicPr>
          <a:picLocks noChangeAspect="1" noChangeArrowheads="1"/>
        </xdr:cNvPicPr>
      </xdr:nvPicPr>
      <xdr:blipFill>
        <a:blip xmlns:r="http://schemas.openxmlformats.org/officeDocument/2006/relationships" r:embed="rId7" cstate="print"/>
        <a:srcRect/>
        <a:stretch>
          <a:fillRect/>
        </a:stretch>
      </xdr:blipFill>
      <xdr:spPr bwMode="auto">
        <a:xfrm>
          <a:off x="6429375" y="228600"/>
          <a:ext cx="1362075" cy="219075"/>
        </a:xfrm>
        <a:prstGeom prst="rect">
          <a:avLst/>
        </a:prstGeom>
        <a:noFill/>
      </xdr:spPr>
    </xdr:pic>
    <xdr:clientData/>
  </xdr:twoCellAnchor>
  <xdr:twoCellAnchor editAs="oneCell">
    <xdr:from>
      <xdr:col>19</xdr:col>
      <xdr:colOff>19050</xdr:colOff>
      <xdr:row>20</xdr:row>
      <xdr:rowOff>114300</xdr:rowOff>
    </xdr:from>
    <xdr:to>
      <xdr:col>25</xdr:col>
      <xdr:colOff>0</xdr:colOff>
      <xdr:row>31</xdr:row>
      <xdr:rowOff>9525</xdr:rowOff>
    </xdr:to>
    <xdr:pic>
      <xdr:nvPicPr>
        <xdr:cNvPr id="958503" name="Picture 39" descr="Fotolia_36549914_XS">
          <a:hlinkClick xmlns:r="http://schemas.openxmlformats.org/officeDocument/2006/relationships" r:id="rId8" tooltip="Planes de Negocio RECOMENDADOS"/>
        </xdr:cNvPr>
        <xdr:cNvPicPr>
          <a:picLocks noChangeAspect="1" noChangeArrowheads="1"/>
        </xdr:cNvPicPr>
      </xdr:nvPicPr>
      <xdr:blipFill>
        <a:blip xmlns:r="http://schemas.openxmlformats.org/officeDocument/2006/relationships" r:embed="rId9" cstate="print">
          <a:lum bright="52000" contrast="-70000"/>
        </a:blip>
        <a:srcRect/>
        <a:stretch>
          <a:fillRect/>
        </a:stretch>
      </xdr:blipFill>
      <xdr:spPr bwMode="auto">
        <a:xfrm>
          <a:off x="8372475" y="3524250"/>
          <a:ext cx="1647825" cy="1647825"/>
        </a:xfrm>
        <a:prstGeom prst="rect">
          <a:avLst/>
        </a:prstGeom>
        <a:solidFill>
          <a:srgbClr val="FFFFFF"/>
        </a:solid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361950</xdr:colOff>
      <xdr:row>0</xdr:row>
      <xdr:rowOff>314325</xdr:rowOff>
    </xdr:to>
    <xdr:pic>
      <xdr:nvPicPr>
        <xdr:cNvPr id="347538" name="Picture 110" descr="PLANNEGOCIOS003">
          <a:hlinkClick xmlns:r="http://schemas.openxmlformats.org/officeDocument/2006/relationships" r:id="rId1" tooltip="Volver al INICIO de la HOJA"/>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361950" cy="314325"/>
        </a:xfrm>
        <a:prstGeom prst="rect">
          <a:avLst/>
        </a:prstGeom>
        <a:noFill/>
        <a:ln w="9525">
          <a:solidFill>
            <a:srgbClr val="808080"/>
          </a:solidFill>
          <a:miter lim="800000"/>
          <a:headEnd/>
          <a:tailEnd/>
        </a:ln>
      </xdr:spPr>
    </xdr:pic>
    <xdr:clientData/>
  </xdr:twoCellAnchor>
  <xdr:twoCellAnchor>
    <xdr:from>
      <xdr:col>5</xdr:col>
      <xdr:colOff>9525</xdr:colOff>
      <xdr:row>407</xdr:row>
      <xdr:rowOff>133350</xdr:rowOff>
    </xdr:from>
    <xdr:to>
      <xdr:col>8</xdr:col>
      <xdr:colOff>485775</xdr:colOff>
      <xdr:row>425</xdr:row>
      <xdr:rowOff>66675</xdr:rowOff>
    </xdr:to>
    <xdr:sp macro="" textlink="">
      <xdr:nvSpPr>
        <xdr:cNvPr id="347570" name="Oval 11698">
          <a:hlinkClick xmlns:r="http://schemas.openxmlformats.org/officeDocument/2006/relationships" r:id="rId3" tooltip="Versiones 100% modificables por el usuario"/>
        </xdr:cNvPr>
        <xdr:cNvSpPr>
          <a:spLocks noChangeArrowheads="1"/>
        </xdr:cNvSpPr>
      </xdr:nvSpPr>
      <xdr:spPr bwMode="auto">
        <a:xfrm>
          <a:off x="3448050" y="742950"/>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400050</xdr:colOff>
      <xdr:row>1</xdr:row>
      <xdr:rowOff>161925</xdr:rowOff>
    </xdr:to>
    <xdr:pic>
      <xdr:nvPicPr>
        <xdr:cNvPr id="252807" name="Picture 110" descr="PLANNEGOCIOS003">
          <a:hlinkClick xmlns:r="http://schemas.openxmlformats.org/officeDocument/2006/relationships" r:id="rId1" tooltip="Volver al INICIO de la HOJA"/>
        </xdr:cNvPr>
        <xdr:cNvPicPr>
          <a:picLocks noChangeAspect="1" noChangeArrowheads="1"/>
        </xdr:cNvPicPr>
      </xdr:nvPicPr>
      <xdr:blipFill>
        <a:blip xmlns:r="http://schemas.openxmlformats.org/officeDocument/2006/relationships" r:embed="rId2" cstate="print"/>
        <a:srcRect/>
        <a:stretch>
          <a:fillRect/>
        </a:stretch>
      </xdr:blipFill>
      <xdr:spPr bwMode="auto">
        <a:xfrm>
          <a:off x="38100" y="0"/>
          <a:ext cx="361950" cy="314325"/>
        </a:xfrm>
        <a:prstGeom prst="rect">
          <a:avLst/>
        </a:prstGeom>
        <a:noFill/>
        <a:ln w="9525">
          <a:solidFill>
            <a:srgbClr val="808080"/>
          </a:solidFill>
          <a:miter lim="800000"/>
          <a:headEnd/>
          <a:tailEnd/>
        </a:ln>
      </xdr:spPr>
    </xdr:pic>
    <xdr:clientData/>
  </xdr:twoCellAnchor>
  <xdr:twoCellAnchor>
    <xdr:from>
      <xdr:col>24</xdr:col>
      <xdr:colOff>419100</xdr:colOff>
      <xdr:row>260</xdr:row>
      <xdr:rowOff>152400</xdr:rowOff>
    </xdr:from>
    <xdr:to>
      <xdr:col>28</xdr:col>
      <xdr:colOff>228600</xdr:colOff>
      <xdr:row>276</xdr:row>
      <xdr:rowOff>66675</xdr:rowOff>
    </xdr:to>
    <xdr:sp macro="" textlink="">
      <xdr:nvSpPr>
        <xdr:cNvPr id="252875" name="Oval 971">
          <a:hlinkClick xmlns:r="http://schemas.openxmlformats.org/officeDocument/2006/relationships" r:id="rId3" tooltip="Versiones 100% modificables por el usuario"/>
        </xdr:cNvPr>
        <xdr:cNvSpPr>
          <a:spLocks noChangeArrowheads="1"/>
        </xdr:cNvSpPr>
      </xdr:nvSpPr>
      <xdr:spPr bwMode="auto">
        <a:xfrm>
          <a:off x="3686175" y="809625"/>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361950</xdr:colOff>
      <xdr:row>397</xdr:row>
      <xdr:rowOff>38100</xdr:rowOff>
    </xdr:from>
    <xdr:to>
      <xdr:col>7</xdr:col>
      <xdr:colOff>381000</xdr:colOff>
      <xdr:row>414</xdr:row>
      <xdr:rowOff>0</xdr:rowOff>
    </xdr:to>
    <xdr:sp macro="" textlink="">
      <xdr:nvSpPr>
        <xdr:cNvPr id="611879" name="Oval 3623">
          <a:hlinkClick xmlns:r="http://schemas.openxmlformats.org/officeDocument/2006/relationships" r:id="rId1" tooltip="Versiones 100% modificables por el usuario"/>
        </xdr:cNvPr>
        <xdr:cNvSpPr>
          <a:spLocks noChangeArrowheads="1"/>
        </xdr:cNvSpPr>
      </xdr:nvSpPr>
      <xdr:spPr bwMode="auto">
        <a:xfrm>
          <a:off x="3724275" y="2695575"/>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modificable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76200</xdr:colOff>
      <xdr:row>221</xdr:row>
      <xdr:rowOff>38100</xdr:rowOff>
    </xdr:from>
    <xdr:to>
      <xdr:col>10</xdr:col>
      <xdr:colOff>552450</xdr:colOff>
      <xdr:row>223</xdr:row>
      <xdr:rowOff>104775</xdr:rowOff>
    </xdr:to>
    <xdr:sp macro="" textlink="">
      <xdr:nvSpPr>
        <xdr:cNvPr id="243688" name="Text Box 2014"/>
        <xdr:cNvSpPr txBox="1">
          <a:spLocks noChangeArrowheads="1"/>
        </xdr:cNvSpPr>
      </xdr:nvSpPr>
      <xdr:spPr bwMode="auto">
        <a:xfrm>
          <a:off x="2276475" y="1819275"/>
          <a:ext cx="5133975" cy="390525"/>
        </a:xfrm>
        <a:prstGeom prst="rect">
          <a:avLst/>
        </a:prstGeom>
        <a:solidFill>
          <a:srgbClr val="FFCC99"/>
        </a:solidFill>
        <a:ln w="9525" algn="ctr">
          <a:solidFill>
            <a:srgbClr val="C0C0C0"/>
          </a:solidFill>
          <a:miter lim="800000"/>
          <a:headEnd/>
          <a:tailEnd/>
        </a:ln>
      </xdr:spPr>
      <xdr:txBody>
        <a:bodyPr vertOverflow="clip" wrap="square" lIns="27432" tIns="22860" rIns="27432" bIns="0" anchor="t" upright="1"/>
        <a:lstStyle/>
        <a:p>
          <a:pPr algn="ctr" rtl="0">
            <a:defRPr sz="1000"/>
          </a:pPr>
          <a:r>
            <a:rPr lang="es-ES" sz="1000" b="1" i="0" u="none" strike="noStrike" baseline="0">
              <a:solidFill>
                <a:srgbClr val="800000"/>
              </a:solidFill>
              <a:latin typeface="Tahoma"/>
              <a:ea typeface="Tahoma"/>
              <a:cs typeface="Tahoma"/>
            </a:rPr>
            <a:t>No suprimas esta hoja o el libro no funcionará correctamente. </a:t>
          </a:r>
        </a:p>
        <a:p>
          <a:pPr algn="ctr" rtl="0">
            <a:defRPr sz="1000"/>
          </a:pPr>
          <a:r>
            <a:rPr lang="es-ES" sz="1000" b="1" i="0" u="none" strike="noStrike" baseline="0">
              <a:solidFill>
                <a:srgbClr val="800000"/>
              </a:solidFill>
              <a:latin typeface="Tahoma"/>
              <a:ea typeface="Tahoma"/>
              <a:cs typeface="Tahoma"/>
            </a:rPr>
            <a:t>Haz las modificaciones que desees en las demás hojas</a:t>
          </a:r>
        </a:p>
      </xdr:txBody>
    </xdr:sp>
    <xdr:clientData/>
  </xdr:twoCellAnchor>
  <xdr:twoCellAnchor>
    <xdr:from>
      <xdr:col>4</xdr:col>
      <xdr:colOff>95250</xdr:colOff>
      <xdr:row>224</xdr:row>
      <xdr:rowOff>57150</xdr:rowOff>
    </xdr:from>
    <xdr:to>
      <xdr:col>10</xdr:col>
      <xdr:colOff>561975</xdr:colOff>
      <xdr:row>234</xdr:row>
      <xdr:rowOff>85725</xdr:rowOff>
    </xdr:to>
    <xdr:sp macro="" textlink="">
      <xdr:nvSpPr>
        <xdr:cNvPr id="243689" name="Text Box 2015"/>
        <xdr:cNvSpPr txBox="1">
          <a:spLocks noChangeArrowheads="1"/>
        </xdr:cNvSpPr>
      </xdr:nvSpPr>
      <xdr:spPr bwMode="auto">
        <a:xfrm>
          <a:off x="2295525" y="2324100"/>
          <a:ext cx="5124450" cy="1666875"/>
        </a:xfrm>
        <a:prstGeom prst="rect">
          <a:avLst/>
        </a:prstGeom>
        <a:noFill/>
        <a:ln w="9525" algn="ctr">
          <a:solidFill>
            <a:srgbClr val="C0C0C0"/>
          </a:solidFill>
          <a:miter lim="800000"/>
          <a:headEnd/>
          <a:tailEnd/>
        </a:ln>
      </xdr:spPr>
      <xdr:txBody>
        <a:bodyPr vertOverflow="clip" wrap="square" lIns="72000" tIns="46800" rIns="90000" bIns="46800" anchor="t" upright="1"/>
        <a:lstStyle/>
        <a:p>
          <a:pPr algn="ctr" rtl="0">
            <a:defRPr sz="1000"/>
          </a:pPr>
          <a:r>
            <a:rPr lang="es-ES" sz="1100" b="0" i="0" u="none" strike="noStrike" baseline="0">
              <a:solidFill>
                <a:srgbClr val="000000"/>
              </a:solidFill>
              <a:latin typeface="Tahoma"/>
              <a:ea typeface="Tahoma"/>
              <a:cs typeface="Tahoma"/>
            </a:rPr>
            <a:t>© A.M. Dunyó y e.ditor consulting s.l.</a:t>
          </a:r>
        </a:p>
        <a:p>
          <a:pPr algn="ctr" rtl="0">
            <a:defRPr sz="1000"/>
          </a:pPr>
          <a:r>
            <a:rPr lang="es-ES" sz="1100" b="0" i="0" u="none" strike="noStrike" baseline="0">
              <a:solidFill>
                <a:srgbClr val="000000"/>
              </a:solidFill>
              <a:latin typeface="Tahoma"/>
              <a:ea typeface="Tahoma"/>
              <a:cs typeface="Tahoma"/>
            </a:rPr>
            <a:t>     </a:t>
          </a:r>
        </a:p>
        <a:p>
          <a:pPr algn="ctr" rtl="0">
            <a:defRPr sz="1000"/>
          </a:pPr>
          <a:r>
            <a:rPr lang="es-ES" sz="1000" b="0" i="0" u="none" strike="noStrike" baseline="0">
              <a:solidFill>
                <a:srgbClr val="000000"/>
              </a:solidFill>
              <a:latin typeface="Tahoma"/>
              <a:ea typeface="Tahoma"/>
              <a:cs typeface="Tahoma"/>
            </a:rPr>
            <a:t>La venta, comercialización o distribución por cualquier medio, soporte o formato no está permitida sin el permiso previo y por escrito de su autor. </a:t>
          </a:r>
          <a:endParaRPr lang="es-ES" sz="1100" b="1" i="0" u="none" strike="noStrike" baseline="0">
            <a:solidFill>
              <a:srgbClr val="000000"/>
            </a:solidFill>
            <a:latin typeface="Tahoma"/>
            <a:ea typeface="Tahoma"/>
            <a:cs typeface="Tahoma"/>
          </a:endParaRPr>
        </a:p>
        <a:p>
          <a:pPr algn="ctr" rtl="0">
            <a:defRPr sz="1000"/>
          </a:pPr>
          <a:endParaRPr lang="es-ES" sz="1100" b="1" i="0" u="none" strike="noStrike" baseline="0">
            <a:solidFill>
              <a:srgbClr val="000000"/>
            </a:solidFill>
            <a:latin typeface="Tahoma"/>
            <a:ea typeface="Tahoma"/>
            <a:cs typeface="Tahoma"/>
          </a:endParaRPr>
        </a:p>
        <a:p>
          <a:pPr algn="ctr" rtl="0">
            <a:defRPr sz="1000"/>
          </a:pPr>
          <a:r>
            <a:rPr lang="es-ES" sz="1100" b="1" i="0" u="none" strike="noStrike" baseline="0">
              <a:solidFill>
                <a:srgbClr val="000000"/>
              </a:solidFill>
              <a:latin typeface="Tahoma"/>
              <a:ea typeface="Tahoma"/>
              <a:cs typeface="Tahoma"/>
            </a:rPr>
            <a:t>    Contacto: info@e.ditor.com</a:t>
          </a:r>
        </a:p>
        <a:p>
          <a:pPr algn="ctr" rtl="0">
            <a:defRPr sz="1000"/>
          </a:pPr>
          <a:endParaRPr lang="es-ES" sz="1100" b="1" i="0" u="none" strike="noStrike" baseline="0">
            <a:solidFill>
              <a:srgbClr val="000000"/>
            </a:solidFill>
            <a:latin typeface="Tahoma"/>
            <a:ea typeface="Tahoma"/>
            <a:cs typeface="Tahoma"/>
          </a:endParaRPr>
        </a:p>
      </xdr:txBody>
    </xdr:sp>
    <xdr:clientData/>
  </xdr:twoCellAnchor>
  <xdr:twoCellAnchor>
    <xdr:from>
      <xdr:col>3</xdr:col>
      <xdr:colOff>971550</xdr:colOff>
      <xdr:row>222</xdr:row>
      <xdr:rowOff>66675</xdr:rowOff>
    </xdr:from>
    <xdr:to>
      <xdr:col>4</xdr:col>
      <xdr:colOff>485775</xdr:colOff>
      <xdr:row>226</xdr:row>
      <xdr:rowOff>133350</xdr:rowOff>
    </xdr:to>
    <xdr:pic>
      <xdr:nvPicPr>
        <xdr:cNvPr id="243690" name="Picture 2016" descr="attention_niels_epting_01"/>
        <xdr:cNvPicPr>
          <a:picLocks noChangeAspect="1" noChangeArrowheads="1"/>
        </xdr:cNvPicPr>
      </xdr:nvPicPr>
      <xdr:blipFill>
        <a:blip xmlns:r="http://schemas.openxmlformats.org/officeDocument/2006/relationships" r:embed="rId1" cstate="print"/>
        <a:srcRect/>
        <a:stretch>
          <a:fillRect/>
        </a:stretch>
      </xdr:blipFill>
      <xdr:spPr bwMode="auto">
        <a:xfrm>
          <a:off x="1905000" y="2009775"/>
          <a:ext cx="781050" cy="733425"/>
        </a:xfrm>
        <a:prstGeom prst="rect">
          <a:avLst/>
        </a:prstGeom>
        <a:noFill/>
        <a:ln w="9525">
          <a:noFill/>
          <a:miter lim="800000"/>
          <a:headEnd/>
          <a:tailEnd/>
        </a:ln>
      </xdr:spPr>
    </xdr:pic>
    <xdr:clientData/>
  </xdr:twoCellAnchor>
  <xdr:twoCellAnchor editAs="oneCell">
    <xdr:from>
      <xdr:col>6</xdr:col>
      <xdr:colOff>695325</xdr:colOff>
      <xdr:row>233</xdr:row>
      <xdr:rowOff>114300</xdr:rowOff>
    </xdr:from>
    <xdr:to>
      <xdr:col>8</xdr:col>
      <xdr:colOff>19050</xdr:colOff>
      <xdr:row>235</xdr:row>
      <xdr:rowOff>57150</xdr:rowOff>
    </xdr:to>
    <xdr:pic>
      <xdr:nvPicPr>
        <xdr:cNvPr id="243691" name="Picture 2017" descr="EDITOR">
          <a:hlinkClick xmlns:r="http://schemas.openxmlformats.org/officeDocument/2006/relationships" r:id="rId2" tooltip="enviar un e-mail (necesitas conexión)"/>
        </xdr:cNvPr>
        <xdr:cNvPicPr>
          <a:picLocks noChangeAspect="1" noChangeArrowheads="1"/>
        </xdr:cNvPicPr>
      </xdr:nvPicPr>
      <xdr:blipFill>
        <a:blip xmlns:r="http://schemas.openxmlformats.org/officeDocument/2006/relationships" r:embed="rId3" cstate="print"/>
        <a:srcRect/>
        <a:stretch>
          <a:fillRect/>
        </a:stretch>
      </xdr:blipFill>
      <xdr:spPr bwMode="auto">
        <a:xfrm>
          <a:off x="4524375" y="3857625"/>
          <a:ext cx="752475" cy="266700"/>
        </a:xfrm>
        <a:prstGeom prst="rect">
          <a:avLst/>
        </a:prstGeom>
        <a:noFill/>
        <a:ln w="9525">
          <a:solidFill>
            <a:srgbClr val="C0C0C0"/>
          </a:solid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1</xdr:row>
      <xdr:rowOff>0</xdr:rowOff>
    </xdr:from>
    <xdr:to>
      <xdr:col>17</xdr:col>
      <xdr:colOff>0</xdr:colOff>
      <xdr:row>1</xdr:row>
      <xdr:rowOff>0</xdr:rowOff>
    </xdr:to>
    <xdr:sp macro="" textlink="">
      <xdr:nvSpPr>
        <xdr:cNvPr id="358525" name="Rectangle 125"/>
        <xdr:cNvSpPr>
          <a:spLocks noChangeArrowheads="1"/>
        </xdr:cNvSpPr>
      </xdr:nvSpPr>
      <xdr:spPr bwMode="auto">
        <a:xfrm>
          <a:off x="114300" y="7419975"/>
          <a:ext cx="12163425" cy="0"/>
        </a:xfrm>
        <a:prstGeom prst="rect">
          <a:avLst/>
        </a:prstGeom>
        <a:noFill/>
        <a:ln w="9525">
          <a:noFill/>
          <a:miter lim="800000"/>
          <a:headEnd/>
          <a:tailEnd/>
        </a:ln>
        <a:effectLst>
          <a:outerShdw dist="35921" dir="2700000" algn="ctr" rotWithShape="0">
            <a:srgbClr val="808080"/>
          </a:outerShdw>
        </a:effectLst>
      </xdr:spPr>
    </xdr:sp>
    <xdr:clientData/>
  </xdr:twoCellAnchor>
  <xdr:twoCellAnchor>
    <xdr:from>
      <xdr:col>2</xdr:col>
      <xdr:colOff>0</xdr:colOff>
      <xdr:row>1</xdr:row>
      <xdr:rowOff>0</xdr:rowOff>
    </xdr:from>
    <xdr:to>
      <xdr:col>17</xdr:col>
      <xdr:colOff>0</xdr:colOff>
      <xdr:row>1</xdr:row>
      <xdr:rowOff>0</xdr:rowOff>
    </xdr:to>
    <xdr:sp macro="" textlink="">
      <xdr:nvSpPr>
        <xdr:cNvPr id="358526" name="Rectangle 126"/>
        <xdr:cNvSpPr>
          <a:spLocks noChangeArrowheads="1"/>
        </xdr:cNvSpPr>
      </xdr:nvSpPr>
      <xdr:spPr bwMode="auto">
        <a:xfrm>
          <a:off x="114300" y="13163550"/>
          <a:ext cx="12163425" cy="0"/>
        </a:xfrm>
        <a:prstGeom prst="rect">
          <a:avLst/>
        </a:prstGeom>
        <a:noFill/>
        <a:ln w="9525">
          <a:noFill/>
          <a:miter lim="800000"/>
          <a:headEnd/>
          <a:tailEnd/>
        </a:ln>
        <a:effectLst>
          <a:outerShdw dist="35921" dir="2700000" algn="ctr" rotWithShape="0">
            <a:srgbClr val="808080"/>
          </a:outerShdw>
        </a:effectLst>
      </xdr:spPr>
    </xdr:sp>
    <xdr:clientData/>
  </xdr:twoCellAnchor>
  <xdr:twoCellAnchor>
    <xdr:from>
      <xdr:col>2</xdr:col>
      <xdr:colOff>0</xdr:colOff>
      <xdr:row>1</xdr:row>
      <xdr:rowOff>0</xdr:rowOff>
    </xdr:from>
    <xdr:to>
      <xdr:col>17</xdr:col>
      <xdr:colOff>0</xdr:colOff>
      <xdr:row>1</xdr:row>
      <xdr:rowOff>0</xdr:rowOff>
    </xdr:to>
    <xdr:sp macro="" textlink="">
      <xdr:nvSpPr>
        <xdr:cNvPr id="358550" name="Rectangle 150"/>
        <xdr:cNvSpPr>
          <a:spLocks noChangeArrowheads="1"/>
        </xdr:cNvSpPr>
      </xdr:nvSpPr>
      <xdr:spPr bwMode="auto">
        <a:xfrm>
          <a:off x="114300" y="13344525"/>
          <a:ext cx="12163425" cy="0"/>
        </a:xfrm>
        <a:prstGeom prst="rect">
          <a:avLst/>
        </a:prstGeom>
        <a:noFill/>
        <a:ln w="9525">
          <a:noFill/>
          <a:miter lim="800000"/>
          <a:headEnd/>
          <a:tailEnd/>
        </a:ln>
        <a:effectLst>
          <a:outerShdw dist="35921" dir="2700000" algn="ctr" rotWithShape="0">
            <a:srgbClr val="808080"/>
          </a:outerShdw>
        </a:effectLst>
      </xdr:spPr>
    </xdr:sp>
    <xdr:clientData/>
  </xdr:twoCellAnchor>
  <xdr:twoCellAnchor>
    <xdr:from>
      <xdr:col>2</xdr:col>
      <xdr:colOff>0</xdr:colOff>
      <xdr:row>1</xdr:row>
      <xdr:rowOff>0</xdr:rowOff>
    </xdr:from>
    <xdr:to>
      <xdr:col>17</xdr:col>
      <xdr:colOff>0</xdr:colOff>
      <xdr:row>1</xdr:row>
      <xdr:rowOff>0</xdr:rowOff>
    </xdr:to>
    <xdr:sp macro="" textlink="">
      <xdr:nvSpPr>
        <xdr:cNvPr id="358551" name="Rectangle 151"/>
        <xdr:cNvSpPr>
          <a:spLocks noChangeArrowheads="1"/>
        </xdr:cNvSpPr>
      </xdr:nvSpPr>
      <xdr:spPr bwMode="auto">
        <a:xfrm>
          <a:off x="114300" y="19011900"/>
          <a:ext cx="12163425" cy="0"/>
        </a:xfrm>
        <a:prstGeom prst="rect">
          <a:avLst/>
        </a:prstGeom>
        <a:noFill/>
        <a:ln w="9525">
          <a:noFill/>
          <a:miter lim="800000"/>
          <a:headEnd/>
          <a:tailEnd/>
        </a:ln>
        <a:effectLst>
          <a:outerShdw dist="35921" dir="2700000" algn="ctr" rotWithShape="0">
            <a:srgbClr val="808080"/>
          </a:outerShdw>
        </a:effectLst>
      </xdr:spPr>
    </xdr:sp>
    <xdr:clientData/>
  </xdr:twoCellAnchor>
  <xdr:twoCellAnchor>
    <xdr:from>
      <xdr:col>5</xdr:col>
      <xdr:colOff>523875</xdr:colOff>
      <xdr:row>1106</xdr:row>
      <xdr:rowOff>85725</xdr:rowOff>
    </xdr:from>
    <xdr:to>
      <xdr:col>9</xdr:col>
      <xdr:colOff>104775</xdr:colOff>
      <xdr:row>1124</xdr:row>
      <xdr:rowOff>19050</xdr:rowOff>
    </xdr:to>
    <xdr:sp macro="" textlink="">
      <xdr:nvSpPr>
        <xdr:cNvPr id="352022" name="Oval 790">
          <a:hlinkClick xmlns:r="http://schemas.openxmlformats.org/officeDocument/2006/relationships" r:id="rId1" tooltip="Versiones 100% modificables por el usuario"/>
        </xdr:cNvPr>
        <xdr:cNvSpPr>
          <a:spLocks noChangeArrowheads="1"/>
        </xdr:cNvSpPr>
      </xdr:nvSpPr>
      <xdr:spPr bwMode="auto">
        <a:xfrm>
          <a:off x="3067050" y="762000"/>
          <a:ext cx="2743200" cy="2505075"/>
        </a:xfrm>
        <a:prstGeom prst="ellipse">
          <a:avLst/>
        </a:prstGeom>
        <a:solidFill>
          <a:srgbClr val="99CC00"/>
        </a:solidFill>
        <a:ln w="28575" algn="ctr">
          <a:solidFill>
            <a:srgbClr val="99CC00"/>
          </a:solidFill>
          <a:round/>
          <a:headEnd/>
          <a:tailEnd/>
        </a:ln>
        <a:effectLst>
          <a:outerShdw dist="35921" dir="2700000" algn="ctr" rotWithShape="0">
            <a:srgbClr val="808080"/>
          </a:outerShdw>
        </a:effectLst>
      </xdr:spPr>
      <xdr:txBody>
        <a:bodyPr vertOverflow="clip" wrap="square" lIns="27432" tIns="27432" rIns="0" bIns="27432" anchor="ctr" upright="1"/>
        <a:lstStyle/>
        <a:p>
          <a:pPr algn="ctr" rtl="0">
            <a:defRPr sz="1000"/>
          </a:pPr>
          <a:r>
            <a:rPr lang="es-ES" sz="2800" b="1" i="0" u="none" strike="noStrike" baseline="0">
              <a:solidFill>
                <a:srgbClr val="FFFFFF"/>
              </a:solidFill>
              <a:latin typeface="Tahoma"/>
              <a:ea typeface="Tahoma"/>
              <a:cs typeface="Tahoma"/>
            </a:rPr>
            <a:t>LIBRO GRATIS</a:t>
          </a:r>
          <a:endParaRPr lang="es-ES" sz="2000" b="1" i="0" u="none" strike="noStrike" baseline="0">
            <a:solidFill>
              <a:srgbClr val="FFFFFF"/>
            </a:solidFill>
            <a:latin typeface="Tahoma"/>
            <a:ea typeface="Tahoma"/>
            <a:cs typeface="Tahoma"/>
          </a:endParaRPr>
        </a:p>
        <a:p>
          <a:pPr algn="ctr" rtl="0">
            <a:defRPr sz="1000"/>
          </a:pPr>
          <a:r>
            <a:rPr lang="es-ES" sz="1400" b="0" i="0" u="none" strike="noStrike" baseline="0">
              <a:solidFill>
                <a:srgbClr val="FFFFFF"/>
              </a:solidFill>
              <a:latin typeface="Tahoma"/>
              <a:ea typeface="Tahoma"/>
              <a:cs typeface="Tahoma"/>
            </a:rPr>
            <a:t>En las versiones gratuitas, esta hoja no es accesible</a:t>
          </a:r>
        </a:p>
        <a:p>
          <a:pPr algn="ctr" rtl="0">
            <a:defRPr sz="1000"/>
          </a:pPr>
          <a:endParaRPr lang="es-ES" sz="1400" b="0" i="0" u="none" strike="noStrike" baseline="0">
            <a:solidFill>
              <a:srgbClr val="FFFFFF"/>
            </a:solidFill>
            <a:latin typeface="Tahoma"/>
            <a:ea typeface="Tahoma"/>
            <a:cs typeface="Tahoma"/>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1133475</xdr:colOff>
      <xdr:row>182</xdr:row>
      <xdr:rowOff>219075</xdr:rowOff>
    </xdr:from>
    <xdr:to>
      <xdr:col>12</xdr:col>
      <xdr:colOff>2047875</xdr:colOff>
      <xdr:row>185</xdr:row>
      <xdr:rowOff>47625</xdr:rowOff>
    </xdr:to>
    <xdr:pic>
      <xdr:nvPicPr>
        <xdr:cNvPr id="546845" name="Picture 29" descr="EDITOR">
          <a:hlinkClick xmlns:r="http://schemas.openxmlformats.org/officeDocument/2006/relationships" r:id="rId1" tooltip="contactar por e-mail"/>
        </xdr:cNvPr>
        <xdr:cNvPicPr>
          <a:picLocks noChangeAspect="1" noChangeArrowheads="1"/>
        </xdr:cNvPicPr>
      </xdr:nvPicPr>
      <xdr:blipFill>
        <a:blip xmlns:r="http://schemas.openxmlformats.org/officeDocument/2006/relationships" r:embed="rId2" cstate="print"/>
        <a:srcRect/>
        <a:stretch>
          <a:fillRect/>
        </a:stretch>
      </xdr:blipFill>
      <xdr:spPr bwMode="auto">
        <a:xfrm>
          <a:off x="9448800" y="31546800"/>
          <a:ext cx="914400" cy="371475"/>
        </a:xfrm>
        <a:prstGeom prst="rect">
          <a:avLst/>
        </a:prstGeom>
        <a:noFill/>
        <a:ln w="9525">
          <a:solidFill>
            <a:srgbClr val="808080"/>
          </a:solidFill>
          <a:miter lim="800000"/>
          <a:headEnd/>
          <a:tailEnd/>
        </a:ln>
        <a:effectLst/>
      </xdr:spPr>
    </xdr:pic>
    <xdr:clientData/>
  </xdr:twoCellAnchor>
  <xdr:twoCellAnchor editAs="oneCell">
    <xdr:from>
      <xdr:col>4</xdr:col>
      <xdr:colOff>9525</xdr:colOff>
      <xdr:row>208</xdr:row>
      <xdr:rowOff>28575</xdr:rowOff>
    </xdr:from>
    <xdr:to>
      <xdr:col>14</xdr:col>
      <xdr:colOff>152400</xdr:colOff>
      <xdr:row>215</xdr:row>
      <xdr:rowOff>152400</xdr:rowOff>
    </xdr:to>
    <xdr:sp macro="" textlink="">
      <xdr:nvSpPr>
        <xdr:cNvPr id="546854" name="Text Box 45"/>
        <xdr:cNvSpPr txBox="1">
          <a:spLocks noChangeArrowheads="1"/>
        </xdr:cNvSpPr>
      </xdr:nvSpPr>
      <xdr:spPr bwMode="auto">
        <a:xfrm>
          <a:off x="819150" y="35823525"/>
          <a:ext cx="10048875" cy="1581150"/>
        </a:xfrm>
        <a:prstGeom prst="rect">
          <a:avLst/>
        </a:prstGeom>
        <a:noFill/>
        <a:ln w="9525">
          <a:noFill/>
          <a:miter lim="800000"/>
          <a:headEnd/>
          <a:tailEnd/>
        </a:ln>
      </xdr:spPr>
      <xdr:txBody>
        <a:bodyPr vertOverflow="clip" wrap="square" lIns="27432" tIns="27432" rIns="0" bIns="0" anchor="t" upright="1"/>
        <a:lstStyle/>
        <a:p>
          <a:pPr algn="l" rtl="0">
            <a:defRPr sz="1000"/>
          </a:pPr>
          <a:r>
            <a:rPr lang="es-ES" sz="1100" b="1" i="0" u="none" strike="noStrike" baseline="0">
              <a:solidFill>
                <a:srgbClr val="000000"/>
              </a:solidFill>
              <a:latin typeface="Tahoma"/>
              <a:ea typeface="Tahoma"/>
              <a:cs typeface="Tahoma"/>
            </a:rPr>
            <a:t>Respecto a este producto y, en general,  todos los productos distribuidos por e.ditor:</a:t>
          </a:r>
          <a:endParaRPr lang="es-ES" sz="900" b="0" i="0" u="none" strike="noStrike" baseline="0">
            <a:solidFill>
              <a:srgbClr val="000000"/>
            </a:solidFill>
            <a:latin typeface="Tahoma"/>
            <a:ea typeface="Tahoma"/>
            <a:cs typeface="Tahoma"/>
          </a:endParaRPr>
        </a:p>
        <a:p>
          <a:pPr algn="l" rtl="0">
            <a:defRPr sz="1000"/>
          </a:pPr>
          <a:r>
            <a:rPr lang="es-ES" sz="1100" b="0" i="0" u="none" strike="noStrike" baseline="0">
              <a:solidFill>
                <a:srgbClr val="000000"/>
              </a:solidFill>
              <a:latin typeface="Tahoma"/>
              <a:ea typeface="Tahoma"/>
              <a:cs typeface="Tahoma"/>
            </a:rPr>
            <a:t>Este producto es una plantilla para realizar planes de negocio. Una plantilla es una estructura creada para facilitar los cálculos empresariales, sus resultados o formas de cálculo </a:t>
          </a:r>
          <a:r>
            <a:rPr lang="es-ES" sz="1100" b="0" i="0" u="sng" strike="noStrike" baseline="0">
              <a:solidFill>
                <a:srgbClr val="000000"/>
              </a:solidFill>
              <a:latin typeface="Tahoma"/>
              <a:ea typeface="Tahoma"/>
              <a:cs typeface="Tahoma"/>
            </a:rPr>
            <a:t>no</a:t>
          </a:r>
          <a:r>
            <a:rPr lang="es-ES" sz="1100" b="0" i="0" u="none" strike="noStrike" baseline="0">
              <a:solidFill>
                <a:srgbClr val="000000"/>
              </a:solidFill>
              <a:latin typeface="Tahoma"/>
              <a:ea typeface="Tahoma"/>
              <a:cs typeface="Tahoma"/>
            </a:rPr>
            <a:t> deben considerarse correctos en todos los países y circunstancias. Es el propio usuario quien debe incluir adecuadamente los datos y contenidos adecuados, revisar que los cálculos y operaciones sean correctos y disponer de los conocimientos técnicos y las informaciones para hacerlo. Al adquirir una plantilla distribuida por e.ditor, únicamente se está abonando el tiempo y el conocimiento que el autor ha invertido en la creación de la plantilla tal y como le es entregada, no se adquiere ningún derecho a asesoramiento o asistencia en la elaboración del plan, ni para la adaptación de la plantilla a las necesidades específicas del usuario o de la legislación del país. Las condiciones generales de venta y uso están detalladas en la propia Web, son accesibles desde cualquier página de la Web y son aceptadas por el usuario antes de la compra.</a:t>
          </a:r>
        </a:p>
        <a:p>
          <a:pPr algn="l" rtl="0">
            <a:defRPr sz="1000"/>
          </a:pPr>
          <a:endParaRPr lang="es-ES" sz="1100" b="0" i="0" u="none" strike="noStrike" baseline="0">
            <a:solidFill>
              <a:srgbClr val="000000"/>
            </a:solidFill>
            <a:latin typeface="Tahoma"/>
            <a:ea typeface="Tahoma"/>
            <a:cs typeface="Tahoma"/>
          </a:endParaRPr>
        </a:p>
        <a:p>
          <a:pPr algn="l" rtl="0">
            <a:defRPr sz="1000"/>
          </a:pPr>
          <a:endParaRPr lang="es-ES" sz="1100" b="0" i="0" u="none" strike="noStrike" baseline="0">
            <a:solidFill>
              <a:srgbClr val="000000"/>
            </a:solidFill>
            <a:latin typeface="Tahoma"/>
            <a:ea typeface="Tahoma"/>
            <a:cs typeface="Tahoma"/>
          </a:endParaRPr>
        </a:p>
      </xdr:txBody>
    </xdr:sp>
    <xdr:clientData/>
  </xdr:twoCellAnchor>
  <xdr:twoCellAnchor editAs="oneCell">
    <xdr:from>
      <xdr:col>4</xdr:col>
      <xdr:colOff>9525</xdr:colOff>
      <xdr:row>216</xdr:row>
      <xdr:rowOff>85725</xdr:rowOff>
    </xdr:from>
    <xdr:to>
      <xdr:col>14</xdr:col>
      <xdr:colOff>152400</xdr:colOff>
      <xdr:row>223</xdr:row>
      <xdr:rowOff>66675</xdr:rowOff>
    </xdr:to>
    <xdr:sp macro="" textlink="">
      <xdr:nvSpPr>
        <xdr:cNvPr id="546855" name="Text Box 46"/>
        <xdr:cNvSpPr txBox="1">
          <a:spLocks noChangeArrowheads="1"/>
        </xdr:cNvSpPr>
      </xdr:nvSpPr>
      <xdr:spPr bwMode="auto">
        <a:xfrm>
          <a:off x="819150" y="37566600"/>
          <a:ext cx="10048875" cy="1238250"/>
        </a:xfrm>
        <a:prstGeom prst="rect">
          <a:avLst/>
        </a:prstGeom>
        <a:noFill/>
        <a:ln w="9525">
          <a:noFill/>
          <a:miter lim="800000"/>
          <a:headEnd/>
          <a:tailEnd/>
        </a:ln>
      </xdr:spPr>
      <xdr:txBody>
        <a:bodyPr vertOverflow="clip" wrap="square" lIns="27432" tIns="27432" rIns="0" bIns="0" anchor="t" upright="1"/>
        <a:lstStyle/>
        <a:p>
          <a:pPr algn="l" rtl="0">
            <a:defRPr sz="1000"/>
          </a:pPr>
          <a:r>
            <a:rPr lang="es-ES" sz="1100" b="1" i="0" u="none" strike="noStrike" baseline="0">
              <a:solidFill>
                <a:srgbClr val="000000"/>
              </a:solidFill>
              <a:latin typeface="Tahoma"/>
              <a:ea typeface="Tahoma"/>
              <a:cs typeface="Tahoma"/>
            </a:rPr>
            <a:t>Respecto a este fichero:</a:t>
          </a:r>
          <a:endParaRPr lang="es-ES" sz="900" b="0" i="0" u="none" strike="noStrike" baseline="0">
            <a:solidFill>
              <a:srgbClr val="000000"/>
            </a:solidFill>
            <a:latin typeface="Tahoma"/>
            <a:ea typeface="Tahoma"/>
            <a:cs typeface="Tahoma"/>
          </a:endParaRPr>
        </a:p>
        <a:p>
          <a:pPr algn="l" rtl="0">
            <a:defRPr sz="1000"/>
          </a:pPr>
          <a:r>
            <a:rPr lang="es-ES" sz="1100" b="0" i="0" u="none" strike="noStrike" baseline="0">
              <a:solidFill>
                <a:srgbClr val="000000"/>
              </a:solidFill>
              <a:latin typeface="Tahoma"/>
              <a:ea typeface="Tahoma"/>
              <a:cs typeface="Tahoma"/>
            </a:rPr>
            <a:t>Este fichero Excel® ha sido guardado con la versión para Windows,  hay otras versiones disponibles, si quieres otra versión pídenosla a online@e.ditor.com. Si la versión solicitada no estuviese desarrollada, al precio original habrá que añadirle el coste de transformación a la versión que desees (te informaremos previamente). </a:t>
          </a:r>
        </a:p>
        <a:p>
          <a:pPr algn="l" rtl="0">
            <a:defRPr sz="1000"/>
          </a:pPr>
          <a:endParaRPr lang="es-ES" sz="1100" b="0" i="0" u="none" strike="noStrike" baseline="0">
            <a:solidFill>
              <a:srgbClr val="000000"/>
            </a:solidFill>
            <a:latin typeface="Tahoma"/>
            <a:ea typeface="Tahoma"/>
            <a:cs typeface="Tahoma"/>
          </a:endParaRPr>
        </a:p>
        <a:p>
          <a:pPr algn="l" rtl="0">
            <a:defRPr sz="1000"/>
          </a:pPr>
          <a:endParaRPr lang="es-ES" sz="1100" b="0" i="0" u="none" strike="noStrike" baseline="0">
            <a:solidFill>
              <a:srgbClr val="000000"/>
            </a:solidFill>
            <a:latin typeface="Tahoma"/>
            <a:ea typeface="Tahoma"/>
            <a:cs typeface="Tahoma"/>
          </a:endParaRPr>
        </a:p>
        <a:p>
          <a:pPr algn="l" rtl="0">
            <a:defRPr sz="1000"/>
          </a:pPr>
          <a:r>
            <a:rPr lang="es-ES" sz="1100" b="1" i="0" u="none" strike="noStrike" baseline="0">
              <a:solidFill>
                <a:srgbClr val="000000"/>
              </a:solidFill>
              <a:latin typeface="Tahoma"/>
              <a:ea typeface="Tahoma"/>
              <a:cs typeface="Tahoma"/>
            </a:rPr>
            <a:t>Excel® es una marca registrada propiedad de Microsoft Corporation.</a:t>
          </a:r>
        </a:p>
        <a:p>
          <a:pPr algn="l" rtl="0">
            <a:defRPr sz="1000"/>
          </a:pPr>
          <a:endParaRPr lang="es-ES" sz="1100" b="1" i="0" u="none" strike="noStrike" baseline="0">
            <a:solidFill>
              <a:srgbClr val="000000"/>
            </a:solidFill>
            <a:latin typeface="Tahoma"/>
            <a:ea typeface="Tahoma"/>
            <a:cs typeface="Tahoma"/>
          </a:endParaRPr>
        </a:p>
        <a:p>
          <a:pPr algn="l" rtl="0">
            <a:defRPr sz="1000"/>
          </a:pPr>
          <a:endParaRPr lang="es-ES" sz="1100" b="1" i="0" u="none" strike="noStrike" baseline="0">
            <a:solidFill>
              <a:srgbClr val="000000"/>
            </a:solidFill>
            <a:latin typeface="Tahoma"/>
            <a:ea typeface="Tahoma"/>
            <a:cs typeface="Tahoma"/>
          </a:endParaRPr>
        </a:p>
      </xdr:txBody>
    </xdr:sp>
    <xdr:clientData/>
  </xdr:twoCellAnchor>
  <xdr:twoCellAnchor editAs="oneCell">
    <xdr:from>
      <xdr:col>5</xdr:col>
      <xdr:colOff>28575</xdr:colOff>
      <xdr:row>516</xdr:row>
      <xdr:rowOff>180975</xdr:rowOff>
    </xdr:from>
    <xdr:to>
      <xdr:col>13</xdr:col>
      <xdr:colOff>85725</xdr:colOff>
      <xdr:row>521</xdr:row>
      <xdr:rowOff>66675</xdr:rowOff>
    </xdr:to>
    <xdr:sp macro="" textlink="">
      <xdr:nvSpPr>
        <xdr:cNvPr id="546894" name="Text Box 251">
          <a:hlinkClick xmlns:r="http://schemas.openxmlformats.org/officeDocument/2006/relationships" r:id="rId3" tooltip="Ver plan de ventas"/>
        </xdr:cNvPr>
        <xdr:cNvSpPr txBox="1">
          <a:spLocks noChangeAspect="1" noChangeArrowheads="1"/>
        </xdr:cNvSpPr>
      </xdr:nvSpPr>
      <xdr:spPr bwMode="auto">
        <a:xfrm>
          <a:off x="1047750" y="87782400"/>
          <a:ext cx="9582150" cy="838200"/>
        </a:xfrm>
        <a:prstGeom prst="rect">
          <a:avLst/>
        </a:prstGeom>
        <a:solidFill>
          <a:srgbClr val="FFFF99"/>
        </a:solidFill>
        <a:ln w="9525" algn="ctr">
          <a:solidFill>
            <a:srgbClr val="993300"/>
          </a:solidFill>
          <a:miter lim="800000"/>
          <a:headEnd/>
          <a:tailEnd/>
        </a:ln>
      </xdr:spPr>
      <xdr:txBody>
        <a:bodyPr vertOverflow="clip" wrap="square" lIns="108000" tIns="57600" rIns="108000" bIns="57600" anchor="t" upright="1"/>
        <a:lstStyle/>
        <a:p>
          <a:pPr algn="l" rtl="0">
            <a:defRPr sz="1000"/>
          </a:pPr>
          <a:r>
            <a:rPr lang="es-ES" sz="1400" b="1" i="0" u="none" strike="noStrike" baseline="0">
              <a:solidFill>
                <a:srgbClr val="800000"/>
              </a:solidFill>
              <a:latin typeface="Tahoma"/>
              <a:ea typeface="Tahoma"/>
              <a:cs typeface="Tahoma"/>
            </a:rPr>
            <a:t>Recomendación:</a:t>
          </a:r>
          <a:r>
            <a:rPr lang="es-ES" sz="1400" b="0" i="0" u="none" strike="noStrike" baseline="0">
              <a:solidFill>
                <a:srgbClr val="800000"/>
              </a:solidFill>
              <a:latin typeface="Tahoma"/>
              <a:ea typeface="Tahoma"/>
              <a:cs typeface="Tahoma"/>
            </a:rPr>
            <a:t> </a:t>
          </a:r>
          <a:endParaRPr lang="es-ES" sz="1200" b="0" i="0" u="none" strike="noStrike" baseline="0">
            <a:solidFill>
              <a:srgbClr val="993300"/>
            </a:solidFill>
            <a:latin typeface="Tahoma"/>
            <a:ea typeface="Tahoma"/>
            <a:cs typeface="Tahoma"/>
          </a:endParaRPr>
        </a:p>
        <a:p>
          <a:pPr algn="l" rtl="0">
            <a:defRPr sz="1000"/>
          </a:pPr>
          <a:r>
            <a:rPr lang="es-ES" sz="1200" b="1" i="0" u="none" strike="noStrike" baseline="0">
              <a:solidFill>
                <a:srgbClr val="000000"/>
              </a:solidFill>
              <a:latin typeface="Tahoma"/>
              <a:ea typeface="Tahoma"/>
              <a:cs typeface="Tahoma"/>
            </a:rPr>
            <a:t>Haz un plan de ventas con las previsiones por separado e incluye aquí sólo los totales</a:t>
          </a:r>
          <a:r>
            <a:rPr lang="es-ES" sz="1200" b="0" i="0" u="none" strike="noStrike" baseline="0">
              <a:solidFill>
                <a:srgbClr val="000000"/>
              </a:solidFill>
              <a:latin typeface="Tahoma"/>
              <a:ea typeface="Tahoma"/>
              <a:cs typeface="Tahoma"/>
            </a:rPr>
            <a:t>.</a:t>
          </a:r>
          <a:endParaRPr lang="es-ES" sz="1200" b="0" i="0" u="none" strike="noStrike" baseline="0">
            <a:solidFill>
              <a:srgbClr val="993300"/>
            </a:solidFill>
            <a:latin typeface="Tahoma"/>
            <a:ea typeface="Tahoma"/>
            <a:cs typeface="Tahoma"/>
          </a:endParaRPr>
        </a:p>
        <a:p>
          <a:pPr algn="l" rtl="0">
            <a:defRPr sz="1000"/>
          </a:pPr>
          <a:r>
            <a:rPr lang="es-ES" sz="1200" b="0" i="0" u="none" strike="noStrike" baseline="0">
              <a:solidFill>
                <a:srgbClr val="000000"/>
              </a:solidFill>
              <a:latin typeface="Tahoma"/>
              <a:ea typeface="Tahoma"/>
              <a:cs typeface="Tahoma"/>
            </a:rPr>
            <a:t>Puedes hacerlo tu mismo con Excel© … o bájate uno de la web (clic aquí): </a:t>
          </a:r>
          <a:r>
            <a:rPr lang="es-ES" sz="1200" b="0" i="0" u="sng" strike="noStrike" baseline="0">
              <a:solidFill>
                <a:srgbClr val="000000"/>
              </a:solidFill>
              <a:latin typeface="Tahoma"/>
              <a:ea typeface="Tahoma"/>
              <a:cs typeface="Tahoma"/>
            </a:rPr>
            <a:t>planes y cálculo de previsiones de venta</a:t>
          </a:r>
        </a:p>
      </xdr:txBody>
    </xdr:sp>
    <xdr:clientData/>
  </xdr:twoCellAnchor>
  <xdr:twoCellAnchor editAs="oneCell">
    <xdr:from>
      <xdr:col>12</xdr:col>
      <xdr:colOff>1752600</xdr:colOff>
      <xdr:row>485</xdr:row>
      <xdr:rowOff>161925</xdr:rowOff>
    </xdr:from>
    <xdr:to>
      <xdr:col>16</xdr:col>
      <xdr:colOff>266700</xdr:colOff>
      <xdr:row>487</xdr:row>
      <xdr:rowOff>9525</xdr:rowOff>
    </xdr:to>
    <xdr:sp macro="" textlink="">
      <xdr:nvSpPr>
        <xdr:cNvPr id="546896" name="Oval 80">
          <a:hlinkClick xmlns:r="http://schemas.openxmlformats.org/officeDocument/2006/relationships" r:id="rId4" tooltip="VOLVER a la hoja "/>
        </xdr:cNvPr>
        <xdr:cNvSpPr>
          <a:spLocks noChangeArrowheads="1"/>
        </xdr:cNvSpPr>
      </xdr:nvSpPr>
      <xdr:spPr bwMode="auto">
        <a:xfrm>
          <a:off x="10067925" y="8139112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12</xdr:col>
      <xdr:colOff>1714500</xdr:colOff>
      <xdr:row>718</xdr:row>
      <xdr:rowOff>28575</xdr:rowOff>
    </xdr:from>
    <xdr:to>
      <xdr:col>16</xdr:col>
      <xdr:colOff>228600</xdr:colOff>
      <xdr:row>720</xdr:row>
      <xdr:rowOff>19050</xdr:rowOff>
    </xdr:to>
    <xdr:sp macro="" textlink="">
      <xdr:nvSpPr>
        <xdr:cNvPr id="546905" name="Oval 89">
          <a:hlinkClick xmlns:r="http://schemas.openxmlformats.org/officeDocument/2006/relationships" r:id="rId5" tooltip="VOLVER a la hoja "/>
        </xdr:cNvPr>
        <xdr:cNvSpPr>
          <a:spLocks noChangeArrowheads="1"/>
        </xdr:cNvSpPr>
      </xdr:nvSpPr>
      <xdr:spPr bwMode="auto">
        <a:xfrm>
          <a:off x="10029825" y="120891300"/>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12</xdr:col>
      <xdr:colOff>1781175</xdr:colOff>
      <xdr:row>825</xdr:row>
      <xdr:rowOff>0</xdr:rowOff>
    </xdr:from>
    <xdr:to>
      <xdr:col>16</xdr:col>
      <xdr:colOff>295275</xdr:colOff>
      <xdr:row>826</xdr:row>
      <xdr:rowOff>152400</xdr:rowOff>
    </xdr:to>
    <xdr:sp macro="" textlink="">
      <xdr:nvSpPr>
        <xdr:cNvPr id="546907" name="Oval 91">
          <a:hlinkClick xmlns:r="http://schemas.openxmlformats.org/officeDocument/2006/relationships" r:id="rId6" tooltip="VOLVER a la hoja "/>
        </xdr:cNvPr>
        <xdr:cNvSpPr>
          <a:spLocks noChangeArrowheads="1"/>
        </xdr:cNvSpPr>
      </xdr:nvSpPr>
      <xdr:spPr bwMode="auto">
        <a:xfrm>
          <a:off x="10096500" y="13987462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12</xdr:col>
      <xdr:colOff>1762125</xdr:colOff>
      <xdr:row>931</xdr:row>
      <xdr:rowOff>0</xdr:rowOff>
    </xdr:from>
    <xdr:to>
      <xdr:col>16</xdr:col>
      <xdr:colOff>276225</xdr:colOff>
      <xdr:row>933</xdr:row>
      <xdr:rowOff>19050</xdr:rowOff>
    </xdr:to>
    <xdr:sp macro="" textlink="">
      <xdr:nvSpPr>
        <xdr:cNvPr id="546909" name="Oval 93">
          <a:hlinkClick xmlns:r="http://schemas.openxmlformats.org/officeDocument/2006/relationships" r:id="rId7" tooltip="VOLVER a la hoja "/>
        </xdr:cNvPr>
        <xdr:cNvSpPr>
          <a:spLocks noChangeArrowheads="1"/>
        </xdr:cNvSpPr>
      </xdr:nvSpPr>
      <xdr:spPr bwMode="auto">
        <a:xfrm>
          <a:off x="10077450" y="15875317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12</xdr:col>
      <xdr:colOff>1724025</xdr:colOff>
      <xdr:row>1086</xdr:row>
      <xdr:rowOff>0</xdr:rowOff>
    </xdr:from>
    <xdr:to>
      <xdr:col>16</xdr:col>
      <xdr:colOff>238125</xdr:colOff>
      <xdr:row>1088</xdr:row>
      <xdr:rowOff>19050</xdr:rowOff>
    </xdr:to>
    <xdr:sp macro="" textlink="">
      <xdr:nvSpPr>
        <xdr:cNvPr id="546912" name="Oval 96">
          <a:hlinkClick xmlns:r="http://schemas.openxmlformats.org/officeDocument/2006/relationships" r:id="rId8" tooltip="VOLVER a la hoja "/>
        </xdr:cNvPr>
        <xdr:cNvSpPr>
          <a:spLocks noChangeArrowheads="1"/>
        </xdr:cNvSpPr>
      </xdr:nvSpPr>
      <xdr:spPr bwMode="auto">
        <a:xfrm>
          <a:off x="10039350" y="18513742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12</xdr:col>
      <xdr:colOff>1781175</xdr:colOff>
      <xdr:row>1291</xdr:row>
      <xdr:rowOff>9525</xdr:rowOff>
    </xdr:from>
    <xdr:to>
      <xdr:col>16</xdr:col>
      <xdr:colOff>295275</xdr:colOff>
      <xdr:row>1293</xdr:row>
      <xdr:rowOff>28575</xdr:rowOff>
    </xdr:to>
    <xdr:sp macro="" textlink="">
      <xdr:nvSpPr>
        <xdr:cNvPr id="546915" name="Oval 99">
          <a:hlinkClick xmlns:r="http://schemas.openxmlformats.org/officeDocument/2006/relationships" r:id="rId9" tooltip="VOLVER a la hoja "/>
        </xdr:cNvPr>
        <xdr:cNvSpPr>
          <a:spLocks noChangeArrowheads="1"/>
        </xdr:cNvSpPr>
      </xdr:nvSpPr>
      <xdr:spPr bwMode="auto">
        <a:xfrm>
          <a:off x="10096500" y="219684600"/>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FFFF99"/>
              </a:solidFill>
              <a:latin typeface="Tahoma"/>
              <a:ea typeface="Tahoma"/>
              <a:cs typeface="Tahoma"/>
            </a:rPr>
            <a:t>VOLVER</a:t>
          </a:r>
        </a:p>
      </xdr:txBody>
    </xdr:sp>
    <xdr:clientData/>
  </xdr:twoCellAnchor>
  <xdr:twoCellAnchor editAs="oneCell">
    <xdr:from>
      <xdr:col>5</xdr:col>
      <xdr:colOff>66675</xdr:colOff>
      <xdr:row>962</xdr:row>
      <xdr:rowOff>66675</xdr:rowOff>
    </xdr:from>
    <xdr:to>
      <xdr:col>13</xdr:col>
      <xdr:colOff>114300</xdr:colOff>
      <xdr:row>971</xdr:row>
      <xdr:rowOff>104775</xdr:rowOff>
    </xdr:to>
    <xdr:sp macro="" textlink="">
      <xdr:nvSpPr>
        <xdr:cNvPr id="547015" name="Text Box 218"/>
        <xdr:cNvSpPr txBox="1">
          <a:spLocks noChangeArrowheads="1"/>
        </xdr:cNvSpPr>
      </xdr:nvSpPr>
      <xdr:spPr bwMode="auto">
        <a:xfrm>
          <a:off x="1085850" y="164382450"/>
          <a:ext cx="9572625" cy="2095500"/>
        </a:xfrm>
        <a:prstGeom prst="rect">
          <a:avLst/>
        </a:prstGeom>
        <a:solidFill>
          <a:srgbClr val="FFFF99"/>
        </a:solidFill>
        <a:ln w="9525" algn="ctr">
          <a:solidFill>
            <a:srgbClr val="993300"/>
          </a:solidFill>
          <a:miter lim="800000"/>
          <a:headEnd/>
          <a:tailEnd/>
        </a:ln>
        <a:effectLst/>
      </xdr:spPr>
      <xdr:txBody>
        <a:bodyPr vertOverflow="clip" wrap="square" lIns="180000" tIns="82800" rIns="90000" bIns="46800" anchor="t" upright="1"/>
        <a:lstStyle/>
        <a:p>
          <a:pPr algn="l" rtl="0">
            <a:defRPr sz="1000"/>
          </a:pPr>
          <a:r>
            <a:rPr lang="es-ES" sz="1400" b="1" i="0" u="none" strike="noStrike" baseline="0">
              <a:solidFill>
                <a:srgbClr val="800000"/>
              </a:solidFill>
              <a:latin typeface="Tahoma"/>
              <a:ea typeface="Tahoma"/>
              <a:cs typeface="Tahoma"/>
            </a:rPr>
            <a:t>Recomendación:</a:t>
          </a:r>
          <a:r>
            <a:rPr lang="es-ES" sz="1400" b="0" i="0" u="none" strike="noStrike" baseline="0">
              <a:solidFill>
                <a:srgbClr val="800000"/>
              </a:solidFill>
              <a:latin typeface="Tahoma"/>
              <a:ea typeface="Tahoma"/>
              <a:cs typeface="Tahoma"/>
            </a:rPr>
            <a:t> </a:t>
          </a:r>
          <a:endParaRPr lang="es-ES" sz="1100" b="0" i="0" u="none" strike="noStrike" baseline="0">
            <a:solidFill>
              <a:srgbClr val="000000"/>
            </a:solidFill>
            <a:latin typeface="Tahoma"/>
            <a:ea typeface="Tahoma"/>
            <a:cs typeface="Tahoma"/>
          </a:endParaRPr>
        </a:p>
        <a:p>
          <a:pPr algn="l" rtl="0">
            <a:defRPr sz="1000"/>
          </a:pPr>
          <a:r>
            <a:rPr lang="es-ES" sz="1200" b="1" i="0" u="none" strike="noStrike" baseline="0">
              <a:solidFill>
                <a:srgbClr val="000000"/>
              </a:solidFill>
              <a:latin typeface="Tahoma"/>
              <a:ea typeface="Tahoma"/>
              <a:cs typeface="Tahoma"/>
            </a:rPr>
            <a:t>Lee los comentarios incluidos en muchas cabeceras de sección.</a:t>
          </a:r>
        </a:p>
        <a:p>
          <a:pPr algn="l" rtl="0">
            <a:defRPr sz="1000"/>
          </a:pPr>
          <a:r>
            <a:rPr lang="es-ES" sz="1400" b="1" i="0" u="none" strike="noStrike" baseline="0">
              <a:solidFill>
                <a:srgbClr val="800000"/>
              </a:solidFill>
              <a:latin typeface="Tahoma"/>
              <a:ea typeface="Tahoma"/>
              <a:cs typeface="Tahoma"/>
            </a:rPr>
            <a:t>Ten en cuenta:</a:t>
          </a:r>
        </a:p>
        <a:p>
          <a:pPr algn="l" rtl="0">
            <a:defRPr sz="1000"/>
          </a:pPr>
          <a:r>
            <a:rPr lang="es-ES" sz="1200" b="1" i="0" u="none" strike="noStrike" baseline="0">
              <a:solidFill>
                <a:srgbClr val="000000"/>
              </a:solidFill>
              <a:latin typeface="Tahoma"/>
              <a:ea typeface="Tahoma"/>
              <a:cs typeface="Tahoma"/>
            </a:rPr>
            <a:t>Dedica tiempo, busca información exhaustiva y sé prudente a la hora de definir las inversiones necesarias para un nuevo </a:t>
          </a:r>
        </a:p>
        <a:p>
          <a:pPr algn="l" rtl="0">
            <a:defRPr sz="1000"/>
          </a:pPr>
          <a:r>
            <a:rPr lang="es-ES" sz="1200" b="1" i="0" u="none" strike="noStrike" baseline="0">
              <a:solidFill>
                <a:srgbClr val="000000"/>
              </a:solidFill>
              <a:latin typeface="Tahoma"/>
              <a:ea typeface="Tahoma"/>
              <a:cs typeface="Tahoma"/>
            </a:rPr>
            <a:t>negocio (no olvides nada, no infravalores nada). </a:t>
          </a:r>
          <a:r>
            <a:rPr lang="es-ES" sz="1200" b="0" i="0" u="none" strike="noStrike" baseline="0">
              <a:solidFill>
                <a:srgbClr val="000000"/>
              </a:solidFill>
              <a:latin typeface="Tahoma"/>
              <a:ea typeface="Tahoma"/>
              <a:cs typeface="Tahoma"/>
            </a:rPr>
            <a:t>La mitad de los negocios que fracasan, lo hacen por haber infravalorado las </a:t>
          </a:r>
        </a:p>
        <a:p>
          <a:pPr algn="l" rtl="0">
            <a:defRPr sz="1000"/>
          </a:pPr>
          <a:r>
            <a:rPr lang="es-ES" sz="1200" b="0" i="0" u="none" strike="noStrike" baseline="0">
              <a:solidFill>
                <a:srgbClr val="000000"/>
              </a:solidFill>
              <a:latin typeface="Tahoma"/>
              <a:ea typeface="Tahoma"/>
              <a:cs typeface="Tahoma"/>
            </a:rPr>
            <a:t>necesidades financieras de puesta en marcha. La otra mitad, por haber infravalorado las dificultades para obtener las ventas necesarias </a:t>
          </a:r>
        </a:p>
        <a:p>
          <a:pPr algn="l" rtl="0">
            <a:defRPr sz="1000"/>
          </a:pPr>
          <a:r>
            <a:rPr lang="es-ES" sz="1200" b="0" i="0" u="none" strike="noStrike" baseline="0">
              <a:solidFill>
                <a:srgbClr val="000000"/>
              </a:solidFill>
              <a:latin typeface="Tahoma"/>
              <a:ea typeface="Tahoma"/>
              <a:cs typeface="Tahoma"/>
            </a:rPr>
            <a:t>para el éxito del negocio.</a:t>
          </a:r>
        </a:p>
        <a:p>
          <a:pPr algn="l" rtl="0">
            <a:defRPr sz="1000"/>
          </a:pPr>
          <a:r>
            <a:rPr lang="es-ES" sz="1200" b="1" i="0" u="none" strike="noStrike" baseline="0">
              <a:solidFill>
                <a:srgbClr val="000000"/>
              </a:solidFill>
              <a:latin typeface="Tahoma"/>
              <a:ea typeface="Tahoma"/>
              <a:cs typeface="Tahoma"/>
            </a:rPr>
            <a:t>Prevé fondos suficientes para la promoción del negocio (marketing de lanzamiento).</a:t>
          </a:r>
          <a:r>
            <a:rPr lang="es-ES" sz="1200" b="0" i="0" u="none" strike="noStrike" baseline="0">
              <a:solidFill>
                <a:srgbClr val="000000"/>
              </a:solidFill>
              <a:latin typeface="Tahoma"/>
              <a:ea typeface="Tahoma"/>
              <a:cs typeface="Tahoma"/>
            </a:rPr>
            <a:t> Un error muy común es dedicar todos los esfuerzos y los fondos al establecimiento del negocio... y nada al lanzamiento-promoción del mismo.</a:t>
          </a:r>
        </a:p>
      </xdr:txBody>
    </xdr:sp>
    <xdr:clientData/>
  </xdr:twoCellAnchor>
  <xdr:twoCellAnchor editAs="oneCell">
    <xdr:from>
      <xdr:col>5</xdr:col>
      <xdr:colOff>85725</xdr:colOff>
      <xdr:row>1117</xdr:row>
      <xdr:rowOff>219075</xdr:rowOff>
    </xdr:from>
    <xdr:to>
      <xdr:col>12</xdr:col>
      <xdr:colOff>1809750</xdr:colOff>
      <xdr:row>1126</xdr:row>
      <xdr:rowOff>9525</xdr:rowOff>
    </xdr:to>
    <xdr:sp macro="" textlink="">
      <xdr:nvSpPr>
        <xdr:cNvPr id="547016" name="Text Box 218"/>
        <xdr:cNvSpPr txBox="1">
          <a:spLocks noChangeArrowheads="1"/>
        </xdr:cNvSpPr>
      </xdr:nvSpPr>
      <xdr:spPr bwMode="auto">
        <a:xfrm>
          <a:off x="1104900" y="191195325"/>
          <a:ext cx="9020175" cy="1733550"/>
        </a:xfrm>
        <a:prstGeom prst="rect">
          <a:avLst/>
        </a:prstGeom>
        <a:solidFill>
          <a:srgbClr val="FFFF99"/>
        </a:solidFill>
        <a:ln w="9525" algn="ctr">
          <a:solidFill>
            <a:srgbClr val="993300"/>
          </a:solidFill>
          <a:miter lim="800000"/>
          <a:headEnd/>
          <a:tailEnd/>
        </a:ln>
        <a:effectLst/>
      </xdr:spPr>
      <xdr:txBody>
        <a:bodyPr vertOverflow="clip" wrap="square" lIns="180000" tIns="82800" rIns="90000" bIns="46800" anchor="t" upright="1"/>
        <a:lstStyle/>
        <a:p>
          <a:pPr algn="l" rtl="0">
            <a:defRPr sz="1000"/>
          </a:pPr>
          <a:r>
            <a:rPr lang="es-ES" sz="1400" b="1" i="0" u="none" strike="noStrike" baseline="0">
              <a:solidFill>
                <a:srgbClr val="800000"/>
              </a:solidFill>
              <a:latin typeface="Tahoma"/>
              <a:ea typeface="Tahoma"/>
              <a:cs typeface="Tahoma"/>
            </a:rPr>
            <a:t>Ten en cuenta:</a:t>
          </a:r>
        </a:p>
        <a:p>
          <a:pPr algn="l" rtl="0">
            <a:defRPr sz="1000"/>
          </a:pPr>
          <a:r>
            <a:rPr lang="es-ES" sz="1200" b="1" i="0" u="none" strike="noStrike" baseline="0">
              <a:solidFill>
                <a:srgbClr val="333333"/>
              </a:solidFill>
              <a:latin typeface="Tahoma"/>
              <a:ea typeface="Tahoma"/>
              <a:cs typeface="Tahoma"/>
            </a:rPr>
            <a:t>Lo ideal es que preveas financiación (consigas fondos y-o préstamos) por el importe total estimado en la hoja anterior.</a:t>
          </a:r>
          <a:r>
            <a:rPr lang="es-ES" sz="1200" b="0" i="0" u="none" strike="noStrike" baseline="0">
              <a:solidFill>
                <a:srgbClr val="333333"/>
              </a:solidFill>
              <a:latin typeface="Tahoma"/>
              <a:ea typeface="Tahoma"/>
              <a:cs typeface="Tahoma"/>
            </a:rPr>
            <a:t> En general no es recomendable depender en exceso de la caja generada al inicio.</a:t>
          </a:r>
          <a:endParaRPr lang="es-ES" sz="1400" b="1" i="0" u="none" strike="noStrike" baseline="0">
            <a:solidFill>
              <a:srgbClr val="800000"/>
            </a:solidFill>
            <a:latin typeface="Tahoma"/>
            <a:ea typeface="Tahoma"/>
            <a:cs typeface="Tahoma"/>
          </a:endParaRPr>
        </a:p>
        <a:p>
          <a:pPr algn="l" rtl="0">
            <a:defRPr sz="1000"/>
          </a:pPr>
          <a:r>
            <a:rPr lang="es-ES" sz="1400" b="1" i="0" u="none" strike="noStrike" baseline="0">
              <a:solidFill>
                <a:srgbClr val="800000"/>
              </a:solidFill>
              <a:latin typeface="Tahoma"/>
              <a:ea typeface="Tahoma"/>
              <a:cs typeface="Tahoma"/>
            </a:rPr>
            <a:t>Observa:</a:t>
          </a:r>
          <a:r>
            <a:rPr lang="es-ES" sz="1400" b="0" i="0" u="none" strike="noStrike" baseline="0">
              <a:solidFill>
                <a:srgbClr val="800000"/>
              </a:solidFill>
              <a:latin typeface="Tahoma"/>
              <a:ea typeface="Tahoma"/>
              <a:cs typeface="Tahoma"/>
            </a:rPr>
            <a:t> </a:t>
          </a:r>
          <a:endParaRPr lang="es-ES" sz="1100" b="0" i="0" u="none" strike="noStrike" baseline="0">
            <a:solidFill>
              <a:srgbClr val="000000"/>
            </a:solidFill>
            <a:latin typeface="Tahoma"/>
            <a:ea typeface="Tahoma"/>
            <a:cs typeface="Tahoma"/>
          </a:endParaRPr>
        </a:p>
        <a:p>
          <a:pPr algn="l" rtl="0">
            <a:defRPr sz="1000"/>
          </a:pPr>
          <a:r>
            <a:rPr lang="es-ES" sz="1200" b="1" i="0" u="none" strike="noStrike" baseline="0">
              <a:solidFill>
                <a:srgbClr val="333333"/>
              </a:solidFill>
              <a:latin typeface="Tahoma"/>
              <a:ea typeface="Tahoma"/>
              <a:cs typeface="Tahoma"/>
            </a:rPr>
            <a:t>A medida que van completando la financiación, van calculándose los % de financiación propia y ajena</a:t>
          </a:r>
        </a:p>
        <a:p>
          <a:pPr algn="l" rtl="0">
            <a:defRPr sz="1000"/>
          </a:pPr>
          <a:r>
            <a:rPr lang="es-ES" sz="1200" b="1" i="0" u="none" strike="noStrike" baseline="0">
              <a:solidFill>
                <a:srgbClr val="333333"/>
              </a:solidFill>
              <a:latin typeface="Tahoma"/>
              <a:ea typeface="Tahoma"/>
              <a:cs typeface="Tahoma"/>
            </a:rPr>
            <a:t>que vas definiendo. </a:t>
          </a:r>
          <a:r>
            <a:rPr lang="es-ES" sz="1200" b="0" i="0" u="none" strike="noStrike" baseline="0">
              <a:solidFill>
                <a:srgbClr val="333333"/>
              </a:solidFill>
              <a:latin typeface="Tahoma"/>
              <a:ea typeface="Tahoma"/>
              <a:cs typeface="Tahoma"/>
            </a:rPr>
            <a:t>En general cuanto más % de financiación propia tengas, más solvente será el negocio y más fácil será obtener financiación bancaria.</a:t>
          </a:r>
          <a:endParaRPr lang="es-ES" sz="1200" b="1" i="0" u="none" strike="noStrike" baseline="0">
            <a:solidFill>
              <a:srgbClr val="333333"/>
            </a:solidFill>
            <a:latin typeface="Tahoma"/>
            <a:ea typeface="Tahoma"/>
            <a:cs typeface="Tahoma"/>
          </a:endParaRPr>
        </a:p>
        <a:p>
          <a:pPr algn="l" rtl="0">
            <a:defRPr sz="1000"/>
          </a:pPr>
          <a:endParaRPr lang="es-ES" sz="1200" b="1" i="0" u="none" strike="noStrike" baseline="0">
            <a:solidFill>
              <a:srgbClr val="80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xdr:txBody>
    </xdr:sp>
    <xdr:clientData/>
  </xdr:twoCellAnchor>
  <xdr:twoCellAnchor editAs="oneCell">
    <xdr:from>
      <xdr:col>12</xdr:col>
      <xdr:colOff>1781175</xdr:colOff>
      <xdr:row>971</xdr:row>
      <xdr:rowOff>76200</xdr:rowOff>
    </xdr:from>
    <xdr:to>
      <xdr:col>16</xdr:col>
      <xdr:colOff>295275</xdr:colOff>
      <xdr:row>973</xdr:row>
      <xdr:rowOff>19050</xdr:rowOff>
    </xdr:to>
    <xdr:sp macro="" textlink="">
      <xdr:nvSpPr>
        <xdr:cNvPr id="547017" name="Oval 201">
          <a:hlinkClick xmlns:r="http://schemas.openxmlformats.org/officeDocument/2006/relationships" r:id="rId7" tooltip="VOLVER a la hoja "/>
        </xdr:cNvPr>
        <xdr:cNvSpPr>
          <a:spLocks noChangeArrowheads="1"/>
        </xdr:cNvSpPr>
      </xdr:nvSpPr>
      <xdr:spPr bwMode="auto">
        <a:xfrm>
          <a:off x="10096500" y="16644937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333300"/>
              </a:solidFill>
              <a:latin typeface="Tahoma"/>
              <a:ea typeface="Tahoma"/>
              <a:cs typeface="Tahoma"/>
            </a:rPr>
            <a:t>VOLVER</a:t>
          </a:r>
        </a:p>
      </xdr:txBody>
    </xdr:sp>
    <xdr:clientData/>
  </xdr:twoCellAnchor>
  <xdr:twoCellAnchor editAs="oneCell">
    <xdr:from>
      <xdr:col>12</xdr:col>
      <xdr:colOff>1790700</xdr:colOff>
      <xdr:row>1125</xdr:row>
      <xdr:rowOff>142875</xdr:rowOff>
    </xdr:from>
    <xdr:to>
      <xdr:col>16</xdr:col>
      <xdr:colOff>304800</xdr:colOff>
      <xdr:row>1128</xdr:row>
      <xdr:rowOff>0</xdr:rowOff>
    </xdr:to>
    <xdr:sp macro="" textlink="">
      <xdr:nvSpPr>
        <xdr:cNvPr id="547018" name="Oval 202">
          <a:hlinkClick xmlns:r="http://schemas.openxmlformats.org/officeDocument/2006/relationships" r:id="rId8" tooltip="VOLVER a la hoja "/>
        </xdr:cNvPr>
        <xdr:cNvSpPr>
          <a:spLocks noChangeArrowheads="1"/>
        </xdr:cNvSpPr>
      </xdr:nvSpPr>
      <xdr:spPr bwMode="auto">
        <a:xfrm>
          <a:off x="10106025" y="19287172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333300"/>
              </a:solidFill>
              <a:latin typeface="Tahoma"/>
              <a:ea typeface="Tahoma"/>
              <a:cs typeface="Tahoma"/>
            </a:rPr>
            <a:t>VOLVER</a:t>
          </a:r>
        </a:p>
      </xdr:txBody>
    </xdr:sp>
    <xdr:clientData/>
  </xdr:twoCellAnchor>
  <xdr:twoCellAnchor editAs="oneCell">
    <xdr:from>
      <xdr:col>6</xdr:col>
      <xdr:colOff>142875</xdr:colOff>
      <xdr:row>734</xdr:row>
      <xdr:rowOff>47625</xdr:rowOff>
    </xdr:from>
    <xdr:to>
      <xdr:col>11</xdr:col>
      <xdr:colOff>161925</xdr:colOff>
      <xdr:row>737</xdr:row>
      <xdr:rowOff>85725</xdr:rowOff>
    </xdr:to>
    <xdr:sp macro="" textlink="">
      <xdr:nvSpPr>
        <xdr:cNvPr id="547021" name="Text Box 218"/>
        <xdr:cNvSpPr txBox="1">
          <a:spLocks noChangeArrowheads="1"/>
        </xdr:cNvSpPr>
      </xdr:nvSpPr>
      <xdr:spPr bwMode="auto">
        <a:xfrm>
          <a:off x="3390900" y="124034550"/>
          <a:ext cx="4914900" cy="723900"/>
        </a:xfrm>
        <a:prstGeom prst="rect">
          <a:avLst/>
        </a:prstGeom>
        <a:solidFill>
          <a:srgbClr val="FFFFCC"/>
        </a:solidFill>
        <a:ln w="9525" algn="ctr">
          <a:solidFill>
            <a:srgbClr val="993300"/>
          </a:solidFill>
          <a:miter lim="800000"/>
          <a:headEnd/>
          <a:tailEnd/>
        </a:ln>
        <a:effectLst/>
      </xdr:spPr>
      <xdr:txBody>
        <a:bodyPr vertOverflow="clip" wrap="square" lIns="180000" tIns="82800" rIns="90000" bIns="46800" anchor="t" upright="1"/>
        <a:lstStyle/>
        <a:p>
          <a:pPr algn="l" rtl="0">
            <a:defRPr sz="1000"/>
          </a:pPr>
          <a:r>
            <a:rPr lang="es-ES" sz="1200" b="1" i="0" u="none" strike="noStrike" baseline="0">
              <a:solidFill>
                <a:srgbClr val="000000"/>
              </a:solidFill>
              <a:latin typeface="Tahoma"/>
              <a:ea typeface="Tahoma"/>
              <a:cs typeface="Tahoma"/>
            </a:rPr>
            <a:t>Fórmula del % de margen bruto:  </a:t>
          </a:r>
          <a:r>
            <a:rPr lang="es-ES" sz="1200" b="1" i="0" u="none" strike="noStrike" baseline="0">
              <a:solidFill>
                <a:srgbClr val="993300"/>
              </a:solidFill>
              <a:latin typeface="Tahoma"/>
              <a:ea typeface="Tahoma"/>
              <a:cs typeface="Tahoma"/>
            </a:rPr>
            <a:t>(Pv-Cp)  ÷  Pv % </a:t>
          </a:r>
        </a:p>
        <a:p>
          <a:pPr algn="l" rtl="0">
            <a:defRPr sz="1000"/>
          </a:pPr>
          <a:r>
            <a:rPr lang="es-ES" sz="1100" b="0" i="0" u="none" strike="noStrike" baseline="0">
              <a:solidFill>
                <a:srgbClr val="000000"/>
              </a:solidFill>
              <a:latin typeface="Tahoma"/>
              <a:ea typeface="Tahoma"/>
              <a:cs typeface="Tahoma"/>
            </a:rPr>
            <a:t>Siendo Pv: precio de venta y Cp: coste del producto</a:t>
          </a:r>
        </a:p>
        <a:p>
          <a:pPr algn="l" rtl="0">
            <a:defRPr sz="1000"/>
          </a:pPr>
          <a:r>
            <a:rPr lang="es-ES" sz="1100" b="0" i="0" u="none" strike="noStrike" baseline="0">
              <a:solidFill>
                <a:srgbClr val="000000"/>
              </a:solidFill>
              <a:latin typeface="Tahoma"/>
              <a:ea typeface="Tahoma"/>
              <a:cs typeface="Tahoma"/>
            </a:rPr>
            <a:t>Por tanto: </a:t>
          </a:r>
          <a:r>
            <a:rPr lang="es-ES" sz="1200" b="1" i="0" u="none" strike="noStrike" baseline="0">
              <a:solidFill>
                <a:srgbClr val="FF0000"/>
              </a:solidFill>
              <a:latin typeface="Tahoma"/>
              <a:ea typeface="Tahoma"/>
              <a:cs typeface="Tahoma"/>
            </a:rPr>
            <a:t>El % margen bruto NO puede ser superior al 100%</a:t>
          </a:r>
        </a:p>
      </xdr:txBody>
    </xdr:sp>
    <xdr:clientData/>
  </xdr:twoCellAnchor>
  <xdr:twoCellAnchor editAs="oneCell">
    <xdr:from>
      <xdr:col>12</xdr:col>
      <xdr:colOff>1790700</xdr:colOff>
      <xdr:row>771</xdr:row>
      <xdr:rowOff>161925</xdr:rowOff>
    </xdr:from>
    <xdr:to>
      <xdr:col>16</xdr:col>
      <xdr:colOff>304800</xdr:colOff>
      <xdr:row>774</xdr:row>
      <xdr:rowOff>19050</xdr:rowOff>
    </xdr:to>
    <xdr:sp macro="" textlink="">
      <xdr:nvSpPr>
        <xdr:cNvPr id="547024" name="Oval 208">
          <a:hlinkClick xmlns:r="http://schemas.openxmlformats.org/officeDocument/2006/relationships" r:id="rId5" tooltip="VOLVER a la hoja "/>
        </xdr:cNvPr>
        <xdr:cNvSpPr>
          <a:spLocks noChangeArrowheads="1"/>
        </xdr:cNvSpPr>
      </xdr:nvSpPr>
      <xdr:spPr bwMode="auto">
        <a:xfrm>
          <a:off x="10106025" y="131225925"/>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333300"/>
              </a:solidFill>
              <a:latin typeface="Tahoma"/>
              <a:ea typeface="Tahoma"/>
              <a:cs typeface="Tahoma"/>
            </a:rPr>
            <a:t>VOLVER</a:t>
          </a:r>
        </a:p>
      </xdr:txBody>
    </xdr:sp>
    <xdr:clientData/>
  </xdr:twoCellAnchor>
  <xdr:twoCellAnchor editAs="oneCell">
    <xdr:from>
      <xdr:col>12</xdr:col>
      <xdr:colOff>1781175</xdr:colOff>
      <xdr:row>866</xdr:row>
      <xdr:rowOff>104775</xdr:rowOff>
    </xdr:from>
    <xdr:to>
      <xdr:col>16</xdr:col>
      <xdr:colOff>295275</xdr:colOff>
      <xdr:row>868</xdr:row>
      <xdr:rowOff>123825</xdr:rowOff>
    </xdr:to>
    <xdr:sp macro="" textlink="">
      <xdr:nvSpPr>
        <xdr:cNvPr id="547025" name="Oval 209">
          <a:hlinkClick xmlns:r="http://schemas.openxmlformats.org/officeDocument/2006/relationships" r:id="rId6" tooltip="VOLVER a la hoja "/>
        </xdr:cNvPr>
        <xdr:cNvSpPr>
          <a:spLocks noChangeArrowheads="1"/>
        </xdr:cNvSpPr>
      </xdr:nvSpPr>
      <xdr:spPr bwMode="auto">
        <a:xfrm>
          <a:off x="10096500" y="148266150"/>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333300"/>
              </a:solidFill>
              <a:latin typeface="Tahoma"/>
              <a:ea typeface="Tahoma"/>
              <a:cs typeface="Tahoma"/>
            </a:rPr>
            <a:t>VOLVER</a:t>
          </a:r>
        </a:p>
      </xdr:txBody>
    </xdr:sp>
    <xdr:clientData/>
  </xdr:twoCellAnchor>
  <xdr:twoCellAnchor editAs="oneCell">
    <xdr:from>
      <xdr:col>5</xdr:col>
      <xdr:colOff>28575</xdr:colOff>
      <xdr:row>507</xdr:row>
      <xdr:rowOff>66675</xdr:rowOff>
    </xdr:from>
    <xdr:to>
      <xdr:col>13</xdr:col>
      <xdr:colOff>76200</xdr:colOff>
      <xdr:row>516</xdr:row>
      <xdr:rowOff>142875</xdr:rowOff>
    </xdr:to>
    <xdr:sp macro="" textlink="">
      <xdr:nvSpPr>
        <xdr:cNvPr id="547028" name="Text Box 218"/>
        <xdr:cNvSpPr txBox="1">
          <a:spLocks noChangeArrowheads="1"/>
        </xdr:cNvSpPr>
      </xdr:nvSpPr>
      <xdr:spPr bwMode="auto">
        <a:xfrm>
          <a:off x="1047750" y="85839300"/>
          <a:ext cx="9572625" cy="1905000"/>
        </a:xfrm>
        <a:prstGeom prst="rect">
          <a:avLst/>
        </a:prstGeom>
        <a:solidFill>
          <a:srgbClr val="FFFF99"/>
        </a:solidFill>
        <a:ln w="9525" algn="ctr">
          <a:solidFill>
            <a:srgbClr val="993300"/>
          </a:solidFill>
          <a:miter lim="800000"/>
          <a:headEnd/>
          <a:tailEnd/>
        </a:ln>
        <a:effectLst/>
      </xdr:spPr>
      <xdr:txBody>
        <a:bodyPr vertOverflow="clip" wrap="square" lIns="180000" tIns="82800" rIns="90000" bIns="46800" anchor="t" upright="1"/>
        <a:lstStyle/>
        <a:p>
          <a:pPr algn="l" rtl="0">
            <a:defRPr sz="1000"/>
          </a:pPr>
          <a:r>
            <a:rPr lang="es-ES" sz="1400" b="1" i="0" u="none" strike="noStrike" baseline="0">
              <a:solidFill>
                <a:srgbClr val="800000"/>
              </a:solidFill>
              <a:latin typeface="Tahoma"/>
              <a:ea typeface="Tahoma"/>
              <a:cs typeface="Tahoma"/>
            </a:rPr>
            <a:t>Observa:</a:t>
          </a:r>
          <a:r>
            <a:rPr lang="es-ES" sz="1400" b="0" i="0" u="none" strike="noStrike" baseline="0">
              <a:solidFill>
                <a:srgbClr val="800000"/>
              </a:solidFill>
              <a:latin typeface="Tahoma"/>
              <a:ea typeface="Tahoma"/>
              <a:cs typeface="Tahoma"/>
            </a:rPr>
            <a:t> </a:t>
          </a:r>
          <a:endParaRPr lang="es-ES" sz="1100" b="0" i="0" u="none" strike="noStrike" baseline="0">
            <a:solidFill>
              <a:srgbClr val="000000"/>
            </a:solidFill>
            <a:latin typeface="Tahoma"/>
            <a:ea typeface="Tahoma"/>
            <a:cs typeface="Tahoma"/>
          </a:endParaRPr>
        </a:p>
        <a:p>
          <a:pPr algn="l" rtl="0">
            <a:defRPr sz="1000"/>
          </a:pPr>
          <a:r>
            <a:rPr lang="es-ES" sz="1200" b="1" i="0" u="none" strike="noStrike" baseline="0">
              <a:solidFill>
                <a:srgbClr val="333333"/>
              </a:solidFill>
              <a:latin typeface="Tahoma"/>
              <a:ea typeface="Tahoma"/>
              <a:cs typeface="Tahoma"/>
            </a:rPr>
            <a:t>A medida que vas incluyendo los ingresos, va completándose la cuenta de resultados (abajo).</a:t>
          </a:r>
          <a:endParaRPr lang="es-ES" sz="1200" b="0" i="0" u="none" strike="noStrike" baseline="0">
            <a:solidFill>
              <a:srgbClr val="333333"/>
            </a:solidFill>
            <a:latin typeface="Tahoma"/>
            <a:ea typeface="Tahoma"/>
            <a:cs typeface="Tahoma"/>
          </a:endParaRPr>
        </a:p>
        <a:p>
          <a:pPr algn="l" rtl="0">
            <a:defRPr sz="1000"/>
          </a:pPr>
          <a:r>
            <a:rPr lang="es-ES" sz="1200" b="0" i="0" u="none" strike="noStrike" baseline="0">
              <a:solidFill>
                <a:srgbClr val="333333"/>
              </a:solidFill>
              <a:latin typeface="Tahoma"/>
              <a:ea typeface="Tahoma"/>
              <a:cs typeface="Tahoma"/>
            </a:rPr>
            <a:t>Analízala y comprueba si es factible y creible a ojos de terceros, en caso de que no lo fuese, ajusta los ingresos y los gastos hasta conseguir que sean razonables.</a:t>
          </a:r>
        </a:p>
        <a:p>
          <a:pPr algn="l" rtl="0">
            <a:defRPr sz="1000"/>
          </a:pPr>
          <a:r>
            <a:rPr lang="es-ES" sz="1400" b="1" i="0" u="none" strike="noStrike" baseline="0">
              <a:solidFill>
                <a:srgbClr val="993300"/>
              </a:solidFill>
              <a:latin typeface="Tahoma"/>
              <a:ea typeface="Tahoma"/>
              <a:cs typeface="Tahoma"/>
            </a:rPr>
            <a:t>Ten en cuenta:</a:t>
          </a:r>
        </a:p>
        <a:p>
          <a:pPr algn="l" rtl="0">
            <a:defRPr sz="1000"/>
          </a:pPr>
          <a:r>
            <a:rPr lang="es-ES" sz="1200" b="1" i="0" u="none" strike="noStrike" baseline="0">
              <a:solidFill>
                <a:srgbClr val="000000"/>
              </a:solidFill>
              <a:latin typeface="Tahoma"/>
              <a:ea typeface="Tahoma"/>
              <a:cs typeface="Tahoma"/>
            </a:rPr>
            <a:t>Muchos negocios fracasan por haber infravalorado la dificultad de obtener las ventas necesarias o por, simplemente, no haberse planteado esa posible dificultad.</a:t>
          </a:r>
          <a:r>
            <a:rPr lang="es-ES" sz="1200" b="0" i="0" u="none" strike="noStrike" baseline="0">
              <a:solidFill>
                <a:srgbClr val="000000"/>
              </a:solidFill>
              <a:latin typeface="Tahoma"/>
              <a:ea typeface="Tahoma"/>
              <a:cs typeface="Tahoma"/>
            </a:rPr>
            <a:t> Haz un estudio de mercado siempre (aunque sea modesto) y, siempre, evalúa cuales son las dificultades/barreras de venta y cómo afrontarlas. Las ventas son clave en el éxito de cualquier negocio.</a:t>
          </a:r>
          <a:endParaRPr lang="es-ES" sz="1200" b="1" i="0" u="none" strike="noStrike" baseline="0">
            <a:solidFill>
              <a:srgbClr val="80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xdr:txBody>
    </xdr:sp>
    <xdr:clientData/>
  </xdr:twoCellAnchor>
  <xdr:twoCellAnchor editAs="oneCell">
    <xdr:from>
      <xdr:col>12</xdr:col>
      <xdr:colOff>1866900</xdr:colOff>
      <xdr:row>521</xdr:row>
      <xdr:rowOff>9525</xdr:rowOff>
    </xdr:from>
    <xdr:to>
      <xdr:col>17</xdr:col>
      <xdr:colOff>66675</xdr:colOff>
      <xdr:row>523</xdr:row>
      <xdr:rowOff>28575</xdr:rowOff>
    </xdr:to>
    <xdr:sp macro="" textlink="">
      <xdr:nvSpPr>
        <xdr:cNvPr id="547029" name="Oval 213">
          <a:hlinkClick xmlns:r="http://schemas.openxmlformats.org/officeDocument/2006/relationships" r:id="rId4" tooltip="VOLVER a la hoja "/>
        </xdr:cNvPr>
        <xdr:cNvSpPr>
          <a:spLocks noChangeArrowheads="1"/>
        </xdr:cNvSpPr>
      </xdr:nvSpPr>
      <xdr:spPr bwMode="auto">
        <a:xfrm>
          <a:off x="10182225" y="88563450"/>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333300"/>
              </a:solidFill>
              <a:latin typeface="Tahoma"/>
              <a:ea typeface="Tahoma"/>
              <a:cs typeface="Tahoma"/>
            </a:rPr>
            <a:t>VOLVER</a:t>
          </a:r>
        </a:p>
      </xdr:txBody>
    </xdr:sp>
    <xdr:clientData/>
  </xdr:twoCellAnchor>
  <xdr:twoCellAnchor editAs="oneCell">
    <xdr:from>
      <xdr:col>4</xdr:col>
      <xdr:colOff>200025</xdr:colOff>
      <xdr:row>1321</xdr:row>
      <xdr:rowOff>123825</xdr:rowOff>
    </xdr:from>
    <xdr:to>
      <xdr:col>16</xdr:col>
      <xdr:colOff>0</xdr:colOff>
      <xdr:row>1329</xdr:row>
      <xdr:rowOff>123825</xdr:rowOff>
    </xdr:to>
    <xdr:sp macro="" textlink="">
      <xdr:nvSpPr>
        <xdr:cNvPr id="547030" name="Text Box 218"/>
        <xdr:cNvSpPr txBox="1">
          <a:spLocks noChangeArrowheads="1"/>
        </xdr:cNvSpPr>
      </xdr:nvSpPr>
      <xdr:spPr bwMode="auto">
        <a:xfrm>
          <a:off x="1009650" y="225542475"/>
          <a:ext cx="10029825" cy="1524000"/>
        </a:xfrm>
        <a:prstGeom prst="rect">
          <a:avLst/>
        </a:prstGeom>
        <a:solidFill>
          <a:srgbClr val="FFFF99"/>
        </a:solidFill>
        <a:ln w="9525" algn="ctr">
          <a:solidFill>
            <a:srgbClr val="993300"/>
          </a:solidFill>
          <a:miter lim="800000"/>
          <a:headEnd/>
          <a:tailEnd/>
        </a:ln>
        <a:effectLst/>
      </xdr:spPr>
      <xdr:txBody>
        <a:bodyPr vertOverflow="clip" wrap="square" lIns="180000" tIns="82800" rIns="90000" bIns="46800" anchor="t" upright="1"/>
        <a:lstStyle/>
        <a:p>
          <a:pPr algn="l" rtl="0">
            <a:defRPr sz="1000"/>
          </a:pPr>
          <a:r>
            <a:rPr lang="es-ES" sz="1400" b="1" i="0" u="none" strike="noStrike" baseline="0">
              <a:solidFill>
                <a:srgbClr val="800000"/>
              </a:solidFill>
              <a:latin typeface="Tahoma"/>
              <a:ea typeface="Tahoma"/>
              <a:cs typeface="Tahoma"/>
            </a:rPr>
            <a:t>Ten en cuenta:</a:t>
          </a:r>
        </a:p>
        <a:p>
          <a:pPr algn="l" rtl="0">
            <a:defRPr sz="1000"/>
          </a:pPr>
          <a:r>
            <a:rPr lang="es-ES" sz="1200" b="1" i="0" u="none" strike="noStrike" baseline="0">
              <a:solidFill>
                <a:srgbClr val="333333"/>
              </a:solidFill>
              <a:latin typeface="Tahoma"/>
              <a:ea typeface="Tahoma"/>
              <a:cs typeface="Tahoma"/>
            </a:rPr>
            <a:t>Lo correcto es que siempre el plazo de cobro sea inferior al de pago.</a:t>
          </a:r>
          <a:r>
            <a:rPr lang="es-ES" sz="1200" b="0" i="0" u="none" strike="noStrike" baseline="0">
              <a:solidFill>
                <a:srgbClr val="333333"/>
              </a:solidFill>
              <a:latin typeface="Tahoma"/>
              <a:ea typeface="Tahoma"/>
              <a:cs typeface="Tahoma"/>
            </a:rPr>
            <a:t> En general, un negocio que paga antes de cobrar acaba teniendo graves problemas de tesorería y, por tanto, de viabilidad.</a:t>
          </a:r>
          <a:endParaRPr lang="es-ES" sz="1400" b="1" i="0" u="none" strike="noStrike" baseline="0">
            <a:solidFill>
              <a:srgbClr val="800000"/>
            </a:solidFill>
            <a:latin typeface="Tahoma"/>
            <a:ea typeface="Tahoma"/>
            <a:cs typeface="Tahoma"/>
          </a:endParaRPr>
        </a:p>
        <a:p>
          <a:pPr algn="l" rtl="0">
            <a:defRPr sz="1000"/>
          </a:pPr>
          <a:r>
            <a:rPr lang="es-ES" sz="1400" b="1" i="0" u="none" strike="noStrike" baseline="0">
              <a:solidFill>
                <a:srgbClr val="800000"/>
              </a:solidFill>
              <a:latin typeface="Tahoma"/>
              <a:ea typeface="Tahoma"/>
              <a:cs typeface="Tahoma"/>
            </a:rPr>
            <a:t>Observa:</a:t>
          </a:r>
          <a:r>
            <a:rPr lang="es-ES" sz="1400" b="0" i="0" u="none" strike="noStrike" baseline="0">
              <a:solidFill>
                <a:srgbClr val="800000"/>
              </a:solidFill>
              <a:latin typeface="Tahoma"/>
              <a:ea typeface="Tahoma"/>
              <a:cs typeface="Tahoma"/>
            </a:rPr>
            <a:t> </a:t>
          </a:r>
          <a:endParaRPr lang="es-ES" sz="1100" b="0" i="0" u="none" strike="noStrike" baseline="0">
            <a:solidFill>
              <a:srgbClr val="000000"/>
            </a:solidFill>
            <a:latin typeface="Tahoma"/>
            <a:ea typeface="Tahoma"/>
            <a:cs typeface="Tahoma"/>
          </a:endParaRPr>
        </a:p>
        <a:p>
          <a:pPr algn="l" rtl="0">
            <a:defRPr sz="1000"/>
          </a:pPr>
          <a:r>
            <a:rPr lang="es-ES" sz="1200" b="1" i="0" u="none" strike="noStrike" baseline="0">
              <a:solidFill>
                <a:srgbClr val="333333"/>
              </a:solidFill>
              <a:latin typeface="Tahoma"/>
              <a:ea typeface="Tahoma"/>
              <a:cs typeface="Tahoma"/>
            </a:rPr>
            <a:t>A medida que vas indicando los plazos de cobro y pago, las previsiones de tesorería (abajo) cambian. </a:t>
          </a:r>
          <a:r>
            <a:rPr lang="es-ES" sz="1200" b="0" i="0" u="none" strike="noStrike" baseline="0">
              <a:solidFill>
                <a:srgbClr val="333333"/>
              </a:solidFill>
              <a:latin typeface="Tahoma"/>
              <a:ea typeface="Tahoma"/>
              <a:cs typeface="Tahoma"/>
            </a:rPr>
            <a:t>Una buena política de cobro y pago junto a una buena gestión de la tesorería son fundamentales para el éxito de un negocio.</a:t>
          </a:r>
          <a:endParaRPr lang="es-ES" sz="1200" b="1" i="0" u="none" strike="noStrike" baseline="0">
            <a:solidFill>
              <a:srgbClr val="333333"/>
            </a:solidFill>
            <a:latin typeface="Tahoma"/>
            <a:ea typeface="Tahoma"/>
            <a:cs typeface="Tahoma"/>
          </a:endParaRPr>
        </a:p>
        <a:p>
          <a:pPr algn="l" rtl="0">
            <a:defRPr sz="1000"/>
          </a:pPr>
          <a:endParaRPr lang="es-ES" sz="1200" b="1" i="0" u="none" strike="noStrike" baseline="0">
            <a:solidFill>
              <a:srgbClr val="80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a:p>
          <a:pPr algn="l" rtl="0">
            <a:defRPr sz="1000"/>
          </a:pPr>
          <a:endParaRPr lang="es-ES" sz="1200" b="1" i="0" u="none" strike="noStrike" baseline="0">
            <a:solidFill>
              <a:srgbClr val="FF0000"/>
            </a:solidFill>
            <a:latin typeface="Tahoma"/>
            <a:ea typeface="Tahoma"/>
            <a:cs typeface="Tahoma"/>
          </a:endParaRPr>
        </a:p>
      </xdr:txBody>
    </xdr:sp>
    <xdr:clientData/>
  </xdr:twoCellAnchor>
  <xdr:twoCellAnchor editAs="oneCell">
    <xdr:from>
      <xdr:col>12</xdr:col>
      <xdr:colOff>1819275</xdr:colOff>
      <xdr:row>1329</xdr:row>
      <xdr:rowOff>152400</xdr:rowOff>
    </xdr:from>
    <xdr:to>
      <xdr:col>17</xdr:col>
      <xdr:colOff>19050</xdr:colOff>
      <xdr:row>1331</xdr:row>
      <xdr:rowOff>9525</xdr:rowOff>
    </xdr:to>
    <xdr:sp macro="" textlink="">
      <xdr:nvSpPr>
        <xdr:cNvPr id="547031" name="Oval 215">
          <a:hlinkClick xmlns:r="http://schemas.openxmlformats.org/officeDocument/2006/relationships" r:id="rId9" tooltip="VOLVER a la hoja "/>
        </xdr:cNvPr>
        <xdr:cNvSpPr>
          <a:spLocks noChangeArrowheads="1"/>
        </xdr:cNvSpPr>
      </xdr:nvSpPr>
      <xdr:spPr bwMode="auto">
        <a:xfrm>
          <a:off x="10134600" y="227095050"/>
          <a:ext cx="1238250" cy="400050"/>
        </a:xfrm>
        <a:prstGeom prst="ellipse">
          <a:avLst/>
        </a:prstGeom>
        <a:noFill/>
        <a:ln w="9525" algn="ctr">
          <a:noFill/>
          <a:round/>
          <a:headEnd/>
          <a:tailEnd/>
        </a:ln>
        <a:effectLst/>
      </xdr:spPr>
      <xdr:txBody>
        <a:bodyPr vertOverflow="clip" wrap="square" lIns="0" tIns="0" rIns="0" bIns="0" anchor="ctr" upright="1"/>
        <a:lstStyle/>
        <a:p>
          <a:pPr algn="ctr" rtl="0">
            <a:defRPr sz="1000"/>
          </a:pPr>
          <a:r>
            <a:rPr lang="es-ES" sz="1200" b="1" i="0" u="sng" strike="noStrike" baseline="0">
              <a:solidFill>
                <a:srgbClr val="000000"/>
              </a:solidFill>
              <a:latin typeface="Tahoma"/>
              <a:ea typeface="Tahoma"/>
              <a:cs typeface="Tahoma"/>
            </a:rPr>
            <a:t>VOLVER</a:t>
          </a:r>
        </a:p>
      </xdr:txBody>
    </xdr:sp>
    <xdr:clientData/>
  </xdr:twoCellAnchor>
  <xdr:twoCellAnchor editAs="oneCell">
    <xdr:from>
      <xdr:col>3</xdr:col>
      <xdr:colOff>38100</xdr:colOff>
      <xdr:row>1</xdr:row>
      <xdr:rowOff>47625</xdr:rowOff>
    </xdr:from>
    <xdr:to>
      <xdr:col>5</xdr:col>
      <xdr:colOff>133350</xdr:colOff>
      <xdr:row>1</xdr:row>
      <xdr:rowOff>457200</xdr:rowOff>
    </xdr:to>
    <xdr:pic>
      <xdr:nvPicPr>
        <xdr:cNvPr id="547037" name="Picture 221" descr="boto002">
          <a:hlinkClick xmlns:r="http://schemas.openxmlformats.org/officeDocument/2006/relationships" r:id="rId10" tooltip="Ir a la hoja ANTERIOR"/>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33425" y="238125"/>
          <a:ext cx="419100" cy="409575"/>
        </a:xfrm>
        <a:prstGeom prst="rect">
          <a:avLst/>
        </a:prstGeom>
        <a:noFill/>
        <a:ln w="9525">
          <a:noFill/>
          <a:miter lim="800000"/>
          <a:headEnd/>
          <a:tailEnd/>
        </a:ln>
      </xdr:spPr>
    </xdr:pic>
    <xdr:clientData/>
  </xdr:twoCellAnchor>
  <xdr:twoCellAnchor editAs="oneCell">
    <xdr:from>
      <xdr:col>13</xdr:col>
      <xdr:colOff>66675</xdr:colOff>
      <xdr:row>1</xdr:row>
      <xdr:rowOff>28575</xdr:rowOff>
    </xdr:from>
    <xdr:to>
      <xdr:col>15</xdr:col>
      <xdr:colOff>85725</xdr:colOff>
      <xdr:row>1</xdr:row>
      <xdr:rowOff>419100</xdr:rowOff>
    </xdr:to>
    <xdr:pic>
      <xdr:nvPicPr>
        <xdr:cNvPr id="547038" name="Picture 222" descr="boto002">
          <a:hlinkClick xmlns:r="http://schemas.openxmlformats.org/officeDocument/2006/relationships" r:id="rId7" tooltip="Ir a la hoja SIGUIENTE"/>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0610850" y="219075"/>
          <a:ext cx="400050" cy="390525"/>
        </a:xfrm>
        <a:prstGeom prst="rect">
          <a:avLst/>
        </a:prstGeom>
        <a:noFill/>
        <a:ln w="9525">
          <a:noFill/>
          <a:miter lim="800000"/>
          <a:headEnd/>
          <a:tailEnd/>
        </a:ln>
      </xdr:spPr>
    </xdr:pic>
    <xdr:clientData/>
  </xdr:twoCellAnchor>
  <xdr:twoCellAnchor editAs="oneCell">
    <xdr:from>
      <xdr:col>12</xdr:col>
      <xdr:colOff>0</xdr:colOff>
      <xdr:row>1</xdr:row>
      <xdr:rowOff>123825</xdr:rowOff>
    </xdr:from>
    <xdr:to>
      <xdr:col>12</xdr:col>
      <xdr:colOff>1933575</xdr:colOff>
      <xdr:row>1</xdr:row>
      <xdr:rowOff>428625</xdr:rowOff>
    </xdr:to>
    <xdr:pic>
      <xdr:nvPicPr>
        <xdr:cNvPr id="547039" name="Picture 223" descr="info002">
          <a:hlinkClick xmlns:r="http://schemas.openxmlformats.org/officeDocument/2006/relationships" r:id="rId13" tooltip="Información sobre el uso del libro y de esta hoja"/>
        </xdr:cNvPr>
        <xdr:cNvPicPr>
          <a:picLocks noChangeAspect="1" noChangeArrowheads="1"/>
        </xdr:cNvPicPr>
      </xdr:nvPicPr>
      <xdr:blipFill>
        <a:blip xmlns:r="http://schemas.openxmlformats.org/officeDocument/2006/relationships" r:embed="rId14" cstate="print"/>
        <a:srcRect/>
        <a:stretch>
          <a:fillRect/>
        </a:stretch>
      </xdr:blipFill>
      <xdr:spPr bwMode="auto">
        <a:xfrm>
          <a:off x="8315325" y="314325"/>
          <a:ext cx="1933575" cy="304800"/>
        </a:xfrm>
        <a:prstGeom prst="rect">
          <a:avLst/>
        </a:prstGeom>
        <a:noFill/>
      </xdr:spPr>
    </xdr:pic>
    <xdr:clientData/>
  </xdr:twoCellAnchor>
  <xdr:twoCellAnchor editAs="oneCell">
    <xdr:from>
      <xdr:col>5</xdr:col>
      <xdr:colOff>457200</xdr:colOff>
      <xdr:row>305</xdr:row>
      <xdr:rowOff>66675</xdr:rowOff>
    </xdr:from>
    <xdr:to>
      <xdr:col>10</xdr:col>
      <xdr:colOff>1819275</xdr:colOff>
      <xdr:row>328</xdr:row>
      <xdr:rowOff>85725</xdr:rowOff>
    </xdr:to>
    <xdr:pic>
      <xdr:nvPicPr>
        <xdr:cNvPr id="547050" name="Picture 234" descr="PNEXPRESS">
          <a:hlinkClick xmlns:r="http://schemas.openxmlformats.org/officeDocument/2006/relationships" r:id="rId15" tooltip="Información detallada en la web"/>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476375" y="52149375"/>
          <a:ext cx="6238875" cy="3743325"/>
        </a:xfrm>
        <a:prstGeom prst="rect">
          <a:avLst/>
        </a:prstGeom>
        <a:noFill/>
        <a:ln w="9525">
          <a:noFill/>
          <a:miter lim="800000"/>
          <a:headEnd/>
          <a:tailEnd/>
        </a:ln>
      </xdr:spPr>
    </xdr:pic>
    <xdr:clientData/>
  </xdr:twoCellAnchor>
  <xdr:twoCellAnchor editAs="oneCell">
    <xdr:from>
      <xdr:col>5</xdr:col>
      <xdr:colOff>409575</xdr:colOff>
      <xdr:row>331</xdr:row>
      <xdr:rowOff>85725</xdr:rowOff>
    </xdr:from>
    <xdr:to>
      <xdr:col>10</xdr:col>
      <xdr:colOff>1838325</xdr:colOff>
      <xdr:row>354</xdr:row>
      <xdr:rowOff>123825</xdr:rowOff>
    </xdr:to>
    <xdr:pic>
      <xdr:nvPicPr>
        <xdr:cNvPr id="547053" name="Picture 237" descr="PNPRO">
          <a:hlinkClick xmlns:r="http://schemas.openxmlformats.org/officeDocument/2006/relationships" r:id="rId17" tooltip="Información detallada en la web"/>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428750" y="56378475"/>
          <a:ext cx="6305550" cy="3762375"/>
        </a:xfrm>
        <a:prstGeom prst="rect">
          <a:avLst/>
        </a:prstGeom>
        <a:noFill/>
        <a:ln w="9525">
          <a:noFill/>
          <a:miter lim="800000"/>
          <a:headEnd/>
          <a:tailEnd/>
        </a:ln>
      </xdr:spPr>
    </xdr:pic>
    <xdr:clientData/>
  </xdr:twoCellAnchor>
  <xdr:twoCellAnchor>
    <xdr:from>
      <xdr:col>10</xdr:col>
      <xdr:colOff>752475</xdr:colOff>
      <xdr:row>356</xdr:row>
      <xdr:rowOff>28575</xdr:rowOff>
    </xdr:from>
    <xdr:to>
      <xdr:col>12</xdr:col>
      <xdr:colOff>19050</xdr:colOff>
      <xdr:row>357</xdr:row>
      <xdr:rowOff>142875</xdr:rowOff>
    </xdr:to>
    <xdr:sp macro="" textlink="">
      <xdr:nvSpPr>
        <xdr:cNvPr id="547054" name="Text Box 238">
          <a:hlinkClick xmlns:r="http://schemas.openxmlformats.org/officeDocument/2006/relationships" r:id="rId19" tooltip="volver al ÍNDICE"/>
        </xdr:cNvPr>
        <xdr:cNvSpPr txBox="1">
          <a:spLocks noChangeArrowheads="1"/>
        </xdr:cNvSpPr>
      </xdr:nvSpPr>
      <xdr:spPr bwMode="auto">
        <a:xfrm>
          <a:off x="6648450" y="60369450"/>
          <a:ext cx="1685925" cy="276225"/>
        </a:xfrm>
        <a:prstGeom prst="rect">
          <a:avLst/>
        </a:prstGeom>
        <a:noFill/>
        <a:ln w="9525" algn="ctr">
          <a:noFill/>
          <a:miter lim="800000"/>
          <a:headEnd/>
          <a:tailEnd/>
        </a:ln>
        <a:effectLst>
          <a:prstShdw prst="shdw17" dist="17961" dir="2700000">
            <a:srgbClr val="CCFFCC">
              <a:gamma/>
              <a:shade val="60000"/>
              <a:invGamma/>
            </a:srgbClr>
          </a:prstShdw>
        </a:effectLst>
      </xdr:spPr>
      <xdr:txBody>
        <a:bodyPr vertOverflow="clip" wrap="square" lIns="45720" tIns="36576" rIns="0" bIns="0" anchor="t" upright="1"/>
        <a:lstStyle/>
        <a:p>
          <a:pPr algn="l" rtl="0">
            <a:defRPr sz="1000"/>
          </a:pPr>
          <a:r>
            <a:rPr lang="es-ES" sz="1600" b="0" i="0" u="sng" strike="noStrike" baseline="0">
              <a:solidFill>
                <a:srgbClr val="808000"/>
              </a:solidFill>
              <a:latin typeface="Magneto"/>
            </a:rPr>
            <a:t>volver índice</a:t>
          </a:r>
        </a:p>
      </xdr:txBody>
    </xdr:sp>
    <xdr:clientData/>
  </xdr:twoCellAnchor>
  <xdr:twoCellAnchor editAs="oneCell">
    <xdr:from>
      <xdr:col>10</xdr:col>
      <xdr:colOff>1362075</xdr:colOff>
      <xdr:row>303</xdr:row>
      <xdr:rowOff>104775</xdr:rowOff>
    </xdr:from>
    <xdr:to>
      <xdr:col>10</xdr:col>
      <xdr:colOff>2095500</xdr:colOff>
      <xdr:row>303</xdr:row>
      <xdr:rowOff>295275</xdr:rowOff>
    </xdr:to>
    <xdr:pic>
      <xdr:nvPicPr>
        <xdr:cNvPr id="547055" name="Picture 239"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7258050" y="51644550"/>
          <a:ext cx="733425" cy="190500"/>
        </a:xfrm>
        <a:prstGeom prst="rect">
          <a:avLst/>
        </a:prstGeom>
        <a:noFill/>
      </xdr:spPr>
    </xdr:pic>
    <xdr:clientData/>
  </xdr:twoCellAnchor>
  <xdr:twoCellAnchor editAs="oneCell">
    <xdr:from>
      <xdr:col>13</xdr:col>
      <xdr:colOff>0</xdr:colOff>
      <xdr:row>205</xdr:row>
      <xdr:rowOff>76200</xdr:rowOff>
    </xdr:from>
    <xdr:to>
      <xdr:col>16</xdr:col>
      <xdr:colOff>238125</xdr:colOff>
      <xdr:row>206</xdr:row>
      <xdr:rowOff>95250</xdr:rowOff>
    </xdr:to>
    <xdr:pic>
      <xdr:nvPicPr>
        <xdr:cNvPr id="547056" name="Picture 240"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44175" y="35385375"/>
          <a:ext cx="733425" cy="180975"/>
        </a:xfrm>
        <a:prstGeom prst="rect">
          <a:avLst/>
        </a:prstGeom>
        <a:noFill/>
      </xdr:spPr>
    </xdr:pic>
    <xdr:clientData/>
  </xdr:twoCellAnchor>
  <xdr:twoCellAnchor editAs="oneCell">
    <xdr:from>
      <xdr:col>13</xdr:col>
      <xdr:colOff>0</xdr:colOff>
      <xdr:row>187</xdr:row>
      <xdr:rowOff>104775</xdr:rowOff>
    </xdr:from>
    <xdr:to>
      <xdr:col>16</xdr:col>
      <xdr:colOff>238125</xdr:colOff>
      <xdr:row>188</xdr:row>
      <xdr:rowOff>95250</xdr:rowOff>
    </xdr:to>
    <xdr:pic>
      <xdr:nvPicPr>
        <xdr:cNvPr id="547057" name="Picture 241"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44175" y="32308800"/>
          <a:ext cx="733425" cy="180975"/>
        </a:xfrm>
        <a:prstGeom prst="rect">
          <a:avLst/>
        </a:prstGeom>
        <a:noFill/>
      </xdr:spPr>
    </xdr:pic>
    <xdr:clientData/>
  </xdr:twoCellAnchor>
  <xdr:twoCellAnchor editAs="oneCell">
    <xdr:from>
      <xdr:col>12</xdr:col>
      <xdr:colOff>2200275</xdr:colOff>
      <xdr:row>172</xdr:row>
      <xdr:rowOff>85725</xdr:rowOff>
    </xdr:from>
    <xdr:to>
      <xdr:col>16</xdr:col>
      <xdr:colOff>209550</xdr:colOff>
      <xdr:row>173</xdr:row>
      <xdr:rowOff>76200</xdr:rowOff>
    </xdr:to>
    <xdr:pic>
      <xdr:nvPicPr>
        <xdr:cNvPr id="547058" name="Picture 242"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9594175"/>
          <a:ext cx="733425" cy="180975"/>
        </a:xfrm>
        <a:prstGeom prst="rect">
          <a:avLst/>
        </a:prstGeom>
        <a:noFill/>
      </xdr:spPr>
    </xdr:pic>
    <xdr:clientData/>
  </xdr:twoCellAnchor>
  <xdr:twoCellAnchor editAs="oneCell">
    <xdr:from>
      <xdr:col>12</xdr:col>
      <xdr:colOff>2209800</xdr:colOff>
      <xdr:row>148</xdr:row>
      <xdr:rowOff>104775</xdr:rowOff>
    </xdr:from>
    <xdr:to>
      <xdr:col>16</xdr:col>
      <xdr:colOff>219075</xdr:colOff>
      <xdr:row>149</xdr:row>
      <xdr:rowOff>95250</xdr:rowOff>
    </xdr:to>
    <xdr:pic>
      <xdr:nvPicPr>
        <xdr:cNvPr id="547059" name="Picture 243" descr="indice">
          <a:hlinkClick xmlns:r="http://schemas.openxmlformats.org/officeDocument/2006/relationships" r:id="rId19" tooltip="ir al índice"/>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25125" y="25107900"/>
          <a:ext cx="733425" cy="180975"/>
        </a:xfrm>
        <a:prstGeom prst="rect">
          <a:avLst/>
        </a:prstGeom>
        <a:noFill/>
      </xdr:spPr>
    </xdr:pic>
    <xdr:clientData/>
  </xdr:twoCellAnchor>
  <xdr:twoCellAnchor>
    <xdr:from>
      <xdr:col>12</xdr:col>
      <xdr:colOff>2009775</xdr:colOff>
      <xdr:row>221</xdr:row>
      <xdr:rowOff>123825</xdr:rowOff>
    </xdr:from>
    <xdr:to>
      <xdr:col>16</xdr:col>
      <xdr:colOff>257175</xdr:colOff>
      <xdr:row>223</xdr:row>
      <xdr:rowOff>85725</xdr:rowOff>
    </xdr:to>
    <xdr:sp macro="" textlink="">
      <xdr:nvSpPr>
        <xdr:cNvPr id="547060" name="Text Box 244">
          <a:hlinkClick xmlns:r="http://schemas.openxmlformats.org/officeDocument/2006/relationships" r:id="rId19" tooltip="volver al ÍNDICE"/>
        </xdr:cNvPr>
        <xdr:cNvSpPr txBox="1">
          <a:spLocks noChangeArrowheads="1"/>
        </xdr:cNvSpPr>
      </xdr:nvSpPr>
      <xdr:spPr bwMode="auto">
        <a:xfrm>
          <a:off x="10325100" y="38547675"/>
          <a:ext cx="971550" cy="276225"/>
        </a:xfrm>
        <a:prstGeom prst="rect">
          <a:avLst/>
        </a:prstGeom>
        <a:noFill/>
        <a:ln w="9525" algn="ctr">
          <a:noFill/>
          <a:miter lim="800000"/>
          <a:headEnd/>
          <a:tailEnd/>
        </a:ln>
        <a:effectLst>
          <a:prstShdw prst="shdw17" dist="17961" dir="2700000">
            <a:srgbClr val="CCFFCC">
              <a:gamma/>
              <a:shade val="60000"/>
              <a:invGamma/>
            </a:srgbClr>
          </a:prstShdw>
        </a:effectLst>
      </xdr:spPr>
      <xdr:txBody>
        <a:bodyPr vertOverflow="clip" wrap="square" lIns="36576" tIns="22860" rIns="0" bIns="0" anchor="t" upright="1"/>
        <a:lstStyle/>
        <a:p>
          <a:pPr algn="l" rtl="0">
            <a:defRPr sz="1000"/>
          </a:pPr>
          <a:r>
            <a:rPr lang="es-ES" sz="1200" b="0" i="0" u="sng" strike="noStrike" baseline="0">
              <a:solidFill>
                <a:srgbClr val="808000"/>
              </a:solidFill>
              <a:latin typeface="Tahoma"/>
              <a:ea typeface="Tahoma"/>
              <a:cs typeface="Tahoma"/>
            </a:rPr>
            <a:t>volver índice</a:t>
          </a:r>
        </a:p>
      </xdr:txBody>
    </xdr:sp>
    <xdr:clientData/>
  </xdr:twoCellAnchor>
  <xdr:twoCellAnchor editAs="oneCell">
    <xdr:from>
      <xdr:col>12</xdr:col>
      <xdr:colOff>1333500</xdr:colOff>
      <xdr:row>25</xdr:row>
      <xdr:rowOff>219075</xdr:rowOff>
    </xdr:from>
    <xdr:to>
      <xdr:col>18</xdr:col>
      <xdr:colOff>333375</xdr:colOff>
      <xdr:row>38</xdr:row>
      <xdr:rowOff>19050</xdr:rowOff>
    </xdr:to>
    <xdr:pic>
      <xdr:nvPicPr>
        <xdr:cNvPr id="547061" name="Picture 245" descr="Fotolia_36549914_XS">
          <a:hlinkClick xmlns:r="http://schemas.openxmlformats.org/officeDocument/2006/relationships" r:id="rId21" tooltip="Planes de Negocio RECOMENDADO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9648825" y="5048250"/>
          <a:ext cx="2152650" cy="2152650"/>
        </a:xfrm>
        <a:prstGeom prst="rect">
          <a:avLst/>
        </a:prstGeom>
        <a:solidFill>
          <a:srgbClr val="FFFFFF"/>
        </a:solidFill>
        <a:ln w="9525">
          <a:noFill/>
          <a:miter lim="800000"/>
          <a:headEnd/>
          <a:tailEnd/>
        </a:ln>
      </xdr:spPr>
    </xdr:pic>
    <xdr:clientData/>
  </xdr:twoCellAnchor>
  <xdr:twoCellAnchor editAs="oneCell">
    <xdr:from>
      <xdr:col>12</xdr:col>
      <xdr:colOff>1895475</xdr:colOff>
      <xdr:row>155</xdr:row>
      <xdr:rowOff>47625</xdr:rowOff>
    </xdr:from>
    <xdr:to>
      <xdr:col>20</xdr:col>
      <xdr:colOff>0</xdr:colOff>
      <xdr:row>166</xdr:row>
      <xdr:rowOff>66675</xdr:rowOff>
    </xdr:to>
    <xdr:pic>
      <xdr:nvPicPr>
        <xdr:cNvPr id="547062" name="Picture 246" descr="Fotolia_36549914_XS">
          <a:hlinkClick xmlns:r="http://schemas.openxmlformats.org/officeDocument/2006/relationships" r:id="rId21" tooltip="Planes de Negocio RECOMENDADO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0210800" y="26327100"/>
          <a:ext cx="2152650" cy="2152650"/>
        </a:xfrm>
        <a:prstGeom prst="rect">
          <a:avLst/>
        </a:prstGeom>
        <a:solidFill>
          <a:srgbClr val="FFFFFF"/>
        </a:solidFill>
        <a:ln w="9525">
          <a:noFill/>
          <a:miter lim="800000"/>
          <a:headEnd/>
          <a:tailEnd/>
        </a:ln>
      </xdr:spPr>
    </xdr:pic>
    <xdr:clientData/>
  </xdr:twoCellAnchor>
  <xdr:twoCellAnchor editAs="oneCell">
    <xdr:from>
      <xdr:col>12</xdr:col>
      <xdr:colOff>1895475</xdr:colOff>
      <xdr:row>190</xdr:row>
      <xdr:rowOff>104775</xdr:rowOff>
    </xdr:from>
    <xdr:to>
      <xdr:col>20</xdr:col>
      <xdr:colOff>0</xdr:colOff>
      <xdr:row>202</xdr:row>
      <xdr:rowOff>142875</xdr:rowOff>
    </xdr:to>
    <xdr:pic>
      <xdr:nvPicPr>
        <xdr:cNvPr id="547063" name="Picture 247" descr="Fotolia_36549914_XS">
          <a:hlinkClick xmlns:r="http://schemas.openxmlformats.org/officeDocument/2006/relationships" r:id="rId21" tooltip="Planes de Negocio RECOMENDADOS"/>
        </xdr:cNvPr>
        <xdr:cNvPicPr>
          <a:picLocks noChangeAspect="1" noChangeArrowheads="1"/>
        </xdr:cNvPicPr>
      </xdr:nvPicPr>
      <xdr:blipFill>
        <a:blip xmlns:r="http://schemas.openxmlformats.org/officeDocument/2006/relationships" r:embed="rId22" cstate="print"/>
        <a:srcRect/>
        <a:stretch>
          <a:fillRect/>
        </a:stretch>
      </xdr:blipFill>
      <xdr:spPr bwMode="auto">
        <a:xfrm>
          <a:off x="10210800" y="32851725"/>
          <a:ext cx="2152650" cy="2152650"/>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19050</xdr:colOff>
      <xdr:row>1</xdr:row>
      <xdr:rowOff>28575</xdr:rowOff>
    </xdr:from>
    <xdr:to>
      <xdr:col>4</xdr:col>
      <xdr:colOff>171450</xdr:colOff>
      <xdr:row>1</xdr:row>
      <xdr:rowOff>352425</xdr:rowOff>
    </xdr:to>
    <xdr:pic>
      <xdr:nvPicPr>
        <xdr:cNvPr id="700629" name="Picture 213" descr="boto002">
          <a:hlinkClick xmlns:r="http://schemas.openxmlformats.org/officeDocument/2006/relationships" r:id="rId1" tooltip="Ir a la hoja ANTERIOR"/>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0" y="152400"/>
          <a:ext cx="333375" cy="323850"/>
        </a:xfrm>
        <a:prstGeom prst="rect">
          <a:avLst/>
        </a:prstGeom>
        <a:noFill/>
      </xdr:spPr>
    </xdr:pic>
    <xdr:clientData/>
  </xdr:twoCellAnchor>
  <xdr:twoCellAnchor editAs="oneCell">
    <xdr:from>
      <xdr:col>10</xdr:col>
      <xdr:colOff>1123950</xdr:colOff>
      <xdr:row>1</xdr:row>
      <xdr:rowOff>28575</xdr:rowOff>
    </xdr:from>
    <xdr:to>
      <xdr:col>11</xdr:col>
      <xdr:colOff>152400</xdr:colOff>
      <xdr:row>1</xdr:row>
      <xdr:rowOff>352425</xdr:rowOff>
    </xdr:to>
    <xdr:pic>
      <xdr:nvPicPr>
        <xdr:cNvPr id="700630" name="Picture 214" descr="boto002">
          <a:hlinkClick xmlns:r="http://schemas.openxmlformats.org/officeDocument/2006/relationships" r:id="rId3" tooltip="Ir a la hoja SIGUIENTE"/>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82000" y="152400"/>
          <a:ext cx="333375" cy="323850"/>
        </a:xfrm>
        <a:prstGeom prst="rect">
          <a:avLst/>
        </a:prstGeom>
        <a:noFill/>
      </xdr:spPr>
    </xdr:pic>
    <xdr:clientData/>
  </xdr:twoCellAnchor>
  <xdr:twoCellAnchor editAs="oneCell">
    <xdr:from>
      <xdr:col>4</xdr:col>
      <xdr:colOff>342900</xdr:colOff>
      <xdr:row>1</xdr:row>
      <xdr:rowOff>114300</xdr:rowOff>
    </xdr:from>
    <xdr:to>
      <xdr:col>4</xdr:col>
      <xdr:colOff>1076325</xdr:colOff>
      <xdr:row>1</xdr:row>
      <xdr:rowOff>295275</xdr:rowOff>
    </xdr:to>
    <xdr:pic>
      <xdr:nvPicPr>
        <xdr:cNvPr id="700631" name="Picture 215" descr="indice">
          <a:hlinkClick xmlns:r="http://schemas.openxmlformats.org/officeDocument/2006/relationships" r:id="rId1" tooltip="ir al índice"/>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76325" y="238125"/>
          <a:ext cx="733425" cy="180975"/>
        </a:xfrm>
        <a:prstGeom prst="rect">
          <a:avLst/>
        </a:prstGeom>
        <a:noFill/>
      </xdr:spPr>
    </xdr:pic>
    <xdr:clientData/>
  </xdr:twoCellAnchor>
  <xdr:twoCellAnchor editAs="oneCell">
    <xdr:from>
      <xdr:col>9</xdr:col>
      <xdr:colOff>390525</xdr:colOff>
      <xdr:row>1</xdr:row>
      <xdr:rowOff>95250</xdr:rowOff>
    </xdr:from>
    <xdr:to>
      <xdr:col>10</xdr:col>
      <xdr:colOff>971550</xdr:colOff>
      <xdr:row>1</xdr:row>
      <xdr:rowOff>314325</xdr:rowOff>
    </xdr:to>
    <xdr:pic>
      <xdr:nvPicPr>
        <xdr:cNvPr id="700632" name="Picture 216" descr="info002">
          <a:hlinkClick xmlns:r="http://schemas.openxmlformats.org/officeDocument/2006/relationships" r:id="rId6" tooltip="Información sobre el uso de esta hoja"/>
        </xdr:cNvPr>
        <xdr:cNvPicPr>
          <a:picLocks noChangeAspect="1" noChangeArrowheads="1"/>
        </xdr:cNvPicPr>
      </xdr:nvPicPr>
      <xdr:blipFill>
        <a:blip xmlns:r="http://schemas.openxmlformats.org/officeDocument/2006/relationships" r:embed="rId7" cstate="print"/>
        <a:srcRect/>
        <a:stretch>
          <a:fillRect/>
        </a:stretch>
      </xdr:blipFill>
      <xdr:spPr bwMode="auto">
        <a:xfrm>
          <a:off x="6867525" y="219075"/>
          <a:ext cx="1362075" cy="219075"/>
        </a:xfrm>
        <a:prstGeom prst="rect">
          <a:avLst/>
        </a:prstGeom>
        <a:noFill/>
      </xdr:spPr>
    </xdr:pic>
    <xdr:clientData/>
  </xdr:twoCellAnchor>
  <xdr:twoCellAnchor editAs="oneCell">
    <xdr:from>
      <xdr:col>12</xdr:col>
      <xdr:colOff>38100</xdr:colOff>
      <xdr:row>22</xdr:row>
      <xdr:rowOff>152400</xdr:rowOff>
    </xdr:from>
    <xdr:to>
      <xdr:col>18</xdr:col>
      <xdr:colOff>19050</xdr:colOff>
      <xdr:row>35</xdr:row>
      <xdr:rowOff>0</xdr:rowOff>
    </xdr:to>
    <xdr:pic>
      <xdr:nvPicPr>
        <xdr:cNvPr id="700637" name="Picture 221" descr="Fotolia_36549914_XS">
          <a:hlinkClick xmlns:r="http://schemas.openxmlformats.org/officeDocument/2006/relationships" r:id="rId8" tooltip="Planes de Negocio RECOMENDADOS"/>
        </xdr:cNvPr>
        <xdr:cNvPicPr>
          <a:picLocks noChangeAspect="1" noChangeArrowheads="1"/>
        </xdr:cNvPicPr>
      </xdr:nvPicPr>
      <xdr:blipFill>
        <a:blip xmlns:r="http://schemas.openxmlformats.org/officeDocument/2006/relationships" r:embed="rId9" cstate="print">
          <a:lum bright="52000" contrast="-70000"/>
        </a:blip>
        <a:srcRect/>
        <a:stretch>
          <a:fillRect/>
        </a:stretch>
      </xdr:blipFill>
      <xdr:spPr bwMode="auto">
        <a:xfrm>
          <a:off x="8782050" y="3724275"/>
          <a:ext cx="1647825" cy="1647825"/>
        </a:xfrm>
        <a:prstGeom prst="rect">
          <a:avLst/>
        </a:prstGeom>
        <a:solidFill>
          <a:srgbClr val="FFFFFF"/>
        </a:solid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19050</xdr:colOff>
      <xdr:row>1</xdr:row>
      <xdr:rowOff>28575</xdr:rowOff>
    </xdr:from>
    <xdr:to>
      <xdr:col>4</xdr:col>
      <xdr:colOff>171450</xdr:colOff>
      <xdr:row>1</xdr:row>
      <xdr:rowOff>352425</xdr:rowOff>
    </xdr:to>
    <xdr:pic>
      <xdr:nvPicPr>
        <xdr:cNvPr id="701547" name="Picture 107" descr="boto002">
          <a:hlinkClick xmlns:r="http://schemas.openxmlformats.org/officeDocument/2006/relationships" r:id="rId1" tooltip="Ir a la hoja ANTERIOR"/>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0" y="152400"/>
          <a:ext cx="333375" cy="323850"/>
        </a:xfrm>
        <a:prstGeom prst="rect">
          <a:avLst/>
        </a:prstGeom>
        <a:noFill/>
      </xdr:spPr>
    </xdr:pic>
    <xdr:clientData/>
  </xdr:twoCellAnchor>
  <xdr:twoCellAnchor editAs="oneCell">
    <xdr:from>
      <xdr:col>4</xdr:col>
      <xdr:colOff>342900</xdr:colOff>
      <xdr:row>1</xdr:row>
      <xdr:rowOff>114300</xdr:rowOff>
    </xdr:from>
    <xdr:to>
      <xdr:col>5</xdr:col>
      <xdr:colOff>28575</xdr:colOff>
      <xdr:row>1</xdr:row>
      <xdr:rowOff>295275</xdr:rowOff>
    </xdr:to>
    <xdr:pic>
      <xdr:nvPicPr>
        <xdr:cNvPr id="701548" name="Picture 108" descr="indice">
          <a:hlinkClick xmlns:r="http://schemas.openxmlformats.org/officeDocument/2006/relationships" r:id="rId3" tooltip="ir al índice"/>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6325" y="238125"/>
          <a:ext cx="733425" cy="180975"/>
        </a:xfrm>
        <a:prstGeom prst="rect">
          <a:avLst/>
        </a:prstGeom>
        <a:noFill/>
      </xdr:spPr>
    </xdr:pic>
    <xdr:clientData/>
  </xdr:twoCellAnchor>
  <xdr:twoCellAnchor editAs="oneCell">
    <xdr:from>
      <xdr:col>16</xdr:col>
      <xdr:colOff>361950</xdr:colOff>
      <xdr:row>1</xdr:row>
      <xdr:rowOff>28575</xdr:rowOff>
    </xdr:from>
    <xdr:to>
      <xdr:col>17</xdr:col>
      <xdr:colOff>85725</xdr:colOff>
      <xdr:row>1</xdr:row>
      <xdr:rowOff>352425</xdr:rowOff>
    </xdr:to>
    <xdr:pic>
      <xdr:nvPicPr>
        <xdr:cNvPr id="701549" name="Picture 109" descr="boto002">
          <a:hlinkClick xmlns:r="http://schemas.openxmlformats.org/officeDocument/2006/relationships" r:id="rId5" tooltip="Ir a la hoja SIGUIENTE"/>
        </xdr:cNvPr>
        <xdr:cNvPicPr>
          <a:picLocks noChangeAspect="1" noChangeArrowheads="1"/>
        </xdr:cNvPicPr>
      </xdr:nvPicPr>
      <xdr:blipFill>
        <a:blip xmlns:r="http://schemas.openxmlformats.org/officeDocument/2006/relationships" r:embed="rId6" cstate="print"/>
        <a:srcRect/>
        <a:stretch>
          <a:fillRect/>
        </a:stretch>
      </xdr:blipFill>
      <xdr:spPr bwMode="auto">
        <a:xfrm>
          <a:off x="8391525" y="152400"/>
          <a:ext cx="333375" cy="323850"/>
        </a:xfrm>
        <a:prstGeom prst="rect">
          <a:avLst/>
        </a:prstGeom>
        <a:noFill/>
      </xdr:spPr>
    </xdr:pic>
    <xdr:clientData/>
  </xdr:twoCellAnchor>
  <xdr:twoCellAnchor editAs="oneCell">
    <xdr:from>
      <xdr:col>14</xdr:col>
      <xdr:colOff>66675</xdr:colOff>
      <xdr:row>1</xdr:row>
      <xdr:rowOff>95250</xdr:rowOff>
    </xdr:from>
    <xdr:to>
      <xdr:col>16</xdr:col>
      <xdr:colOff>209550</xdr:colOff>
      <xdr:row>1</xdr:row>
      <xdr:rowOff>314325</xdr:rowOff>
    </xdr:to>
    <xdr:pic>
      <xdr:nvPicPr>
        <xdr:cNvPr id="701550" name="Picture 110" descr="info002">
          <a:hlinkClick xmlns:r="http://schemas.openxmlformats.org/officeDocument/2006/relationships" r:id="rId7" tooltip="Información sobre el uso de esta hoja"/>
        </xdr:cNvPr>
        <xdr:cNvPicPr>
          <a:picLocks noChangeAspect="1" noChangeArrowheads="1"/>
        </xdr:cNvPicPr>
      </xdr:nvPicPr>
      <xdr:blipFill>
        <a:blip xmlns:r="http://schemas.openxmlformats.org/officeDocument/2006/relationships" r:embed="rId8" cstate="print"/>
        <a:srcRect/>
        <a:stretch>
          <a:fillRect/>
        </a:stretch>
      </xdr:blipFill>
      <xdr:spPr bwMode="auto">
        <a:xfrm>
          <a:off x="6877050" y="219075"/>
          <a:ext cx="1362075" cy="219075"/>
        </a:xfrm>
        <a:prstGeom prst="rect">
          <a:avLst/>
        </a:prstGeom>
        <a:noFill/>
      </xdr:spPr>
    </xdr:pic>
    <xdr:clientData/>
  </xdr:twoCellAnchor>
  <xdr:twoCellAnchor editAs="oneCell">
    <xdr:from>
      <xdr:col>18</xdr:col>
      <xdr:colOff>28575</xdr:colOff>
      <xdr:row>24</xdr:row>
      <xdr:rowOff>47625</xdr:rowOff>
    </xdr:from>
    <xdr:to>
      <xdr:col>28</xdr:col>
      <xdr:colOff>9525</xdr:colOff>
      <xdr:row>38</xdr:row>
      <xdr:rowOff>0</xdr:rowOff>
    </xdr:to>
    <xdr:pic>
      <xdr:nvPicPr>
        <xdr:cNvPr id="701553" name="Picture 113" descr="Fotolia_36549914_XS">
          <a:hlinkClick xmlns:r="http://schemas.openxmlformats.org/officeDocument/2006/relationships" r:id="rId9" tooltip="Planes de Negocio RECOMENDADOS"/>
        </xdr:cNvPr>
        <xdr:cNvPicPr>
          <a:picLocks noChangeAspect="1" noChangeArrowheads="1"/>
        </xdr:cNvPicPr>
      </xdr:nvPicPr>
      <xdr:blipFill>
        <a:blip xmlns:r="http://schemas.openxmlformats.org/officeDocument/2006/relationships" r:embed="rId10" cstate="print">
          <a:lum bright="46000" contrast="-70000"/>
        </a:blip>
        <a:srcRect/>
        <a:stretch>
          <a:fillRect/>
        </a:stretch>
      </xdr:blipFill>
      <xdr:spPr bwMode="auto">
        <a:xfrm>
          <a:off x="8782050" y="3619500"/>
          <a:ext cx="1647825" cy="1647825"/>
        </a:xfrm>
        <a:prstGeom prst="rect">
          <a:avLst/>
        </a:prstGeom>
        <a:solidFill>
          <a:srgbClr val="FFFFFF"/>
        </a:solid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228600</xdr:colOff>
      <xdr:row>40</xdr:row>
      <xdr:rowOff>0</xdr:rowOff>
    </xdr:from>
    <xdr:to>
      <xdr:col>15</xdr:col>
      <xdr:colOff>228600</xdr:colOff>
      <xdr:row>40</xdr:row>
      <xdr:rowOff>0</xdr:rowOff>
    </xdr:to>
    <xdr:sp macro="" textlink="">
      <xdr:nvSpPr>
        <xdr:cNvPr id="695316" name="Line 20"/>
        <xdr:cNvSpPr>
          <a:spLocks noChangeShapeType="1"/>
        </xdr:cNvSpPr>
      </xdr:nvSpPr>
      <xdr:spPr bwMode="auto">
        <a:xfrm>
          <a:off x="7372350" y="5305425"/>
          <a:ext cx="0" cy="0"/>
        </a:xfrm>
        <a:prstGeom prst="line">
          <a:avLst/>
        </a:prstGeom>
        <a:noFill/>
        <a:ln w="9525">
          <a:noFill/>
          <a:round/>
          <a:headEnd/>
          <a:tailEnd/>
        </a:ln>
        <a:effectLst>
          <a:prstShdw prst="shdw17" dist="17961" dir="2700000">
            <a:srgbClr val="FFFFFF">
              <a:gamma/>
              <a:shade val="60000"/>
              <a:invGamma/>
            </a:srgbClr>
          </a:prstShdw>
        </a:effectLst>
      </xdr:spPr>
    </xdr:sp>
    <xdr:clientData/>
  </xdr:twoCellAnchor>
  <xdr:twoCellAnchor editAs="oneCell">
    <xdr:from>
      <xdr:col>3</xdr:col>
      <xdr:colOff>19050</xdr:colOff>
      <xdr:row>1</xdr:row>
      <xdr:rowOff>28575</xdr:rowOff>
    </xdr:from>
    <xdr:to>
      <xdr:col>4</xdr:col>
      <xdr:colOff>295275</xdr:colOff>
      <xdr:row>1</xdr:row>
      <xdr:rowOff>352425</xdr:rowOff>
    </xdr:to>
    <xdr:pic>
      <xdr:nvPicPr>
        <xdr:cNvPr id="695336" name="Picture 40" descr="boto002">
          <a:hlinkClick xmlns:r="http://schemas.openxmlformats.org/officeDocument/2006/relationships" r:id="rId1" tooltip="Ir a la hoja ANTERIOR"/>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0" y="152400"/>
          <a:ext cx="333375" cy="323850"/>
        </a:xfrm>
        <a:prstGeom prst="rect">
          <a:avLst/>
        </a:prstGeom>
        <a:noFill/>
      </xdr:spPr>
    </xdr:pic>
    <xdr:clientData/>
  </xdr:twoCellAnchor>
  <xdr:twoCellAnchor editAs="oneCell">
    <xdr:from>
      <xdr:col>4</xdr:col>
      <xdr:colOff>476250</xdr:colOff>
      <xdr:row>1</xdr:row>
      <xdr:rowOff>114300</xdr:rowOff>
    </xdr:from>
    <xdr:to>
      <xdr:col>5</xdr:col>
      <xdr:colOff>161925</xdr:colOff>
      <xdr:row>1</xdr:row>
      <xdr:rowOff>295275</xdr:rowOff>
    </xdr:to>
    <xdr:pic>
      <xdr:nvPicPr>
        <xdr:cNvPr id="695337" name="Picture 41" descr="indice">
          <a:hlinkClick xmlns:r="http://schemas.openxmlformats.org/officeDocument/2006/relationships" r:id="rId3" tooltip="ir al índice"/>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85850" y="238125"/>
          <a:ext cx="733425" cy="180975"/>
        </a:xfrm>
        <a:prstGeom prst="rect">
          <a:avLst/>
        </a:prstGeom>
        <a:noFill/>
      </xdr:spPr>
    </xdr:pic>
    <xdr:clientData/>
  </xdr:twoCellAnchor>
  <xdr:twoCellAnchor editAs="oneCell">
    <xdr:from>
      <xdr:col>17</xdr:col>
      <xdr:colOff>238125</xdr:colOff>
      <xdr:row>1</xdr:row>
      <xdr:rowOff>19050</xdr:rowOff>
    </xdr:from>
    <xdr:to>
      <xdr:col>18</xdr:col>
      <xdr:colOff>38100</xdr:colOff>
      <xdr:row>1</xdr:row>
      <xdr:rowOff>342900</xdr:rowOff>
    </xdr:to>
    <xdr:pic>
      <xdr:nvPicPr>
        <xdr:cNvPr id="695338" name="Picture 42" descr="boto002">
          <a:hlinkClick xmlns:r="http://schemas.openxmlformats.org/officeDocument/2006/relationships" r:id="rId5" tooltip="Ir a la hoja SIGUIENTE"/>
        </xdr:cNvPr>
        <xdr:cNvPicPr>
          <a:picLocks noChangeAspect="1" noChangeArrowheads="1"/>
        </xdr:cNvPicPr>
      </xdr:nvPicPr>
      <xdr:blipFill>
        <a:blip xmlns:r="http://schemas.openxmlformats.org/officeDocument/2006/relationships" r:embed="rId6" cstate="print"/>
        <a:srcRect/>
        <a:stretch>
          <a:fillRect/>
        </a:stretch>
      </xdr:blipFill>
      <xdr:spPr bwMode="auto">
        <a:xfrm>
          <a:off x="8448675" y="142875"/>
          <a:ext cx="333375" cy="323850"/>
        </a:xfrm>
        <a:prstGeom prst="rect">
          <a:avLst/>
        </a:prstGeom>
        <a:noFill/>
      </xdr:spPr>
    </xdr:pic>
    <xdr:clientData/>
  </xdr:twoCellAnchor>
  <xdr:twoCellAnchor editAs="oneCell">
    <xdr:from>
      <xdr:col>14</xdr:col>
      <xdr:colOff>371475</xdr:colOff>
      <xdr:row>1</xdr:row>
      <xdr:rowOff>95250</xdr:rowOff>
    </xdr:from>
    <xdr:to>
      <xdr:col>17</xdr:col>
      <xdr:colOff>133350</xdr:colOff>
      <xdr:row>1</xdr:row>
      <xdr:rowOff>314325</xdr:rowOff>
    </xdr:to>
    <xdr:pic>
      <xdr:nvPicPr>
        <xdr:cNvPr id="695339" name="Picture 43" descr="info002">
          <a:hlinkClick xmlns:r="http://schemas.openxmlformats.org/officeDocument/2006/relationships" r:id="rId7" tooltip="Información sobre el uso de esta hoja"/>
        </xdr:cNvPr>
        <xdr:cNvPicPr>
          <a:picLocks noChangeAspect="1" noChangeArrowheads="1"/>
        </xdr:cNvPicPr>
      </xdr:nvPicPr>
      <xdr:blipFill>
        <a:blip xmlns:r="http://schemas.openxmlformats.org/officeDocument/2006/relationships" r:embed="rId8" cstate="print"/>
        <a:srcRect/>
        <a:stretch>
          <a:fillRect/>
        </a:stretch>
      </xdr:blipFill>
      <xdr:spPr bwMode="auto">
        <a:xfrm>
          <a:off x="6981825" y="219075"/>
          <a:ext cx="1362075" cy="219075"/>
        </a:xfrm>
        <a:prstGeom prst="rect">
          <a:avLst/>
        </a:prstGeom>
        <a:noFill/>
      </xdr:spPr>
    </xdr:pic>
    <xdr:clientData/>
  </xdr:twoCellAnchor>
  <xdr:twoCellAnchor editAs="oneCell">
    <xdr:from>
      <xdr:col>19</xdr:col>
      <xdr:colOff>38100</xdr:colOff>
      <xdr:row>30</xdr:row>
      <xdr:rowOff>28575</xdr:rowOff>
    </xdr:from>
    <xdr:to>
      <xdr:col>25</xdr:col>
      <xdr:colOff>19050</xdr:colOff>
      <xdr:row>43</xdr:row>
      <xdr:rowOff>0</xdr:rowOff>
    </xdr:to>
    <xdr:pic>
      <xdr:nvPicPr>
        <xdr:cNvPr id="695340" name="Picture 44" descr="Fotolia_36549914_XS">
          <a:hlinkClick xmlns:r="http://schemas.openxmlformats.org/officeDocument/2006/relationships" r:id="rId9" tooltip="Planes de Negocio RECOMENDADOS"/>
        </xdr:cNvPr>
        <xdr:cNvPicPr>
          <a:picLocks noChangeAspect="1" noChangeArrowheads="1"/>
        </xdr:cNvPicPr>
      </xdr:nvPicPr>
      <xdr:blipFill>
        <a:blip xmlns:r="http://schemas.openxmlformats.org/officeDocument/2006/relationships" r:embed="rId10" cstate="print">
          <a:lum bright="52000" contrast="-70000"/>
        </a:blip>
        <a:srcRect/>
        <a:stretch>
          <a:fillRect/>
        </a:stretch>
      </xdr:blipFill>
      <xdr:spPr bwMode="auto">
        <a:xfrm>
          <a:off x="8839200" y="4048125"/>
          <a:ext cx="1647825" cy="1647825"/>
        </a:xfrm>
        <a:prstGeom prst="rect">
          <a:avLst/>
        </a:prstGeom>
        <a:solidFill>
          <a:srgbClr val="FFFFFF"/>
        </a:solid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19050</xdr:colOff>
      <xdr:row>1</xdr:row>
      <xdr:rowOff>28575</xdr:rowOff>
    </xdr:from>
    <xdr:to>
      <xdr:col>4</xdr:col>
      <xdr:colOff>171450</xdr:colOff>
      <xdr:row>1</xdr:row>
      <xdr:rowOff>352425</xdr:rowOff>
    </xdr:to>
    <xdr:pic>
      <xdr:nvPicPr>
        <xdr:cNvPr id="698537" name="Picture 169" descr="boto002">
          <a:hlinkClick xmlns:r="http://schemas.openxmlformats.org/officeDocument/2006/relationships" r:id="rId1" tooltip="Ir a la hoja ANTERIOR"/>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0" y="152400"/>
          <a:ext cx="333375" cy="323850"/>
        </a:xfrm>
        <a:prstGeom prst="rect">
          <a:avLst/>
        </a:prstGeom>
        <a:noFill/>
      </xdr:spPr>
    </xdr:pic>
    <xdr:clientData/>
  </xdr:twoCellAnchor>
  <xdr:twoCellAnchor editAs="oneCell">
    <xdr:from>
      <xdr:col>4</xdr:col>
      <xdr:colOff>342900</xdr:colOff>
      <xdr:row>1</xdr:row>
      <xdr:rowOff>114300</xdr:rowOff>
    </xdr:from>
    <xdr:to>
      <xdr:col>5</xdr:col>
      <xdr:colOff>28575</xdr:colOff>
      <xdr:row>1</xdr:row>
      <xdr:rowOff>295275</xdr:rowOff>
    </xdr:to>
    <xdr:pic>
      <xdr:nvPicPr>
        <xdr:cNvPr id="698538" name="Picture 170" descr="indice">
          <a:hlinkClick xmlns:r="http://schemas.openxmlformats.org/officeDocument/2006/relationships" r:id="rId3" tooltip="ir al índice"/>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6325" y="238125"/>
          <a:ext cx="733425" cy="180975"/>
        </a:xfrm>
        <a:prstGeom prst="rect">
          <a:avLst/>
        </a:prstGeom>
        <a:noFill/>
      </xdr:spPr>
    </xdr:pic>
    <xdr:clientData/>
  </xdr:twoCellAnchor>
  <xdr:twoCellAnchor editAs="oneCell">
    <xdr:from>
      <xdr:col>22</xdr:col>
      <xdr:colOff>333375</xdr:colOff>
      <xdr:row>1</xdr:row>
      <xdr:rowOff>19050</xdr:rowOff>
    </xdr:from>
    <xdr:to>
      <xdr:col>23</xdr:col>
      <xdr:colOff>152400</xdr:colOff>
      <xdr:row>1</xdr:row>
      <xdr:rowOff>342900</xdr:rowOff>
    </xdr:to>
    <xdr:pic>
      <xdr:nvPicPr>
        <xdr:cNvPr id="698539" name="Picture 171" descr="boto002">
          <a:hlinkClick xmlns:r="http://schemas.openxmlformats.org/officeDocument/2006/relationships" r:id="rId5" tooltip="Ir a la hoja SIGUIENTE"/>
        </xdr:cNvPr>
        <xdr:cNvPicPr>
          <a:picLocks noChangeAspect="1" noChangeArrowheads="1"/>
        </xdr:cNvPicPr>
      </xdr:nvPicPr>
      <xdr:blipFill>
        <a:blip xmlns:r="http://schemas.openxmlformats.org/officeDocument/2006/relationships" r:embed="rId6" cstate="print"/>
        <a:srcRect/>
        <a:stretch>
          <a:fillRect/>
        </a:stretch>
      </xdr:blipFill>
      <xdr:spPr bwMode="auto">
        <a:xfrm>
          <a:off x="8362950" y="142875"/>
          <a:ext cx="333375" cy="323850"/>
        </a:xfrm>
        <a:prstGeom prst="rect">
          <a:avLst/>
        </a:prstGeom>
        <a:noFill/>
      </xdr:spPr>
    </xdr:pic>
    <xdr:clientData/>
  </xdr:twoCellAnchor>
  <xdr:twoCellAnchor editAs="oneCell">
    <xdr:from>
      <xdr:col>18</xdr:col>
      <xdr:colOff>38100</xdr:colOff>
      <xdr:row>1</xdr:row>
      <xdr:rowOff>104775</xdr:rowOff>
    </xdr:from>
    <xdr:to>
      <xdr:col>22</xdr:col>
      <xdr:colOff>171450</xdr:colOff>
      <xdr:row>1</xdr:row>
      <xdr:rowOff>323850</xdr:rowOff>
    </xdr:to>
    <xdr:pic>
      <xdr:nvPicPr>
        <xdr:cNvPr id="698540" name="Picture 172" descr="info002">
          <a:hlinkClick xmlns:r="http://schemas.openxmlformats.org/officeDocument/2006/relationships" r:id="rId7" tooltip="Información sobre el uso de esta hoja"/>
        </xdr:cNvPr>
        <xdr:cNvPicPr>
          <a:picLocks noChangeAspect="1" noChangeArrowheads="1"/>
        </xdr:cNvPicPr>
      </xdr:nvPicPr>
      <xdr:blipFill>
        <a:blip xmlns:r="http://schemas.openxmlformats.org/officeDocument/2006/relationships" r:embed="rId8" cstate="print"/>
        <a:srcRect/>
        <a:stretch>
          <a:fillRect/>
        </a:stretch>
      </xdr:blipFill>
      <xdr:spPr bwMode="auto">
        <a:xfrm>
          <a:off x="6838950" y="228600"/>
          <a:ext cx="1362075" cy="219075"/>
        </a:xfrm>
        <a:prstGeom prst="rect">
          <a:avLst/>
        </a:prstGeom>
        <a:noFill/>
      </xdr:spPr>
    </xdr:pic>
    <xdr:clientData/>
  </xdr:twoCellAnchor>
  <xdr:twoCellAnchor editAs="oneCell">
    <xdr:from>
      <xdr:col>32</xdr:col>
      <xdr:colOff>38100</xdr:colOff>
      <xdr:row>23</xdr:row>
      <xdr:rowOff>76200</xdr:rowOff>
    </xdr:from>
    <xdr:to>
      <xdr:col>36</xdr:col>
      <xdr:colOff>295275</xdr:colOff>
      <xdr:row>35</xdr:row>
      <xdr:rowOff>0</xdr:rowOff>
    </xdr:to>
    <xdr:pic>
      <xdr:nvPicPr>
        <xdr:cNvPr id="698542" name="Picture 174" descr="Fotolia_36549914_XS">
          <a:hlinkClick xmlns:r="http://schemas.openxmlformats.org/officeDocument/2006/relationships" r:id="rId9" tooltip="Planes de Negocio RECOMENDADOS"/>
        </xdr:cNvPr>
        <xdr:cNvPicPr>
          <a:picLocks noChangeAspect="1" noChangeArrowheads="1"/>
        </xdr:cNvPicPr>
      </xdr:nvPicPr>
      <xdr:blipFill>
        <a:blip xmlns:r="http://schemas.openxmlformats.org/officeDocument/2006/relationships" r:embed="rId10" cstate="print">
          <a:lum bright="52000" contrast="-70000"/>
        </a:blip>
        <a:srcRect/>
        <a:stretch>
          <a:fillRect/>
        </a:stretch>
      </xdr:blipFill>
      <xdr:spPr bwMode="auto">
        <a:xfrm>
          <a:off x="8763000" y="3648075"/>
          <a:ext cx="1647825" cy="1647825"/>
        </a:xfrm>
        <a:prstGeom prst="rect">
          <a:avLst/>
        </a:prstGeom>
        <a:solidFill>
          <a:srgbClr val="FFFFFF"/>
        </a:solid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390525</xdr:colOff>
      <xdr:row>312</xdr:row>
      <xdr:rowOff>0</xdr:rowOff>
    </xdr:from>
    <xdr:to>
      <xdr:col>19</xdr:col>
      <xdr:colOff>581025</xdr:colOff>
      <xdr:row>312</xdr:row>
      <xdr:rowOff>0</xdr:rowOff>
    </xdr:to>
    <xdr:graphicFrame macro="">
      <xdr:nvGraphicFramePr>
        <xdr:cNvPr id="69737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228600</xdr:colOff>
      <xdr:row>312</xdr:row>
      <xdr:rowOff>0</xdr:rowOff>
    </xdr:from>
    <xdr:to>
      <xdr:col>17</xdr:col>
      <xdr:colOff>228600</xdr:colOff>
      <xdr:row>312</xdr:row>
      <xdr:rowOff>0</xdr:rowOff>
    </xdr:to>
    <xdr:sp macro="" textlink="">
      <xdr:nvSpPr>
        <xdr:cNvPr id="697376" name="Line 32"/>
        <xdr:cNvSpPr>
          <a:spLocks noChangeShapeType="1"/>
        </xdr:cNvSpPr>
      </xdr:nvSpPr>
      <xdr:spPr bwMode="auto">
        <a:xfrm>
          <a:off x="8448675" y="49196625"/>
          <a:ext cx="0" cy="0"/>
        </a:xfrm>
        <a:prstGeom prst="line">
          <a:avLst/>
        </a:prstGeom>
        <a:noFill/>
        <a:ln w="9525">
          <a:noFill/>
          <a:round/>
          <a:headEnd/>
          <a:tailEnd/>
        </a:ln>
        <a:effectLst>
          <a:prstShdw prst="shdw17" dist="17961" dir="2700000">
            <a:srgbClr val="FFFFFF">
              <a:gamma/>
              <a:shade val="60000"/>
              <a:invGamma/>
            </a:srgbClr>
          </a:prstShdw>
        </a:effectLst>
      </xdr:spPr>
    </xdr:sp>
    <xdr:clientData/>
  </xdr:twoCellAnchor>
  <xdr:twoCellAnchor>
    <xdr:from>
      <xdr:col>21</xdr:col>
      <xdr:colOff>285750</xdr:colOff>
      <xdr:row>22</xdr:row>
      <xdr:rowOff>0</xdr:rowOff>
    </xdr:from>
    <xdr:to>
      <xdr:col>21</xdr:col>
      <xdr:colOff>285750</xdr:colOff>
      <xdr:row>22</xdr:row>
      <xdr:rowOff>0</xdr:rowOff>
    </xdr:to>
    <xdr:sp macro="" textlink="">
      <xdr:nvSpPr>
        <xdr:cNvPr id="697378" name="Line 34"/>
        <xdr:cNvSpPr>
          <a:spLocks noChangeShapeType="1"/>
        </xdr:cNvSpPr>
      </xdr:nvSpPr>
      <xdr:spPr bwMode="auto">
        <a:xfrm>
          <a:off x="9505950" y="3390900"/>
          <a:ext cx="0" cy="0"/>
        </a:xfrm>
        <a:prstGeom prst="line">
          <a:avLst/>
        </a:prstGeom>
        <a:noFill/>
        <a:ln w="9525">
          <a:noFill/>
          <a:round/>
          <a:headEnd/>
          <a:tailEnd/>
        </a:ln>
        <a:effectLst>
          <a:prstShdw prst="shdw17" dist="17961" dir="2700000">
            <a:srgbClr val="FFFFFF">
              <a:gamma/>
              <a:shade val="60000"/>
              <a:invGamma/>
            </a:srgbClr>
          </a:prstShdw>
        </a:effectLst>
      </xdr:spPr>
    </xdr:sp>
    <xdr:clientData/>
  </xdr:twoCellAnchor>
  <xdr:twoCellAnchor editAs="oneCell">
    <xdr:from>
      <xdr:col>3</xdr:col>
      <xdr:colOff>9525</xdr:colOff>
      <xdr:row>1</xdr:row>
      <xdr:rowOff>28575</xdr:rowOff>
    </xdr:from>
    <xdr:to>
      <xdr:col>4</xdr:col>
      <xdr:colOff>285750</xdr:colOff>
      <xdr:row>1</xdr:row>
      <xdr:rowOff>352425</xdr:rowOff>
    </xdr:to>
    <xdr:pic>
      <xdr:nvPicPr>
        <xdr:cNvPr id="697437" name="Picture 93" descr="boto002">
          <a:hlinkClick xmlns:r="http://schemas.openxmlformats.org/officeDocument/2006/relationships" r:id="rId2" tooltip="Ir a la hoja ANTERIOR"/>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1500" y="152400"/>
          <a:ext cx="333375" cy="323850"/>
        </a:xfrm>
        <a:prstGeom prst="rect">
          <a:avLst/>
        </a:prstGeom>
        <a:noFill/>
      </xdr:spPr>
    </xdr:pic>
    <xdr:clientData/>
  </xdr:twoCellAnchor>
  <xdr:twoCellAnchor editAs="oneCell">
    <xdr:from>
      <xdr:col>4</xdr:col>
      <xdr:colOff>581025</xdr:colOff>
      <xdr:row>1</xdr:row>
      <xdr:rowOff>114300</xdr:rowOff>
    </xdr:from>
    <xdr:to>
      <xdr:col>5</xdr:col>
      <xdr:colOff>266700</xdr:colOff>
      <xdr:row>1</xdr:row>
      <xdr:rowOff>295275</xdr:rowOff>
    </xdr:to>
    <xdr:pic>
      <xdr:nvPicPr>
        <xdr:cNvPr id="697438" name="Picture 94" descr="indice">
          <a:hlinkClick xmlns:r="http://schemas.openxmlformats.org/officeDocument/2006/relationships" r:id="rId4" tooltip="ir al índice"/>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00150" y="238125"/>
          <a:ext cx="733425" cy="180975"/>
        </a:xfrm>
        <a:prstGeom prst="rect">
          <a:avLst/>
        </a:prstGeom>
        <a:noFill/>
      </xdr:spPr>
    </xdr:pic>
    <xdr:clientData/>
  </xdr:twoCellAnchor>
  <xdr:twoCellAnchor editAs="oneCell">
    <xdr:from>
      <xdr:col>17</xdr:col>
      <xdr:colOff>247650</xdr:colOff>
      <xdr:row>1</xdr:row>
      <xdr:rowOff>19050</xdr:rowOff>
    </xdr:from>
    <xdr:to>
      <xdr:col>18</xdr:col>
      <xdr:colOff>47625</xdr:colOff>
      <xdr:row>1</xdr:row>
      <xdr:rowOff>342900</xdr:rowOff>
    </xdr:to>
    <xdr:pic>
      <xdr:nvPicPr>
        <xdr:cNvPr id="697439" name="Picture 95" descr="boto002">
          <a:hlinkClick xmlns:r="http://schemas.openxmlformats.org/officeDocument/2006/relationships" r:id="rId6" tooltip="Ir a la hoja SIGUIENTE"/>
        </xdr:cNvPr>
        <xdr:cNvPicPr>
          <a:picLocks noChangeAspect="1" noChangeArrowheads="1"/>
        </xdr:cNvPicPr>
      </xdr:nvPicPr>
      <xdr:blipFill>
        <a:blip xmlns:r="http://schemas.openxmlformats.org/officeDocument/2006/relationships" r:embed="rId7" cstate="print"/>
        <a:srcRect/>
        <a:stretch>
          <a:fillRect/>
        </a:stretch>
      </xdr:blipFill>
      <xdr:spPr bwMode="auto">
        <a:xfrm>
          <a:off x="8467725" y="142875"/>
          <a:ext cx="333375" cy="323850"/>
        </a:xfrm>
        <a:prstGeom prst="rect">
          <a:avLst/>
        </a:prstGeom>
        <a:noFill/>
      </xdr:spPr>
    </xdr:pic>
    <xdr:clientData/>
  </xdr:twoCellAnchor>
  <xdr:twoCellAnchor editAs="oneCell">
    <xdr:from>
      <xdr:col>14</xdr:col>
      <xdr:colOff>390525</xdr:colOff>
      <xdr:row>1</xdr:row>
      <xdr:rowOff>85725</xdr:rowOff>
    </xdr:from>
    <xdr:to>
      <xdr:col>17</xdr:col>
      <xdr:colOff>152400</xdr:colOff>
      <xdr:row>1</xdr:row>
      <xdr:rowOff>304800</xdr:rowOff>
    </xdr:to>
    <xdr:pic>
      <xdr:nvPicPr>
        <xdr:cNvPr id="697440" name="Picture 96" descr="info002">
          <a:hlinkClick xmlns:r="http://schemas.openxmlformats.org/officeDocument/2006/relationships" r:id="rId8" tooltip="Información sobre el uso de esta hoja"/>
        </xdr:cNvPr>
        <xdr:cNvPicPr>
          <a:picLocks noChangeAspect="1" noChangeArrowheads="1"/>
        </xdr:cNvPicPr>
      </xdr:nvPicPr>
      <xdr:blipFill>
        <a:blip xmlns:r="http://schemas.openxmlformats.org/officeDocument/2006/relationships" r:embed="rId9" cstate="print"/>
        <a:srcRect/>
        <a:stretch>
          <a:fillRect/>
        </a:stretch>
      </xdr:blipFill>
      <xdr:spPr bwMode="auto">
        <a:xfrm>
          <a:off x="7010400" y="209550"/>
          <a:ext cx="1362075" cy="219075"/>
        </a:xfrm>
        <a:prstGeom prst="rect">
          <a:avLst/>
        </a:prstGeom>
        <a:noFill/>
      </xdr:spPr>
    </xdr:pic>
    <xdr:clientData/>
  </xdr:twoCellAnchor>
  <xdr:twoCellAnchor editAs="oneCell">
    <xdr:from>
      <xdr:col>19</xdr:col>
      <xdr:colOff>28575</xdr:colOff>
      <xdr:row>24</xdr:row>
      <xdr:rowOff>114300</xdr:rowOff>
    </xdr:from>
    <xdr:to>
      <xdr:col>25</xdr:col>
      <xdr:colOff>9525</xdr:colOff>
      <xdr:row>35</xdr:row>
      <xdr:rowOff>0</xdr:rowOff>
    </xdr:to>
    <xdr:pic>
      <xdr:nvPicPr>
        <xdr:cNvPr id="697441" name="Picture 97" descr="Fotolia_36549914_XS">
          <a:hlinkClick xmlns:r="http://schemas.openxmlformats.org/officeDocument/2006/relationships" r:id="rId10" tooltip="Planes de Negocio RECOMENDADOS"/>
        </xdr:cNvPr>
        <xdr:cNvPicPr>
          <a:picLocks noChangeAspect="1" noChangeArrowheads="1"/>
        </xdr:cNvPicPr>
      </xdr:nvPicPr>
      <xdr:blipFill>
        <a:blip xmlns:r="http://schemas.openxmlformats.org/officeDocument/2006/relationships" r:embed="rId11" cstate="print">
          <a:lum bright="52000" contrast="-70000"/>
        </a:blip>
        <a:srcRect/>
        <a:stretch>
          <a:fillRect/>
        </a:stretch>
      </xdr:blipFill>
      <xdr:spPr bwMode="auto">
        <a:xfrm>
          <a:off x="8839200" y="3829050"/>
          <a:ext cx="1647825" cy="1647825"/>
        </a:xfrm>
        <a:prstGeom prst="rect">
          <a:avLst/>
        </a:prstGeom>
        <a:solidFill>
          <a:srgbClr val="FFFFFF"/>
        </a:solid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9525</xdr:colOff>
      <xdr:row>1</xdr:row>
      <xdr:rowOff>28575</xdr:rowOff>
    </xdr:from>
    <xdr:to>
      <xdr:col>4</xdr:col>
      <xdr:colOff>285750</xdr:colOff>
      <xdr:row>1</xdr:row>
      <xdr:rowOff>352425</xdr:rowOff>
    </xdr:to>
    <xdr:pic>
      <xdr:nvPicPr>
        <xdr:cNvPr id="702564" name="Picture 100" descr="boto002">
          <a:hlinkClick xmlns:r="http://schemas.openxmlformats.org/officeDocument/2006/relationships" r:id="rId1" tooltip="Ir a la hoja ANTERIOR"/>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500" y="152400"/>
          <a:ext cx="333375" cy="323850"/>
        </a:xfrm>
        <a:prstGeom prst="rect">
          <a:avLst/>
        </a:prstGeom>
        <a:noFill/>
      </xdr:spPr>
    </xdr:pic>
    <xdr:clientData/>
  </xdr:twoCellAnchor>
  <xdr:twoCellAnchor editAs="oneCell">
    <xdr:from>
      <xdr:col>4</xdr:col>
      <xdr:colOff>581025</xdr:colOff>
      <xdr:row>1</xdr:row>
      <xdr:rowOff>114300</xdr:rowOff>
    </xdr:from>
    <xdr:to>
      <xdr:col>5</xdr:col>
      <xdr:colOff>266700</xdr:colOff>
      <xdr:row>1</xdr:row>
      <xdr:rowOff>295275</xdr:rowOff>
    </xdr:to>
    <xdr:pic>
      <xdr:nvPicPr>
        <xdr:cNvPr id="702565" name="Picture 101" descr="indice">
          <a:hlinkClick xmlns:r="http://schemas.openxmlformats.org/officeDocument/2006/relationships" r:id="rId3" tooltip="ir al índice"/>
        </xdr:cNvPr>
        <xdr:cNvPicPr>
          <a:picLocks noChangeAspect="1" noChangeArrowheads="1"/>
        </xdr:cNvPicPr>
      </xdr:nvPicPr>
      <xdr:blipFill>
        <a:blip xmlns:r="http://schemas.openxmlformats.org/officeDocument/2006/relationships" r:embed="rId4" cstate="print"/>
        <a:srcRect/>
        <a:stretch>
          <a:fillRect/>
        </a:stretch>
      </xdr:blipFill>
      <xdr:spPr bwMode="auto">
        <a:xfrm>
          <a:off x="1200150" y="238125"/>
          <a:ext cx="733425" cy="180975"/>
        </a:xfrm>
        <a:prstGeom prst="rect">
          <a:avLst/>
        </a:prstGeom>
        <a:noFill/>
      </xdr:spPr>
    </xdr:pic>
    <xdr:clientData/>
  </xdr:twoCellAnchor>
  <xdr:twoCellAnchor editAs="oneCell">
    <xdr:from>
      <xdr:col>17</xdr:col>
      <xdr:colOff>209550</xdr:colOff>
      <xdr:row>1</xdr:row>
      <xdr:rowOff>19050</xdr:rowOff>
    </xdr:from>
    <xdr:to>
      <xdr:col>18</xdr:col>
      <xdr:colOff>9525</xdr:colOff>
      <xdr:row>1</xdr:row>
      <xdr:rowOff>342900</xdr:rowOff>
    </xdr:to>
    <xdr:pic>
      <xdr:nvPicPr>
        <xdr:cNvPr id="702566" name="Picture 102" descr="boto002">
          <a:hlinkClick xmlns:r="http://schemas.openxmlformats.org/officeDocument/2006/relationships" r:id="rId5" tooltip="Ir a la hoja SIGUIENTE"/>
        </xdr:cNvPr>
        <xdr:cNvPicPr>
          <a:picLocks noChangeAspect="1" noChangeArrowheads="1"/>
        </xdr:cNvPicPr>
      </xdr:nvPicPr>
      <xdr:blipFill>
        <a:blip xmlns:r="http://schemas.openxmlformats.org/officeDocument/2006/relationships" r:embed="rId6" cstate="print"/>
        <a:srcRect/>
        <a:stretch>
          <a:fillRect/>
        </a:stretch>
      </xdr:blipFill>
      <xdr:spPr bwMode="auto">
        <a:xfrm>
          <a:off x="8429625" y="142875"/>
          <a:ext cx="333375" cy="323850"/>
        </a:xfrm>
        <a:prstGeom prst="rect">
          <a:avLst/>
        </a:prstGeom>
        <a:noFill/>
      </xdr:spPr>
    </xdr:pic>
    <xdr:clientData/>
  </xdr:twoCellAnchor>
  <xdr:twoCellAnchor editAs="oneCell">
    <xdr:from>
      <xdr:col>14</xdr:col>
      <xdr:colOff>323850</xdr:colOff>
      <xdr:row>1</xdr:row>
      <xdr:rowOff>95250</xdr:rowOff>
    </xdr:from>
    <xdr:to>
      <xdr:col>17</xdr:col>
      <xdr:colOff>85725</xdr:colOff>
      <xdr:row>1</xdr:row>
      <xdr:rowOff>314325</xdr:rowOff>
    </xdr:to>
    <xdr:pic>
      <xdr:nvPicPr>
        <xdr:cNvPr id="702567" name="Picture 103" descr="info002">
          <a:hlinkClick xmlns:r="http://schemas.openxmlformats.org/officeDocument/2006/relationships" r:id="rId7" tooltip="Información sobre el uso de esta hoja"/>
        </xdr:cNvPr>
        <xdr:cNvPicPr>
          <a:picLocks noChangeAspect="1" noChangeArrowheads="1"/>
        </xdr:cNvPicPr>
      </xdr:nvPicPr>
      <xdr:blipFill>
        <a:blip xmlns:r="http://schemas.openxmlformats.org/officeDocument/2006/relationships" r:embed="rId8" cstate="print"/>
        <a:srcRect/>
        <a:stretch>
          <a:fillRect/>
        </a:stretch>
      </xdr:blipFill>
      <xdr:spPr bwMode="auto">
        <a:xfrm>
          <a:off x="6943725" y="219075"/>
          <a:ext cx="1362075" cy="219075"/>
        </a:xfrm>
        <a:prstGeom prst="rect">
          <a:avLst/>
        </a:prstGeom>
        <a:noFill/>
      </xdr:spPr>
    </xdr:pic>
    <xdr:clientData/>
  </xdr:twoCellAnchor>
  <xdr:twoCellAnchor editAs="oneCell">
    <xdr:from>
      <xdr:col>19</xdr:col>
      <xdr:colOff>47625</xdr:colOff>
      <xdr:row>26</xdr:row>
      <xdr:rowOff>66675</xdr:rowOff>
    </xdr:from>
    <xdr:to>
      <xdr:col>25</xdr:col>
      <xdr:colOff>28575</xdr:colOff>
      <xdr:row>37</xdr:row>
      <xdr:rowOff>9525</xdr:rowOff>
    </xdr:to>
    <xdr:pic>
      <xdr:nvPicPr>
        <xdr:cNvPr id="702568" name="Picture 104" descr="Fotolia_36549914_XS">
          <a:hlinkClick xmlns:r="http://schemas.openxmlformats.org/officeDocument/2006/relationships" r:id="rId9" tooltip="Planes de Negocio RECOMENDADOS"/>
        </xdr:cNvPr>
        <xdr:cNvPicPr>
          <a:picLocks noChangeAspect="1" noChangeArrowheads="1"/>
        </xdr:cNvPicPr>
      </xdr:nvPicPr>
      <xdr:blipFill>
        <a:blip xmlns:r="http://schemas.openxmlformats.org/officeDocument/2006/relationships" r:embed="rId10" cstate="print">
          <a:lum bright="52000" contrast="-70000"/>
        </a:blip>
        <a:srcRect/>
        <a:stretch>
          <a:fillRect/>
        </a:stretch>
      </xdr:blipFill>
      <xdr:spPr bwMode="auto">
        <a:xfrm>
          <a:off x="8839200" y="3800475"/>
          <a:ext cx="1647825" cy="1647825"/>
        </a:xfrm>
        <a:prstGeom prst="rect">
          <a:avLst/>
        </a:prstGeom>
        <a:solidFill>
          <a:srgbClr val="FFFFFF"/>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Anton%20M%20Dunyo%20Esteve\Mis%20documentos\e.ditor%20ACTUAL\PRODUCTE\EN%20PROC&#201;S\3%20%20ULTIMA%20REVISI&#211;%20y%20no%20entregats\ROI\FinancialMetricsPro_201_1365764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erGuide"/>
      <sheetName val="CashFlow"/>
      <sheetName val="CumulativeCF"/>
      <sheetName val="Payback"/>
      <sheetName val="ROI"/>
      <sheetName val="NPV"/>
      <sheetName val="Compounding"/>
      <sheetName val="CAGR"/>
      <sheetName val="IRR"/>
      <sheetName val="Breakeven"/>
      <sheetName val="Income"/>
      <sheetName val="Balance"/>
      <sheetName val="FinCashFlow"/>
      <sheetName val="Retained"/>
      <sheetName val="FSAnalysis"/>
      <sheetName val="Liquidity"/>
      <sheetName val="Activity"/>
      <sheetName val="Leverage"/>
      <sheetName val="Profitability"/>
      <sheetName val="Valuation"/>
      <sheetName val="MultiYear"/>
      <sheetName val="Growth"/>
      <sheetName val="DuPont"/>
    </sheetNames>
    <sheetDataSet>
      <sheetData sheetId="0" refreshError="1"/>
      <sheetData sheetId="1" refreshError="1"/>
      <sheetData sheetId="2" refreshError="1">
        <row r="47">
          <cell r="E47">
            <v>1500</v>
          </cell>
          <cell r="F47">
            <v>1612</v>
          </cell>
          <cell r="G47">
            <v>1681</v>
          </cell>
          <cell r="H47">
            <v>1960</v>
          </cell>
          <cell r="I47">
            <v>2111</v>
          </cell>
          <cell r="J47">
            <v>2010</v>
          </cell>
          <cell r="K47">
            <v>2041</v>
          </cell>
          <cell r="L47">
            <v>2173</v>
          </cell>
          <cell r="M47">
            <v>2223</v>
          </cell>
          <cell r="N47">
            <v>2245</v>
          </cell>
        </row>
        <row r="48">
          <cell r="E48">
            <v>-1565</v>
          </cell>
          <cell r="F48">
            <v>-1345</v>
          </cell>
          <cell r="G48">
            <v>-1107</v>
          </cell>
          <cell r="H48">
            <v>-1094</v>
          </cell>
          <cell r="I48">
            <v>-1081</v>
          </cell>
          <cell r="J48">
            <v>-910</v>
          </cell>
          <cell r="K48">
            <v>-890</v>
          </cell>
          <cell r="L48">
            <v>-790</v>
          </cell>
          <cell r="M48">
            <v>-880</v>
          </cell>
          <cell r="N48">
            <v>-840</v>
          </cell>
        </row>
        <row r="90">
          <cell r="E90">
            <v>233</v>
          </cell>
          <cell r="F90">
            <v>268</v>
          </cell>
          <cell r="G90">
            <v>229</v>
          </cell>
          <cell r="H90">
            <v>293</v>
          </cell>
          <cell r="I90">
            <v>321</v>
          </cell>
          <cell r="J90">
            <v>350</v>
          </cell>
          <cell r="K90">
            <v>331</v>
          </cell>
          <cell r="L90">
            <v>523</v>
          </cell>
          <cell r="M90">
            <v>588</v>
          </cell>
          <cell r="N90">
            <v>635</v>
          </cell>
        </row>
        <row r="91">
          <cell r="E91">
            <v>-339</v>
          </cell>
          <cell r="F91">
            <v>-301</v>
          </cell>
          <cell r="G91">
            <v>-115</v>
          </cell>
          <cell r="H91">
            <v>21</v>
          </cell>
          <cell r="I91">
            <v>61</v>
          </cell>
          <cell r="J91">
            <v>50</v>
          </cell>
          <cell r="K91">
            <v>130</v>
          </cell>
          <cell r="L91">
            <v>250</v>
          </cell>
          <cell r="M91">
            <v>180</v>
          </cell>
          <cell r="N91">
            <v>240</v>
          </cell>
        </row>
        <row r="92">
          <cell r="E92">
            <v>-106</v>
          </cell>
          <cell r="F92">
            <v>-33</v>
          </cell>
          <cell r="G92">
            <v>114</v>
          </cell>
          <cell r="H92">
            <v>314</v>
          </cell>
          <cell r="I92">
            <v>382</v>
          </cell>
          <cell r="J92">
            <v>400</v>
          </cell>
          <cell r="K92">
            <v>461</v>
          </cell>
          <cell r="L92">
            <v>773</v>
          </cell>
          <cell r="M92">
            <v>768</v>
          </cell>
          <cell r="N92">
            <v>875</v>
          </cell>
        </row>
      </sheetData>
      <sheetData sheetId="3" refreshError="1"/>
      <sheetData sheetId="4" refreshError="1">
        <row r="28">
          <cell r="E28">
            <v>-106</v>
          </cell>
          <cell r="F28">
            <v>-33</v>
          </cell>
          <cell r="G28">
            <v>114</v>
          </cell>
          <cell r="H28">
            <v>314</v>
          </cell>
          <cell r="I28">
            <v>382</v>
          </cell>
          <cell r="J28">
            <v>400</v>
          </cell>
          <cell r="K28">
            <v>461</v>
          </cell>
          <cell r="L28">
            <v>773</v>
          </cell>
          <cell r="M28">
            <v>768</v>
          </cell>
          <cell r="N28">
            <v>875</v>
          </cell>
        </row>
        <row r="32">
          <cell r="E32">
            <v>-106</v>
          </cell>
          <cell r="F32">
            <v>-139</v>
          </cell>
          <cell r="G32">
            <v>-25</v>
          </cell>
          <cell r="H32">
            <v>289</v>
          </cell>
          <cell r="I32">
            <v>671</v>
          </cell>
          <cell r="J32">
            <v>1071</v>
          </cell>
          <cell r="K32">
            <v>1532</v>
          </cell>
          <cell r="L32">
            <v>2305</v>
          </cell>
          <cell r="M32">
            <v>3073</v>
          </cell>
          <cell r="N32">
            <v>3948</v>
          </cell>
        </row>
        <row r="58">
          <cell r="M58">
            <v>0.08</v>
          </cell>
        </row>
        <row r="66">
          <cell r="E66">
            <v>-98.148148148148138</v>
          </cell>
          <cell r="F66">
            <v>-28.292181069958847</v>
          </cell>
          <cell r="G66">
            <v>90.496875476299337</v>
          </cell>
          <cell r="H66">
            <v>230.79937377808633</v>
          </cell>
          <cell r="I66">
            <v>259.98278126689365</v>
          </cell>
          <cell r="J66">
            <v>252.06785075324183</v>
          </cell>
          <cell r="K66">
            <v>268.98907221584369</v>
          </cell>
          <cell r="L66">
            <v>417.62784772002726</v>
          </cell>
          <cell r="M66">
            <v>384.19120675696053</v>
          </cell>
          <cell r="N66">
            <v>405.29430207409871</v>
          </cell>
        </row>
        <row r="67">
          <cell r="E67">
            <v>-98.148148148148138</v>
          </cell>
          <cell r="F67">
            <v>-126.44032921810698</v>
          </cell>
          <cell r="G67">
            <v>-35.943453741807645</v>
          </cell>
          <cell r="H67">
            <v>194.85592003627869</v>
          </cell>
          <cell r="I67">
            <v>454.83870130317234</v>
          </cell>
          <cell r="J67">
            <v>706.90655205641417</v>
          </cell>
          <cell r="K67">
            <v>975.89562427225792</v>
          </cell>
          <cell r="L67">
            <v>1393.5234719922851</v>
          </cell>
          <cell r="M67">
            <v>1777.7146787492456</v>
          </cell>
          <cell r="N67">
            <v>2183.0089808233442</v>
          </cell>
        </row>
      </sheetData>
      <sheetData sheetId="5" refreshError="1">
        <row r="34">
          <cell r="F34">
            <v>140</v>
          </cell>
        </row>
        <row r="36">
          <cell r="F36">
            <v>100</v>
          </cell>
        </row>
      </sheetData>
      <sheetData sheetId="6" refreshError="1">
        <row r="32">
          <cell r="F32">
            <v>0.1</v>
          </cell>
        </row>
        <row r="35">
          <cell r="F35">
            <v>8</v>
          </cell>
        </row>
        <row r="38">
          <cell r="F38">
            <v>1000</v>
          </cell>
        </row>
        <row r="68">
          <cell r="J68">
            <v>0.1</v>
          </cell>
        </row>
        <row r="105">
          <cell r="F105">
            <v>4</v>
          </cell>
        </row>
      </sheetData>
      <sheetData sheetId="7" refreshError="1">
        <row r="28">
          <cell r="F28">
            <v>0.06</v>
          </cell>
        </row>
        <row r="31">
          <cell r="F31">
            <v>10</v>
          </cell>
        </row>
        <row r="34">
          <cell r="F34">
            <v>100000</v>
          </cell>
        </row>
        <row r="56">
          <cell r="F56">
            <v>100000</v>
          </cell>
        </row>
        <row r="58">
          <cell r="F58">
            <v>0.06</v>
          </cell>
        </row>
        <row r="75">
          <cell r="F75">
            <v>4</v>
          </cell>
        </row>
        <row r="149">
          <cell r="F149">
            <v>0</v>
          </cell>
        </row>
        <row r="151">
          <cell r="F151">
            <v>1000</v>
          </cell>
        </row>
        <row r="153">
          <cell r="F153">
            <v>0.1</v>
          </cell>
        </row>
        <row r="155">
          <cell r="F155">
            <v>10</v>
          </cell>
        </row>
        <row r="157">
          <cell r="F157">
            <v>0</v>
          </cell>
        </row>
        <row r="198">
          <cell r="F198">
            <v>0.1</v>
          </cell>
        </row>
        <row r="200">
          <cell r="F200">
            <v>4</v>
          </cell>
        </row>
        <row r="202">
          <cell r="F202">
            <v>10</v>
          </cell>
        </row>
      </sheetData>
      <sheetData sheetId="8" refreshError="1">
        <row r="25">
          <cell r="F25">
            <v>600</v>
          </cell>
        </row>
        <row r="27">
          <cell r="F27">
            <v>1600</v>
          </cell>
        </row>
        <row r="29">
          <cell r="F29">
            <v>10</v>
          </cell>
        </row>
      </sheetData>
      <sheetData sheetId="9" refreshError="1">
        <row r="50">
          <cell r="G50">
            <v>0.2</v>
          </cell>
        </row>
        <row r="83">
          <cell r="G83">
            <v>0.1</v>
          </cell>
        </row>
        <row r="85">
          <cell r="G85">
            <v>0.1</v>
          </cell>
        </row>
      </sheetData>
      <sheetData sheetId="10" refreshError="1">
        <row r="145">
          <cell r="H145">
            <v>36000</v>
          </cell>
        </row>
        <row r="147">
          <cell r="H147">
            <v>15</v>
          </cell>
        </row>
        <row r="150">
          <cell r="H150">
            <v>1</v>
          </cell>
          <cell r="I150">
            <v>1500</v>
          </cell>
          <cell r="J150">
            <v>3000</v>
          </cell>
          <cell r="K150">
            <v>4000</v>
          </cell>
          <cell r="L150">
            <v>5000</v>
          </cell>
        </row>
        <row r="151">
          <cell r="H151">
            <v>5</v>
          </cell>
          <cell r="I151">
            <v>10</v>
          </cell>
          <cell r="J151">
            <v>15</v>
          </cell>
          <cell r="K151">
            <v>20</v>
          </cell>
          <cell r="L151">
            <v>25</v>
          </cell>
        </row>
        <row r="153">
          <cell r="H153">
            <v>20</v>
          </cell>
        </row>
        <row r="156">
          <cell r="H156">
            <v>1</v>
          </cell>
          <cell r="I156">
            <v>3000</v>
          </cell>
          <cell r="J156">
            <v>3500</v>
          </cell>
          <cell r="K156">
            <v>4000</v>
          </cell>
          <cell r="L156">
            <v>4500</v>
          </cell>
        </row>
        <row r="157">
          <cell r="H157">
            <v>30</v>
          </cell>
          <cell r="I157">
            <v>28</v>
          </cell>
          <cell r="J157">
            <v>26</v>
          </cell>
          <cell r="K157">
            <v>24</v>
          </cell>
          <cell r="L157">
            <v>22</v>
          </cell>
        </row>
        <row r="159">
          <cell r="H159">
            <v>100</v>
          </cell>
        </row>
        <row r="161">
          <cell r="H161">
            <v>6000</v>
          </cell>
        </row>
        <row r="202">
          <cell r="E202">
            <v>983.33333333333337</v>
          </cell>
        </row>
        <row r="212">
          <cell r="E212">
            <v>100</v>
          </cell>
          <cell r="F212">
            <v>1083.3333333333335</v>
          </cell>
          <cell r="G212">
            <v>2066.666666666667</v>
          </cell>
          <cell r="H212">
            <v>3050</v>
          </cell>
          <cell r="I212">
            <v>4033.3333333333335</v>
          </cell>
          <cell r="J212">
            <v>5016.666666666667</v>
          </cell>
          <cell r="K212">
            <v>6000</v>
          </cell>
        </row>
        <row r="221">
          <cell r="E221">
            <v>1500</v>
          </cell>
          <cell r="F221">
            <v>16250.000000000002</v>
          </cell>
          <cell r="G221">
            <v>31000.000000000004</v>
          </cell>
          <cell r="H221">
            <v>45750</v>
          </cell>
          <cell r="I221">
            <v>60500</v>
          </cell>
          <cell r="J221">
            <v>75250</v>
          </cell>
          <cell r="K221">
            <v>90000</v>
          </cell>
        </row>
        <row r="226">
          <cell r="E226">
            <v>500</v>
          </cell>
          <cell r="F226">
            <v>5416.6666666666679</v>
          </cell>
          <cell r="G226">
            <v>20666.666666666672</v>
          </cell>
          <cell r="H226">
            <v>45750</v>
          </cell>
          <cell r="I226">
            <v>80666.666666666672</v>
          </cell>
          <cell r="J226">
            <v>125416.66666666667</v>
          </cell>
          <cell r="K226">
            <v>150000</v>
          </cell>
        </row>
        <row r="231">
          <cell r="E231">
            <v>38000</v>
          </cell>
          <cell r="F231">
            <v>57666.666666666672</v>
          </cell>
          <cell r="G231">
            <v>87666.666666666672</v>
          </cell>
          <cell r="H231">
            <v>127500</v>
          </cell>
          <cell r="I231">
            <v>177166.66666666669</v>
          </cell>
          <cell r="J231">
            <v>236666.66666666669</v>
          </cell>
          <cell r="K231">
            <v>276000</v>
          </cell>
        </row>
        <row r="235">
          <cell r="E235">
            <v>2000</v>
          </cell>
          <cell r="F235">
            <v>21666.666666666672</v>
          </cell>
          <cell r="G235">
            <v>41333.333333333343</v>
          </cell>
          <cell r="H235">
            <v>61000</v>
          </cell>
          <cell r="I235">
            <v>80666.666666666672</v>
          </cell>
          <cell r="J235">
            <v>100333.33333333334</v>
          </cell>
          <cell r="K235">
            <v>120000</v>
          </cell>
        </row>
        <row r="240">
          <cell r="E240">
            <v>3000</v>
          </cell>
          <cell r="F240">
            <v>32500.000000000004</v>
          </cell>
          <cell r="G240">
            <v>62000.000000000007</v>
          </cell>
          <cell r="H240">
            <v>85400</v>
          </cell>
          <cell r="I240">
            <v>96800</v>
          </cell>
          <cell r="J240">
            <v>110366.66666666667</v>
          </cell>
          <cell r="K240">
            <v>132000</v>
          </cell>
        </row>
        <row r="245">
          <cell r="E245">
            <v>5000</v>
          </cell>
          <cell r="F245">
            <v>54166.666666666672</v>
          </cell>
          <cell r="G245">
            <v>103333.33333333334</v>
          </cell>
          <cell r="H245">
            <v>146400</v>
          </cell>
          <cell r="I245">
            <v>177466.66666666669</v>
          </cell>
          <cell r="J245">
            <v>210700</v>
          </cell>
          <cell r="K245">
            <v>252000</v>
          </cell>
        </row>
        <row r="250">
          <cell r="E250">
            <v>-33000</v>
          </cell>
          <cell r="F250">
            <v>-3500</v>
          </cell>
          <cell r="G250">
            <v>15666.666666666672</v>
          </cell>
          <cell r="H250">
            <v>18900</v>
          </cell>
          <cell r="I250">
            <v>300</v>
          </cell>
          <cell r="J250">
            <v>-25966.666666666686</v>
          </cell>
          <cell r="K250">
            <v>-24000</v>
          </cell>
        </row>
      </sheetData>
      <sheetData sheetId="11" refreshError="1">
        <row r="47">
          <cell r="H47" t="str">
            <v>GRANDE COMPANY</v>
          </cell>
        </row>
        <row r="49">
          <cell r="H49" t="str">
            <v>$</v>
          </cell>
        </row>
        <row r="51">
          <cell r="H51">
            <v>1</v>
          </cell>
        </row>
        <row r="53">
          <cell r="H53">
            <v>38352</v>
          </cell>
          <cell r="J53">
            <v>37987</v>
          </cell>
        </row>
        <row r="55">
          <cell r="H55">
            <v>0.46</v>
          </cell>
        </row>
        <row r="57">
          <cell r="H57">
            <v>0.25490196078431371</v>
          </cell>
        </row>
        <row r="59">
          <cell r="H59">
            <v>136860</v>
          </cell>
        </row>
        <row r="61">
          <cell r="H61">
            <v>8300</v>
          </cell>
        </row>
        <row r="71">
          <cell r="J71">
            <v>32983260</v>
          </cell>
        </row>
        <row r="73">
          <cell r="J73">
            <v>22043584</v>
          </cell>
        </row>
        <row r="74">
          <cell r="J74">
            <v>10939676</v>
          </cell>
        </row>
        <row r="80">
          <cell r="H80">
            <v>136860</v>
          </cell>
        </row>
        <row r="84">
          <cell r="H84">
            <v>18248</v>
          </cell>
        </row>
        <row r="86">
          <cell r="I86">
            <v>6021839</v>
          </cell>
        </row>
        <row r="91">
          <cell r="H91">
            <v>32846</v>
          </cell>
        </row>
        <row r="92">
          <cell r="H92">
            <v>9124</v>
          </cell>
        </row>
        <row r="93">
          <cell r="H93">
            <v>0</v>
          </cell>
        </row>
        <row r="97">
          <cell r="I97">
            <v>1788302</v>
          </cell>
        </row>
        <row r="98">
          <cell r="J98">
            <v>7810141</v>
          </cell>
        </row>
        <row r="100">
          <cell r="J100">
            <v>3129535</v>
          </cell>
        </row>
        <row r="103">
          <cell r="I103">
            <v>118612</v>
          </cell>
        </row>
        <row r="104">
          <cell r="I104">
            <v>510944</v>
          </cell>
        </row>
        <row r="106">
          <cell r="J106">
            <v>2737203</v>
          </cell>
        </row>
        <row r="107">
          <cell r="J107">
            <v>1259113.3800000001</v>
          </cell>
        </row>
        <row r="109">
          <cell r="J109">
            <v>1478089.6199999999</v>
          </cell>
        </row>
        <row r="112">
          <cell r="H112">
            <v>510944</v>
          </cell>
        </row>
        <row r="114">
          <cell r="I114">
            <v>465324</v>
          </cell>
        </row>
        <row r="115">
          <cell r="I115">
            <v>118611.99999999999</v>
          </cell>
        </row>
        <row r="116">
          <cell r="J116">
            <v>346712</v>
          </cell>
        </row>
        <row r="118">
          <cell r="J118">
            <v>1824801.6199999999</v>
          </cell>
        </row>
        <row r="124">
          <cell r="J124">
            <v>13.091492181791612</v>
          </cell>
        </row>
      </sheetData>
      <sheetData sheetId="12" refreshError="1">
        <row r="55">
          <cell r="I55">
            <v>1368600</v>
          </cell>
        </row>
        <row r="56">
          <cell r="I56">
            <v>364960</v>
          </cell>
        </row>
        <row r="59">
          <cell r="I59">
            <v>3832080</v>
          </cell>
        </row>
        <row r="60">
          <cell r="I60">
            <v>20000</v>
          </cell>
        </row>
        <row r="66">
          <cell r="I66">
            <v>13786363</v>
          </cell>
        </row>
        <row r="67">
          <cell r="I67">
            <v>36496</v>
          </cell>
        </row>
        <row r="68">
          <cell r="J68">
            <v>19408499</v>
          </cell>
        </row>
        <row r="75">
          <cell r="J75">
            <v>1459839</v>
          </cell>
        </row>
        <row r="87">
          <cell r="J87">
            <v>930648</v>
          </cell>
        </row>
        <row r="96">
          <cell r="J96">
            <v>208014</v>
          </cell>
        </row>
        <row r="98">
          <cell r="J98">
            <v>68000</v>
          </cell>
        </row>
        <row r="100">
          <cell r="J100">
            <v>22075000</v>
          </cell>
        </row>
        <row r="113">
          <cell r="J113">
            <v>3464400</v>
          </cell>
        </row>
        <row r="118">
          <cell r="J118">
            <v>5474400</v>
          </cell>
        </row>
        <row r="120">
          <cell r="J120">
            <v>8938800</v>
          </cell>
        </row>
        <row r="128">
          <cell r="I128">
            <v>9438468</v>
          </cell>
        </row>
        <row r="130">
          <cell r="I130">
            <v>3697731.62</v>
          </cell>
        </row>
        <row r="132">
          <cell r="J132">
            <v>13136199.620000001</v>
          </cell>
        </row>
        <row r="134">
          <cell r="J134">
            <v>22074999.620000001</v>
          </cell>
        </row>
      </sheetData>
      <sheetData sheetId="13" refreshError="1">
        <row r="72">
          <cell r="K72">
            <v>3391391.620000001</v>
          </cell>
        </row>
        <row r="77">
          <cell r="J77">
            <v>-33100</v>
          </cell>
        </row>
        <row r="78">
          <cell r="J78">
            <v>-101250</v>
          </cell>
        </row>
        <row r="87">
          <cell r="K87">
            <v>-1210982</v>
          </cell>
        </row>
        <row r="89">
          <cell r="K89">
            <v>2180409.620000001</v>
          </cell>
        </row>
      </sheetData>
      <sheetData sheetId="14" refreshError="1">
        <row r="45">
          <cell r="I45">
            <v>3697731.62</v>
          </cell>
        </row>
      </sheetData>
      <sheetData sheetId="15" refreshError="1"/>
      <sheetData sheetId="16" refreshError="1"/>
      <sheetData sheetId="17" refreshError="1">
        <row r="42">
          <cell r="H42">
            <v>275</v>
          </cell>
        </row>
        <row r="87">
          <cell r="J87">
            <v>2.3924555011354336</v>
          </cell>
        </row>
        <row r="175">
          <cell r="J175">
            <v>90365.095890410958</v>
          </cell>
        </row>
      </sheetData>
      <sheetData sheetId="18" refreshError="1"/>
      <sheetData sheetId="19" refreshError="1"/>
      <sheetData sheetId="20" refreshError="1">
        <row r="46">
          <cell r="H46">
            <v>103.75</v>
          </cell>
        </row>
        <row r="87">
          <cell r="K87">
            <v>282200</v>
          </cell>
        </row>
        <row r="90">
          <cell r="K90">
            <v>9960</v>
          </cell>
        </row>
        <row r="92">
          <cell r="L92">
            <v>292160</v>
          </cell>
        </row>
        <row r="94">
          <cell r="L94">
            <v>12844039.620000001</v>
          </cell>
        </row>
        <row r="97">
          <cell r="L97">
            <v>35.200000000000003</v>
          </cell>
        </row>
        <row r="98">
          <cell r="L98">
            <v>93.848017097764142</v>
          </cell>
        </row>
      </sheetData>
      <sheetData sheetId="21" refreshError="1">
        <row r="46">
          <cell r="H46" t="str">
            <v>MAJESTIC COMPANY</v>
          </cell>
        </row>
        <row r="48">
          <cell r="H48" t="str">
            <v>$</v>
          </cell>
        </row>
        <row r="50">
          <cell r="H50">
            <v>1000</v>
          </cell>
        </row>
        <row r="52">
          <cell r="H52">
            <v>38352</v>
          </cell>
          <cell r="J52">
            <v>37987</v>
          </cell>
        </row>
        <row r="60">
          <cell r="H60">
            <v>0.35</v>
          </cell>
          <cell r="I60">
            <v>0.35</v>
          </cell>
          <cell r="J60">
            <v>0.35</v>
          </cell>
          <cell r="K60">
            <v>0.36</v>
          </cell>
          <cell r="L60">
            <v>0.36</v>
          </cell>
          <cell r="M60">
            <v>0</v>
          </cell>
          <cell r="N60">
            <v>0</v>
          </cell>
          <cell r="O60">
            <v>0</v>
          </cell>
          <cell r="P60">
            <v>0</v>
          </cell>
          <cell r="Q60">
            <v>0</v>
          </cell>
          <cell r="R60">
            <v>0</v>
          </cell>
        </row>
        <row r="62">
          <cell r="H62">
            <v>0.3</v>
          </cell>
          <cell r="I62">
            <v>0.3</v>
          </cell>
          <cell r="J62">
            <v>0.3</v>
          </cell>
          <cell r="K62">
            <v>0.3</v>
          </cell>
          <cell r="L62">
            <v>0.3</v>
          </cell>
          <cell r="M62">
            <v>0</v>
          </cell>
          <cell r="N62">
            <v>0</v>
          </cell>
          <cell r="O62">
            <v>0</v>
          </cell>
          <cell r="P62">
            <v>0</v>
          </cell>
          <cell r="Q62">
            <v>0</v>
          </cell>
          <cell r="R62">
            <v>0</v>
          </cell>
        </row>
        <row r="64">
          <cell r="H64">
            <v>255000</v>
          </cell>
          <cell r="I64">
            <v>249312</v>
          </cell>
          <cell r="J64">
            <v>230182</v>
          </cell>
          <cell r="K64">
            <v>210067</v>
          </cell>
          <cell r="L64">
            <v>193456</v>
          </cell>
          <cell r="M64">
            <v>0</v>
          </cell>
          <cell r="N64">
            <v>0</v>
          </cell>
          <cell r="O64">
            <v>0</v>
          </cell>
          <cell r="P64">
            <v>0</v>
          </cell>
          <cell r="Q64">
            <v>0</v>
          </cell>
          <cell r="R64">
            <v>0</v>
          </cell>
        </row>
        <row r="66">
          <cell r="H66">
            <v>52385</v>
          </cell>
          <cell r="I66">
            <v>43825</v>
          </cell>
          <cell r="J66">
            <v>39812</v>
          </cell>
          <cell r="K66">
            <v>28435</v>
          </cell>
          <cell r="L66">
            <v>22843</v>
          </cell>
          <cell r="M66">
            <v>0</v>
          </cell>
          <cell r="N66">
            <v>0</v>
          </cell>
          <cell r="O66">
            <v>0</v>
          </cell>
          <cell r="P66">
            <v>0</v>
          </cell>
          <cell r="Q66">
            <v>0</v>
          </cell>
          <cell r="R66">
            <v>0</v>
          </cell>
        </row>
        <row r="68">
          <cell r="H68">
            <v>9019</v>
          </cell>
          <cell r="I68">
            <v>8991</v>
          </cell>
          <cell r="J68">
            <v>8855</v>
          </cell>
          <cell r="K68">
            <v>8430</v>
          </cell>
          <cell r="L68">
            <v>8172</v>
          </cell>
          <cell r="M68">
            <v>0</v>
          </cell>
          <cell r="N68">
            <v>0</v>
          </cell>
          <cell r="O68">
            <v>0</v>
          </cell>
          <cell r="P68">
            <v>0</v>
          </cell>
          <cell r="Q68">
            <v>0</v>
          </cell>
          <cell r="R68">
            <v>0</v>
          </cell>
        </row>
        <row r="77">
          <cell r="H77">
            <v>4624274</v>
          </cell>
          <cell r="I77">
            <v>4090970</v>
          </cell>
          <cell r="J77">
            <v>3406786</v>
          </cell>
          <cell r="K77">
            <v>2906365</v>
          </cell>
          <cell r="L77">
            <v>2452939</v>
          </cell>
          <cell r="M77">
            <v>0</v>
          </cell>
          <cell r="N77">
            <v>0</v>
          </cell>
          <cell r="O77">
            <v>0</v>
          </cell>
          <cell r="P77">
            <v>0</v>
          </cell>
          <cell r="Q77">
            <v>0</v>
          </cell>
          <cell r="R77">
            <v>0</v>
          </cell>
        </row>
        <row r="78">
          <cell r="H78">
            <v>2958708</v>
          </cell>
          <cell r="I78">
            <v>2673129</v>
          </cell>
          <cell r="J78">
            <v>2253815</v>
          </cell>
          <cell r="K78">
            <v>1942591</v>
          </cell>
          <cell r="L78">
            <v>1617253</v>
          </cell>
          <cell r="M78">
            <v>0</v>
          </cell>
          <cell r="N78">
            <v>0</v>
          </cell>
          <cell r="O78">
            <v>0</v>
          </cell>
          <cell r="P78">
            <v>0</v>
          </cell>
          <cell r="Q78">
            <v>0</v>
          </cell>
          <cell r="R78">
            <v>0</v>
          </cell>
        </row>
        <row r="79">
          <cell r="H79">
            <v>1665566</v>
          </cell>
          <cell r="I79">
            <v>1417841</v>
          </cell>
          <cell r="J79">
            <v>1152971</v>
          </cell>
          <cell r="K79">
            <v>963774</v>
          </cell>
          <cell r="L79">
            <v>835686</v>
          </cell>
          <cell r="M79">
            <v>0</v>
          </cell>
          <cell r="N79">
            <v>0</v>
          </cell>
          <cell r="O79">
            <v>0</v>
          </cell>
          <cell r="P79">
            <v>0</v>
          </cell>
          <cell r="Q79">
            <v>0</v>
          </cell>
          <cell r="R79">
            <v>0</v>
          </cell>
        </row>
        <row r="82">
          <cell r="H82">
            <v>410505</v>
          </cell>
          <cell r="I82">
            <v>383619</v>
          </cell>
          <cell r="J82">
            <v>331045</v>
          </cell>
          <cell r="K82">
            <v>291588</v>
          </cell>
          <cell r="L82">
            <v>256620.6</v>
          </cell>
          <cell r="M82">
            <v>0</v>
          </cell>
          <cell r="N82">
            <v>0</v>
          </cell>
          <cell r="O82">
            <v>0</v>
          </cell>
          <cell r="P82">
            <v>0</v>
          </cell>
          <cell r="Q82">
            <v>0</v>
          </cell>
          <cell r="R82">
            <v>0</v>
          </cell>
        </row>
        <row r="83">
          <cell r="H83">
            <v>273670</v>
          </cell>
          <cell r="I83">
            <v>255746.4</v>
          </cell>
          <cell r="J83">
            <v>220697</v>
          </cell>
          <cell r="K83">
            <v>194392</v>
          </cell>
          <cell r="L83">
            <v>171080.4</v>
          </cell>
          <cell r="M83">
            <v>0</v>
          </cell>
          <cell r="N83">
            <v>0</v>
          </cell>
          <cell r="O83">
            <v>0</v>
          </cell>
          <cell r="P83">
            <v>0</v>
          </cell>
          <cell r="Q83">
            <v>0</v>
          </cell>
          <cell r="R83">
            <v>0</v>
          </cell>
        </row>
        <row r="84">
          <cell r="H84">
            <v>684175</v>
          </cell>
          <cell r="I84">
            <v>639365.4</v>
          </cell>
          <cell r="J84">
            <v>551742</v>
          </cell>
          <cell r="K84">
            <v>485980</v>
          </cell>
          <cell r="L84">
            <v>427701</v>
          </cell>
          <cell r="M84">
            <v>0</v>
          </cell>
          <cell r="N84">
            <v>0</v>
          </cell>
          <cell r="O84">
            <v>0</v>
          </cell>
          <cell r="P84">
            <v>0</v>
          </cell>
          <cell r="Q84">
            <v>0</v>
          </cell>
          <cell r="R84">
            <v>0</v>
          </cell>
        </row>
        <row r="86">
          <cell r="H86">
            <v>981391</v>
          </cell>
          <cell r="I86">
            <v>778475.6</v>
          </cell>
          <cell r="J86">
            <v>601229</v>
          </cell>
          <cell r="K86">
            <v>477794</v>
          </cell>
          <cell r="L86">
            <v>407985</v>
          </cell>
          <cell r="M86">
            <v>0</v>
          </cell>
          <cell r="N86">
            <v>0</v>
          </cell>
          <cell r="O86">
            <v>0</v>
          </cell>
          <cell r="P86">
            <v>0</v>
          </cell>
          <cell r="Q86">
            <v>0</v>
          </cell>
          <cell r="R86">
            <v>0</v>
          </cell>
        </row>
        <row r="89">
          <cell r="H89">
            <v>279459</v>
          </cell>
          <cell r="I89">
            <v>211500</v>
          </cell>
          <cell r="J89">
            <v>181545</v>
          </cell>
          <cell r="K89">
            <v>140135</v>
          </cell>
          <cell r="L89">
            <v>132741</v>
          </cell>
          <cell r="M89">
            <v>0</v>
          </cell>
          <cell r="N89">
            <v>0</v>
          </cell>
          <cell r="O89">
            <v>0</v>
          </cell>
          <cell r="P89">
            <v>0</v>
          </cell>
          <cell r="Q89">
            <v>0</v>
          </cell>
          <cell r="R89">
            <v>0</v>
          </cell>
        </row>
        <row r="90">
          <cell r="H90">
            <v>111586</v>
          </cell>
          <cell r="I90">
            <v>107273</v>
          </cell>
          <cell r="J90">
            <v>120272</v>
          </cell>
          <cell r="K90">
            <v>102957</v>
          </cell>
          <cell r="L90">
            <v>105056</v>
          </cell>
          <cell r="M90">
            <v>0</v>
          </cell>
          <cell r="N90">
            <v>0</v>
          </cell>
          <cell r="O90">
            <v>0</v>
          </cell>
          <cell r="P90">
            <v>0</v>
          </cell>
          <cell r="Q90">
            <v>0</v>
          </cell>
          <cell r="R90">
            <v>0</v>
          </cell>
        </row>
        <row r="91">
          <cell r="H91">
            <v>167873</v>
          </cell>
          <cell r="I91">
            <v>104227</v>
          </cell>
          <cell r="J91">
            <v>61273</v>
          </cell>
          <cell r="K91">
            <v>37178</v>
          </cell>
          <cell r="L91">
            <v>27685</v>
          </cell>
          <cell r="M91">
            <v>0</v>
          </cell>
          <cell r="N91">
            <v>0</v>
          </cell>
          <cell r="O91">
            <v>0</v>
          </cell>
          <cell r="P91">
            <v>0</v>
          </cell>
          <cell r="Q91">
            <v>0</v>
          </cell>
          <cell r="R91">
            <v>0</v>
          </cell>
        </row>
        <row r="92">
          <cell r="H92">
            <v>1149264</v>
          </cell>
          <cell r="I92">
            <v>882702.6</v>
          </cell>
          <cell r="J92">
            <v>662502</v>
          </cell>
          <cell r="K92">
            <v>514972</v>
          </cell>
          <cell r="L92">
            <v>435670</v>
          </cell>
          <cell r="M92">
            <v>0</v>
          </cell>
          <cell r="N92">
            <v>0</v>
          </cell>
          <cell r="O92">
            <v>0</v>
          </cell>
          <cell r="P92">
            <v>0</v>
          </cell>
          <cell r="Q92">
            <v>0</v>
          </cell>
          <cell r="R92">
            <v>0</v>
          </cell>
        </row>
        <row r="93">
          <cell r="H93">
            <v>402242.39999999997</v>
          </cell>
          <cell r="I93">
            <v>308945.90999999997</v>
          </cell>
          <cell r="J93">
            <v>231875.69999999998</v>
          </cell>
          <cell r="K93">
            <v>185389.91999999998</v>
          </cell>
          <cell r="L93">
            <v>156841.19999999998</v>
          </cell>
          <cell r="M93">
            <v>0</v>
          </cell>
          <cell r="N93">
            <v>0</v>
          </cell>
          <cell r="O93">
            <v>0</v>
          </cell>
          <cell r="P93">
            <v>0</v>
          </cell>
          <cell r="Q93">
            <v>0</v>
          </cell>
          <cell r="R93">
            <v>0</v>
          </cell>
        </row>
        <row r="95">
          <cell r="H95">
            <v>747021.60000000009</v>
          </cell>
          <cell r="I95">
            <v>573756.68999999994</v>
          </cell>
          <cell r="J95">
            <v>430626.30000000005</v>
          </cell>
          <cell r="K95">
            <v>329582.08000000002</v>
          </cell>
          <cell r="L95">
            <v>278828.80000000005</v>
          </cell>
          <cell r="M95">
            <v>0</v>
          </cell>
          <cell r="N95">
            <v>0</v>
          </cell>
          <cell r="O95">
            <v>0</v>
          </cell>
          <cell r="P95">
            <v>0</v>
          </cell>
          <cell r="Q95">
            <v>0</v>
          </cell>
          <cell r="R95">
            <v>0</v>
          </cell>
        </row>
        <row r="98">
          <cell r="H98">
            <v>23088</v>
          </cell>
          <cell r="I98">
            <v>16541</v>
          </cell>
          <cell r="J98">
            <v>17478</v>
          </cell>
          <cell r="K98">
            <v>24932</v>
          </cell>
          <cell r="L98">
            <v>13267</v>
          </cell>
          <cell r="M98">
            <v>0</v>
          </cell>
          <cell r="N98">
            <v>0</v>
          </cell>
          <cell r="O98">
            <v>0</v>
          </cell>
          <cell r="P98">
            <v>0</v>
          </cell>
          <cell r="Q98">
            <v>0</v>
          </cell>
          <cell r="R98">
            <v>0</v>
          </cell>
        </row>
        <row r="99">
          <cell r="H99">
            <v>6317</v>
          </cell>
          <cell r="I99">
            <v>13416</v>
          </cell>
          <cell r="J99">
            <v>6524</v>
          </cell>
          <cell r="K99">
            <v>6017</v>
          </cell>
          <cell r="L99">
            <v>3294</v>
          </cell>
          <cell r="M99">
            <v>0</v>
          </cell>
          <cell r="N99">
            <v>0</v>
          </cell>
          <cell r="O99">
            <v>0</v>
          </cell>
          <cell r="P99">
            <v>0</v>
          </cell>
          <cell r="Q99">
            <v>0</v>
          </cell>
          <cell r="R99">
            <v>0</v>
          </cell>
        </row>
        <row r="100">
          <cell r="H100">
            <v>16771</v>
          </cell>
          <cell r="I100">
            <v>3125</v>
          </cell>
          <cell r="J100">
            <v>10954</v>
          </cell>
          <cell r="K100">
            <v>18915</v>
          </cell>
          <cell r="L100">
            <v>9973</v>
          </cell>
          <cell r="M100">
            <v>0</v>
          </cell>
          <cell r="N100">
            <v>0</v>
          </cell>
          <cell r="O100">
            <v>0</v>
          </cell>
          <cell r="P100">
            <v>0</v>
          </cell>
          <cell r="Q100">
            <v>0</v>
          </cell>
          <cell r="R100">
            <v>0</v>
          </cell>
        </row>
        <row r="101">
          <cell r="H101">
            <v>5031.3</v>
          </cell>
          <cell r="I101">
            <v>937.5</v>
          </cell>
          <cell r="J101">
            <v>3286.2</v>
          </cell>
          <cell r="K101">
            <v>5674.5</v>
          </cell>
          <cell r="L101">
            <v>2991.9</v>
          </cell>
          <cell r="M101">
            <v>0</v>
          </cell>
          <cell r="N101">
            <v>0</v>
          </cell>
          <cell r="O101">
            <v>0</v>
          </cell>
          <cell r="P101">
            <v>0</v>
          </cell>
          <cell r="Q101">
            <v>0</v>
          </cell>
          <cell r="R101">
            <v>0</v>
          </cell>
        </row>
        <row r="102">
          <cell r="H102">
            <v>11739.7</v>
          </cell>
          <cell r="I102">
            <v>2187.5</v>
          </cell>
          <cell r="J102">
            <v>7667.8</v>
          </cell>
          <cell r="K102">
            <v>13240.5</v>
          </cell>
          <cell r="L102">
            <v>6981.1</v>
          </cell>
          <cell r="M102">
            <v>0</v>
          </cell>
          <cell r="N102">
            <v>0</v>
          </cell>
          <cell r="O102">
            <v>0</v>
          </cell>
          <cell r="P102">
            <v>0</v>
          </cell>
          <cell r="Q102">
            <v>0</v>
          </cell>
          <cell r="R102">
            <v>0</v>
          </cell>
        </row>
        <row r="104">
          <cell r="H104">
            <v>758761.3</v>
          </cell>
          <cell r="I104">
            <v>575944.18999999994</v>
          </cell>
          <cell r="J104">
            <v>438294.10000000003</v>
          </cell>
          <cell r="K104">
            <v>342822.58</v>
          </cell>
          <cell r="L104">
            <v>285809.90000000002</v>
          </cell>
          <cell r="M104">
            <v>0</v>
          </cell>
          <cell r="N104">
            <v>0</v>
          </cell>
          <cell r="O104">
            <v>0</v>
          </cell>
          <cell r="P104">
            <v>0</v>
          </cell>
          <cell r="Q104">
            <v>0</v>
          </cell>
          <cell r="R104">
            <v>0</v>
          </cell>
        </row>
        <row r="110">
          <cell r="H110">
            <v>2.9755345098039223</v>
          </cell>
          <cell r="I110">
            <v>2.3101342494544985</v>
          </cell>
          <cell r="J110">
            <v>1.9041197834756847</v>
          </cell>
          <cell r="K110">
            <v>1.6319678007492848</v>
          </cell>
          <cell r="L110">
            <v>1.4773896906790176</v>
          </cell>
          <cell r="M110">
            <v>0</v>
          </cell>
          <cell r="N110">
            <v>0</v>
          </cell>
          <cell r="O110">
            <v>0</v>
          </cell>
          <cell r="P110">
            <v>0</v>
          </cell>
          <cell r="Q110">
            <v>0</v>
          </cell>
          <cell r="R110">
            <v>0</v>
          </cell>
        </row>
        <row r="121">
          <cell r="H121">
            <v>812449</v>
          </cell>
          <cell r="I121">
            <v>420928</v>
          </cell>
          <cell r="J121">
            <v>439438</v>
          </cell>
          <cell r="K121">
            <v>419736</v>
          </cell>
          <cell r="L121">
            <v>183415</v>
          </cell>
          <cell r="M121">
            <v>0</v>
          </cell>
          <cell r="N121">
            <v>0</v>
          </cell>
          <cell r="O121">
            <v>0</v>
          </cell>
          <cell r="P121">
            <v>0</v>
          </cell>
          <cell r="Q121">
            <v>0</v>
          </cell>
          <cell r="R121">
            <v>0</v>
          </cell>
        </row>
        <row r="122">
          <cell r="H122">
            <v>510211</v>
          </cell>
          <cell r="I122">
            <v>514800</v>
          </cell>
          <cell r="J122">
            <v>196011</v>
          </cell>
          <cell r="K122">
            <v>134529</v>
          </cell>
          <cell r="L122">
            <v>101329</v>
          </cell>
          <cell r="M122">
            <v>0</v>
          </cell>
          <cell r="N122">
            <v>0</v>
          </cell>
          <cell r="O122">
            <v>0</v>
          </cell>
          <cell r="P122">
            <v>0</v>
          </cell>
          <cell r="Q122">
            <v>0</v>
          </cell>
          <cell r="R122">
            <v>0</v>
          </cell>
        </row>
        <row r="123">
          <cell r="H123">
            <v>128416</v>
          </cell>
          <cell r="I123">
            <v>146694</v>
          </cell>
          <cell r="J123">
            <v>118843</v>
          </cell>
          <cell r="K123">
            <v>98311</v>
          </cell>
          <cell r="L123">
            <v>101708</v>
          </cell>
          <cell r="M123">
            <v>0</v>
          </cell>
          <cell r="N123">
            <v>0</v>
          </cell>
          <cell r="O123">
            <v>0</v>
          </cell>
          <cell r="P123">
            <v>0</v>
          </cell>
          <cell r="Q123">
            <v>0</v>
          </cell>
          <cell r="R123">
            <v>0</v>
          </cell>
        </row>
        <row r="124">
          <cell r="H124">
            <v>1001990</v>
          </cell>
          <cell r="I124">
            <v>824771</v>
          </cell>
          <cell r="J124">
            <v>656421</v>
          </cell>
          <cell r="K124">
            <v>530859</v>
          </cell>
          <cell r="L124">
            <v>440951</v>
          </cell>
          <cell r="M124">
            <v>0</v>
          </cell>
          <cell r="N124">
            <v>0</v>
          </cell>
          <cell r="O124">
            <v>0</v>
          </cell>
          <cell r="P124">
            <v>0</v>
          </cell>
          <cell r="Q124">
            <v>0</v>
          </cell>
          <cell r="R124">
            <v>0</v>
          </cell>
        </row>
        <row r="125">
          <cell r="H125">
            <v>207821</v>
          </cell>
          <cell r="I125">
            <v>218156</v>
          </cell>
          <cell r="J125">
            <v>181115</v>
          </cell>
          <cell r="K125">
            <v>191931</v>
          </cell>
          <cell r="L125">
            <v>168616</v>
          </cell>
          <cell r="M125">
            <v>0</v>
          </cell>
          <cell r="N125">
            <v>0</v>
          </cell>
          <cell r="O125">
            <v>0</v>
          </cell>
          <cell r="P125">
            <v>0</v>
          </cell>
          <cell r="Q125">
            <v>0</v>
          </cell>
          <cell r="R125">
            <v>0</v>
          </cell>
        </row>
        <row r="126">
          <cell r="H126">
            <v>94345</v>
          </cell>
          <cell r="I126">
            <v>88237</v>
          </cell>
          <cell r="J126">
            <v>73436</v>
          </cell>
          <cell r="K126">
            <v>56427</v>
          </cell>
          <cell r="L126">
            <v>54304</v>
          </cell>
          <cell r="M126">
            <v>0</v>
          </cell>
          <cell r="N126">
            <v>0</v>
          </cell>
          <cell r="O126">
            <v>0</v>
          </cell>
          <cell r="P126">
            <v>0</v>
          </cell>
          <cell r="Q126">
            <v>0</v>
          </cell>
          <cell r="R126">
            <v>0</v>
          </cell>
        </row>
        <row r="127">
          <cell r="H127">
            <v>2755232</v>
          </cell>
          <cell r="I127">
            <v>2213586</v>
          </cell>
          <cell r="J127">
            <v>1665264</v>
          </cell>
          <cell r="K127">
            <v>1431793</v>
          </cell>
          <cell r="L127">
            <v>1050323</v>
          </cell>
          <cell r="M127">
            <v>0</v>
          </cell>
          <cell r="N127">
            <v>0</v>
          </cell>
          <cell r="O127">
            <v>0</v>
          </cell>
          <cell r="P127">
            <v>0</v>
          </cell>
          <cell r="Q127">
            <v>0</v>
          </cell>
          <cell r="R127">
            <v>0</v>
          </cell>
        </row>
        <row r="130">
          <cell r="H130">
            <v>151020</v>
          </cell>
          <cell r="I130">
            <v>121931</v>
          </cell>
          <cell r="J130">
            <v>111552</v>
          </cell>
          <cell r="K130">
            <v>23712</v>
          </cell>
          <cell r="L130">
            <v>34852</v>
          </cell>
          <cell r="M130">
            <v>0</v>
          </cell>
          <cell r="N130">
            <v>0</v>
          </cell>
          <cell r="O130">
            <v>0</v>
          </cell>
          <cell r="P130">
            <v>0</v>
          </cell>
          <cell r="Q130">
            <v>0</v>
          </cell>
          <cell r="R130">
            <v>0</v>
          </cell>
        </row>
        <row r="131">
          <cell r="H131">
            <v>0</v>
          </cell>
          <cell r="I131">
            <v>0</v>
          </cell>
          <cell r="J131">
            <v>0</v>
          </cell>
          <cell r="K131">
            <v>0</v>
          </cell>
          <cell r="L131">
            <v>0</v>
          </cell>
          <cell r="M131">
            <v>0</v>
          </cell>
          <cell r="N131">
            <v>0</v>
          </cell>
          <cell r="O131">
            <v>0</v>
          </cell>
          <cell r="P131">
            <v>0</v>
          </cell>
          <cell r="Q131">
            <v>0</v>
          </cell>
          <cell r="R131">
            <v>0</v>
          </cell>
        </row>
        <row r="132">
          <cell r="H132">
            <v>0</v>
          </cell>
          <cell r="I132">
            <v>0</v>
          </cell>
          <cell r="J132">
            <v>0</v>
          </cell>
          <cell r="K132">
            <v>0</v>
          </cell>
          <cell r="L132">
            <v>0</v>
          </cell>
          <cell r="M132">
            <v>0</v>
          </cell>
          <cell r="N132">
            <v>0</v>
          </cell>
          <cell r="O132">
            <v>0</v>
          </cell>
          <cell r="P132">
            <v>0</v>
          </cell>
          <cell r="Q132">
            <v>0</v>
          </cell>
          <cell r="R132">
            <v>0</v>
          </cell>
        </row>
        <row r="133">
          <cell r="H133">
            <v>735859</v>
          </cell>
          <cell r="I133">
            <v>382809</v>
          </cell>
          <cell r="J133">
            <v>379323</v>
          </cell>
          <cell r="K133">
            <v>234091</v>
          </cell>
          <cell r="L133">
            <v>354888</v>
          </cell>
          <cell r="M133">
            <v>0</v>
          </cell>
          <cell r="N133">
            <v>0</v>
          </cell>
          <cell r="O133">
            <v>0</v>
          </cell>
          <cell r="P133">
            <v>0</v>
          </cell>
          <cell r="Q133">
            <v>0</v>
          </cell>
          <cell r="R133">
            <v>0</v>
          </cell>
        </row>
        <row r="137">
          <cell r="H137">
            <v>2291185</v>
          </cell>
          <cell r="I137">
            <v>1906256</v>
          </cell>
          <cell r="J137">
            <v>1863215</v>
          </cell>
          <cell r="K137">
            <v>1783261</v>
          </cell>
          <cell r="L137">
            <v>1523641</v>
          </cell>
          <cell r="M137">
            <v>0</v>
          </cell>
          <cell r="N137">
            <v>0</v>
          </cell>
          <cell r="O137">
            <v>0</v>
          </cell>
          <cell r="P137">
            <v>0</v>
          </cell>
          <cell r="Q137">
            <v>0</v>
          </cell>
          <cell r="R137">
            <v>0</v>
          </cell>
        </row>
        <row r="138">
          <cell r="H138">
            <v>1144875</v>
          </cell>
          <cell r="I138">
            <v>1058327</v>
          </cell>
          <cell r="J138">
            <v>1021435</v>
          </cell>
          <cell r="K138">
            <v>954821</v>
          </cell>
          <cell r="L138">
            <v>823415</v>
          </cell>
          <cell r="M138">
            <v>0</v>
          </cell>
          <cell r="N138">
            <v>0</v>
          </cell>
          <cell r="O138">
            <v>0</v>
          </cell>
          <cell r="P138">
            <v>0</v>
          </cell>
          <cell r="Q138">
            <v>0</v>
          </cell>
          <cell r="R138">
            <v>0</v>
          </cell>
        </row>
        <row r="139">
          <cell r="H139">
            <v>1146310</v>
          </cell>
          <cell r="I139">
            <v>847929</v>
          </cell>
          <cell r="J139">
            <v>841780</v>
          </cell>
          <cell r="K139">
            <v>828440</v>
          </cell>
          <cell r="L139">
            <v>700226</v>
          </cell>
          <cell r="M139">
            <v>0</v>
          </cell>
          <cell r="N139">
            <v>0</v>
          </cell>
          <cell r="O139">
            <v>0</v>
          </cell>
          <cell r="P139">
            <v>0</v>
          </cell>
          <cell r="Q139">
            <v>0</v>
          </cell>
          <cell r="R139">
            <v>0</v>
          </cell>
        </row>
        <row r="142">
          <cell r="H142">
            <v>103678</v>
          </cell>
          <cell r="I142">
            <v>99930</v>
          </cell>
          <cell r="J142">
            <v>75229</v>
          </cell>
          <cell r="K142">
            <v>54331</v>
          </cell>
          <cell r="L142">
            <v>55408</v>
          </cell>
          <cell r="M142">
            <v>0</v>
          </cell>
          <cell r="N142">
            <v>0</v>
          </cell>
          <cell r="O142">
            <v>0</v>
          </cell>
          <cell r="P142">
            <v>0</v>
          </cell>
          <cell r="Q142">
            <v>0</v>
          </cell>
          <cell r="R142">
            <v>0</v>
          </cell>
        </row>
        <row r="144">
          <cell r="H144">
            <v>358114</v>
          </cell>
          <cell r="I144">
            <v>135296</v>
          </cell>
          <cell r="J144">
            <v>132365</v>
          </cell>
          <cell r="K144">
            <v>96603</v>
          </cell>
          <cell r="L144">
            <v>61046</v>
          </cell>
          <cell r="M144">
            <v>0</v>
          </cell>
          <cell r="N144">
            <v>0</v>
          </cell>
          <cell r="O144">
            <v>0</v>
          </cell>
          <cell r="P144">
            <v>0</v>
          </cell>
          <cell r="Q144">
            <v>0</v>
          </cell>
          <cell r="R144">
            <v>0</v>
          </cell>
        </row>
        <row r="146">
          <cell r="H146">
            <v>5250213</v>
          </cell>
          <cell r="I146">
            <v>3801481</v>
          </cell>
          <cell r="J146">
            <v>3205513</v>
          </cell>
          <cell r="K146">
            <v>2668970</v>
          </cell>
          <cell r="L146">
            <v>2256743</v>
          </cell>
          <cell r="M146">
            <v>0</v>
          </cell>
          <cell r="N146">
            <v>0</v>
          </cell>
          <cell r="O146">
            <v>0</v>
          </cell>
          <cell r="P146">
            <v>0</v>
          </cell>
          <cell r="Q146">
            <v>0</v>
          </cell>
          <cell r="R146">
            <v>0</v>
          </cell>
        </row>
        <row r="151">
          <cell r="H151">
            <v>203902</v>
          </cell>
          <cell r="I151">
            <v>202977</v>
          </cell>
          <cell r="J151">
            <v>200439</v>
          </cell>
          <cell r="K151">
            <v>199352</v>
          </cell>
          <cell r="L151">
            <v>192321</v>
          </cell>
          <cell r="M151">
            <v>0</v>
          </cell>
          <cell r="N151">
            <v>0</v>
          </cell>
          <cell r="O151">
            <v>0</v>
          </cell>
          <cell r="P151">
            <v>0</v>
          </cell>
          <cell r="Q151">
            <v>0</v>
          </cell>
          <cell r="R151">
            <v>0</v>
          </cell>
        </row>
        <row r="152">
          <cell r="H152">
            <v>32910</v>
          </cell>
          <cell r="I152">
            <v>30644</v>
          </cell>
          <cell r="J152">
            <v>43419</v>
          </cell>
          <cell r="K152">
            <v>23944</v>
          </cell>
          <cell r="L152">
            <v>64921</v>
          </cell>
          <cell r="M152">
            <v>0</v>
          </cell>
          <cell r="N152">
            <v>0</v>
          </cell>
          <cell r="O152">
            <v>0</v>
          </cell>
          <cell r="P152">
            <v>0</v>
          </cell>
          <cell r="Q152">
            <v>0</v>
          </cell>
          <cell r="R152">
            <v>0</v>
          </cell>
        </row>
        <row r="153">
          <cell r="H153">
            <v>324305</v>
          </cell>
          <cell r="I153">
            <v>180494</v>
          </cell>
          <cell r="J153">
            <v>199020</v>
          </cell>
          <cell r="K153">
            <v>198436</v>
          </cell>
          <cell r="L153">
            <v>198314</v>
          </cell>
          <cell r="M153">
            <v>0</v>
          </cell>
          <cell r="N153">
            <v>0</v>
          </cell>
          <cell r="O153">
            <v>0</v>
          </cell>
          <cell r="P153">
            <v>0</v>
          </cell>
          <cell r="Q153">
            <v>0</v>
          </cell>
          <cell r="R153">
            <v>0</v>
          </cell>
        </row>
        <row r="154">
          <cell r="H154">
            <v>107566</v>
          </cell>
          <cell r="I154">
            <v>182579</v>
          </cell>
          <cell r="J154">
            <v>341116</v>
          </cell>
          <cell r="K154">
            <v>327821</v>
          </cell>
          <cell r="L154">
            <v>358902</v>
          </cell>
          <cell r="M154">
            <v>0</v>
          </cell>
          <cell r="N154">
            <v>0</v>
          </cell>
          <cell r="O154">
            <v>0</v>
          </cell>
          <cell r="P154">
            <v>0</v>
          </cell>
          <cell r="Q154">
            <v>0</v>
          </cell>
          <cell r="R154">
            <v>0</v>
          </cell>
        </row>
        <row r="155">
          <cell r="H155">
            <v>0</v>
          </cell>
          <cell r="I155">
            <v>0</v>
          </cell>
          <cell r="J155">
            <v>0</v>
          </cell>
          <cell r="K155">
            <v>0</v>
          </cell>
          <cell r="L155">
            <v>0</v>
          </cell>
          <cell r="M155">
            <v>0</v>
          </cell>
          <cell r="N155">
            <v>0</v>
          </cell>
          <cell r="O155">
            <v>0</v>
          </cell>
          <cell r="P155">
            <v>0</v>
          </cell>
          <cell r="Q155">
            <v>0</v>
          </cell>
          <cell r="R155">
            <v>0</v>
          </cell>
        </row>
        <row r="156">
          <cell r="H156">
            <v>102483</v>
          </cell>
          <cell r="I156">
            <v>102931</v>
          </cell>
          <cell r="J156">
            <v>93127</v>
          </cell>
          <cell r="K156">
            <v>93219</v>
          </cell>
          <cell r="L156">
            <v>89210</v>
          </cell>
          <cell r="M156">
            <v>0</v>
          </cell>
          <cell r="N156">
            <v>0</v>
          </cell>
          <cell r="O156">
            <v>0</v>
          </cell>
          <cell r="P156">
            <v>0</v>
          </cell>
          <cell r="Q156">
            <v>0</v>
          </cell>
          <cell r="R156">
            <v>0</v>
          </cell>
        </row>
        <row r="157">
          <cell r="H157">
            <v>46120</v>
          </cell>
          <cell r="I157">
            <v>41029</v>
          </cell>
          <cell r="J157">
            <v>39023</v>
          </cell>
          <cell r="K157">
            <v>36921</v>
          </cell>
          <cell r="L157">
            <v>52482</v>
          </cell>
          <cell r="M157">
            <v>0</v>
          </cell>
          <cell r="N157">
            <v>0</v>
          </cell>
          <cell r="O157">
            <v>0</v>
          </cell>
          <cell r="P157">
            <v>0</v>
          </cell>
          <cell r="Q157">
            <v>0</v>
          </cell>
          <cell r="R157">
            <v>0</v>
          </cell>
        </row>
        <row r="158">
          <cell r="H158">
            <v>817286</v>
          </cell>
          <cell r="I158">
            <v>740654</v>
          </cell>
          <cell r="J158">
            <v>916144</v>
          </cell>
          <cell r="K158">
            <v>879693</v>
          </cell>
          <cell r="L158">
            <v>956150</v>
          </cell>
          <cell r="M158">
            <v>0</v>
          </cell>
          <cell r="N158">
            <v>0</v>
          </cell>
          <cell r="O158">
            <v>0</v>
          </cell>
          <cell r="P158">
            <v>0</v>
          </cell>
          <cell r="Q158">
            <v>0</v>
          </cell>
          <cell r="R158">
            <v>0</v>
          </cell>
        </row>
        <row r="161">
          <cell r="H161">
            <v>370000</v>
          </cell>
          <cell r="I161">
            <v>180983</v>
          </cell>
          <cell r="J161">
            <v>201995</v>
          </cell>
          <cell r="K161">
            <v>290820</v>
          </cell>
          <cell r="L161">
            <v>295023</v>
          </cell>
          <cell r="M161">
            <v>0</v>
          </cell>
          <cell r="N161">
            <v>0</v>
          </cell>
          <cell r="O161">
            <v>0</v>
          </cell>
          <cell r="P161">
            <v>0</v>
          </cell>
          <cell r="Q161">
            <v>0</v>
          </cell>
          <cell r="R161">
            <v>0</v>
          </cell>
        </row>
        <row r="162">
          <cell r="H162">
            <v>432901</v>
          </cell>
          <cell r="I162">
            <v>264120</v>
          </cell>
          <cell r="J162">
            <v>262419</v>
          </cell>
          <cell r="K162">
            <v>251367</v>
          </cell>
          <cell r="L162">
            <v>299567</v>
          </cell>
          <cell r="M162">
            <v>0</v>
          </cell>
          <cell r="N162">
            <v>0</v>
          </cell>
          <cell r="O162">
            <v>0</v>
          </cell>
          <cell r="P162">
            <v>0</v>
          </cell>
          <cell r="Q162">
            <v>0</v>
          </cell>
          <cell r="R162">
            <v>0</v>
          </cell>
        </row>
        <row r="163">
          <cell r="H163">
            <v>802901</v>
          </cell>
          <cell r="I163">
            <v>445103</v>
          </cell>
          <cell r="J163">
            <v>464414</v>
          </cell>
          <cell r="K163">
            <v>542187</v>
          </cell>
          <cell r="L163">
            <v>594590</v>
          </cell>
          <cell r="M163">
            <v>0</v>
          </cell>
          <cell r="N163">
            <v>0</v>
          </cell>
          <cell r="O163">
            <v>0</v>
          </cell>
          <cell r="P163">
            <v>0</v>
          </cell>
          <cell r="Q163">
            <v>0</v>
          </cell>
          <cell r="R163">
            <v>0</v>
          </cell>
        </row>
        <row r="165">
          <cell r="H165">
            <v>1620187</v>
          </cell>
          <cell r="I165">
            <v>1185757</v>
          </cell>
          <cell r="J165">
            <v>1380558</v>
          </cell>
          <cell r="K165">
            <v>1421880</v>
          </cell>
          <cell r="L165">
            <v>1550740</v>
          </cell>
          <cell r="M165">
            <v>0</v>
          </cell>
          <cell r="N165">
            <v>0</v>
          </cell>
          <cell r="O165">
            <v>0</v>
          </cell>
          <cell r="P165">
            <v>0</v>
          </cell>
          <cell r="Q165">
            <v>0</v>
          </cell>
          <cell r="R165">
            <v>0</v>
          </cell>
        </row>
        <row r="170">
          <cell r="H170">
            <v>25030</v>
          </cell>
          <cell r="I170">
            <v>23910</v>
          </cell>
          <cell r="J170">
            <v>20100</v>
          </cell>
          <cell r="K170">
            <v>39924</v>
          </cell>
          <cell r="L170">
            <v>19321</v>
          </cell>
          <cell r="M170">
            <v>0</v>
          </cell>
          <cell r="N170">
            <v>0</v>
          </cell>
          <cell r="O170">
            <v>0</v>
          </cell>
          <cell r="P170">
            <v>0</v>
          </cell>
          <cell r="Q170">
            <v>0</v>
          </cell>
          <cell r="R170">
            <v>0</v>
          </cell>
        </row>
        <row r="171">
          <cell r="H171">
            <v>102732</v>
          </cell>
          <cell r="I171">
            <v>102711</v>
          </cell>
          <cell r="J171">
            <v>102932</v>
          </cell>
          <cell r="K171">
            <v>102732</v>
          </cell>
          <cell r="L171">
            <v>102510</v>
          </cell>
          <cell r="M171">
            <v>0</v>
          </cell>
          <cell r="N171">
            <v>0</v>
          </cell>
          <cell r="O171">
            <v>0</v>
          </cell>
          <cell r="P171">
            <v>0</v>
          </cell>
          <cell r="Q171">
            <v>0</v>
          </cell>
          <cell r="R171">
            <v>0</v>
          </cell>
        </row>
        <row r="172">
          <cell r="H172">
            <v>0</v>
          </cell>
          <cell r="I172">
            <v>0</v>
          </cell>
          <cell r="J172">
            <v>0</v>
          </cell>
          <cell r="K172">
            <v>0</v>
          </cell>
          <cell r="L172">
            <v>0</v>
          </cell>
          <cell r="M172">
            <v>0</v>
          </cell>
          <cell r="N172">
            <v>0</v>
          </cell>
          <cell r="O172">
            <v>0</v>
          </cell>
          <cell r="P172">
            <v>0</v>
          </cell>
          <cell r="Q172">
            <v>0</v>
          </cell>
          <cell r="R172">
            <v>0</v>
          </cell>
        </row>
        <row r="173">
          <cell r="H173">
            <v>127762</v>
          </cell>
          <cell r="I173">
            <v>126621</v>
          </cell>
          <cell r="J173">
            <v>123032</v>
          </cell>
          <cell r="K173">
            <v>142656</v>
          </cell>
          <cell r="L173">
            <v>121831</v>
          </cell>
          <cell r="M173">
            <v>0</v>
          </cell>
          <cell r="N173">
            <v>0</v>
          </cell>
          <cell r="O173">
            <v>0</v>
          </cell>
          <cell r="P173">
            <v>0</v>
          </cell>
          <cell r="Q173">
            <v>0</v>
          </cell>
          <cell r="R173">
            <v>0</v>
          </cell>
        </row>
        <row r="175">
          <cell r="H175">
            <v>2543644.0700000003</v>
          </cell>
          <cell r="I175">
            <v>1784882.77</v>
          </cell>
          <cell r="J175">
            <v>1208938.58</v>
          </cell>
          <cell r="K175">
            <v>770644.47999999998</v>
          </cell>
          <cell r="L175">
            <v>427821.9</v>
          </cell>
          <cell r="M175">
            <v>142012</v>
          </cell>
          <cell r="N175">
            <v>0</v>
          </cell>
          <cell r="O175">
            <v>0</v>
          </cell>
          <cell r="P175">
            <v>0</v>
          </cell>
          <cell r="Q175">
            <v>0</v>
          </cell>
          <cell r="R175">
            <v>0</v>
          </cell>
        </row>
        <row r="177">
          <cell r="H177">
            <v>2671406.0700000003</v>
          </cell>
          <cell r="I177">
            <v>1911503.77</v>
          </cell>
          <cell r="J177">
            <v>1331970.58</v>
          </cell>
          <cell r="K177">
            <v>913300.47999999998</v>
          </cell>
          <cell r="L177">
            <v>549652.9</v>
          </cell>
          <cell r="M177">
            <v>142012</v>
          </cell>
          <cell r="N177">
            <v>0</v>
          </cell>
          <cell r="O177">
            <v>0</v>
          </cell>
          <cell r="P177">
            <v>0</v>
          </cell>
          <cell r="Q177">
            <v>0</v>
          </cell>
          <cell r="R177">
            <v>0</v>
          </cell>
        </row>
        <row r="184">
          <cell r="J184">
            <v>1999</v>
          </cell>
        </row>
        <row r="185">
          <cell r="J185">
            <v>142012</v>
          </cell>
        </row>
        <row r="197">
          <cell r="H197">
            <v>2543644.0700000003</v>
          </cell>
          <cell r="I197">
            <v>1784882.77</v>
          </cell>
          <cell r="J197">
            <v>1208938.58</v>
          </cell>
          <cell r="K197">
            <v>770644.47999999998</v>
          </cell>
          <cell r="L197">
            <v>427821.9</v>
          </cell>
          <cell r="M197">
            <v>142012</v>
          </cell>
          <cell r="N197">
            <v>0</v>
          </cell>
          <cell r="O197">
            <v>0</v>
          </cell>
          <cell r="P197">
            <v>0</v>
          </cell>
          <cell r="Q197">
            <v>0</v>
          </cell>
          <cell r="R197">
            <v>0</v>
          </cell>
        </row>
        <row r="213">
          <cell r="H213">
            <v>0</v>
          </cell>
          <cell r="I213">
            <v>0</v>
          </cell>
          <cell r="J213">
            <v>0</v>
          </cell>
          <cell r="K213">
            <v>0</v>
          </cell>
          <cell r="L213">
            <v>0</v>
          </cell>
          <cell r="M213">
            <v>0</v>
          </cell>
          <cell r="N213">
            <v>0</v>
          </cell>
          <cell r="O213">
            <v>0</v>
          </cell>
          <cell r="P213">
            <v>0</v>
          </cell>
          <cell r="Q213">
            <v>0</v>
          </cell>
          <cell r="R213">
            <v>0</v>
          </cell>
        </row>
        <row r="221">
          <cell r="H221">
            <v>0</v>
          </cell>
          <cell r="I221">
            <v>0</v>
          </cell>
          <cell r="J221">
            <v>0</v>
          </cell>
          <cell r="K221">
            <v>0</v>
          </cell>
          <cell r="L221">
            <v>0</v>
          </cell>
          <cell r="M221">
            <v>0</v>
          </cell>
          <cell r="N221">
            <v>0</v>
          </cell>
          <cell r="O221">
            <v>0</v>
          </cell>
          <cell r="P221">
            <v>0</v>
          </cell>
          <cell r="Q221">
            <v>0</v>
          </cell>
          <cell r="R221">
            <v>0</v>
          </cell>
        </row>
        <row r="226">
          <cell r="H226">
            <v>0</v>
          </cell>
          <cell r="I226">
            <v>0</v>
          </cell>
          <cell r="J226">
            <v>0</v>
          </cell>
          <cell r="K226">
            <v>0</v>
          </cell>
          <cell r="L226">
            <v>0</v>
          </cell>
          <cell r="M226">
            <v>0</v>
          </cell>
          <cell r="N226">
            <v>0</v>
          </cell>
          <cell r="O226">
            <v>0</v>
          </cell>
          <cell r="P226">
            <v>0</v>
          </cell>
          <cell r="Q226">
            <v>0</v>
          </cell>
          <cell r="R226">
            <v>0</v>
          </cell>
        </row>
        <row r="228">
          <cell r="H228">
            <v>0</v>
          </cell>
          <cell r="I228">
            <v>0</v>
          </cell>
          <cell r="J228">
            <v>0</v>
          </cell>
          <cell r="K228">
            <v>0</v>
          </cell>
          <cell r="L228">
            <v>0</v>
          </cell>
          <cell r="M228">
            <v>0</v>
          </cell>
          <cell r="N228">
            <v>0</v>
          </cell>
          <cell r="O228">
            <v>0</v>
          </cell>
          <cell r="P228">
            <v>0</v>
          </cell>
          <cell r="Q228">
            <v>0</v>
          </cell>
          <cell r="R228">
            <v>0</v>
          </cell>
        </row>
        <row r="240">
          <cell r="H240">
            <v>0</v>
          </cell>
          <cell r="I240">
            <v>0</v>
          </cell>
          <cell r="J240">
            <v>0</v>
          </cell>
          <cell r="K240">
            <v>0</v>
          </cell>
          <cell r="L240">
            <v>0</v>
          </cell>
          <cell r="M240">
            <v>0</v>
          </cell>
          <cell r="N240">
            <v>0</v>
          </cell>
          <cell r="O240">
            <v>0</v>
          </cell>
          <cell r="P240">
            <v>0</v>
          </cell>
          <cell r="Q240">
            <v>0</v>
          </cell>
          <cell r="R240">
            <v>0</v>
          </cell>
        </row>
        <row r="241">
          <cell r="H241">
            <v>0</v>
          </cell>
          <cell r="I241">
            <v>0</v>
          </cell>
          <cell r="J241">
            <v>0</v>
          </cell>
          <cell r="K241">
            <v>0</v>
          </cell>
          <cell r="L241">
            <v>0</v>
          </cell>
          <cell r="M241">
            <v>0</v>
          </cell>
          <cell r="N241">
            <v>0</v>
          </cell>
          <cell r="O241">
            <v>0</v>
          </cell>
          <cell r="P241">
            <v>0</v>
          </cell>
          <cell r="Q241">
            <v>0</v>
          </cell>
          <cell r="R241">
            <v>0</v>
          </cell>
        </row>
        <row r="243">
          <cell r="H243">
            <v>0</v>
          </cell>
          <cell r="I243">
            <v>0</v>
          </cell>
          <cell r="J243">
            <v>0</v>
          </cell>
          <cell r="K243">
            <v>0</v>
          </cell>
          <cell r="L243">
            <v>0</v>
          </cell>
          <cell r="M243">
            <v>0</v>
          </cell>
          <cell r="N243">
            <v>0</v>
          </cell>
          <cell r="O243">
            <v>0</v>
          </cell>
          <cell r="P243">
            <v>0</v>
          </cell>
          <cell r="Q243">
            <v>0</v>
          </cell>
          <cell r="R243">
            <v>0</v>
          </cell>
        </row>
        <row r="245">
          <cell r="H245">
            <v>0</v>
          </cell>
          <cell r="I245">
            <v>0</v>
          </cell>
          <cell r="J245">
            <v>0</v>
          </cell>
          <cell r="K245">
            <v>0</v>
          </cell>
          <cell r="L245">
            <v>0</v>
          </cell>
          <cell r="M245">
            <v>0</v>
          </cell>
          <cell r="N245">
            <v>0</v>
          </cell>
          <cell r="O245">
            <v>0</v>
          </cell>
          <cell r="P245">
            <v>0</v>
          </cell>
          <cell r="Q245">
            <v>0</v>
          </cell>
          <cell r="R245">
            <v>0</v>
          </cell>
        </row>
        <row r="247">
          <cell r="H247">
            <v>0</v>
          </cell>
          <cell r="I247">
            <v>0</v>
          </cell>
          <cell r="J247">
            <v>0</v>
          </cell>
          <cell r="K247">
            <v>0</v>
          </cell>
          <cell r="L247">
            <v>0</v>
          </cell>
          <cell r="M247">
            <v>0</v>
          </cell>
          <cell r="N247">
            <v>0</v>
          </cell>
          <cell r="O247">
            <v>0</v>
          </cell>
          <cell r="P247">
            <v>0</v>
          </cell>
          <cell r="Q247">
            <v>0</v>
          </cell>
          <cell r="R247">
            <v>0</v>
          </cell>
        </row>
        <row r="248">
          <cell r="H248">
            <v>0</v>
          </cell>
          <cell r="I248">
            <v>0</v>
          </cell>
          <cell r="J248">
            <v>0</v>
          </cell>
          <cell r="K248">
            <v>0</v>
          </cell>
          <cell r="L248">
            <v>0</v>
          </cell>
          <cell r="M248">
            <v>0</v>
          </cell>
          <cell r="N248">
            <v>0</v>
          </cell>
          <cell r="O248">
            <v>0</v>
          </cell>
          <cell r="P248">
            <v>0</v>
          </cell>
          <cell r="Q248">
            <v>0</v>
          </cell>
          <cell r="R248">
            <v>0</v>
          </cell>
        </row>
      </sheetData>
      <sheetData sheetId="22" refreshError="1">
        <row r="24">
          <cell r="I24">
            <v>5</v>
          </cell>
        </row>
      </sheetData>
      <sheetData sheetId="23" refreshError="1"/>
    </sheetDataSet>
  </externalBook>
</externalLink>
</file>

<file path=xl/tables/table1.xml><?xml version="1.0" encoding="utf-8"?>
<table xmlns="http://schemas.openxmlformats.org/spreadsheetml/2006/main" id="18" name="Lista1" displayName="Lista1" ref="C120:D129" totalsRowShown="0" headerRowDxfId="48">
  <autoFilter ref="C120:D129"/>
  <tableColumns count="2">
    <tableColumn id="1" name="formas pago" dataDxfId="47"/>
    <tableColumn id="2" name="dividir por"/>
  </tableColumns>
  <tableStyleInfo showFirstColumn="0" showLastColumn="0" showRowStripes="1" showColumnStripes="0"/>
</table>
</file>

<file path=xl/tables/table10.xml><?xml version="1.0" encoding="utf-8"?>
<table xmlns="http://schemas.openxmlformats.org/spreadsheetml/2006/main" id="27" name="Lista10" displayName="Lista10" ref="G146:G158" totalsRowShown="0" headerRowDxfId="30" dataDxfId="29">
  <autoFilter ref="G146:G158"/>
  <tableColumns count="1">
    <tableColumn id="1" name="mesinicio" dataDxfId="28">
      <calculatedColumnFormula>#REF!</calculatedColumnFormula>
    </tableColumn>
  </tableColumns>
  <tableStyleInfo showFirstColumn="0" showLastColumn="0" showRowStripes="1" showColumnStripes="0"/>
</table>
</file>

<file path=xl/tables/table11.xml><?xml version="1.0" encoding="utf-8"?>
<table xmlns="http://schemas.openxmlformats.org/spreadsheetml/2006/main" id="28" name="Lista11" displayName="Lista11" ref="H165:H167" totalsRowShown="0" headerRowDxfId="27">
  <autoFilter ref="H165:H167"/>
  <tableColumns count="1">
    <tableColumn id="1" name="repolizas"/>
  </tableColumns>
  <tableStyleInfo showFirstColumn="0" showLastColumn="0" showRowStripes="1" showColumnStripes="0"/>
</table>
</file>

<file path=xl/tables/table12.xml><?xml version="1.0" encoding="utf-8"?>
<table xmlns="http://schemas.openxmlformats.org/spreadsheetml/2006/main" id="29" name="Lista12" displayName="Lista12" ref="N121:O123" insertRowShift="1" totalsRowShown="0" headerRowDxfId="26">
  <autoFilter ref="N121:O123"/>
  <tableColumns count="2">
    <tableColumn id="1" name="pcorto" dataDxfId="25"/>
    <tableColumn id="2" name="Columna1" dataDxfId="24"/>
  </tableColumns>
  <tableStyleInfo showFirstColumn="0" showLastColumn="0" showRowStripes="1" showColumnStripes="0"/>
</table>
</file>

<file path=xl/tables/table13.xml><?xml version="1.0" encoding="utf-8"?>
<table xmlns="http://schemas.openxmlformats.org/spreadsheetml/2006/main" id="30" name="Lista13" displayName="Lista13" ref="P121:P126" totalsRowShown="0" headerRowDxfId="23" dataDxfId="22">
  <autoFilter ref="P121:P126"/>
  <tableColumns count="1">
    <tableColumn id="1" name="pagosaño" dataDxfId="21"/>
  </tableColumns>
  <tableStyleInfo showFirstColumn="0" showLastColumn="0" showRowStripes="1" showColumnStripes="0"/>
</table>
</file>

<file path=xl/tables/table14.xml><?xml version="1.0" encoding="utf-8"?>
<table xmlns="http://schemas.openxmlformats.org/spreadsheetml/2006/main" id="31" name="Lista14" displayName="Lista14" ref="G121:G139" totalsRowShown="0" headerRowDxfId="20" dataDxfId="19">
  <autoFilter ref="G121:G139"/>
  <tableColumns count="1">
    <tableColumn id="1" name="plargo" dataDxfId="18"/>
  </tableColumns>
  <tableStyleInfo showFirstColumn="0" showLastColumn="0" showRowStripes="1" showColumnStripes="0"/>
</table>
</file>

<file path=xl/tables/table15.xml><?xml version="1.0" encoding="utf-8"?>
<table xmlns="http://schemas.openxmlformats.org/spreadsheetml/2006/main" id="32" name="Lista15" displayName="Lista15" ref="P135:P147" totalsRowShown="0" headerRowDxfId="17" dataDxfId="16">
  <autoFilter ref="P135:P147"/>
  <tableColumns count="1">
    <tableColumn id="1" name="mesconcesion" dataDxfId="15">
      <calculatedColumnFormula>#REF!</calculatedColumnFormula>
    </tableColumn>
  </tableColumns>
  <tableStyleInfo showFirstColumn="0" showLastColumn="0" showRowStripes="1" showColumnStripes="0"/>
</table>
</file>

<file path=xl/tables/table16.xml><?xml version="1.0" encoding="utf-8"?>
<table xmlns="http://schemas.openxmlformats.org/spreadsheetml/2006/main" id="33" name="Lista16" displayName="Lista16" ref="S135:S140" insertRowShift="1" totalsRowShown="0" headerRowDxfId="14" dataDxfId="13">
  <autoFilter ref="S135:S140"/>
  <tableColumns count="1">
    <tableColumn id="1" name="añoconcesion" dataDxfId="12"/>
  </tableColumns>
  <tableStyleInfo showFirstColumn="0" showLastColumn="0" showRowStripes="1" showColumnStripes="0"/>
</table>
</file>

<file path=xl/tables/table17.xml><?xml version="1.0" encoding="utf-8"?>
<table xmlns="http://schemas.openxmlformats.org/spreadsheetml/2006/main" id="34" name="Lista17" displayName="Lista17" ref="H174:H177" totalsRowShown="0" headerRowDxfId="11" dataDxfId="10">
  <autoFilter ref="H174:H177"/>
  <tableColumns count="1">
    <tableColumn id="1" name="CARENCIA" dataDxfId="9"/>
  </tableColumns>
  <tableStyleInfo showFirstColumn="0" showLastColumn="0" showRowStripes="1" showColumnStripes="0"/>
</table>
</file>

<file path=xl/tables/table18.xml><?xml version="1.0" encoding="utf-8"?>
<table xmlns="http://schemas.openxmlformats.org/spreadsheetml/2006/main" id="4" name="Lista18" displayName="Lista18" ref="B12:B24" insertRowShift="1" totalsRowShown="0" headerRowDxfId="8" dataDxfId="7">
  <autoFilter ref="B12:B24"/>
  <tableColumns count="1">
    <tableColumn id="1" name="mesesx" dataDxfId="6"/>
  </tableColumns>
  <tableStyleInfo showFirstColumn="0" showLastColumn="0" showRowStripes="1" showColumnStripes="0"/>
</table>
</file>

<file path=xl/tables/table19.xml><?xml version="1.0" encoding="utf-8"?>
<table xmlns="http://schemas.openxmlformats.org/spreadsheetml/2006/main" id="1" name="Lista19" displayName="Lista19" ref="K136:K140" totalsRowShown="0" headerRowDxfId="5">
  <autoFilter ref="K136:K140"/>
  <tableColumns count="1">
    <tableColumn id="1" name="departamento"/>
  </tableColumns>
  <tableStyleInfo showFirstColumn="0" showLastColumn="0" showRowStripes="1" showColumnStripes="0"/>
</table>
</file>

<file path=xl/tables/table2.xml><?xml version="1.0" encoding="utf-8"?>
<table xmlns="http://schemas.openxmlformats.org/spreadsheetml/2006/main" id="19" name="Lista2" displayName="Lista2" ref="C134:C146" totalsRowShown="0" headerRowDxfId="46" dataDxfId="45">
  <autoFilter ref="C134:C146"/>
  <tableColumns count="1">
    <tableColumn id="1" name="meses" dataDxfId="44"/>
  </tableColumns>
  <tableStyleInfo showFirstColumn="0" showLastColumn="0" showRowStripes="1" showColumnStripes="0"/>
</table>
</file>

<file path=xl/tables/table20.xml><?xml version="1.0" encoding="utf-8"?>
<table xmlns="http://schemas.openxmlformats.org/spreadsheetml/2006/main" id="2" name="Lista20" displayName="Lista20" ref="J121:J124" totalsRowShown="0" headerRowDxfId="4">
  <autoFilter ref="J121:J124"/>
  <tableColumns count="1">
    <tableColumn id="1" name="LEASING"/>
  </tableColumns>
  <tableStyleInfo showFirstColumn="0" showLastColumn="0" showRowStripes="1" showColumnStripes="0"/>
</table>
</file>

<file path=xl/tables/table21.xml><?xml version="1.0" encoding="utf-8"?>
<table xmlns="http://schemas.openxmlformats.org/spreadsheetml/2006/main" id="3" name="Lista21" displayName="Lista21" ref="M147:M151" totalsRowShown="0" headerRowDxfId="3">
  <autoFilter ref="M147:M151"/>
  <tableColumns count="1">
    <tableColumn id="1" name="pagoiva"/>
  </tableColumns>
  <tableStyleInfo showFirstColumn="0" showLastColumn="0" showRowStripes="1" showColumnStripes="0"/>
</table>
</file>

<file path=xl/tables/table22.xml><?xml version="1.0" encoding="utf-8"?>
<table xmlns="http://schemas.openxmlformats.org/spreadsheetml/2006/main" id="5" name="Lista22" displayName="Lista22" ref="J143:J149" insertRowShift="1" totalsRowShown="0" headerRowDxfId="2">
  <autoFilter ref="J143:J149"/>
  <tableColumns count="1">
    <tableColumn id="1" name="SEISMESES">
      <calculatedColumnFormula>G13</calculatedColumnFormula>
    </tableColumn>
  </tableColumns>
  <tableStyleInfo showFirstColumn="0" showLastColumn="0" showRowStripes="1" showColumnStripes="0"/>
</table>
</file>

<file path=xl/tables/table23.xml><?xml version="1.0" encoding="utf-8"?>
<table xmlns="http://schemas.openxmlformats.org/spreadsheetml/2006/main" id="7" name="Lista23" displayName="Lista23" ref="X168:X174" totalsRowShown="0" headerRowDxfId="1">
  <autoFilter ref="X168:X174"/>
  <tableColumns count="1">
    <tableColumn id="1" name="tiposdeactivos">
      <calculatedColumnFormula>D!O24</calculatedColumnFormula>
    </tableColumn>
  </tableColumns>
  <tableStyleInfo showFirstColumn="0" showLastColumn="0" showRowStripes="1" showColumnStripes="0"/>
</table>
</file>

<file path=xl/tables/table24.xml><?xml version="1.0" encoding="utf-8"?>
<table xmlns="http://schemas.openxmlformats.org/spreadsheetml/2006/main" id="8" name="Lista24" displayName="Lista24" ref="X176:X181" totalsRowShown="0" headerRowDxfId="0">
  <autoFilter ref="X176:X181"/>
  <tableColumns count="1">
    <tableColumn id="1" name="activosintangiblesamort"/>
  </tableColumns>
  <tableStyleInfo showFirstColumn="0" showLastColumn="0" showRowStripes="1" showColumnStripes="0"/>
</table>
</file>

<file path=xl/tables/table3.xml><?xml version="1.0" encoding="utf-8"?>
<table xmlns="http://schemas.openxmlformats.org/spreadsheetml/2006/main" id="20" name="Lista3" displayName="Lista3" ref="E176:E191" totalsRowShown="0" headerRowDxfId="43" dataDxfId="42">
  <autoFilter ref="E176:E191"/>
  <tableColumns count="1">
    <tableColumn id="1" name="AÑOS" dataDxfId="41"/>
  </tableColumns>
  <tableStyleInfo showFirstColumn="0" showLastColumn="0" showRowStripes="1" showColumnStripes="0"/>
</table>
</file>

<file path=xl/tables/table4.xml><?xml version="1.0" encoding="utf-8"?>
<table xmlns="http://schemas.openxmlformats.org/spreadsheetml/2006/main" id="21" name="Lista4" displayName="Lista4" ref="E147:E154" totalsRowShown="0" headerRowDxfId="40">
  <autoFilter ref="E147:E154"/>
  <tableColumns count="1">
    <tableColumn id="1" name="plazopago"/>
  </tableColumns>
  <tableStyleInfo showFirstColumn="0" showLastColumn="0" showRowStripes="1" showColumnStripes="0"/>
</table>
</file>

<file path=xl/tables/table5.xml><?xml version="1.0" encoding="utf-8"?>
<table xmlns="http://schemas.openxmlformats.org/spreadsheetml/2006/main" id="22" name="Lista5" displayName="Lista5" ref="C154:C157" totalsRowShown="0" headerRowDxfId="39">
  <autoFilter ref="C154:C157"/>
  <tableColumns count="1">
    <tableColumn id="1" name="formacompra"/>
  </tableColumns>
  <tableStyleInfo showFirstColumn="0" showLastColumn="0" showRowStripes="1" showColumnStripes="0"/>
</table>
</file>

<file path=xl/tables/table6.xml><?xml version="1.0" encoding="utf-8"?>
<table xmlns="http://schemas.openxmlformats.org/spreadsheetml/2006/main" id="23" name="Lista6" displayName="Lista6" ref="C160:C162" totalsRowShown="0" headerRowDxfId="38">
  <autoFilter ref="C160:C162"/>
  <tableColumns count="1">
    <tableColumn id="1" name="amortización"/>
  </tableColumns>
  <tableStyleInfo showFirstColumn="0" showLastColumn="0" showRowStripes="1" showColumnStripes="0"/>
</table>
</file>

<file path=xl/tables/table7.xml><?xml version="1.0" encoding="utf-8"?>
<table xmlns="http://schemas.openxmlformats.org/spreadsheetml/2006/main" id="24" name="Lista7" displayName="Lista7" ref="C164:C166" totalsRowShown="0" headerRowDxfId="37" dataDxfId="36">
  <autoFilter ref="C164:C166"/>
  <tableColumns count="1">
    <tableColumn id="1" name="leasings" dataDxfId="35"/>
  </tableColumns>
  <tableStyleInfo showFirstColumn="0" showLastColumn="0" showRowStripes="1" showColumnStripes="0"/>
</table>
</file>

<file path=xl/tables/table8.xml><?xml version="1.0" encoding="utf-8"?>
<table xmlns="http://schemas.openxmlformats.org/spreadsheetml/2006/main" id="25" name="Lista8" displayName="Lista8" ref="C169:C172" insertRowShift="1" totalsRowShown="0" headerRowDxfId="34">
  <autoFilter ref="C169:C172"/>
  <tableColumns count="1">
    <tableColumn id="1" name="liquidaciónhacienda"/>
  </tableColumns>
  <tableStyleInfo showFirstColumn="0" showLastColumn="0" showRowStripes="1" showColumnStripes="0"/>
</table>
</file>

<file path=xl/tables/table9.xml><?xml version="1.0" encoding="utf-8"?>
<table xmlns="http://schemas.openxmlformats.org/spreadsheetml/2006/main" id="26" name="Lista9" displayName="Lista9" ref="C175:C177" totalsRowShown="0" headerRowDxfId="33" dataDxfId="32">
  <autoFilter ref="C175:C177"/>
  <tableColumns count="1">
    <tableColumn id="1" name="respuesta" dataDxfId="31"/>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CCFFCC"/>
        </a:solidFill>
        <a:ln w="9525" cap="flat" cmpd="sng" algn="ctr">
          <a:solidFill>
            <a:srgbClr val="C0C0C0"/>
          </a:solidFill>
          <a:prstDash val="solid"/>
          <a:round/>
          <a:headEnd type="none" w="med" len="med"/>
          <a:tailEnd type="none" w="med" len="med"/>
        </a:ln>
        <a:effectLst>
          <a:outerShdw dist="35921" dir="2700000" algn="ctr" rotWithShape="0">
            <a:srgbClr val="808080"/>
          </a:outerShdw>
        </a:effectLst>
      </a:spPr>
      <a:bodyPr vertOverflow="clip" wrap="square" lIns="18288" tIns="0" rIns="0" bIns="0" upright="1"/>
      <a:lstStyle/>
    </a:spDef>
    <a:lnDef>
      <a:spPr bwMode="auto">
        <a:xfrm>
          <a:off x="0" y="0"/>
          <a:ext cx="1" cy="1"/>
        </a:xfrm>
        <a:custGeom>
          <a:avLst/>
          <a:gdLst/>
          <a:ahLst/>
          <a:cxnLst/>
          <a:rect l="0" t="0" r="0" b="0"/>
          <a:pathLst/>
        </a:custGeom>
        <a:solidFill>
          <a:srgbClr val="CCFFCC"/>
        </a:solidFill>
        <a:ln w="9525" cap="flat" cmpd="sng" algn="ctr">
          <a:solidFill>
            <a:srgbClr val="C0C0C0"/>
          </a:solidFill>
          <a:prstDash val="solid"/>
          <a:round/>
          <a:headEnd type="none" w="med" len="med"/>
          <a:tailEnd type="none" w="med" len="med"/>
        </a:ln>
        <a:effectLst>
          <a:outerShdw dist="35921" dir="2700000" algn="ctr" rotWithShape="0">
            <a:srgbClr val="80808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 Type="http://schemas.openxmlformats.org/officeDocument/2006/relationships/vmlDrawing" Target="../drawings/vmlDrawing12.vml"/><Relationship Id="rId21" Type="http://schemas.openxmlformats.org/officeDocument/2006/relationships/table" Target="../tables/table18.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2" Type="http://schemas.openxmlformats.org/officeDocument/2006/relationships/drawing" Target="../drawings/drawing23.xml"/><Relationship Id="rId16" Type="http://schemas.openxmlformats.org/officeDocument/2006/relationships/table" Target="../tables/table13.xml"/><Relationship Id="rId20" Type="http://schemas.openxmlformats.org/officeDocument/2006/relationships/table" Target="../tables/table17.xml"/><Relationship Id="rId1" Type="http://schemas.openxmlformats.org/officeDocument/2006/relationships/printerSettings" Target="../printerSettings/printerSettings17.bin"/><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comments" Target="../comments12.xml"/><Relationship Id="rId10" Type="http://schemas.openxmlformats.org/officeDocument/2006/relationships/table" Target="../tables/table7.xml"/><Relationship Id="rId19" Type="http://schemas.openxmlformats.org/officeDocument/2006/relationships/table" Target="../tables/table16.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pageSetUpPr fitToPage="1"/>
  </sheetPr>
  <dimension ref="B1:BE411"/>
  <sheetViews>
    <sheetView showGridLines="0" showRowColHeaders="0" showZeros="0" tabSelected="1" showOutlineSymbols="0" zoomScale="75" workbookViewId="0">
      <pane xSplit="56" ySplit="146" topLeftCell="BE207" activePane="bottomRight" state="frozen"/>
      <selection pane="topRight" activeCell="BD1" sqref="BD1"/>
      <selection pane="bottomLeft" activeCell="A145" sqref="A145"/>
      <selection pane="bottomRight"/>
    </sheetView>
  </sheetViews>
  <sheetFormatPr baseColWidth="10" defaultRowHeight="12.75" x14ac:dyDescent="0.2"/>
  <cols>
    <col min="1" max="1" width="0" hidden="1" customWidth="1"/>
    <col min="2" max="2" width="10.7109375" style="15" customWidth="1"/>
    <col min="3" max="3" width="1.7109375" style="15" customWidth="1"/>
    <col min="4" max="4" width="5.7109375" style="15" customWidth="1"/>
    <col min="5" max="5" width="1.7109375" style="15" customWidth="1"/>
    <col min="6" max="6" width="3.140625" customWidth="1"/>
    <col min="7" max="7" width="30.42578125" customWidth="1"/>
    <col min="8" max="8" width="2.5703125" customWidth="1"/>
    <col min="9" max="10" width="15.7109375" customWidth="1"/>
    <col min="11" max="11" width="2.5703125" customWidth="1"/>
    <col min="12" max="12" width="25.7109375" customWidth="1"/>
    <col min="13" max="13" width="2.5703125" customWidth="1"/>
    <col min="14" max="14" width="30.5703125" customWidth="1"/>
    <col min="15" max="15" width="2.5703125" customWidth="1"/>
    <col min="16" max="16" width="3.140625" customWidth="1"/>
    <col min="17" max="17" width="4.7109375" style="15" customWidth="1"/>
    <col min="18" max="18" width="2.5703125" style="15" customWidth="1"/>
    <col min="19" max="38" width="15.7109375" style="15" customWidth="1"/>
    <col min="39" max="57" width="11.42578125" style="15"/>
  </cols>
  <sheetData>
    <row r="1" spans="2:42" x14ac:dyDescent="0.2">
      <c r="B1" s="835"/>
      <c r="C1" s="836"/>
      <c r="D1" s="836"/>
      <c r="E1" s="836"/>
      <c r="F1" s="836"/>
      <c r="G1" s="836"/>
      <c r="H1" s="836"/>
      <c r="I1" s="836"/>
      <c r="J1" s="836"/>
      <c r="K1" s="836"/>
      <c r="L1" s="836"/>
      <c r="M1" s="836"/>
      <c r="N1" s="836"/>
      <c r="O1" s="836"/>
      <c r="P1" s="836"/>
      <c r="Q1" s="836"/>
      <c r="R1" s="299"/>
      <c r="S1" s="299"/>
      <c r="T1" s="299"/>
      <c r="U1" s="299"/>
      <c r="V1" s="299"/>
      <c r="W1" s="299"/>
      <c r="X1" s="299"/>
      <c r="Y1" s="299"/>
      <c r="Z1" s="299"/>
      <c r="AA1" s="299"/>
      <c r="AB1" s="299"/>
      <c r="AC1" s="299"/>
      <c r="AD1" s="299"/>
      <c r="AE1" s="299"/>
      <c r="AF1" s="299"/>
      <c r="AG1" s="299"/>
      <c r="AH1" s="299"/>
      <c r="AI1" s="299"/>
      <c r="AJ1" s="299"/>
      <c r="AK1" s="299"/>
      <c r="AL1" s="299"/>
      <c r="AM1" s="412"/>
      <c r="AN1" s="412"/>
      <c r="AO1" s="412"/>
      <c r="AP1" s="412"/>
    </row>
    <row r="2" spans="2:42" x14ac:dyDescent="0.2">
      <c r="B2" s="835"/>
      <c r="C2" s="836"/>
      <c r="D2" s="836"/>
      <c r="E2" s="836"/>
      <c r="F2" s="836"/>
      <c r="G2" s="836"/>
      <c r="H2" s="836"/>
      <c r="I2" s="836"/>
      <c r="J2" s="836"/>
      <c r="K2" s="836"/>
      <c r="L2" s="836"/>
      <c r="M2" s="836"/>
      <c r="N2" s="836"/>
      <c r="O2" s="836"/>
      <c r="P2" s="836"/>
      <c r="Q2" s="836"/>
      <c r="R2" s="299"/>
      <c r="S2" s="299"/>
      <c r="T2" s="299"/>
      <c r="U2" s="299"/>
      <c r="V2" s="299"/>
      <c r="W2" s="299"/>
      <c r="X2" s="299"/>
      <c r="Y2" s="299"/>
      <c r="Z2" s="299"/>
      <c r="AA2" s="299"/>
      <c r="AB2" s="299"/>
      <c r="AC2" s="299"/>
      <c r="AD2" s="299"/>
      <c r="AE2" s="299"/>
      <c r="AF2" s="299"/>
      <c r="AG2" s="299"/>
      <c r="AH2" s="299"/>
      <c r="AI2" s="299"/>
      <c r="AJ2" s="299"/>
      <c r="AK2" s="299"/>
      <c r="AL2" s="299"/>
      <c r="AM2" s="412"/>
      <c r="AN2" s="412"/>
      <c r="AO2" s="412"/>
      <c r="AP2" s="412"/>
    </row>
    <row r="3" spans="2:42" x14ac:dyDescent="0.2">
      <c r="B3" s="835"/>
      <c r="C3" s="836"/>
      <c r="D3" s="836"/>
      <c r="E3" s="836"/>
      <c r="F3" s="836"/>
      <c r="G3" s="836"/>
      <c r="H3" s="836"/>
      <c r="I3" s="836"/>
      <c r="J3" s="836"/>
      <c r="K3" s="836"/>
      <c r="L3" s="836"/>
      <c r="M3" s="836"/>
      <c r="N3" s="836"/>
      <c r="O3" s="836"/>
      <c r="P3" s="836"/>
      <c r="Q3" s="836"/>
      <c r="R3" s="299"/>
      <c r="S3" s="299"/>
      <c r="T3" s="299"/>
      <c r="U3" s="299"/>
      <c r="V3" s="299"/>
      <c r="W3" s="299"/>
      <c r="X3" s="299"/>
      <c r="Y3" s="299"/>
      <c r="Z3" s="299"/>
      <c r="AA3" s="299"/>
      <c r="AB3" s="299"/>
      <c r="AC3" s="299"/>
      <c r="AD3" s="299"/>
      <c r="AE3" s="299"/>
      <c r="AF3" s="299"/>
      <c r="AG3" s="299"/>
      <c r="AH3" s="299"/>
      <c r="AI3" s="299"/>
      <c r="AJ3" s="299"/>
      <c r="AK3" s="299"/>
      <c r="AL3" s="299"/>
      <c r="AM3" s="412"/>
      <c r="AN3" s="412"/>
      <c r="AO3" s="412"/>
      <c r="AP3" s="412"/>
    </row>
    <row r="4" spans="2:42" x14ac:dyDescent="0.2">
      <c r="B4" s="835"/>
      <c r="C4" s="836"/>
      <c r="D4" s="836"/>
      <c r="E4" s="836"/>
      <c r="F4" s="836"/>
      <c r="G4" s="836"/>
      <c r="H4" s="836"/>
      <c r="I4" s="836"/>
      <c r="J4" s="836"/>
      <c r="K4" s="836"/>
      <c r="L4" s="836"/>
      <c r="M4" s="836"/>
      <c r="N4" s="836"/>
      <c r="O4" s="836"/>
      <c r="P4" s="836"/>
      <c r="Q4" s="836"/>
      <c r="R4" s="299"/>
      <c r="S4" s="299"/>
      <c r="T4" s="299"/>
      <c r="U4" s="299"/>
      <c r="V4" s="299"/>
      <c r="W4" s="299"/>
      <c r="X4" s="299"/>
      <c r="Y4" s="299"/>
      <c r="Z4" s="299"/>
      <c r="AA4" s="299"/>
      <c r="AB4" s="299"/>
      <c r="AC4" s="299"/>
      <c r="AD4" s="299"/>
      <c r="AE4" s="299"/>
      <c r="AF4" s="299"/>
      <c r="AG4" s="299"/>
      <c r="AH4" s="299"/>
      <c r="AI4" s="299"/>
      <c r="AJ4" s="299"/>
      <c r="AK4" s="299"/>
      <c r="AL4" s="299"/>
      <c r="AM4" s="412"/>
      <c r="AN4" s="412"/>
      <c r="AO4" s="412"/>
      <c r="AP4" s="412"/>
    </row>
    <row r="5" spans="2:42" x14ac:dyDescent="0.2">
      <c r="B5" s="835"/>
      <c r="C5" s="836"/>
      <c r="D5" s="836"/>
      <c r="E5" s="836"/>
      <c r="F5" s="836"/>
      <c r="G5" s="836"/>
      <c r="H5" s="836"/>
      <c r="I5" s="836"/>
      <c r="J5" s="836"/>
      <c r="K5" s="836"/>
      <c r="L5" s="836"/>
      <c r="M5" s="836"/>
      <c r="N5" s="836"/>
      <c r="O5" s="836"/>
      <c r="P5" s="836"/>
      <c r="Q5" s="836"/>
      <c r="R5" s="299"/>
      <c r="S5" s="299"/>
      <c r="T5" s="299"/>
      <c r="U5" s="299"/>
      <c r="V5" s="299"/>
      <c r="W5" s="299"/>
      <c r="X5" s="299"/>
      <c r="Y5" s="299"/>
      <c r="Z5" s="299"/>
      <c r="AA5" s="299"/>
      <c r="AB5" s="299"/>
      <c r="AC5" s="299"/>
      <c r="AD5" s="299"/>
      <c r="AE5" s="299"/>
      <c r="AF5" s="299"/>
      <c r="AG5" s="299"/>
      <c r="AH5" s="299"/>
      <c r="AI5" s="299"/>
      <c r="AJ5" s="299"/>
      <c r="AK5" s="299"/>
      <c r="AL5" s="299"/>
      <c r="AM5" s="412"/>
      <c r="AN5" s="412"/>
      <c r="AO5" s="412"/>
      <c r="AP5" s="412"/>
    </row>
    <row r="6" spans="2:42" x14ac:dyDescent="0.2">
      <c r="B6" s="835"/>
      <c r="C6" s="836"/>
      <c r="D6" s="836"/>
      <c r="E6" s="836"/>
      <c r="F6" s="836"/>
      <c r="G6" s="836"/>
      <c r="H6" s="836"/>
      <c r="I6" s="836"/>
      <c r="J6" s="836"/>
      <c r="K6" s="836"/>
      <c r="L6" s="836"/>
      <c r="M6" s="836"/>
      <c r="N6" s="836"/>
      <c r="O6" s="836"/>
      <c r="P6" s="836"/>
      <c r="Q6" s="836"/>
      <c r="R6" s="299"/>
      <c r="S6" s="299"/>
      <c r="T6" s="299"/>
      <c r="U6" s="299"/>
      <c r="V6" s="299"/>
      <c r="W6" s="299"/>
      <c r="X6" s="299"/>
      <c r="Y6" s="299"/>
      <c r="Z6" s="299"/>
      <c r="AA6" s="299"/>
      <c r="AB6" s="299"/>
      <c r="AC6" s="299"/>
      <c r="AD6" s="299"/>
      <c r="AE6" s="299"/>
      <c r="AF6" s="299"/>
      <c r="AG6" s="299"/>
      <c r="AH6" s="299"/>
      <c r="AI6" s="299"/>
      <c r="AJ6" s="299"/>
      <c r="AK6" s="299"/>
      <c r="AL6" s="299"/>
      <c r="AM6" s="412"/>
      <c r="AN6" s="412"/>
      <c r="AO6" s="412"/>
      <c r="AP6" s="412"/>
    </row>
    <row r="7" spans="2:42" x14ac:dyDescent="0.2">
      <c r="B7" s="835"/>
      <c r="C7" s="836"/>
      <c r="D7" s="836"/>
      <c r="E7" s="836"/>
      <c r="F7" s="836"/>
      <c r="G7" s="836"/>
      <c r="H7" s="836"/>
      <c r="I7" s="836"/>
      <c r="J7" s="836"/>
      <c r="K7" s="836"/>
      <c r="L7" s="836"/>
      <c r="M7" s="836"/>
      <c r="N7" s="836"/>
      <c r="O7" s="836"/>
      <c r="P7" s="836"/>
      <c r="Q7" s="836"/>
      <c r="R7" s="299"/>
      <c r="S7" s="299"/>
      <c r="T7" s="299"/>
      <c r="U7" s="299"/>
      <c r="V7" s="299"/>
      <c r="W7" s="299"/>
      <c r="X7" s="299"/>
      <c r="Y7" s="299"/>
      <c r="Z7" s="299"/>
      <c r="AA7" s="299"/>
      <c r="AB7" s="299"/>
      <c r="AC7" s="299"/>
      <c r="AD7" s="299"/>
      <c r="AE7" s="299"/>
      <c r="AF7" s="299"/>
      <c r="AG7" s="299"/>
      <c r="AH7" s="299"/>
      <c r="AI7" s="299"/>
      <c r="AJ7" s="299"/>
      <c r="AK7" s="299"/>
      <c r="AL7" s="299"/>
      <c r="AM7" s="412"/>
      <c r="AN7" s="412"/>
      <c r="AO7" s="412"/>
      <c r="AP7" s="412"/>
    </row>
    <row r="8" spans="2:42" ht="13.5" thickBot="1" x14ac:dyDescent="0.25">
      <c r="B8" s="835"/>
      <c r="C8" s="836"/>
      <c r="D8" s="836"/>
      <c r="E8" s="836"/>
      <c r="F8" s="836"/>
      <c r="G8" s="836"/>
      <c r="H8" s="836"/>
      <c r="I8" s="836"/>
      <c r="J8" s="836"/>
      <c r="K8" s="836"/>
      <c r="L8" s="836"/>
      <c r="M8" s="836"/>
      <c r="N8" s="836"/>
      <c r="O8" s="836"/>
      <c r="P8" s="836"/>
      <c r="Q8" s="836"/>
      <c r="R8" s="299"/>
      <c r="S8" s="299"/>
      <c r="T8" s="299"/>
      <c r="U8" s="299"/>
      <c r="V8" s="299"/>
      <c r="W8" s="299"/>
      <c r="X8" s="299"/>
      <c r="Y8" s="299"/>
      <c r="Z8" s="299"/>
      <c r="AA8" s="299"/>
      <c r="AB8" s="299"/>
      <c r="AC8" s="299"/>
      <c r="AD8" s="299"/>
      <c r="AE8" s="299"/>
      <c r="AF8" s="299"/>
      <c r="AG8" s="299"/>
      <c r="AH8" s="299"/>
      <c r="AI8" s="299"/>
      <c r="AJ8" s="299"/>
      <c r="AK8" s="299"/>
      <c r="AL8" s="299"/>
      <c r="AM8" s="412"/>
      <c r="AN8" s="412"/>
      <c r="AO8" s="412"/>
      <c r="AP8" s="412"/>
    </row>
    <row r="9" spans="2:42" ht="27.95" customHeight="1" thickTop="1" x14ac:dyDescent="0.2">
      <c r="B9" s="835"/>
      <c r="C9" s="643"/>
      <c r="D9" s="643"/>
      <c r="E9" s="837"/>
      <c r="F9" s="1355" t="s">
        <v>679</v>
      </c>
      <c r="G9" s="1356"/>
      <c r="H9" s="1356"/>
      <c r="I9" s="1356"/>
      <c r="J9" s="1356"/>
      <c r="K9" s="1356"/>
      <c r="L9" s="1356"/>
      <c r="M9" s="1356"/>
      <c r="N9" s="1356"/>
      <c r="O9" s="1356"/>
      <c r="P9" s="1357"/>
      <c r="Q9" s="863"/>
      <c r="R9" s="299"/>
      <c r="S9" s="299"/>
      <c r="T9" s="299"/>
      <c r="U9" s="299"/>
      <c r="V9" s="299"/>
      <c r="W9" s="299"/>
      <c r="X9" s="299"/>
      <c r="Y9" s="299"/>
      <c r="Z9" s="299"/>
      <c r="AA9" s="299"/>
      <c r="AB9" s="299"/>
      <c r="AC9" s="299"/>
      <c r="AD9" s="299"/>
      <c r="AE9" s="299"/>
      <c r="AF9" s="299"/>
      <c r="AG9" s="299"/>
      <c r="AH9" s="299"/>
      <c r="AI9" s="299"/>
      <c r="AJ9" s="299"/>
      <c r="AK9" s="299"/>
      <c r="AL9" s="299"/>
      <c r="AM9" s="412"/>
      <c r="AN9" s="412"/>
      <c r="AO9" s="412"/>
      <c r="AP9" s="412"/>
    </row>
    <row r="10" spans="2:42" ht="27.95" customHeight="1" x14ac:dyDescent="0.2">
      <c r="B10" s="835"/>
      <c r="C10" s="643"/>
      <c r="D10" s="643"/>
      <c r="E10" s="837"/>
      <c r="F10" s="1358"/>
      <c r="G10" s="1359"/>
      <c r="H10" s="1359"/>
      <c r="I10" s="1359"/>
      <c r="J10" s="1359"/>
      <c r="K10" s="1359"/>
      <c r="L10" s="1359"/>
      <c r="M10" s="1359"/>
      <c r="N10" s="1359"/>
      <c r="O10" s="1359"/>
      <c r="P10" s="1360"/>
      <c r="Q10" s="863"/>
      <c r="R10" s="299"/>
      <c r="S10" s="299"/>
      <c r="T10" s="299"/>
      <c r="U10" s="299"/>
      <c r="V10" s="299"/>
      <c r="W10" s="299"/>
      <c r="X10" s="299"/>
      <c r="Y10" s="299"/>
      <c r="Z10" s="299"/>
      <c r="AA10" s="299"/>
      <c r="AB10" s="299"/>
      <c r="AC10" s="299"/>
      <c r="AD10" s="299"/>
      <c r="AE10" s="299"/>
      <c r="AF10" s="299"/>
      <c r="AG10" s="299"/>
      <c r="AH10" s="299"/>
      <c r="AI10" s="299"/>
      <c r="AJ10" s="299"/>
      <c r="AK10" s="299"/>
      <c r="AL10" s="299"/>
      <c r="AM10" s="412"/>
      <c r="AN10" s="412"/>
      <c r="AO10" s="412"/>
      <c r="AP10" s="412"/>
    </row>
    <row r="11" spans="2:42" ht="30" customHeight="1" thickBot="1" x14ac:dyDescent="0.25">
      <c r="B11" s="835"/>
      <c r="C11" s="838"/>
      <c r="D11" s="838"/>
      <c r="E11" s="839"/>
      <c r="F11" s="1361" t="s">
        <v>911</v>
      </c>
      <c r="G11" s="1362"/>
      <c r="H11" s="1362"/>
      <c r="I11" s="1362"/>
      <c r="J11" s="1362"/>
      <c r="K11" s="1362"/>
      <c r="L11" s="1362"/>
      <c r="M11" s="1362"/>
      <c r="N11" s="1362"/>
      <c r="O11" s="1362"/>
      <c r="P11" s="1363"/>
      <c r="Q11" s="248"/>
      <c r="R11" s="445"/>
      <c r="S11" s="445"/>
      <c r="T11" s="445"/>
      <c r="U11" s="445"/>
      <c r="V11" s="445"/>
      <c r="W11" s="445"/>
      <c r="X11" s="445"/>
      <c r="Y11" s="445"/>
      <c r="Z11" s="445"/>
      <c r="AA11" s="445"/>
      <c r="AB11" s="445"/>
      <c r="AC11" s="445"/>
      <c r="AD11" s="445"/>
      <c r="AE11" s="445"/>
      <c r="AF11" s="445"/>
      <c r="AG11" s="445"/>
      <c r="AH11" s="445"/>
      <c r="AI11" s="445"/>
      <c r="AJ11" s="445"/>
      <c r="AK11" s="445"/>
      <c r="AL11" s="445"/>
      <c r="AM11" s="412"/>
      <c r="AN11" s="412"/>
      <c r="AO11" s="412"/>
      <c r="AP11" s="412"/>
    </row>
    <row r="12" spans="2:42" ht="13.5" thickTop="1" x14ac:dyDescent="0.2">
      <c r="B12" s="840"/>
      <c r="C12" s="838"/>
      <c r="D12" s="838"/>
      <c r="E12" s="841"/>
      <c r="F12" s="846"/>
      <c r="G12" s="248"/>
      <c r="H12" s="248"/>
      <c r="I12" s="248"/>
      <c r="J12" s="248"/>
      <c r="K12" s="248"/>
      <c r="L12" s="248"/>
      <c r="M12" s="248"/>
      <c r="N12" s="248"/>
      <c r="O12" s="248"/>
      <c r="P12" s="847"/>
      <c r="Q12" s="248"/>
      <c r="R12" s="445"/>
      <c r="S12" s="445"/>
      <c r="T12" s="445"/>
      <c r="U12" s="445"/>
      <c r="V12" s="445"/>
      <c r="W12" s="445"/>
      <c r="X12" s="445"/>
      <c r="Y12" s="445"/>
      <c r="Z12" s="445"/>
      <c r="AA12" s="445"/>
      <c r="AB12" s="445"/>
      <c r="AC12" s="445"/>
      <c r="AD12" s="445"/>
      <c r="AE12" s="445"/>
      <c r="AF12" s="445"/>
      <c r="AG12" s="445"/>
      <c r="AH12" s="445"/>
      <c r="AI12" s="445"/>
      <c r="AJ12" s="445"/>
      <c r="AK12" s="445"/>
      <c r="AL12" s="445"/>
      <c r="AM12" s="412"/>
      <c r="AN12" s="412"/>
      <c r="AO12" s="412"/>
      <c r="AP12" s="412"/>
    </row>
    <row r="13" spans="2:42" x14ac:dyDescent="0.2">
      <c r="B13" s="446"/>
      <c r="C13" s="842"/>
      <c r="D13" s="842"/>
      <c r="E13" s="248"/>
      <c r="F13" s="846"/>
      <c r="G13" s="248"/>
      <c r="H13" s="248"/>
      <c r="I13" s="248"/>
      <c r="J13" s="248"/>
      <c r="K13" s="248"/>
      <c r="L13" s="248"/>
      <c r="M13" s="248"/>
      <c r="N13" s="248"/>
      <c r="O13" s="248"/>
      <c r="P13" s="847"/>
      <c r="Q13" s="248"/>
      <c r="R13" s="445"/>
      <c r="S13" s="445"/>
      <c r="T13" s="445"/>
      <c r="U13" s="445"/>
      <c r="V13" s="445"/>
      <c r="W13" s="445"/>
      <c r="X13" s="445"/>
      <c r="Y13" s="445"/>
      <c r="Z13" s="445"/>
      <c r="AA13" s="445"/>
      <c r="AB13" s="445"/>
      <c r="AC13" s="445"/>
      <c r="AD13" s="445"/>
      <c r="AE13" s="445"/>
      <c r="AF13" s="445"/>
      <c r="AG13" s="445"/>
      <c r="AH13" s="445"/>
      <c r="AI13" s="445"/>
      <c r="AJ13" s="445"/>
      <c r="AK13" s="445"/>
      <c r="AL13" s="445"/>
      <c r="AM13" s="412"/>
      <c r="AN13" s="412"/>
      <c r="AO13" s="412"/>
      <c r="AP13" s="412"/>
    </row>
    <row r="14" spans="2:42" ht="5.0999999999999996" customHeight="1" x14ac:dyDescent="0.2">
      <c r="B14" s="446"/>
      <c r="C14" s="842"/>
      <c r="D14" s="842"/>
      <c r="E14" s="248"/>
      <c r="F14" s="846"/>
      <c r="G14" s="248"/>
      <c r="H14" s="248"/>
      <c r="I14" s="248"/>
      <c r="J14" s="248"/>
      <c r="K14" s="248"/>
      <c r="L14" s="248"/>
      <c r="M14" s="248"/>
      <c r="N14" s="248"/>
      <c r="O14" s="248"/>
      <c r="P14" s="847"/>
      <c r="Q14" s="248"/>
      <c r="R14" s="445"/>
      <c r="S14" s="445"/>
      <c r="T14" s="445"/>
      <c r="U14" s="445"/>
      <c r="V14" s="445"/>
      <c r="W14" s="445"/>
      <c r="X14" s="445"/>
      <c r="Y14" s="445"/>
      <c r="Z14" s="445"/>
      <c r="AA14" s="445"/>
      <c r="AB14" s="445"/>
      <c r="AC14" s="445"/>
      <c r="AD14" s="445"/>
      <c r="AE14" s="445"/>
      <c r="AF14" s="445"/>
      <c r="AG14" s="445"/>
      <c r="AH14" s="445"/>
      <c r="AI14" s="445"/>
      <c r="AJ14" s="445"/>
      <c r="AK14" s="445"/>
      <c r="AL14" s="445"/>
      <c r="AM14" s="412"/>
      <c r="AN14" s="412"/>
      <c r="AO14" s="412"/>
      <c r="AP14" s="412"/>
    </row>
    <row r="15" spans="2:42" x14ac:dyDescent="0.2">
      <c r="B15" s="446"/>
      <c r="C15" s="842"/>
      <c r="D15" s="842"/>
      <c r="E15" s="248"/>
      <c r="F15" s="848"/>
      <c r="G15" s="849"/>
      <c r="H15" s="849"/>
      <c r="I15" s="849"/>
      <c r="J15" s="849"/>
      <c r="K15" s="849"/>
      <c r="L15" s="849"/>
      <c r="M15" s="849"/>
      <c r="N15" s="849"/>
      <c r="O15" s="849"/>
      <c r="P15" s="850"/>
      <c r="Q15" s="248"/>
      <c r="R15" s="445"/>
      <c r="S15" s="445"/>
      <c r="T15" s="445"/>
      <c r="U15" s="445"/>
      <c r="V15" s="445"/>
      <c r="W15" s="445"/>
      <c r="X15" s="445"/>
      <c r="Y15" s="445"/>
      <c r="Z15" s="445"/>
      <c r="AA15" s="445"/>
      <c r="AB15" s="445"/>
      <c r="AC15" s="445"/>
      <c r="AD15" s="445"/>
      <c r="AE15" s="445"/>
      <c r="AF15" s="445"/>
      <c r="AG15" s="445"/>
      <c r="AH15" s="445"/>
      <c r="AI15" s="445"/>
      <c r="AJ15" s="445"/>
      <c r="AK15" s="445"/>
      <c r="AL15" s="445"/>
      <c r="AM15" s="412"/>
      <c r="AN15" s="412"/>
      <c r="AO15" s="412"/>
      <c r="AP15" s="412"/>
    </row>
    <row r="16" spans="2:42" x14ac:dyDescent="0.2">
      <c r="B16" s="446"/>
      <c r="C16" s="842"/>
      <c r="D16" s="842"/>
      <c r="E16" s="248"/>
      <c r="F16" s="851"/>
      <c r="G16" s="852"/>
      <c r="H16" s="852"/>
      <c r="I16" s="852"/>
      <c r="J16" s="852"/>
      <c r="K16" s="852"/>
      <c r="L16" s="852"/>
      <c r="M16" s="852"/>
      <c r="N16" s="852"/>
      <c r="O16" s="852"/>
      <c r="P16" s="853"/>
      <c r="Q16" s="248"/>
      <c r="R16" s="445"/>
      <c r="S16" s="445"/>
      <c r="T16" s="445"/>
      <c r="U16" s="445"/>
      <c r="V16" s="445"/>
      <c r="W16" s="445"/>
      <c r="X16" s="445"/>
      <c r="Y16" s="445"/>
      <c r="Z16" s="445"/>
      <c r="AA16" s="445"/>
      <c r="AB16" s="445"/>
      <c r="AC16" s="445"/>
      <c r="AD16" s="445"/>
      <c r="AE16" s="445"/>
      <c r="AF16" s="445"/>
      <c r="AG16" s="445"/>
      <c r="AH16" s="445"/>
      <c r="AI16" s="445"/>
      <c r="AJ16" s="445"/>
      <c r="AK16" s="445"/>
      <c r="AL16" s="445"/>
      <c r="AM16" s="412"/>
      <c r="AN16" s="412"/>
      <c r="AO16" s="412"/>
      <c r="AP16" s="412"/>
    </row>
    <row r="17" spans="2:42" ht="15" x14ac:dyDescent="0.2">
      <c r="B17" s="412"/>
      <c r="C17" s="836"/>
      <c r="D17" s="836"/>
      <c r="E17" s="843"/>
      <c r="F17" s="1364" t="s">
        <v>196</v>
      </c>
      <c r="G17" s="1365"/>
      <c r="H17" s="1365"/>
      <c r="I17" s="1365"/>
      <c r="J17" s="1365"/>
      <c r="K17" s="1365"/>
      <c r="L17" s="1365"/>
      <c r="M17" s="1365"/>
      <c r="N17" s="1365"/>
      <c r="O17" s="1365"/>
      <c r="P17" s="1366"/>
      <c r="Q17" s="843"/>
      <c r="R17" s="299"/>
      <c r="S17" s="299"/>
      <c r="T17" s="299"/>
      <c r="U17" s="299"/>
      <c r="V17" s="299"/>
      <c r="W17" s="299"/>
      <c r="X17" s="299"/>
      <c r="Y17" s="299"/>
      <c r="Z17" s="299"/>
      <c r="AA17" s="299"/>
      <c r="AB17" s="299"/>
      <c r="AC17" s="299"/>
      <c r="AD17" s="299"/>
      <c r="AE17" s="299"/>
      <c r="AF17" s="299"/>
      <c r="AG17" s="299"/>
      <c r="AH17" s="299"/>
      <c r="AI17" s="299"/>
      <c r="AJ17" s="299"/>
      <c r="AK17" s="299"/>
      <c r="AL17" s="299"/>
      <c r="AM17" s="412"/>
      <c r="AN17" s="412"/>
      <c r="AO17" s="412"/>
      <c r="AP17" s="412"/>
    </row>
    <row r="18" spans="2:42" ht="5.0999999999999996" customHeight="1" x14ac:dyDescent="0.2">
      <c r="B18" s="412"/>
      <c r="C18" s="836"/>
      <c r="D18" s="836"/>
      <c r="E18" s="844"/>
      <c r="F18" s="854"/>
      <c r="G18" s="855"/>
      <c r="H18" s="855"/>
      <c r="I18" s="855"/>
      <c r="J18" s="855"/>
      <c r="K18" s="855"/>
      <c r="L18" s="855"/>
      <c r="M18" s="855"/>
      <c r="N18" s="855"/>
      <c r="O18" s="855"/>
      <c r="P18" s="856"/>
      <c r="Q18" s="844"/>
      <c r="R18" s="299"/>
      <c r="S18" s="299"/>
      <c r="T18" s="299"/>
      <c r="U18" s="299"/>
      <c r="V18" s="299"/>
      <c r="W18" s="299"/>
      <c r="X18" s="299"/>
      <c r="Y18" s="299"/>
      <c r="Z18" s="299"/>
      <c r="AA18" s="299"/>
      <c r="AB18" s="299"/>
      <c r="AC18" s="299"/>
      <c r="AD18" s="299"/>
      <c r="AE18" s="299"/>
      <c r="AF18" s="299"/>
      <c r="AG18" s="299"/>
      <c r="AH18" s="299"/>
      <c r="AI18" s="299"/>
      <c r="AJ18" s="299"/>
      <c r="AK18" s="299"/>
      <c r="AL18" s="299"/>
      <c r="AM18" s="412"/>
      <c r="AN18" s="412"/>
      <c r="AO18" s="412"/>
      <c r="AP18" s="412"/>
    </row>
    <row r="19" spans="2:42" ht="15" customHeight="1" x14ac:dyDescent="0.2">
      <c r="B19" s="412"/>
      <c r="C19" s="836"/>
      <c r="D19" s="836"/>
      <c r="E19" s="844"/>
      <c r="F19" s="1364" t="s">
        <v>918</v>
      </c>
      <c r="G19" s="1365"/>
      <c r="H19" s="1365"/>
      <c r="I19" s="1365"/>
      <c r="J19" s="1365"/>
      <c r="K19" s="1365"/>
      <c r="L19" s="1365"/>
      <c r="M19" s="1365"/>
      <c r="N19" s="1365"/>
      <c r="O19" s="1365"/>
      <c r="P19" s="1366"/>
      <c r="Q19" s="844"/>
      <c r="R19" s="299"/>
      <c r="S19" s="299"/>
      <c r="T19" s="299"/>
      <c r="U19" s="299"/>
      <c r="V19" s="299"/>
      <c r="W19" s="299"/>
      <c r="X19" s="299"/>
      <c r="Y19" s="299"/>
      <c r="Z19" s="299"/>
      <c r="AA19" s="299"/>
      <c r="AB19" s="299"/>
      <c r="AC19" s="299"/>
      <c r="AD19" s="299"/>
      <c r="AE19" s="299"/>
      <c r="AF19" s="299"/>
      <c r="AG19" s="299"/>
      <c r="AH19" s="299"/>
      <c r="AI19" s="299"/>
      <c r="AJ19" s="299"/>
      <c r="AK19" s="299"/>
      <c r="AL19" s="299"/>
      <c r="AM19" s="412"/>
      <c r="AN19" s="412"/>
      <c r="AO19" s="412"/>
      <c r="AP19" s="412"/>
    </row>
    <row r="20" spans="2:42" ht="5.0999999999999996" customHeight="1" x14ac:dyDescent="0.2">
      <c r="B20" s="412"/>
      <c r="C20" s="836"/>
      <c r="D20" s="836"/>
      <c r="E20" s="844"/>
      <c r="F20" s="854"/>
      <c r="G20" s="855"/>
      <c r="H20" s="855"/>
      <c r="I20" s="855"/>
      <c r="J20" s="855"/>
      <c r="K20" s="855"/>
      <c r="L20" s="855"/>
      <c r="M20" s="855"/>
      <c r="N20" s="855"/>
      <c r="O20" s="855"/>
      <c r="P20" s="856"/>
      <c r="Q20" s="844"/>
      <c r="R20" s="299"/>
      <c r="S20" s="299"/>
      <c r="T20" s="299"/>
      <c r="U20" s="299"/>
      <c r="V20" s="299"/>
      <c r="W20" s="299"/>
      <c r="X20" s="299"/>
      <c r="Y20" s="299"/>
      <c r="Z20" s="299"/>
      <c r="AA20" s="299"/>
      <c r="AB20" s="299"/>
      <c r="AC20" s="299"/>
      <c r="AD20" s="299"/>
      <c r="AE20" s="299"/>
      <c r="AF20" s="299"/>
      <c r="AG20" s="299"/>
      <c r="AH20" s="299"/>
      <c r="AI20" s="299"/>
      <c r="AJ20" s="299"/>
      <c r="AK20" s="299"/>
      <c r="AL20" s="299"/>
      <c r="AM20" s="412"/>
      <c r="AN20" s="412"/>
      <c r="AO20" s="412"/>
      <c r="AP20" s="412"/>
    </row>
    <row r="21" spans="2:42" ht="15" x14ac:dyDescent="0.2">
      <c r="B21" s="412"/>
      <c r="C21" s="836"/>
      <c r="D21" s="836"/>
      <c r="E21" s="843"/>
      <c r="F21" s="1364" t="s">
        <v>208</v>
      </c>
      <c r="G21" s="1365"/>
      <c r="H21" s="1365"/>
      <c r="I21" s="1365"/>
      <c r="J21" s="1365"/>
      <c r="K21" s="1365"/>
      <c r="L21" s="1365"/>
      <c r="M21" s="1365"/>
      <c r="N21" s="1365"/>
      <c r="O21" s="1365"/>
      <c r="P21" s="1366"/>
      <c r="Q21" s="843"/>
      <c r="R21" s="299"/>
      <c r="S21" s="299"/>
      <c r="T21" s="299"/>
      <c r="U21" s="299"/>
      <c r="V21" s="299"/>
      <c r="W21" s="299"/>
      <c r="X21" s="299"/>
      <c r="Y21" s="299"/>
      <c r="Z21" s="299"/>
      <c r="AA21" s="299"/>
      <c r="AB21" s="299"/>
      <c r="AC21" s="299"/>
      <c r="AD21" s="299"/>
      <c r="AE21" s="299"/>
      <c r="AF21" s="299"/>
      <c r="AG21" s="299"/>
      <c r="AH21" s="299"/>
      <c r="AI21" s="299"/>
      <c r="AJ21" s="299"/>
      <c r="AK21" s="299"/>
      <c r="AL21" s="299"/>
      <c r="AM21" s="412"/>
      <c r="AN21" s="412"/>
      <c r="AO21" s="412"/>
      <c r="AP21" s="412"/>
    </row>
    <row r="22" spans="2:42" ht="14.25" x14ac:dyDescent="0.2">
      <c r="B22" s="7"/>
      <c r="C22" s="836"/>
      <c r="D22" s="836"/>
      <c r="E22" s="844"/>
      <c r="F22" s="857"/>
      <c r="G22" s="249"/>
      <c r="H22" s="249"/>
      <c r="I22" s="249"/>
      <c r="J22" s="249"/>
      <c r="K22" s="249"/>
      <c r="L22" s="249"/>
      <c r="M22" s="249"/>
      <c r="N22" s="249"/>
      <c r="O22" s="249"/>
      <c r="P22" s="858"/>
      <c r="Q22" s="844"/>
      <c r="R22" s="299"/>
      <c r="S22" s="299"/>
      <c r="T22" s="299"/>
      <c r="U22" s="299"/>
      <c r="V22" s="299"/>
      <c r="W22" s="299"/>
      <c r="X22" s="299"/>
      <c r="Y22" s="299"/>
      <c r="Z22" s="299"/>
      <c r="AA22" s="299"/>
      <c r="AB22" s="299"/>
      <c r="AC22" s="299"/>
      <c r="AD22" s="299"/>
      <c r="AE22" s="299"/>
      <c r="AF22" s="299"/>
      <c r="AG22" s="299"/>
      <c r="AH22" s="299"/>
      <c r="AI22" s="299"/>
      <c r="AJ22" s="299"/>
      <c r="AK22" s="299"/>
      <c r="AL22" s="299"/>
      <c r="AM22" s="412"/>
      <c r="AN22" s="412"/>
      <c r="AO22" s="412"/>
      <c r="AP22" s="412"/>
    </row>
    <row r="23" spans="2:42" x14ac:dyDescent="0.2">
      <c r="B23" s="446"/>
      <c r="C23" s="842"/>
      <c r="D23" s="842"/>
      <c r="E23" s="248"/>
      <c r="F23" s="859"/>
      <c r="G23" s="860"/>
      <c r="H23" s="860"/>
      <c r="I23" s="860"/>
      <c r="J23" s="860"/>
      <c r="K23" s="860"/>
      <c r="L23" s="860"/>
      <c r="M23" s="860"/>
      <c r="N23" s="860"/>
      <c r="O23" s="860"/>
      <c r="P23" s="861"/>
      <c r="Q23" s="248"/>
      <c r="R23" s="445"/>
      <c r="S23" s="445"/>
      <c r="T23" s="445"/>
      <c r="U23" s="445"/>
      <c r="V23" s="445"/>
      <c r="W23" s="445"/>
      <c r="X23" s="445"/>
      <c r="Y23" s="445"/>
      <c r="Z23" s="445"/>
      <c r="AA23" s="445"/>
      <c r="AB23" s="445"/>
      <c r="AC23" s="445"/>
      <c r="AD23" s="445"/>
      <c r="AE23" s="445"/>
      <c r="AF23" s="445"/>
      <c r="AG23" s="445"/>
      <c r="AH23" s="445"/>
      <c r="AI23" s="445"/>
      <c r="AJ23" s="445"/>
      <c r="AK23" s="445"/>
      <c r="AL23" s="445"/>
      <c r="AM23" s="412"/>
      <c r="AN23" s="412"/>
      <c r="AO23" s="412"/>
      <c r="AP23" s="412"/>
    </row>
    <row r="24" spans="2:42" x14ac:dyDescent="0.2">
      <c r="B24" s="446"/>
      <c r="C24" s="842"/>
      <c r="D24" s="842"/>
      <c r="E24" s="248"/>
      <c r="F24" s="846"/>
      <c r="G24" s="248"/>
      <c r="H24" s="248"/>
      <c r="I24" s="248"/>
      <c r="J24" s="248"/>
      <c r="K24" s="248"/>
      <c r="L24" s="248"/>
      <c r="M24" s="248"/>
      <c r="N24" s="248"/>
      <c r="O24" s="248"/>
      <c r="P24" s="847"/>
      <c r="Q24" s="248"/>
      <c r="R24" s="445"/>
      <c r="S24" s="445"/>
      <c r="T24" s="445"/>
      <c r="U24" s="445"/>
      <c r="V24" s="445"/>
      <c r="W24" s="445"/>
      <c r="X24" s="445"/>
      <c r="Y24" s="445"/>
      <c r="Z24" s="445"/>
      <c r="AA24" s="445"/>
      <c r="AB24" s="445"/>
      <c r="AC24" s="445"/>
      <c r="AD24" s="445"/>
      <c r="AE24" s="445"/>
      <c r="AF24" s="445"/>
      <c r="AG24" s="445"/>
      <c r="AH24" s="445"/>
      <c r="AI24" s="445"/>
      <c r="AJ24" s="445"/>
      <c r="AK24" s="445"/>
      <c r="AL24" s="445"/>
      <c r="AM24" s="412"/>
      <c r="AN24" s="412"/>
      <c r="AO24" s="412"/>
      <c r="AP24" s="412"/>
    </row>
    <row r="25" spans="2:42" ht="18.75" customHeight="1" x14ac:dyDescent="0.2">
      <c r="B25" s="446"/>
      <c r="C25" s="842"/>
      <c r="D25" s="842"/>
      <c r="E25" s="248"/>
      <c r="F25" s="846"/>
      <c r="G25" s="248"/>
      <c r="H25" s="248"/>
      <c r="I25" s="248"/>
      <c r="J25" s="248"/>
      <c r="K25" s="248"/>
      <c r="L25" s="248"/>
      <c r="M25" s="248"/>
      <c r="N25" s="248"/>
      <c r="O25" s="248"/>
      <c r="P25" s="847"/>
      <c r="Q25" s="248"/>
      <c r="R25" s="445"/>
      <c r="S25" s="445"/>
      <c r="T25" s="445"/>
      <c r="U25" s="445"/>
      <c r="V25" s="445"/>
      <c r="W25" s="445"/>
      <c r="X25" s="445"/>
      <c r="Y25" s="445"/>
      <c r="Z25" s="445"/>
      <c r="AA25" s="445"/>
      <c r="AB25" s="445"/>
      <c r="AC25" s="445"/>
      <c r="AD25" s="445"/>
      <c r="AE25" s="445"/>
      <c r="AF25" s="445"/>
      <c r="AG25" s="445"/>
      <c r="AH25" s="445"/>
      <c r="AI25" s="445"/>
      <c r="AJ25" s="445"/>
      <c r="AK25" s="445"/>
      <c r="AL25" s="445"/>
      <c r="AM25" s="412"/>
      <c r="AN25" s="412"/>
      <c r="AO25" s="412"/>
      <c r="AP25" s="412"/>
    </row>
    <row r="26" spans="2:42" x14ac:dyDescent="0.2">
      <c r="B26" s="446"/>
      <c r="C26" s="842"/>
      <c r="D26" s="842"/>
      <c r="E26" s="248"/>
      <c r="F26" s="846"/>
      <c r="G26" s="248"/>
      <c r="H26" s="248"/>
      <c r="I26" s="248"/>
      <c r="J26" s="248"/>
      <c r="K26" s="248"/>
      <c r="L26" s="248"/>
      <c r="M26" s="248"/>
      <c r="N26" s="248"/>
      <c r="O26" s="248"/>
      <c r="P26" s="847"/>
      <c r="Q26" s="248"/>
      <c r="R26" s="445"/>
      <c r="S26" s="445"/>
      <c r="T26" s="445"/>
      <c r="U26" s="445"/>
      <c r="V26" s="445"/>
      <c r="W26" s="445"/>
      <c r="X26" s="445"/>
      <c r="Y26" s="445"/>
      <c r="Z26" s="445"/>
      <c r="AA26" s="445"/>
      <c r="AB26" s="445"/>
      <c r="AC26" s="445"/>
      <c r="AD26" s="445"/>
      <c r="AE26" s="445"/>
      <c r="AF26" s="445"/>
      <c r="AG26" s="445"/>
      <c r="AH26" s="445"/>
      <c r="AI26" s="445"/>
      <c r="AJ26" s="445"/>
      <c r="AK26" s="445"/>
      <c r="AL26" s="445"/>
      <c r="AM26" s="412"/>
      <c r="AN26" s="412"/>
      <c r="AO26" s="412"/>
      <c r="AP26" s="412"/>
    </row>
    <row r="27" spans="2:42" ht="13.5" thickBot="1" x14ac:dyDescent="0.25">
      <c r="B27" s="446"/>
      <c r="C27" s="842"/>
      <c r="D27" s="842"/>
      <c r="E27" s="248"/>
      <c r="F27" s="846"/>
      <c r="G27" s="248"/>
      <c r="H27" s="248"/>
      <c r="I27" s="248"/>
      <c r="J27" s="248"/>
      <c r="K27" s="248"/>
      <c r="L27" s="248"/>
      <c r="M27" s="248"/>
      <c r="N27" s="248"/>
      <c r="O27" s="248"/>
      <c r="P27" s="847"/>
      <c r="Q27" s="248"/>
      <c r="R27" s="445"/>
      <c r="S27" s="445"/>
      <c r="T27" s="445"/>
      <c r="U27" s="445"/>
      <c r="V27" s="445"/>
      <c r="W27" s="445"/>
      <c r="X27" s="445"/>
      <c r="Y27" s="445"/>
      <c r="Z27" s="445"/>
      <c r="AA27" s="445"/>
      <c r="AB27" s="445"/>
      <c r="AC27" s="445"/>
      <c r="AD27" s="445"/>
      <c r="AE27" s="445"/>
      <c r="AF27" s="445"/>
      <c r="AG27" s="445"/>
      <c r="AH27" s="445"/>
      <c r="AI27" s="445"/>
      <c r="AJ27" s="445"/>
      <c r="AK27" s="445"/>
      <c r="AL27" s="445"/>
      <c r="AM27" s="412"/>
      <c r="AN27" s="412"/>
      <c r="AO27" s="412"/>
      <c r="AP27" s="412"/>
    </row>
    <row r="28" spans="2:42" ht="15" customHeight="1" x14ac:dyDescent="0.2">
      <c r="B28" s="412"/>
      <c r="C28" s="842"/>
      <c r="D28" s="842"/>
      <c r="E28" s="248"/>
      <c r="F28" s="1349" t="s">
        <v>209</v>
      </c>
      <c r="G28" s="1350"/>
      <c r="H28" s="1351"/>
      <c r="I28" s="849"/>
      <c r="J28" s="849"/>
      <c r="K28" s="849"/>
      <c r="L28" s="849"/>
      <c r="M28" s="849"/>
      <c r="N28" s="1349" t="s">
        <v>210</v>
      </c>
      <c r="O28" s="1350"/>
      <c r="P28" s="1351"/>
      <c r="Q28" s="864"/>
      <c r="R28" s="445"/>
      <c r="S28" s="445"/>
      <c r="T28" s="445"/>
      <c r="U28" s="445"/>
      <c r="V28" s="445"/>
      <c r="W28" s="445"/>
      <c r="X28" s="445"/>
      <c r="Y28" s="445"/>
      <c r="Z28" s="445"/>
      <c r="AA28" s="445"/>
      <c r="AB28" s="445"/>
      <c r="AC28" s="445"/>
      <c r="AD28" s="445"/>
      <c r="AE28" s="445"/>
      <c r="AF28" s="445"/>
      <c r="AG28" s="445"/>
      <c r="AH28" s="445"/>
      <c r="AI28" s="445"/>
      <c r="AJ28" s="445"/>
      <c r="AK28" s="445"/>
      <c r="AL28" s="445"/>
      <c r="AM28" s="412"/>
      <c r="AN28" s="412"/>
      <c r="AO28" s="412"/>
      <c r="AP28" s="412"/>
    </row>
    <row r="29" spans="2:42" ht="15" customHeight="1" thickBot="1" x14ac:dyDescent="0.25">
      <c r="B29" s="412"/>
      <c r="C29" s="842"/>
      <c r="D29" s="842"/>
      <c r="E29" s="248"/>
      <c r="F29" s="1352"/>
      <c r="G29" s="1353"/>
      <c r="H29" s="1354"/>
      <c r="I29" s="248"/>
      <c r="J29" s="248"/>
      <c r="K29" s="248"/>
      <c r="L29" s="248"/>
      <c r="M29" s="248"/>
      <c r="N29" s="1352"/>
      <c r="O29" s="1353"/>
      <c r="P29" s="1354"/>
      <c r="Q29" s="864"/>
      <c r="R29" s="445"/>
      <c r="S29" s="445"/>
      <c r="T29" s="445"/>
      <c r="U29" s="445"/>
      <c r="V29" s="445"/>
      <c r="W29" s="445"/>
      <c r="X29" s="445"/>
      <c r="Y29" s="445"/>
      <c r="Z29" s="445"/>
      <c r="AA29" s="445"/>
      <c r="AB29" s="445"/>
      <c r="AC29" s="445"/>
      <c r="AD29" s="445"/>
      <c r="AE29" s="445"/>
      <c r="AF29" s="445"/>
      <c r="AG29" s="445"/>
      <c r="AH29" s="445"/>
      <c r="AI29" s="445"/>
      <c r="AJ29" s="445"/>
      <c r="AK29" s="445"/>
      <c r="AL29" s="445"/>
      <c r="AM29" s="412"/>
      <c r="AN29" s="412"/>
      <c r="AO29" s="412"/>
      <c r="AP29" s="412"/>
    </row>
    <row r="30" spans="2:42" x14ac:dyDescent="0.2">
      <c r="B30" s="412"/>
      <c r="C30" s="298"/>
      <c r="D30" s="298"/>
      <c r="E30" s="298"/>
      <c r="F30" s="298"/>
      <c r="G30" s="298"/>
      <c r="H30" s="862"/>
      <c r="I30" s="862"/>
      <c r="J30" s="862"/>
      <c r="K30" s="862"/>
      <c r="L30" s="862"/>
      <c r="M30" s="862"/>
      <c r="N30" s="298"/>
      <c r="O30" s="298"/>
      <c r="P30" s="298"/>
      <c r="Q30" s="298"/>
      <c r="R30" s="299"/>
      <c r="S30" s="299"/>
      <c r="T30" s="299"/>
      <c r="U30" s="299"/>
      <c r="V30" s="299"/>
      <c r="W30" s="299"/>
      <c r="X30" s="299"/>
      <c r="Y30" s="299"/>
      <c r="Z30" s="299"/>
      <c r="AA30" s="299"/>
      <c r="AB30" s="299"/>
      <c r="AC30" s="299"/>
      <c r="AD30" s="299"/>
      <c r="AE30" s="299"/>
      <c r="AF30" s="299"/>
      <c r="AG30" s="299"/>
      <c r="AH30" s="299"/>
      <c r="AI30" s="299"/>
      <c r="AJ30" s="299"/>
      <c r="AK30" s="299"/>
      <c r="AL30" s="299"/>
      <c r="AM30" s="412"/>
      <c r="AN30" s="412"/>
      <c r="AO30" s="412"/>
      <c r="AP30" s="412"/>
    </row>
    <row r="31" spans="2:42" ht="18" x14ac:dyDescent="0.25">
      <c r="B31" s="412"/>
      <c r="C31" s="845"/>
      <c r="D31" s="845"/>
      <c r="E31" s="845"/>
      <c r="F31" s="845"/>
      <c r="G31" s="845"/>
      <c r="H31" s="865"/>
      <c r="I31" s="865"/>
      <c r="J31" s="865"/>
      <c r="K31" s="865"/>
      <c r="L31" s="865"/>
      <c r="M31" s="865"/>
      <c r="N31" s="845"/>
      <c r="O31" s="866"/>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412"/>
      <c r="AN31" s="412"/>
      <c r="AO31" s="412"/>
      <c r="AP31" s="412"/>
    </row>
    <row r="32" spans="2:42" x14ac:dyDescent="0.2">
      <c r="B32" s="412"/>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row>
    <row r="33" spans="2:42" x14ac:dyDescent="0.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row>
    <row r="34" spans="2:42" x14ac:dyDescent="0.2">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row>
    <row r="35" spans="2:42" x14ac:dyDescent="0.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row>
    <row r="36" spans="2:42" x14ac:dyDescent="0.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row>
    <row r="37" spans="2:42" x14ac:dyDescent="0.2">
      <c r="B37" s="412"/>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row>
    <row r="38" spans="2:42" x14ac:dyDescent="0.2">
      <c r="B38" s="412"/>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row>
    <row r="39" spans="2:42" x14ac:dyDescent="0.2">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row>
    <row r="40" spans="2:42" x14ac:dyDescent="0.2">
      <c r="B40" s="412"/>
      <c r="C40" s="412"/>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row>
    <row r="41" spans="2:42" x14ac:dyDescent="0.2">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row>
    <row r="42" spans="2:42" x14ac:dyDescent="0.2">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row>
    <row r="43" spans="2:42" x14ac:dyDescent="0.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row>
    <row r="44" spans="2:42" x14ac:dyDescent="0.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row>
    <row r="45" spans="2:42" x14ac:dyDescent="0.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row>
    <row r="46" spans="2:42" x14ac:dyDescent="0.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row>
    <row r="47" spans="2:42" x14ac:dyDescent="0.2">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row>
    <row r="48" spans="2:42" x14ac:dyDescent="0.2">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row>
    <row r="49" spans="2:42" x14ac:dyDescent="0.2">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row>
    <row r="50" spans="2:42" x14ac:dyDescent="0.2">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row>
    <row r="51" spans="2:42" x14ac:dyDescent="0.2">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row>
    <row r="52" spans="2:42" x14ac:dyDescent="0.2">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row>
    <row r="53" spans="2:42" x14ac:dyDescent="0.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row>
    <row r="54" spans="2:42" x14ac:dyDescent="0.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row>
    <row r="55" spans="2:42" x14ac:dyDescent="0.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row>
    <row r="56" spans="2:42" x14ac:dyDescent="0.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row>
    <row r="57" spans="2:42" x14ac:dyDescent="0.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row>
    <row r="58" spans="2:42" x14ac:dyDescent="0.2">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row>
    <row r="59" spans="2:42" x14ac:dyDescent="0.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row>
    <row r="60" spans="2:42" x14ac:dyDescent="0.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412"/>
    </row>
    <row r="61" spans="2:42" x14ac:dyDescent="0.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row>
    <row r="62" spans="2:42" x14ac:dyDescent="0.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2"/>
      <c r="AN62" s="412"/>
      <c r="AO62" s="412"/>
      <c r="AP62" s="412"/>
    </row>
    <row r="63" spans="2:42" x14ac:dyDescent="0.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row>
    <row r="64" spans="2:42" x14ac:dyDescent="0.2">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row>
    <row r="65" spans="2:42" x14ac:dyDescent="0.2">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row>
    <row r="66" spans="2:42" x14ac:dyDescent="0.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row>
    <row r="67" spans="2:42" x14ac:dyDescent="0.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row>
    <row r="68" spans="2:42" x14ac:dyDescent="0.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row>
    <row r="69" spans="2:42" x14ac:dyDescent="0.2">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c r="AO69" s="412"/>
      <c r="AP69" s="412"/>
    </row>
    <row r="70" spans="2:42" x14ac:dyDescent="0.2">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row>
    <row r="71" spans="2:42" x14ac:dyDescent="0.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row>
    <row r="72" spans="2:42" x14ac:dyDescent="0.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c r="AN72" s="412"/>
      <c r="AO72" s="412"/>
      <c r="AP72" s="412"/>
    </row>
    <row r="73" spans="2:42" x14ac:dyDescent="0.2">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row>
    <row r="74" spans="2:42" x14ac:dyDescent="0.2">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c r="AJ74" s="412"/>
      <c r="AK74" s="412"/>
      <c r="AL74" s="412"/>
      <c r="AM74" s="412"/>
      <c r="AN74" s="412"/>
      <c r="AO74" s="412"/>
      <c r="AP74" s="412"/>
    </row>
    <row r="75" spans="2:42" x14ac:dyDescent="0.2">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row>
    <row r="76" spans="2:42" x14ac:dyDescent="0.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row>
    <row r="77" spans="2:42" x14ac:dyDescent="0.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row>
    <row r="78" spans="2:42" x14ac:dyDescent="0.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row>
    <row r="79" spans="2:42" x14ac:dyDescent="0.2">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row>
    <row r="80" spans="2:42" x14ac:dyDescent="0.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row>
    <row r="81" spans="2:42" x14ac:dyDescent="0.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c r="AJ81" s="412"/>
      <c r="AK81" s="412"/>
      <c r="AL81" s="412"/>
      <c r="AM81" s="412"/>
      <c r="AN81" s="412"/>
      <c r="AO81" s="412"/>
      <c r="AP81" s="412"/>
    </row>
    <row r="82" spans="2:42" x14ac:dyDescent="0.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row>
    <row r="83" spans="2:42" x14ac:dyDescent="0.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row>
    <row r="84" spans="2:42" x14ac:dyDescent="0.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2"/>
      <c r="AN84" s="412"/>
      <c r="AO84" s="412"/>
      <c r="AP84" s="412"/>
    </row>
    <row r="85" spans="2:42" x14ac:dyDescent="0.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row>
    <row r="86" spans="2:42" x14ac:dyDescent="0.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412"/>
      <c r="AO86" s="412"/>
      <c r="AP86" s="412"/>
    </row>
    <row r="87" spans="2:42" x14ac:dyDescent="0.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412"/>
    </row>
    <row r="88" spans="2:42" x14ac:dyDescent="0.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c r="AJ88" s="412"/>
      <c r="AK88" s="412"/>
      <c r="AL88" s="412"/>
      <c r="AM88" s="412"/>
      <c r="AN88" s="412"/>
      <c r="AO88" s="412"/>
      <c r="AP88" s="412"/>
    </row>
    <row r="89" spans="2:42" x14ac:dyDescent="0.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412"/>
      <c r="AO89" s="412"/>
      <c r="AP89" s="412"/>
    </row>
    <row r="90" spans="2:42" x14ac:dyDescent="0.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2"/>
      <c r="AM90" s="412"/>
      <c r="AN90" s="412"/>
      <c r="AO90" s="412"/>
      <c r="AP90" s="412"/>
    </row>
    <row r="91" spans="2:42" x14ac:dyDescent="0.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row>
    <row r="92" spans="2:42" x14ac:dyDescent="0.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row>
    <row r="93" spans="2:42" x14ac:dyDescent="0.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row>
    <row r="94" spans="2:42" x14ac:dyDescent="0.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row>
    <row r="95" spans="2:42" x14ac:dyDescent="0.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row>
    <row r="96" spans="2:42" x14ac:dyDescent="0.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row>
    <row r="97" spans="2:42" x14ac:dyDescent="0.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row>
    <row r="98" spans="2:42" x14ac:dyDescent="0.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row>
    <row r="99" spans="2:42" x14ac:dyDescent="0.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row>
    <row r="100" spans="2:42" x14ac:dyDescent="0.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c r="AJ100" s="412"/>
      <c r="AK100" s="412"/>
      <c r="AL100" s="412"/>
      <c r="AM100" s="412"/>
      <c r="AN100" s="412"/>
      <c r="AO100" s="412"/>
      <c r="AP100" s="412"/>
    </row>
    <row r="101" spans="2:42" x14ac:dyDescent="0.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row>
    <row r="102" spans="2:42" x14ac:dyDescent="0.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c r="AJ102" s="412"/>
      <c r="AK102" s="412"/>
      <c r="AL102" s="412"/>
      <c r="AM102" s="412"/>
      <c r="AN102" s="412"/>
      <c r="AO102" s="412"/>
      <c r="AP102" s="412"/>
    </row>
    <row r="103" spans="2:42" x14ac:dyDescent="0.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row>
    <row r="104" spans="2:42" x14ac:dyDescent="0.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row>
    <row r="105" spans="2:42" x14ac:dyDescent="0.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row>
    <row r="106" spans="2:42" x14ac:dyDescent="0.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row>
    <row r="107" spans="2:42" x14ac:dyDescent="0.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row>
    <row r="108" spans="2:42" x14ac:dyDescent="0.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row>
    <row r="109" spans="2:42" x14ac:dyDescent="0.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row>
    <row r="110" spans="2:42" x14ac:dyDescent="0.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row>
    <row r="111" spans="2:42" x14ac:dyDescent="0.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c r="AJ111" s="412"/>
      <c r="AK111" s="412"/>
      <c r="AL111" s="412"/>
      <c r="AM111" s="412"/>
      <c r="AN111" s="412"/>
      <c r="AO111" s="412"/>
      <c r="AP111" s="412"/>
    </row>
    <row r="112" spans="2:42" x14ac:dyDescent="0.2">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c r="AJ112" s="412"/>
      <c r="AK112" s="412"/>
      <c r="AL112" s="412"/>
      <c r="AM112" s="412"/>
      <c r="AN112" s="412"/>
      <c r="AO112" s="412"/>
      <c r="AP112" s="412"/>
    </row>
    <row r="113" spans="2:42" x14ac:dyDescent="0.2">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c r="AJ113" s="412"/>
      <c r="AK113" s="412"/>
      <c r="AL113" s="412"/>
      <c r="AM113" s="412"/>
      <c r="AN113" s="412"/>
      <c r="AO113" s="412"/>
      <c r="AP113" s="412"/>
    </row>
    <row r="114" spans="2:42" x14ac:dyDescent="0.2">
      <c r="B114" s="412"/>
      <c r="C114" s="412"/>
      <c r="D114" s="412"/>
      <c r="E114" s="412"/>
      <c r="F114" s="412"/>
      <c r="G114" s="412"/>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c r="AJ114" s="412"/>
      <c r="AK114" s="412"/>
      <c r="AL114" s="412"/>
      <c r="AM114" s="412"/>
      <c r="AN114" s="412"/>
      <c r="AO114" s="412"/>
      <c r="AP114" s="412"/>
    </row>
    <row r="115" spans="2:42" x14ac:dyDescent="0.2">
      <c r="B115" s="412"/>
      <c r="C115" s="412"/>
      <c r="D115" s="412"/>
      <c r="E115" s="412"/>
      <c r="F115" s="412"/>
      <c r="G115" s="412"/>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c r="AJ115" s="412"/>
      <c r="AK115" s="412"/>
      <c r="AL115" s="412"/>
      <c r="AM115" s="412"/>
      <c r="AN115" s="412"/>
      <c r="AO115" s="412"/>
      <c r="AP115" s="412"/>
    </row>
    <row r="116" spans="2:42" x14ac:dyDescent="0.2">
      <c r="B116" s="412"/>
      <c r="C116" s="412"/>
      <c r="D116" s="412"/>
      <c r="E116" s="412"/>
      <c r="F116" s="412"/>
      <c r="G116" s="412"/>
      <c r="H116" s="412"/>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c r="AJ116" s="412"/>
      <c r="AK116" s="412"/>
      <c r="AL116" s="412"/>
      <c r="AM116" s="412"/>
      <c r="AN116" s="412"/>
      <c r="AO116" s="412"/>
      <c r="AP116" s="412"/>
    </row>
    <row r="117" spans="2:42" x14ac:dyDescent="0.2">
      <c r="B117" s="412"/>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c r="AJ117" s="412"/>
      <c r="AK117" s="412"/>
      <c r="AL117" s="412"/>
      <c r="AM117" s="412"/>
      <c r="AN117" s="412"/>
      <c r="AO117" s="412"/>
      <c r="AP117" s="412"/>
    </row>
    <row r="118" spans="2:42" x14ac:dyDescent="0.2">
      <c r="B118" s="412"/>
      <c r="C118" s="412"/>
      <c r="D118" s="412"/>
      <c r="E118" s="412"/>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row>
    <row r="119" spans="2:42" x14ac:dyDescent="0.2">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row>
    <row r="120" spans="2:42" x14ac:dyDescent="0.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2"/>
    </row>
    <row r="121" spans="2:42" x14ac:dyDescent="0.2">
      <c r="B121" s="412"/>
      <c r="C121" s="412"/>
      <c r="D121" s="412"/>
      <c r="E121" s="412"/>
      <c r="F121" s="412"/>
      <c r="G121" s="412"/>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2"/>
    </row>
    <row r="122" spans="2:42" x14ac:dyDescent="0.2">
      <c r="B122" s="412"/>
      <c r="C122" s="412"/>
      <c r="D122" s="412"/>
      <c r="E122" s="412"/>
      <c r="F122" s="412"/>
      <c r="G122" s="41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2"/>
    </row>
    <row r="123" spans="2:42" x14ac:dyDescent="0.2">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row>
    <row r="124" spans="2:42" x14ac:dyDescent="0.2">
      <c r="B124" s="412"/>
      <c r="C124" s="412"/>
      <c r="D124" s="412"/>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row>
    <row r="125" spans="2:42" x14ac:dyDescent="0.2">
      <c r="B125" s="412"/>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row>
    <row r="126" spans="2:42" x14ac:dyDescent="0.2">
      <c r="B126" s="412"/>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row>
    <row r="127" spans="2:42" x14ac:dyDescent="0.2">
      <c r="B127" s="412"/>
      <c r="C127" s="412"/>
      <c r="D127" s="412"/>
      <c r="E127" s="412"/>
      <c r="F127" s="412"/>
      <c r="G127" s="412"/>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row>
    <row r="128" spans="2:42" x14ac:dyDescent="0.2">
      <c r="B128" s="412"/>
      <c r="C128" s="412"/>
      <c r="D128" s="412"/>
      <c r="E128" s="412"/>
      <c r="F128" s="412"/>
      <c r="G128" s="412"/>
      <c r="H128" s="412"/>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2"/>
    </row>
    <row r="129" spans="2:42" x14ac:dyDescent="0.2">
      <c r="B129" s="412"/>
      <c r="C129" s="412"/>
      <c r="D129" s="412"/>
      <c r="E129" s="412"/>
      <c r="F129" s="412"/>
      <c r="G129" s="412"/>
      <c r="H129" s="412"/>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2"/>
    </row>
    <row r="130" spans="2:42" x14ac:dyDescent="0.2">
      <c r="B130" s="412"/>
      <c r="C130" s="412"/>
      <c r="D130" s="412"/>
      <c r="E130" s="412"/>
      <c r="F130" s="412"/>
      <c r="G130" s="412"/>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2"/>
    </row>
    <row r="131" spans="2:42" x14ac:dyDescent="0.2">
      <c r="B131" s="412"/>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2"/>
    </row>
    <row r="132" spans="2:42" x14ac:dyDescent="0.2">
      <c r="B132" s="412"/>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2"/>
    </row>
    <row r="133" spans="2:42" x14ac:dyDescent="0.2">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c r="AJ133" s="412"/>
      <c r="AK133" s="412"/>
      <c r="AL133" s="412"/>
      <c r="AM133" s="412"/>
      <c r="AN133" s="412"/>
      <c r="AO133" s="412"/>
      <c r="AP133" s="412"/>
    </row>
    <row r="134" spans="2:42" x14ac:dyDescent="0.2">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412"/>
      <c r="AO134" s="412"/>
      <c r="AP134" s="412"/>
    </row>
    <row r="135" spans="2:42" x14ac:dyDescent="0.2">
      <c r="B135" s="412"/>
      <c r="C135" s="412"/>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c r="AJ135" s="412"/>
      <c r="AK135" s="412"/>
      <c r="AL135" s="412"/>
      <c r="AM135" s="412"/>
      <c r="AN135" s="412"/>
      <c r="AO135" s="412"/>
      <c r="AP135" s="412"/>
    </row>
    <row r="136" spans="2:42" x14ac:dyDescent="0.2">
      <c r="B136" s="412"/>
      <c r="C136" s="412"/>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row>
    <row r="137" spans="2:42" x14ac:dyDescent="0.2">
      <c r="B137" s="412"/>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c r="AJ137" s="412"/>
      <c r="AK137" s="412"/>
      <c r="AL137" s="412"/>
      <c r="AM137" s="412"/>
      <c r="AN137" s="412"/>
      <c r="AO137" s="412"/>
      <c r="AP137" s="412"/>
    </row>
    <row r="138" spans="2:42" x14ac:dyDescent="0.2">
      <c r="B138" s="412"/>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c r="AJ138" s="412"/>
      <c r="AK138" s="412"/>
      <c r="AL138" s="412"/>
      <c r="AM138" s="412"/>
      <c r="AN138" s="412"/>
      <c r="AO138" s="412"/>
      <c r="AP138" s="412"/>
    </row>
    <row r="139" spans="2:42" x14ac:dyDescent="0.2">
      <c r="B139" s="412"/>
      <c r="C139" s="412"/>
      <c r="D139" s="412"/>
      <c r="E139" s="412"/>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row>
    <row r="140" spans="2:42" x14ac:dyDescent="0.2">
      <c r="B140" s="412"/>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row>
    <row r="141" spans="2:42" x14ac:dyDescent="0.2">
      <c r="B141" s="412"/>
      <c r="C141" s="412"/>
      <c r="D141" s="412"/>
      <c r="E141" s="412"/>
      <c r="F141" s="412"/>
      <c r="G141" s="412"/>
      <c r="H141" s="412"/>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c r="AJ141" s="412"/>
      <c r="AK141" s="412"/>
      <c r="AL141" s="412"/>
      <c r="AM141" s="412"/>
      <c r="AN141" s="412"/>
      <c r="AO141" s="412"/>
      <c r="AP141" s="412"/>
    </row>
    <row r="142" spans="2:42" x14ac:dyDescent="0.2">
      <c r="B142" s="412"/>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c r="AI142" s="412"/>
      <c r="AJ142" s="412"/>
      <c r="AK142" s="412"/>
      <c r="AL142" s="412"/>
      <c r="AM142" s="412"/>
      <c r="AN142" s="412"/>
      <c r="AO142" s="412"/>
      <c r="AP142" s="412"/>
    </row>
    <row r="143" spans="2:42" x14ac:dyDescent="0.2">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c r="AJ143" s="412"/>
      <c r="AK143" s="412"/>
      <c r="AL143" s="412"/>
      <c r="AM143" s="412"/>
      <c r="AN143" s="412"/>
      <c r="AO143" s="412"/>
      <c r="AP143" s="412"/>
    </row>
    <row r="144" spans="2:42" x14ac:dyDescent="0.2">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c r="AJ144" s="412"/>
      <c r="AK144" s="412"/>
      <c r="AL144" s="412"/>
      <c r="AM144" s="412"/>
      <c r="AN144" s="412"/>
      <c r="AO144" s="412"/>
      <c r="AP144" s="412"/>
    </row>
    <row r="145" spans="2:42" x14ac:dyDescent="0.2">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c r="AJ145" s="412"/>
      <c r="AK145" s="412"/>
      <c r="AL145" s="412"/>
      <c r="AM145" s="412"/>
      <c r="AN145" s="412"/>
      <c r="AO145" s="412"/>
      <c r="AP145" s="412"/>
    </row>
    <row r="146" spans="2:42" x14ac:dyDescent="0.2">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12"/>
      <c r="AO146" s="412"/>
      <c r="AP146" s="412"/>
    </row>
    <row r="147" spans="2:42" x14ac:dyDescent="0.2">
      <c r="AI147" s="412"/>
      <c r="AJ147" s="412"/>
      <c r="AK147" s="412"/>
      <c r="AL147" s="412"/>
      <c r="AM147" s="412"/>
      <c r="AN147" s="412"/>
      <c r="AO147" s="412"/>
      <c r="AP147" s="412"/>
    </row>
    <row r="148" spans="2:42" x14ac:dyDescent="0.2">
      <c r="AI148" s="412"/>
      <c r="AJ148" s="412"/>
      <c r="AK148" s="412"/>
      <c r="AL148" s="412"/>
      <c r="AM148" s="412"/>
      <c r="AN148" s="412"/>
      <c r="AO148" s="412"/>
      <c r="AP148" s="412"/>
    </row>
    <row r="149" spans="2:42" x14ac:dyDescent="0.2">
      <c r="AI149" s="412"/>
      <c r="AJ149" s="412"/>
      <c r="AK149" s="412"/>
      <c r="AL149" s="412"/>
      <c r="AM149" s="412"/>
      <c r="AN149" s="412"/>
      <c r="AO149" s="412"/>
      <c r="AP149" s="412"/>
    </row>
    <row r="150" spans="2:42" x14ac:dyDescent="0.2">
      <c r="AI150" s="412"/>
      <c r="AJ150" s="412"/>
      <c r="AK150" s="412"/>
      <c r="AL150" s="412"/>
      <c r="AM150" s="412"/>
      <c r="AN150" s="412"/>
      <c r="AO150" s="412"/>
      <c r="AP150" s="412"/>
    </row>
    <row r="151" spans="2:42" x14ac:dyDescent="0.2">
      <c r="AI151" s="412"/>
      <c r="AJ151" s="412"/>
      <c r="AK151" s="412"/>
      <c r="AL151" s="412"/>
      <c r="AM151" s="412"/>
      <c r="AN151" s="412"/>
      <c r="AO151" s="412"/>
      <c r="AP151" s="412"/>
    </row>
    <row r="152" spans="2:42" x14ac:dyDescent="0.2">
      <c r="AI152" s="412"/>
      <c r="AJ152" s="412"/>
      <c r="AK152" s="412"/>
      <c r="AL152" s="412"/>
      <c r="AM152" s="412"/>
      <c r="AN152" s="412"/>
      <c r="AO152" s="412"/>
      <c r="AP152" s="412"/>
    </row>
    <row r="153" spans="2:42" x14ac:dyDescent="0.2">
      <c r="AI153" s="412"/>
      <c r="AJ153" s="412"/>
      <c r="AK153" s="412"/>
      <c r="AL153" s="412"/>
      <c r="AM153" s="412"/>
      <c r="AN153" s="412"/>
      <c r="AO153" s="412"/>
      <c r="AP153" s="412"/>
    </row>
    <row r="154" spans="2:42" x14ac:dyDescent="0.2">
      <c r="AI154" s="412"/>
      <c r="AJ154" s="412"/>
      <c r="AK154" s="412"/>
      <c r="AL154" s="412"/>
      <c r="AM154" s="412"/>
      <c r="AN154" s="412"/>
      <c r="AO154" s="412"/>
      <c r="AP154" s="412"/>
    </row>
    <row r="155" spans="2:42" x14ac:dyDescent="0.2">
      <c r="AI155" s="412"/>
      <c r="AJ155" s="412"/>
      <c r="AK155" s="412"/>
      <c r="AL155" s="412"/>
      <c r="AM155" s="412"/>
      <c r="AN155" s="412"/>
      <c r="AO155" s="412"/>
      <c r="AP155" s="412"/>
    </row>
    <row r="156" spans="2:42" x14ac:dyDescent="0.2">
      <c r="AI156" s="412"/>
      <c r="AJ156" s="412"/>
      <c r="AK156" s="412"/>
      <c r="AL156" s="412"/>
      <c r="AM156" s="412"/>
      <c r="AN156" s="412"/>
      <c r="AO156" s="412"/>
      <c r="AP156" s="412"/>
    </row>
    <row r="157" spans="2:42" x14ac:dyDescent="0.2">
      <c r="AI157" s="412"/>
      <c r="AJ157" s="412"/>
      <c r="AK157" s="412"/>
      <c r="AL157" s="412"/>
      <c r="AM157" s="412"/>
      <c r="AN157" s="412"/>
      <c r="AO157" s="412"/>
      <c r="AP157" s="412"/>
    </row>
    <row r="158" spans="2:42" x14ac:dyDescent="0.2">
      <c r="AI158" s="412"/>
      <c r="AJ158" s="412"/>
      <c r="AK158" s="412"/>
      <c r="AL158" s="412"/>
      <c r="AM158" s="412"/>
      <c r="AN158" s="412"/>
      <c r="AO158" s="412"/>
      <c r="AP158" s="412"/>
    </row>
    <row r="159" spans="2:42" x14ac:dyDescent="0.2">
      <c r="AI159" s="412"/>
      <c r="AJ159" s="412"/>
      <c r="AK159" s="412"/>
      <c r="AL159" s="412"/>
      <c r="AM159" s="412"/>
      <c r="AN159" s="412"/>
      <c r="AO159" s="412"/>
      <c r="AP159" s="412"/>
    </row>
    <row r="160" spans="2:42" x14ac:dyDescent="0.2">
      <c r="AI160" s="412"/>
      <c r="AJ160" s="412"/>
      <c r="AK160" s="412"/>
      <c r="AL160" s="412"/>
      <c r="AM160" s="412"/>
      <c r="AN160" s="412"/>
      <c r="AO160" s="412"/>
      <c r="AP160" s="412"/>
    </row>
    <row r="161" spans="35:42" x14ac:dyDescent="0.2">
      <c r="AI161" s="412"/>
      <c r="AJ161" s="412"/>
      <c r="AK161" s="412"/>
      <c r="AL161" s="412"/>
      <c r="AM161" s="412"/>
      <c r="AN161" s="412"/>
      <c r="AO161" s="412"/>
      <c r="AP161" s="412"/>
    </row>
    <row r="162" spans="35:42" x14ac:dyDescent="0.2">
      <c r="AI162" s="412"/>
      <c r="AJ162" s="412"/>
      <c r="AK162" s="412"/>
      <c r="AL162" s="412"/>
      <c r="AM162" s="412"/>
      <c r="AN162" s="412"/>
      <c r="AO162" s="412"/>
      <c r="AP162" s="412"/>
    </row>
    <row r="163" spans="35:42" x14ac:dyDescent="0.2">
      <c r="AI163" s="412"/>
      <c r="AJ163" s="412"/>
      <c r="AK163" s="412"/>
      <c r="AL163" s="412"/>
      <c r="AM163" s="412"/>
      <c r="AN163" s="412"/>
      <c r="AO163" s="412"/>
      <c r="AP163" s="412"/>
    </row>
    <row r="164" spans="35:42" x14ac:dyDescent="0.2">
      <c r="AI164" s="412"/>
      <c r="AJ164" s="412"/>
      <c r="AK164" s="412"/>
      <c r="AL164" s="412"/>
      <c r="AM164" s="412"/>
      <c r="AN164" s="412"/>
      <c r="AO164" s="412"/>
      <c r="AP164" s="412"/>
    </row>
    <row r="165" spans="35:42" x14ac:dyDescent="0.2">
      <c r="AI165" s="412"/>
      <c r="AJ165" s="412"/>
      <c r="AK165" s="412"/>
      <c r="AL165" s="412"/>
      <c r="AM165" s="412"/>
      <c r="AN165" s="412"/>
      <c r="AO165" s="412"/>
      <c r="AP165" s="412"/>
    </row>
    <row r="166" spans="35:42" x14ac:dyDescent="0.2">
      <c r="AI166" s="412"/>
      <c r="AJ166" s="412"/>
      <c r="AK166" s="412"/>
      <c r="AL166" s="412"/>
      <c r="AM166" s="412"/>
      <c r="AN166" s="412"/>
      <c r="AO166" s="412"/>
      <c r="AP166" s="412"/>
    </row>
    <row r="167" spans="35:42" x14ac:dyDescent="0.2">
      <c r="AI167" s="412"/>
      <c r="AJ167" s="412"/>
      <c r="AK167" s="412"/>
      <c r="AL167" s="412"/>
      <c r="AM167" s="412"/>
      <c r="AN167" s="412"/>
      <c r="AO167" s="412"/>
      <c r="AP167" s="412"/>
    </row>
    <row r="168" spans="35:42" x14ac:dyDescent="0.2">
      <c r="AI168" s="412"/>
      <c r="AJ168" s="412"/>
      <c r="AK168" s="412"/>
      <c r="AL168" s="412"/>
      <c r="AM168" s="412"/>
      <c r="AN168" s="412"/>
      <c r="AO168" s="412"/>
      <c r="AP168" s="412"/>
    </row>
    <row r="169" spans="35:42" x14ac:dyDescent="0.2">
      <c r="AI169" s="412"/>
      <c r="AJ169" s="412"/>
      <c r="AK169" s="412"/>
      <c r="AL169" s="412"/>
      <c r="AM169" s="412"/>
      <c r="AN169" s="412"/>
      <c r="AO169" s="412"/>
      <c r="AP169" s="412"/>
    </row>
    <row r="170" spans="35:42" x14ac:dyDescent="0.2">
      <c r="AI170" s="412"/>
      <c r="AJ170" s="412"/>
      <c r="AK170" s="412"/>
      <c r="AL170" s="412"/>
      <c r="AM170" s="412"/>
      <c r="AN170" s="412"/>
      <c r="AO170" s="412"/>
      <c r="AP170" s="412"/>
    </row>
    <row r="171" spans="35:42" x14ac:dyDescent="0.2">
      <c r="AI171" s="412"/>
      <c r="AJ171" s="412"/>
      <c r="AK171" s="412"/>
      <c r="AL171" s="412"/>
      <c r="AM171" s="412"/>
      <c r="AN171" s="412"/>
      <c r="AO171" s="412"/>
      <c r="AP171" s="412"/>
    </row>
    <row r="172" spans="35:42" x14ac:dyDescent="0.2">
      <c r="AI172" s="412"/>
      <c r="AJ172" s="412"/>
      <c r="AK172" s="412"/>
      <c r="AL172" s="412"/>
      <c r="AM172" s="412"/>
      <c r="AN172" s="412"/>
      <c r="AO172" s="412"/>
      <c r="AP172" s="412"/>
    </row>
    <row r="173" spans="35:42" x14ac:dyDescent="0.2">
      <c r="AI173" s="412"/>
      <c r="AJ173" s="412"/>
      <c r="AK173" s="412"/>
      <c r="AL173" s="412"/>
      <c r="AM173" s="412"/>
      <c r="AN173" s="412"/>
      <c r="AO173" s="412"/>
      <c r="AP173" s="412"/>
    </row>
    <row r="174" spans="35:42" x14ac:dyDescent="0.2">
      <c r="AI174" s="412"/>
      <c r="AJ174" s="412"/>
      <c r="AK174" s="412"/>
      <c r="AL174" s="412"/>
      <c r="AM174" s="412"/>
      <c r="AN174" s="412"/>
      <c r="AO174" s="412"/>
      <c r="AP174" s="412"/>
    </row>
    <row r="175" spans="35:42" x14ac:dyDescent="0.2">
      <c r="AI175" s="412"/>
      <c r="AJ175" s="412"/>
      <c r="AK175" s="412"/>
      <c r="AL175" s="412"/>
      <c r="AM175" s="412"/>
      <c r="AN175" s="412"/>
      <c r="AO175" s="412"/>
      <c r="AP175" s="412"/>
    </row>
    <row r="176" spans="35:42" x14ac:dyDescent="0.2">
      <c r="AI176" s="412"/>
      <c r="AJ176" s="412"/>
      <c r="AK176" s="412"/>
      <c r="AL176" s="412"/>
      <c r="AM176" s="412"/>
      <c r="AN176" s="412"/>
      <c r="AO176" s="412"/>
      <c r="AP176" s="412"/>
    </row>
    <row r="177" spans="35:42" x14ac:dyDescent="0.2">
      <c r="AI177" s="412"/>
      <c r="AJ177" s="412"/>
      <c r="AK177" s="412"/>
      <c r="AL177" s="412"/>
      <c r="AM177" s="412"/>
      <c r="AN177" s="412"/>
      <c r="AO177" s="412"/>
      <c r="AP177" s="412"/>
    </row>
    <row r="178" spans="35:42" x14ac:dyDescent="0.2">
      <c r="AI178" s="412"/>
      <c r="AJ178" s="412"/>
      <c r="AK178" s="412"/>
      <c r="AL178" s="412"/>
      <c r="AM178" s="412"/>
      <c r="AN178" s="412"/>
      <c r="AO178" s="412"/>
      <c r="AP178" s="412"/>
    </row>
    <row r="179" spans="35:42" x14ac:dyDescent="0.2">
      <c r="AI179" s="412"/>
      <c r="AJ179" s="412"/>
      <c r="AK179" s="412"/>
      <c r="AL179" s="412"/>
      <c r="AM179" s="412"/>
      <c r="AN179" s="412"/>
      <c r="AO179" s="412"/>
      <c r="AP179" s="412"/>
    </row>
    <row r="180" spans="35:42" x14ac:dyDescent="0.2">
      <c r="AI180" s="412"/>
      <c r="AJ180" s="412"/>
      <c r="AK180" s="412"/>
      <c r="AL180" s="412"/>
      <c r="AM180" s="412"/>
      <c r="AN180" s="412"/>
      <c r="AO180" s="412"/>
      <c r="AP180" s="412"/>
    </row>
    <row r="181" spans="35:42" x14ac:dyDescent="0.2">
      <c r="AI181" s="412"/>
      <c r="AJ181" s="412"/>
      <c r="AK181" s="412"/>
      <c r="AL181" s="412"/>
      <c r="AM181" s="412"/>
      <c r="AN181" s="412"/>
      <c r="AO181" s="412"/>
      <c r="AP181" s="412"/>
    </row>
    <row r="182" spans="35:42" x14ac:dyDescent="0.2">
      <c r="AI182" s="412"/>
      <c r="AJ182" s="412"/>
      <c r="AK182" s="412"/>
      <c r="AL182" s="412"/>
      <c r="AM182" s="412"/>
      <c r="AN182" s="412"/>
      <c r="AO182" s="412"/>
      <c r="AP182" s="412"/>
    </row>
    <row r="183" spans="35:42" x14ac:dyDescent="0.2">
      <c r="AI183" s="412"/>
      <c r="AJ183" s="412"/>
      <c r="AK183" s="412"/>
      <c r="AL183" s="412"/>
      <c r="AM183" s="412"/>
      <c r="AN183" s="412"/>
      <c r="AO183" s="412"/>
      <c r="AP183" s="412"/>
    </row>
    <row r="184" spans="35:42" x14ac:dyDescent="0.2">
      <c r="AI184" s="412"/>
      <c r="AJ184" s="412"/>
      <c r="AK184" s="412"/>
      <c r="AL184" s="412"/>
      <c r="AM184" s="412"/>
      <c r="AN184" s="412"/>
      <c r="AO184" s="412"/>
      <c r="AP184" s="412"/>
    </row>
    <row r="185" spans="35:42" x14ac:dyDescent="0.2">
      <c r="AI185" s="412"/>
      <c r="AJ185" s="412"/>
      <c r="AK185" s="412"/>
      <c r="AL185" s="412"/>
      <c r="AM185" s="412"/>
      <c r="AN185" s="412"/>
      <c r="AO185" s="412"/>
      <c r="AP185" s="412"/>
    </row>
    <row r="186" spans="35:42" x14ac:dyDescent="0.2">
      <c r="AI186" s="412"/>
      <c r="AJ186" s="412"/>
      <c r="AK186" s="412"/>
      <c r="AL186" s="412"/>
      <c r="AM186" s="412"/>
      <c r="AN186" s="412"/>
      <c r="AO186" s="412"/>
      <c r="AP186" s="412"/>
    </row>
    <row r="187" spans="35:42" x14ac:dyDescent="0.2">
      <c r="AI187" s="412"/>
      <c r="AJ187" s="412"/>
      <c r="AK187" s="412"/>
      <c r="AL187" s="412"/>
      <c r="AM187" s="412"/>
      <c r="AN187" s="412"/>
      <c r="AO187" s="412"/>
      <c r="AP187" s="412"/>
    </row>
    <row r="188" spans="35:42" x14ac:dyDescent="0.2">
      <c r="AI188" s="412"/>
      <c r="AJ188" s="412"/>
      <c r="AK188" s="412"/>
      <c r="AL188" s="412"/>
      <c r="AM188" s="412"/>
      <c r="AN188" s="412"/>
      <c r="AO188" s="412"/>
      <c r="AP188" s="412"/>
    </row>
    <row r="189" spans="35:42" x14ac:dyDescent="0.2">
      <c r="AI189" s="412"/>
      <c r="AJ189" s="412"/>
      <c r="AK189" s="412"/>
      <c r="AL189" s="412"/>
      <c r="AM189" s="412"/>
      <c r="AN189" s="412"/>
      <c r="AO189" s="412"/>
      <c r="AP189" s="412"/>
    </row>
    <row r="190" spans="35:42" x14ac:dyDescent="0.2">
      <c r="AI190" s="412"/>
      <c r="AJ190" s="412"/>
      <c r="AK190" s="412"/>
      <c r="AL190" s="412"/>
      <c r="AM190" s="412"/>
      <c r="AN190" s="412"/>
      <c r="AO190" s="412"/>
      <c r="AP190" s="412"/>
    </row>
    <row r="191" spans="35:42" x14ac:dyDescent="0.2">
      <c r="AI191" s="412"/>
      <c r="AJ191" s="412"/>
      <c r="AK191" s="412"/>
      <c r="AL191" s="412"/>
      <c r="AM191" s="412"/>
      <c r="AN191" s="412"/>
      <c r="AO191" s="412"/>
      <c r="AP191" s="412"/>
    </row>
    <row r="192" spans="35:42" x14ac:dyDescent="0.2">
      <c r="AI192" s="412"/>
      <c r="AJ192" s="412"/>
      <c r="AK192" s="412"/>
      <c r="AL192" s="412"/>
      <c r="AM192" s="412"/>
      <c r="AN192" s="412"/>
      <c r="AO192" s="412"/>
      <c r="AP192" s="412"/>
    </row>
    <row r="193" spans="35:42" x14ac:dyDescent="0.2">
      <c r="AI193" s="412"/>
      <c r="AJ193" s="412"/>
      <c r="AK193" s="412"/>
      <c r="AL193" s="412"/>
      <c r="AM193" s="412"/>
      <c r="AN193" s="412"/>
      <c r="AO193" s="412"/>
      <c r="AP193" s="412"/>
    </row>
    <row r="194" spans="35:42" x14ac:dyDescent="0.2">
      <c r="AI194" s="412"/>
      <c r="AJ194" s="412"/>
      <c r="AK194" s="412"/>
      <c r="AL194" s="412"/>
      <c r="AM194" s="412"/>
      <c r="AN194" s="412"/>
      <c r="AO194" s="412"/>
      <c r="AP194" s="412"/>
    </row>
    <row r="195" spans="35:42" x14ac:dyDescent="0.2">
      <c r="AI195" s="412"/>
      <c r="AJ195" s="412"/>
      <c r="AK195" s="412"/>
      <c r="AL195" s="412"/>
      <c r="AM195" s="412"/>
      <c r="AN195" s="412"/>
      <c r="AO195" s="412"/>
      <c r="AP195" s="412"/>
    </row>
    <row r="196" spans="35:42" x14ac:dyDescent="0.2">
      <c r="AI196" s="412"/>
      <c r="AJ196" s="412"/>
      <c r="AK196" s="412"/>
      <c r="AL196" s="412"/>
      <c r="AM196" s="412"/>
      <c r="AN196" s="412"/>
      <c r="AO196" s="412"/>
      <c r="AP196" s="412"/>
    </row>
    <row r="197" spans="35:42" x14ac:dyDescent="0.2">
      <c r="AI197" s="412"/>
      <c r="AJ197" s="412"/>
      <c r="AK197" s="412"/>
      <c r="AL197" s="412"/>
      <c r="AM197" s="412"/>
      <c r="AN197" s="412"/>
      <c r="AO197" s="412"/>
      <c r="AP197" s="412"/>
    </row>
    <row r="198" spans="35:42" x14ac:dyDescent="0.2">
      <c r="AI198" s="412"/>
      <c r="AJ198" s="412"/>
      <c r="AK198" s="412"/>
      <c r="AL198" s="412"/>
      <c r="AM198" s="412"/>
      <c r="AN198" s="412"/>
      <c r="AO198" s="412"/>
      <c r="AP198" s="412"/>
    </row>
    <row r="199" spans="35:42" x14ac:dyDescent="0.2">
      <c r="AI199" s="412"/>
      <c r="AJ199" s="412"/>
      <c r="AK199" s="412"/>
      <c r="AL199" s="412"/>
      <c r="AM199" s="412"/>
      <c r="AN199" s="412"/>
      <c r="AO199" s="412"/>
      <c r="AP199" s="412"/>
    </row>
    <row r="200" spans="35:42" x14ac:dyDescent="0.2">
      <c r="AI200" s="412"/>
      <c r="AJ200" s="412"/>
      <c r="AK200" s="412"/>
      <c r="AL200" s="412"/>
      <c r="AM200" s="412"/>
      <c r="AN200" s="412"/>
      <c r="AO200" s="412"/>
      <c r="AP200" s="412"/>
    </row>
    <row r="201" spans="35:42" x14ac:dyDescent="0.2">
      <c r="AI201" s="412"/>
      <c r="AJ201" s="412"/>
      <c r="AK201" s="412"/>
      <c r="AL201" s="412"/>
      <c r="AM201" s="412"/>
      <c r="AN201" s="412"/>
      <c r="AO201" s="412"/>
      <c r="AP201" s="412"/>
    </row>
    <row r="202" spans="35:42" x14ac:dyDescent="0.2">
      <c r="AI202" s="412"/>
      <c r="AJ202" s="412"/>
      <c r="AK202" s="412"/>
      <c r="AL202" s="412"/>
      <c r="AM202" s="412"/>
      <c r="AN202" s="412"/>
      <c r="AO202" s="412"/>
      <c r="AP202" s="412"/>
    </row>
    <row r="203" spans="35:42" x14ac:dyDescent="0.2">
      <c r="AI203" s="412"/>
      <c r="AJ203" s="412"/>
      <c r="AK203" s="412"/>
      <c r="AL203" s="412"/>
      <c r="AM203" s="412"/>
      <c r="AN203" s="412"/>
      <c r="AO203" s="412"/>
      <c r="AP203" s="412"/>
    </row>
    <row r="204" spans="35:42" x14ac:dyDescent="0.2">
      <c r="AI204" s="412"/>
      <c r="AJ204" s="412"/>
      <c r="AK204" s="412"/>
      <c r="AL204" s="412"/>
      <c r="AM204" s="412"/>
      <c r="AN204" s="412"/>
      <c r="AO204" s="412"/>
      <c r="AP204" s="412"/>
    </row>
    <row r="205" spans="35:42" x14ac:dyDescent="0.2">
      <c r="AI205" s="412"/>
      <c r="AJ205" s="412"/>
      <c r="AK205" s="412"/>
      <c r="AL205" s="412"/>
      <c r="AM205" s="412"/>
      <c r="AN205" s="412"/>
      <c r="AO205" s="412"/>
      <c r="AP205" s="412"/>
    </row>
    <row r="206" spans="35:42" x14ac:dyDescent="0.2">
      <c r="AI206" s="412"/>
      <c r="AJ206" s="412"/>
      <c r="AK206" s="412"/>
      <c r="AL206" s="412"/>
      <c r="AM206" s="412"/>
      <c r="AN206" s="412"/>
      <c r="AO206" s="412"/>
      <c r="AP206" s="412"/>
    </row>
    <row r="207" spans="35:42" x14ac:dyDescent="0.2">
      <c r="AI207" s="412"/>
      <c r="AJ207" s="412"/>
      <c r="AK207" s="412"/>
      <c r="AL207" s="412"/>
      <c r="AM207" s="412"/>
      <c r="AN207" s="412"/>
      <c r="AO207" s="412"/>
      <c r="AP207" s="412"/>
    </row>
    <row r="208" spans="35:42" x14ac:dyDescent="0.2">
      <c r="AI208" s="412"/>
      <c r="AJ208" s="412"/>
      <c r="AK208" s="412"/>
      <c r="AL208" s="412"/>
      <c r="AM208" s="412"/>
      <c r="AN208" s="412"/>
      <c r="AO208" s="412"/>
      <c r="AP208" s="412"/>
    </row>
    <row r="209" spans="35:42" x14ac:dyDescent="0.2">
      <c r="AI209" s="412"/>
      <c r="AJ209" s="412"/>
      <c r="AK209" s="412"/>
      <c r="AL209" s="412"/>
      <c r="AM209" s="412"/>
      <c r="AN209" s="412"/>
      <c r="AO209" s="412"/>
      <c r="AP209" s="412"/>
    </row>
    <row r="210" spans="35:42" x14ac:dyDescent="0.2">
      <c r="AI210" s="412"/>
      <c r="AJ210" s="412"/>
      <c r="AK210" s="412"/>
      <c r="AL210" s="412"/>
      <c r="AM210" s="412"/>
      <c r="AN210" s="412"/>
      <c r="AO210" s="412"/>
      <c r="AP210" s="412"/>
    </row>
    <row r="211" spans="35:42" x14ac:dyDescent="0.2">
      <c r="AI211" s="412"/>
      <c r="AJ211" s="412"/>
      <c r="AK211" s="412"/>
      <c r="AL211" s="412"/>
      <c r="AM211" s="412"/>
      <c r="AN211" s="412"/>
      <c r="AO211" s="412"/>
      <c r="AP211" s="412"/>
    </row>
    <row r="212" spans="35:42" x14ac:dyDescent="0.2">
      <c r="AI212" s="412"/>
      <c r="AJ212" s="412"/>
      <c r="AK212" s="412"/>
      <c r="AL212" s="412"/>
      <c r="AM212" s="412"/>
      <c r="AN212" s="412"/>
      <c r="AO212" s="412"/>
      <c r="AP212" s="412"/>
    </row>
    <row r="213" spans="35:42" x14ac:dyDescent="0.2">
      <c r="AI213" s="412"/>
      <c r="AJ213" s="412"/>
      <c r="AK213" s="412"/>
      <c r="AL213" s="412"/>
      <c r="AM213" s="412"/>
      <c r="AN213" s="412"/>
      <c r="AO213" s="412"/>
      <c r="AP213" s="412"/>
    </row>
    <row r="214" spans="35:42" x14ac:dyDescent="0.2">
      <c r="AI214" s="412"/>
      <c r="AJ214" s="412"/>
      <c r="AK214" s="412"/>
      <c r="AL214" s="412"/>
      <c r="AM214" s="412"/>
      <c r="AN214" s="412"/>
      <c r="AO214" s="412"/>
      <c r="AP214" s="412"/>
    </row>
    <row r="215" spans="35:42" x14ac:dyDescent="0.2">
      <c r="AI215" s="412"/>
      <c r="AJ215" s="412"/>
      <c r="AK215" s="412"/>
      <c r="AL215" s="412"/>
      <c r="AM215" s="412"/>
      <c r="AN215" s="412"/>
      <c r="AO215" s="412"/>
      <c r="AP215" s="412"/>
    </row>
    <row r="216" spans="35:42" x14ac:dyDescent="0.2">
      <c r="AI216" s="412"/>
      <c r="AJ216" s="412"/>
      <c r="AK216" s="412"/>
      <c r="AL216" s="412"/>
      <c r="AM216" s="412"/>
      <c r="AN216" s="412"/>
      <c r="AO216" s="412"/>
      <c r="AP216" s="412"/>
    </row>
    <row r="217" spans="35:42" x14ac:dyDescent="0.2">
      <c r="AI217" s="412"/>
      <c r="AJ217" s="412"/>
      <c r="AK217" s="412"/>
      <c r="AL217" s="412"/>
      <c r="AM217" s="412"/>
      <c r="AN217" s="412"/>
      <c r="AO217" s="412"/>
      <c r="AP217" s="412"/>
    </row>
    <row r="218" spans="35:42" x14ac:dyDescent="0.2">
      <c r="AI218" s="412"/>
      <c r="AJ218" s="412"/>
      <c r="AK218" s="412"/>
      <c r="AL218" s="412"/>
      <c r="AM218" s="412"/>
      <c r="AN218" s="412"/>
      <c r="AO218" s="412"/>
      <c r="AP218" s="412"/>
    </row>
    <row r="219" spans="35:42" x14ac:dyDescent="0.2">
      <c r="AI219" s="412"/>
      <c r="AJ219" s="412"/>
      <c r="AK219" s="412"/>
      <c r="AL219" s="412"/>
      <c r="AM219" s="412"/>
      <c r="AN219" s="412"/>
      <c r="AO219" s="412"/>
      <c r="AP219" s="412"/>
    </row>
    <row r="220" spans="35:42" x14ac:dyDescent="0.2">
      <c r="AI220" s="412"/>
      <c r="AJ220" s="412"/>
      <c r="AK220" s="412"/>
      <c r="AL220" s="412"/>
      <c r="AM220" s="412"/>
      <c r="AN220" s="412"/>
      <c r="AO220" s="412"/>
      <c r="AP220" s="412"/>
    </row>
    <row r="221" spans="35:42" x14ac:dyDescent="0.2">
      <c r="AI221" s="412"/>
      <c r="AJ221" s="412"/>
      <c r="AK221" s="412"/>
      <c r="AL221" s="412"/>
      <c r="AM221" s="412"/>
      <c r="AN221" s="412"/>
      <c r="AO221" s="412"/>
      <c r="AP221" s="412"/>
    </row>
    <row r="222" spans="35:42" x14ac:dyDescent="0.2">
      <c r="AI222" s="412"/>
      <c r="AJ222" s="412"/>
      <c r="AK222" s="412"/>
      <c r="AL222" s="412"/>
      <c r="AM222" s="412"/>
      <c r="AN222" s="412"/>
      <c r="AO222" s="412"/>
      <c r="AP222" s="412"/>
    </row>
    <row r="223" spans="35:42" x14ac:dyDescent="0.2">
      <c r="AI223" s="412"/>
      <c r="AJ223" s="412"/>
      <c r="AK223" s="412"/>
      <c r="AL223" s="412"/>
      <c r="AM223" s="412"/>
      <c r="AN223" s="412"/>
      <c r="AO223" s="412"/>
      <c r="AP223" s="412"/>
    </row>
    <row r="224" spans="35:42" x14ac:dyDescent="0.2">
      <c r="AI224" s="412"/>
      <c r="AJ224" s="412"/>
      <c r="AK224" s="412"/>
      <c r="AL224" s="412"/>
      <c r="AM224" s="412"/>
      <c r="AN224" s="412"/>
      <c r="AO224" s="412"/>
      <c r="AP224" s="412"/>
    </row>
    <row r="225" spans="35:42" x14ac:dyDescent="0.2">
      <c r="AI225" s="412"/>
      <c r="AJ225" s="412"/>
      <c r="AK225" s="412"/>
      <c r="AL225" s="412"/>
      <c r="AM225" s="412"/>
      <c r="AN225" s="412"/>
      <c r="AO225" s="412"/>
      <c r="AP225" s="412"/>
    </row>
    <row r="226" spans="35:42" x14ac:dyDescent="0.2">
      <c r="AI226" s="412"/>
      <c r="AJ226" s="412"/>
      <c r="AK226" s="412"/>
      <c r="AL226" s="412"/>
      <c r="AM226" s="412"/>
      <c r="AN226" s="412"/>
      <c r="AO226" s="412"/>
      <c r="AP226" s="412"/>
    </row>
    <row r="227" spans="35:42" x14ac:dyDescent="0.2">
      <c r="AI227" s="412"/>
      <c r="AJ227" s="412"/>
      <c r="AK227" s="412"/>
      <c r="AL227" s="412"/>
      <c r="AM227" s="412"/>
      <c r="AN227" s="412"/>
      <c r="AO227" s="412"/>
      <c r="AP227" s="412"/>
    </row>
    <row r="228" spans="35:42" x14ac:dyDescent="0.2">
      <c r="AI228" s="412"/>
      <c r="AJ228" s="412"/>
      <c r="AK228" s="412"/>
      <c r="AL228" s="412"/>
      <c r="AM228" s="412"/>
      <c r="AN228" s="412"/>
      <c r="AO228" s="412"/>
      <c r="AP228" s="412"/>
    </row>
    <row r="229" spans="35:42" x14ac:dyDescent="0.2">
      <c r="AI229" s="412"/>
      <c r="AJ229" s="412"/>
      <c r="AK229" s="412"/>
      <c r="AL229" s="412"/>
      <c r="AM229" s="412"/>
      <c r="AN229" s="412"/>
      <c r="AO229" s="412"/>
      <c r="AP229" s="412"/>
    </row>
    <row r="230" spans="35:42" x14ac:dyDescent="0.2">
      <c r="AI230" s="412"/>
      <c r="AJ230" s="412"/>
      <c r="AK230" s="412"/>
      <c r="AL230" s="412"/>
      <c r="AM230" s="412"/>
      <c r="AN230" s="412"/>
      <c r="AO230" s="412"/>
      <c r="AP230" s="412"/>
    </row>
    <row r="231" spans="35:42" x14ac:dyDescent="0.2">
      <c r="AI231" s="412"/>
      <c r="AJ231" s="412"/>
      <c r="AK231" s="412"/>
      <c r="AL231" s="412"/>
      <c r="AM231" s="412"/>
      <c r="AN231" s="412"/>
      <c r="AO231" s="412"/>
      <c r="AP231" s="412"/>
    </row>
    <row r="232" spans="35:42" x14ac:dyDescent="0.2">
      <c r="AI232" s="412"/>
      <c r="AJ232" s="412"/>
      <c r="AK232" s="412"/>
      <c r="AL232" s="412"/>
      <c r="AM232" s="412"/>
      <c r="AN232" s="412"/>
      <c r="AO232" s="412"/>
      <c r="AP232" s="412"/>
    </row>
    <row r="233" spans="35:42" x14ac:dyDescent="0.2">
      <c r="AI233" s="412"/>
      <c r="AJ233" s="412"/>
      <c r="AK233" s="412"/>
      <c r="AL233" s="412"/>
      <c r="AM233" s="412"/>
      <c r="AN233" s="412"/>
      <c r="AO233" s="412"/>
      <c r="AP233" s="412"/>
    </row>
    <row r="234" spans="35:42" x14ac:dyDescent="0.2">
      <c r="AI234" s="412"/>
      <c r="AJ234" s="412"/>
      <c r="AK234" s="412"/>
      <c r="AL234" s="412"/>
      <c r="AM234" s="412"/>
      <c r="AN234" s="412"/>
      <c r="AO234" s="412"/>
      <c r="AP234" s="412"/>
    </row>
    <row r="235" spans="35:42" x14ac:dyDescent="0.2">
      <c r="AI235" s="412"/>
      <c r="AJ235" s="412"/>
      <c r="AK235" s="412"/>
      <c r="AL235" s="412"/>
      <c r="AM235" s="412"/>
      <c r="AN235" s="412"/>
      <c r="AO235" s="412"/>
      <c r="AP235" s="412"/>
    </row>
    <row r="236" spans="35:42" x14ac:dyDescent="0.2">
      <c r="AI236" s="412"/>
      <c r="AJ236" s="412"/>
      <c r="AK236" s="412"/>
      <c r="AL236" s="412"/>
      <c r="AM236" s="412"/>
      <c r="AN236" s="412"/>
      <c r="AO236" s="412"/>
      <c r="AP236" s="412"/>
    </row>
    <row r="237" spans="35:42" x14ac:dyDescent="0.2">
      <c r="AI237" s="412"/>
      <c r="AJ237" s="412"/>
      <c r="AK237" s="412"/>
      <c r="AL237" s="412"/>
      <c r="AM237" s="412"/>
      <c r="AN237" s="412"/>
      <c r="AO237" s="412"/>
      <c r="AP237" s="412"/>
    </row>
    <row r="238" spans="35:42" x14ac:dyDescent="0.2">
      <c r="AI238" s="412"/>
      <c r="AJ238" s="412"/>
      <c r="AK238" s="412"/>
      <c r="AL238" s="412"/>
      <c r="AM238" s="412"/>
      <c r="AN238" s="412"/>
      <c r="AO238" s="412"/>
      <c r="AP238" s="412"/>
    </row>
    <row r="239" spans="35:42" x14ac:dyDescent="0.2">
      <c r="AI239" s="412"/>
      <c r="AJ239" s="412"/>
      <c r="AK239" s="412"/>
      <c r="AL239" s="412"/>
      <c r="AM239" s="412"/>
      <c r="AN239" s="412"/>
      <c r="AO239" s="412"/>
      <c r="AP239" s="412"/>
    </row>
    <row r="240" spans="35:42" x14ac:dyDescent="0.2">
      <c r="AI240" s="412"/>
      <c r="AJ240" s="412"/>
      <c r="AK240" s="412"/>
      <c r="AL240" s="412"/>
      <c r="AM240" s="412"/>
      <c r="AN240" s="412"/>
      <c r="AO240" s="412"/>
      <c r="AP240" s="412"/>
    </row>
    <row r="241" spans="35:42" x14ac:dyDescent="0.2">
      <c r="AI241" s="412"/>
      <c r="AJ241" s="412"/>
      <c r="AK241" s="412"/>
      <c r="AL241" s="412"/>
      <c r="AM241" s="412"/>
      <c r="AN241" s="412"/>
      <c r="AO241" s="412"/>
      <c r="AP241" s="412"/>
    </row>
    <row r="242" spans="35:42" x14ac:dyDescent="0.2">
      <c r="AI242" s="412"/>
      <c r="AJ242" s="412"/>
      <c r="AK242" s="412"/>
      <c r="AL242" s="412"/>
      <c r="AM242" s="412"/>
      <c r="AN242" s="412"/>
      <c r="AO242" s="412"/>
      <c r="AP242" s="412"/>
    </row>
    <row r="243" spans="35:42" x14ac:dyDescent="0.2">
      <c r="AI243" s="412"/>
      <c r="AJ243" s="412"/>
      <c r="AK243" s="412"/>
      <c r="AL243" s="412"/>
      <c r="AM243" s="412"/>
      <c r="AN243" s="412"/>
      <c r="AO243" s="412"/>
      <c r="AP243" s="412"/>
    </row>
    <row r="244" spans="35:42" x14ac:dyDescent="0.2">
      <c r="AI244" s="412"/>
      <c r="AJ244" s="412"/>
      <c r="AK244" s="412"/>
      <c r="AL244" s="412"/>
      <c r="AM244" s="412"/>
      <c r="AN244" s="412"/>
      <c r="AO244" s="412"/>
      <c r="AP244" s="412"/>
    </row>
    <row r="245" spans="35:42" x14ac:dyDescent="0.2">
      <c r="AI245" s="412"/>
      <c r="AJ245" s="412"/>
      <c r="AK245" s="412"/>
      <c r="AL245" s="412"/>
      <c r="AM245" s="412"/>
      <c r="AN245" s="412"/>
      <c r="AO245" s="412"/>
      <c r="AP245" s="412"/>
    </row>
    <row r="259" s="15" customFormat="1" x14ac:dyDescent="0.2"/>
    <row r="260" s="15" customFormat="1" x14ac:dyDescent="0.2"/>
    <row r="261" s="15" customFormat="1" x14ac:dyDescent="0.2"/>
    <row r="262" s="15" customFormat="1" x14ac:dyDescent="0.2"/>
    <row r="263" s="15" customFormat="1" x14ac:dyDescent="0.2"/>
    <row r="264" s="15" customFormat="1" x14ac:dyDescent="0.2"/>
    <row r="265" s="15" customFormat="1" x14ac:dyDescent="0.2"/>
    <row r="266" s="15" customFormat="1" x14ac:dyDescent="0.2"/>
    <row r="267" s="15" customFormat="1" x14ac:dyDescent="0.2"/>
    <row r="268" s="15" customFormat="1" x14ac:dyDescent="0.2"/>
    <row r="269" s="15" customFormat="1" x14ac:dyDescent="0.2"/>
    <row r="270" s="15" customFormat="1" x14ac:dyDescent="0.2"/>
    <row r="271" s="15" customFormat="1" x14ac:dyDescent="0.2"/>
    <row r="272" s="15" customFormat="1" x14ac:dyDescent="0.2"/>
    <row r="273" s="15" customFormat="1" x14ac:dyDescent="0.2"/>
    <row r="274" s="15" customFormat="1" x14ac:dyDescent="0.2"/>
    <row r="275" s="15" customFormat="1" x14ac:dyDescent="0.2"/>
    <row r="276" s="15" customFormat="1" x14ac:dyDescent="0.2"/>
    <row r="277" s="15" customFormat="1" x14ac:dyDescent="0.2"/>
    <row r="278" s="15" customFormat="1" x14ac:dyDescent="0.2"/>
    <row r="279" s="15" customFormat="1" x14ac:dyDescent="0.2"/>
    <row r="280" s="15" customFormat="1" x14ac:dyDescent="0.2"/>
    <row r="281" s="15" customFormat="1" x14ac:dyDescent="0.2"/>
    <row r="282" s="15" customFormat="1" x14ac:dyDescent="0.2"/>
    <row r="283" s="15" customFormat="1" x14ac:dyDescent="0.2"/>
    <row r="284" s="15" customFormat="1" x14ac:dyDescent="0.2"/>
    <row r="285" s="15" customFormat="1" x14ac:dyDescent="0.2"/>
    <row r="286" s="15" customFormat="1" x14ac:dyDescent="0.2"/>
    <row r="287" s="15" customFormat="1" x14ac:dyDescent="0.2"/>
    <row r="288" s="15" customFormat="1" x14ac:dyDescent="0.2"/>
    <row r="289" s="15" customFormat="1" x14ac:dyDescent="0.2"/>
    <row r="290" s="15" customFormat="1" x14ac:dyDescent="0.2"/>
    <row r="291" s="15" customFormat="1" x14ac:dyDescent="0.2"/>
    <row r="292" s="15" customFormat="1" x14ac:dyDescent="0.2"/>
    <row r="293" s="15" customFormat="1" x14ac:dyDescent="0.2"/>
    <row r="294" s="15" customFormat="1" x14ac:dyDescent="0.2"/>
    <row r="295" s="15" customFormat="1" x14ac:dyDescent="0.2"/>
    <row r="296" s="15" customFormat="1" x14ac:dyDescent="0.2"/>
    <row r="297" s="15" customFormat="1" x14ac:dyDescent="0.2"/>
    <row r="298" s="15" customFormat="1" x14ac:dyDescent="0.2"/>
    <row r="299" s="15" customFormat="1" x14ac:dyDescent="0.2"/>
    <row r="300" s="15" customFormat="1" x14ac:dyDescent="0.2"/>
    <row r="301" s="15" customFormat="1" x14ac:dyDescent="0.2"/>
    <row r="302" s="15" customFormat="1" x14ac:dyDescent="0.2"/>
    <row r="303" s="15" customFormat="1" x14ac:dyDescent="0.2"/>
    <row r="304" s="15" customFormat="1" x14ac:dyDescent="0.2"/>
    <row r="305" s="15" customFormat="1" x14ac:dyDescent="0.2"/>
    <row r="306" s="15" customFormat="1" x14ac:dyDescent="0.2"/>
    <row r="307" s="15" customFormat="1" x14ac:dyDescent="0.2"/>
    <row r="308" s="15" customFormat="1" x14ac:dyDescent="0.2"/>
    <row r="309" s="15" customFormat="1" x14ac:dyDescent="0.2"/>
    <row r="310" s="15" customFormat="1" x14ac:dyDescent="0.2"/>
    <row r="311" s="15" customFormat="1" x14ac:dyDescent="0.2"/>
    <row r="312" s="15" customFormat="1" x14ac:dyDescent="0.2"/>
    <row r="313" s="15" customFormat="1" x14ac:dyDescent="0.2"/>
    <row r="314" s="15" customFormat="1" x14ac:dyDescent="0.2"/>
    <row r="315" s="15" customFormat="1" x14ac:dyDescent="0.2"/>
    <row r="316" s="15" customFormat="1" x14ac:dyDescent="0.2"/>
    <row r="317" s="15" customFormat="1" x14ac:dyDescent="0.2"/>
    <row r="318" s="15" customFormat="1" x14ac:dyDescent="0.2"/>
    <row r="319" s="15" customFormat="1" x14ac:dyDescent="0.2"/>
    <row r="320" s="15" customFormat="1" x14ac:dyDescent="0.2"/>
    <row r="321" s="15" customFormat="1" x14ac:dyDescent="0.2"/>
    <row r="322" s="15" customFormat="1" x14ac:dyDescent="0.2"/>
    <row r="323" s="15" customFormat="1" x14ac:dyDescent="0.2"/>
    <row r="324" s="15" customFormat="1" x14ac:dyDescent="0.2"/>
    <row r="325" s="15" customFormat="1" x14ac:dyDescent="0.2"/>
    <row r="326" s="15" customFormat="1" x14ac:dyDescent="0.2"/>
    <row r="327" s="15" customFormat="1" x14ac:dyDescent="0.2"/>
    <row r="328" s="15" customFormat="1" x14ac:dyDescent="0.2"/>
    <row r="329" s="15" customFormat="1" x14ac:dyDescent="0.2"/>
    <row r="330" s="15" customFormat="1" x14ac:dyDescent="0.2"/>
    <row r="331" s="15" customFormat="1" x14ac:dyDescent="0.2"/>
    <row r="332" s="15" customFormat="1" x14ac:dyDescent="0.2"/>
    <row r="333" s="15" customFormat="1" x14ac:dyDescent="0.2"/>
    <row r="334" s="15" customFormat="1" x14ac:dyDescent="0.2"/>
    <row r="335" s="15" customFormat="1" x14ac:dyDescent="0.2"/>
    <row r="336" s="15" customFormat="1" x14ac:dyDescent="0.2"/>
    <row r="337" s="15" customFormat="1" x14ac:dyDescent="0.2"/>
    <row r="338" s="15" customFormat="1" x14ac:dyDescent="0.2"/>
    <row r="339" s="15" customFormat="1" x14ac:dyDescent="0.2"/>
    <row r="340" s="15" customFormat="1" x14ac:dyDescent="0.2"/>
    <row r="341" s="15" customFormat="1" x14ac:dyDescent="0.2"/>
    <row r="342" s="15" customFormat="1" x14ac:dyDescent="0.2"/>
    <row r="343" s="15" customFormat="1" x14ac:dyDescent="0.2"/>
    <row r="344" s="15" customFormat="1" x14ac:dyDescent="0.2"/>
    <row r="345" s="15" customFormat="1" x14ac:dyDescent="0.2"/>
    <row r="346" s="15" customFormat="1" x14ac:dyDescent="0.2"/>
    <row r="347" s="15" customFormat="1" x14ac:dyDescent="0.2"/>
    <row r="348" s="15" customFormat="1" x14ac:dyDescent="0.2"/>
    <row r="349" s="15" customFormat="1" x14ac:dyDescent="0.2"/>
    <row r="350" s="15" customFormat="1" x14ac:dyDescent="0.2"/>
    <row r="351" s="15" customFormat="1" x14ac:dyDescent="0.2"/>
    <row r="352" s="15" customFormat="1" x14ac:dyDescent="0.2"/>
    <row r="353" s="15" customFormat="1" x14ac:dyDescent="0.2"/>
    <row r="354" s="15" customFormat="1" x14ac:dyDescent="0.2"/>
    <row r="355" s="15" customFormat="1" x14ac:dyDescent="0.2"/>
    <row r="356" s="15" customFormat="1" x14ac:dyDescent="0.2"/>
    <row r="357" s="15" customFormat="1" x14ac:dyDescent="0.2"/>
    <row r="358" s="15" customFormat="1" x14ac:dyDescent="0.2"/>
    <row r="359" s="15" customFormat="1" x14ac:dyDescent="0.2"/>
    <row r="360" s="15" customFormat="1" x14ac:dyDescent="0.2"/>
    <row r="361" s="15" customFormat="1" x14ac:dyDescent="0.2"/>
    <row r="362" s="15" customFormat="1" x14ac:dyDescent="0.2"/>
    <row r="363" s="15" customFormat="1" x14ac:dyDescent="0.2"/>
    <row r="364" s="15" customFormat="1" x14ac:dyDescent="0.2"/>
    <row r="365" s="15" customFormat="1" x14ac:dyDescent="0.2"/>
    <row r="366" s="15" customFormat="1" x14ac:dyDescent="0.2"/>
    <row r="367" s="15" customFormat="1" x14ac:dyDescent="0.2"/>
    <row r="368" s="15" customFormat="1" x14ac:dyDescent="0.2"/>
    <row r="369" s="15" customFormat="1" x14ac:dyDescent="0.2"/>
    <row r="370" s="15" customFormat="1" x14ac:dyDescent="0.2"/>
    <row r="371" s="15" customFormat="1" x14ac:dyDescent="0.2"/>
    <row r="372" s="15" customFormat="1" x14ac:dyDescent="0.2"/>
    <row r="373" s="15" customFormat="1" x14ac:dyDescent="0.2"/>
    <row r="374" s="15" customFormat="1" x14ac:dyDescent="0.2"/>
    <row r="375" s="15" customFormat="1" x14ac:dyDescent="0.2"/>
    <row r="376" s="15" customFormat="1" x14ac:dyDescent="0.2"/>
    <row r="377" s="15" customFormat="1" x14ac:dyDescent="0.2"/>
    <row r="378" s="15" customFormat="1" x14ac:dyDescent="0.2"/>
    <row r="379" s="15" customFormat="1" x14ac:dyDescent="0.2"/>
    <row r="380" s="15" customFormat="1" x14ac:dyDescent="0.2"/>
    <row r="381" s="15" customFormat="1" x14ac:dyDescent="0.2"/>
    <row r="382" s="15" customFormat="1" x14ac:dyDescent="0.2"/>
    <row r="383" s="15" customFormat="1" x14ac:dyDescent="0.2"/>
    <row r="384" s="15" customFormat="1" x14ac:dyDescent="0.2"/>
    <row r="385" s="15" customFormat="1" x14ac:dyDescent="0.2"/>
    <row r="386" s="15" customFormat="1" x14ac:dyDescent="0.2"/>
    <row r="387" s="15" customFormat="1" x14ac:dyDescent="0.2"/>
    <row r="388" s="15" customFormat="1" x14ac:dyDescent="0.2"/>
    <row r="389" s="15" customFormat="1" x14ac:dyDescent="0.2"/>
    <row r="390" s="15" customFormat="1" x14ac:dyDescent="0.2"/>
    <row r="391" s="15" customFormat="1" x14ac:dyDescent="0.2"/>
    <row r="392" s="15" customFormat="1" x14ac:dyDescent="0.2"/>
    <row r="393" s="15" customFormat="1" x14ac:dyDescent="0.2"/>
    <row r="394" s="15" customFormat="1" x14ac:dyDescent="0.2"/>
    <row r="395" s="15" customFormat="1" x14ac:dyDescent="0.2"/>
    <row r="396" s="15" customFormat="1" x14ac:dyDescent="0.2"/>
    <row r="397" s="15" customFormat="1" x14ac:dyDescent="0.2"/>
    <row r="398" s="15" customFormat="1" x14ac:dyDescent="0.2"/>
    <row r="399" s="15" customFormat="1" x14ac:dyDescent="0.2"/>
    <row r="400" s="15" customFormat="1" x14ac:dyDescent="0.2"/>
    <row r="401" s="15" customFormat="1" x14ac:dyDescent="0.2"/>
    <row r="402" s="15" customFormat="1" x14ac:dyDescent="0.2"/>
    <row r="403" s="15" customFormat="1" x14ac:dyDescent="0.2"/>
    <row r="404" s="15" customFormat="1" x14ac:dyDescent="0.2"/>
    <row r="405" s="15" customFormat="1" x14ac:dyDescent="0.2"/>
    <row r="406" s="15" customFormat="1" x14ac:dyDescent="0.2"/>
    <row r="407" s="15" customFormat="1" x14ac:dyDescent="0.2"/>
    <row r="408" s="15" customFormat="1" x14ac:dyDescent="0.2"/>
    <row r="409" s="15" customFormat="1" x14ac:dyDescent="0.2"/>
    <row r="410" s="15" customFormat="1" x14ac:dyDescent="0.2"/>
    <row r="411" s="15" customFormat="1" x14ac:dyDescent="0.2"/>
  </sheetData>
  <sheetProtection password="E65B" sheet="1" objects="1" scenarios="1"/>
  <mergeCells count="7">
    <mergeCell ref="N28:P29"/>
    <mergeCell ref="F9:P10"/>
    <mergeCell ref="F11:P11"/>
    <mergeCell ref="F17:P17"/>
    <mergeCell ref="F21:P21"/>
    <mergeCell ref="F28:H29"/>
    <mergeCell ref="F19:P19"/>
  </mergeCells>
  <phoneticPr fontId="2" type="noConversion"/>
  <hyperlinks>
    <hyperlink ref="N28:P29" location="D!A1" tooltip="Ir a la primera hoja" display="comenzar"/>
    <hyperlink ref="F28:H29" location="INFOIMPORTANT" tooltip="Información sobre el uso del libro" display="información"/>
  </hyperlinks>
  <printOptions horizontalCentered="1" verticalCentered="1"/>
  <pageMargins left="0.78740157480314965" right="0.78740157480314965" top="0.98425196850393704" bottom="0.98425196850393704" header="0" footer="0"/>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tabColor indexed="10"/>
  </sheetPr>
  <dimension ref="A1:BD657"/>
  <sheetViews>
    <sheetView showGridLines="0" showRowColHeaders="0" showOutlineSymbols="0" zoomScale="75" zoomScaleNormal="75" zoomScaleSheetLayoutView="75" workbookViewId="0">
      <pane xSplit="15" ySplit="6" topLeftCell="P7" activePane="bottomRight" state="frozen"/>
      <selection activeCell="B1" sqref="B1"/>
      <selection pane="topRight" activeCell="P1" sqref="P1"/>
      <selection pane="bottomLeft" activeCell="B7" sqref="B7"/>
      <selection pane="bottomRight" activeCell="A7" sqref="A7:A117"/>
    </sheetView>
  </sheetViews>
  <sheetFormatPr baseColWidth="10" defaultRowHeight="12.75" x14ac:dyDescent="0.2"/>
  <cols>
    <col min="1" max="1" width="11.42578125" style="15" hidden="1" customWidth="1"/>
    <col min="2" max="2" width="4.140625" style="15" customWidth="1"/>
    <col min="3" max="3" width="0.85546875" customWidth="1"/>
    <col min="4" max="4" width="26.42578125" customWidth="1"/>
    <col min="5" max="5" width="14.7109375" customWidth="1"/>
    <col min="6" max="6" width="8.140625" customWidth="1"/>
    <col min="7" max="10" width="14.7109375" customWidth="1"/>
    <col min="11" max="11" width="15.140625" customWidth="1"/>
    <col min="12" max="12" width="14.5703125" customWidth="1"/>
    <col min="13" max="18" width="14.7109375" customWidth="1"/>
    <col min="19" max="19" width="0.5703125" customWidth="1"/>
    <col min="20" max="20" width="0.5703125" style="15" customWidth="1"/>
    <col min="21" max="42" width="10.140625" style="15" customWidth="1"/>
    <col min="43" max="56" width="11.42578125" style="15"/>
  </cols>
  <sheetData>
    <row r="1" spans="1:56" s="15" customFormat="1" ht="5.0999999999999996" customHeight="1" x14ac:dyDescent="0.2">
      <c r="B1" s="296"/>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810"/>
    </row>
    <row r="2" spans="1:56" s="15" customFormat="1" ht="5.0999999999999996" customHeight="1" x14ac:dyDescent="0.25">
      <c r="B2" s="811"/>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3"/>
    </row>
    <row r="3" spans="1:56" s="116" customFormat="1" ht="39.950000000000003" customHeight="1" x14ac:dyDescent="0.3">
      <c r="A3" s="814"/>
      <c r="B3" s="815"/>
      <c r="C3" s="953"/>
      <c r="D3" s="954"/>
      <c r="E3" s="1504" t="s">
        <v>910</v>
      </c>
      <c r="F3" s="1504"/>
      <c r="G3" s="1504"/>
      <c r="H3" s="1504"/>
      <c r="I3" s="1504"/>
      <c r="J3" s="1504"/>
      <c r="K3" s="954">
        <f>D!$N$6</f>
        <v>2013</v>
      </c>
      <c r="L3" s="954"/>
      <c r="M3" s="955"/>
      <c r="N3" s="956"/>
      <c r="O3" s="809"/>
      <c r="P3" s="817"/>
      <c r="Q3" s="817"/>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9"/>
      <c r="AR3" s="814"/>
      <c r="AS3" s="814"/>
      <c r="AT3" s="814"/>
      <c r="AU3" s="814"/>
      <c r="AV3" s="814"/>
      <c r="AW3" s="814"/>
      <c r="AX3" s="814"/>
      <c r="AY3" s="814"/>
      <c r="AZ3" s="814"/>
      <c r="BA3" s="814"/>
      <c r="BB3" s="814"/>
      <c r="BC3" s="814"/>
      <c r="BD3" s="814"/>
    </row>
    <row r="4" spans="1:56" s="39" customFormat="1" ht="15" customHeight="1" x14ac:dyDescent="0.2">
      <c r="B4" s="296"/>
      <c r="C4" s="1170"/>
      <c r="D4" s="1171"/>
      <c r="E4" s="1172"/>
      <c r="F4" s="1172"/>
      <c r="G4" s="1172"/>
      <c r="H4" s="1172"/>
      <c r="I4" s="1172"/>
      <c r="J4" s="1173"/>
      <c r="K4" s="1172"/>
      <c r="L4" s="1174"/>
      <c r="M4" s="1174"/>
      <c r="N4" s="1174"/>
      <c r="O4" s="831"/>
      <c r="P4" s="830"/>
      <c r="Q4" s="830"/>
      <c r="R4" s="7"/>
      <c r="S4" s="7"/>
      <c r="T4" s="7"/>
      <c r="U4" s="7"/>
      <c r="V4" s="7"/>
      <c r="W4" s="7"/>
      <c r="X4" s="7"/>
      <c r="Y4" s="7"/>
      <c r="Z4" s="7"/>
      <c r="AA4" s="7"/>
      <c r="AB4" s="7"/>
      <c r="AC4" s="7"/>
      <c r="AD4" s="7"/>
      <c r="AE4" s="7"/>
      <c r="AF4" s="7"/>
      <c r="AG4" s="7"/>
      <c r="AH4" s="7"/>
      <c r="AI4" s="7"/>
      <c r="AJ4" s="7"/>
      <c r="AK4" s="7"/>
      <c r="AL4" s="7"/>
      <c r="AM4" s="7"/>
      <c r="AN4" s="7"/>
      <c r="AO4" s="7"/>
      <c r="AP4" s="7"/>
      <c r="AQ4" s="297"/>
    </row>
    <row r="5" spans="1:56" s="46" customFormat="1" ht="11.25" customHeight="1" x14ac:dyDescent="0.2">
      <c r="A5" s="39"/>
      <c r="B5" s="296"/>
      <c r="C5" s="1170"/>
      <c r="D5" s="1171"/>
      <c r="E5" s="1172"/>
      <c r="F5" s="1172"/>
      <c r="G5" s="1175"/>
      <c r="H5" s="1175"/>
      <c r="I5" s="1175"/>
      <c r="J5" s="1176"/>
      <c r="K5" s="1175"/>
      <c r="L5" s="1174"/>
      <c r="M5" s="1174"/>
      <c r="N5" s="1174"/>
      <c r="O5" s="831"/>
      <c r="P5" s="830"/>
      <c r="Q5" s="830"/>
      <c r="R5" s="7"/>
      <c r="S5" s="7"/>
      <c r="T5" s="7"/>
      <c r="U5" s="7"/>
      <c r="V5" s="7"/>
      <c r="W5" s="7"/>
      <c r="X5" s="7"/>
      <c r="Y5" s="7"/>
      <c r="Z5" s="7"/>
      <c r="AA5" s="7"/>
      <c r="AB5" s="7"/>
      <c r="AC5" s="7"/>
      <c r="AD5" s="7"/>
      <c r="AE5" s="7"/>
      <c r="AF5" s="7"/>
      <c r="AG5" s="7"/>
      <c r="AH5" s="7"/>
      <c r="AI5" s="7"/>
      <c r="AJ5" s="7"/>
      <c r="AK5" s="7"/>
      <c r="AL5" s="7"/>
      <c r="AM5" s="7"/>
      <c r="AN5" s="7"/>
      <c r="AO5" s="7"/>
      <c r="AP5" s="7"/>
      <c r="AQ5" s="297"/>
      <c r="AR5" s="39"/>
      <c r="AS5" s="39"/>
      <c r="AT5" s="39"/>
      <c r="AU5" s="39"/>
      <c r="AV5" s="39"/>
      <c r="AW5" s="39"/>
      <c r="AX5" s="39"/>
      <c r="AY5" s="39"/>
      <c r="AZ5" s="39"/>
      <c r="BA5" s="39"/>
      <c r="BB5" s="39"/>
      <c r="BC5" s="39"/>
      <c r="BD5" s="39"/>
    </row>
    <row r="6" spans="1:56" ht="3" customHeight="1" x14ac:dyDescent="0.2">
      <c r="B6" s="816"/>
      <c r="C6" s="1177"/>
      <c r="D6" s="1178"/>
      <c r="E6" s="1178"/>
      <c r="F6" s="1178"/>
      <c r="G6" s="1178"/>
      <c r="H6" s="1178"/>
      <c r="I6" s="1178"/>
      <c r="J6" s="1178"/>
      <c r="K6" s="1178"/>
      <c r="L6" s="1178"/>
      <c r="M6" s="1178"/>
      <c r="N6" s="1178"/>
      <c r="O6" s="833"/>
      <c r="P6" s="832"/>
      <c r="Q6" s="832"/>
      <c r="R6" s="832"/>
      <c r="S6" s="413"/>
      <c r="T6" s="413"/>
      <c r="U6" s="412"/>
      <c r="V6" s="412"/>
      <c r="W6" s="412"/>
      <c r="X6" s="412"/>
      <c r="Y6" s="412"/>
      <c r="Z6" s="412"/>
      <c r="AA6" s="412"/>
      <c r="AB6" s="412"/>
      <c r="AC6" s="412"/>
      <c r="AD6" s="412"/>
      <c r="AE6" s="412"/>
      <c r="AF6" s="412"/>
      <c r="AG6" s="412"/>
      <c r="AH6" s="412"/>
      <c r="AI6" s="412"/>
      <c r="AJ6" s="412"/>
      <c r="AK6" s="412"/>
      <c r="AL6" s="412"/>
      <c r="AM6" s="412"/>
      <c r="AN6" s="412"/>
      <c r="AO6" s="412"/>
      <c r="AP6" s="412"/>
      <c r="AQ6" s="449"/>
    </row>
    <row r="7" spans="1:56" ht="6" customHeight="1" x14ac:dyDescent="0.2">
      <c r="B7" s="816"/>
      <c r="C7" s="1179"/>
      <c r="D7" s="1180"/>
      <c r="E7" s="1180"/>
      <c r="F7" s="1180"/>
      <c r="G7" s="1180"/>
      <c r="H7" s="1180"/>
      <c r="I7" s="1180"/>
      <c r="J7" s="1180"/>
      <c r="K7" s="1180"/>
      <c r="L7" s="1180"/>
      <c r="M7" s="1180"/>
      <c r="N7" s="1180"/>
      <c r="O7" s="1180"/>
      <c r="P7" s="1180"/>
      <c r="Q7" s="1180"/>
      <c r="R7" s="1180"/>
      <c r="S7" s="1196"/>
      <c r="T7" s="256"/>
      <c r="U7" s="412"/>
      <c r="V7" s="412"/>
      <c r="W7" s="412"/>
      <c r="X7" s="412"/>
      <c r="Y7" s="412"/>
      <c r="Z7" s="412"/>
      <c r="AA7" s="412"/>
      <c r="AB7" s="412"/>
      <c r="AC7" s="412"/>
      <c r="AD7" s="412"/>
      <c r="AE7" s="412"/>
      <c r="AF7" s="412"/>
      <c r="AG7" s="412"/>
      <c r="AH7" s="412"/>
      <c r="AI7" s="412"/>
      <c r="AJ7" s="412"/>
      <c r="AK7" s="412"/>
      <c r="AL7" s="412"/>
      <c r="AM7" s="412"/>
      <c r="AN7" s="412"/>
      <c r="AO7" s="412"/>
      <c r="AP7" s="412"/>
      <c r="AQ7" s="449"/>
    </row>
    <row r="8" spans="1:56" ht="8.1" customHeight="1" x14ac:dyDescent="0.2">
      <c r="B8" s="816"/>
      <c r="C8" s="1179"/>
      <c r="D8" s="216"/>
      <c r="E8" s="217"/>
      <c r="F8" s="217"/>
      <c r="G8" s="217"/>
      <c r="H8" s="217"/>
      <c r="I8" s="217"/>
      <c r="J8" s="217"/>
      <c r="K8" s="217"/>
      <c r="L8" s="217"/>
      <c r="M8" s="217"/>
      <c r="N8" s="217"/>
      <c r="O8" s="217"/>
      <c r="P8" s="217"/>
      <c r="Q8" s="217"/>
      <c r="R8" s="964"/>
      <c r="S8" s="904"/>
      <c r="T8" s="259"/>
      <c r="U8" s="412"/>
      <c r="V8" s="412"/>
      <c r="W8" s="412"/>
      <c r="X8" s="412"/>
      <c r="Y8" s="412"/>
      <c r="Z8" s="412"/>
      <c r="AA8" s="412"/>
      <c r="AB8" s="412"/>
      <c r="AC8" s="412"/>
      <c r="AD8" s="412"/>
      <c r="AE8" s="412"/>
      <c r="AF8" s="412"/>
      <c r="AG8" s="412"/>
      <c r="AH8" s="412"/>
      <c r="AI8" s="412"/>
      <c r="AJ8" s="412"/>
      <c r="AK8" s="412"/>
      <c r="AL8" s="412"/>
      <c r="AM8" s="412"/>
      <c r="AN8" s="412"/>
      <c r="AO8" s="412"/>
      <c r="AP8" s="412"/>
      <c r="AQ8" s="449"/>
    </row>
    <row r="9" spans="1:56" ht="8.1" customHeight="1" x14ac:dyDescent="0.2">
      <c r="B9" s="816"/>
      <c r="C9" s="1179"/>
      <c r="D9" s="218"/>
      <c r="E9" s="219"/>
      <c r="F9" s="219"/>
      <c r="G9" s="219"/>
      <c r="H9" s="219"/>
      <c r="I9" s="219"/>
      <c r="J9" s="219"/>
      <c r="K9" s="219"/>
      <c r="L9" s="219"/>
      <c r="M9" s="219"/>
      <c r="N9" s="219"/>
      <c r="O9" s="219"/>
      <c r="P9" s="219"/>
      <c r="Q9" s="219"/>
      <c r="R9" s="965"/>
      <c r="S9" s="904"/>
      <c r="T9" s="259"/>
      <c r="U9" s="412"/>
      <c r="V9" s="412"/>
      <c r="W9" s="412"/>
      <c r="X9" s="412"/>
      <c r="Y9" s="412"/>
      <c r="Z9" s="412"/>
      <c r="AA9" s="412"/>
      <c r="AB9" s="412"/>
      <c r="AC9" s="412"/>
      <c r="AD9" s="412"/>
      <c r="AE9" s="412"/>
      <c r="AF9" s="412"/>
      <c r="AG9" s="412"/>
      <c r="AH9" s="412"/>
      <c r="AI9" s="412"/>
      <c r="AJ9" s="412"/>
      <c r="AK9" s="412"/>
      <c r="AL9" s="412"/>
      <c r="AM9" s="412"/>
      <c r="AN9" s="412"/>
      <c r="AO9" s="412"/>
      <c r="AP9" s="412"/>
      <c r="AQ9" s="449"/>
    </row>
    <row r="10" spans="1:56" ht="8.1" customHeight="1" x14ac:dyDescent="0.2">
      <c r="B10" s="816"/>
      <c r="C10" s="1179"/>
      <c r="D10" s="218"/>
      <c r="E10" s="219"/>
      <c r="F10" s="219"/>
      <c r="G10" s="219"/>
      <c r="H10" s="219"/>
      <c r="I10" s="219"/>
      <c r="J10" s="219"/>
      <c r="K10" s="219"/>
      <c r="L10" s="219"/>
      <c r="M10" s="219"/>
      <c r="N10" s="219"/>
      <c r="O10" s="219"/>
      <c r="P10" s="219"/>
      <c r="Q10" s="219"/>
      <c r="R10" s="965"/>
      <c r="S10" s="904"/>
      <c r="T10" s="259"/>
      <c r="U10" s="412"/>
      <c r="V10" s="412"/>
      <c r="W10" s="412"/>
      <c r="X10" s="412"/>
      <c r="Y10" s="412"/>
      <c r="Z10" s="412"/>
      <c r="AA10" s="412"/>
      <c r="AB10" s="412"/>
      <c r="AC10" s="412"/>
      <c r="AD10" s="412"/>
      <c r="AE10" s="412"/>
      <c r="AF10" s="412"/>
      <c r="AG10" s="412"/>
      <c r="AH10" s="412"/>
      <c r="AI10" s="412"/>
      <c r="AJ10" s="412"/>
      <c r="AK10" s="412"/>
      <c r="AL10" s="412"/>
      <c r="AM10" s="412"/>
      <c r="AN10" s="412"/>
      <c r="AO10" s="412"/>
      <c r="AP10" s="412"/>
      <c r="AQ10" s="449"/>
    </row>
    <row r="11" spans="1:56" ht="8.1" customHeight="1" x14ac:dyDescent="0.2">
      <c r="B11" s="816"/>
      <c r="C11" s="1179"/>
      <c r="D11" s="218"/>
      <c r="E11" s="219"/>
      <c r="F11" s="219"/>
      <c r="G11" s="219"/>
      <c r="H11" s="219"/>
      <c r="I11" s="219"/>
      <c r="J11" s="219"/>
      <c r="K11" s="219"/>
      <c r="L11" s="219"/>
      <c r="M11" s="219"/>
      <c r="N11" s="219"/>
      <c r="O11" s="219"/>
      <c r="P11" s="219"/>
      <c r="Q11" s="219"/>
      <c r="R11" s="965"/>
      <c r="S11" s="904"/>
      <c r="T11" s="259"/>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49"/>
    </row>
    <row r="12" spans="1:56" ht="8.1" customHeight="1" x14ac:dyDescent="0.2">
      <c r="B12" s="816"/>
      <c r="C12" s="1179"/>
      <c r="D12" s="218"/>
      <c r="E12" s="219"/>
      <c r="F12" s="219"/>
      <c r="G12" s="219"/>
      <c r="H12" s="219"/>
      <c r="I12" s="219"/>
      <c r="J12" s="219"/>
      <c r="K12" s="219"/>
      <c r="L12" s="219"/>
      <c r="M12" s="219"/>
      <c r="N12" s="219"/>
      <c r="O12" s="219"/>
      <c r="P12" s="219"/>
      <c r="Q12" s="219"/>
      <c r="R12" s="965"/>
      <c r="S12" s="904"/>
      <c r="T12" s="259"/>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49"/>
    </row>
    <row r="13" spans="1:56" ht="8.1" customHeight="1" x14ac:dyDescent="0.2">
      <c r="B13" s="816"/>
      <c r="C13" s="1179"/>
      <c r="D13" s="218"/>
      <c r="E13" s="219"/>
      <c r="F13" s="219"/>
      <c r="G13" s="219"/>
      <c r="H13" s="219"/>
      <c r="I13" s="219"/>
      <c r="J13" s="219"/>
      <c r="K13" s="219"/>
      <c r="L13" s="219"/>
      <c r="M13" s="219"/>
      <c r="N13" s="219"/>
      <c r="O13" s="219"/>
      <c r="P13" s="219"/>
      <c r="Q13" s="219"/>
      <c r="R13" s="965"/>
      <c r="S13" s="904"/>
      <c r="T13" s="259"/>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49"/>
    </row>
    <row r="14" spans="1:56" ht="8.1" customHeight="1" x14ac:dyDescent="0.2">
      <c r="B14" s="816"/>
      <c r="C14" s="1179"/>
      <c r="D14" s="218"/>
      <c r="E14" s="219"/>
      <c r="F14" s="219"/>
      <c r="G14" s="219"/>
      <c r="H14" s="219"/>
      <c r="I14" s="219"/>
      <c r="J14" s="219"/>
      <c r="K14" s="219"/>
      <c r="L14" s="219"/>
      <c r="M14" s="219"/>
      <c r="N14" s="219"/>
      <c r="O14" s="219"/>
      <c r="P14" s="219"/>
      <c r="Q14" s="219"/>
      <c r="R14" s="965"/>
      <c r="S14" s="904"/>
      <c r="T14" s="259"/>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49"/>
    </row>
    <row r="15" spans="1:56" ht="8.1" customHeight="1" x14ac:dyDescent="0.2">
      <c r="B15" s="816"/>
      <c r="C15" s="1179"/>
      <c r="D15" s="218"/>
      <c r="E15" s="219"/>
      <c r="F15" s="219"/>
      <c r="G15" s="219"/>
      <c r="H15" s="219"/>
      <c r="I15" s="219"/>
      <c r="J15" s="219"/>
      <c r="K15" s="219"/>
      <c r="L15" s="219"/>
      <c r="M15" s="219"/>
      <c r="N15" s="219"/>
      <c r="O15" s="219"/>
      <c r="P15" s="219"/>
      <c r="Q15" s="219"/>
      <c r="R15" s="965"/>
      <c r="S15" s="904"/>
      <c r="T15" s="259"/>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49"/>
    </row>
    <row r="16" spans="1:56" ht="8.1" customHeight="1" x14ac:dyDescent="0.2">
      <c r="B16" s="816"/>
      <c r="C16" s="1179"/>
      <c r="D16" s="218"/>
      <c r="E16" s="219"/>
      <c r="F16" s="219"/>
      <c r="G16" s="219"/>
      <c r="H16" s="219"/>
      <c r="I16" s="219"/>
      <c r="J16" s="219"/>
      <c r="K16" s="219"/>
      <c r="L16" s="219"/>
      <c r="M16" s="219"/>
      <c r="N16" s="219"/>
      <c r="O16" s="219"/>
      <c r="P16" s="219"/>
      <c r="Q16" s="219"/>
      <c r="R16" s="965"/>
      <c r="S16" s="904"/>
      <c r="T16" s="259"/>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49"/>
    </row>
    <row r="17" spans="2:43" ht="8.1" customHeight="1" x14ac:dyDescent="0.2">
      <c r="B17" s="816"/>
      <c r="C17" s="1179"/>
      <c r="D17" s="218"/>
      <c r="E17" s="219"/>
      <c r="F17" s="219"/>
      <c r="G17" s="219"/>
      <c r="H17" s="219"/>
      <c r="I17" s="219"/>
      <c r="J17" s="219"/>
      <c r="K17" s="219"/>
      <c r="L17" s="219"/>
      <c r="M17" s="219"/>
      <c r="N17" s="219"/>
      <c r="O17" s="219"/>
      <c r="P17" s="219"/>
      <c r="Q17" s="219"/>
      <c r="R17" s="965"/>
      <c r="S17" s="904"/>
      <c r="T17" s="259"/>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49"/>
    </row>
    <row r="18" spans="2:43" ht="8.1" customHeight="1" x14ac:dyDescent="0.2">
      <c r="B18" s="816"/>
      <c r="C18" s="1179"/>
      <c r="D18" s="218"/>
      <c r="E18" s="219"/>
      <c r="F18" s="219"/>
      <c r="G18" s="219"/>
      <c r="H18" s="219"/>
      <c r="I18" s="219"/>
      <c r="J18" s="219"/>
      <c r="K18" s="219"/>
      <c r="L18" s="219"/>
      <c r="M18" s="219"/>
      <c r="N18" s="219"/>
      <c r="O18" s="219"/>
      <c r="P18" s="219"/>
      <c r="Q18" s="219"/>
      <c r="R18" s="965"/>
      <c r="S18" s="904"/>
      <c r="T18" s="259"/>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49"/>
    </row>
    <row r="19" spans="2:43" ht="8.1" customHeight="1" x14ac:dyDescent="0.2">
      <c r="B19" s="816"/>
      <c r="C19" s="1179"/>
      <c r="D19" s="218"/>
      <c r="E19" s="219"/>
      <c r="F19" s="219"/>
      <c r="G19" s="219"/>
      <c r="H19" s="219"/>
      <c r="I19" s="219"/>
      <c r="J19" s="219"/>
      <c r="K19" s="219"/>
      <c r="L19" s="219"/>
      <c r="M19" s="219"/>
      <c r="N19" s="219"/>
      <c r="O19" s="219"/>
      <c r="P19" s="219"/>
      <c r="Q19" s="219"/>
      <c r="R19" s="965"/>
      <c r="S19" s="904"/>
      <c r="T19" s="259"/>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449"/>
    </row>
    <row r="20" spans="2:43" ht="8.1" customHeight="1" x14ac:dyDescent="0.2">
      <c r="B20" s="816"/>
      <c r="C20" s="1179"/>
      <c r="D20" s="218"/>
      <c r="E20" s="219"/>
      <c r="F20" s="219"/>
      <c r="G20" s="219"/>
      <c r="H20" s="219"/>
      <c r="I20" s="219"/>
      <c r="J20" s="219"/>
      <c r="K20" s="219"/>
      <c r="L20" s="219"/>
      <c r="M20" s="219"/>
      <c r="N20" s="219"/>
      <c r="O20" s="219"/>
      <c r="P20" s="219"/>
      <c r="Q20" s="219"/>
      <c r="R20" s="965"/>
      <c r="S20" s="904"/>
      <c r="T20" s="259"/>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449"/>
    </row>
    <row r="21" spans="2:43" ht="8.1" customHeight="1" x14ac:dyDescent="0.2">
      <c r="B21" s="816"/>
      <c r="C21" s="1179"/>
      <c r="D21" s="218"/>
      <c r="E21" s="219"/>
      <c r="F21" s="219"/>
      <c r="G21" s="219"/>
      <c r="H21" s="219"/>
      <c r="I21" s="219"/>
      <c r="J21" s="219"/>
      <c r="K21" s="219"/>
      <c r="L21" s="219"/>
      <c r="M21" s="219"/>
      <c r="N21" s="219"/>
      <c r="O21" s="219"/>
      <c r="P21" s="219"/>
      <c r="Q21" s="219"/>
      <c r="R21" s="965"/>
      <c r="S21" s="904"/>
      <c r="T21" s="259"/>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49"/>
    </row>
    <row r="22" spans="2:43" ht="8.1" customHeight="1" x14ac:dyDescent="0.2">
      <c r="B22" s="816"/>
      <c r="C22" s="1179"/>
      <c r="D22" s="218"/>
      <c r="E22" s="219"/>
      <c r="F22" s="219"/>
      <c r="G22" s="219"/>
      <c r="H22" s="219"/>
      <c r="I22" s="219"/>
      <c r="J22" s="219"/>
      <c r="K22" s="219"/>
      <c r="L22" s="219"/>
      <c r="M22" s="219"/>
      <c r="N22" s="219"/>
      <c r="O22" s="219"/>
      <c r="P22" s="219"/>
      <c r="Q22" s="219"/>
      <c r="R22" s="965"/>
      <c r="S22" s="904"/>
      <c r="T22" s="259"/>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49"/>
    </row>
    <row r="23" spans="2:43" ht="8.1" customHeight="1" x14ac:dyDescent="0.2">
      <c r="B23" s="816"/>
      <c r="C23" s="1179"/>
      <c r="D23" s="218"/>
      <c r="E23" s="219"/>
      <c r="F23" s="219"/>
      <c r="G23" s="219"/>
      <c r="H23" s="219"/>
      <c r="I23" s="219"/>
      <c r="J23" s="219"/>
      <c r="K23" s="219"/>
      <c r="L23" s="219"/>
      <c r="M23" s="219"/>
      <c r="N23" s="219"/>
      <c r="O23" s="219"/>
      <c r="P23" s="219"/>
      <c r="Q23" s="219"/>
      <c r="R23" s="965"/>
      <c r="S23" s="904"/>
      <c r="T23" s="259"/>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49"/>
    </row>
    <row r="24" spans="2:43" ht="8.1" customHeight="1" x14ac:dyDescent="0.2">
      <c r="B24" s="816"/>
      <c r="C24" s="1179"/>
      <c r="D24" s="218"/>
      <c r="E24" s="219"/>
      <c r="F24" s="219"/>
      <c r="G24" s="219"/>
      <c r="H24" s="219"/>
      <c r="I24" s="219"/>
      <c r="J24" s="219"/>
      <c r="K24" s="219"/>
      <c r="L24" s="219"/>
      <c r="M24" s="219"/>
      <c r="N24" s="219"/>
      <c r="O24" s="219"/>
      <c r="P24" s="219"/>
      <c r="Q24" s="219"/>
      <c r="R24" s="965"/>
      <c r="S24" s="904"/>
      <c r="T24" s="259"/>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49"/>
    </row>
    <row r="25" spans="2:43" ht="8.1" customHeight="1" x14ac:dyDescent="0.2">
      <c r="B25" s="816"/>
      <c r="C25" s="1179"/>
      <c r="D25" s="218"/>
      <c r="E25" s="219"/>
      <c r="F25" s="219"/>
      <c r="G25" s="219"/>
      <c r="H25" s="219"/>
      <c r="I25" s="219"/>
      <c r="J25" s="219"/>
      <c r="K25" s="219"/>
      <c r="L25" s="219"/>
      <c r="M25" s="219"/>
      <c r="N25" s="219"/>
      <c r="O25" s="219"/>
      <c r="P25" s="219"/>
      <c r="Q25" s="219"/>
      <c r="R25" s="965"/>
      <c r="S25" s="904"/>
      <c r="T25" s="259"/>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49"/>
    </row>
    <row r="26" spans="2:43" ht="8.1" customHeight="1" x14ac:dyDescent="0.2">
      <c r="B26" s="816"/>
      <c r="C26" s="1179"/>
      <c r="D26" s="218"/>
      <c r="E26" s="219"/>
      <c r="F26" s="219"/>
      <c r="G26" s="219"/>
      <c r="H26" s="219"/>
      <c r="I26" s="219"/>
      <c r="J26" s="219"/>
      <c r="K26" s="219"/>
      <c r="L26" s="219"/>
      <c r="M26" s="219"/>
      <c r="N26" s="219"/>
      <c r="O26" s="219"/>
      <c r="P26" s="219"/>
      <c r="Q26" s="219"/>
      <c r="R26" s="965"/>
      <c r="S26" s="904"/>
      <c r="T26" s="259"/>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49"/>
    </row>
    <row r="27" spans="2:43" ht="8.1" customHeight="1" x14ac:dyDescent="0.2">
      <c r="B27" s="816"/>
      <c r="C27" s="1179"/>
      <c r="D27" s="218"/>
      <c r="E27" s="219"/>
      <c r="F27" s="219"/>
      <c r="G27" s="219"/>
      <c r="H27" s="219"/>
      <c r="I27" s="219"/>
      <c r="J27" s="219"/>
      <c r="K27" s="219"/>
      <c r="L27" s="219"/>
      <c r="M27" s="219"/>
      <c r="N27" s="219"/>
      <c r="O27" s="219"/>
      <c r="P27" s="219"/>
      <c r="Q27" s="219"/>
      <c r="R27" s="965"/>
      <c r="S27" s="904"/>
      <c r="T27" s="259"/>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49"/>
    </row>
    <row r="28" spans="2:43" ht="8.1" customHeight="1" x14ac:dyDescent="0.2">
      <c r="B28" s="816"/>
      <c r="C28" s="1179"/>
      <c r="D28" s="218"/>
      <c r="E28" s="219"/>
      <c r="F28" s="219"/>
      <c r="G28" s="219"/>
      <c r="H28" s="219"/>
      <c r="I28" s="219"/>
      <c r="J28" s="219"/>
      <c r="K28" s="219"/>
      <c r="L28" s="219"/>
      <c r="M28" s="219"/>
      <c r="N28" s="219"/>
      <c r="O28" s="219"/>
      <c r="P28" s="219"/>
      <c r="Q28" s="219"/>
      <c r="R28" s="965"/>
      <c r="S28" s="904"/>
      <c r="T28" s="259"/>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49"/>
    </row>
    <row r="29" spans="2:43" ht="8.1" customHeight="1" x14ac:dyDescent="0.2">
      <c r="B29" s="816"/>
      <c r="C29" s="1179"/>
      <c r="D29" s="218"/>
      <c r="E29" s="219"/>
      <c r="F29" s="219"/>
      <c r="G29" s="219"/>
      <c r="H29" s="219"/>
      <c r="I29" s="219"/>
      <c r="J29" s="219"/>
      <c r="K29" s="219"/>
      <c r="L29" s="219"/>
      <c r="M29" s="219"/>
      <c r="N29" s="219"/>
      <c r="O29" s="219"/>
      <c r="P29" s="219"/>
      <c r="Q29" s="219"/>
      <c r="R29" s="965"/>
      <c r="S29" s="904"/>
      <c r="T29" s="259"/>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49"/>
    </row>
    <row r="30" spans="2:43" ht="8.1" customHeight="1" x14ac:dyDescent="0.2">
      <c r="B30" s="816"/>
      <c r="C30" s="1179"/>
      <c r="D30" s="218"/>
      <c r="E30" s="219"/>
      <c r="F30" s="219"/>
      <c r="G30" s="219"/>
      <c r="H30" s="219"/>
      <c r="I30" s="219"/>
      <c r="J30" s="219"/>
      <c r="K30" s="219"/>
      <c r="L30" s="219"/>
      <c r="M30" s="219"/>
      <c r="N30" s="219"/>
      <c r="O30" s="219"/>
      <c r="P30" s="219"/>
      <c r="Q30" s="219"/>
      <c r="R30" s="965"/>
      <c r="S30" s="904"/>
      <c r="T30" s="259"/>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49"/>
    </row>
    <row r="31" spans="2:43" ht="8.1" customHeight="1" x14ac:dyDescent="0.2">
      <c r="B31" s="816"/>
      <c r="C31" s="1179"/>
      <c r="D31" s="218"/>
      <c r="E31" s="219"/>
      <c r="F31" s="219"/>
      <c r="G31" s="219"/>
      <c r="H31" s="219"/>
      <c r="I31" s="219"/>
      <c r="J31" s="219"/>
      <c r="K31" s="219"/>
      <c r="L31" s="219"/>
      <c r="M31" s="219"/>
      <c r="N31" s="219"/>
      <c r="O31" s="219"/>
      <c r="P31" s="219"/>
      <c r="Q31" s="219"/>
      <c r="R31" s="965"/>
      <c r="S31" s="904"/>
      <c r="T31" s="259"/>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49"/>
    </row>
    <row r="32" spans="2:43" ht="8.1" customHeight="1" x14ac:dyDescent="0.2">
      <c r="B32" s="816"/>
      <c r="C32" s="1179"/>
      <c r="D32" s="218"/>
      <c r="E32" s="219"/>
      <c r="F32" s="219"/>
      <c r="G32" s="219"/>
      <c r="H32" s="219"/>
      <c r="I32" s="219"/>
      <c r="J32" s="219"/>
      <c r="K32" s="219"/>
      <c r="L32" s="219"/>
      <c r="M32" s="219"/>
      <c r="N32" s="219"/>
      <c r="O32" s="219"/>
      <c r="P32" s="219"/>
      <c r="Q32" s="219"/>
      <c r="R32" s="965"/>
      <c r="S32" s="904"/>
      <c r="T32" s="259"/>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49"/>
    </row>
    <row r="33" spans="2:43" ht="8.1" customHeight="1" x14ac:dyDescent="0.2">
      <c r="B33" s="816"/>
      <c r="C33" s="1179"/>
      <c r="D33" s="218"/>
      <c r="E33" s="219"/>
      <c r="F33" s="219"/>
      <c r="G33" s="219"/>
      <c r="H33" s="219"/>
      <c r="I33" s="219"/>
      <c r="J33" s="219"/>
      <c r="K33" s="219"/>
      <c r="L33" s="219"/>
      <c r="M33" s="219"/>
      <c r="N33" s="219"/>
      <c r="O33" s="219"/>
      <c r="P33" s="219"/>
      <c r="Q33" s="219"/>
      <c r="R33" s="965"/>
      <c r="S33" s="904"/>
      <c r="T33" s="259"/>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49"/>
    </row>
    <row r="34" spans="2:43" ht="8.1" customHeight="1" x14ac:dyDescent="0.2">
      <c r="B34" s="816"/>
      <c r="C34" s="1179"/>
      <c r="D34" s="218"/>
      <c r="E34" s="219"/>
      <c r="F34" s="219"/>
      <c r="G34" s="219"/>
      <c r="H34" s="219"/>
      <c r="I34" s="219"/>
      <c r="J34" s="219"/>
      <c r="K34" s="219"/>
      <c r="L34" s="219"/>
      <c r="M34" s="219"/>
      <c r="N34" s="219"/>
      <c r="O34" s="219"/>
      <c r="P34" s="219"/>
      <c r="Q34" s="219"/>
      <c r="R34" s="965"/>
      <c r="S34" s="904"/>
      <c r="T34" s="259"/>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49"/>
    </row>
    <row r="35" spans="2:43" ht="8.1" customHeight="1" x14ac:dyDescent="0.2">
      <c r="B35" s="816"/>
      <c r="C35" s="1179"/>
      <c r="D35" s="218"/>
      <c r="E35" s="219"/>
      <c r="F35" s="219"/>
      <c r="G35" s="219"/>
      <c r="H35" s="219"/>
      <c r="I35" s="219"/>
      <c r="J35" s="219"/>
      <c r="K35" s="219"/>
      <c r="L35" s="219"/>
      <c r="M35" s="219"/>
      <c r="N35" s="219"/>
      <c r="O35" s="219"/>
      <c r="P35" s="219"/>
      <c r="Q35" s="219"/>
      <c r="R35" s="965"/>
      <c r="S35" s="904"/>
      <c r="T35" s="259"/>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49"/>
    </row>
    <row r="36" spans="2:43" ht="8.1" customHeight="1" x14ac:dyDescent="0.2">
      <c r="B36" s="816"/>
      <c r="C36" s="1179"/>
      <c r="D36" s="218"/>
      <c r="E36" s="219"/>
      <c r="F36" s="219"/>
      <c r="G36" s="219"/>
      <c r="H36" s="219"/>
      <c r="I36" s="219"/>
      <c r="J36" s="219"/>
      <c r="K36" s="219"/>
      <c r="L36" s="219"/>
      <c r="M36" s="219"/>
      <c r="N36" s="219"/>
      <c r="O36" s="219"/>
      <c r="P36" s="219"/>
      <c r="Q36" s="219"/>
      <c r="R36" s="965"/>
      <c r="S36" s="904"/>
      <c r="T36" s="259"/>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49"/>
    </row>
    <row r="37" spans="2:43" ht="8.1" customHeight="1" x14ac:dyDescent="0.2">
      <c r="B37" s="816"/>
      <c r="C37" s="1179"/>
      <c r="D37" s="218"/>
      <c r="E37" s="219"/>
      <c r="F37" s="219"/>
      <c r="G37" s="219"/>
      <c r="H37" s="219"/>
      <c r="I37" s="219"/>
      <c r="J37" s="219"/>
      <c r="K37" s="219"/>
      <c r="L37" s="219"/>
      <c r="M37" s="219"/>
      <c r="N37" s="219"/>
      <c r="O37" s="219"/>
      <c r="P37" s="219"/>
      <c r="Q37" s="219"/>
      <c r="R37" s="965"/>
      <c r="S37" s="904"/>
      <c r="T37" s="259"/>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49"/>
    </row>
    <row r="38" spans="2:43" ht="8.1" customHeight="1" x14ac:dyDescent="0.2">
      <c r="B38" s="816"/>
      <c r="C38" s="1179"/>
      <c r="D38" s="218"/>
      <c r="E38" s="219"/>
      <c r="F38" s="219"/>
      <c r="G38" s="219"/>
      <c r="H38" s="219"/>
      <c r="I38" s="219"/>
      <c r="J38" s="219"/>
      <c r="K38" s="219"/>
      <c r="L38" s="219"/>
      <c r="M38" s="219"/>
      <c r="N38" s="219"/>
      <c r="O38" s="219"/>
      <c r="P38" s="219"/>
      <c r="Q38" s="219"/>
      <c r="R38" s="965"/>
      <c r="S38" s="904"/>
      <c r="T38" s="259"/>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49"/>
    </row>
    <row r="39" spans="2:43" ht="8.1" customHeight="1" x14ac:dyDescent="0.2">
      <c r="B39" s="816"/>
      <c r="C39" s="1179"/>
      <c r="D39" s="218"/>
      <c r="E39" s="219"/>
      <c r="F39" s="219"/>
      <c r="G39" s="219"/>
      <c r="H39" s="219"/>
      <c r="I39" s="219"/>
      <c r="J39" s="219"/>
      <c r="K39" s="219"/>
      <c r="L39" s="219"/>
      <c r="M39" s="219"/>
      <c r="N39" s="219"/>
      <c r="O39" s="219"/>
      <c r="P39" s="219"/>
      <c r="Q39" s="219"/>
      <c r="R39" s="965"/>
      <c r="S39" s="904"/>
      <c r="T39" s="259"/>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49"/>
    </row>
    <row r="40" spans="2:43" ht="8.1" customHeight="1" x14ac:dyDescent="0.2">
      <c r="B40" s="816"/>
      <c r="C40" s="1179"/>
      <c r="D40" s="218"/>
      <c r="E40" s="219"/>
      <c r="F40" s="219"/>
      <c r="G40" s="219"/>
      <c r="H40" s="219"/>
      <c r="I40" s="219"/>
      <c r="J40" s="219"/>
      <c r="K40" s="219"/>
      <c r="L40" s="219"/>
      <c r="M40" s="219"/>
      <c r="N40" s="219"/>
      <c r="O40" s="219"/>
      <c r="P40" s="219"/>
      <c r="Q40" s="219"/>
      <c r="R40" s="965"/>
      <c r="S40" s="904"/>
      <c r="T40" s="259"/>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49"/>
    </row>
    <row r="41" spans="2:43" ht="8.1" customHeight="1" x14ac:dyDescent="0.2">
      <c r="B41" s="816"/>
      <c r="C41" s="1179"/>
      <c r="D41" s="218"/>
      <c r="E41" s="219"/>
      <c r="F41" s="219"/>
      <c r="G41" s="219"/>
      <c r="H41" s="219"/>
      <c r="I41" s="219"/>
      <c r="J41" s="219"/>
      <c r="K41" s="219"/>
      <c r="L41" s="219"/>
      <c r="M41" s="219"/>
      <c r="N41" s="219"/>
      <c r="O41" s="219"/>
      <c r="P41" s="219"/>
      <c r="Q41" s="219"/>
      <c r="R41" s="965"/>
      <c r="S41" s="904"/>
      <c r="T41" s="259"/>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49"/>
    </row>
    <row r="42" spans="2:43" ht="8.1" customHeight="1" x14ac:dyDescent="0.2">
      <c r="B42" s="816"/>
      <c r="C42" s="1179"/>
      <c r="D42" s="218"/>
      <c r="E42" s="219"/>
      <c r="F42" s="219"/>
      <c r="G42" s="219"/>
      <c r="H42" s="219"/>
      <c r="I42" s="219"/>
      <c r="J42" s="219"/>
      <c r="K42" s="219"/>
      <c r="L42" s="219"/>
      <c r="M42" s="219"/>
      <c r="N42" s="219"/>
      <c r="O42" s="219"/>
      <c r="P42" s="219"/>
      <c r="Q42" s="219"/>
      <c r="R42" s="965"/>
      <c r="S42" s="904"/>
      <c r="T42" s="259"/>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49"/>
    </row>
    <row r="43" spans="2:43" ht="8.1" customHeight="1" x14ac:dyDescent="0.2">
      <c r="B43" s="816"/>
      <c r="C43" s="1179"/>
      <c r="D43" s="218"/>
      <c r="E43" s="219"/>
      <c r="F43" s="219"/>
      <c r="G43" s="219"/>
      <c r="H43" s="219"/>
      <c r="I43" s="219"/>
      <c r="J43" s="219"/>
      <c r="K43" s="219"/>
      <c r="L43" s="219"/>
      <c r="M43" s="219"/>
      <c r="N43" s="219"/>
      <c r="O43" s="219"/>
      <c r="P43" s="219"/>
      <c r="Q43" s="219"/>
      <c r="R43" s="965"/>
      <c r="S43" s="904"/>
      <c r="T43" s="259"/>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49"/>
    </row>
    <row r="44" spans="2:43" ht="22.5" x14ac:dyDescent="0.2">
      <c r="B44" s="816"/>
      <c r="C44" s="1179"/>
      <c r="D44" s="218"/>
      <c r="E44" s="219"/>
      <c r="F44" s="1"/>
      <c r="G44" s="1"/>
      <c r="H44" s="1"/>
      <c r="I44" s="264" t="str">
        <f>D!$H$6</f>
        <v>MiEmpresa</v>
      </c>
      <c r="J44" s="1"/>
      <c r="K44" s="1"/>
      <c r="L44" s="175"/>
      <c r="M44" s="1"/>
      <c r="N44" s="1"/>
      <c r="O44" s="1"/>
      <c r="P44" s="1"/>
      <c r="Q44" s="1"/>
      <c r="R44" s="965"/>
      <c r="S44" s="904"/>
      <c r="T44" s="259"/>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49"/>
    </row>
    <row r="45" spans="2:43" x14ac:dyDescent="0.2">
      <c r="B45" s="816"/>
      <c r="C45" s="1179"/>
      <c r="D45" s="218"/>
      <c r="E45" s="219"/>
      <c r="F45" s="1"/>
      <c r="G45" s="1"/>
      <c r="H45" s="1"/>
      <c r="I45" s="175"/>
      <c r="J45" s="1"/>
      <c r="K45" s="1"/>
      <c r="L45" s="175"/>
      <c r="M45" s="1"/>
      <c r="N45" s="1"/>
      <c r="O45" s="1"/>
      <c r="P45" s="1"/>
      <c r="Q45" s="966"/>
      <c r="R45" s="965"/>
      <c r="S45" s="904"/>
      <c r="T45" s="259"/>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49"/>
    </row>
    <row r="46" spans="2:43" ht="25.5" x14ac:dyDescent="0.35">
      <c r="B46" s="816"/>
      <c r="C46" s="1179"/>
      <c r="D46" s="218"/>
      <c r="E46" s="219"/>
      <c r="F46" s="252"/>
      <c r="G46" s="252"/>
      <c r="H46" s="252"/>
      <c r="I46" s="265" t="s">
        <v>347</v>
      </c>
      <c r="J46" s="252"/>
      <c r="K46" s="952"/>
      <c r="L46" s="265">
        <f>D!$N$6</f>
        <v>2013</v>
      </c>
      <c r="M46" s="265"/>
      <c r="N46" s="265"/>
      <c r="O46" s="252"/>
      <c r="P46" s="252"/>
      <c r="Q46" s="966"/>
      <c r="R46" s="965"/>
      <c r="S46" s="904"/>
      <c r="T46" s="259"/>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49"/>
    </row>
    <row r="47" spans="2:43" x14ac:dyDescent="0.2">
      <c r="B47" s="816"/>
      <c r="C47" s="1179"/>
      <c r="D47" s="218"/>
      <c r="E47" s="219"/>
      <c r="F47" s="1"/>
      <c r="G47" s="1"/>
      <c r="H47" s="1"/>
      <c r="I47" s="175"/>
      <c r="J47" s="1"/>
      <c r="K47" s="1"/>
      <c r="L47" s="175"/>
      <c r="M47" s="1"/>
      <c r="N47" s="1"/>
      <c r="O47" s="1"/>
      <c r="P47" s="1"/>
      <c r="Q47" s="966"/>
      <c r="R47" s="965"/>
      <c r="S47" s="904"/>
      <c r="T47" s="259"/>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49"/>
    </row>
    <row r="48" spans="2:43" ht="19.5" x14ac:dyDescent="0.25">
      <c r="B48" s="816"/>
      <c r="C48" s="1179"/>
      <c r="D48" s="218"/>
      <c r="E48" s="219"/>
      <c r="F48" s="1"/>
      <c r="G48" s="1"/>
      <c r="H48" s="1"/>
      <c r="I48" s="948" t="s">
        <v>348</v>
      </c>
      <c r="J48" s="1"/>
      <c r="K48" s="1"/>
      <c r="L48" s="266"/>
      <c r="M48" s="1"/>
      <c r="N48" s="1"/>
      <c r="O48" s="1"/>
      <c r="P48" s="1"/>
      <c r="Q48" s="966"/>
      <c r="R48" s="965"/>
      <c r="S48" s="904"/>
      <c r="T48" s="259"/>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49"/>
    </row>
    <row r="49" spans="2:43" ht="18" x14ac:dyDescent="0.25">
      <c r="B49" s="816"/>
      <c r="C49" s="1179"/>
      <c r="D49" s="218"/>
      <c r="E49" s="219"/>
      <c r="F49" s="1"/>
      <c r="G49" s="1"/>
      <c r="H49" s="1"/>
      <c r="I49" s="948" t="s">
        <v>1175</v>
      </c>
      <c r="J49" s="1"/>
      <c r="K49" s="1"/>
      <c r="L49" s="1"/>
      <c r="M49" s="1"/>
      <c r="N49" s="1"/>
      <c r="O49" s="1"/>
      <c r="P49" s="1"/>
      <c r="Q49" s="966"/>
      <c r="R49" s="965"/>
      <c r="S49" s="904"/>
      <c r="T49" s="259"/>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49"/>
    </row>
    <row r="50" spans="2:43" ht="18" x14ac:dyDescent="0.25">
      <c r="B50" s="816"/>
      <c r="C50" s="1179"/>
      <c r="D50" s="218"/>
      <c r="E50" s="219"/>
      <c r="F50" s="219"/>
      <c r="G50" s="219"/>
      <c r="H50" s="219"/>
      <c r="I50" s="948" t="s">
        <v>1241</v>
      </c>
      <c r="J50" s="219"/>
      <c r="K50" s="219"/>
      <c r="L50" s="219"/>
      <c r="M50" s="219"/>
      <c r="N50" s="219"/>
      <c r="O50" s="219"/>
      <c r="P50" s="219"/>
      <c r="Q50" s="219"/>
      <c r="R50" s="965"/>
      <c r="S50" s="904"/>
      <c r="T50" s="259"/>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49"/>
    </row>
    <row r="51" spans="2:43" ht="8.1" customHeight="1" x14ac:dyDescent="0.2">
      <c r="B51" s="816"/>
      <c r="C51" s="1179"/>
      <c r="D51" s="218"/>
      <c r="E51" s="219"/>
      <c r="F51" s="219"/>
      <c r="G51" s="219"/>
      <c r="H51" s="219"/>
      <c r="I51" s="219"/>
      <c r="J51" s="219"/>
      <c r="K51" s="219"/>
      <c r="L51" s="219"/>
      <c r="M51" s="219"/>
      <c r="N51" s="219"/>
      <c r="O51" s="219"/>
      <c r="P51" s="219"/>
      <c r="Q51" s="219"/>
      <c r="R51" s="965"/>
      <c r="S51" s="904"/>
      <c r="T51" s="259"/>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49"/>
    </row>
    <row r="52" spans="2:43" ht="8.1" customHeight="1" x14ac:dyDescent="0.2">
      <c r="B52" s="816"/>
      <c r="C52" s="1179"/>
      <c r="D52" s="218"/>
      <c r="E52" s="219"/>
      <c r="F52" s="219"/>
      <c r="G52" s="219"/>
      <c r="H52" s="219"/>
      <c r="I52" s="219"/>
      <c r="J52" s="219"/>
      <c r="K52" s="219"/>
      <c r="L52" s="219"/>
      <c r="M52" s="219"/>
      <c r="N52" s="219"/>
      <c r="O52" s="219"/>
      <c r="P52" s="219"/>
      <c r="Q52" s="219"/>
      <c r="R52" s="965"/>
      <c r="S52" s="904"/>
      <c r="T52" s="259"/>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49"/>
    </row>
    <row r="53" spans="2:43" ht="8.1" customHeight="1" x14ac:dyDescent="0.2">
      <c r="B53" s="816"/>
      <c r="C53" s="1179"/>
      <c r="D53" s="218"/>
      <c r="E53" s="219"/>
      <c r="F53" s="219"/>
      <c r="G53" s="219"/>
      <c r="H53" s="219"/>
      <c r="I53" s="219"/>
      <c r="J53" s="219"/>
      <c r="K53" s="219"/>
      <c r="L53" s="219"/>
      <c r="M53" s="219"/>
      <c r="N53" s="219"/>
      <c r="O53" s="219"/>
      <c r="P53" s="219"/>
      <c r="Q53" s="219"/>
      <c r="R53" s="965"/>
      <c r="S53" s="904"/>
      <c r="T53" s="259"/>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49"/>
    </row>
    <row r="54" spans="2:43" ht="8.1" customHeight="1" x14ac:dyDescent="0.2">
      <c r="B54" s="816"/>
      <c r="C54" s="1179"/>
      <c r="D54" s="218"/>
      <c r="E54" s="219"/>
      <c r="F54" s="219"/>
      <c r="G54" s="219"/>
      <c r="H54" s="219"/>
      <c r="I54" s="219"/>
      <c r="J54" s="219"/>
      <c r="K54" s="219"/>
      <c r="L54" s="219"/>
      <c r="M54" s="219"/>
      <c r="N54" s="219"/>
      <c r="O54" s="219"/>
      <c r="P54" s="219"/>
      <c r="Q54" s="219"/>
      <c r="R54" s="965"/>
      <c r="S54" s="904"/>
      <c r="T54" s="259"/>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49"/>
    </row>
    <row r="55" spans="2:43" ht="8.1" customHeight="1" x14ac:dyDescent="0.2">
      <c r="B55" s="816"/>
      <c r="C55" s="1179"/>
      <c r="D55" s="218"/>
      <c r="E55" s="219"/>
      <c r="F55" s="219"/>
      <c r="G55" s="219"/>
      <c r="H55" s="219"/>
      <c r="I55" s="219"/>
      <c r="J55" s="219"/>
      <c r="K55" s="219"/>
      <c r="L55" s="219"/>
      <c r="M55" s="219"/>
      <c r="N55" s="219"/>
      <c r="O55" s="219"/>
      <c r="P55" s="219"/>
      <c r="Q55" s="219"/>
      <c r="R55" s="965"/>
      <c r="S55" s="904"/>
      <c r="T55" s="259"/>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49"/>
    </row>
    <row r="56" spans="2:43" ht="8.1" customHeight="1" x14ac:dyDescent="0.2">
      <c r="B56" s="816"/>
      <c r="C56" s="1179"/>
      <c r="D56" s="218"/>
      <c r="E56" s="219"/>
      <c r="F56" s="219"/>
      <c r="G56" s="219"/>
      <c r="H56" s="219"/>
      <c r="I56" s="219"/>
      <c r="J56" s="219"/>
      <c r="K56" s="219"/>
      <c r="L56" s="219"/>
      <c r="M56" s="219"/>
      <c r="N56" s="219"/>
      <c r="O56" s="219"/>
      <c r="P56" s="219"/>
      <c r="Q56" s="219"/>
      <c r="R56" s="965"/>
      <c r="S56" s="904"/>
      <c r="T56" s="259"/>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49"/>
    </row>
    <row r="57" spans="2:43" ht="8.1" customHeight="1" x14ac:dyDescent="0.2">
      <c r="B57" s="816"/>
      <c r="C57" s="1179"/>
      <c r="D57" s="218"/>
      <c r="E57" s="219"/>
      <c r="F57" s="219"/>
      <c r="G57" s="219"/>
      <c r="H57" s="219"/>
      <c r="I57" s="219"/>
      <c r="J57" s="219"/>
      <c r="K57" s="219"/>
      <c r="L57" s="219"/>
      <c r="M57" s="219"/>
      <c r="N57" s="219"/>
      <c r="O57" s="219"/>
      <c r="P57" s="219"/>
      <c r="Q57" s="219"/>
      <c r="R57" s="965"/>
      <c r="S57" s="904"/>
      <c r="T57" s="259"/>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49"/>
    </row>
    <row r="58" spans="2:43" ht="8.1" customHeight="1" x14ac:dyDescent="0.2">
      <c r="B58" s="816"/>
      <c r="C58" s="1179"/>
      <c r="D58" s="218"/>
      <c r="E58" s="219"/>
      <c r="F58" s="219"/>
      <c r="G58" s="219"/>
      <c r="H58" s="219"/>
      <c r="I58" s="219"/>
      <c r="J58" s="219"/>
      <c r="K58" s="219"/>
      <c r="L58" s="219"/>
      <c r="M58" s="219"/>
      <c r="N58" s="219"/>
      <c r="O58" s="219"/>
      <c r="P58" s="219"/>
      <c r="Q58" s="219"/>
      <c r="R58" s="965"/>
      <c r="S58" s="904"/>
      <c r="T58" s="259"/>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49"/>
    </row>
    <row r="59" spans="2:43" ht="8.1" customHeight="1" x14ac:dyDescent="0.2">
      <c r="B59" s="816"/>
      <c r="C59" s="1179"/>
      <c r="D59" s="218"/>
      <c r="E59" s="219"/>
      <c r="F59" s="219"/>
      <c r="G59" s="219"/>
      <c r="H59" s="219"/>
      <c r="I59" s="219"/>
      <c r="J59" s="219"/>
      <c r="K59" s="219"/>
      <c r="L59" s="219"/>
      <c r="M59" s="219"/>
      <c r="N59" s="219"/>
      <c r="O59" s="219"/>
      <c r="P59" s="219"/>
      <c r="Q59" s="219"/>
      <c r="R59" s="965"/>
      <c r="S59" s="904"/>
      <c r="T59" s="259"/>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49"/>
    </row>
    <row r="60" spans="2:43" ht="8.1" customHeight="1" x14ac:dyDescent="0.2">
      <c r="B60" s="816"/>
      <c r="C60" s="1179"/>
      <c r="D60" s="218"/>
      <c r="E60" s="219"/>
      <c r="F60" s="219"/>
      <c r="G60" s="219"/>
      <c r="H60" s="219"/>
      <c r="I60" s="219"/>
      <c r="J60" s="219"/>
      <c r="K60" s="219"/>
      <c r="L60" s="219"/>
      <c r="M60" s="219"/>
      <c r="N60" s="219"/>
      <c r="O60" s="219"/>
      <c r="P60" s="219"/>
      <c r="Q60" s="219"/>
      <c r="R60" s="965"/>
      <c r="S60" s="904"/>
      <c r="T60" s="259"/>
      <c r="U60" s="412"/>
      <c r="V60" s="412"/>
      <c r="W60" s="412"/>
      <c r="X60" s="412"/>
      <c r="Y60" s="412"/>
      <c r="Z60" s="412"/>
      <c r="AA60" s="412"/>
      <c r="AB60" s="412"/>
      <c r="AC60" s="412"/>
      <c r="AD60" s="412"/>
      <c r="AE60" s="412"/>
      <c r="AF60" s="412"/>
      <c r="AG60" s="412"/>
      <c r="AH60" s="412"/>
      <c r="AI60" s="412"/>
      <c r="AJ60" s="412"/>
      <c r="AK60" s="412"/>
      <c r="AL60" s="412"/>
      <c r="AM60" s="412"/>
      <c r="AN60" s="412"/>
      <c r="AO60" s="412"/>
      <c r="AP60" s="412"/>
      <c r="AQ60" s="449"/>
    </row>
    <row r="61" spans="2:43" ht="8.1" customHeight="1" x14ac:dyDescent="0.2">
      <c r="B61" s="816"/>
      <c r="C61" s="1179"/>
      <c r="D61" s="218"/>
      <c r="E61" s="219"/>
      <c r="F61" s="219"/>
      <c r="G61" s="219"/>
      <c r="H61" s="219"/>
      <c r="I61" s="219"/>
      <c r="J61" s="219"/>
      <c r="K61" s="219"/>
      <c r="L61" s="219"/>
      <c r="M61" s="219"/>
      <c r="N61" s="219"/>
      <c r="O61" s="219"/>
      <c r="P61" s="219"/>
      <c r="Q61" s="219"/>
      <c r="R61" s="965"/>
      <c r="S61" s="904"/>
      <c r="T61" s="259"/>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c r="AQ61" s="449"/>
    </row>
    <row r="62" spans="2:43" ht="8.1" customHeight="1" x14ac:dyDescent="0.2">
      <c r="B62" s="816"/>
      <c r="C62" s="1179"/>
      <c r="D62" s="218"/>
      <c r="E62" s="219"/>
      <c r="F62" s="219"/>
      <c r="G62" s="219"/>
      <c r="H62" s="219"/>
      <c r="I62" s="219"/>
      <c r="J62" s="219"/>
      <c r="K62" s="219"/>
      <c r="L62" s="219"/>
      <c r="M62" s="219"/>
      <c r="N62" s="219"/>
      <c r="O62" s="219"/>
      <c r="P62" s="219"/>
      <c r="Q62" s="219"/>
      <c r="R62" s="965"/>
      <c r="S62" s="904"/>
      <c r="T62" s="259"/>
      <c r="U62" s="412"/>
      <c r="V62" s="412"/>
      <c r="W62" s="412"/>
      <c r="X62" s="412"/>
      <c r="Y62" s="412"/>
      <c r="Z62" s="412"/>
      <c r="AA62" s="412"/>
      <c r="AB62" s="412"/>
      <c r="AC62" s="412"/>
      <c r="AD62" s="412"/>
      <c r="AE62" s="412"/>
      <c r="AF62" s="412"/>
      <c r="AG62" s="412"/>
      <c r="AH62" s="412"/>
      <c r="AI62" s="412"/>
      <c r="AJ62" s="412"/>
      <c r="AK62" s="412"/>
      <c r="AL62" s="412"/>
      <c r="AM62" s="412"/>
      <c r="AN62" s="412"/>
      <c r="AO62" s="412"/>
      <c r="AP62" s="412"/>
      <c r="AQ62" s="449"/>
    </row>
    <row r="63" spans="2:43" ht="8.1" customHeight="1" x14ac:dyDescent="0.2">
      <c r="B63" s="816"/>
      <c r="C63" s="1179"/>
      <c r="D63" s="218"/>
      <c r="E63" s="219"/>
      <c r="F63" s="219"/>
      <c r="G63" s="219"/>
      <c r="H63" s="219"/>
      <c r="I63" s="219"/>
      <c r="J63" s="219"/>
      <c r="K63" s="219"/>
      <c r="L63" s="219"/>
      <c r="M63" s="219"/>
      <c r="N63" s="219"/>
      <c r="O63" s="219"/>
      <c r="P63" s="219"/>
      <c r="Q63" s="219"/>
      <c r="R63" s="965"/>
      <c r="S63" s="904"/>
      <c r="T63" s="259"/>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49"/>
    </row>
    <row r="64" spans="2:43" ht="8.1" customHeight="1" x14ac:dyDescent="0.2">
      <c r="B64" s="816"/>
      <c r="C64" s="1179"/>
      <c r="D64" s="218"/>
      <c r="E64" s="219"/>
      <c r="F64" s="219"/>
      <c r="G64" s="219"/>
      <c r="H64" s="219"/>
      <c r="I64" s="219"/>
      <c r="J64" s="219"/>
      <c r="K64" s="219"/>
      <c r="L64" s="219"/>
      <c r="M64" s="219"/>
      <c r="N64" s="219"/>
      <c r="O64" s="219"/>
      <c r="P64" s="219"/>
      <c r="Q64" s="219"/>
      <c r="R64" s="965"/>
      <c r="S64" s="904"/>
      <c r="T64" s="259"/>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49"/>
    </row>
    <row r="65" spans="2:43" ht="8.1" customHeight="1" x14ac:dyDescent="0.2">
      <c r="B65" s="816"/>
      <c r="C65" s="1179"/>
      <c r="D65" s="218"/>
      <c r="E65" s="219"/>
      <c r="F65" s="219"/>
      <c r="G65" s="219"/>
      <c r="H65" s="219"/>
      <c r="I65" s="219"/>
      <c r="J65" s="219"/>
      <c r="K65" s="219"/>
      <c r="L65" s="219"/>
      <c r="M65" s="219"/>
      <c r="N65" s="219"/>
      <c r="O65" s="219"/>
      <c r="P65" s="219"/>
      <c r="Q65" s="219"/>
      <c r="R65" s="965"/>
      <c r="S65" s="904"/>
      <c r="T65" s="259"/>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49"/>
    </row>
    <row r="66" spans="2:43" ht="8.1" customHeight="1" x14ac:dyDescent="0.2">
      <c r="B66" s="816"/>
      <c r="C66" s="1179"/>
      <c r="D66" s="218"/>
      <c r="E66" s="219"/>
      <c r="F66" s="219"/>
      <c r="G66" s="219"/>
      <c r="H66" s="219"/>
      <c r="I66" s="219"/>
      <c r="J66" s="219"/>
      <c r="K66" s="219"/>
      <c r="L66" s="219"/>
      <c r="M66" s="219"/>
      <c r="N66" s="219"/>
      <c r="O66" s="219"/>
      <c r="P66" s="219"/>
      <c r="Q66" s="219"/>
      <c r="R66" s="965"/>
      <c r="S66" s="904"/>
      <c r="T66" s="259"/>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49"/>
    </row>
    <row r="67" spans="2:43" ht="8.1" customHeight="1" x14ac:dyDescent="0.2">
      <c r="B67" s="816"/>
      <c r="C67" s="1179"/>
      <c r="D67" s="218"/>
      <c r="E67" s="219"/>
      <c r="F67" s="219"/>
      <c r="G67" s="219"/>
      <c r="H67" s="219"/>
      <c r="I67" s="219"/>
      <c r="J67" s="219"/>
      <c r="K67" s="219"/>
      <c r="L67" s="219"/>
      <c r="M67" s="219"/>
      <c r="N67" s="219"/>
      <c r="O67" s="219"/>
      <c r="P67" s="219"/>
      <c r="Q67" s="219"/>
      <c r="R67" s="965"/>
      <c r="S67" s="904"/>
      <c r="T67" s="259"/>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49"/>
    </row>
    <row r="68" spans="2:43" ht="8.1" customHeight="1" x14ac:dyDescent="0.2">
      <c r="B68" s="816"/>
      <c r="C68" s="1179"/>
      <c r="D68" s="218"/>
      <c r="E68" s="219"/>
      <c r="F68" s="219"/>
      <c r="G68" s="219"/>
      <c r="H68" s="219"/>
      <c r="I68" s="219"/>
      <c r="J68" s="219"/>
      <c r="K68" s="219"/>
      <c r="L68" s="219"/>
      <c r="M68" s="219"/>
      <c r="N68" s="219"/>
      <c r="O68" s="219"/>
      <c r="P68" s="219"/>
      <c r="Q68" s="219"/>
      <c r="R68" s="965"/>
      <c r="S68" s="904"/>
      <c r="T68" s="259"/>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49"/>
    </row>
    <row r="69" spans="2:43" ht="8.1" customHeight="1" x14ac:dyDescent="0.2">
      <c r="B69" s="816"/>
      <c r="C69" s="1179"/>
      <c r="D69" s="218"/>
      <c r="E69" s="219"/>
      <c r="F69" s="219"/>
      <c r="G69" s="219"/>
      <c r="H69" s="219"/>
      <c r="I69" s="219"/>
      <c r="J69" s="219"/>
      <c r="K69" s="219"/>
      <c r="L69" s="219"/>
      <c r="M69" s="219"/>
      <c r="N69" s="219"/>
      <c r="O69" s="219"/>
      <c r="P69" s="219"/>
      <c r="Q69" s="219"/>
      <c r="R69" s="965"/>
      <c r="S69" s="904"/>
      <c r="T69" s="259"/>
      <c r="U69" s="412"/>
      <c r="V69" s="412"/>
      <c r="W69" s="412"/>
      <c r="X69" s="412"/>
      <c r="Y69" s="412"/>
      <c r="Z69" s="412"/>
      <c r="AA69" s="412"/>
      <c r="AB69" s="412"/>
      <c r="AC69" s="412"/>
      <c r="AD69" s="412"/>
      <c r="AE69" s="412"/>
      <c r="AF69" s="412"/>
      <c r="AG69" s="412"/>
      <c r="AH69" s="412"/>
      <c r="AI69" s="412"/>
      <c r="AJ69" s="412"/>
      <c r="AK69" s="412"/>
      <c r="AL69" s="412"/>
      <c r="AM69" s="412"/>
      <c r="AN69" s="412"/>
      <c r="AO69" s="412"/>
      <c r="AP69" s="412"/>
      <c r="AQ69" s="449"/>
    </row>
    <row r="70" spans="2:43" ht="8.1" customHeight="1" x14ac:dyDescent="0.2">
      <c r="B70" s="816"/>
      <c r="C70" s="1179"/>
      <c r="D70" s="218"/>
      <c r="E70" s="219"/>
      <c r="F70" s="219"/>
      <c r="G70" s="219"/>
      <c r="H70" s="219"/>
      <c r="I70" s="219"/>
      <c r="J70" s="219"/>
      <c r="K70" s="219"/>
      <c r="L70" s="219"/>
      <c r="M70" s="219"/>
      <c r="N70" s="219"/>
      <c r="O70" s="219"/>
      <c r="P70" s="219"/>
      <c r="Q70" s="219"/>
      <c r="R70" s="965"/>
      <c r="S70" s="904"/>
      <c r="T70" s="259"/>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c r="AQ70" s="449"/>
    </row>
    <row r="71" spans="2:43" ht="8.1" customHeight="1" x14ac:dyDescent="0.2">
      <c r="B71" s="816"/>
      <c r="C71" s="1179"/>
      <c r="D71" s="218"/>
      <c r="E71" s="219"/>
      <c r="F71" s="219"/>
      <c r="G71" s="219"/>
      <c r="H71" s="219"/>
      <c r="I71" s="219"/>
      <c r="J71" s="219"/>
      <c r="K71" s="219"/>
      <c r="L71" s="219"/>
      <c r="M71" s="219"/>
      <c r="N71" s="219"/>
      <c r="O71" s="219"/>
      <c r="P71" s="219"/>
      <c r="Q71" s="219"/>
      <c r="R71" s="965"/>
      <c r="S71" s="904"/>
      <c r="T71" s="259"/>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c r="AQ71" s="449"/>
    </row>
    <row r="72" spans="2:43" ht="8.1" customHeight="1" x14ac:dyDescent="0.2">
      <c r="B72" s="816"/>
      <c r="C72" s="1179"/>
      <c r="D72" s="218"/>
      <c r="E72" s="219"/>
      <c r="F72" s="219"/>
      <c r="G72" s="219"/>
      <c r="H72" s="219"/>
      <c r="I72" s="219"/>
      <c r="J72" s="219"/>
      <c r="K72" s="219"/>
      <c r="L72" s="219"/>
      <c r="M72" s="219"/>
      <c r="N72" s="219"/>
      <c r="O72" s="219"/>
      <c r="P72" s="219"/>
      <c r="Q72" s="219"/>
      <c r="R72" s="965"/>
      <c r="S72" s="904"/>
      <c r="T72" s="259"/>
      <c r="U72" s="412"/>
      <c r="V72" s="412"/>
      <c r="W72" s="412"/>
      <c r="X72" s="412"/>
      <c r="Y72" s="412"/>
      <c r="Z72" s="412"/>
      <c r="AA72" s="412"/>
      <c r="AB72" s="412"/>
      <c r="AC72" s="412"/>
      <c r="AD72" s="412"/>
      <c r="AE72" s="412"/>
      <c r="AF72" s="412"/>
      <c r="AG72" s="412"/>
      <c r="AH72" s="412"/>
      <c r="AI72" s="412"/>
      <c r="AJ72" s="412"/>
      <c r="AK72" s="412"/>
      <c r="AL72" s="412"/>
      <c r="AM72" s="412"/>
      <c r="AN72" s="412"/>
      <c r="AO72" s="412"/>
      <c r="AP72" s="412"/>
      <c r="AQ72" s="449"/>
    </row>
    <row r="73" spans="2:43" ht="8.1" customHeight="1" x14ac:dyDescent="0.2">
      <c r="B73" s="816"/>
      <c r="C73" s="1179"/>
      <c r="D73" s="218"/>
      <c r="E73" s="219"/>
      <c r="F73" s="219"/>
      <c r="G73" s="219"/>
      <c r="H73" s="219"/>
      <c r="I73" s="219"/>
      <c r="J73" s="219"/>
      <c r="K73" s="219"/>
      <c r="L73" s="219"/>
      <c r="M73" s="219"/>
      <c r="N73" s="219"/>
      <c r="O73" s="219"/>
      <c r="P73" s="219"/>
      <c r="Q73" s="219"/>
      <c r="R73" s="965"/>
      <c r="S73" s="904"/>
      <c r="T73" s="259"/>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49"/>
    </row>
    <row r="74" spans="2:43" ht="8.1" customHeight="1" x14ac:dyDescent="0.2">
      <c r="B74" s="816"/>
      <c r="C74" s="1179"/>
      <c r="D74" s="218"/>
      <c r="E74" s="219"/>
      <c r="F74" s="219"/>
      <c r="G74" s="219"/>
      <c r="H74" s="219"/>
      <c r="I74" s="219"/>
      <c r="J74" s="219"/>
      <c r="K74" s="219"/>
      <c r="L74" s="219"/>
      <c r="M74" s="219"/>
      <c r="N74" s="219"/>
      <c r="O74" s="219"/>
      <c r="P74" s="219"/>
      <c r="Q74" s="219"/>
      <c r="R74" s="965"/>
      <c r="S74" s="904"/>
      <c r="T74" s="259"/>
      <c r="U74" s="412"/>
      <c r="V74" s="412"/>
      <c r="W74" s="412"/>
      <c r="X74" s="412"/>
      <c r="Y74" s="412"/>
      <c r="Z74" s="412"/>
      <c r="AA74" s="412"/>
      <c r="AB74" s="412"/>
      <c r="AC74" s="412"/>
      <c r="AD74" s="412"/>
      <c r="AE74" s="412"/>
      <c r="AF74" s="412"/>
      <c r="AG74" s="412"/>
      <c r="AH74" s="412"/>
      <c r="AI74" s="412"/>
      <c r="AJ74" s="412"/>
      <c r="AK74" s="412"/>
      <c r="AL74" s="412"/>
      <c r="AM74" s="412"/>
      <c r="AN74" s="412"/>
      <c r="AO74" s="412"/>
      <c r="AP74" s="412"/>
      <c r="AQ74" s="449"/>
    </row>
    <row r="75" spans="2:43" ht="8.1" customHeight="1" x14ac:dyDescent="0.2">
      <c r="B75" s="816"/>
      <c r="C75" s="1179"/>
      <c r="D75" s="218"/>
      <c r="E75" s="219"/>
      <c r="F75" s="219"/>
      <c r="G75" s="219"/>
      <c r="H75" s="219"/>
      <c r="I75" s="219"/>
      <c r="J75" s="219"/>
      <c r="K75" s="219"/>
      <c r="L75" s="219"/>
      <c r="M75" s="219"/>
      <c r="N75" s="219"/>
      <c r="O75" s="219"/>
      <c r="P75" s="219"/>
      <c r="Q75" s="219"/>
      <c r="R75" s="965"/>
      <c r="S75" s="904"/>
      <c r="T75" s="259"/>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49"/>
    </row>
    <row r="76" spans="2:43" ht="8.1" customHeight="1" x14ac:dyDescent="0.2">
      <c r="B76" s="816"/>
      <c r="C76" s="1179"/>
      <c r="D76" s="218"/>
      <c r="E76" s="219"/>
      <c r="F76" s="219"/>
      <c r="G76" s="219"/>
      <c r="H76" s="219"/>
      <c r="I76" s="219"/>
      <c r="J76" s="219"/>
      <c r="K76" s="219"/>
      <c r="L76" s="219"/>
      <c r="M76" s="219"/>
      <c r="N76" s="219"/>
      <c r="O76" s="219"/>
      <c r="P76" s="219"/>
      <c r="Q76" s="219"/>
      <c r="R76" s="965"/>
      <c r="S76" s="904"/>
      <c r="T76" s="259"/>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49"/>
    </row>
    <row r="77" spans="2:43" ht="8.1" customHeight="1" x14ac:dyDescent="0.2">
      <c r="B77" s="816"/>
      <c r="C77" s="1181"/>
      <c r="D77" s="218"/>
      <c r="E77" s="219"/>
      <c r="F77" s="219"/>
      <c r="G77" s="219"/>
      <c r="H77" s="219"/>
      <c r="I77" s="219"/>
      <c r="J77" s="219"/>
      <c r="K77" s="219"/>
      <c r="L77" s="219"/>
      <c r="M77" s="219"/>
      <c r="N77" s="219"/>
      <c r="O77" s="219"/>
      <c r="P77" s="219"/>
      <c r="Q77" s="219"/>
      <c r="R77" s="965"/>
      <c r="S77" s="904"/>
      <c r="T77" s="259"/>
      <c r="U77" s="820"/>
      <c r="V77" s="412"/>
      <c r="W77" s="412"/>
      <c r="X77" s="412"/>
      <c r="Y77" s="412"/>
      <c r="Z77" s="412"/>
      <c r="AA77" s="412"/>
      <c r="AB77" s="412"/>
      <c r="AC77" s="412"/>
      <c r="AD77" s="412"/>
      <c r="AE77" s="412"/>
      <c r="AF77" s="412"/>
      <c r="AG77" s="412"/>
      <c r="AH77" s="412"/>
      <c r="AI77" s="412"/>
      <c r="AJ77" s="412"/>
      <c r="AK77" s="412"/>
      <c r="AL77" s="412"/>
      <c r="AM77" s="412"/>
      <c r="AN77" s="412"/>
      <c r="AO77" s="412"/>
      <c r="AP77" s="412"/>
      <c r="AQ77" s="449"/>
    </row>
    <row r="78" spans="2:43" ht="8.1" customHeight="1" x14ac:dyDescent="0.2">
      <c r="B78" s="816"/>
      <c r="C78" s="1179"/>
      <c r="D78" s="218"/>
      <c r="E78" s="219"/>
      <c r="F78" s="219"/>
      <c r="G78" s="219"/>
      <c r="H78" s="219"/>
      <c r="I78" s="219"/>
      <c r="J78" s="219"/>
      <c r="K78" s="219"/>
      <c r="L78" s="219"/>
      <c r="M78" s="219"/>
      <c r="N78" s="219"/>
      <c r="O78" s="219"/>
      <c r="P78" s="219"/>
      <c r="Q78" s="219"/>
      <c r="R78" s="965"/>
      <c r="S78" s="904"/>
      <c r="T78" s="259"/>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49"/>
    </row>
    <row r="79" spans="2:43" ht="22.5" customHeight="1" x14ac:dyDescent="0.25">
      <c r="B79" s="816"/>
      <c r="C79" s="1179"/>
      <c r="D79" s="1501" t="str">
        <f>D!$H$6</f>
        <v>MiEmpresa</v>
      </c>
      <c r="E79" s="1502"/>
      <c r="F79" s="1502"/>
      <c r="G79" s="1503" t="s">
        <v>90</v>
      </c>
      <c r="H79" s="1503"/>
      <c r="I79" s="1503"/>
      <c r="J79" s="1503"/>
      <c r="K79" s="1503"/>
      <c r="L79" s="186"/>
      <c r="M79" s="187"/>
      <c r="N79" s="187"/>
      <c r="O79" s="187"/>
      <c r="P79" s="188" t="s">
        <v>589</v>
      </c>
      <c r="Q79" s="238">
        <f>D!$N$6</f>
        <v>2013</v>
      </c>
      <c r="R79" s="967"/>
      <c r="S79" s="904"/>
      <c r="T79" s="259"/>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49"/>
    </row>
    <row r="80" spans="2:43" ht="5.0999999999999996" customHeight="1" x14ac:dyDescent="0.2">
      <c r="B80" s="816"/>
      <c r="C80" s="1179"/>
      <c r="D80" s="185"/>
      <c r="E80" s="189"/>
      <c r="F80" s="189"/>
      <c r="G80" s="189"/>
      <c r="H80" s="189"/>
      <c r="I80" s="189"/>
      <c r="J80" s="189"/>
      <c r="K80" s="189"/>
      <c r="L80" s="189"/>
      <c r="M80" s="189"/>
      <c r="N80" s="189"/>
      <c r="O80" s="189"/>
      <c r="P80" s="189"/>
      <c r="Q80" s="189"/>
      <c r="R80" s="968"/>
      <c r="S80" s="904"/>
      <c r="T80" s="259"/>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49"/>
    </row>
    <row r="81" spans="2:43" ht="15" x14ac:dyDescent="0.2">
      <c r="B81" s="816"/>
      <c r="C81" s="1179"/>
      <c r="D81" s="969" t="s">
        <v>787</v>
      </c>
      <c r="E81" s="228" t="s">
        <v>786</v>
      </c>
      <c r="F81" s="228" t="s">
        <v>820</v>
      </c>
      <c r="G81" s="228" t="str">
        <f>SB!B6</f>
        <v>Enero</v>
      </c>
      <c r="H81" s="228" t="str">
        <f>SB!C6</f>
        <v>Febrero</v>
      </c>
      <c r="I81" s="228" t="str">
        <f>SB!D6</f>
        <v>Marzo</v>
      </c>
      <c r="J81" s="228" t="str">
        <f>SB!E6</f>
        <v>Abril</v>
      </c>
      <c r="K81" s="228" t="str">
        <f>SB!F6</f>
        <v xml:space="preserve">Mayo </v>
      </c>
      <c r="L81" s="228" t="str">
        <f>SB!G6</f>
        <v>Junio</v>
      </c>
      <c r="M81" s="228" t="str">
        <f>SB!H6</f>
        <v>Julio</v>
      </c>
      <c r="N81" s="228" t="str">
        <f>SB!I6</f>
        <v>Agosto</v>
      </c>
      <c r="O81" s="228" t="str">
        <f>SB!J6</f>
        <v>Septiembre</v>
      </c>
      <c r="P81" s="228" t="str">
        <f>SB!K6</f>
        <v>Octubre</v>
      </c>
      <c r="Q81" s="228" t="str">
        <f>SB!L6</f>
        <v>Noviembre</v>
      </c>
      <c r="R81" s="970" t="str">
        <f>SB!M6</f>
        <v>Diciembre</v>
      </c>
      <c r="S81" s="904"/>
      <c r="T81" s="259"/>
      <c r="U81" s="412"/>
      <c r="V81" s="412"/>
      <c r="W81" s="412"/>
      <c r="X81" s="412"/>
      <c r="Y81" s="412"/>
      <c r="Z81" s="412"/>
      <c r="AA81" s="412"/>
      <c r="AB81" s="412"/>
      <c r="AC81" s="412"/>
      <c r="AD81" s="412"/>
      <c r="AE81" s="412"/>
      <c r="AF81" s="412"/>
      <c r="AG81" s="412"/>
      <c r="AH81" s="412"/>
      <c r="AI81" s="412"/>
      <c r="AJ81" s="412"/>
      <c r="AK81" s="412"/>
      <c r="AL81" s="412"/>
      <c r="AM81" s="412"/>
      <c r="AN81" s="412"/>
      <c r="AO81" s="412"/>
      <c r="AP81" s="412"/>
      <c r="AQ81" s="449"/>
    </row>
    <row r="82" spans="2:43" ht="5.25" customHeight="1" x14ac:dyDescent="0.2">
      <c r="B82" s="816"/>
      <c r="C82" s="1179"/>
      <c r="D82" s="971"/>
      <c r="E82" s="190"/>
      <c r="F82" s="190"/>
      <c r="G82" s="190"/>
      <c r="H82" s="190"/>
      <c r="I82" s="190"/>
      <c r="J82" s="190"/>
      <c r="K82" s="190"/>
      <c r="L82" s="190"/>
      <c r="M82" s="190"/>
      <c r="N82" s="190"/>
      <c r="O82" s="190"/>
      <c r="P82" s="190"/>
      <c r="Q82" s="190"/>
      <c r="R82" s="972"/>
      <c r="S82" s="904"/>
      <c r="T82" s="259"/>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49"/>
    </row>
    <row r="83" spans="2:43" ht="15" x14ac:dyDescent="0.2">
      <c r="B83" s="816"/>
      <c r="C83" s="1179"/>
      <c r="D83" s="973" t="s">
        <v>287</v>
      </c>
      <c r="E83" s="221">
        <f>SUM(E84:E85)</f>
        <v>0</v>
      </c>
      <c r="F83" s="223">
        <f>IF(E$89=0,0,(E83/$E$89))</f>
        <v>0</v>
      </c>
      <c r="G83" s="221">
        <f t="shared" ref="G83:R83" si="0">SUM(G84:G85)</f>
        <v>0</v>
      </c>
      <c r="H83" s="221">
        <f t="shared" si="0"/>
        <v>0</v>
      </c>
      <c r="I83" s="221">
        <f t="shared" si="0"/>
        <v>0</v>
      </c>
      <c r="J83" s="221">
        <f t="shared" si="0"/>
        <v>0</v>
      </c>
      <c r="K83" s="221">
        <f t="shared" si="0"/>
        <v>0</v>
      </c>
      <c r="L83" s="221">
        <f t="shared" si="0"/>
        <v>0</v>
      </c>
      <c r="M83" s="221">
        <f t="shared" si="0"/>
        <v>0</v>
      </c>
      <c r="N83" s="221">
        <f t="shared" si="0"/>
        <v>0</v>
      </c>
      <c r="O83" s="221">
        <f t="shared" si="0"/>
        <v>0</v>
      </c>
      <c r="P83" s="221">
        <f t="shared" si="0"/>
        <v>0</v>
      </c>
      <c r="Q83" s="221">
        <f t="shared" si="0"/>
        <v>0</v>
      </c>
      <c r="R83" s="974">
        <f t="shared" si="0"/>
        <v>0</v>
      </c>
      <c r="S83" s="904"/>
      <c r="T83" s="259"/>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49"/>
    </row>
    <row r="84" spans="2:43" ht="14.25" hidden="1" x14ac:dyDescent="0.2">
      <c r="C84" s="1182"/>
      <c r="D84" s="975" t="s">
        <v>288</v>
      </c>
      <c r="E84" s="221">
        <f>SUM(G84:R84)</f>
        <v>0</v>
      </c>
      <c r="F84" s="223">
        <f>IF(E$89=0,0,(E84/$E$89))</f>
        <v>0</v>
      </c>
      <c r="G84" s="221">
        <f>SANDBOX!F5</f>
        <v>0</v>
      </c>
      <c r="H84" s="221">
        <f>SANDBOX!G5</f>
        <v>0</v>
      </c>
      <c r="I84" s="221">
        <f>SANDBOX!H5</f>
        <v>0</v>
      </c>
      <c r="J84" s="221">
        <f>SANDBOX!I5</f>
        <v>0</v>
      </c>
      <c r="K84" s="221">
        <f>SANDBOX!J5</f>
        <v>0</v>
      </c>
      <c r="L84" s="221">
        <f>SANDBOX!K5</f>
        <v>0</v>
      </c>
      <c r="M84" s="221">
        <f>SANDBOX!L5</f>
        <v>0</v>
      </c>
      <c r="N84" s="221">
        <f>SANDBOX!M5</f>
        <v>0</v>
      </c>
      <c r="O84" s="221">
        <f>SANDBOX!N5</f>
        <v>0</v>
      </c>
      <c r="P84" s="221">
        <f>SANDBOX!O5</f>
        <v>0</v>
      </c>
      <c r="Q84" s="221">
        <f>SANDBOX!P5</f>
        <v>0</v>
      </c>
      <c r="R84" s="974">
        <f>SANDBOX!Q5</f>
        <v>0</v>
      </c>
      <c r="S84" s="904"/>
      <c r="T84" s="259"/>
      <c r="U84" s="412"/>
      <c r="V84" s="412"/>
      <c r="W84" s="412"/>
      <c r="X84" s="412"/>
      <c r="Y84" s="412"/>
      <c r="Z84" s="412"/>
      <c r="AA84" s="412"/>
      <c r="AB84" s="412"/>
      <c r="AC84" s="412"/>
      <c r="AD84" s="412"/>
      <c r="AE84" s="412"/>
      <c r="AF84" s="412"/>
      <c r="AG84" s="412"/>
      <c r="AH84" s="412"/>
      <c r="AI84" s="412"/>
      <c r="AJ84" s="412"/>
      <c r="AK84" s="412"/>
      <c r="AL84" s="412"/>
      <c r="AM84" s="412"/>
      <c r="AN84" s="412"/>
      <c r="AO84" s="412"/>
      <c r="AP84" s="412"/>
      <c r="AQ84" s="449"/>
    </row>
    <row r="85" spans="2:43" ht="14.25" hidden="1" x14ac:dyDescent="0.2">
      <c r="C85" s="1182"/>
      <c r="D85" s="975" t="s">
        <v>639</v>
      </c>
      <c r="E85" s="224">
        <f>SUM(G85:R85)</f>
        <v>0</v>
      </c>
      <c r="F85" s="223">
        <f>IF(E$89=0,0,(E85/$E$89))</f>
        <v>0</v>
      </c>
      <c r="G85" s="224">
        <f>-INFORME!G84*SANDBOX!$E$10</f>
        <v>0</v>
      </c>
      <c r="H85" s="224">
        <f>-INFORME!H84*SANDBOX!$E$10</f>
        <v>0</v>
      </c>
      <c r="I85" s="224">
        <f>-INFORME!I84*SANDBOX!$E$10</f>
        <v>0</v>
      </c>
      <c r="J85" s="224">
        <f>-INFORME!J84*SANDBOX!$E$10</f>
        <v>0</v>
      </c>
      <c r="K85" s="224">
        <f>-INFORME!K84*SANDBOX!$E$10</f>
        <v>0</v>
      </c>
      <c r="L85" s="224">
        <f>-INFORME!L84*SANDBOX!$E$10</f>
        <v>0</v>
      </c>
      <c r="M85" s="224">
        <f>-INFORME!M84*SANDBOX!$E$10</f>
        <v>0</v>
      </c>
      <c r="N85" s="224">
        <f>-INFORME!N84*SANDBOX!$E$10</f>
        <v>0</v>
      </c>
      <c r="O85" s="224">
        <f>-INFORME!O84*SANDBOX!$E$10</f>
        <v>0</v>
      </c>
      <c r="P85" s="224">
        <f>-INFORME!P84*SANDBOX!$E$10</f>
        <v>0</v>
      </c>
      <c r="Q85" s="224">
        <f>-INFORME!Q84*SANDBOX!$E$10</f>
        <v>0</v>
      </c>
      <c r="R85" s="976">
        <f>-INFORME!R84*SANDBOX!$E$10</f>
        <v>0</v>
      </c>
      <c r="S85" s="904"/>
      <c r="T85" s="259"/>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c r="AQ85" s="449"/>
    </row>
    <row r="86" spans="2:43" ht="5.0999999999999996" hidden="1" customHeight="1" x14ac:dyDescent="0.2">
      <c r="C86" s="1182"/>
      <c r="D86" s="977"/>
      <c r="E86" s="191"/>
      <c r="F86" s="192"/>
      <c r="G86" s="191"/>
      <c r="H86" s="191"/>
      <c r="I86" s="191"/>
      <c r="J86" s="191"/>
      <c r="K86" s="191"/>
      <c r="L86" s="191"/>
      <c r="M86" s="191"/>
      <c r="N86" s="191"/>
      <c r="O86" s="191"/>
      <c r="P86" s="191"/>
      <c r="Q86" s="191"/>
      <c r="R86" s="978"/>
      <c r="S86" s="904"/>
      <c r="T86" s="259"/>
      <c r="U86" s="412"/>
      <c r="V86" s="412"/>
      <c r="W86" s="412"/>
      <c r="X86" s="412"/>
      <c r="Y86" s="412"/>
      <c r="Z86" s="412"/>
      <c r="AA86" s="412"/>
      <c r="AB86" s="412"/>
      <c r="AC86" s="412"/>
      <c r="AD86" s="412"/>
      <c r="AE86" s="412"/>
      <c r="AF86" s="412"/>
      <c r="AG86" s="412"/>
      <c r="AH86" s="412"/>
      <c r="AI86" s="412"/>
      <c r="AJ86" s="412"/>
      <c r="AK86" s="412"/>
      <c r="AL86" s="412"/>
      <c r="AM86" s="412"/>
      <c r="AN86" s="412"/>
      <c r="AO86" s="412"/>
      <c r="AP86" s="412"/>
      <c r="AQ86" s="449"/>
    </row>
    <row r="87" spans="2:43" ht="15" x14ac:dyDescent="0.2">
      <c r="C87" s="1182"/>
      <c r="D87" s="973" t="s">
        <v>147</v>
      </c>
      <c r="E87" s="221">
        <f>SUM(G87:R87)</f>
        <v>0</v>
      </c>
      <c r="F87" s="223">
        <f>IF(E$89=0,0,(E87/$E$89))</f>
        <v>0</v>
      </c>
      <c r="G87" s="221">
        <f>SANDBOX!F17</f>
        <v>0</v>
      </c>
      <c r="H87" s="221">
        <f>SANDBOX!G17</f>
        <v>0</v>
      </c>
      <c r="I87" s="221">
        <f>SANDBOX!H17</f>
        <v>0</v>
      </c>
      <c r="J87" s="221">
        <f>SANDBOX!I17</f>
        <v>0</v>
      </c>
      <c r="K87" s="221">
        <f>SANDBOX!J17</f>
        <v>0</v>
      </c>
      <c r="L87" s="221">
        <f>SANDBOX!K17</f>
        <v>0</v>
      </c>
      <c r="M87" s="221">
        <f>SANDBOX!L17</f>
        <v>0</v>
      </c>
      <c r="N87" s="221">
        <f>SANDBOX!M17</f>
        <v>0</v>
      </c>
      <c r="O87" s="221">
        <f>SANDBOX!N17</f>
        <v>0</v>
      </c>
      <c r="P87" s="221">
        <f>SANDBOX!O17</f>
        <v>0</v>
      </c>
      <c r="Q87" s="221">
        <f>SANDBOX!P17</f>
        <v>0</v>
      </c>
      <c r="R87" s="974">
        <f>SANDBOX!Q17</f>
        <v>0</v>
      </c>
      <c r="S87" s="904"/>
      <c r="T87" s="259"/>
      <c r="U87" s="412"/>
      <c r="V87" s="412"/>
      <c r="W87" s="412"/>
      <c r="X87" s="412"/>
      <c r="Y87" s="412"/>
      <c r="Z87" s="412"/>
      <c r="AA87" s="412"/>
      <c r="AB87" s="412"/>
      <c r="AC87" s="412"/>
      <c r="AD87" s="412"/>
      <c r="AE87" s="412"/>
      <c r="AF87" s="412"/>
      <c r="AG87" s="412"/>
      <c r="AH87" s="412"/>
      <c r="AI87" s="412"/>
      <c r="AJ87" s="412"/>
      <c r="AK87" s="412"/>
      <c r="AL87" s="412"/>
      <c r="AM87" s="412"/>
      <c r="AN87" s="412"/>
      <c r="AO87" s="412"/>
      <c r="AP87" s="412"/>
      <c r="AQ87" s="449"/>
    </row>
    <row r="88" spans="2:43" ht="5.0999999999999996" customHeight="1" x14ac:dyDescent="0.2">
      <c r="C88" s="1182"/>
      <c r="D88" s="977"/>
      <c r="E88" s="191"/>
      <c r="F88" s="192"/>
      <c r="G88" s="191"/>
      <c r="H88" s="191"/>
      <c r="I88" s="191"/>
      <c r="J88" s="191"/>
      <c r="K88" s="191"/>
      <c r="L88" s="191"/>
      <c r="M88" s="191"/>
      <c r="N88" s="191"/>
      <c r="O88" s="191"/>
      <c r="P88" s="191"/>
      <c r="Q88" s="191"/>
      <c r="R88" s="978"/>
      <c r="S88" s="904"/>
      <c r="T88" s="259"/>
      <c r="U88" s="412"/>
      <c r="V88" s="412"/>
      <c r="W88" s="412"/>
      <c r="X88" s="412"/>
      <c r="Y88" s="412"/>
      <c r="Z88" s="412"/>
      <c r="AA88" s="412"/>
      <c r="AB88" s="412"/>
      <c r="AC88" s="412"/>
      <c r="AD88" s="412"/>
      <c r="AE88" s="412"/>
      <c r="AF88" s="412"/>
      <c r="AG88" s="412"/>
      <c r="AH88" s="412"/>
      <c r="AI88" s="412"/>
      <c r="AJ88" s="412"/>
      <c r="AK88" s="412"/>
      <c r="AL88" s="412"/>
      <c r="AM88" s="412"/>
      <c r="AN88" s="412"/>
      <c r="AO88" s="412"/>
      <c r="AP88" s="412"/>
      <c r="AQ88" s="449"/>
    </row>
    <row r="89" spans="2:43" ht="15" x14ac:dyDescent="0.2">
      <c r="C89" s="1182"/>
      <c r="D89" s="979" t="s">
        <v>1170</v>
      </c>
      <c r="E89" s="232">
        <f>+E87+E83</f>
        <v>0</v>
      </c>
      <c r="F89" s="231"/>
      <c r="G89" s="232">
        <f t="shared" ref="G89:R89" si="1">+G87+G83</f>
        <v>0</v>
      </c>
      <c r="H89" s="232">
        <f t="shared" si="1"/>
        <v>0</v>
      </c>
      <c r="I89" s="232">
        <f t="shared" si="1"/>
        <v>0</v>
      </c>
      <c r="J89" s="232">
        <f t="shared" si="1"/>
        <v>0</v>
      </c>
      <c r="K89" s="232">
        <f t="shared" si="1"/>
        <v>0</v>
      </c>
      <c r="L89" s="232">
        <f t="shared" si="1"/>
        <v>0</v>
      </c>
      <c r="M89" s="232">
        <f t="shared" si="1"/>
        <v>0</v>
      </c>
      <c r="N89" s="232">
        <f t="shared" si="1"/>
        <v>0</v>
      </c>
      <c r="O89" s="232">
        <f t="shared" si="1"/>
        <v>0</v>
      </c>
      <c r="P89" s="232">
        <f t="shared" si="1"/>
        <v>0</v>
      </c>
      <c r="Q89" s="232">
        <f t="shared" si="1"/>
        <v>0</v>
      </c>
      <c r="R89" s="980">
        <f t="shared" si="1"/>
        <v>0</v>
      </c>
      <c r="S89" s="904"/>
      <c r="T89" s="259"/>
      <c r="U89" s="412"/>
      <c r="V89" s="412"/>
      <c r="W89" s="412"/>
      <c r="X89" s="412"/>
      <c r="Y89" s="412"/>
      <c r="Z89" s="412"/>
      <c r="AA89" s="412"/>
      <c r="AB89" s="412"/>
      <c r="AC89" s="412"/>
      <c r="AD89" s="412"/>
      <c r="AE89" s="412"/>
      <c r="AF89" s="412"/>
      <c r="AG89" s="412"/>
      <c r="AH89" s="412"/>
      <c r="AI89" s="412"/>
      <c r="AJ89" s="412"/>
      <c r="AK89" s="412"/>
      <c r="AL89" s="412"/>
      <c r="AM89" s="412"/>
      <c r="AN89" s="412"/>
      <c r="AO89" s="412"/>
      <c r="AP89" s="412"/>
      <c r="AQ89" s="449"/>
    </row>
    <row r="90" spans="2:43" ht="15" customHeight="1" x14ac:dyDescent="0.2">
      <c r="C90" s="1182"/>
      <c r="D90" s="981"/>
      <c r="E90" s="191"/>
      <c r="F90" s="191"/>
      <c r="G90" s="191"/>
      <c r="H90" s="191"/>
      <c r="I90" s="191"/>
      <c r="J90" s="191"/>
      <c r="K90" s="191"/>
      <c r="L90" s="191"/>
      <c r="M90" s="191"/>
      <c r="N90" s="191"/>
      <c r="O90" s="191"/>
      <c r="P90" s="191"/>
      <c r="Q90" s="191"/>
      <c r="R90" s="978"/>
      <c r="S90" s="904"/>
      <c r="T90" s="259"/>
      <c r="U90" s="412"/>
      <c r="V90" s="412"/>
      <c r="W90" s="412"/>
      <c r="X90" s="412"/>
      <c r="Y90" s="412"/>
      <c r="Z90" s="412"/>
      <c r="AA90" s="412"/>
      <c r="AB90" s="412"/>
      <c r="AC90" s="412"/>
      <c r="AD90" s="412"/>
      <c r="AE90" s="412"/>
      <c r="AF90" s="412"/>
      <c r="AG90" s="412"/>
      <c r="AH90" s="412"/>
      <c r="AI90" s="412"/>
      <c r="AJ90" s="412"/>
      <c r="AK90" s="412"/>
      <c r="AL90" s="412"/>
      <c r="AM90" s="412"/>
      <c r="AN90" s="412"/>
      <c r="AO90" s="412"/>
      <c r="AP90" s="412"/>
      <c r="AQ90" s="449"/>
    </row>
    <row r="91" spans="2:43" ht="15" x14ac:dyDescent="0.2">
      <c r="C91" s="1182"/>
      <c r="D91" s="969" t="s">
        <v>789</v>
      </c>
      <c r="E91" s="228" t="str">
        <f>E81</f>
        <v>Total</v>
      </c>
      <c r="F91" s="228" t="s">
        <v>820</v>
      </c>
      <c r="G91" s="228" t="str">
        <f t="shared" ref="G91:R91" si="2">G81</f>
        <v>Enero</v>
      </c>
      <c r="H91" s="228" t="str">
        <f t="shared" si="2"/>
        <v>Febrero</v>
      </c>
      <c r="I91" s="228" t="str">
        <f t="shared" si="2"/>
        <v>Marzo</v>
      </c>
      <c r="J91" s="228" t="str">
        <f t="shared" si="2"/>
        <v>Abril</v>
      </c>
      <c r="K91" s="228" t="str">
        <f t="shared" si="2"/>
        <v xml:space="preserve">Mayo </v>
      </c>
      <c r="L91" s="228" t="str">
        <f t="shared" si="2"/>
        <v>Junio</v>
      </c>
      <c r="M91" s="228" t="str">
        <f t="shared" si="2"/>
        <v>Julio</v>
      </c>
      <c r="N91" s="228" t="str">
        <f t="shared" si="2"/>
        <v>Agosto</v>
      </c>
      <c r="O91" s="228" t="str">
        <f t="shared" si="2"/>
        <v>Septiembre</v>
      </c>
      <c r="P91" s="228" t="str">
        <f t="shared" si="2"/>
        <v>Octubre</v>
      </c>
      <c r="Q91" s="228" t="str">
        <f t="shared" si="2"/>
        <v>Noviembre</v>
      </c>
      <c r="R91" s="970" t="str">
        <f t="shared" si="2"/>
        <v>Diciembre</v>
      </c>
      <c r="S91" s="904"/>
      <c r="T91" s="259"/>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49"/>
    </row>
    <row r="92" spans="2:43" ht="5.0999999999999996" customHeight="1" x14ac:dyDescent="0.2">
      <c r="C92" s="1179"/>
      <c r="D92" s="971"/>
      <c r="E92" s="220"/>
      <c r="F92" s="220"/>
      <c r="G92" s="220"/>
      <c r="H92" s="220"/>
      <c r="I92" s="220"/>
      <c r="J92" s="220"/>
      <c r="K92" s="220"/>
      <c r="L92" s="220"/>
      <c r="M92" s="220"/>
      <c r="N92" s="220"/>
      <c r="O92" s="220"/>
      <c r="P92" s="220"/>
      <c r="Q92" s="220"/>
      <c r="R92" s="982"/>
      <c r="S92" s="904"/>
      <c r="T92" s="259"/>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49"/>
    </row>
    <row r="93" spans="2:43" ht="15" x14ac:dyDescent="0.2">
      <c r="C93" s="1182"/>
      <c r="D93" s="973" t="s">
        <v>793</v>
      </c>
      <c r="E93" s="221">
        <f>SUM(G93:R93)</f>
        <v>0</v>
      </c>
      <c r="F93" s="223">
        <f>IF(E$84=0,0,(E93/$E$84))</f>
        <v>0</v>
      </c>
      <c r="G93" s="221">
        <f>CResult!D14</f>
        <v>0</v>
      </c>
      <c r="H93" s="221">
        <f>CResult!E14</f>
        <v>0</v>
      </c>
      <c r="I93" s="221">
        <f>CResult!F14</f>
        <v>0</v>
      </c>
      <c r="J93" s="221">
        <f>CResult!G14</f>
        <v>0</v>
      </c>
      <c r="K93" s="221">
        <f>CResult!H14</f>
        <v>0</v>
      </c>
      <c r="L93" s="221">
        <f>CResult!I14</f>
        <v>0</v>
      </c>
      <c r="M93" s="221">
        <f>CResult!J14</f>
        <v>0</v>
      </c>
      <c r="N93" s="221">
        <f>CResult!K14</f>
        <v>0</v>
      </c>
      <c r="O93" s="221">
        <f>CResult!L14</f>
        <v>0</v>
      </c>
      <c r="P93" s="221">
        <f>CResult!M14</f>
        <v>0</v>
      </c>
      <c r="Q93" s="221">
        <f>CResult!N14</f>
        <v>0</v>
      </c>
      <c r="R93" s="974">
        <f>CResult!O14</f>
        <v>0</v>
      </c>
      <c r="S93" s="904"/>
      <c r="T93" s="259"/>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821"/>
    </row>
    <row r="94" spans="2:43" ht="14.25" hidden="1" x14ac:dyDescent="0.2">
      <c r="C94" s="1182"/>
      <c r="D94" s="975" t="s">
        <v>160</v>
      </c>
      <c r="E94" s="221">
        <f>+G94</f>
        <v>0</v>
      </c>
      <c r="F94" s="222"/>
      <c r="G94" s="221">
        <f>CResult!D15</f>
        <v>0</v>
      </c>
      <c r="H94" s="221">
        <f>CResult!E15</f>
        <v>0</v>
      </c>
      <c r="I94" s="221">
        <f>CResult!F15</f>
        <v>0</v>
      </c>
      <c r="J94" s="221">
        <f>CResult!G15</f>
        <v>0</v>
      </c>
      <c r="K94" s="221">
        <f>CResult!H15</f>
        <v>0</v>
      </c>
      <c r="L94" s="221">
        <f>CResult!I15</f>
        <v>0</v>
      </c>
      <c r="M94" s="221">
        <f>CResult!J15</f>
        <v>0</v>
      </c>
      <c r="N94" s="221">
        <f>CResult!K15</f>
        <v>0</v>
      </c>
      <c r="O94" s="221">
        <f>CResult!L15</f>
        <v>0</v>
      </c>
      <c r="P94" s="221">
        <f>CResult!M15</f>
        <v>0</v>
      </c>
      <c r="Q94" s="221">
        <f>CResult!N15</f>
        <v>0</v>
      </c>
      <c r="R94" s="974">
        <f>CResult!O15</f>
        <v>0</v>
      </c>
      <c r="S94" s="904"/>
      <c r="T94" s="259"/>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49"/>
    </row>
    <row r="95" spans="2:43" ht="14.25" hidden="1" x14ac:dyDescent="0.2">
      <c r="C95" s="1182"/>
      <c r="D95" s="975" t="s">
        <v>161</v>
      </c>
      <c r="E95" s="221">
        <f>SUM(G95:R95)</f>
        <v>0</v>
      </c>
      <c r="F95" s="223">
        <f>IF(E$84=0,0,(E95/$E$84))</f>
        <v>0</v>
      </c>
      <c r="G95" s="221">
        <f>CResult!D20</f>
        <v>0</v>
      </c>
      <c r="H95" s="221">
        <f>CResult!E20</f>
        <v>0</v>
      </c>
      <c r="I95" s="221">
        <f>CResult!F20</f>
        <v>0</v>
      </c>
      <c r="J95" s="221">
        <f>CResult!G20</f>
        <v>0</v>
      </c>
      <c r="K95" s="221">
        <f>CResult!H20</f>
        <v>0</v>
      </c>
      <c r="L95" s="221">
        <f>CResult!I20</f>
        <v>0</v>
      </c>
      <c r="M95" s="221">
        <f>CResult!J20</f>
        <v>0</v>
      </c>
      <c r="N95" s="221">
        <f>CResult!K20</f>
        <v>0</v>
      </c>
      <c r="O95" s="221">
        <f>CResult!L20</f>
        <v>0</v>
      </c>
      <c r="P95" s="221">
        <f>CResult!M20</f>
        <v>0</v>
      </c>
      <c r="Q95" s="221">
        <f>CResult!N20</f>
        <v>0</v>
      </c>
      <c r="R95" s="974">
        <f>CResult!O20</f>
        <v>0</v>
      </c>
      <c r="S95" s="904"/>
      <c r="T95" s="259"/>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49"/>
    </row>
    <row r="96" spans="2:43" ht="14.25" hidden="1" x14ac:dyDescent="0.2">
      <c r="C96" s="1182"/>
      <c r="D96" s="975" t="s">
        <v>162</v>
      </c>
      <c r="E96" s="221">
        <f>+R96</f>
        <v>0</v>
      </c>
      <c r="F96" s="222"/>
      <c r="G96" s="221">
        <f>CResult!D21</f>
        <v>0</v>
      </c>
      <c r="H96" s="221">
        <f>CResult!E21</f>
        <v>0</v>
      </c>
      <c r="I96" s="221">
        <f>CResult!F21</f>
        <v>0</v>
      </c>
      <c r="J96" s="221">
        <f>CResult!G21</f>
        <v>0</v>
      </c>
      <c r="K96" s="221">
        <f>CResult!H21</f>
        <v>0</v>
      </c>
      <c r="L96" s="221">
        <f>CResult!I21</f>
        <v>0</v>
      </c>
      <c r="M96" s="221">
        <f>CResult!J21</f>
        <v>0</v>
      </c>
      <c r="N96" s="221">
        <f>CResult!K21</f>
        <v>0</v>
      </c>
      <c r="O96" s="221">
        <f>CResult!L21</f>
        <v>0</v>
      </c>
      <c r="P96" s="221">
        <f>CResult!M21</f>
        <v>0</v>
      </c>
      <c r="Q96" s="221">
        <f>CResult!N21</f>
        <v>0</v>
      </c>
      <c r="R96" s="974">
        <f>CResult!O21</f>
        <v>0</v>
      </c>
      <c r="S96" s="904"/>
      <c r="T96" s="259"/>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49"/>
    </row>
    <row r="97" spans="3:43" ht="5.0999999999999996" customHeight="1" x14ac:dyDescent="0.2">
      <c r="C97" s="1182"/>
      <c r="D97" s="977"/>
      <c r="E97" s="191"/>
      <c r="F97" s="192"/>
      <c r="G97" s="191"/>
      <c r="H97" s="191"/>
      <c r="I97" s="191"/>
      <c r="J97" s="191"/>
      <c r="K97" s="191"/>
      <c r="L97" s="191"/>
      <c r="M97" s="191"/>
      <c r="N97" s="191"/>
      <c r="O97" s="191"/>
      <c r="P97" s="191"/>
      <c r="Q97" s="191"/>
      <c r="R97" s="978"/>
      <c r="S97" s="904"/>
      <c r="T97" s="259"/>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49"/>
    </row>
    <row r="98" spans="3:43" ht="15" x14ac:dyDescent="0.2">
      <c r="C98" s="1182"/>
      <c r="D98" s="973" t="s">
        <v>1523</v>
      </c>
      <c r="E98" s="221">
        <f>SUM(G98:R98)</f>
        <v>0</v>
      </c>
      <c r="F98" s="223">
        <f>IF(E$83=0,0,(E98/$E$83))</f>
        <v>0</v>
      </c>
      <c r="G98" s="221">
        <f>SUM(G99:G100)</f>
        <v>0</v>
      </c>
      <c r="H98" s="221">
        <f t="shared" ref="H98:R98" si="3">SUM(H99:H100)</f>
        <v>0</v>
      </c>
      <c r="I98" s="221">
        <f t="shared" si="3"/>
        <v>0</v>
      </c>
      <c r="J98" s="221">
        <f t="shared" si="3"/>
        <v>0</v>
      </c>
      <c r="K98" s="221">
        <f t="shared" si="3"/>
        <v>0</v>
      </c>
      <c r="L98" s="221">
        <f t="shared" si="3"/>
        <v>0</v>
      </c>
      <c r="M98" s="221">
        <f t="shared" si="3"/>
        <v>0</v>
      </c>
      <c r="N98" s="221">
        <f t="shared" si="3"/>
        <v>0</v>
      </c>
      <c r="O98" s="221">
        <f t="shared" si="3"/>
        <v>0</v>
      </c>
      <c r="P98" s="221">
        <f t="shared" si="3"/>
        <v>0</v>
      </c>
      <c r="Q98" s="221">
        <f t="shared" si="3"/>
        <v>0</v>
      </c>
      <c r="R98" s="974">
        <f t="shared" si="3"/>
        <v>0</v>
      </c>
      <c r="S98" s="904"/>
      <c r="T98" s="259"/>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49"/>
    </row>
    <row r="99" spans="3:43" ht="14.25" x14ac:dyDescent="0.2">
      <c r="C99" s="1182"/>
      <c r="D99" s="975" t="s">
        <v>949</v>
      </c>
      <c r="E99" s="221">
        <f>SUM(G99:R99)</f>
        <v>0</v>
      </c>
      <c r="F99" s="223">
        <f>IF(E$83=0,0,(E99/$E$83))</f>
        <v>0</v>
      </c>
      <c r="G99" s="221">
        <f>+SANDBOX!F42*INFORME!G83</f>
        <v>0</v>
      </c>
      <c r="H99" s="221">
        <f>+SANDBOX!G42*INFORME!H83</f>
        <v>0</v>
      </c>
      <c r="I99" s="221">
        <f>+SANDBOX!H42*INFORME!I83</f>
        <v>0</v>
      </c>
      <c r="J99" s="221">
        <f>+SANDBOX!I42*INFORME!J83</f>
        <v>0</v>
      </c>
      <c r="K99" s="221">
        <f>+SANDBOX!J42*INFORME!K83</f>
        <v>0</v>
      </c>
      <c r="L99" s="221">
        <f>+SANDBOX!K42*INFORME!L83</f>
        <v>0</v>
      </c>
      <c r="M99" s="221">
        <f>+SANDBOX!L42*INFORME!M83</f>
        <v>0</v>
      </c>
      <c r="N99" s="221">
        <f>+SANDBOX!M42*INFORME!N83</f>
        <v>0</v>
      </c>
      <c r="O99" s="221">
        <f>+SANDBOX!N42*INFORME!O83</f>
        <v>0</v>
      </c>
      <c r="P99" s="221">
        <f>+SANDBOX!O42*INFORME!P83</f>
        <v>0</v>
      </c>
      <c r="Q99" s="221">
        <f>+SANDBOX!P42*INFORME!Q83</f>
        <v>0</v>
      </c>
      <c r="R99" s="974">
        <f>+SANDBOX!Q42*INFORME!R83</f>
        <v>0</v>
      </c>
      <c r="S99" s="904"/>
      <c r="T99" s="259"/>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c r="AQ99" s="449"/>
    </row>
    <row r="100" spans="3:43" ht="14.25" x14ac:dyDescent="0.2">
      <c r="C100" s="1182"/>
      <c r="D100" s="975" t="s">
        <v>1365</v>
      </c>
      <c r="E100" s="221">
        <f>SUM(G100:R100)</f>
        <v>0</v>
      </c>
      <c r="F100" s="223">
        <f>IF(E$83=0,0,(E100/$E$83))</f>
        <v>0</v>
      </c>
      <c r="G100" s="221">
        <f>SANDBOX!F38+SANDBOX!Q106</f>
        <v>0</v>
      </c>
      <c r="H100" s="221">
        <f>SANDBOX!G38</f>
        <v>0</v>
      </c>
      <c r="I100" s="221">
        <f>SANDBOX!H38</f>
        <v>0</v>
      </c>
      <c r="J100" s="221">
        <f>SANDBOX!I38</f>
        <v>0</v>
      </c>
      <c r="K100" s="221">
        <f>SANDBOX!J38</f>
        <v>0</v>
      </c>
      <c r="L100" s="221">
        <f>SANDBOX!K38</f>
        <v>0</v>
      </c>
      <c r="M100" s="221">
        <f>SANDBOX!L38</f>
        <v>0</v>
      </c>
      <c r="N100" s="221">
        <f>SANDBOX!M38</f>
        <v>0</v>
      </c>
      <c r="O100" s="221">
        <f>SANDBOX!N38</f>
        <v>0</v>
      </c>
      <c r="P100" s="221">
        <f>SANDBOX!O38</f>
        <v>0</v>
      </c>
      <c r="Q100" s="221">
        <f>SANDBOX!P38</f>
        <v>0</v>
      </c>
      <c r="R100" s="974">
        <f>SANDBOX!Q38</f>
        <v>0</v>
      </c>
      <c r="S100" s="904"/>
      <c r="T100" s="259"/>
      <c r="U100" s="412"/>
      <c r="V100" s="412"/>
      <c r="W100" s="412"/>
      <c r="X100" s="412"/>
      <c r="Y100" s="412"/>
      <c r="Z100" s="412"/>
      <c r="AA100" s="412"/>
      <c r="AB100" s="412"/>
      <c r="AC100" s="412"/>
      <c r="AD100" s="412"/>
      <c r="AE100" s="412"/>
      <c r="AF100" s="412"/>
      <c r="AG100" s="412"/>
      <c r="AH100" s="412"/>
      <c r="AI100" s="412"/>
      <c r="AJ100" s="412"/>
      <c r="AK100" s="412"/>
      <c r="AL100" s="412"/>
      <c r="AM100" s="412"/>
      <c r="AN100" s="412"/>
      <c r="AO100" s="412"/>
      <c r="AP100" s="412"/>
      <c r="AQ100" s="449"/>
    </row>
    <row r="101" spans="3:43" ht="5.0999999999999996" customHeight="1" x14ac:dyDescent="0.2">
      <c r="C101" s="1182"/>
      <c r="D101" s="977"/>
      <c r="E101" s="191"/>
      <c r="F101" s="192"/>
      <c r="G101" s="191"/>
      <c r="H101" s="191"/>
      <c r="I101" s="191"/>
      <c r="J101" s="191"/>
      <c r="K101" s="191"/>
      <c r="L101" s="191"/>
      <c r="M101" s="191"/>
      <c r="N101" s="191"/>
      <c r="O101" s="191"/>
      <c r="P101" s="191"/>
      <c r="Q101" s="191"/>
      <c r="R101" s="978"/>
      <c r="S101" s="904"/>
      <c r="T101" s="259"/>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49"/>
    </row>
    <row r="102" spans="3:43" ht="15" x14ac:dyDescent="0.2">
      <c r="C102" s="1182"/>
      <c r="D102" s="973" t="s">
        <v>130</v>
      </c>
      <c r="E102" s="221">
        <f>SUM(G102:R102)</f>
        <v>0</v>
      </c>
      <c r="F102" s="223">
        <f>IF(E$83=0,0,(E102/$E$83))</f>
        <v>0</v>
      </c>
      <c r="G102" s="221">
        <f>SUM(G103:G106)</f>
        <v>0</v>
      </c>
      <c r="H102" s="221">
        <f t="shared" ref="H102:R102" si="4">SUM(H103:H106)</f>
        <v>0</v>
      </c>
      <c r="I102" s="221">
        <f t="shared" si="4"/>
        <v>0</v>
      </c>
      <c r="J102" s="221">
        <f t="shared" si="4"/>
        <v>0</v>
      </c>
      <c r="K102" s="221">
        <f t="shared" si="4"/>
        <v>0</v>
      </c>
      <c r="L102" s="221">
        <f t="shared" si="4"/>
        <v>0</v>
      </c>
      <c r="M102" s="221">
        <f t="shared" si="4"/>
        <v>0</v>
      </c>
      <c r="N102" s="221">
        <f t="shared" si="4"/>
        <v>0</v>
      </c>
      <c r="O102" s="221">
        <f t="shared" si="4"/>
        <v>0</v>
      </c>
      <c r="P102" s="221">
        <f t="shared" si="4"/>
        <v>0</v>
      </c>
      <c r="Q102" s="221">
        <f t="shared" si="4"/>
        <v>0</v>
      </c>
      <c r="R102" s="974">
        <f t="shared" si="4"/>
        <v>0</v>
      </c>
      <c r="S102" s="904"/>
      <c r="T102" s="259"/>
      <c r="U102" s="412"/>
      <c r="V102" s="412"/>
      <c r="W102" s="412"/>
      <c r="X102" s="412"/>
      <c r="Y102" s="412"/>
      <c r="Z102" s="412"/>
      <c r="AA102" s="412"/>
      <c r="AB102" s="412"/>
      <c r="AC102" s="412"/>
      <c r="AD102" s="412"/>
      <c r="AE102" s="412"/>
      <c r="AF102" s="412"/>
      <c r="AG102" s="412"/>
      <c r="AH102" s="412"/>
      <c r="AI102" s="412"/>
      <c r="AJ102" s="412"/>
      <c r="AK102" s="412"/>
      <c r="AL102" s="412"/>
      <c r="AM102" s="412"/>
      <c r="AN102" s="412"/>
      <c r="AO102" s="412"/>
      <c r="AP102" s="412"/>
      <c r="AQ102" s="449"/>
    </row>
    <row r="103" spans="3:43" ht="14.25" x14ac:dyDescent="0.2">
      <c r="C103" s="1182"/>
      <c r="D103" s="975" t="s">
        <v>157</v>
      </c>
      <c r="E103" s="221">
        <f>SUM(G103:R103)</f>
        <v>0</v>
      </c>
      <c r="F103" s="223">
        <f>IF(E$83=0,0,(E103/$E$83))</f>
        <v>0</v>
      </c>
      <c r="G103" s="221">
        <f>SANDBOX!H984</f>
        <v>0</v>
      </c>
      <c r="H103" s="221">
        <f>SANDBOX!I984</f>
        <v>0</v>
      </c>
      <c r="I103" s="221">
        <f>SANDBOX!J984</f>
        <v>0</v>
      </c>
      <c r="J103" s="221">
        <f>SANDBOX!K984</f>
        <v>0</v>
      </c>
      <c r="K103" s="221">
        <f>SANDBOX!L984</f>
        <v>0</v>
      </c>
      <c r="L103" s="221">
        <f>SANDBOX!M984</f>
        <v>0</v>
      </c>
      <c r="M103" s="221">
        <f>SANDBOX!N984</f>
        <v>0</v>
      </c>
      <c r="N103" s="221">
        <f>SANDBOX!O984</f>
        <v>0</v>
      </c>
      <c r="O103" s="221">
        <f>SANDBOX!P984</f>
        <v>0</v>
      </c>
      <c r="P103" s="221">
        <f>SANDBOX!Q984</f>
        <v>0</v>
      </c>
      <c r="Q103" s="221">
        <f>SANDBOX!R984</f>
        <v>0</v>
      </c>
      <c r="R103" s="974">
        <f>SANDBOX!S984</f>
        <v>0</v>
      </c>
      <c r="S103" s="904"/>
      <c r="T103" s="259"/>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49"/>
    </row>
    <row r="104" spans="3:43" ht="14.25" x14ac:dyDescent="0.2">
      <c r="C104" s="1182"/>
      <c r="D104" s="975" t="s">
        <v>948</v>
      </c>
      <c r="E104" s="221">
        <f>SUM(G104:R104)</f>
        <v>0</v>
      </c>
      <c r="F104" s="223">
        <f>IF(E$83=0,0,(E104/$E$83))</f>
        <v>0</v>
      </c>
      <c r="G104" s="221">
        <f>SANDBOX!H791</f>
        <v>0</v>
      </c>
      <c r="H104" s="221">
        <f>SANDBOX!I791</f>
        <v>0</v>
      </c>
      <c r="I104" s="221">
        <f>SANDBOX!J791</f>
        <v>0</v>
      </c>
      <c r="J104" s="221">
        <f>SANDBOX!K791</f>
        <v>0</v>
      </c>
      <c r="K104" s="221">
        <f>SANDBOX!L791</f>
        <v>0</v>
      </c>
      <c r="L104" s="221">
        <f>SANDBOX!M791</f>
        <v>0</v>
      </c>
      <c r="M104" s="221">
        <f>SANDBOX!N791</f>
        <v>0</v>
      </c>
      <c r="N104" s="221">
        <f>SANDBOX!O791</f>
        <v>0</v>
      </c>
      <c r="O104" s="221">
        <f>SANDBOX!P791</f>
        <v>0</v>
      </c>
      <c r="P104" s="221">
        <f>SANDBOX!Q791</f>
        <v>0</v>
      </c>
      <c r="Q104" s="221">
        <f>SANDBOX!R791</f>
        <v>0</v>
      </c>
      <c r="R104" s="974">
        <f>SANDBOX!S791</f>
        <v>0</v>
      </c>
      <c r="S104" s="904"/>
      <c r="T104" s="259"/>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c r="AQ104" s="449"/>
    </row>
    <row r="105" spans="3:43" ht="14.25" x14ac:dyDescent="0.2">
      <c r="C105" s="1182"/>
      <c r="D105" s="975" t="s">
        <v>155</v>
      </c>
      <c r="E105" s="221">
        <f>SUM(G105:R105)</f>
        <v>0</v>
      </c>
      <c r="F105" s="223">
        <f>IF(E$83=0,0,(E105/$E$83))</f>
        <v>0</v>
      </c>
      <c r="G105" s="221">
        <f>SANDBOX!H792</f>
        <v>0</v>
      </c>
      <c r="H105" s="221">
        <f>SANDBOX!I792</f>
        <v>0</v>
      </c>
      <c r="I105" s="221">
        <f>SANDBOX!J792</f>
        <v>0</v>
      </c>
      <c r="J105" s="221">
        <f>SANDBOX!K792</f>
        <v>0</v>
      </c>
      <c r="K105" s="221">
        <f>SANDBOX!L792</f>
        <v>0</v>
      </c>
      <c r="L105" s="221">
        <f>SANDBOX!M792</f>
        <v>0</v>
      </c>
      <c r="M105" s="221">
        <f>SANDBOX!N792</f>
        <v>0</v>
      </c>
      <c r="N105" s="221">
        <f>SANDBOX!O792</f>
        <v>0</v>
      </c>
      <c r="O105" s="221">
        <f>SANDBOX!P792</f>
        <v>0</v>
      </c>
      <c r="P105" s="221">
        <f>SANDBOX!Q792</f>
        <v>0</v>
      </c>
      <c r="Q105" s="221">
        <f>SANDBOX!R792</f>
        <v>0</v>
      </c>
      <c r="R105" s="974">
        <f>SANDBOX!S792</f>
        <v>0</v>
      </c>
      <c r="S105" s="904"/>
      <c r="T105" s="259"/>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49"/>
    </row>
    <row r="106" spans="3:43" ht="14.25" x14ac:dyDescent="0.2">
      <c r="C106" s="1182"/>
      <c r="D106" s="975" t="s">
        <v>156</v>
      </c>
      <c r="E106" s="221">
        <f>SUM(G106:R106)</f>
        <v>0</v>
      </c>
      <c r="F106" s="223">
        <f>IF(E$83=0,0,(E106/$E$83))</f>
        <v>0</v>
      </c>
      <c r="G106" s="221">
        <f>SANDBOX!H793</f>
        <v>0</v>
      </c>
      <c r="H106" s="221">
        <f>SANDBOX!I793</f>
        <v>0</v>
      </c>
      <c r="I106" s="221">
        <f>SANDBOX!J793</f>
        <v>0</v>
      </c>
      <c r="J106" s="221">
        <f>SANDBOX!K793</f>
        <v>0</v>
      </c>
      <c r="K106" s="221">
        <f>SANDBOX!L793</f>
        <v>0</v>
      </c>
      <c r="L106" s="221">
        <f>SANDBOX!M793</f>
        <v>0</v>
      </c>
      <c r="M106" s="221">
        <f>SANDBOX!N793</f>
        <v>0</v>
      </c>
      <c r="N106" s="221">
        <f>SANDBOX!O793</f>
        <v>0</v>
      </c>
      <c r="O106" s="221">
        <f>SANDBOX!P793</f>
        <v>0</v>
      </c>
      <c r="P106" s="221">
        <f>SANDBOX!Q793</f>
        <v>0</v>
      </c>
      <c r="Q106" s="221">
        <f>SANDBOX!R793</f>
        <v>0</v>
      </c>
      <c r="R106" s="974">
        <f>SANDBOX!S793</f>
        <v>0</v>
      </c>
      <c r="S106" s="904"/>
      <c r="T106" s="259"/>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49"/>
    </row>
    <row r="107" spans="3:43" ht="5.0999999999999996" customHeight="1" x14ac:dyDescent="0.2">
      <c r="C107" s="1182"/>
      <c r="D107" s="977"/>
      <c r="E107" s="191"/>
      <c r="F107" s="192"/>
      <c r="G107" s="191"/>
      <c r="H107" s="191"/>
      <c r="I107" s="191"/>
      <c r="J107" s="191"/>
      <c r="K107" s="191"/>
      <c r="L107" s="191"/>
      <c r="M107" s="191"/>
      <c r="N107" s="191"/>
      <c r="O107" s="191"/>
      <c r="P107" s="191"/>
      <c r="Q107" s="191"/>
      <c r="R107" s="978"/>
      <c r="S107" s="904"/>
      <c r="T107" s="259"/>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49"/>
    </row>
    <row r="108" spans="3:43" ht="15" x14ac:dyDescent="0.2">
      <c r="C108" s="1182"/>
      <c r="D108" s="973" t="s">
        <v>608</v>
      </c>
      <c r="E108" s="221">
        <f>SUM(G108:R108)</f>
        <v>0</v>
      </c>
      <c r="F108" s="223">
        <f>IF(E$83=0,0,(E108/$E$83))</f>
        <v>0</v>
      </c>
      <c r="G108" s="221">
        <f>SUM(G109:G112)</f>
        <v>0</v>
      </c>
      <c r="H108" s="221">
        <f t="shared" ref="H108:R108" si="5">SUM(H109:H112)</f>
        <v>0</v>
      </c>
      <c r="I108" s="221">
        <f t="shared" si="5"/>
        <v>0</v>
      </c>
      <c r="J108" s="221">
        <f t="shared" si="5"/>
        <v>0</v>
      </c>
      <c r="K108" s="221">
        <f t="shared" si="5"/>
        <v>0</v>
      </c>
      <c r="L108" s="221">
        <f t="shared" si="5"/>
        <v>0</v>
      </c>
      <c r="M108" s="221">
        <f t="shared" si="5"/>
        <v>0</v>
      </c>
      <c r="N108" s="221">
        <f t="shared" si="5"/>
        <v>0</v>
      </c>
      <c r="O108" s="221">
        <f t="shared" si="5"/>
        <v>0</v>
      </c>
      <c r="P108" s="221">
        <f t="shared" si="5"/>
        <v>0</v>
      </c>
      <c r="Q108" s="221">
        <f t="shared" si="5"/>
        <v>0</v>
      </c>
      <c r="R108" s="974">
        <f t="shared" si="5"/>
        <v>0</v>
      </c>
      <c r="S108" s="904"/>
      <c r="T108" s="259"/>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49"/>
    </row>
    <row r="109" spans="3:43" ht="14.25" x14ac:dyDescent="0.2">
      <c r="C109" s="1182"/>
      <c r="D109" s="983" t="str">
        <f>SANDBOX!$D$48</f>
        <v xml:space="preserve">Publicidad </v>
      </c>
      <c r="E109" s="221">
        <f>SUM(G109:R109)</f>
        <v>0</v>
      </c>
      <c r="F109" s="223">
        <f>IF(E$83=0,0,(E109/$E$83))</f>
        <v>0</v>
      </c>
      <c r="G109" s="221">
        <f>SANDBOX!F48</f>
        <v>0</v>
      </c>
      <c r="H109" s="221">
        <f>SANDBOX!G48</f>
        <v>0</v>
      </c>
      <c r="I109" s="221">
        <f>SANDBOX!H48</f>
        <v>0</v>
      </c>
      <c r="J109" s="221">
        <f>SANDBOX!I48</f>
        <v>0</v>
      </c>
      <c r="K109" s="221">
        <f>SANDBOX!J48</f>
        <v>0</v>
      </c>
      <c r="L109" s="221">
        <f>SANDBOX!K48</f>
        <v>0</v>
      </c>
      <c r="M109" s="221">
        <f>SANDBOX!L48</f>
        <v>0</v>
      </c>
      <c r="N109" s="221">
        <f>SANDBOX!M48</f>
        <v>0</v>
      </c>
      <c r="O109" s="221">
        <f>SANDBOX!N48</f>
        <v>0</v>
      </c>
      <c r="P109" s="221">
        <f>SANDBOX!O48</f>
        <v>0</v>
      </c>
      <c r="Q109" s="221">
        <f>SANDBOX!P48</f>
        <v>0</v>
      </c>
      <c r="R109" s="974">
        <f>SANDBOX!Q48</f>
        <v>0</v>
      </c>
      <c r="S109" s="904"/>
      <c r="T109" s="259"/>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49"/>
    </row>
    <row r="110" spans="3:43" ht="14.25" x14ac:dyDescent="0.2">
      <c r="C110" s="1182"/>
      <c r="D110" s="983" t="str">
        <f>SANDBOX!$D$51</f>
        <v>Relaciones Púb.</v>
      </c>
      <c r="E110" s="221">
        <f>SUM(G110:R110)</f>
        <v>0</v>
      </c>
      <c r="F110" s="223">
        <f>IF(E$83=0,0,(E110/$E$83))</f>
        <v>0</v>
      </c>
      <c r="G110" s="221">
        <f>SANDBOX!F51+SANDBOX!Q114</f>
        <v>0</v>
      </c>
      <c r="H110" s="221">
        <f>SANDBOX!G51</f>
        <v>0</v>
      </c>
      <c r="I110" s="221">
        <f>SANDBOX!H51</f>
        <v>0</v>
      </c>
      <c r="J110" s="221">
        <f>SANDBOX!I51</f>
        <v>0</v>
      </c>
      <c r="K110" s="221">
        <f>SANDBOX!J51</f>
        <v>0</v>
      </c>
      <c r="L110" s="221">
        <f>SANDBOX!K51</f>
        <v>0</v>
      </c>
      <c r="M110" s="221">
        <f>SANDBOX!L51</f>
        <v>0</v>
      </c>
      <c r="N110" s="221">
        <f>SANDBOX!M51</f>
        <v>0</v>
      </c>
      <c r="O110" s="221">
        <f>SANDBOX!N51</f>
        <v>0</v>
      </c>
      <c r="P110" s="221">
        <f>SANDBOX!O51</f>
        <v>0</v>
      </c>
      <c r="Q110" s="221">
        <f>SANDBOX!P51</f>
        <v>0</v>
      </c>
      <c r="R110" s="974">
        <f>SANDBOX!Q51</f>
        <v>0</v>
      </c>
      <c r="S110" s="904"/>
      <c r="T110" s="259"/>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c r="AQ110" s="449"/>
    </row>
    <row r="111" spans="3:43" ht="14.25" x14ac:dyDescent="0.2">
      <c r="C111" s="1182"/>
      <c r="D111" s="983" t="str">
        <f>SANDBOX!$D$58</f>
        <v>Varios ventas</v>
      </c>
      <c r="E111" s="221">
        <f>SUM(G111:R111)</f>
        <v>0</v>
      </c>
      <c r="F111" s="223">
        <f>IF(E$83=0,0,(E111/$E$83))</f>
        <v>0</v>
      </c>
      <c r="G111" s="221">
        <f>SANDBOX!F58</f>
        <v>0</v>
      </c>
      <c r="H111" s="221">
        <f>SANDBOX!G58</f>
        <v>0</v>
      </c>
      <c r="I111" s="221">
        <f>SANDBOX!H58</f>
        <v>0</v>
      </c>
      <c r="J111" s="221">
        <f>SANDBOX!I58</f>
        <v>0</v>
      </c>
      <c r="K111" s="221">
        <f>SANDBOX!J58</f>
        <v>0</v>
      </c>
      <c r="L111" s="221">
        <f>SANDBOX!K58</f>
        <v>0</v>
      </c>
      <c r="M111" s="221">
        <f>SANDBOX!L58</f>
        <v>0</v>
      </c>
      <c r="N111" s="221">
        <f>SANDBOX!M58</f>
        <v>0</v>
      </c>
      <c r="O111" s="221">
        <f>SANDBOX!N58</f>
        <v>0</v>
      </c>
      <c r="P111" s="221">
        <f>SANDBOX!O58</f>
        <v>0</v>
      </c>
      <c r="Q111" s="221">
        <f>SANDBOX!P58</f>
        <v>0</v>
      </c>
      <c r="R111" s="974">
        <f>SANDBOX!Q58</f>
        <v>0</v>
      </c>
      <c r="S111" s="904"/>
      <c r="T111" s="259"/>
      <c r="U111" s="412"/>
      <c r="V111" s="412"/>
      <c r="W111" s="412"/>
      <c r="X111" s="412"/>
      <c r="Y111" s="412"/>
      <c r="Z111" s="412"/>
      <c r="AA111" s="412"/>
      <c r="AB111" s="412"/>
      <c r="AC111" s="412"/>
      <c r="AD111" s="412"/>
      <c r="AE111" s="412"/>
      <c r="AF111" s="412"/>
      <c r="AG111" s="412"/>
      <c r="AH111" s="412"/>
      <c r="AI111" s="412"/>
      <c r="AJ111" s="412"/>
      <c r="AK111" s="412"/>
      <c r="AL111" s="412"/>
      <c r="AM111" s="412"/>
      <c r="AN111" s="412"/>
      <c r="AO111" s="412"/>
      <c r="AP111" s="412"/>
      <c r="AQ111" s="449"/>
    </row>
    <row r="112" spans="3:43" ht="14.25" x14ac:dyDescent="0.2">
      <c r="C112" s="1182"/>
      <c r="D112" s="983" t="s">
        <v>949</v>
      </c>
      <c r="E112" s="221">
        <f>SUM(G112:R112)</f>
        <v>0</v>
      </c>
      <c r="F112" s="223">
        <f>IF(E$83=0,0,(E112/$E$83))</f>
        <v>0</v>
      </c>
      <c r="G112" s="221">
        <f>+G$83*SANDBOX!F$60</f>
        <v>0</v>
      </c>
      <c r="H112" s="221">
        <f>+H$83*SANDBOX!G$60</f>
        <v>0</v>
      </c>
      <c r="I112" s="221">
        <f>+I$83*SANDBOX!H$60</f>
        <v>0</v>
      </c>
      <c r="J112" s="221">
        <f>+J$83*SANDBOX!I$60</f>
        <v>0</v>
      </c>
      <c r="K112" s="221">
        <f>+K$83*SANDBOX!J$60</f>
        <v>0</v>
      </c>
      <c r="L112" s="221">
        <f>+L$83*SANDBOX!K$60</f>
        <v>0</v>
      </c>
      <c r="M112" s="221">
        <f>+M$83*SANDBOX!L$60</f>
        <v>0</v>
      </c>
      <c r="N112" s="221">
        <f>+N$83*SANDBOX!M$60</f>
        <v>0</v>
      </c>
      <c r="O112" s="221">
        <f>+O$83*SANDBOX!N$60</f>
        <v>0</v>
      </c>
      <c r="P112" s="221">
        <f>+P$83*SANDBOX!O$60</f>
        <v>0</v>
      </c>
      <c r="Q112" s="221">
        <f>+Q$83*SANDBOX!P$60</f>
        <v>0</v>
      </c>
      <c r="R112" s="974">
        <f>+R$83*SANDBOX!Q$60</f>
        <v>0</v>
      </c>
      <c r="S112" s="904"/>
      <c r="T112" s="259"/>
      <c r="U112" s="412"/>
      <c r="V112" s="412"/>
      <c r="W112" s="412"/>
      <c r="X112" s="412"/>
      <c r="Y112" s="412"/>
      <c r="Z112" s="412"/>
      <c r="AA112" s="412"/>
      <c r="AB112" s="412"/>
      <c r="AC112" s="412"/>
      <c r="AD112" s="412"/>
      <c r="AE112" s="412"/>
      <c r="AF112" s="412"/>
      <c r="AG112" s="412"/>
      <c r="AH112" s="412"/>
      <c r="AI112" s="412"/>
      <c r="AJ112" s="412"/>
      <c r="AK112" s="412"/>
      <c r="AL112" s="412"/>
      <c r="AM112" s="412"/>
      <c r="AN112" s="412"/>
      <c r="AO112" s="412"/>
      <c r="AP112" s="412"/>
      <c r="AQ112" s="449"/>
    </row>
    <row r="113" spans="3:43" ht="5.0999999999999996" customHeight="1" x14ac:dyDescent="0.2">
      <c r="C113" s="1182"/>
      <c r="D113" s="977"/>
      <c r="E113" s="191"/>
      <c r="F113" s="192"/>
      <c r="G113" s="191"/>
      <c r="H113" s="191"/>
      <c r="I113" s="191"/>
      <c r="J113" s="191"/>
      <c r="K113" s="191"/>
      <c r="L113" s="191"/>
      <c r="M113" s="191"/>
      <c r="N113" s="191"/>
      <c r="O113" s="191"/>
      <c r="P113" s="191"/>
      <c r="Q113" s="191"/>
      <c r="R113" s="978"/>
      <c r="S113" s="904"/>
      <c r="T113" s="259"/>
      <c r="U113" s="412"/>
      <c r="V113" s="412"/>
      <c r="W113" s="412"/>
      <c r="X113" s="412"/>
      <c r="Y113" s="412"/>
      <c r="Z113" s="412"/>
      <c r="AA113" s="412"/>
      <c r="AB113" s="412"/>
      <c r="AC113" s="412"/>
      <c r="AD113" s="412"/>
      <c r="AE113" s="412"/>
      <c r="AF113" s="412"/>
      <c r="AG113" s="412"/>
      <c r="AH113" s="412"/>
      <c r="AI113" s="412"/>
      <c r="AJ113" s="412"/>
      <c r="AK113" s="412"/>
      <c r="AL113" s="412"/>
      <c r="AM113" s="412"/>
      <c r="AN113" s="412"/>
      <c r="AO113" s="412"/>
      <c r="AP113" s="412"/>
      <c r="AQ113" s="449"/>
    </row>
    <row r="114" spans="3:43" ht="15" x14ac:dyDescent="0.2">
      <c r="C114" s="1182"/>
      <c r="D114" s="973" t="s">
        <v>312</v>
      </c>
      <c r="E114" s="221">
        <f>SUM(G114:R114)</f>
        <v>0</v>
      </c>
      <c r="F114" s="223">
        <f t="shared" ref="F114:F125" si="6">IF(E$83=0,0,(E114/$E$83))</f>
        <v>0</v>
      </c>
      <c r="G114" s="221">
        <f>SUM(G115:G125)</f>
        <v>0</v>
      </c>
      <c r="H114" s="221">
        <f t="shared" ref="H114:R114" si="7">SUM(H115:H125)</f>
        <v>0</v>
      </c>
      <c r="I114" s="221">
        <f t="shared" si="7"/>
        <v>0</v>
      </c>
      <c r="J114" s="221">
        <f t="shared" si="7"/>
        <v>0</v>
      </c>
      <c r="K114" s="221">
        <f t="shared" si="7"/>
        <v>0</v>
      </c>
      <c r="L114" s="221">
        <f t="shared" si="7"/>
        <v>0</v>
      </c>
      <c r="M114" s="221">
        <f t="shared" si="7"/>
        <v>0</v>
      </c>
      <c r="N114" s="221">
        <f t="shared" si="7"/>
        <v>0</v>
      </c>
      <c r="O114" s="221">
        <f t="shared" si="7"/>
        <v>0</v>
      </c>
      <c r="P114" s="221">
        <f t="shared" si="7"/>
        <v>0</v>
      </c>
      <c r="Q114" s="221">
        <f t="shared" si="7"/>
        <v>0</v>
      </c>
      <c r="R114" s="974">
        <f t="shared" si="7"/>
        <v>0</v>
      </c>
      <c r="S114" s="904"/>
      <c r="T114" s="259"/>
      <c r="U114" s="412"/>
      <c r="V114" s="412"/>
      <c r="W114" s="412"/>
      <c r="X114" s="412"/>
      <c r="Y114" s="412"/>
      <c r="Z114" s="412"/>
      <c r="AA114" s="412"/>
      <c r="AB114" s="412"/>
      <c r="AC114" s="412"/>
      <c r="AD114" s="412"/>
      <c r="AE114" s="412"/>
      <c r="AF114" s="412"/>
      <c r="AG114" s="412"/>
      <c r="AH114" s="412"/>
      <c r="AI114" s="412"/>
      <c r="AJ114" s="412"/>
      <c r="AK114" s="412"/>
      <c r="AL114" s="412"/>
      <c r="AM114" s="412"/>
      <c r="AN114" s="412"/>
      <c r="AO114" s="412"/>
      <c r="AP114" s="412"/>
      <c r="AQ114" s="449"/>
    </row>
    <row r="115" spans="3:43" ht="14.25" x14ac:dyDescent="0.2">
      <c r="C115" s="1182"/>
      <c r="D115" s="983" t="str">
        <f>SANDBOX!$D$67</f>
        <v>Gastos I+D</v>
      </c>
      <c r="E115" s="221">
        <f>SUM(G115:R115)</f>
        <v>0</v>
      </c>
      <c r="F115" s="223">
        <f t="shared" si="6"/>
        <v>0</v>
      </c>
      <c r="G115" s="221">
        <f>SANDBOX!F67</f>
        <v>0</v>
      </c>
      <c r="H115" s="221">
        <f>SANDBOX!G67</f>
        <v>0</v>
      </c>
      <c r="I115" s="221">
        <f>SANDBOX!H67</f>
        <v>0</v>
      </c>
      <c r="J115" s="221">
        <f>SANDBOX!I67</f>
        <v>0</v>
      </c>
      <c r="K115" s="221">
        <f>SANDBOX!J67</f>
        <v>0</v>
      </c>
      <c r="L115" s="221">
        <f>SANDBOX!K67</f>
        <v>0</v>
      </c>
      <c r="M115" s="221">
        <f>SANDBOX!L67</f>
        <v>0</v>
      </c>
      <c r="N115" s="221">
        <f>SANDBOX!M67</f>
        <v>0</v>
      </c>
      <c r="O115" s="221">
        <f>SANDBOX!N67</f>
        <v>0</v>
      </c>
      <c r="P115" s="221">
        <f>SANDBOX!O67</f>
        <v>0</v>
      </c>
      <c r="Q115" s="221">
        <f>SANDBOX!P67</f>
        <v>0</v>
      </c>
      <c r="R115" s="974">
        <f>SANDBOX!Q67</f>
        <v>0</v>
      </c>
      <c r="S115" s="904"/>
      <c r="T115" s="259"/>
      <c r="U115" s="412"/>
      <c r="V115" s="412"/>
      <c r="W115" s="412"/>
      <c r="X115" s="412"/>
      <c r="Y115" s="412"/>
      <c r="Z115" s="412"/>
      <c r="AA115" s="412"/>
      <c r="AB115" s="412"/>
      <c r="AC115" s="412"/>
      <c r="AD115" s="412"/>
      <c r="AE115" s="412"/>
      <c r="AF115" s="412"/>
      <c r="AG115" s="412"/>
      <c r="AH115" s="412"/>
      <c r="AI115" s="412"/>
      <c r="AJ115" s="412"/>
      <c r="AK115" s="412"/>
      <c r="AL115" s="412"/>
      <c r="AM115" s="412"/>
      <c r="AN115" s="412"/>
      <c r="AO115" s="412"/>
      <c r="AP115" s="412"/>
      <c r="AQ115" s="449"/>
    </row>
    <row r="116" spans="3:43" ht="14.25" x14ac:dyDescent="0.2">
      <c r="C116" s="1182"/>
      <c r="D116" s="983" t="str">
        <f>SANDBOX!$D$68</f>
        <v>Arrendamientos</v>
      </c>
      <c r="E116" s="221">
        <f>SUM(G116:R116)</f>
        <v>0</v>
      </c>
      <c r="F116" s="223">
        <f t="shared" si="6"/>
        <v>0</v>
      </c>
      <c r="G116" s="221">
        <f>SANDBOX!F68</f>
        <v>0</v>
      </c>
      <c r="H116" s="221">
        <f>SANDBOX!G68</f>
        <v>0</v>
      </c>
      <c r="I116" s="221">
        <f>SANDBOX!H68</f>
        <v>0</v>
      </c>
      <c r="J116" s="221">
        <f>SANDBOX!I68</f>
        <v>0</v>
      </c>
      <c r="K116" s="221">
        <f>SANDBOX!J68</f>
        <v>0</v>
      </c>
      <c r="L116" s="221">
        <f>SANDBOX!K68</f>
        <v>0</v>
      </c>
      <c r="M116" s="221">
        <f>SANDBOX!L68</f>
        <v>0</v>
      </c>
      <c r="N116" s="221">
        <f>SANDBOX!M68</f>
        <v>0</v>
      </c>
      <c r="O116" s="221">
        <f>SANDBOX!N68</f>
        <v>0</v>
      </c>
      <c r="P116" s="221">
        <f>SANDBOX!O68</f>
        <v>0</v>
      </c>
      <c r="Q116" s="221">
        <f>SANDBOX!P68</f>
        <v>0</v>
      </c>
      <c r="R116" s="974">
        <f>SANDBOX!Q68</f>
        <v>0</v>
      </c>
      <c r="S116" s="904"/>
      <c r="T116" s="259"/>
      <c r="U116" s="412"/>
      <c r="V116" s="412"/>
      <c r="W116" s="412"/>
      <c r="X116" s="412"/>
      <c r="Y116" s="412"/>
      <c r="Z116" s="412"/>
      <c r="AA116" s="412"/>
      <c r="AB116" s="412"/>
      <c r="AC116" s="412"/>
      <c r="AD116" s="412"/>
      <c r="AE116" s="412"/>
      <c r="AF116" s="412"/>
      <c r="AG116" s="412"/>
      <c r="AH116" s="412"/>
      <c r="AI116" s="412"/>
      <c r="AJ116" s="412"/>
      <c r="AK116" s="412"/>
      <c r="AL116" s="412"/>
      <c r="AM116" s="412"/>
      <c r="AN116" s="412"/>
      <c r="AO116" s="412"/>
      <c r="AP116" s="412"/>
      <c r="AQ116" s="449"/>
    </row>
    <row r="117" spans="3:43" ht="14.25" x14ac:dyDescent="0.2">
      <c r="C117" s="1182"/>
      <c r="D117" s="983" t="str">
        <f>SANDBOX!$D$71</f>
        <v>Conservación</v>
      </c>
      <c r="E117" s="221">
        <f>SUM(G117:R117)</f>
        <v>0</v>
      </c>
      <c r="F117" s="223">
        <f t="shared" si="6"/>
        <v>0</v>
      </c>
      <c r="G117" s="221">
        <f>SANDBOX!F71</f>
        <v>0</v>
      </c>
      <c r="H117" s="221">
        <f>SANDBOX!G71</f>
        <v>0</v>
      </c>
      <c r="I117" s="221">
        <f>SANDBOX!H71</f>
        <v>0</v>
      </c>
      <c r="J117" s="221">
        <f>SANDBOX!I71</f>
        <v>0</v>
      </c>
      <c r="K117" s="221">
        <f>SANDBOX!J71</f>
        <v>0</v>
      </c>
      <c r="L117" s="221">
        <f>SANDBOX!K71</f>
        <v>0</v>
      </c>
      <c r="M117" s="221">
        <f>SANDBOX!L71</f>
        <v>0</v>
      </c>
      <c r="N117" s="221">
        <f>SANDBOX!M71</f>
        <v>0</v>
      </c>
      <c r="O117" s="221">
        <f>SANDBOX!N71</f>
        <v>0</v>
      </c>
      <c r="P117" s="221">
        <f>SANDBOX!O71</f>
        <v>0</v>
      </c>
      <c r="Q117" s="221">
        <f>SANDBOX!P71</f>
        <v>0</v>
      </c>
      <c r="R117" s="974">
        <f>SANDBOX!Q71</f>
        <v>0</v>
      </c>
      <c r="S117" s="904"/>
      <c r="T117" s="259"/>
      <c r="U117" s="412"/>
      <c r="V117" s="412"/>
      <c r="W117" s="412"/>
      <c r="X117" s="412"/>
      <c r="Y117" s="412"/>
      <c r="Z117" s="412"/>
      <c r="AA117" s="412"/>
      <c r="AB117" s="412"/>
      <c r="AC117" s="412"/>
      <c r="AD117" s="412"/>
      <c r="AE117" s="412"/>
      <c r="AF117" s="412"/>
      <c r="AG117" s="412"/>
      <c r="AH117" s="412"/>
      <c r="AI117" s="412"/>
      <c r="AJ117" s="412"/>
      <c r="AK117" s="412"/>
      <c r="AL117" s="412"/>
      <c r="AM117" s="412"/>
      <c r="AN117" s="412"/>
      <c r="AO117" s="412"/>
      <c r="AP117" s="412"/>
      <c r="AQ117" s="449"/>
    </row>
    <row r="118" spans="3:43" ht="14.25" x14ac:dyDescent="0.2">
      <c r="C118" s="1182"/>
      <c r="D118" s="983" t="str">
        <f>SANDBOX!$D$72</f>
        <v>S. Profesionales</v>
      </c>
      <c r="E118" s="221">
        <f t="shared" ref="E118:E125" si="8">SUM(G118:R118)</f>
        <v>0</v>
      </c>
      <c r="F118" s="223">
        <f t="shared" si="6"/>
        <v>0</v>
      </c>
      <c r="G118" s="221">
        <f>SANDBOX!F72</f>
        <v>0</v>
      </c>
      <c r="H118" s="221">
        <f>SANDBOX!G72</f>
        <v>0</v>
      </c>
      <c r="I118" s="221">
        <f>SANDBOX!H72</f>
        <v>0</v>
      </c>
      <c r="J118" s="221">
        <f>SANDBOX!I72</f>
        <v>0</v>
      </c>
      <c r="K118" s="221">
        <f>SANDBOX!J72</f>
        <v>0</v>
      </c>
      <c r="L118" s="221">
        <f>SANDBOX!K72</f>
        <v>0</v>
      </c>
      <c r="M118" s="221">
        <f>SANDBOX!L72</f>
        <v>0</v>
      </c>
      <c r="N118" s="221">
        <f>SANDBOX!M72</f>
        <v>0</v>
      </c>
      <c r="O118" s="221">
        <f>SANDBOX!N72</f>
        <v>0</v>
      </c>
      <c r="P118" s="221">
        <f>SANDBOX!O72</f>
        <v>0</v>
      </c>
      <c r="Q118" s="221">
        <f>SANDBOX!P72</f>
        <v>0</v>
      </c>
      <c r="R118" s="974">
        <f>SANDBOX!Q72</f>
        <v>0</v>
      </c>
      <c r="S118" s="904"/>
      <c r="T118" s="259"/>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49"/>
    </row>
    <row r="119" spans="3:43" ht="14.25" x14ac:dyDescent="0.2">
      <c r="C119" s="1182"/>
      <c r="D119" s="983" t="str">
        <f>SANDBOX!$D$73</f>
        <v>Tributos</v>
      </c>
      <c r="E119" s="221">
        <f t="shared" si="8"/>
        <v>0</v>
      </c>
      <c r="F119" s="223">
        <f t="shared" si="6"/>
        <v>0</v>
      </c>
      <c r="G119" s="221">
        <f>SANDBOX!F73</f>
        <v>0</v>
      </c>
      <c r="H119" s="221">
        <f>SANDBOX!G73</f>
        <v>0</v>
      </c>
      <c r="I119" s="221">
        <f>SANDBOX!H73</f>
        <v>0</v>
      </c>
      <c r="J119" s="221">
        <f>SANDBOX!I73</f>
        <v>0</v>
      </c>
      <c r="K119" s="221">
        <f>SANDBOX!J73</f>
        <v>0</v>
      </c>
      <c r="L119" s="221">
        <f>SANDBOX!K73</f>
        <v>0</v>
      </c>
      <c r="M119" s="221">
        <f>SANDBOX!L73</f>
        <v>0</v>
      </c>
      <c r="N119" s="221">
        <f>SANDBOX!M73</f>
        <v>0</v>
      </c>
      <c r="O119" s="221">
        <f>SANDBOX!N73</f>
        <v>0</v>
      </c>
      <c r="P119" s="221">
        <f>SANDBOX!O73</f>
        <v>0</v>
      </c>
      <c r="Q119" s="221">
        <f>SANDBOX!P73</f>
        <v>0</v>
      </c>
      <c r="R119" s="974">
        <f>SANDBOX!Q73</f>
        <v>0</v>
      </c>
      <c r="S119" s="904"/>
      <c r="T119" s="259"/>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49"/>
    </row>
    <row r="120" spans="3:43" ht="14.25" x14ac:dyDescent="0.2">
      <c r="C120" s="1182"/>
      <c r="D120" s="983" t="str">
        <f>SANDBOX!$D$74</f>
        <v>Seguros</v>
      </c>
      <c r="E120" s="221">
        <f t="shared" si="8"/>
        <v>0</v>
      </c>
      <c r="F120" s="223">
        <f t="shared" si="6"/>
        <v>0</v>
      </c>
      <c r="G120" s="221">
        <f>SANDBOX!F74</f>
        <v>0</v>
      </c>
      <c r="H120" s="221">
        <f>SANDBOX!G74</f>
        <v>0</v>
      </c>
      <c r="I120" s="221">
        <f>SANDBOX!H74</f>
        <v>0</v>
      </c>
      <c r="J120" s="221">
        <f>SANDBOX!I74</f>
        <v>0</v>
      </c>
      <c r="K120" s="221">
        <f>SANDBOX!J74</f>
        <v>0</v>
      </c>
      <c r="L120" s="221">
        <f>SANDBOX!K74</f>
        <v>0</v>
      </c>
      <c r="M120" s="221">
        <f>SANDBOX!L74</f>
        <v>0</v>
      </c>
      <c r="N120" s="221">
        <f>SANDBOX!M74</f>
        <v>0</v>
      </c>
      <c r="O120" s="221">
        <f>SANDBOX!N74</f>
        <v>0</v>
      </c>
      <c r="P120" s="221">
        <f>SANDBOX!O74</f>
        <v>0</v>
      </c>
      <c r="Q120" s="221">
        <f>SANDBOX!P74</f>
        <v>0</v>
      </c>
      <c r="R120" s="974">
        <f>SANDBOX!Q74</f>
        <v>0</v>
      </c>
      <c r="S120" s="904"/>
      <c r="T120" s="259"/>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2"/>
      <c r="AQ120" s="449"/>
    </row>
    <row r="121" spans="3:43" ht="14.25" x14ac:dyDescent="0.2">
      <c r="C121" s="1182"/>
      <c r="D121" s="983" t="str">
        <f>SANDBOX!$D$75</f>
        <v>Otros servicios</v>
      </c>
      <c r="E121" s="221">
        <f t="shared" si="8"/>
        <v>0</v>
      </c>
      <c r="F121" s="223">
        <f t="shared" si="6"/>
        <v>0</v>
      </c>
      <c r="G121" s="221">
        <f>SANDBOX!F75+SANDBOX!Q118</f>
        <v>0</v>
      </c>
      <c r="H121" s="221">
        <f>SANDBOX!G75</f>
        <v>0</v>
      </c>
      <c r="I121" s="221">
        <f>SANDBOX!H75</f>
        <v>0</v>
      </c>
      <c r="J121" s="221">
        <f>SANDBOX!I75</f>
        <v>0</v>
      </c>
      <c r="K121" s="221">
        <f>SANDBOX!J75</f>
        <v>0</v>
      </c>
      <c r="L121" s="221">
        <f>SANDBOX!K75</f>
        <v>0</v>
      </c>
      <c r="M121" s="221">
        <f>SANDBOX!L75</f>
        <v>0</v>
      </c>
      <c r="N121" s="221">
        <f>SANDBOX!M75</f>
        <v>0</v>
      </c>
      <c r="O121" s="221">
        <f>SANDBOX!N75</f>
        <v>0</v>
      </c>
      <c r="P121" s="221">
        <f>SANDBOX!O75</f>
        <v>0</v>
      </c>
      <c r="Q121" s="221">
        <f>SANDBOX!P75</f>
        <v>0</v>
      </c>
      <c r="R121" s="974">
        <f>SANDBOX!Q75</f>
        <v>0</v>
      </c>
      <c r="S121" s="904"/>
      <c r="T121" s="259"/>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2"/>
      <c r="AQ121" s="449"/>
    </row>
    <row r="122" spans="3:43" ht="14.25" x14ac:dyDescent="0.2">
      <c r="C122" s="1182"/>
      <c r="D122" s="983" t="str">
        <f>SANDBOX!$D$76</f>
        <v>Suministros</v>
      </c>
      <c r="E122" s="221">
        <f t="shared" si="8"/>
        <v>0</v>
      </c>
      <c r="F122" s="223">
        <f t="shared" si="6"/>
        <v>0</v>
      </c>
      <c r="G122" s="221">
        <f>SANDBOX!F76</f>
        <v>0</v>
      </c>
      <c r="H122" s="221">
        <f>SANDBOX!G76</f>
        <v>0</v>
      </c>
      <c r="I122" s="221">
        <f>SANDBOX!H76</f>
        <v>0</v>
      </c>
      <c r="J122" s="221">
        <f>SANDBOX!I76</f>
        <v>0</v>
      </c>
      <c r="K122" s="221">
        <f>SANDBOX!J76</f>
        <v>0</v>
      </c>
      <c r="L122" s="221">
        <f>SANDBOX!K76</f>
        <v>0</v>
      </c>
      <c r="M122" s="221">
        <f>SANDBOX!L76</f>
        <v>0</v>
      </c>
      <c r="N122" s="221">
        <f>SANDBOX!M76</f>
        <v>0</v>
      </c>
      <c r="O122" s="221">
        <f>SANDBOX!N76</f>
        <v>0</v>
      </c>
      <c r="P122" s="221">
        <f>SANDBOX!O76</f>
        <v>0</v>
      </c>
      <c r="Q122" s="221">
        <f>SANDBOX!P76</f>
        <v>0</v>
      </c>
      <c r="R122" s="974">
        <f>SANDBOX!Q76</f>
        <v>0</v>
      </c>
      <c r="S122" s="904"/>
      <c r="T122" s="259"/>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2"/>
      <c r="AQ122" s="449"/>
    </row>
    <row r="123" spans="3:43" ht="14.25" x14ac:dyDescent="0.2">
      <c r="C123" s="1182"/>
      <c r="D123" s="983" t="str">
        <f>SANDBOX!$D$77</f>
        <v>Viajes, dietas…</v>
      </c>
      <c r="E123" s="221">
        <f t="shared" si="8"/>
        <v>0</v>
      </c>
      <c r="F123" s="223">
        <f t="shared" si="6"/>
        <v>0</v>
      </c>
      <c r="G123" s="221">
        <f>SANDBOX!F77</f>
        <v>0</v>
      </c>
      <c r="H123" s="221">
        <f>SANDBOX!G77</f>
        <v>0</v>
      </c>
      <c r="I123" s="221">
        <f>SANDBOX!H77</f>
        <v>0</v>
      </c>
      <c r="J123" s="221">
        <f>SANDBOX!I77</f>
        <v>0</v>
      </c>
      <c r="K123" s="221">
        <f>SANDBOX!J77</f>
        <v>0</v>
      </c>
      <c r="L123" s="221">
        <f>SANDBOX!K77</f>
        <v>0</v>
      </c>
      <c r="M123" s="221">
        <f>SANDBOX!L77</f>
        <v>0</v>
      </c>
      <c r="N123" s="221">
        <f>SANDBOX!M77</f>
        <v>0</v>
      </c>
      <c r="O123" s="221">
        <f>SANDBOX!N77</f>
        <v>0</v>
      </c>
      <c r="P123" s="221">
        <f>SANDBOX!O77</f>
        <v>0</v>
      </c>
      <c r="Q123" s="221">
        <f>SANDBOX!P77</f>
        <v>0</v>
      </c>
      <c r="R123" s="974">
        <f>SANDBOX!Q77</f>
        <v>0</v>
      </c>
      <c r="S123" s="904"/>
      <c r="T123" s="259"/>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c r="AQ123" s="449"/>
    </row>
    <row r="124" spans="3:43" ht="14.25" x14ac:dyDescent="0.2">
      <c r="C124" s="1182"/>
      <c r="D124" s="983" t="str">
        <f>SANDBOX!$D$78</f>
        <v>Material Oficina</v>
      </c>
      <c r="E124" s="221">
        <f t="shared" si="8"/>
        <v>0</v>
      </c>
      <c r="F124" s="223">
        <f t="shared" si="6"/>
        <v>0</v>
      </c>
      <c r="G124" s="221">
        <f>SANDBOX!F78</f>
        <v>0</v>
      </c>
      <c r="H124" s="221">
        <f>SANDBOX!G78</f>
        <v>0</v>
      </c>
      <c r="I124" s="221">
        <f>SANDBOX!H78</f>
        <v>0</v>
      </c>
      <c r="J124" s="221">
        <f>SANDBOX!I78</f>
        <v>0</v>
      </c>
      <c r="K124" s="221">
        <f>SANDBOX!J78</f>
        <v>0</v>
      </c>
      <c r="L124" s="221">
        <f>SANDBOX!K78</f>
        <v>0</v>
      </c>
      <c r="M124" s="221">
        <f>SANDBOX!L78</f>
        <v>0</v>
      </c>
      <c r="N124" s="221">
        <f>SANDBOX!M78</f>
        <v>0</v>
      </c>
      <c r="O124" s="221">
        <f>SANDBOX!N78</f>
        <v>0</v>
      </c>
      <c r="P124" s="221">
        <f>SANDBOX!O78</f>
        <v>0</v>
      </c>
      <c r="Q124" s="221">
        <f>SANDBOX!P78</f>
        <v>0</v>
      </c>
      <c r="R124" s="974">
        <f>SANDBOX!Q78</f>
        <v>0</v>
      </c>
      <c r="S124" s="904"/>
      <c r="T124" s="259"/>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c r="AQ124" s="449"/>
    </row>
    <row r="125" spans="3:43" ht="14.25" x14ac:dyDescent="0.2">
      <c r="C125" s="1182"/>
      <c r="D125" s="983" t="str">
        <f>SANDBOX!$D$79</f>
        <v>Transportes</v>
      </c>
      <c r="E125" s="221">
        <f t="shared" si="8"/>
        <v>0</v>
      </c>
      <c r="F125" s="223">
        <f t="shared" si="6"/>
        <v>0</v>
      </c>
      <c r="G125" s="221">
        <f>SANDBOX!F79</f>
        <v>0</v>
      </c>
      <c r="H125" s="221">
        <f>SANDBOX!G79</f>
        <v>0</v>
      </c>
      <c r="I125" s="221">
        <f>SANDBOX!H79</f>
        <v>0</v>
      </c>
      <c r="J125" s="221">
        <f>SANDBOX!I79</f>
        <v>0</v>
      </c>
      <c r="K125" s="221">
        <f>SANDBOX!J79</f>
        <v>0</v>
      </c>
      <c r="L125" s="221">
        <f>SANDBOX!K79</f>
        <v>0</v>
      </c>
      <c r="M125" s="221">
        <f>SANDBOX!L79</f>
        <v>0</v>
      </c>
      <c r="N125" s="221">
        <f>SANDBOX!M79</f>
        <v>0</v>
      </c>
      <c r="O125" s="221">
        <f>SANDBOX!N79</f>
        <v>0</v>
      </c>
      <c r="P125" s="221">
        <f>SANDBOX!O79</f>
        <v>0</v>
      </c>
      <c r="Q125" s="221">
        <f>SANDBOX!P79</f>
        <v>0</v>
      </c>
      <c r="R125" s="974">
        <f>SANDBOX!Q79</f>
        <v>0</v>
      </c>
      <c r="S125" s="904"/>
      <c r="T125" s="259"/>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c r="AQ125" s="449"/>
    </row>
    <row r="126" spans="3:43" ht="5.0999999999999996" customHeight="1" x14ac:dyDescent="0.2">
      <c r="C126" s="1182"/>
      <c r="D126" s="984"/>
      <c r="E126" s="194"/>
      <c r="F126" s="195"/>
      <c r="G126" s="194"/>
      <c r="H126" s="194"/>
      <c r="I126" s="194"/>
      <c r="J126" s="194"/>
      <c r="K126" s="194"/>
      <c r="L126" s="194"/>
      <c r="M126" s="194"/>
      <c r="N126" s="194"/>
      <c r="O126" s="194"/>
      <c r="P126" s="194"/>
      <c r="Q126" s="194"/>
      <c r="R126" s="985"/>
      <c r="S126" s="904"/>
      <c r="T126" s="259"/>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49"/>
    </row>
    <row r="127" spans="3:43" ht="15" x14ac:dyDescent="0.2">
      <c r="C127" s="1182"/>
      <c r="D127" s="973" t="s">
        <v>154</v>
      </c>
      <c r="E127" s="221">
        <f>SUM(G127:R127)</f>
        <v>0</v>
      </c>
      <c r="F127" s="223">
        <f>IF(E$83=0,0,(E127/$E$83))</f>
        <v>0</v>
      </c>
      <c r="G127" s="221">
        <f>SANDBOX!F85</f>
        <v>0</v>
      </c>
      <c r="H127" s="221">
        <f>SANDBOX!G85</f>
        <v>0</v>
      </c>
      <c r="I127" s="221">
        <f>SANDBOX!H85</f>
        <v>0</v>
      </c>
      <c r="J127" s="221">
        <f>SANDBOX!I85</f>
        <v>0</v>
      </c>
      <c r="K127" s="221">
        <f>SANDBOX!J85</f>
        <v>0</v>
      </c>
      <c r="L127" s="221">
        <f>SANDBOX!K85</f>
        <v>0</v>
      </c>
      <c r="M127" s="221">
        <f>SANDBOX!L85</f>
        <v>0</v>
      </c>
      <c r="N127" s="221">
        <f>SANDBOX!M85</f>
        <v>0</v>
      </c>
      <c r="O127" s="221">
        <f>SANDBOX!N85</f>
        <v>0</v>
      </c>
      <c r="P127" s="221">
        <f>SANDBOX!O85</f>
        <v>0</v>
      </c>
      <c r="Q127" s="221">
        <f>SANDBOX!P85</f>
        <v>0</v>
      </c>
      <c r="R127" s="974">
        <f>SANDBOX!Q85</f>
        <v>0</v>
      </c>
      <c r="S127" s="904"/>
      <c r="T127" s="259"/>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c r="AQ127" s="449"/>
    </row>
    <row r="128" spans="3:43" ht="5.0999999999999996" customHeight="1" x14ac:dyDescent="0.2">
      <c r="C128" s="1182"/>
      <c r="D128" s="986"/>
      <c r="E128" s="194"/>
      <c r="F128" s="195"/>
      <c r="G128" s="194"/>
      <c r="H128" s="194"/>
      <c r="I128" s="194"/>
      <c r="J128" s="194"/>
      <c r="K128" s="194"/>
      <c r="L128" s="194"/>
      <c r="M128" s="194"/>
      <c r="N128" s="194"/>
      <c r="O128" s="194"/>
      <c r="P128" s="194"/>
      <c r="Q128" s="194"/>
      <c r="R128" s="985"/>
      <c r="S128" s="904"/>
      <c r="T128" s="259"/>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2"/>
      <c r="AQ128" s="449"/>
    </row>
    <row r="129" spans="3:43" ht="15" x14ac:dyDescent="0.2">
      <c r="C129" s="1182"/>
      <c r="D129" s="973" t="s">
        <v>276</v>
      </c>
      <c r="E129" s="221">
        <f>SUM(G129:R129)</f>
        <v>0</v>
      </c>
      <c r="F129" s="223">
        <f>IF(E$84=0,0,(E129/$E$84))</f>
        <v>0</v>
      </c>
      <c r="G129" s="221">
        <f>CTesorería!E29</f>
        <v>0</v>
      </c>
      <c r="H129" s="221">
        <f>CTesorería!F29</f>
        <v>0</v>
      </c>
      <c r="I129" s="221">
        <f>CTesorería!G29</f>
        <v>0</v>
      </c>
      <c r="J129" s="221">
        <f>CTesorería!H29</f>
        <v>0</v>
      </c>
      <c r="K129" s="221">
        <f>CTesorería!I29</f>
        <v>0</v>
      </c>
      <c r="L129" s="221">
        <f>CTesorería!J29</f>
        <v>0</v>
      </c>
      <c r="M129" s="221">
        <f>CTesorería!K29</f>
        <v>0</v>
      </c>
      <c r="N129" s="221">
        <f>CTesorería!L29</f>
        <v>0</v>
      </c>
      <c r="O129" s="221">
        <f>CTesorería!M29</f>
        <v>0</v>
      </c>
      <c r="P129" s="221">
        <f>CTesorería!N29</f>
        <v>0</v>
      </c>
      <c r="Q129" s="221">
        <f>CTesorería!O29</f>
        <v>0</v>
      </c>
      <c r="R129" s="974">
        <f>CTesorería!P29</f>
        <v>0</v>
      </c>
      <c r="S129" s="904"/>
      <c r="T129" s="259"/>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2"/>
      <c r="AQ129" s="449"/>
    </row>
    <row r="130" spans="3:43" ht="5.0999999999999996" customHeight="1" x14ac:dyDescent="0.2">
      <c r="C130" s="1182"/>
      <c r="D130" s="986"/>
      <c r="E130" s="194"/>
      <c r="F130" s="196"/>
      <c r="G130" s="194"/>
      <c r="H130" s="194"/>
      <c r="I130" s="194"/>
      <c r="J130" s="194"/>
      <c r="K130" s="194"/>
      <c r="L130" s="194"/>
      <c r="M130" s="194"/>
      <c r="N130" s="194"/>
      <c r="O130" s="194"/>
      <c r="P130" s="194"/>
      <c r="Q130" s="194"/>
      <c r="R130" s="985"/>
      <c r="S130" s="904"/>
      <c r="T130" s="259"/>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2"/>
      <c r="AQ130" s="449"/>
    </row>
    <row r="131" spans="3:43" ht="15" x14ac:dyDescent="0.2">
      <c r="C131" s="1182"/>
      <c r="D131" s="979" t="s">
        <v>313</v>
      </c>
      <c r="E131" s="232">
        <f>+E114+E108+E102+E98+E93+E129+E127</f>
        <v>0</v>
      </c>
      <c r="F131" s="231">
        <f>IF(E$83=0,0,(E131/$E$83))</f>
        <v>0</v>
      </c>
      <c r="G131" s="232">
        <f t="shared" ref="G131:R131" si="9">+G114+G108+G102+G98+G93+G129+G127</f>
        <v>0</v>
      </c>
      <c r="H131" s="232">
        <f t="shared" si="9"/>
        <v>0</v>
      </c>
      <c r="I131" s="232">
        <f t="shared" si="9"/>
        <v>0</v>
      </c>
      <c r="J131" s="232">
        <f t="shared" si="9"/>
        <v>0</v>
      </c>
      <c r="K131" s="232">
        <f t="shared" si="9"/>
        <v>0</v>
      </c>
      <c r="L131" s="232">
        <f t="shared" si="9"/>
        <v>0</v>
      </c>
      <c r="M131" s="232">
        <f t="shared" si="9"/>
        <v>0</v>
      </c>
      <c r="N131" s="232">
        <f t="shared" si="9"/>
        <v>0</v>
      </c>
      <c r="O131" s="232">
        <f t="shared" si="9"/>
        <v>0</v>
      </c>
      <c r="P131" s="232">
        <f t="shared" si="9"/>
        <v>0</v>
      </c>
      <c r="Q131" s="232">
        <f t="shared" si="9"/>
        <v>0</v>
      </c>
      <c r="R131" s="980">
        <f t="shared" si="9"/>
        <v>0</v>
      </c>
      <c r="S131" s="904"/>
      <c r="T131" s="259"/>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2"/>
      <c r="AQ131" s="449"/>
    </row>
    <row r="132" spans="3:43" ht="5.0999999999999996" customHeight="1" x14ac:dyDescent="0.2">
      <c r="C132" s="1182"/>
      <c r="D132" s="973"/>
      <c r="E132" s="194"/>
      <c r="F132" s="196"/>
      <c r="G132" s="194"/>
      <c r="H132" s="194"/>
      <c r="I132" s="194"/>
      <c r="J132" s="194"/>
      <c r="K132" s="194"/>
      <c r="L132" s="194"/>
      <c r="M132" s="194"/>
      <c r="N132" s="194"/>
      <c r="O132" s="194"/>
      <c r="P132" s="194"/>
      <c r="Q132" s="194"/>
      <c r="R132" s="985"/>
      <c r="S132" s="904"/>
      <c r="T132" s="259"/>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2"/>
      <c r="AQ132" s="449"/>
    </row>
    <row r="133" spans="3:43" ht="17.100000000000001" customHeight="1" x14ac:dyDescent="0.2">
      <c r="C133" s="1182"/>
      <c r="D133" s="973" t="s">
        <v>1393</v>
      </c>
      <c r="E133" s="221">
        <f>SUM(G133:R133)</f>
        <v>0</v>
      </c>
      <c r="F133" s="223">
        <f>IF(E$83=0,0,(E133/$E$83))</f>
        <v>0</v>
      </c>
      <c r="G133" s="221">
        <f>Amortizaciones!D16</f>
        <v>0</v>
      </c>
      <c r="H133" s="221">
        <f>Amortizaciones!E16</f>
        <v>0</v>
      </c>
      <c r="I133" s="221">
        <f>Amortizaciones!F16</f>
        <v>0</v>
      </c>
      <c r="J133" s="221">
        <f>Amortizaciones!G16</f>
        <v>0</v>
      </c>
      <c r="K133" s="221">
        <f>Amortizaciones!H16</f>
        <v>0</v>
      </c>
      <c r="L133" s="221">
        <f>Amortizaciones!I16</f>
        <v>0</v>
      </c>
      <c r="M133" s="221">
        <f>Amortizaciones!J16</f>
        <v>0</v>
      </c>
      <c r="N133" s="221">
        <f>Amortizaciones!K16</f>
        <v>0</v>
      </c>
      <c r="O133" s="221">
        <f>Amortizaciones!L16</f>
        <v>0</v>
      </c>
      <c r="P133" s="221">
        <f>Amortizaciones!M16</f>
        <v>0</v>
      </c>
      <c r="Q133" s="221">
        <f>Amortizaciones!N16</f>
        <v>0</v>
      </c>
      <c r="R133" s="974">
        <f>Amortizaciones!O16</f>
        <v>0</v>
      </c>
      <c r="S133" s="904"/>
      <c r="T133" s="259"/>
      <c r="U133" s="412"/>
      <c r="V133" s="412"/>
      <c r="W133" s="412"/>
      <c r="X133" s="412"/>
      <c r="Y133" s="412"/>
      <c r="Z133" s="412"/>
      <c r="AA133" s="412"/>
      <c r="AB133" s="412"/>
      <c r="AC133" s="412"/>
      <c r="AD133" s="412"/>
      <c r="AE133" s="412"/>
      <c r="AF133" s="412"/>
      <c r="AG133" s="412"/>
      <c r="AH133" s="412"/>
      <c r="AI133" s="412"/>
      <c r="AJ133" s="412"/>
      <c r="AK133" s="412"/>
      <c r="AL133" s="412"/>
      <c r="AM133" s="412"/>
      <c r="AN133" s="412"/>
      <c r="AO133" s="412"/>
      <c r="AP133" s="412"/>
      <c r="AQ133" s="449"/>
    </row>
    <row r="134" spans="3:43" ht="5.0999999999999996" customHeight="1" x14ac:dyDescent="0.2">
      <c r="C134" s="1182"/>
      <c r="D134" s="987"/>
      <c r="E134" s="233"/>
      <c r="F134" s="195"/>
      <c r="G134" s="233"/>
      <c r="H134" s="233"/>
      <c r="I134" s="233"/>
      <c r="J134" s="233"/>
      <c r="K134" s="233"/>
      <c r="L134" s="233"/>
      <c r="M134" s="233"/>
      <c r="N134" s="233"/>
      <c r="O134" s="233"/>
      <c r="P134" s="233"/>
      <c r="Q134" s="233"/>
      <c r="R134" s="988"/>
      <c r="S134" s="904"/>
      <c r="T134" s="259"/>
      <c r="U134" s="412"/>
      <c r="V134" s="412"/>
      <c r="W134" s="412"/>
      <c r="X134" s="412"/>
      <c r="Y134" s="412"/>
      <c r="Z134" s="412"/>
      <c r="AA134" s="412"/>
      <c r="AB134" s="412"/>
      <c r="AC134" s="412"/>
      <c r="AD134" s="412"/>
      <c r="AE134" s="412"/>
      <c r="AF134" s="412"/>
      <c r="AG134" s="412"/>
      <c r="AH134" s="412"/>
      <c r="AI134" s="412"/>
      <c r="AJ134" s="412"/>
      <c r="AK134" s="412"/>
      <c r="AL134" s="412"/>
      <c r="AM134" s="412"/>
      <c r="AN134" s="412"/>
      <c r="AO134" s="412"/>
      <c r="AP134" s="412"/>
      <c r="AQ134" s="449"/>
    </row>
    <row r="135" spans="3:43" ht="18" customHeight="1" x14ac:dyDescent="0.2">
      <c r="C135" s="1182"/>
      <c r="D135" s="979" t="s">
        <v>581</v>
      </c>
      <c r="E135" s="232">
        <f>SUM(G135:R135)</f>
        <v>0</v>
      </c>
      <c r="F135" s="231">
        <f>IF(E$83=0,0,(E135/$E$83))</f>
        <v>0</v>
      </c>
      <c r="G135" s="232">
        <f>+SB!F634-G133</f>
        <v>0</v>
      </c>
      <c r="H135" s="232">
        <f>+SB!G634-H133</f>
        <v>0</v>
      </c>
      <c r="I135" s="232">
        <f>+SB!H634-I133</f>
        <v>0</v>
      </c>
      <c r="J135" s="232">
        <f>+SB!I634-J133</f>
        <v>0</v>
      </c>
      <c r="K135" s="232">
        <f>+SB!J634-K133</f>
        <v>0</v>
      </c>
      <c r="L135" s="232">
        <f>+SB!K634-L133</f>
        <v>0</v>
      </c>
      <c r="M135" s="232">
        <f>+SB!L634-M133</f>
        <v>0</v>
      </c>
      <c r="N135" s="232">
        <f>+SB!M634-N133</f>
        <v>0</v>
      </c>
      <c r="O135" s="232">
        <f>+SB!N634-O133</f>
        <v>0</v>
      </c>
      <c r="P135" s="232">
        <f>+SB!O634-P133</f>
        <v>0</v>
      </c>
      <c r="Q135" s="232">
        <f>+SB!P634-Q133</f>
        <v>0</v>
      </c>
      <c r="R135" s="980">
        <f>+SB!Q634-R133</f>
        <v>0</v>
      </c>
      <c r="S135" s="904"/>
      <c r="T135" s="259"/>
      <c r="U135" s="412"/>
      <c r="V135" s="412"/>
      <c r="W135" s="412"/>
      <c r="X135" s="412"/>
      <c r="Y135" s="412"/>
      <c r="Z135" s="412"/>
      <c r="AA135" s="412"/>
      <c r="AB135" s="412"/>
      <c r="AC135" s="412"/>
      <c r="AD135" s="412"/>
      <c r="AE135" s="412"/>
      <c r="AF135" s="412"/>
      <c r="AG135" s="412"/>
      <c r="AH135" s="412"/>
      <c r="AI135" s="412"/>
      <c r="AJ135" s="412"/>
      <c r="AK135" s="412"/>
      <c r="AL135" s="412"/>
      <c r="AM135" s="412"/>
      <c r="AN135" s="412"/>
      <c r="AO135" s="412"/>
      <c r="AP135" s="412"/>
      <c r="AQ135" s="449"/>
    </row>
    <row r="136" spans="3:43" ht="5.0999999999999996" customHeight="1" x14ac:dyDescent="0.2">
      <c r="C136" s="1182"/>
      <c r="D136" s="987"/>
      <c r="E136" s="233"/>
      <c r="F136" s="195"/>
      <c r="G136" s="233"/>
      <c r="H136" s="233"/>
      <c r="I136" s="233"/>
      <c r="J136" s="233"/>
      <c r="K136" s="233"/>
      <c r="L136" s="233"/>
      <c r="M136" s="233"/>
      <c r="N136" s="233"/>
      <c r="O136" s="233"/>
      <c r="P136" s="233"/>
      <c r="Q136" s="233"/>
      <c r="R136" s="988"/>
      <c r="S136" s="904"/>
      <c r="T136" s="259"/>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c r="AQ136" s="449"/>
    </row>
    <row r="137" spans="3:43" ht="15" x14ac:dyDescent="0.2">
      <c r="C137" s="1182"/>
      <c r="D137" s="979" t="s">
        <v>715</v>
      </c>
      <c r="E137" s="236">
        <f>-E138</f>
        <v>0</v>
      </c>
      <c r="F137" s="231">
        <f>IF(E$83=0,0,(E137/$E$83))</f>
        <v>0</v>
      </c>
      <c r="G137" s="236">
        <f t="shared" ref="G137:R137" si="10">-G138</f>
        <v>0</v>
      </c>
      <c r="H137" s="236">
        <f t="shared" si="10"/>
        <v>0</v>
      </c>
      <c r="I137" s="236">
        <f t="shared" si="10"/>
        <v>0</v>
      </c>
      <c r="J137" s="236">
        <f t="shared" si="10"/>
        <v>0</v>
      </c>
      <c r="K137" s="236">
        <f t="shared" si="10"/>
        <v>0</v>
      </c>
      <c r="L137" s="236">
        <f t="shared" si="10"/>
        <v>0</v>
      </c>
      <c r="M137" s="236">
        <f t="shared" si="10"/>
        <v>0</v>
      </c>
      <c r="N137" s="236">
        <f t="shared" si="10"/>
        <v>0</v>
      </c>
      <c r="O137" s="236">
        <f t="shared" si="10"/>
        <v>0</v>
      </c>
      <c r="P137" s="236">
        <f t="shared" si="10"/>
        <v>0</v>
      </c>
      <c r="Q137" s="236">
        <f t="shared" si="10"/>
        <v>0</v>
      </c>
      <c r="R137" s="989">
        <f t="shared" si="10"/>
        <v>0</v>
      </c>
      <c r="S137" s="904"/>
      <c r="T137" s="259"/>
      <c r="U137" s="412"/>
      <c r="V137" s="412"/>
      <c r="W137" s="412"/>
      <c r="X137" s="412"/>
      <c r="Y137" s="412"/>
      <c r="Z137" s="412"/>
      <c r="AA137" s="412"/>
      <c r="AB137" s="412"/>
      <c r="AC137" s="412"/>
      <c r="AD137" s="412"/>
      <c r="AE137" s="412"/>
      <c r="AF137" s="412"/>
      <c r="AG137" s="412"/>
      <c r="AH137" s="412"/>
      <c r="AI137" s="412"/>
      <c r="AJ137" s="412"/>
      <c r="AK137" s="412"/>
      <c r="AL137" s="412"/>
      <c r="AM137" s="412"/>
      <c r="AN137" s="412"/>
      <c r="AO137" s="412"/>
      <c r="AP137" s="412"/>
      <c r="AQ137" s="449"/>
    </row>
    <row r="138" spans="3:43" ht="14.25" x14ac:dyDescent="0.2">
      <c r="C138" s="1182"/>
      <c r="D138" s="987" t="s">
        <v>834</v>
      </c>
      <c r="E138" s="221">
        <f>SUM(G138:R138)</f>
        <v>0</v>
      </c>
      <c r="F138" s="223">
        <f>IF(E$83=0,0,(E138/$E$83))</f>
        <v>0</v>
      </c>
      <c r="G138" s="221">
        <f>prestamos!D21</f>
        <v>0</v>
      </c>
      <c r="H138" s="221">
        <f>prestamos!E21</f>
        <v>0</v>
      </c>
      <c r="I138" s="221">
        <f>prestamos!F21</f>
        <v>0</v>
      </c>
      <c r="J138" s="221">
        <f>prestamos!G21</f>
        <v>0</v>
      </c>
      <c r="K138" s="221">
        <f>prestamos!H21</f>
        <v>0</v>
      </c>
      <c r="L138" s="221">
        <f>prestamos!I21</f>
        <v>0</v>
      </c>
      <c r="M138" s="221">
        <f>prestamos!J21</f>
        <v>0</v>
      </c>
      <c r="N138" s="221">
        <f>prestamos!K21</f>
        <v>0</v>
      </c>
      <c r="O138" s="221">
        <f>prestamos!L21</f>
        <v>0</v>
      </c>
      <c r="P138" s="221">
        <f>prestamos!M21</f>
        <v>0</v>
      </c>
      <c r="Q138" s="221">
        <f>prestamos!N21</f>
        <v>0</v>
      </c>
      <c r="R138" s="974">
        <f>prestamos!O21</f>
        <v>0</v>
      </c>
      <c r="S138" s="904"/>
      <c r="T138" s="259"/>
      <c r="U138" s="412"/>
      <c r="V138" s="412"/>
      <c r="W138" s="412"/>
      <c r="X138" s="412"/>
      <c r="Y138" s="412"/>
      <c r="Z138" s="412"/>
      <c r="AA138" s="412"/>
      <c r="AB138" s="412"/>
      <c r="AC138" s="412"/>
      <c r="AD138" s="412"/>
      <c r="AE138" s="412"/>
      <c r="AF138" s="412"/>
      <c r="AG138" s="412"/>
      <c r="AH138" s="412"/>
      <c r="AI138" s="412"/>
      <c r="AJ138" s="412"/>
      <c r="AK138" s="412"/>
      <c r="AL138" s="412"/>
      <c r="AM138" s="412"/>
      <c r="AN138" s="412"/>
      <c r="AO138" s="412"/>
      <c r="AP138" s="412"/>
      <c r="AQ138" s="449"/>
    </row>
    <row r="139" spans="3:43" ht="15" customHeight="1" x14ac:dyDescent="0.2">
      <c r="C139" s="1182"/>
      <c r="D139" s="983" t="s">
        <v>228</v>
      </c>
      <c r="E139" s="221">
        <f>SUM(G139:R139)</f>
        <v>0</v>
      </c>
      <c r="F139" s="223"/>
      <c r="G139" s="221">
        <f>+prestamos!D17+prestamos!D18+prestamos!D19+prestamos!D20</f>
        <v>0</v>
      </c>
      <c r="H139" s="221">
        <f>+prestamos!E17+prestamos!E18+prestamos!E19+prestamos!E20</f>
        <v>0</v>
      </c>
      <c r="I139" s="221">
        <f>+prestamos!F17+prestamos!F18+prestamos!F19+prestamos!F20</f>
        <v>0</v>
      </c>
      <c r="J139" s="221">
        <f>+prestamos!G17+prestamos!G18+prestamos!G19+prestamos!G20</f>
        <v>0</v>
      </c>
      <c r="K139" s="221">
        <f>+prestamos!H17+prestamos!H18+prestamos!H19+prestamos!H20</f>
        <v>0</v>
      </c>
      <c r="L139" s="221">
        <f>+prestamos!I17+prestamos!I18+prestamos!I19+prestamos!I20</f>
        <v>0</v>
      </c>
      <c r="M139" s="221">
        <f>+prestamos!J17+prestamos!J18+prestamos!J19+prestamos!J20</f>
        <v>0</v>
      </c>
      <c r="N139" s="221">
        <f>+prestamos!K17+prestamos!K18+prestamos!K19+prestamos!K20</f>
        <v>0</v>
      </c>
      <c r="O139" s="221">
        <f>+prestamos!L17+prestamos!L18+prestamos!L19+prestamos!L20</f>
        <v>0</v>
      </c>
      <c r="P139" s="221">
        <f>+prestamos!M17+prestamos!M18+prestamos!M19+prestamos!M20</f>
        <v>0</v>
      </c>
      <c r="Q139" s="221">
        <f>+prestamos!N17+prestamos!N18+prestamos!N19+prestamos!N20</f>
        <v>0</v>
      </c>
      <c r="R139" s="974">
        <f>+prestamos!O17+prestamos!O18+prestamos!O19+prestamos!O20</f>
        <v>0</v>
      </c>
      <c r="S139" s="904"/>
      <c r="T139" s="259"/>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c r="AQ139" s="449"/>
    </row>
    <row r="140" spans="3:43" ht="15" customHeight="1" x14ac:dyDescent="0.2">
      <c r="C140" s="1182"/>
      <c r="D140" s="983" t="s">
        <v>582</v>
      </c>
      <c r="E140" s="221">
        <f>SUM(G140:R140)</f>
        <v>0</v>
      </c>
      <c r="F140" s="223"/>
      <c r="G140" s="221">
        <f>+prestamos!D12+prestamos!D13+prestamos!D14+prestamos!D15+prestamos!D16</f>
        <v>0</v>
      </c>
      <c r="H140" s="221">
        <f>+prestamos!E12+prestamos!E13+prestamos!E14+prestamos!E15+prestamos!E16</f>
        <v>0</v>
      </c>
      <c r="I140" s="221">
        <f>+prestamos!F12+prestamos!F13+prestamos!F14+prestamos!F15+prestamos!F16</f>
        <v>0</v>
      </c>
      <c r="J140" s="221">
        <f>+prestamos!G12+prestamos!G13+prestamos!G14+prestamos!G15+prestamos!G16</f>
        <v>0</v>
      </c>
      <c r="K140" s="221">
        <f>+prestamos!H12+prestamos!H13+prestamos!H14+prestamos!H15+prestamos!H16</f>
        <v>0</v>
      </c>
      <c r="L140" s="221">
        <f>+prestamos!I12+prestamos!I13+prestamos!I14+prestamos!I15+prestamos!I16</f>
        <v>0</v>
      </c>
      <c r="M140" s="221">
        <f>+prestamos!J12+prestamos!J13+prestamos!J14+prestamos!J15+prestamos!J16</f>
        <v>0</v>
      </c>
      <c r="N140" s="221">
        <f>+prestamos!K12+prestamos!K13+prestamos!K14+prestamos!K15+prestamos!K16</f>
        <v>0</v>
      </c>
      <c r="O140" s="221">
        <f>+prestamos!L12+prestamos!L13+prestamos!L14+prestamos!L15+prestamos!L16</f>
        <v>0</v>
      </c>
      <c r="P140" s="221">
        <f>+prestamos!M12+prestamos!M13+prestamos!M14+prestamos!M15+prestamos!M16</f>
        <v>0</v>
      </c>
      <c r="Q140" s="221">
        <f>+prestamos!N12+prestamos!N13+prestamos!N14+prestamos!N15+prestamos!N16</f>
        <v>0</v>
      </c>
      <c r="R140" s="974">
        <f>+prestamos!O12+prestamos!O13+prestamos!O14+prestamos!O15+prestamos!O16</f>
        <v>0</v>
      </c>
      <c r="S140" s="904"/>
      <c r="T140" s="259"/>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49"/>
    </row>
    <row r="141" spans="3:43" ht="15" customHeight="1" x14ac:dyDescent="0.2">
      <c r="C141" s="1182"/>
      <c r="D141" s="990"/>
      <c r="E141" s="233"/>
      <c r="F141" s="195"/>
      <c r="G141" s="1"/>
      <c r="H141" s="233"/>
      <c r="I141" s="233"/>
      <c r="J141" s="233"/>
      <c r="K141" s="233"/>
      <c r="L141" s="233"/>
      <c r="M141" s="233"/>
      <c r="N141" s="233"/>
      <c r="O141" s="233"/>
      <c r="P141" s="233"/>
      <c r="Q141" s="233"/>
      <c r="R141" s="988"/>
      <c r="S141" s="904"/>
      <c r="T141" s="259"/>
      <c r="U141" s="412"/>
      <c r="V141" s="412"/>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49"/>
    </row>
    <row r="142" spans="3:43" ht="15" x14ac:dyDescent="0.2">
      <c r="C142" s="1182"/>
      <c r="D142" s="969" t="s">
        <v>612</v>
      </c>
      <c r="E142" s="228" t="str">
        <f t="shared" ref="E142:R142" si="11">E81</f>
        <v>Total</v>
      </c>
      <c r="F142" s="228" t="str">
        <f t="shared" si="11"/>
        <v>%</v>
      </c>
      <c r="G142" s="228" t="str">
        <f t="shared" si="11"/>
        <v>Enero</v>
      </c>
      <c r="H142" s="228" t="str">
        <f t="shared" si="11"/>
        <v>Febrero</v>
      </c>
      <c r="I142" s="228" t="str">
        <f t="shared" si="11"/>
        <v>Marzo</v>
      </c>
      <c r="J142" s="228" t="str">
        <f t="shared" si="11"/>
        <v>Abril</v>
      </c>
      <c r="K142" s="228" t="str">
        <f t="shared" si="11"/>
        <v xml:space="preserve">Mayo </v>
      </c>
      <c r="L142" s="228" t="str">
        <f t="shared" si="11"/>
        <v>Junio</v>
      </c>
      <c r="M142" s="228" t="str">
        <f t="shared" si="11"/>
        <v>Julio</v>
      </c>
      <c r="N142" s="228" t="str">
        <f t="shared" si="11"/>
        <v>Agosto</v>
      </c>
      <c r="O142" s="228" t="str">
        <f t="shared" si="11"/>
        <v>Septiembre</v>
      </c>
      <c r="P142" s="228" t="str">
        <f t="shared" si="11"/>
        <v>Octubre</v>
      </c>
      <c r="Q142" s="228" t="str">
        <f t="shared" si="11"/>
        <v>Noviembre</v>
      </c>
      <c r="R142" s="970" t="str">
        <f t="shared" si="11"/>
        <v>Diciembre</v>
      </c>
      <c r="S142" s="904"/>
      <c r="T142" s="259"/>
      <c r="U142" s="412"/>
      <c r="V142" s="412"/>
      <c r="W142" s="412"/>
      <c r="X142" s="412"/>
      <c r="Y142" s="412"/>
      <c r="Z142" s="412"/>
      <c r="AA142" s="412"/>
      <c r="AB142" s="412"/>
      <c r="AC142" s="412"/>
      <c r="AD142" s="412"/>
      <c r="AE142" s="412"/>
      <c r="AF142" s="412"/>
      <c r="AG142" s="412"/>
      <c r="AH142" s="412"/>
      <c r="AI142" s="412"/>
      <c r="AJ142" s="412"/>
      <c r="AK142" s="412"/>
      <c r="AL142" s="412"/>
      <c r="AM142" s="412"/>
      <c r="AN142" s="412"/>
      <c r="AO142" s="412"/>
      <c r="AP142" s="412"/>
      <c r="AQ142" s="449"/>
    </row>
    <row r="143" spans="3:43" ht="5.0999999999999996" customHeight="1" x14ac:dyDescent="0.2">
      <c r="C143" s="1179"/>
      <c r="D143" s="991"/>
      <c r="E143" s="234"/>
      <c r="F143" s="235"/>
      <c r="G143" s="234"/>
      <c r="H143" s="234"/>
      <c r="I143" s="234"/>
      <c r="J143" s="234"/>
      <c r="K143" s="234"/>
      <c r="L143" s="234"/>
      <c r="M143" s="234"/>
      <c r="N143" s="234"/>
      <c r="O143" s="234"/>
      <c r="P143" s="234"/>
      <c r="Q143" s="234"/>
      <c r="R143" s="992"/>
      <c r="S143" s="904"/>
      <c r="T143" s="259"/>
      <c r="U143" s="412"/>
      <c r="V143" s="412"/>
      <c r="W143" s="412"/>
      <c r="X143" s="412"/>
      <c r="Y143" s="412"/>
      <c r="Z143" s="412"/>
      <c r="AA143" s="412"/>
      <c r="AB143" s="412"/>
      <c r="AC143" s="412"/>
      <c r="AD143" s="412"/>
      <c r="AE143" s="412"/>
      <c r="AF143" s="412"/>
      <c r="AG143" s="412"/>
      <c r="AH143" s="412"/>
      <c r="AI143" s="412"/>
      <c r="AJ143" s="412"/>
      <c r="AK143" s="412"/>
      <c r="AL143" s="412"/>
      <c r="AM143" s="412"/>
      <c r="AN143" s="412"/>
      <c r="AO143" s="412"/>
      <c r="AP143" s="412"/>
      <c r="AQ143" s="449"/>
    </row>
    <row r="144" spans="3:43" ht="14.25" x14ac:dyDescent="0.2">
      <c r="C144" s="1182"/>
      <c r="D144" s="993" t="s">
        <v>89</v>
      </c>
      <c r="E144" s="230">
        <f>SUM(G144:R144)</f>
        <v>0</v>
      </c>
      <c r="F144" s="237">
        <f>IF(E$83=0,0,(E144/$E$83))</f>
        <v>0</v>
      </c>
      <c r="G144" s="230">
        <f t="shared" ref="G144:R144" si="12">+(G135)-(G138)</f>
        <v>0</v>
      </c>
      <c r="H144" s="230">
        <f t="shared" si="12"/>
        <v>0</v>
      </c>
      <c r="I144" s="230">
        <f t="shared" si="12"/>
        <v>0</v>
      </c>
      <c r="J144" s="230">
        <f t="shared" si="12"/>
        <v>0</v>
      </c>
      <c r="K144" s="230">
        <f t="shared" si="12"/>
        <v>0</v>
      </c>
      <c r="L144" s="230">
        <f t="shared" si="12"/>
        <v>0</v>
      </c>
      <c r="M144" s="230">
        <f t="shared" si="12"/>
        <v>0</v>
      </c>
      <c r="N144" s="230">
        <f t="shared" si="12"/>
        <v>0</v>
      </c>
      <c r="O144" s="230">
        <f t="shared" si="12"/>
        <v>0</v>
      </c>
      <c r="P144" s="230">
        <f t="shared" si="12"/>
        <v>0</v>
      </c>
      <c r="Q144" s="230">
        <f t="shared" si="12"/>
        <v>0</v>
      </c>
      <c r="R144" s="994">
        <f t="shared" si="12"/>
        <v>0</v>
      </c>
      <c r="S144" s="904"/>
      <c r="T144" s="259"/>
      <c r="U144" s="412"/>
      <c r="V144" s="412"/>
      <c r="W144" s="412"/>
      <c r="X144" s="412"/>
      <c r="Y144" s="412"/>
      <c r="Z144" s="412"/>
      <c r="AA144" s="412"/>
      <c r="AB144" s="412"/>
      <c r="AC144" s="412"/>
      <c r="AD144" s="412"/>
      <c r="AE144" s="412"/>
      <c r="AF144" s="412"/>
      <c r="AG144" s="412"/>
      <c r="AH144" s="412"/>
      <c r="AI144" s="412"/>
      <c r="AJ144" s="412"/>
      <c r="AK144" s="412"/>
      <c r="AL144" s="412"/>
      <c r="AM144" s="412"/>
      <c r="AN144" s="412"/>
      <c r="AO144" s="412"/>
      <c r="AP144" s="412"/>
      <c r="AQ144" s="449"/>
    </row>
    <row r="145" spans="3:43" ht="14.25" x14ac:dyDescent="0.2">
      <c r="C145" s="1182"/>
      <c r="D145" s="987" t="s">
        <v>88</v>
      </c>
      <c r="E145" s="224">
        <f>+IF($E$144&gt;0,-CResult!O72,0)</f>
        <v>0</v>
      </c>
      <c r="F145" s="223">
        <f>IF(E$144=0,0,(E145/$E$144))</f>
        <v>0</v>
      </c>
      <c r="G145" s="224">
        <f>+IF($E$144&gt;0,-CResult!D67,0)</f>
        <v>0</v>
      </c>
      <c r="H145" s="224">
        <f>+IF($E$144&gt;0,-CResult!E67,0)</f>
        <v>0</v>
      </c>
      <c r="I145" s="224">
        <f>+IF($E$144&gt;0,-CResult!F67,0)</f>
        <v>0</v>
      </c>
      <c r="J145" s="224">
        <f>+IF($E$144&gt;0,-CResult!G67,0)</f>
        <v>0</v>
      </c>
      <c r="K145" s="224">
        <f>+IF($E$144&gt;0,-CResult!H67,0)</f>
        <v>0</v>
      </c>
      <c r="L145" s="224">
        <f>+IF($E$144&gt;0,-CResult!I67,0)</f>
        <v>0</v>
      </c>
      <c r="M145" s="224">
        <f>+IF($E$144&gt;0,-CResult!J67,0)</f>
        <v>0</v>
      </c>
      <c r="N145" s="224">
        <f>+IF($E$144&gt;0,-CResult!K67,0)</f>
        <v>0</v>
      </c>
      <c r="O145" s="224">
        <f>+IF($E$144&gt;0,-CResult!L67,0)</f>
        <v>0</v>
      </c>
      <c r="P145" s="224">
        <f>+IF($E$144&gt;0,-CResult!M67,0)</f>
        <v>0</v>
      </c>
      <c r="Q145" s="224">
        <f>+IF($E$144&gt;0,-CResult!N67,0)</f>
        <v>0</v>
      </c>
      <c r="R145" s="976">
        <f>+IF($E$144&gt;0,-CResult!O67,0)</f>
        <v>0</v>
      </c>
      <c r="S145" s="904"/>
      <c r="T145" s="259"/>
      <c r="U145" s="412"/>
      <c r="V145" s="412"/>
      <c r="W145" s="412"/>
      <c r="X145" s="412"/>
      <c r="Y145" s="412"/>
      <c r="Z145" s="412"/>
      <c r="AA145" s="412"/>
      <c r="AB145" s="412"/>
      <c r="AC145" s="412"/>
      <c r="AD145" s="412"/>
      <c r="AE145" s="412"/>
      <c r="AF145" s="412"/>
      <c r="AG145" s="412"/>
      <c r="AH145" s="412"/>
      <c r="AI145" s="412"/>
      <c r="AJ145" s="412"/>
      <c r="AK145" s="412"/>
      <c r="AL145" s="412"/>
      <c r="AM145" s="412"/>
      <c r="AN145" s="412"/>
      <c r="AO145" s="412"/>
      <c r="AP145" s="412"/>
      <c r="AQ145" s="449"/>
    </row>
    <row r="146" spans="3:43" ht="3.75" customHeight="1" x14ac:dyDescent="0.2">
      <c r="C146" s="1182"/>
      <c r="D146" s="990"/>
      <c r="E146" s="233"/>
      <c r="F146" s="195"/>
      <c r="G146" s="233"/>
      <c r="H146" s="233"/>
      <c r="I146" s="233"/>
      <c r="J146" s="233"/>
      <c r="K146" s="233"/>
      <c r="L146" s="233"/>
      <c r="M146" s="233"/>
      <c r="N146" s="233"/>
      <c r="O146" s="233"/>
      <c r="P146" s="233"/>
      <c r="Q146" s="233"/>
      <c r="R146" s="988"/>
      <c r="S146" s="1197"/>
      <c r="T146" s="259"/>
      <c r="U146" s="412"/>
      <c r="V146" s="412"/>
      <c r="W146" s="412"/>
      <c r="X146" s="412"/>
      <c r="Y146" s="412"/>
      <c r="Z146" s="412"/>
      <c r="AA146" s="412"/>
      <c r="AB146" s="412"/>
      <c r="AC146" s="412"/>
      <c r="AD146" s="412"/>
      <c r="AE146" s="412"/>
      <c r="AF146" s="412"/>
      <c r="AG146" s="412"/>
      <c r="AH146" s="412"/>
      <c r="AI146" s="412"/>
      <c r="AJ146" s="412"/>
      <c r="AK146" s="412"/>
      <c r="AL146" s="412"/>
      <c r="AM146" s="412"/>
      <c r="AN146" s="412"/>
      <c r="AO146" s="412"/>
      <c r="AP146" s="412"/>
      <c r="AQ146" s="449"/>
    </row>
    <row r="147" spans="3:43" ht="15" x14ac:dyDescent="0.2">
      <c r="C147" s="1182"/>
      <c r="D147" s="979" t="s">
        <v>583</v>
      </c>
      <c r="E147" s="236">
        <f>SUM(G147:R147)</f>
        <v>0</v>
      </c>
      <c r="F147" s="231">
        <f>IF(E$83=0,0,(E147/$E$83))</f>
        <v>0</v>
      </c>
      <c r="G147" s="236">
        <f>SUM(G144:G145)</f>
        <v>0</v>
      </c>
      <c r="H147" s="236">
        <f t="shared" ref="H147:R147" si="13">SUM(H144:H145)</f>
        <v>0</v>
      </c>
      <c r="I147" s="236">
        <f t="shared" si="13"/>
        <v>0</v>
      </c>
      <c r="J147" s="236">
        <f t="shared" si="13"/>
        <v>0</v>
      </c>
      <c r="K147" s="236">
        <f t="shared" si="13"/>
        <v>0</v>
      </c>
      <c r="L147" s="236">
        <f t="shared" si="13"/>
        <v>0</v>
      </c>
      <c r="M147" s="236">
        <f t="shared" si="13"/>
        <v>0</v>
      </c>
      <c r="N147" s="236">
        <f t="shared" si="13"/>
        <v>0</v>
      </c>
      <c r="O147" s="236">
        <f t="shared" si="13"/>
        <v>0</v>
      </c>
      <c r="P147" s="236">
        <f t="shared" si="13"/>
        <v>0</v>
      </c>
      <c r="Q147" s="236">
        <f t="shared" si="13"/>
        <v>0</v>
      </c>
      <c r="R147" s="989">
        <f t="shared" si="13"/>
        <v>0</v>
      </c>
      <c r="S147" s="904"/>
      <c r="T147" s="259"/>
      <c r="U147" s="412"/>
      <c r="V147" s="412"/>
      <c r="W147" s="412"/>
      <c r="X147" s="412"/>
      <c r="Y147" s="412"/>
      <c r="Z147" s="412"/>
      <c r="AA147" s="412"/>
      <c r="AB147" s="412"/>
      <c r="AC147" s="412"/>
      <c r="AD147" s="412"/>
      <c r="AE147" s="412"/>
      <c r="AF147" s="412"/>
      <c r="AG147" s="412"/>
      <c r="AH147" s="412"/>
      <c r="AI147" s="412"/>
      <c r="AJ147" s="412"/>
      <c r="AK147" s="412"/>
      <c r="AL147" s="412"/>
      <c r="AM147" s="412"/>
      <c r="AN147" s="412"/>
      <c r="AO147" s="412"/>
      <c r="AP147" s="412"/>
      <c r="AQ147" s="449"/>
    </row>
    <row r="148" spans="3:43" ht="14.25" x14ac:dyDescent="0.2">
      <c r="C148" s="1182"/>
      <c r="D148" s="990"/>
      <c r="E148" s="233"/>
      <c r="F148" s="233"/>
      <c r="G148" s="224">
        <f>+G147</f>
        <v>0</v>
      </c>
      <c r="H148" s="224">
        <f>+G148+H147</f>
        <v>0</v>
      </c>
      <c r="I148" s="224">
        <f t="shared" ref="I148:R148" si="14">+H148+I147</f>
        <v>0</v>
      </c>
      <c r="J148" s="224">
        <f t="shared" si="14"/>
        <v>0</v>
      </c>
      <c r="K148" s="224">
        <f t="shared" si="14"/>
        <v>0</v>
      </c>
      <c r="L148" s="224">
        <f t="shared" si="14"/>
        <v>0</v>
      </c>
      <c r="M148" s="224">
        <f t="shared" si="14"/>
        <v>0</v>
      </c>
      <c r="N148" s="224">
        <f t="shared" si="14"/>
        <v>0</v>
      </c>
      <c r="O148" s="224">
        <f t="shared" si="14"/>
        <v>0</v>
      </c>
      <c r="P148" s="224">
        <f t="shared" si="14"/>
        <v>0</v>
      </c>
      <c r="Q148" s="224">
        <f t="shared" si="14"/>
        <v>0</v>
      </c>
      <c r="R148" s="976">
        <f t="shared" si="14"/>
        <v>0</v>
      </c>
      <c r="S148" s="904"/>
      <c r="T148" s="259"/>
      <c r="U148" s="820"/>
      <c r="V148" s="412"/>
      <c r="W148" s="412"/>
      <c r="X148" s="412"/>
      <c r="Y148" s="412"/>
      <c r="Z148" s="412"/>
      <c r="AA148" s="412"/>
      <c r="AB148" s="412"/>
      <c r="AC148" s="412"/>
      <c r="AD148" s="412"/>
      <c r="AE148" s="412"/>
      <c r="AF148" s="412"/>
      <c r="AG148" s="412"/>
      <c r="AH148" s="412"/>
      <c r="AI148" s="412"/>
      <c r="AJ148" s="412"/>
      <c r="AK148" s="412"/>
      <c r="AL148" s="412"/>
      <c r="AM148" s="412"/>
      <c r="AN148" s="412"/>
      <c r="AO148" s="412"/>
      <c r="AP148" s="412"/>
      <c r="AQ148" s="449"/>
    </row>
    <row r="149" spans="3:43" ht="17.100000000000001" customHeight="1" x14ac:dyDescent="0.2">
      <c r="C149" s="1183"/>
      <c r="D149" s="995"/>
      <c r="E149" s="198"/>
      <c r="F149" s="198"/>
      <c r="G149" s="199"/>
      <c r="H149" s="199"/>
      <c r="I149" s="199"/>
      <c r="J149" s="199"/>
      <c r="K149" s="199"/>
      <c r="L149" s="199"/>
      <c r="M149" s="199"/>
      <c r="N149" s="199"/>
      <c r="O149" s="199"/>
      <c r="P149" s="199"/>
      <c r="Q149" s="199"/>
      <c r="R149" s="996"/>
      <c r="S149" s="904"/>
      <c r="T149" s="259"/>
      <c r="U149" s="412"/>
      <c r="V149" s="412"/>
      <c r="W149" s="412"/>
      <c r="X149" s="412"/>
      <c r="Y149" s="412"/>
      <c r="Z149" s="412"/>
      <c r="AA149" s="412"/>
      <c r="AB149" s="412"/>
      <c r="AC149" s="412"/>
      <c r="AD149" s="412"/>
      <c r="AE149" s="412"/>
      <c r="AF149" s="412"/>
      <c r="AG149" s="412"/>
      <c r="AH149" s="412"/>
      <c r="AI149" s="412"/>
      <c r="AJ149" s="412"/>
      <c r="AK149" s="412"/>
      <c r="AL149" s="412"/>
      <c r="AM149" s="412"/>
      <c r="AN149" s="412"/>
      <c r="AO149" s="412"/>
      <c r="AP149" s="412"/>
      <c r="AQ149" s="449"/>
    </row>
    <row r="150" spans="3:43" ht="17.100000000000001" customHeight="1" x14ac:dyDescent="0.2">
      <c r="C150" s="1182"/>
      <c r="D150" s="997"/>
      <c r="E150" s="200"/>
      <c r="F150" s="200"/>
      <c r="G150" s="193"/>
      <c r="H150" s="193"/>
      <c r="I150" s="193"/>
      <c r="J150" s="193"/>
      <c r="K150" s="201"/>
      <c r="L150" s="201"/>
      <c r="M150" s="193"/>
      <c r="N150" s="193"/>
      <c r="O150" s="193"/>
      <c r="P150" s="193"/>
      <c r="Q150" s="193"/>
      <c r="R150" s="998"/>
      <c r="S150" s="904"/>
      <c r="T150" s="259"/>
      <c r="U150" s="412"/>
      <c r="V150" s="412"/>
      <c r="W150" s="412"/>
      <c r="X150" s="412"/>
      <c r="Y150" s="412"/>
      <c r="Z150" s="412"/>
      <c r="AA150" s="412"/>
      <c r="AB150" s="412"/>
      <c r="AC150" s="412"/>
      <c r="AD150" s="412"/>
      <c r="AE150" s="412"/>
      <c r="AF150" s="412"/>
      <c r="AG150" s="412"/>
      <c r="AH150" s="412"/>
      <c r="AI150" s="412"/>
      <c r="AJ150" s="412"/>
      <c r="AK150" s="412"/>
      <c r="AL150" s="412"/>
      <c r="AM150" s="412"/>
      <c r="AN150" s="412"/>
      <c r="AO150" s="412"/>
      <c r="AP150" s="412"/>
      <c r="AQ150" s="449"/>
    </row>
    <row r="151" spans="3:43" ht="17.100000000000001" customHeight="1" x14ac:dyDescent="0.2">
      <c r="C151" s="1182"/>
      <c r="D151" s="997"/>
      <c r="E151" s="200"/>
      <c r="F151" s="200"/>
      <c r="G151" s="193"/>
      <c r="H151" s="193"/>
      <c r="I151" s="193"/>
      <c r="J151" s="193"/>
      <c r="K151" s="193"/>
      <c r="L151" s="193"/>
      <c r="M151" s="193"/>
      <c r="N151" s="193"/>
      <c r="O151" s="193"/>
      <c r="P151" s="193"/>
      <c r="Q151" s="193"/>
      <c r="R151" s="998"/>
      <c r="S151" s="904"/>
      <c r="T151" s="259"/>
      <c r="U151" s="412"/>
      <c r="V151" s="412"/>
      <c r="W151" s="412"/>
      <c r="X151" s="412"/>
      <c r="Y151" s="412"/>
      <c r="Z151" s="412"/>
      <c r="AA151" s="412"/>
      <c r="AB151" s="412"/>
      <c r="AC151" s="412"/>
      <c r="AD151" s="412"/>
      <c r="AE151" s="412"/>
      <c r="AF151" s="412"/>
      <c r="AG151" s="412"/>
      <c r="AH151" s="412"/>
      <c r="AI151" s="412"/>
      <c r="AJ151" s="412"/>
      <c r="AK151" s="412"/>
      <c r="AL151" s="412"/>
      <c r="AM151" s="412"/>
      <c r="AN151" s="412"/>
      <c r="AO151" s="412"/>
      <c r="AP151" s="412"/>
      <c r="AQ151" s="449"/>
    </row>
    <row r="152" spans="3:43" ht="17.100000000000001" customHeight="1" x14ac:dyDescent="0.2">
      <c r="C152" s="1182"/>
      <c r="D152" s="997"/>
      <c r="E152" s="200"/>
      <c r="F152" s="200"/>
      <c r="G152" s="193"/>
      <c r="H152" s="193"/>
      <c r="I152" s="193"/>
      <c r="J152" s="193"/>
      <c r="K152" s="193"/>
      <c r="L152" s="193"/>
      <c r="M152" s="193"/>
      <c r="N152" s="193"/>
      <c r="O152" s="193"/>
      <c r="P152" s="193"/>
      <c r="Q152" s="193"/>
      <c r="R152" s="998"/>
      <c r="S152" s="904"/>
      <c r="T152" s="259"/>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49"/>
    </row>
    <row r="153" spans="3:43" ht="17.100000000000001" customHeight="1" x14ac:dyDescent="0.2">
      <c r="C153" s="1182"/>
      <c r="D153" s="997"/>
      <c r="E153" s="200"/>
      <c r="F153" s="200"/>
      <c r="G153" s="193"/>
      <c r="H153" s="193"/>
      <c r="I153" s="193"/>
      <c r="J153" s="193"/>
      <c r="K153" s="193"/>
      <c r="L153" s="193"/>
      <c r="M153" s="193"/>
      <c r="N153" s="193"/>
      <c r="O153" s="193"/>
      <c r="P153" s="193"/>
      <c r="Q153" s="193"/>
      <c r="R153" s="998"/>
      <c r="S153" s="904"/>
      <c r="T153" s="259"/>
      <c r="U153" s="412"/>
      <c r="V153" s="412"/>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49"/>
    </row>
    <row r="154" spans="3:43" ht="17.100000000000001" customHeight="1" x14ac:dyDescent="0.2">
      <c r="C154" s="1182"/>
      <c r="D154" s="997"/>
      <c r="E154" s="200"/>
      <c r="F154" s="200"/>
      <c r="G154" s="193"/>
      <c r="H154" s="193"/>
      <c r="I154" s="193"/>
      <c r="J154" s="193"/>
      <c r="K154" s="193"/>
      <c r="L154" s="193"/>
      <c r="M154" s="193"/>
      <c r="N154" s="193"/>
      <c r="O154" s="193"/>
      <c r="P154" s="193"/>
      <c r="Q154" s="193"/>
      <c r="R154" s="998"/>
      <c r="S154" s="904"/>
      <c r="T154" s="259"/>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49"/>
    </row>
    <row r="155" spans="3:43" ht="17.100000000000001" customHeight="1" x14ac:dyDescent="0.2">
      <c r="C155" s="1182"/>
      <c r="D155" s="997"/>
      <c r="E155" s="200"/>
      <c r="F155" s="200"/>
      <c r="G155" s="193"/>
      <c r="H155" s="193"/>
      <c r="I155" s="193"/>
      <c r="J155" s="193"/>
      <c r="K155" s="193"/>
      <c r="L155" s="193"/>
      <c r="M155" s="193"/>
      <c r="N155" s="193"/>
      <c r="O155" s="193"/>
      <c r="P155" s="193"/>
      <c r="Q155" s="193"/>
      <c r="R155" s="998"/>
      <c r="S155" s="904"/>
      <c r="T155" s="259"/>
      <c r="U155" s="412"/>
      <c r="V155" s="412"/>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49"/>
    </row>
    <row r="156" spans="3:43" ht="17.100000000000001" customHeight="1" x14ac:dyDescent="0.2">
      <c r="C156" s="1182"/>
      <c r="D156" s="997"/>
      <c r="E156" s="200"/>
      <c r="F156" s="200"/>
      <c r="G156" s="193"/>
      <c r="H156" s="193"/>
      <c r="I156" s="193"/>
      <c r="J156" s="193"/>
      <c r="K156" s="193"/>
      <c r="L156" s="193"/>
      <c r="M156" s="193"/>
      <c r="N156" s="193"/>
      <c r="O156" s="193"/>
      <c r="P156" s="193"/>
      <c r="Q156" s="193"/>
      <c r="R156" s="998"/>
      <c r="S156" s="904"/>
      <c r="T156" s="259"/>
      <c r="U156" s="412"/>
      <c r="V156" s="412"/>
      <c r="W156" s="412"/>
      <c r="X156" s="412"/>
      <c r="Y156" s="412"/>
      <c r="Z156" s="412"/>
      <c r="AA156" s="412"/>
      <c r="AB156" s="412"/>
      <c r="AC156" s="412"/>
      <c r="AD156" s="412"/>
      <c r="AE156" s="412"/>
      <c r="AF156" s="412"/>
      <c r="AG156" s="412"/>
      <c r="AH156" s="412"/>
      <c r="AI156" s="412"/>
      <c r="AJ156" s="412"/>
      <c r="AK156" s="412"/>
      <c r="AL156" s="412"/>
      <c r="AM156" s="412"/>
      <c r="AN156" s="412"/>
      <c r="AO156" s="412"/>
      <c r="AP156" s="412"/>
      <c r="AQ156" s="449"/>
    </row>
    <row r="157" spans="3:43" ht="17.100000000000001" customHeight="1" x14ac:dyDescent="0.2">
      <c r="C157" s="1182"/>
      <c r="D157" s="997"/>
      <c r="E157" s="200"/>
      <c r="F157" s="200"/>
      <c r="G157" s="193"/>
      <c r="H157" s="193"/>
      <c r="I157" s="193"/>
      <c r="J157" s="193"/>
      <c r="K157" s="193"/>
      <c r="L157" s="193"/>
      <c r="M157" s="193"/>
      <c r="N157" s="193"/>
      <c r="O157" s="193"/>
      <c r="P157" s="193"/>
      <c r="Q157" s="193"/>
      <c r="R157" s="998"/>
      <c r="S157" s="904"/>
      <c r="T157" s="259"/>
      <c r="U157" s="412"/>
      <c r="V157" s="412"/>
      <c r="W157" s="412"/>
      <c r="X157" s="412"/>
      <c r="Y157" s="412"/>
      <c r="Z157" s="412"/>
      <c r="AA157" s="412"/>
      <c r="AB157" s="412"/>
      <c r="AC157" s="412"/>
      <c r="AD157" s="412"/>
      <c r="AE157" s="412"/>
      <c r="AF157" s="412"/>
      <c r="AG157" s="412"/>
      <c r="AH157" s="412"/>
      <c r="AI157" s="412"/>
      <c r="AJ157" s="412"/>
      <c r="AK157" s="412"/>
      <c r="AL157" s="412"/>
      <c r="AM157" s="412"/>
      <c r="AN157" s="412"/>
      <c r="AO157" s="412"/>
      <c r="AP157" s="412"/>
      <c r="AQ157" s="449"/>
    </row>
    <row r="158" spans="3:43" ht="17.100000000000001" customHeight="1" x14ac:dyDescent="0.2">
      <c r="C158" s="1182"/>
      <c r="D158" s="997"/>
      <c r="E158" s="200"/>
      <c r="F158" s="200"/>
      <c r="G158" s="193"/>
      <c r="H158" s="193"/>
      <c r="I158" s="193"/>
      <c r="J158" s="193"/>
      <c r="K158" s="193"/>
      <c r="L158" s="193"/>
      <c r="M158" s="193"/>
      <c r="N158" s="193"/>
      <c r="O158" s="193"/>
      <c r="P158" s="193"/>
      <c r="Q158" s="193"/>
      <c r="R158" s="998"/>
      <c r="S158" s="904"/>
      <c r="T158" s="259"/>
      <c r="U158" s="412"/>
      <c r="V158" s="412"/>
      <c r="W158" s="412"/>
      <c r="X158" s="412"/>
      <c r="Y158" s="412"/>
      <c r="Z158" s="412"/>
      <c r="AA158" s="412"/>
      <c r="AB158" s="412"/>
      <c r="AC158" s="412"/>
      <c r="AD158" s="412"/>
      <c r="AE158" s="412"/>
      <c r="AF158" s="412"/>
      <c r="AG158" s="412"/>
      <c r="AH158" s="412"/>
      <c r="AI158" s="412"/>
      <c r="AJ158" s="412"/>
      <c r="AK158" s="412"/>
      <c r="AL158" s="412"/>
      <c r="AM158" s="412"/>
      <c r="AN158" s="412"/>
      <c r="AO158" s="412"/>
      <c r="AP158" s="412"/>
      <c r="AQ158" s="449"/>
    </row>
    <row r="159" spans="3:43" ht="17.100000000000001" customHeight="1" x14ac:dyDescent="0.2">
      <c r="C159" s="1182"/>
      <c r="D159" s="997"/>
      <c r="E159" s="200"/>
      <c r="F159" s="200"/>
      <c r="G159" s="193"/>
      <c r="H159" s="193"/>
      <c r="I159" s="193"/>
      <c r="J159" s="193"/>
      <c r="K159" s="193"/>
      <c r="L159" s="193"/>
      <c r="M159" s="193"/>
      <c r="N159" s="193"/>
      <c r="O159" s="193"/>
      <c r="P159" s="193"/>
      <c r="Q159" s="193"/>
      <c r="R159" s="998"/>
      <c r="S159" s="904"/>
      <c r="T159" s="259"/>
      <c r="U159" s="412"/>
      <c r="V159" s="412"/>
      <c r="W159" s="412"/>
      <c r="X159" s="412"/>
      <c r="Y159" s="412"/>
      <c r="Z159" s="412"/>
      <c r="AA159" s="412"/>
      <c r="AB159" s="412"/>
      <c r="AC159" s="412"/>
      <c r="AD159" s="412"/>
      <c r="AE159" s="412"/>
      <c r="AF159" s="412"/>
      <c r="AG159" s="412"/>
      <c r="AH159" s="412"/>
      <c r="AI159" s="412"/>
      <c r="AJ159" s="412"/>
      <c r="AK159" s="412"/>
      <c r="AL159" s="412"/>
      <c r="AM159" s="412"/>
      <c r="AN159" s="412"/>
      <c r="AO159" s="412"/>
      <c r="AP159" s="412"/>
      <c r="AQ159" s="449"/>
    </row>
    <row r="160" spans="3:43" ht="17.100000000000001" customHeight="1" x14ac:dyDescent="0.2">
      <c r="C160" s="1182"/>
      <c r="D160" s="997"/>
      <c r="E160" s="200"/>
      <c r="F160" s="200"/>
      <c r="G160" s="193"/>
      <c r="H160" s="193"/>
      <c r="I160" s="193"/>
      <c r="J160" s="193"/>
      <c r="K160" s="193"/>
      <c r="L160" s="193"/>
      <c r="M160" s="193"/>
      <c r="N160" s="193"/>
      <c r="O160" s="193"/>
      <c r="P160" s="193"/>
      <c r="Q160" s="193"/>
      <c r="R160" s="998"/>
      <c r="S160" s="904"/>
      <c r="T160" s="259"/>
      <c r="U160" s="412"/>
      <c r="V160" s="412"/>
      <c r="W160" s="412"/>
      <c r="X160" s="412"/>
      <c r="Y160" s="412"/>
      <c r="Z160" s="412"/>
      <c r="AA160" s="412"/>
      <c r="AB160" s="412"/>
      <c r="AC160" s="412"/>
      <c r="AD160" s="412"/>
      <c r="AE160" s="412"/>
      <c r="AF160" s="412"/>
      <c r="AG160" s="412"/>
      <c r="AH160" s="412"/>
      <c r="AI160" s="412"/>
      <c r="AJ160" s="412"/>
      <c r="AK160" s="412"/>
      <c r="AL160" s="412"/>
      <c r="AM160" s="412"/>
      <c r="AN160" s="412"/>
      <c r="AO160" s="412"/>
      <c r="AP160" s="412"/>
      <c r="AQ160" s="449"/>
    </row>
    <row r="161" spans="3:43" ht="17.100000000000001" customHeight="1" x14ac:dyDescent="0.2">
      <c r="C161" s="1182"/>
      <c r="D161" s="997"/>
      <c r="E161" s="200"/>
      <c r="F161" s="200"/>
      <c r="G161" s="193"/>
      <c r="H161" s="193"/>
      <c r="I161" s="193"/>
      <c r="J161" s="193"/>
      <c r="K161" s="193"/>
      <c r="L161" s="193"/>
      <c r="M161" s="193"/>
      <c r="N161" s="193"/>
      <c r="O161" s="193"/>
      <c r="P161" s="193"/>
      <c r="Q161" s="193"/>
      <c r="R161" s="998"/>
      <c r="S161" s="904"/>
      <c r="T161" s="259"/>
      <c r="U161" s="412"/>
      <c r="V161" s="412"/>
      <c r="W161" s="412"/>
      <c r="X161" s="412"/>
      <c r="Y161" s="412"/>
      <c r="Z161" s="412"/>
      <c r="AA161" s="412"/>
      <c r="AB161" s="412"/>
      <c r="AC161" s="412"/>
      <c r="AD161" s="412"/>
      <c r="AE161" s="412"/>
      <c r="AF161" s="412"/>
      <c r="AG161" s="412"/>
      <c r="AH161" s="412"/>
      <c r="AI161" s="412"/>
      <c r="AJ161" s="412"/>
      <c r="AK161" s="412"/>
      <c r="AL161" s="412"/>
      <c r="AM161" s="412"/>
      <c r="AN161" s="412"/>
      <c r="AO161" s="412"/>
      <c r="AP161" s="412"/>
      <c r="AQ161" s="449"/>
    </row>
    <row r="162" spans="3:43" ht="17.100000000000001" customHeight="1" x14ac:dyDescent="0.2">
      <c r="C162" s="1182"/>
      <c r="D162" s="997"/>
      <c r="E162" s="200"/>
      <c r="F162" s="200"/>
      <c r="G162" s="193"/>
      <c r="H162" s="193"/>
      <c r="I162" s="193"/>
      <c r="J162" s="193"/>
      <c r="K162" s="193"/>
      <c r="L162" s="193"/>
      <c r="M162" s="193"/>
      <c r="N162" s="193"/>
      <c r="O162" s="193"/>
      <c r="P162" s="193"/>
      <c r="Q162" s="193"/>
      <c r="R162" s="998"/>
      <c r="S162" s="904"/>
      <c r="T162" s="259"/>
      <c r="U162" s="412"/>
      <c r="V162" s="412"/>
      <c r="W162" s="412"/>
      <c r="X162" s="412"/>
      <c r="Y162" s="412"/>
      <c r="Z162" s="412"/>
      <c r="AA162" s="412"/>
      <c r="AB162" s="412"/>
      <c r="AC162" s="412"/>
      <c r="AD162" s="412"/>
      <c r="AE162" s="412"/>
      <c r="AF162" s="412"/>
      <c r="AG162" s="412"/>
      <c r="AH162" s="412"/>
      <c r="AI162" s="412"/>
      <c r="AJ162" s="412"/>
      <c r="AK162" s="412"/>
      <c r="AL162" s="412"/>
      <c r="AM162" s="412"/>
      <c r="AN162" s="412"/>
      <c r="AO162" s="412"/>
      <c r="AP162" s="412"/>
      <c r="AQ162" s="449"/>
    </row>
    <row r="163" spans="3:43" ht="17.100000000000001" customHeight="1" x14ac:dyDescent="0.2">
      <c r="C163" s="1183"/>
      <c r="D163" s="995"/>
      <c r="E163" s="198"/>
      <c r="F163" s="198"/>
      <c r="G163" s="199"/>
      <c r="H163" s="199"/>
      <c r="I163" s="199"/>
      <c r="J163" s="199"/>
      <c r="K163" s="199"/>
      <c r="L163" s="199"/>
      <c r="M163" s="199"/>
      <c r="N163" s="199"/>
      <c r="O163" s="199"/>
      <c r="P163" s="199"/>
      <c r="Q163" s="199"/>
      <c r="R163" s="996"/>
      <c r="S163" s="904"/>
      <c r="T163" s="259"/>
      <c r="U163" s="412"/>
      <c r="V163" s="412"/>
      <c r="W163" s="412"/>
      <c r="X163" s="412"/>
      <c r="Y163" s="412"/>
      <c r="Z163" s="412"/>
      <c r="AA163" s="412"/>
      <c r="AB163" s="412"/>
      <c r="AC163" s="412"/>
      <c r="AD163" s="412"/>
      <c r="AE163" s="412"/>
      <c r="AF163" s="412"/>
      <c r="AG163" s="412"/>
      <c r="AH163" s="412"/>
      <c r="AI163" s="412"/>
      <c r="AJ163" s="412"/>
      <c r="AK163" s="412"/>
      <c r="AL163" s="412"/>
      <c r="AM163" s="412"/>
      <c r="AN163" s="412"/>
      <c r="AO163" s="412"/>
      <c r="AP163" s="412"/>
      <c r="AQ163" s="449"/>
    </row>
    <row r="164" spans="3:43" ht="17.100000000000001" customHeight="1" x14ac:dyDescent="0.2">
      <c r="C164" s="1182"/>
      <c r="D164" s="997"/>
      <c r="E164" s="200"/>
      <c r="F164" s="200"/>
      <c r="G164" s="193"/>
      <c r="H164" s="193"/>
      <c r="I164" s="193"/>
      <c r="J164" s="193"/>
      <c r="K164" s="193"/>
      <c r="L164" s="193"/>
      <c r="M164" s="193"/>
      <c r="N164" s="193"/>
      <c r="O164" s="193"/>
      <c r="P164" s="193"/>
      <c r="Q164" s="193"/>
      <c r="R164" s="998"/>
      <c r="S164" s="904"/>
      <c r="T164" s="259"/>
      <c r="U164" s="412"/>
      <c r="V164" s="412"/>
      <c r="W164" s="412"/>
      <c r="X164" s="412"/>
      <c r="Y164" s="412"/>
      <c r="Z164" s="412"/>
      <c r="AA164" s="412"/>
      <c r="AB164" s="412"/>
      <c r="AC164" s="412"/>
      <c r="AD164" s="412"/>
      <c r="AE164" s="412"/>
      <c r="AF164" s="412"/>
      <c r="AG164" s="412"/>
      <c r="AH164" s="412"/>
      <c r="AI164" s="412"/>
      <c r="AJ164" s="412"/>
      <c r="AK164" s="412"/>
      <c r="AL164" s="412"/>
      <c r="AM164" s="412"/>
      <c r="AN164" s="412"/>
      <c r="AO164" s="412"/>
      <c r="AP164" s="412"/>
      <c r="AQ164" s="449"/>
    </row>
    <row r="165" spans="3:43" ht="17.100000000000001" customHeight="1" x14ac:dyDescent="0.2">
      <c r="C165" s="1182"/>
      <c r="D165" s="997"/>
      <c r="E165" s="200"/>
      <c r="F165" s="200"/>
      <c r="G165" s="193"/>
      <c r="H165" s="193"/>
      <c r="I165" s="193"/>
      <c r="J165" s="193"/>
      <c r="K165" s="193"/>
      <c r="L165" s="193"/>
      <c r="M165" s="193"/>
      <c r="N165" s="193"/>
      <c r="O165" s="193"/>
      <c r="P165" s="193"/>
      <c r="Q165" s="193"/>
      <c r="R165" s="998"/>
      <c r="S165" s="904"/>
      <c r="T165" s="259"/>
      <c r="U165" s="412"/>
      <c r="V165" s="412"/>
      <c r="W165" s="412"/>
      <c r="X165" s="412"/>
      <c r="Y165" s="412"/>
      <c r="Z165" s="412"/>
      <c r="AA165" s="412"/>
      <c r="AB165" s="412"/>
      <c r="AC165" s="412"/>
      <c r="AD165" s="412"/>
      <c r="AE165" s="412"/>
      <c r="AF165" s="412"/>
      <c r="AG165" s="412"/>
      <c r="AH165" s="412"/>
      <c r="AI165" s="412"/>
      <c r="AJ165" s="412"/>
      <c r="AK165" s="412"/>
      <c r="AL165" s="412"/>
      <c r="AM165" s="412"/>
      <c r="AN165" s="412"/>
      <c r="AO165" s="412"/>
      <c r="AP165" s="412"/>
      <c r="AQ165" s="449"/>
    </row>
    <row r="166" spans="3:43" ht="17.100000000000001" customHeight="1" x14ac:dyDescent="0.2">
      <c r="C166" s="1182"/>
      <c r="D166" s="997"/>
      <c r="E166" s="200"/>
      <c r="F166" s="200"/>
      <c r="G166" s="193"/>
      <c r="H166" s="193"/>
      <c r="I166" s="193"/>
      <c r="J166" s="193"/>
      <c r="K166" s="193"/>
      <c r="L166" s="193"/>
      <c r="M166" s="193"/>
      <c r="N166" s="193"/>
      <c r="O166" s="193"/>
      <c r="P166" s="193"/>
      <c r="Q166" s="193"/>
      <c r="R166" s="998"/>
      <c r="S166" s="904"/>
      <c r="T166" s="259"/>
      <c r="U166" s="412"/>
      <c r="V166" s="412"/>
      <c r="W166" s="412"/>
      <c r="X166" s="412"/>
      <c r="Y166" s="412"/>
      <c r="Z166" s="412"/>
      <c r="AA166" s="412"/>
      <c r="AB166" s="412"/>
      <c r="AC166" s="412"/>
      <c r="AD166" s="412"/>
      <c r="AE166" s="412"/>
      <c r="AF166" s="412"/>
      <c r="AG166" s="412"/>
      <c r="AH166" s="412"/>
      <c r="AI166" s="412"/>
      <c r="AJ166" s="412"/>
      <c r="AK166" s="412"/>
      <c r="AL166" s="412"/>
      <c r="AM166" s="412"/>
      <c r="AN166" s="412"/>
      <c r="AO166" s="412"/>
      <c r="AP166" s="412"/>
      <c r="AQ166" s="449"/>
    </row>
    <row r="167" spans="3:43" ht="17.100000000000001" customHeight="1" x14ac:dyDescent="0.2">
      <c r="C167" s="1182"/>
      <c r="D167" s="997"/>
      <c r="E167" s="200"/>
      <c r="F167" s="200"/>
      <c r="G167" s="193"/>
      <c r="H167" s="193"/>
      <c r="I167" s="193"/>
      <c r="J167" s="193"/>
      <c r="K167" s="193"/>
      <c r="L167" s="193"/>
      <c r="M167" s="193"/>
      <c r="N167" s="193"/>
      <c r="O167" s="193"/>
      <c r="P167" s="193"/>
      <c r="Q167" s="193"/>
      <c r="R167" s="998"/>
      <c r="S167" s="904"/>
      <c r="T167" s="259"/>
      <c r="U167" s="412"/>
      <c r="V167" s="412"/>
      <c r="W167" s="412"/>
      <c r="X167" s="412"/>
      <c r="Y167" s="412"/>
      <c r="Z167" s="412"/>
      <c r="AA167" s="412"/>
      <c r="AB167" s="412"/>
      <c r="AC167" s="412"/>
      <c r="AD167" s="412"/>
      <c r="AE167" s="412"/>
      <c r="AF167" s="412"/>
      <c r="AG167" s="412"/>
      <c r="AH167" s="412"/>
      <c r="AI167" s="412"/>
      <c r="AJ167" s="412"/>
      <c r="AK167" s="412"/>
      <c r="AL167" s="412"/>
      <c r="AM167" s="412"/>
      <c r="AN167" s="412"/>
      <c r="AO167" s="412"/>
      <c r="AP167" s="412"/>
      <c r="AQ167" s="449"/>
    </row>
    <row r="168" spans="3:43" ht="17.100000000000001" customHeight="1" x14ac:dyDescent="0.2">
      <c r="C168" s="1182"/>
      <c r="D168" s="999"/>
      <c r="E168" s="1000"/>
      <c r="F168" s="1000"/>
      <c r="G168" s="1000"/>
      <c r="H168" s="1000"/>
      <c r="I168" s="1000"/>
      <c r="J168" s="1000"/>
      <c r="K168" s="1000"/>
      <c r="L168" s="1000"/>
      <c r="M168" s="1000"/>
      <c r="N168" s="1000"/>
      <c r="O168" s="1000"/>
      <c r="P168" s="1000"/>
      <c r="Q168" s="1000"/>
      <c r="R168" s="1001"/>
      <c r="S168" s="904"/>
      <c r="T168" s="259"/>
      <c r="U168" s="412"/>
      <c r="V168" s="412"/>
      <c r="W168" s="412"/>
      <c r="X168" s="412"/>
      <c r="Y168" s="412"/>
      <c r="Z168" s="412"/>
      <c r="AA168" s="412"/>
      <c r="AB168" s="412"/>
      <c r="AC168" s="412"/>
      <c r="AD168" s="412"/>
      <c r="AE168" s="412"/>
      <c r="AF168" s="412"/>
      <c r="AG168" s="412"/>
      <c r="AH168" s="412"/>
      <c r="AI168" s="412"/>
      <c r="AJ168" s="412"/>
      <c r="AK168" s="412"/>
      <c r="AL168" s="412"/>
      <c r="AM168" s="412"/>
      <c r="AN168" s="412"/>
      <c r="AO168" s="412"/>
      <c r="AP168" s="412"/>
      <c r="AQ168" s="449"/>
    </row>
    <row r="169" spans="3:43" ht="17.100000000000001" customHeight="1" x14ac:dyDescent="0.2">
      <c r="C169" s="1182"/>
      <c r="D169" s="999"/>
      <c r="E169" s="1000"/>
      <c r="F169" s="1000"/>
      <c r="G169" s="1000"/>
      <c r="H169" s="1000"/>
      <c r="I169" s="1000"/>
      <c r="J169" s="1000"/>
      <c r="K169" s="1000"/>
      <c r="L169" s="1000"/>
      <c r="M169" s="1000"/>
      <c r="N169" s="1000"/>
      <c r="O169" s="1000"/>
      <c r="P169" s="1000"/>
      <c r="Q169" s="1000"/>
      <c r="R169" s="1001"/>
      <c r="S169" s="904"/>
      <c r="T169" s="259"/>
      <c r="U169" s="412"/>
      <c r="V169" s="412"/>
      <c r="W169" s="412"/>
      <c r="X169" s="412"/>
      <c r="Y169" s="412"/>
      <c r="Z169" s="412"/>
      <c r="AA169" s="412"/>
      <c r="AB169" s="412"/>
      <c r="AC169" s="412"/>
      <c r="AD169" s="412"/>
      <c r="AE169" s="412"/>
      <c r="AF169" s="412"/>
      <c r="AG169" s="412"/>
      <c r="AH169" s="412"/>
      <c r="AI169" s="412"/>
      <c r="AJ169" s="412"/>
      <c r="AK169" s="412"/>
      <c r="AL169" s="412"/>
      <c r="AM169" s="412"/>
      <c r="AN169" s="412"/>
      <c r="AO169" s="412"/>
      <c r="AP169" s="412"/>
      <c r="AQ169" s="449"/>
    </row>
    <row r="170" spans="3:43" ht="17.100000000000001" customHeight="1" x14ac:dyDescent="0.2">
      <c r="C170" s="1182"/>
      <c r="D170" s="999"/>
      <c r="E170" s="1000"/>
      <c r="F170" s="1000"/>
      <c r="G170" s="1000"/>
      <c r="H170" s="1000"/>
      <c r="I170" s="1000"/>
      <c r="J170" s="1000"/>
      <c r="K170" s="1000"/>
      <c r="L170" s="1000"/>
      <c r="M170" s="1000"/>
      <c r="N170" s="1000"/>
      <c r="O170" s="1000"/>
      <c r="P170" s="1000"/>
      <c r="Q170" s="1000"/>
      <c r="R170" s="1001"/>
      <c r="S170" s="904"/>
      <c r="T170" s="259"/>
      <c r="U170" s="412"/>
      <c r="V170" s="412"/>
      <c r="W170" s="412"/>
      <c r="X170" s="412"/>
      <c r="Y170" s="412"/>
      <c r="Z170" s="412"/>
      <c r="AA170" s="412"/>
      <c r="AB170" s="412"/>
      <c r="AC170" s="412"/>
      <c r="AD170" s="412"/>
      <c r="AE170" s="412"/>
      <c r="AF170" s="412"/>
      <c r="AG170" s="412"/>
      <c r="AH170" s="412"/>
      <c r="AI170" s="412"/>
      <c r="AJ170" s="412"/>
      <c r="AK170" s="412"/>
      <c r="AL170" s="412"/>
      <c r="AM170" s="412"/>
      <c r="AN170" s="412"/>
      <c r="AO170" s="412"/>
      <c r="AP170" s="412"/>
      <c r="AQ170" s="449"/>
    </row>
    <row r="171" spans="3:43" ht="17.100000000000001" customHeight="1" x14ac:dyDescent="0.2">
      <c r="C171" s="1182"/>
      <c r="D171" s="999"/>
      <c r="E171" s="1000"/>
      <c r="F171" s="1000"/>
      <c r="G171" s="1000"/>
      <c r="H171" s="1000"/>
      <c r="I171" s="1000"/>
      <c r="J171" s="1000"/>
      <c r="K171" s="1000"/>
      <c r="L171" s="1000"/>
      <c r="M171" s="1000"/>
      <c r="N171" s="1000"/>
      <c r="O171" s="1000"/>
      <c r="P171" s="1000"/>
      <c r="Q171" s="1000"/>
      <c r="R171" s="1001"/>
      <c r="S171" s="904"/>
      <c r="T171" s="259"/>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49"/>
    </row>
    <row r="172" spans="3:43" ht="17.100000000000001" customHeight="1" x14ac:dyDescent="0.2">
      <c r="C172" s="1182"/>
      <c r="D172" s="999"/>
      <c r="E172" s="1000"/>
      <c r="F172" s="1000"/>
      <c r="G172" s="1000"/>
      <c r="H172" s="1000"/>
      <c r="I172" s="1000"/>
      <c r="J172" s="1000"/>
      <c r="K172" s="1000"/>
      <c r="L172" s="1000"/>
      <c r="M172" s="1000"/>
      <c r="N172" s="1000"/>
      <c r="O172" s="1000"/>
      <c r="P172" s="1000"/>
      <c r="Q172" s="1000"/>
      <c r="R172" s="1001"/>
      <c r="S172" s="904"/>
      <c r="T172" s="259"/>
      <c r="U172" s="412"/>
      <c r="V172" s="412"/>
      <c r="W172" s="412"/>
      <c r="X172" s="412"/>
      <c r="Y172" s="412"/>
      <c r="Z172" s="412"/>
      <c r="AA172" s="412"/>
      <c r="AB172" s="412"/>
      <c r="AC172" s="412"/>
      <c r="AD172" s="412"/>
      <c r="AE172" s="412"/>
      <c r="AF172" s="412"/>
      <c r="AG172" s="412"/>
      <c r="AH172" s="412"/>
      <c r="AI172" s="412"/>
      <c r="AJ172" s="412"/>
      <c r="AK172" s="412"/>
      <c r="AL172" s="412"/>
      <c r="AM172" s="412"/>
      <c r="AN172" s="412"/>
      <c r="AO172" s="412"/>
      <c r="AP172" s="412"/>
      <c r="AQ172" s="449"/>
    </row>
    <row r="173" spans="3:43" ht="17.100000000000001" customHeight="1" x14ac:dyDescent="0.2">
      <c r="C173" s="1182"/>
      <c r="D173" s="999"/>
      <c r="E173" s="1000"/>
      <c r="F173" s="1000"/>
      <c r="G173" s="1000"/>
      <c r="H173" s="1000"/>
      <c r="I173" s="1000"/>
      <c r="J173" s="1000"/>
      <c r="K173" s="1000"/>
      <c r="L173" s="1000"/>
      <c r="M173" s="1000"/>
      <c r="N173" s="1000"/>
      <c r="O173" s="1000"/>
      <c r="P173" s="1000"/>
      <c r="Q173" s="1000"/>
      <c r="R173" s="1001"/>
      <c r="S173" s="904"/>
      <c r="T173" s="259"/>
      <c r="U173" s="412"/>
      <c r="V173" s="412"/>
      <c r="W173" s="412"/>
      <c r="X173" s="412"/>
      <c r="Y173" s="412"/>
      <c r="Z173" s="412"/>
      <c r="AA173" s="412"/>
      <c r="AB173" s="412"/>
      <c r="AC173" s="412"/>
      <c r="AD173" s="412"/>
      <c r="AE173" s="412"/>
      <c r="AF173" s="412"/>
      <c r="AG173" s="412"/>
      <c r="AH173" s="412"/>
      <c r="AI173" s="412"/>
      <c r="AJ173" s="412"/>
      <c r="AK173" s="412"/>
      <c r="AL173" s="412"/>
      <c r="AM173" s="412"/>
      <c r="AN173" s="412"/>
      <c r="AO173" s="412"/>
      <c r="AP173" s="412"/>
      <c r="AQ173" s="449"/>
    </row>
    <row r="174" spans="3:43" ht="17.100000000000001" customHeight="1" x14ac:dyDescent="0.2">
      <c r="C174" s="1182"/>
      <c r="D174" s="990"/>
      <c r="E174" s="202"/>
      <c r="F174" s="202"/>
      <c r="G174" s="202"/>
      <c r="H174" s="202"/>
      <c r="I174" s="202"/>
      <c r="J174" s="202"/>
      <c r="K174" s="202"/>
      <c r="L174" s="202"/>
      <c r="M174" s="202"/>
      <c r="N174" s="202"/>
      <c r="O174" s="202"/>
      <c r="P174" s="202"/>
      <c r="Q174" s="202"/>
      <c r="R174" s="1002"/>
      <c r="S174" s="904"/>
      <c r="T174" s="259"/>
      <c r="U174" s="412"/>
      <c r="V174" s="412"/>
      <c r="W174" s="412"/>
      <c r="X174" s="412"/>
      <c r="Y174" s="412"/>
      <c r="Z174" s="412"/>
      <c r="AA174" s="412"/>
      <c r="AB174" s="412"/>
      <c r="AC174" s="412"/>
      <c r="AD174" s="412"/>
      <c r="AE174" s="412"/>
      <c r="AF174" s="412"/>
      <c r="AG174" s="412"/>
      <c r="AH174" s="412"/>
      <c r="AI174" s="412"/>
      <c r="AJ174" s="412"/>
      <c r="AK174" s="412"/>
      <c r="AL174" s="412"/>
      <c r="AM174" s="412"/>
      <c r="AN174" s="412"/>
      <c r="AO174" s="412"/>
      <c r="AP174" s="412"/>
      <c r="AQ174" s="449"/>
    </row>
    <row r="175" spans="3:43" ht="17.100000000000001" customHeight="1" x14ac:dyDescent="0.2">
      <c r="C175" s="1182"/>
      <c r="D175" s="990"/>
      <c r="E175" s="202"/>
      <c r="F175" s="202"/>
      <c r="G175" s="202"/>
      <c r="H175" s="202"/>
      <c r="I175" s="202"/>
      <c r="J175" s="202"/>
      <c r="K175" s="202"/>
      <c r="L175" s="202"/>
      <c r="M175" s="202"/>
      <c r="N175" s="202"/>
      <c r="O175" s="202"/>
      <c r="P175" s="202"/>
      <c r="Q175" s="202"/>
      <c r="R175" s="1002"/>
      <c r="S175" s="904"/>
      <c r="T175" s="259"/>
      <c r="U175" s="412"/>
      <c r="V175" s="412"/>
      <c r="W175" s="412"/>
      <c r="X175" s="412"/>
      <c r="Y175" s="412"/>
      <c r="Z175" s="412"/>
      <c r="AA175" s="412"/>
      <c r="AB175" s="412"/>
      <c r="AC175" s="412"/>
      <c r="AD175" s="412"/>
      <c r="AE175" s="412"/>
      <c r="AF175" s="412"/>
      <c r="AG175" s="412"/>
      <c r="AH175" s="412"/>
      <c r="AI175" s="412"/>
      <c r="AJ175" s="412"/>
      <c r="AK175" s="412"/>
      <c r="AL175" s="412"/>
      <c r="AM175" s="412"/>
      <c r="AN175" s="412"/>
      <c r="AO175" s="412"/>
      <c r="AP175" s="412"/>
      <c r="AQ175" s="449"/>
    </row>
    <row r="176" spans="3:43" ht="17.100000000000001" customHeight="1" x14ac:dyDescent="0.2">
      <c r="C176" s="1182"/>
      <c r="D176" s="990"/>
      <c r="E176" s="202"/>
      <c r="F176" s="202"/>
      <c r="G176" s="202"/>
      <c r="H176" s="202"/>
      <c r="I176" s="202"/>
      <c r="J176" s="202"/>
      <c r="K176" s="202"/>
      <c r="L176" s="202"/>
      <c r="M176" s="202"/>
      <c r="N176" s="202"/>
      <c r="O176" s="202"/>
      <c r="P176" s="202"/>
      <c r="Q176" s="202"/>
      <c r="R176" s="1002"/>
      <c r="S176" s="904"/>
      <c r="T176" s="259"/>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412"/>
      <c r="AQ176" s="449"/>
    </row>
    <row r="177" spans="2:43" ht="17.100000000000001" customHeight="1" x14ac:dyDescent="0.2">
      <c r="C177" s="1182"/>
      <c r="D177" s="990"/>
      <c r="E177" s="202"/>
      <c r="F177" s="202"/>
      <c r="G177" s="202"/>
      <c r="H177" s="202"/>
      <c r="I177" s="202"/>
      <c r="J177" s="202"/>
      <c r="K177" s="202"/>
      <c r="L177" s="202"/>
      <c r="M177" s="202"/>
      <c r="N177" s="202"/>
      <c r="O177" s="202"/>
      <c r="P177" s="202"/>
      <c r="Q177" s="202"/>
      <c r="R177" s="1002"/>
      <c r="S177" s="904"/>
      <c r="T177" s="259"/>
      <c r="U177" s="412"/>
      <c r="V177" s="412"/>
      <c r="W177" s="412"/>
      <c r="X177" s="412"/>
      <c r="Y177" s="412"/>
      <c r="Z177" s="412"/>
      <c r="AA177" s="412"/>
      <c r="AB177" s="412"/>
      <c r="AC177" s="412"/>
      <c r="AD177" s="412"/>
      <c r="AE177" s="412"/>
      <c r="AF177" s="412"/>
      <c r="AG177" s="412"/>
      <c r="AH177" s="412"/>
      <c r="AI177" s="412"/>
      <c r="AJ177" s="412"/>
      <c r="AK177" s="412"/>
      <c r="AL177" s="412"/>
      <c r="AM177" s="412"/>
      <c r="AN177" s="412"/>
      <c r="AO177" s="412"/>
      <c r="AP177" s="412"/>
      <c r="AQ177" s="449"/>
    </row>
    <row r="178" spans="2:43" ht="17.100000000000001" customHeight="1" x14ac:dyDescent="0.2">
      <c r="C178" s="1182"/>
      <c r="D178" s="990"/>
      <c r="E178" s="202"/>
      <c r="F178" s="202"/>
      <c r="G178" s="202"/>
      <c r="H178" s="202"/>
      <c r="I178" s="202"/>
      <c r="J178" s="202"/>
      <c r="K178" s="202"/>
      <c r="L178" s="202"/>
      <c r="M178" s="202"/>
      <c r="N178" s="202"/>
      <c r="O178" s="202"/>
      <c r="P178" s="202"/>
      <c r="Q178" s="202"/>
      <c r="R178" s="1002"/>
      <c r="S178" s="904"/>
      <c r="T178" s="259"/>
      <c r="U178" s="412"/>
      <c r="V178" s="412"/>
      <c r="W178" s="412"/>
      <c r="X178" s="412"/>
      <c r="Y178" s="412"/>
      <c r="Z178" s="412"/>
      <c r="AA178" s="412"/>
      <c r="AB178" s="412"/>
      <c r="AC178" s="412"/>
      <c r="AD178" s="412"/>
      <c r="AE178" s="412"/>
      <c r="AF178" s="412"/>
      <c r="AG178" s="412"/>
      <c r="AH178" s="412"/>
      <c r="AI178" s="412"/>
      <c r="AJ178" s="412"/>
      <c r="AK178" s="412"/>
      <c r="AL178" s="412"/>
      <c r="AM178" s="412"/>
      <c r="AN178" s="412"/>
      <c r="AO178" s="412"/>
      <c r="AP178" s="412"/>
      <c r="AQ178" s="449"/>
    </row>
    <row r="179" spans="2:43" ht="15" customHeight="1" x14ac:dyDescent="0.2">
      <c r="C179" s="1183"/>
      <c r="D179" s="197"/>
      <c r="E179" s="199"/>
      <c r="F179" s="199"/>
      <c r="G179" s="203"/>
      <c r="H179" s="199"/>
      <c r="I179" s="199"/>
      <c r="J179" s="199"/>
      <c r="K179" s="199"/>
      <c r="L179" s="199"/>
      <c r="M179" s="199"/>
      <c r="N179" s="199"/>
      <c r="O179" s="199"/>
      <c r="P179" s="199"/>
      <c r="Q179" s="199"/>
      <c r="R179" s="996"/>
      <c r="S179" s="904"/>
      <c r="T179" s="259"/>
      <c r="U179" s="412"/>
      <c r="V179" s="412"/>
      <c r="W179" s="412"/>
      <c r="X179" s="412"/>
      <c r="Y179" s="412"/>
      <c r="Z179" s="412"/>
      <c r="AA179" s="412"/>
      <c r="AB179" s="412"/>
      <c r="AC179" s="412"/>
      <c r="AD179" s="412"/>
      <c r="AE179" s="412"/>
      <c r="AF179" s="412"/>
      <c r="AG179" s="412"/>
      <c r="AH179" s="412"/>
      <c r="AI179" s="412"/>
      <c r="AJ179" s="412"/>
      <c r="AK179" s="412"/>
      <c r="AL179" s="412"/>
      <c r="AM179" s="412"/>
      <c r="AN179" s="412"/>
      <c r="AO179" s="412"/>
      <c r="AP179" s="412"/>
      <c r="AQ179" s="449"/>
    </row>
    <row r="180" spans="2:43" ht="14.25" x14ac:dyDescent="0.2">
      <c r="B180" s="412"/>
      <c r="C180" s="1184"/>
      <c r="D180" s="102"/>
      <c r="E180" s="103"/>
      <c r="F180" s="103"/>
      <c r="G180" s="107"/>
      <c r="H180" s="103"/>
      <c r="I180" s="103"/>
      <c r="J180" s="103"/>
      <c r="K180" s="103"/>
      <c r="L180" s="107"/>
      <c r="M180" s="103"/>
      <c r="N180" s="103"/>
      <c r="O180" s="103"/>
      <c r="P180" s="103"/>
      <c r="Q180" s="103"/>
      <c r="R180" s="128"/>
      <c r="S180" s="258"/>
      <c r="T180" s="259"/>
      <c r="U180" s="820"/>
      <c r="V180" s="412"/>
      <c r="W180" s="412"/>
      <c r="X180" s="412"/>
      <c r="Y180" s="412"/>
      <c r="Z180" s="412"/>
      <c r="AA180" s="412"/>
      <c r="AB180" s="412"/>
      <c r="AC180" s="412"/>
      <c r="AD180" s="412"/>
      <c r="AE180" s="412"/>
      <c r="AF180" s="412"/>
      <c r="AG180" s="412"/>
      <c r="AH180" s="412"/>
      <c r="AI180" s="412"/>
      <c r="AJ180" s="412"/>
      <c r="AK180" s="412"/>
      <c r="AL180" s="412"/>
      <c r="AM180" s="412"/>
      <c r="AN180" s="412"/>
      <c r="AO180" s="412"/>
      <c r="AP180" s="412"/>
      <c r="AQ180" s="449"/>
    </row>
    <row r="181" spans="2:43" ht="8.1" customHeight="1" x14ac:dyDescent="0.2">
      <c r="B181" s="412"/>
      <c r="C181" s="1185"/>
      <c r="D181" s="127"/>
      <c r="E181" s="126"/>
      <c r="F181" s="126"/>
      <c r="G181" s="263"/>
      <c r="H181" s="126"/>
      <c r="I181" s="126"/>
      <c r="J181" s="126"/>
      <c r="K181" s="126"/>
      <c r="L181" s="263"/>
      <c r="M181" s="126"/>
      <c r="N181" s="126"/>
      <c r="O181" s="126"/>
      <c r="P181" s="126"/>
      <c r="Q181" s="126"/>
      <c r="R181" s="129"/>
      <c r="S181" s="258"/>
      <c r="T181" s="259"/>
      <c r="U181" s="412"/>
      <c r="V181" s="412"/>
      <c r="W181" s="412"/>
      <c r="X181" s="412"/>
      <c r="Y181" s="412"/>
      <c r="Z181" s="412"/>
      <c r="AA181" s="412"/>
      <c r="AB181" s="412"/>
      <c r="AC181" s="412"/>
      <c r="AD181" s="412"/>
      <c r="AE181" s="412"/>
      <c r="AF181" s="412"/>
      <c r="AG181" s="412"/>
      <c r="AH181" s="412"/>
      <c r="AI181" s="412"/>
      <c r="AJ181" s="412"/>
      <c r="AK181" s="412"/>
      <c r="AL181" s="412"/>
      <c r="AM181" s="412"/>
      <c r="AN181" s="412"/>
      <c r="AO181" s="412"/>
      <c r="AP181" s="412"/>
      <c r="AQ181" s="449"/>
    </row>
    <row r="182" spans="2:43" ht="22.5" customHeight="1" x14ac:dyDescent="0.25">
      <c r="B182" s="412"/>
      <c r="C182" s="1185"/>
      <c r="D182" s="1501" t="str">
        <f>D!$H$6</f>
        <v>MiEmpresa</v>
      </c>
      <c r="E182" s="1502"/>
      <c r="F182" s="1502"/>
      <c r="G182" s="1503" t="s">
        <v>1066</v>
      </c>
      <c r="H182" s="1503"/>
      <c r="I182" s="1503"/>
      <c r="J182" s="1503"/>
      <c r="K182" s="1503"/>
      <c r="L182" s="186"/>
      <c r="M182" s="187"/>
      <c r="N182" s="187"/>
      <c r="O182" s="187"/>
      <c r="P182" s="188" t="s">
        <v>589</v>
      </c>
      <c r="Q182" s="834">
        <f>D!$N$6</f>
        <v>2013</v>
      </c>
      <c r="R182" s="967"/>
      <c r="S182" s="258"/>
      <c r="T182" s="259"/>
      <c r="U182" s="412"/>
      <c r="V182" s="412"/>
      <c r="W182" s="412"/>
      <c r="X182" s="412"/>
      <c r="Y182" s="412"/>
      <c r="Z182" s="412"/>
      <c r="AA182" s="412"/>
      <c r="AB182" s="412"/>
      <c r="AC182" s="412"/>
      <c r="AD182" s="412"/>
      <c r="AE182" s="412"/>
      <c r="AF182" s="412"/>
      <c r="AG182" s="412"/>
      <c r="AH182" s="412"/>
      <c r="AI182" s="412"/>
      <c r="AJ182" s="412"/>
      <c r="AK182" s="412"/>
      <c r="AL182" s="412"/>
      <c r="AM182" s="412"/>
      <c r="AN182" s="412"/>
      <c r="AO182" s="412"/>
      <c r="AP182" s="412"/>
      <c r="AQ182" s="449"/>
    </row>
    <row r="183" spans="2:43" ht="5.0999999999999996" customHeight="1" x14ac:dyDescent="0.2">
      <c r="B183" s="412"/>
      <c r="C183" s="1185"/>
      <c r="D183" s="127"/>
      <c r="E183" s="126"/>
      <c r="F183" s="126"/>
      <c r="G183" s="263"/>
      <c r="H183" s="126"/>
      <c r="I183" s="126"/>
      <c r="J183" s="126"/>
      <c r="K183" s="126"/>
      <c r="L183" s="263"/>
      <c r="M183" s="126"/>
      <c r="N183" s="126"/>
      <c r="O183" s="126"/>
      <c r="P183" s="126"/>
      <c r="Q183" s="126"/>
      <c r="R183" s="129"/>
      <c r="S183" s="258"/>
      <c r="T183" s="259"/>
      <c r="U183" s="412"/>
      <c r="V183" s="412"/>
      <c r="W183" s="412"/>
      <c r="X183" s="412"/>
      <c r="Y183" s="412"/>
      <c r="Z183" s="412"/>
      <c r="AA183" s="412"/>
      <c r="AB183" s="412"/>
      <c r="AC183" s="412"/>
      <c r="AD183" s="412"/>
      <c r="AE183" s="412"/>
      <c r="AF183" s="412"/>
      <c r="AG183" s="412"/>
      <c r="AH183" s="412"/>
      <c r="AI183" s="412"/>
      <c r="AJ183" s="412"/>
      <c r="AK183" s="412"/>
      <c r="AL183" s="412"/>
      <c r="AM183" s="412"/>
      <c r="AN183" s="412"/>
      <c r="AO183" s="412"/>
      <c r="AP183" s="412"/>
      <c r="AQ183" s="449"/>
    </row>
    <row r="184" spans="2:43" ht="15" x14ac:dyDescent="0.2">
      <c r="B184" s="412"/>
      <c r="C184" s="1185"/>
      <c r="D184" s="969" t="str">
        <f t="shared" ref="D184:R184" si="15">D81</f>
        <v>INGRESOS</v>
      </c>
      <c r="E184" s="228" t="str">
        <f t="shared" si="15"/>
        <v>Total</v>
      </c>
      <c r="F184" s="228" t="str">
        <f t="shared" si="15"/>
        <v>%</v>
      </c>
      <c r="G184" s="228" t="str">
        <f t="shared" si="15"/>
        <v>Enero</v>
      </c>
      <c r="H184" s="228" t="str">
        <f t="shared" si="15"/>
        <v>Febrero</v>
      </c>
      <c r="I184" s="228" t="str">
        <f t="shared" si="15"/>
        <v>Marzo</v>
      </c>
      <c r="J184" s="228" t="str">
        <f t="shared" si="15"/>
        <v>Abril</v>
      </c>
      <c r="K184" s="228" t="str">
        <f t="shared" si="15"/>
        <v xml:space="preserve">Mayo </v>
      </c>
      <c r="L184" s="228" t="str">
        <f t="shared" si="15"/>
        <v>Junio</v>
      </c>
      <c r="M184" s="228" t="str">
        <f t="shared" si="15"/>
        <v>Julio</v>
      </c>
      <c r="N184" s="228" t="str">
        <f t="shared" si="15"/>
        <v>Agosto</v>
      </c>
      <c r="O184" s="228" t="str">
        <f t="shared" si="15"/>
        <v>Septiembre</v>
      </c>
      <c r="P184" s="228" t="str">
        <f t="shared" si="15"/>
        <v>Octubre</v>
      </c>
      <c r="Q184" s="228" t="str">
        <f t="shared" si="15"/>
        <v>Noviembre</v>
      </c>
      <c r="R184" s="970" t="str">
        <f t="shared" si="15"/>
        <v>Diciembre</v>
      </c>
      <c r="S184" s="258"/>
      <c r="T184" s="259"/>
      <c r="U184" s="412"/>
      <c r="V184" s="412"/>
      <c r="W184" s="412"/>
      <c r="X184" s="412"/>
      <c r="Y184" s="412"/>
      <c r="Z184" s="412"/>
      <c r="AA184" s="412"/>
      <c r="AB184" s="412"/>
      <c r="AC184" s="412"/>
      <c r="AD184" s="412"/>
      <c r="AE184" s="412"/>
      <c r="AF184" s="412"/>
      <c r="AG184" s="412"/>
      <c r="AH184" s="412"/>
      <c r="AI184" s="412"/>
      <c r="AJ184" s="412"/>
      <c r="AK184" s="412"/>
      <c r="AL184" s="412"/>
      <c r="AM184" s="412"/>
      <c r="AN184" s="412"/>
      <c r="AO184" s="412"/>
      <c r="AP184" s="412"/>
      <c r="AQ184" s="449"/>
    </row>
    <row r="185" spans="2:43" ht="5.0999999999999996" customHeight="1" x14ac:dyDescent="0.2">
      <c r="B185" s="412"/>
      <c r="C185" s="1185"/>
      <c r="D185" s="127"/>
      <c r="E185" s="126"/>
      <c r="F185" s="126"/>
      <c r="G185" s="263"/>
      <c r="H185" s="126"/>
      <c r="I185" s="126"/>
      <c r="J185" s="126"/>
      <c r="K185" s="126"/>
      <c r="L185" s="263"/>
      <c r="M185" s="126"/>
      <c r="N185" s="126"/>
      <c r="O185" s="126"/>
      <c r="P185" s="126"/>
      <c r="Q185" s="126"/>
      <c r="R185" s="129"/>
      <c r="S185" s="258"/>
      <c r="T185" s="259"/>
      <c r="U185" s="412"/>
      <c r="V185" s="412"/>
      <c r="W185" s="412"/>
      <c r="X185" s="412"/>
      <c r="Y185" s="412"/>
      <c r="Z185" s="412"/>
      <c r="AA185" s="412"/>
      <c r="AB185" s="412"/>
      <c r="AC185" s="412"/>
      <c r="AD185" s="412"/>
      <c r="AE185" s="412"/>
      <c r="AF185" s="412"/>
      <c r="AG185" s="412"/>
      <c r="AH185" s="412"/>
      <c r="AI185" s="412"/>
      <c r="AJ185" s="412"/>
      <c r="AK185" s="412"/>
      <c r="AL185" s="412"/>
      <c r="AM185" s="412"/>
      <c r="AN185" s="412"/>
      <c r="AO185" s="412"/>
      <c r="AP185" s="412"/>
      <c r="AQ185" s="449"/>
    </row>
    <row r="186" spans="2:43" ht="15" x14ac:dyDescent="0.2">
      <c r="B186" s="412"/>
      <c r="C186" s="1185"/>
      <c r="D186" s="973" t="str">
        <f t="shared" ref="D186:R186" si="16">D83</f>
        <v>Venta neta total</v>
      </c>
      <c r="E186" s="221">
        <f t="shared" si="16"/>
        <v>0</v>
      </c>
      <c r="F186" s="223">
        <f>F83</f>
        <v>0</v>
      </c>
      <c r="G186" s="221">
        <f t="shared" si="16"/>
        <v>0</v>
      </c>
      <c r="H186" s="221">
        <f t="shared" si="16"/>
        <v>0</v>
      </c>
      <c r="I186" s="221">
        <f t="shared" si="16"/>
        <v>0</v>
      </c>
      <c r="J186" s="221">
        <f t="shared" si="16"/>
        <v>0</v>
      </c>
      <c r="K186" s="221">
        <f t="shared" si="16"/>
        <v>0</v>
      </c>
      <c r="L186" s="221">
        <f t="shared" si="16"/>
        <v>0</v>
      </c>
      <c r="M186" s="221">
        <f t="shared" si="16"/>
        <v>0</v>
      </c>
      <c r="N186" s="221">
        <f t="shared" si="16"/>
        <v>0</v>
      </c>
      <c r="O186" s="221">
        <f t="shared" si="16"/>
        <v>0</v>
      </c>
      <c r="P186" s="221">
        <f t="shared" si="16"/>
        <v>0</v>
      </c>
      <c r="Q186" s="221">
        <f t="shared" si="16"/>
        <v>0</v>
      </c>
      <c r="R186" s="974">
        <f t="shared" si="16"/>
        <v>0</v>
      </c>
      <c r="S186" s="258"/>
      <c r="T186" s="259"/>
      <c r="U186" s="412"/>
      <c r="V186" s="412"/>
      <c r="W186" s="412"/>
      <c r="X186" s="412"/>
      <c r="Y186" s="412"/>
      <c r="Z186" s="412"/>
      <c r="AA186" s="412"/>
      <c r="AB186" s="412"/>
      <c r="AC186" s="412"/>
      <c r="AD186" s="412"/>
      <c r="AE186" s="412"/>
      <c r="AF186" s="412"/>
      <c r="AG186" s="412"/>
      <c r="AH186" s="412"/>
      <c r="AI186" s="412"/>
      <c r="AJ186" s="412"/>
      <c r="AK186" s="412"/>
      <c r="AL186" s="412"/>
      <c r="AM186" s="412"/>
      <c r="AN186" s="412"/>
      <c r="AO186" s="412"/>
      <c r="AP186" s="412"/>
      <c r="AQ186" s="449"/>
    </row>
    <row r="187" spans="2:43" ht="15" x14ac:dyDescent="0.2">
      <c r="B187" s="412"/>
      <c r="C187" s="1185"/>
      <c r="D187" s="973" t="str">
        <f t="shared" ref="D187:R187" si="17">D87</f>
        <v>Otros ingresos</v>
      </c>
      <c r="E187" s="221">
        <f t="shared" si="17"/>
        <v>0</v>
      </c>
      <c r="F187" s="223">
        <f t="shared" si="17"/>
        <v>0</v>
      </c>
      <c r="G187" s="221">
        <f t="shared" si="17"/>
        <v>0</v>
      </c>
      <c r="H187" s="221">
        <f t="shared" si="17"/>
        <v>0</v>
      </c>
      <c r="I187" s="221">
        <f t="shared" si="17"/>
        <v>0</v>
      </c>
      <c r="J187" s="221">
        <f t="shared" si="17"/>
        <v>0</v>
      </c>
      <c r="K187" s="221">
        <f t="shared" si="17"/>
        <v>0</v>
      </c>
      <c r="L187" s="221">
        <f t="shared" si="17"/>
        <v>0</v>
      </c>
      <c r="M187" s="221">
        <f t="shared" si="17"/>
        <v>0</v>
      </c>
      <c r="N187" s="221">
        <f t="shared" si="17"/>
        <v>0</v>
      </c>
      <c r="O187" s="221">
        <f t="shared" si="17"/>
        <v>0</v>
      </c>
      <c r="P187" s="221">
        <f t="shared" si="17"/>
        <v>0</v>
      </c>
      <c r="Q187" s="221">
        <f t="shared" si="17"/>
        <v>0</v>
      </c>
      <c r="R187" s="974">
        <f t="shared" si="17"/>
        <v>0</v>
      </c>
      <c r="S187" s="258"/>
      <c r="T187" s="259"/>
      <c r="U187" s="412"/>
      <c r="V187" s="412"/>
      <c r="W187" s="412"/>
      <c r="X187" s="412"/>
      <c r="Y187" s="412"/>
      <c r="Z187" s="412"/>
      <c r="AA187" s="412"/>
      <c r="AB187" s="412"/>
      <c r="AC187" s="412"/>
      <c r="AD187" s="412"/>
      <c r="AE187" s="412"/>
      <c r="AF187" s="412"/>
      <c r="AG187" s="412"/>
      <c r="AH187" s="412"/>
      <c r="AI187" s="412"/>
      <c r="AJ187" s="412"/>
      <c r="AK187" s="412"/>
      <c r="AL187" s="412"/>
      <c r="AM187" s="412"/>
      <c r="AN187" s="412"/>
      <c r="AO187" s="412"/>
      <c r="AP187" s="412"/>
      <c r="AQ187" s="449"/>
    </row>
    <row r="188" spans="2:43" ht="5.0999999999999996" customHeight="1" x14ac:dyDescent="0.2">
      <c r="B188" s="412"/>
      <c r="C188" s="1185"/>
      <c r="D188" s="127"/>
      <c r="E188" s="126"/>
      <c r="F188" s="126"/>
      <c r="G188" s="263"/>
      <c r="H188" s="126"/>
      <c r="I188" s="126"/>
      <c r="J188" s="126"/>
      <c r="K188" s="126"/>
      <c r="L188" s="263"/>
      <c r="M188" s="126"/>
      <c r="N188" s="126"/>
      <c r="O188" s="126"/>
      <c r="P188" s="126"/>
      <c r="Q188" s="126"/>
      <c r="R188" s="129"/>
      <c r="S188" s="258"/>
      <c r="T188" s="259"/>
      <c r="U188" s="412"/>
      <c r="V188" s="412"/>
      <c r="W188" s="412"/>
      <c r="X188" s="412"/>
      <c r="Y188" s="412"/>
      <c r="Z188" s="412"/>
      <c r="AA188" s="412"/>
      <c r="AB188" s="412"/>
      <c r="AC188" s="412"/>
      <c r="AD188" s="412"/>
      <c r="AE188" s="412"/>
      <c r="AF188" s="412"/>
      <c r="AG188" s="412"/>
      <c r="AH188" s="412"/>
      <c r="AI188" s="412"/>
      <c r="AJ188" s="412"/>
      <c r="AK188" s="412"/>
      <c r="AL188" s="412"/>
      <c r="AM188" s="412"/>
      <c r="AN188" s="412"/>
      <c r="AO188" s="412"/>
      <c r="AP188" s="412"/>
      <c r="AQ188" s="449"/>
    </row>
    <row r="189" spans="2:43" ht="15" x14ac:dyDescent="0.2">
      <c r="B189" s="412"/>
      <c r="C189" s="1185"/>
      <c r="D189" s="979" t="str">
        <f t="shared" ref="D189:R189" si="18">D89</f>
        <v>Total Ingresos</v>
      </c>
      <c r="E189" s="232">
        <f t="shared" si="18"/>
        <v>0</v>
      </c>
      <c r="F189" s="231"/>
      <c r="G189" s="232">
        <f t="shared" si="18"/>
        <v>0</v>
      </c>
      <c r="H189" s="232">
        <f t="shared" si="18"/>
        <v>0</v>
      </c>
      <c r="I189" s="232">
        <f t="shared" si="18"/>
        <v>0</v>
      </c>
      <c r="J189" s="232">
        <f t="shared" si="18"/>
        <v>0</v>
      </c>
      <c r="K189" s="232">
        <f t="shared" si="18"/>
        <v>0</v>
      </c>
      <c r="L189" s="232">
        <f t="shared" si="18"/>
        <v>0</v>
      </c>
      <c r="M189" s="232">
        <f t="shared" si="18"/>
        <v>0</v>
      </c>
      <c r="N189" s="232">
        <f t="shared" si="18"/>
        <v>0</v>
      </c>
      <c r="O189" s="232">
        <f t="shared" si="18"/>
        <v>0</v>
      </c>
      <c r="P189" s="232">
        <f t="shared" si="18"/>
        <v>0</v>
      </c>
      <c r="Q189" s="232">
        <f t="shared" si="18"/>
        <v>0</v>
      </c>
      <c r="R189" s="980">
        <f t="shared" si="18"/>
        <v>0</v>
      </c>
      <c r="S189" s="258"/>
      <c r="T189" s="259"/>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49"/>
    </row>
    <row r="190" spans="2:43" ht="9.9499999999999993" customHeight="1" x14ac:dyDescent="0.2">
      <c r="B190" s="412"/>
      <c r="C190" s="1185"/>
      <c r="D190" s="127"/>
      <c r="E190" s="126"/>
      <c r="F190" s="126"/>
      <c r="G190" s="263"/>
      <c r="H190" s="126"/>
      <c r="I190" s="126"/>
      <c r="J190" s="126"/>
      <c r="K190" s="126"/>
      <c r="L190" s="263"/>
      <c r="M190" s="126"/>
      <c r="N190" s="126"/>
      <c r="O190" s="126"/>
      <c r="P190" s="126"/>
      <c r="Q190" s="126"/>
      <c r="R190" s="129"/>
      <c r="S190" s="258"/>
      <c r="T190" s="259"/>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412"/>
      <c r="AQ190" s="449"/>
    </row>
    <row r="191" spans="2:43" ht="15" x14ac:dyDescent="0.2">
      <c r="B191" s="412"/>
      <c r="C191" s="1185"/>
      <c r="D191" s="969" t="s">
        <v>333</v>
      </c>
      <c r="E191" s="228" t="str">
        <f t="shared" ref="E191:R191" si="19">E184</f>
        <v>Total</v>
      </c>
      <c r="F191" s="228" t="str">
        <f t="shared" si="19"/>
        <v>%</v>
      </c>
      <c r="G191" s="228" t="str">
        <f t="shared" si="19"/>
        <v>Enero</v>
      </c>
      <c r="H191" s="228" t="str">
        <f t="shared" si="19"/>
        <v>Febrero</v>
      </c>
      <c r="I191" s="228" t="str">
        <f t="shared" si="19"/>
        <v>Marzo</v>
      </c>
      <c r="J191" s="228" t="str">
        <f t="shared" si="19"/>
        <v>Abril</v>
      </c>
      <c r="K191" s="228" t="str">
        <f t="shared" si="19"/>
        <v xml:space="preserve">Mayo </v>
      </c>
      <c r="L191" s="228" t="str">
        <f t="shared" si="19"/>
        <v>Junio</v>
      </c>
      <c r="M191" s="228" t="str">
        <f t="shared" si="19"/>
        <v>Julio</v>
      </c>
      <c r="N191" s="228" t="str">
        <f t="shared" si="19"/>
        <v>Agosto</v>
      </c>
      <c r="O191" s="228" t="str">
        <f t="shared" si="19"/>
        <v>Septiembre</v>
      </c>
      <c r="P191" s="228" t="str">
        <f t="shared" si="19"/>
        <v>Octubre</v>
      </c>
      <c r="Q191" s="228" t="str">
        <f t="shared" si="19"/>
        <v>Noviembre</v>
      </c>
      <c r="R191" s="970" t="str">
        <f t="shared" si="19"/>
        <v>Diciembre</v>
      </c>
      <c r="S191" s="258"/>
      <c r="T191" s="259"/>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412"/>
      <c r="AQ191" s="449"/>
    </row>
    <row r="192" spans="2:43" ht="5.0999999999999996" customHeight="1" x14ac:dyDescent="0.2">
      <c r="B192" s="412"/>
      <c r="C192" s="1185"/>
      <c r="D192" s="127"/>
      <c r="E192" s="126"/>
      <c r="F192" s="126"/>
      <c r="G192" s="263"/>
      <c r="H192" s="126"/>
      <c r="I192" s="126"/>
      <c r="J192" s="126"/>
      <c r="K192" s="126"/>
      <c r="L192" s="263"/>
      <c r="M192" s="126"/>
      <c r="N192" s="126"/>
      <c r="O192" s="126"/>
      <c r="P192" s="126"/>
      <c r="Q192" s="126"/>
      <c r="R192" s="129"/>
      <c r="S192" s="258"/>
      <c r="T192" s="259"/>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412"/>
      <c r="AQ192" s="449"/>
    </row>
    <row r="193" spans="2:43" ht="15" x14ac:dyDescent="0.2">
      <c r="B193" s="412"/>
      <c r="C193" s="1185"/>
      <c r="D193" s="973" t="str">
        <f t="shared" ref="D193:R193" si="20">D93</f>
        <v>Consumo</v>
      </c>
      <c r="E193" s="221">
        <f t="shared" si="20"/>
        <v>0</v>
      </c>
      <c r="F193" s="223">
        <f t="shared" ref="F193:F199" si="21">IF(E$189=0,0,(E193/E$189))</f>
        <v>0</v>
      </c>
      <c r="G193" s="221">
        <f t="shared" si="20"/>
        <v>0</v>
      </c>
      <c r="H193" s="221">
        <f t="shared" si="20"/>
        <v>0</v>
      </c>
      <c r="I193" s="221">
        <f t="shared" si="20"/>
        <v>0</v>
      </c>
      <c r="J193" s="221">
        <f t="shared" si="20"/>
        <v>0</v>
      </c>
      <c r="K193" s="221">
        <f t="shared" si="20"/>
        <v>0</v>
      </c>
      <c r="L193" s="221">
        <f t="shared" si="20"/>
        <v>0</v>
      </c>
      <c r="M193" s="221">
        <f t="shared" si="20"/>
        <v>0</v>
      </c>
      <c r="N193" s="221">
        <f t="shared" si="20"/>
        <v>0</v>
      </c>
      <c r="O193" s="221">
        <f t="shared" si="20"/>
        <v>0</v>
      </c>
      <c r="P193" s="221">
        <f t="shared" si="20"/>
        <v>0</v>
      </c>
      <c r="Q193" s="221">
        <f t="shared" si="20"/>
        <v>0</v>
      </c>
      <c r="R193" s="974">
        <f t="shared" si="20"/>
        <v>0</v>
      </c>
      <c r="S193" s="258"/>
      <c r="T193" s="259"/>
      <c r="U193" s="412"/>
      <c r="V193" s="412"/>
      <c r="W193" s="412"/>
      <c r="X193" s="412"/>
      <c r="Y193" s="412"/>
      <c r="Z193" s="412"/>
      <c r="AA193" s="412"/>
      <c r="AB193" s="412"/>
      <c r="AC193" s="412"/>
      <c r="AD193" s="412"/>
      <c r="AE193" s="412"/>
      <c r="AF193" s="412"/>
      <c r="AG193" s="412"/>
      <c r="AH193" s="412"/>
      <c r="AI193" s="412"/>
      <c r="AJ193" s="412"/>
      <c r="AK193" s="412"/>
      <c r="AL193" s="412"/>
      <c r="AM193" s="412"/>
      <c r="AN193" s="412"/>
      <c r="AO193" s="412"/>
      <c r="AP193" s="412"/>
      <c r="AQ193" s="449"/>
    </row>
    <row r="194" spans="2:43" ht="15" x14ac:dyDescent="0.2">
      <c r="B194" s="412"/>
      <c r="C194" s="1185"/>
      <c r="D194" s="973" t="str">
        <f t="shared" ref="D194:R194" si="22">D98</f>
        <v>Costes de venta</v>
      </c>
      <c r="E194" s="221">
        <f t="shared" si="22"/>
        <v>0</v>
      </c>
      <c r="F194" s="223">
        <f t="shared" si="21"/>
        <v>0</v>
      </c>
      <c r="G194" s="221">
        <f t="shared" si="22"/>
        <v>0</v>
      </c>
      <c r="H194" s="221">
        <f t="shared" si="22"/>
        <v>0</v>
      </c>
      <c r="I194" s="221">
        <f t="shared" si="22"/>
        <v>0</v>
      </c>
      <c r="J194" s="221">
        <f t="shared" si="22"/>
        <v>0</v>
      </c>
      <c r="K194" s="221">
        <f t="shared" si="22"/>
        <v>0</v>
      </c>
      <c r="L194" s="221">
        <f t="shared" si="22"/>
        <v>0</v>
      </c>
      <c r="M194" s="221">
        <f t="shared" si="22"/>
        <v>0</v>
      </c>
      <c r="N194" s="221">
        <f t="shared" si="22"/>
        <v>0</v>
      </c>
      <c r="O194" s="221">
        <f t="shared" si="22"/>
        <v>0</v>
      </c>
      <c r="P194" s="221">
        <f t="shared" si="22"/>
        <v>0</v>
      </c>
      <c r="Q194" s="221">
        <f t="shared" si="22"/>
        <v>0</v>
      </c>
      <c r="R194" s="974">
        <f t="shared" si="22"/>
        <v>0</v>
      </c>
      <c r="S194" s="258"/>
      <c r="T194" s="259"/>
      <c r="U194" s="412"/>
      <c r="V194" s="412"/>
      <c r="W194" s="412"/>
      <c r="X194" s="412"/>
      <c r="Y194" s="412"/>
      <c r="Z194" s="412"/>
      <c r="AA194" s="412"/>
      <c r="AB194" s="412"/>
      <c r="AC194" s="412"/>
      <c r="AD194" s="412"/>
      <c r="AE194" s="412"/>
      <c r="AF194" s="412"/>
      <c r="AG194" s="412"/>
      <c r="AH194" s="412"/>
      <c r="AI194" s="412"/>
      <c r="AJ194" s="412"/>
      <c r="AK194" s="412"/>
      <c r="AL194" s="412"/>
      <c r="AM194" s="412"/>
      <c r="AN194" s="412"/>
      <c r="AO194" s="412"/>
      <c r="AP194" s="412"/>
      <c r="AQ194" s="449"/>
    </row>
    <row r="195" spans="2:43" ht="15" x14ac:dyDescent="0.2">
      <c r="B195" s="412"/>
      <c r="C195" s="1185"/>
      <c r="D195" s="973" t="s">
        <v>334</v>
      </c>
      <c r="E195" s="221">
        <f t="shared" ref="E195:R195" si="23">E104</f>
        <v>0</v>
      </c>
      <c r="F195" s="223">
        <f t="shared" si="21"/>
        <v>0</v>
      </c>
      <c r="G195" s="221">
        <f t="shared" si="23"/>
        <v>0</v>
      </c>
      <c r="H195" s="221">
        <f t="shared" si="23"/>
        <v>0</v>
      </c>
      <c r="I195" s="221">
        <f t="shared" si="23"/>
        <v>0</v>
      </c>
      <c r="J195" s="221">
        <f t="shared" si="23"/>
        <v>0</v>
      </c>
      <c r="K195" s="221">
        <f t="shared" si="23"/>
        <v>0</v>
      </c>
      <c r="L195" s="221">
        <f t="shared" si="23"/>
        <v>0</v>
      </c>
      <c r="M195" s="221">
        <f t="shared" si="23"/>
        <v>0</v>
      </c>
      <c r="N195" s="221">
        <f t="shared" si="23"/>
        <v>0</v>
      </c>
      <c r="O195" s="221">
        <f t="shared" si="23"/>
        <v>0</v>
      </c>
      <c r="P195" s="221">
        <f t="shared" si="23"/>
        <v>0</v>
      </c>
      <c r="Q195" s="221">
        <f t="shared" si="23"/>
        <v>0</v>
      </c>
      <c r="R195" s="974">
        <f t="shared" si="23"/>
        <v>0</v>
      </c>
      <c r="S195" s="258"/>
      <c r="T195" s="259"/>
      <c r="U195" s="412"/>
      <c r="V195" s="412"/>
      <c r="W195" s="412"/>
      <c r="X195" s="412"/>
      <c r="Y195" s="412"/>
      <c r="Z195" s="412"/>
      <c r="AA195" s="412"/>
      <c r="AB195" s="412"/>
      <c r="AC195" s="412"/>
      <c r="AD195" s="412"/>
      <c r="AE195" s="412"/>
      <c r="AF195" s="412"/>
      <c r="AG195" s="412"/>
      <c r="AH195" s="412"/>
      <c r="AI195" s="412"/>
      <c r="AJ195" s="412"/>
      <c r="AK195" s="412"/>
      <c r="AL195" s="412"/>
      <c r="AM195" s="412"/>
      <c r="AN195" s="412"/>
      <c r="AO195" s="412"/>
      <c r="AP195" s="412"/>
      <c r="AQ195" s="449"/>
    </row>
    <row r="196" spans="2:43" ht="5.0999999999999996" customHeight="1" x14ac:dyDescent="0.2">
      <c r="B196" s="412"/>
      <c r="C196" s="1185"/>
      <c r="D196" s="127"/>
      <c r="E196" s="126"/>
      <c r="F196" s="126">
        <f t="shared" si="21"/>
        <v>0</v>
      </c>
      <c r="G196" s="263"/>
      <c r="H196" s="126"/>
      <c r="I196" s="126"/>
      <c r="J196" s="126"/>
      <c r="K196" s="126"/>
      <c r="L196" s="263"/>
      <c r="M196" s="126"/>
      <c r="N196" s="126"/>
      <c r="O196" s="126"/>
      <c r="P196" s="126"/>
      <c r="Q196" s="126"/>
      <c r="R196" s="129"/>
      <c r="S196" s="258"/>
      <c r="T196" s="259"/>
      <c r="U196" s="412"/>
      <c r="V196" s="412"/>
      <c r="W196" s="412"/>
      <c r="X196" s="412"/>
      <c r="Y196" s="412"/>
      <c r="Z196" s="412"/>
      <c r="AA196" s="412"/>
      <c r="AB196" s="412"/>
      <c r="AC196" s="412"/>
      <c r="AD196" s="412"/>
      <c r="AE196" s="412"/>
      <c r="AF196" s="412"/>
      <c r="AG196" s="412"/>
      <c r="AH196" s="412"/>
      <c r="AI196" s="412"/>
      <c r="AJ196" s="412"/>
      <c r="AK196" s="412"/>
      <c r="AL196" s="412"/>
      <c r="AM196" s="412"/>
      <c r="AN196" s="412"/>
      <c r="AO196" s="412"/>
      <c r="AP196" s="412"/>
      <c r="AQ196" s="449"/>
    </row>
    <row r="197" spans="2:43" ht="15" x14ac:dyDescent="0.2">
      <c r="B197" s="412"/>
      <c r="C197" s="1185"/>
      <c r="D197" s="979" t="s">
        <v>335</v>
      </c>
      <c r="E197" s="232">
        <f>SUM(E193:E195)</f>
        <v>0</v>
      </c>
      <c r="F197" s="231">
        <f t="shared" si="21"/>
        <v>0</v>
      </c>
      <c r="G197" s="232">
        <f t="shared" ref="G197:R197" si="24">SUM(G193:G195)</f>
        <v>0</v>
      </c>
      <c r="H197" s="232">
        <f t="shared" si="24"/>
        <v>0</v>
      </c>
      <c r="I197" s="232">
        <f t="shared" si="24"/>
        <v>0</v>
      </c>
      <c r="J197" s="232">
        <f t="shared" si="24"/>
        <v>0</v>
      </c>
      <c r="K197" s="232">
        <f t="shared" si="24"/>
        <v>0</v>
      </c>
      <c r="L197" s="232">
        <f t="shared" si="24"/>
        <v>0</v>
      </c>
      <c r="M197" s="232">
        <f t="shared" si="24"/>
        <v>0</v>
      </c>
      <c r="N197" s="232">
        <f t="shared" si="24"/>
        <v>0</v>
      </c>
      <c r="O197" s="232">
        <f t="shared" si="24"/>
        <v>0</v>
      </c>
      <c r="P197" s="232">
        <f t="shared" si="24"/>
        <v>0</v>
      </c>
      <c r="Q197" s="232">
        <f t="shared" si="24"/>
        <v>0</v>
      </c>
      <c r="R197" s="980">
        <f t="shared" si="24"/>
        <v>0</v>
      </c>
      <c r="S197" s="258"/>
      <c r="T197" s="259"/>
      <c r="U197" s="412"/>
      <c r="V197" s="412"/>
      <c r="W197" s="412"/>
      <c r="X197" s="412"/>
      <c r="Y197" s="412"/>
      <c r="Z197" s="412"/>
      <c r="AA197" s="412"/>
      <c r="AB197" s="412"/>
      <c r="AC197" s="412"/>
      <c r="AD197" s="412"/>
      <c r="AE197" s="412"/>
      <c r="AF197" s="412"/>
      <c r="AG197" s="412"/>
      <c r="AH197" s="412"/>
      <c r="AI197" s="412"/>
      <c r="AJ197" s="412"/>
      <c r="AK197" s="412"/>
      <c r="AL197" s="412"/>
      <c r="AM197" s="412"/>
      <c r="AN197" s="412"/>
      <c r="AO197" s="412"/>
      <c r="AP197" s="412"/>
      <c r="AQ197" s="449"/>
    </row>
    <row r="198" spans="2:43" ht="9.9499999999999993" customHeight="1" x14ac:dyDescent="0.2">
      <c r="B198" s="412"/>
      <c r="C198" s="1185"/>
      <c r="D198" s="127"/>
      <c r="E198" s="126"/>
      <c r="F198" s="126"/>
      <c r="G198" s="263"/>
      <c r="H198" s="126"/>
      <c r="I198" s="126"/>
      <c r="J198" s="126"/>
      <c r="K198" s="126"/>
      <c r="L198" s="263"/>
      <c r="M198" s="126"/>
      <c r="N198" s="126"/>
      <c r="O198" s="126"/>
      <c r="P198" s="126"/>
      <c r="Q198" s="126"/>
      <c r="R198" s="129"/>
      <c r="S198" s="258"/>
      <c r="T198" s="259"/>
      <c r="U198" s="412"/>
      <c r="V198" s="412"/>
      <c r="W198" s="412"/>
      <c r="X198" s="412"/>
      <c r="Y198" s="412"/>
      <c r="Z198" s="412"/>
      <c r="AA198" s="412"/>
      <c r="AB198" s="412"/>
      <c r="AC198" s="412"/>
      <c r="AD198" s="412"/>
      <c r="AE198" s="412"/>
      <c r="AF198" s="412"/>
      <c r="AG198" s="412"/>
      <c r="AH198" s="412"/>
      <c r="AI198" s="412"/>
      <c r="AJ198" s="412"/>
      <c r="AK198" s="412"/>
      <c r="AL198" s="412"/>
      <c r="AM198" s="412"/>
      <c r="AN198" s="412"/>
      <c r="AO198" s="412"/>
      <c r="AP198" s="412"/>
      <c r="AQ198" s="449"/>
    </row>
    <row r="199" spans="2:43" ht="15" x14ac:dyDescent="0.2">
      <c r="B199" s="412"/>
      <c r="C199" s="1185"/>
      <c r="D199" s="1003" t="s">
        <v>344</v>
      </c>
      <c r="E199" s="236">
        <f>E189-E197</f>
        <v>0</v>
      </c>
      <c r="F199" s="231">
        <f t="shared" si="21"/>
        <v>0</v>
      </c>
      <c r="G199" s="236">
        <f t="shared" ref="G199:R199" si="25">G189-G197</f>
        <v>0</v>
      </c>
      <c r="H199" s="236">
        <f t="shared" si="25"/>
        <v>0</v>
      </c>
      <c r="I199" s="236">
        <f t="shared" si="25"/>
        <v>0</v>
      </c>
      <c r="J199" s="236">
        <f t="shared" si="25"/>
        <v>0</v>
      </c>
      <c r="K199" s="236">
        <f t="shared" si="25"/>
        <v>0</v>
      </c>
      <c r="L199" s="236">
        <f t="shared" si="25"/>
        <v>0</v>
      </c>
      <c r="M199" s="236">
        <f t="shared" si="25"/>
        <v>0</v>
      </c>
      <c r="N199" s="236">
        <f t="shared" si="25"/>
        <v>0</v>
      </c>
      <c r="O199" s="236">
        <f t="shared" si="25"/>
        <v>0</v>
      </c>
      <c r="P199" s="236">
        <f t="shared" si="25"/>
        <v>0</v>
      </c>
      <c r="Q199" s="236">
        <f t="shared" si="25"/>
        <v>0</v>
      </c>
      <c r="R199" s="989">
        <f t="shared" si="25"/>
        <v>0</v>
      </c>
      <c r="S199" s="258"/>
      <c r="T199" s="259"/>
      <c r="U199" s="412"/>
      <c r="V199" s="412"/>
      <c r="W199" s="412"/>
      <c r="X199" s="412"/>
      <c r="Y199" s="412"/>
      <c r="Z199" s="412"/>
      <c r="AA199" s="412"/>
      <c r="AB199" s="412"/>
      <c r="AC199" s="412"/>
      <c r="AD199" s="412"/>
      <c r="AE199" s="412"/>
      <c r="AF199" s="412"/>
      <c r="AG199" s="412"/>
      <c r="AH199" s="412"/>
      <c r="AI199" s="412"/>
      <c r="AJ199" s="412"/>
      <c r="AK199" s="412"/>
      <c r="AL199" s="412"/>
      <c r="AM199" s="412"/>
      <c r="AN199" s="412"/>
      <c r="AO199" s="412"/>
      <c r="AP199" s="412"/>
      <c r="AQ199" s="449"/>
    </row>
    <row r="200" spans="2:43" ht="9.9499999999999993" customHeight="1" x14ac:dyDescent="0.2">
      <c r="B200" s="412"/>
      <c r="C200" s="1185"/>
      <c r="D200" s="127"/>
      <c r="E200" s="126"/>
      <c r="F200" s="126"/>
      <c r="G200" s="263"/>
      <c r="H200" s="126"/>
      <c r="I200" s="126"/>
      <c r="J200" s="126"/>
      <c r="K200" s="126"/>
      <c r="L200" s="263"/>
      <c r="M200" s="126"/>
      <c r="N200" s="126"/>
      <c r="O200" s="126"/>
      <c r="P200" s="126"/>
      <c r="Q200" s="126"/>
      <c r="R200" s="129"/>
      <c r="S200" s="258"/>
      <c r="T200" s="259"/>
      <c r="U200" s="412"/>
      <c r="V200" s="412"/>
      <c r="W200" s="412"/>
      <c r="X200" s="412"/>
      <c r="Y200" s="412"/>
      <c r="Z200" s="412"/>
      <c r="AA200" s="412"/>
      <c r="AB200" s="412"/>
      <c r="AC200" s="412"/>
      <c r="AD200" s="412"/>
      <c r="AE200" s="412"/>
      <c r="AF200" s="412"/>
      <c r="AG200" s="412"/>
      <c r="AH200" s="412"/>
      <c r="AI200" s="412"/>
      <c r="AJ200" s="412"/>
      <c r="AK200" s="412"/>
      <c r="AL200" s="412"/>
      <c r="AM200" s="412"/>
      <c r="AN200" s="412"/>
      <c r="AO200" s="412"/>
      <c r="AP200" s="412"/>
      <c r="AQ200" s="449"/>
    </row>
    <row r="201" spans="2:43" ht="15" x14ac:dyDescent="0.2">
      <c r="B201" s="412"/>
      <c r="C201" s="1185"/>
      <c r="D201" s="969" t="s">
        <v>336</v>
      </c>
      <c r="E201" s="228" t="str">
        <f t="shared" ref="E201:R201" si="26">E191</f>
        <v>Total</v>
      </c>
      <c r="F201" s="228" t="str">
        <f t="shared" si="26"/>
        <v>%</v>
      </c>
      <c r="G201" s="228" t="str">
        <f t="shared" si="26"/>
        <v>Enero</v>
      </c>
      <c r="H201" s="228" t="str">
        <f t="shared" si="26"/>
        <v>Febrero</v>
      </c>
      <c r="I201" s="228" t="str">
        <f t="shared" si="26"/>
        <v>Marzo</v>
      </c>
      <c r="J201" s="228" t="str">
        <f t="shared" si="26"/>
        <v>Abril</v>
      </c>
      <c r="K201" s="228" t="str">
        <f t="shared" si="26"/>
        <v xml:space="preserve">Mayo </v>
      </c>
      <c r="L201" s="228" t="str">
        <f t="shared" si="26"/>
        <v>Junio</v>
      </c>
      <c r="M201" s="228" t="str">
        <f t="shared" si="26"/>
        <v>Julio</v>
      </c>
      <c r="N201" s="228" t="str">
        <f t="shared" si="26"/>
        <v>Agosto</v>
      </c>
      <c r="O201" s="228" t="str">
        <f t="shared" si="26"/>
        <v>Septiembre</v>
      </c>
      <c r="P201" s="228" t="str">
        <f t="shared" si="26"/>
        <v>Octubre</v>
      </c>
      <c r="Q201" s="228" t="str">
        <f t="shared" si="26"/>
        <v>Noviembre</v>
      </c>
      <c r="R201" s="970" t="str">
        <f t="shared" si="26"/>
        <v>Diciembre</v>
      </c>
      <c r="S201" s="258"/>
      <c r="T201" s="259"/>
      <c r="U201" s="412"/>
      <c r="V201" s="412"/>
      <c r="W201" s="412"/>
      <c r="X201" s="412"/>
      <c r="Y201" s="412"/>
      <c r="Z201" s="412"/>
      <c r="AA201" s="412"/>
      <c r="AB201" s="412"/>
      <c r="AC201" s="412"/>
      <c r="AD201" s="412"/>
      <c r="AE201" s="412"/>
      <c r="AF201" s="412"/>
      <c r="AG201" s="412"/>
      <c r="AH201" s="412"/>
      <c r="AI201" s="412"/>
      <c r="AJ201" s="412"/>
      <c r="AK201" s="412"/>
      <c r="AL201" s="412"/>
      <c r="AM201" s="412"/>
      <c r="AN201" s="412"/>
      <c r="AO201" s="412"/>
      <c r="AP201" s="412"/>
      <c r="AQ201" s="449"/>
    </row>
    <row r="202" spans="2:43" ht="5.0999999999999996" customHeight="1" x14ac:dyDescent="0.2">
      <c r="B202" s="412"/>
      <c r="C202" s="1185"/>
      <c r="D202" s="127"/>
      <c r="E202" s="126"/>
      <c r="F202" s="126"/>
      <c r="G202" s="263"/>
      <c r="H202" s="126"/>
      <c r="I202" s="126"/>
      <c r="J202" s="126"/>
      <c r="K202" s="126"/>
      <c r="L202" s="263"/>
      <c r="M202" s="126"/>
      <c r="N202" s="126"/>
      <c r="O202" s="126"/>
      <c r="P202" s="126"/>
      <c r="Q202" s="126"/>
      <c r="R202" s="129"/>
      <c r="S202" s="258"/>
      <c r="T202" s="259"/>
      <c r="U202" s="412"/>
      <c r="V202" s="412"/>
      <c r="W202" s="412"/>
      <c r="X202" s="412"/>
      <c r="Y202" s="412"/>
      <c r="Z202" s="412"/>
      <c r="AA202" s="412"/>
      <c r="AB202" s="412"/>
      <c r="AC202" s="412"/>
      <c r="AD202" s="412"/>
      <c r="AE202" s="412"/>
      <c r="AF202" s="412"/>
      <c r="AG202" s="412"/>
      <c r="AH202" s="412"/>
      <c r="AI202" s="412"/>
      <c r="AJ202" s="412"/>
      <c r="AK202" s="412"/>
      <c r="AL202" s="412"/>
      <c r="AM202" s="412"/>
      <c r="AN202" s="412"/>
      <c r="AO202" s="412"/>
      <c r="AP202" s="412"/>
      <c r="AQ202" s="449"/>
    </row>
    <row r="203" spans="2:43" ht="15" x14ac:dyDescent="0.2">
      <c r="B203" s="412"/>
      <c r="C203" s="1185"/>
      <c r="D203" s="973" t="s">
        <v>338</v>
      </c>
      <c r="E203" s="221">
        <f>E109+E110</f>
        <v>0</v>
      </c>
      <c r="F203" s="223">
        <f>IF(E$189=0,0,(E203/E$189))</f>
        <v>0</v>
      </c>
      <c r="G203" s="221">
        <f t="shared" ref="G203:R203" si="27">G109+G110</f>
        <v>0</v>
      </c>
      <c r="H203" s="221">
        <f t="shared" si="27"/>
        <v>0</v>
      </c>
      <c r="I203" s="221">
        <f t="shared" si="27"/>
        <v>0</v>
      </c>
      <c r="J203" s="221">
        <f t="shared" si="27"/>
        <v>0</v>
      </c>
      <c r="K203" s="221">
        <f t="shared" si="27"/>
        <v>0</v>
      </c>
      <c r="L203" s="221">
        <f t="shared" si="27"/>
        <v>0</v>
      </c>
      <c r="M203" s="221">
        <f t="shared" si="27"/>
        <v>0</v>
      </c>
      <c r="N203" s="221">
        <f t="shared" si="27"/>
        <v>0</v>
      </c>
      <c r="O203" s="221">
        <f t="shared" si="27"/>
        <v>0</v>
      </c>
      <c r="P203" s="221">
        <f t="shared" si="27"/>
        <v>0</v>
      </c>
      <c r="Q203" s="221">
        <f t="shared" si="27"/>
        <v>0</v>
      </c>
      <c r="R203" s="974">
        <f t="shared" si="27"/>
        <v>0</v>
      </c>
      <c r="S203" s="258"/>
      <c r="T203" s="259"/>
      <c r="U203" s="412"/>
      <c r="V203" s="412"/>
      <c r="W203" s="412"/>
      <c r="X203" s="412"/>
      <c r="Y203" s="412"/>
      <c r="Z203" s="412"/>
      <c r="AA203" s="412"/>
      <c r="AB203" s="412"/>
      <c r="AC203" s="412"/>
      <c r="AD203" s="412"/>
      <c r="AE203" s="412"/>
      <c r="AF203" s="412"/>
      <c r="AG203" s="412"/>
      <c r="AH203" s="412"/>
      <c r="AI203" s="412"/>
      <c r="AJ203" s="412"/>
      <c r="AK203" s="412"/>
      <c r="AL203" s="412"/>
      <c r="AM203" s="412"/>
      <c r="AN203" s="412"/>
      <c r="AO203" s="412"/>
      <c r="AP203" s="412"/>
      <c r="AQ203" s="449"/>
    </row>
    <row r="204" spans="2:43" ht="15" x14ac:dyDescent="0.2">
      <c r="B204" s="412"/>
      <c r="C204" s="1185"/>
      <c r="D204" s="973" t="s">
        <v>1391</v>
      </c>
      <c r="E204" s="221">
        <f>E111+E112</f>
        <v>0</v>
      </c>
      <c r="F204" s="223">
        <f>IF(E$189=0,0,(E204/E$189))</f>
        <v>0</v>
      </c>
      <c r="G204" s="221">
        <f t="shared" ref="G204:R204" si="28">G111+G112</f>
        <v>0</v>
      </c>
      <c r="H204" s="221">
        <f t="shared" si="28"/>
        <v>0</v>
      </c>
      <c r="I204" s="221">
        <f t="shared" si="28"/>
        <v>0</v>
      </c>
      <c r="J204" s="221">
        <f t="shared" si="28"/>
        <v>0</v>
      </c>
      <c r="K204" s="221">
        <f t="shared" si="28"/>
        <v>0</v>
      </c>
      <c r="L204" s="221">
        <f t="shared" si="28"/>
        <v>0</v>
      </c>
      <c r="M204" s="221">
        <f t="shared" si="28"/>
        <v>0</v>
      </c>
      <c r="N204" s="221">
        <f t="shared" si="28"/>
        <v>0</v>
      </c>
      <c r="O204" s="221">
        <f t="shared" si="28"/>
        <v>0</v>
      </c>
      <c r="P204" s="221">
        <f t="shared" si="28"/>
        <v>0</v>
      </c>
      <c r="Q204" s="221">
        <f t="shared" si="28"/>
        <v>0</v>
      </c>
      <c r="R204" s="974">
        <f t="shared" si="28"/>
        <v>0</v>
      </c>
      <c r="S204" s="258"/>
      <c r="T204" s="259"/>
      <c r="U204" s="412"/>
      <c r="V204" s="412"/>
      <c r="W204" s="412"/>
      <c r="X204" s="412"/>
      <c r="Y204" s="412"/>
      <c r="Z204" s="412"/>
      <c r="AA204" s="412"/>
      <c r="AB204" s="412"/>
      <c r="AC204" s="412"/>
      <c r="AD204" s="412"/>
      <c r="AE204" s="412"/>
      <c r="AF204" s="412"/>
      <c r="AG204" s="412"/>
      <c r="AH204" s="412"/>
      <c r="AI204" s="412"/>
      <c r="AJ204" s="412"/>
      <c r="AK204" s="412"/>
      <c r="AL204" s="412"/>
      <c r="AM204" s="412"/>
      <c r="AN204" s="412"/>
      <c r="AO204" s="412"/>
      <c r="AP204" s="412"/>
      <c r="AQ204" s="449"/>
    </row>
    <row r="205" spans="2:43" ht="15" x14ac:dyDescent="0.2">
      <c r="B205" s="412"/>
      <c r="C205" s="1185"/>
      <c r="D205" s="973" t="s">
        <v>337</v>
      </c>
      <c r="E205" s="221">
        <f t="shared" ref="E205:R205" si="29">E105</f>
        <v>0</v>
      </c>
      <c r="F205" s="223">
        <f>IF(E$189=0,0,(E205/E$189))</f>
        <v>0</v>
      </c>
      <c r="G205" s="221">
        <f t="shared" si="29"/>
        <v>0</v>
      </c>
      <c r="H205" s="221">
        <f t="shared" si="29"/>
        <v>0</v>
      </c>
      <c r="I205" s="221">
        <f t="shared" si="29"/>
        <v>0</v>
      </c>
      <c r="J205" s="221">
        <f t="shared" si="29"/>
        <v>0</v>
      </c>
      <c r="K205" s="221">
        <f t="shared" si="29"/>
        <v>0</v>
      </c>
      <c r="L205" s="221">
        <f t="shared" si="29"/>
        <v>0</v>
      </c>
      <c r="M205" s="221">
        <f t="shared" si="29"/>
        <v>0</v>
      </c>
      <c r="N205" s="221">
        <f t="shared" si="29"/>
        <v>0</v>
      </c>
      <c r="O205" s="221">
        <f t="shared" si="29"/>
        <v>0</v>
      </c>
      <c r="P205" s="221">
        <f t="shared" si="29"/>
        <v>0</v>
      </c>
      <c r="Q205" s="221">
        <f t="shared" si="29"/>
        <v>0</v>
      </c>
      <c r="R205" s="974">
        <f t="shared" si="29"/>
        <v>0</v>
      </c>
      <c r="S205" s="258"/>
      <c r="T205" s="259"/>
      <c r="U205" s="412"/>
      <c r="V205" s="412"/>
      <c r="W205" s="412"/>
      <c r="X205" s="412"/>
      <c r="Y205" s="412"/>
      <c r="Z205" s="412"/>
      <c r="AA205" s="412"/>
      <c r="AB205" s="412"/>
      <c r="AC205" s="412"/>
      <c r="AD205" s="412"/>
      <c r="AE205" s="412"/>
      <c r="AF205" s="412"/>
      <c r="AG205" s="412"/>
      <c r="AH205" s="412"/>
      <c r="AI205" s="412"/>
      <c r="AJ205" s="412"/>
      <c r="AK205" s="412"/>
      <c r="AL205" s="412"/>
      <c r="AM205" s="412"/>
      <c r="AN205" s="412"/>
      <c r="AO205" s="412"/>
      <c r="AP205" s="412"/>
      <c r="AQ205" s="449"/>
    </row>
    <row r="206" spans="2:43" ht="15" x14ac:dyDescent="0.2">
      <c r="B206" s="412"/>
      <c r="C206" s="1185"/>
      <c r="D206" s="973" t="str">
        <f t="shared" ref="D206:R206" si="30">D103</f>
        <v>comisiones</v>
      </c>
      <c r="E206" s="221">
        <f t="shared" si="30"/>
        <v>0</v>
      </c>
      <c r="F206" s="223">
        <f>IF(E$189=0,0,(E206/E$189))</f>
        <v>0</v>
      </c>
      <c r="G206" s="221">
        <f t="shared" si="30"/>
        <v>0</v>
      </c>
      <c r="H206" s="221">
        <f t="shared" si="30"/>
        <v>0</v>
      </c>
      <c r="I206" s="221">
        <f t="shared" si="30"/>
        <v>0</v>
      </c>
      <c r="J206" s="221">
        <f t="shared" si="30"/>
        <v>0</v>
      </c>
      <c r="K206" s="221">
        <f t="shared" si="30"/>
        <v>0</v>
      </c>
      <c r="L206" s="221">
        <f t="shared" si="30"/>
        <v>0</v>
      </c>
      <c r="M206" s="221">
        <f t="shared" si="30"/>
        <v>0</v>
      </c>
      <c r="N206" s="221">
        <f t="shared" si="30"/>
        <v>0</v>
      </c>
      <c r="O206" s="221">
        <f t="shared" si="30"/>
        <v>0</v>
      </c>
      <c r="P206" s="221">
        <f t="shared" si="30"/>
        <v>0</v>
      </c>
      <c r="Q206" s="221">
        <f t="shared" si="30"/>
        <v>0</v>
      </c>
      <c r="R206" s="974">
        <f t="shared" si="30"/>
        <v>0</v>
      </c>
      <c r="S206" s="258"/>
      <c r="T206" s="259"/>
      <c r="U206" s="412"/>
      <c r="V206" s="412"/>
      <c r="W206" s="412"/>
      <c r="X206" s="412"/>
      <c r="Y206" s="412"/>
      <c r="Z206" s="412"/>
      <c r="AA206" s="412"/>
      <c r="AB206" s="412"/>
      <c r="AC206" s="412"/>
      <c r="AD206" s="412"/>
      <c r="AE206" s="412"/>
      <c r="AF206" s="412"/>
      <c r="AG206" s="412"/>
      <c r="AH206" s="412"/>
      <c r="AI206" s="412"/>
      <c r="AJ206" s="412"/>
      <c r="AK206" s="412"/>
      <c r="AL206" s="412"/>
      <c r="AM206" s="412"/>
      <c r="AN206" s="412"/>
      <c r="AO206" s="412"/>
      <c r="AP206" s="412"/>
      <c r="AQ206" s="449"/>
    </row>
    <row r="207" spans="2:43" ht="5.0999999999999996" customHeight="1" x14ac:dyDescent="0.2">
      <c r="B207" s="412"/>
      <c r="C207" s="1185"/>
      <c r="D207" s="127"/>
      <c r="E207" s="126"/>
      <c r="F207" s="126"/>
      <c r="G207" s="263"/>
      <c r="H207" s="126"/>
      <c r="I207" s="126"/>
      <c r="J207" s="126"/>
      <c r="K207" s="126"/>
      <c r="L207" s="263"/>
      <c r="M207" s="126"/>
      <c r="N207" s="126"/>
      <c r="O207" s="126"/>
      <c r="P207" s="126"/>
      <c r="Q207" s="126"/>
      <c r="R207" s="129"/>
      <c r="S207" s="258"/>
      <c r="T207" s="259"/>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49"/>
    </row>
    <row r="208" spans="2:43" ht="15" x14ac:dyDescent="0.2">
      <c r="B208" s="412"/>
      <c r="C208" s="1185"/>
      <c r="D208" s="979" t="s">
        <v>339</v>
      </c>
      <c r="E208" s="232">
        <f>SUM(E203:E206)</f>
        <v>0</v>
      </c>
      <c r="F208" s="231">
        <f>IF(E$189=0,0,(E208/E$189))</f>
        <v>0</v>
      </c>
      <c r="G208" s="232">
        <f t="shared" ref="G208:R208" si="31">SUM(G203:G206)</f>
        <v>0</v>
      </c>
      <c r="H208" s="232">
        <f t="shared" si="31"/>
        <v>0</v>
      </c>
      <c r="I208" s="232">
        <f t="shared" si="31"/>
        <v>0</v>
      </c>
      <c r="J208" s="232">
        <f t="shared" si="31"/>
        <v>0</v>
      </c>
      <c r="K208" s="232">
        <f t="shared" si="31"/>
        <v>0</v>
      </c>
      <c r="L208" s="232">
        <f t="shared" si="31"/>
        <v>0</v>
      </c>
      <c r="M208" s="232">
        <f t="shared" si="31"/>
        <v>0</v>
      </c>
      <c r="N208" s="232">
        <f t="shared" si="31"/>
        <v>0</v>
      </c>
      <c r="O208" s="232">
        <f t="shared" si="31"/>
        <v>0</v>
      </c>
      <c r="P208" s="232">
        <f t="shared" si="31"/>
        <v>0</v>
      </c>
      <c r="Q208" s="232">
        <f t="shared" si="31"/>
        <v>0</v>
      </c>
      <c r="R208" s="980">
        <f t="shared" si="31"/>
        <v>0</v>
      </c>
      <c r="S208" s="258"/>
      <c r="T208" s="259"/>
      <c r="U208" s="412"/>
      <c r="V208" s="412"/>
      <c r="W208" s="412"/>
      <c r="X208" s="412"/>
      <c r="Y208" s="412"/>
      <c r="Z208" s="412"/>
      <c r="AA208" s="412"/>
      <c r="AB208" s="412"/>
      <c r="AC208" s="412"/>
      <c r="AD208" s="412"/>
      <c r="AE208" s="412"/>
      <c r="AF208" s="412"/>
      <c r="AG208" s="412"/>
      <c r="AH208" s="412"/>
      <c r="AI208" s="412"/>
      <c r="AJ208" s="412"/>
      <c r="AK208" s="412"/>
      <c r="AL208" s="412"/>
      <c r="AM208" s="412"/>
      <c r="AN208" s="412"/>
      <c r="AO208" s="412"/>
      <c r="AP208" s="412"/>
      <c r="AQ208" s="449"/>
    </row>
    <row r="209" spans="2:43" ht="14.25" x14ac:dyDescent="0.2">
      <c r="B209" s="412"/>
      <c r="C209" s="1185"/>
      <c r="D209" s="127"/>
      <c r="E209" s="126"/>
      <c r="F209" s="126"/>
      <c r="G209" s="263"/>
      <c r="H209" s="126"/>
      <c r="I209" s="126"/>
      <c r="J209" s="126"/>
      <c r="K209" s="126"/>
      <c r="L209" s="263"/>
      <c r="M209" s="126"/>
      <c r="N209" s="126"/>
      <c r="O209" s="126"/>
      <c r="P209" s="126"/>
      <c r="Q209" s="126"/>
      <c r="R209" s="129"/>
      <c r="S209" s="258"/>
      <c r="T209" s="259"/>
      <c r="U209" s="412"/>
      <c r="V209" s="412"/>
      <c r="W209" s="412"/>
      <c r="X209" s="412"/>
      <c r="Y209" s="412"/>
      <c r="Z209" s="412"/>
      <c r="AA209" s="412"/>
      <c r="AB209" s="412"/>
      <c r="AC209" s="412"/>
      <c r="AD209" s="412"/>
      <c r="AE209" s="412"/>
      <c r="AF209" s="412"/>
      <c r="AG209" s="412"/>
      <c r="AH209" s="412"/>
      <c r="AI209" s="412"/>
      <c r="AJ209" s="412"/>
      <c r="AK209" s="412"/>
      <c r="AL209" s="412"/>
      <c r="AM209" s="412"/>
      <c r="AN209" s="412"/>
      <c r="AO209" s="412"/>
      <c r="AP209" s="412"/>
      <c r="AQ209" s="449"/>
    </row>
    <row r="210" spans="2:43" ht="15" x14ac:dyDescent="0.2">
      <c r="B210" s="412"/>
      <c r="C210" s="1185"/>
      <c r="D210" s="969" t="s">
        <v>340</v>
      </c>
      <c r="E210" s="228" t="str">
        <f t="shared" ref="E210:R210" si="32">E201</f>
        <v>Total</v>
      </c>
      <c r="F210" s="228" t="str">
        <f t="shared" si="32"/>
        <v>%</v>
      </c>
      <c r="G210" s="228" t="str">
        <f t="shared" si="32"/>
        <v>Enero</v>
      </c>
      <c r="H210" s="228" t="str">
        <f t="shared" si="32"/>
        <v>Febrero</v>
      </c>
      <c r="I210" s="228" t="str">
        <f t="shared" si="32"/>
        <v>Marzo</v>
      </c>
      <c r="J210" s="228" t="str">
        <f t="shared" si="32"/>
        <v>Abril</v>
      </c>
      <c r="K210" s="228" t="str">
        <f t="shared" si="32"/>
        <v xml:space="preserve">Mayo </v>
      </c>
      <c r="L210" s="228" t="str">
        <f t="shared" si="32"/>
        <v>Junio</v>
      </c>
      <c r="M210" s="228" t="str">
        <f t="shared" si="32"/>
        <v>Julio</v>
      </c>
      <c r="N210" s="228" t="str">
        <f t="shared" si="32"/>
        <v>Agosto</v>
      </c>
      <c r="O210" s="228" t="str">
        <f t="shared" si="32"/>
        <v>Septiembre</v>
      </c>
      <c r="P210" s="228" t="str">
        <f t="shared" si="32"/>
        <v>Octubre</v>
      </c>
      <c r="Q210" s="228" t="str">
        <f t="shared" si="32"/>
        <v>Noviembre</v>
      </c>
      <c r="R210" s="970" t="str">
        <f t="shared" si="32"/>
        <v>Diciembre</v>
      </c>
      <c r="S210" s="258"/>
      <c r="T210" s="259"/>
      <c r="U210" s="412"/>
      <c r="V210" s="412"/>
      <c r="W210" s="412"/>
      <c r="X210" s="412"/>
      <c r="Y210" s="412"/>
      <c r="Z210" s="412"/>
      <c r="AA210" s="412"/>
      <c r="AB210" s="412"/>
      <c r="AC210" s="412"/>
      <c r="AD210" s="412"/>
      <c r="AE210" s="412"/>
      <c r="AF210" s="412"/>
      <c r="AG210" s="412"/>
      <c r="AH210" s="412"/>
      <c r="AI210" s="412"/>
      <c r="AJ210" s="412"/>
      <c r="AK210" s="412"/>
      <c r="AL210" s="412"/>
      <c r="AM210" s="412"/>
      <c r="AN210" s="412"/>
      <c r="AO210" s="412"/>
      <c r="AP210" s="412"/>
      <c r="AQ210" s="449"/>
    </row>
    <row r="211" spans="2:43" ht="5.0999999999999996" customHeight="1" x14ac:dyDescent="0.2">
      <c r="B211" s="412"/>
      <c r="C211" s="1185"/>
      <c r="D211" s="127"/>
      <c r="E211" s="126"/>
      <c r="F211" s="126"/>
      <c r="G211" s="263"/>
      <c r="H211" s="126"/>
      <c r="I211" s="126"/>
      <c r="J211" s="126"/>
      <c r="K211" s="126"/>
      <c r="L211" s="263"/>
      <c r="M211" s="126"/>
      <c r="N211" s="126"/>
      <c r="O211" s="126"/>
      <c r="P211" s="126"/>
      <c r="Q211" s="126"/>
      <c r="R211" s="129"/>
      <c r="S211" s="258"/>
      <c r="T211" s="259"/>
      <c r="U211" s="412"/>
      <c r="V211" s="412"/>
      <c r="W211" s="412"/>
      <c r="X211" s="412"/>
      <c r="Y211" s="412"/>
      <c r="Z211" s="412"/>
      <c r="AA211" s="412"/>
      <c r="AB211" s="412"/>
      <c r="AC211" s="412"/>
      <c r="AD211" s="412"/>
      <c r="AE211" s="412"/>
      <c r="AF211" s="412"/>
      <c r="AG211" s="412"/>
      <c r="AH211" s="412"/>
      <c r="AI211" s="412"/>
      <c r="AJ211" s="412"/>
      <c r="AK211" s="412"/>
      <c r="AL211" s="412"/>
      <c r="AM211" s="412"/>
      <c r="AN211" s="412"/>
      <c r="AO211" s="412"/>
      <c r="AP211" s="412"/>
      <c r="AQ211" s="449"/>
    </row>
    <row r="212" spans="2:43" ht="15" x14ac:dyDescent="0.2">
      <c r="B212" s="412"/>
      <c r="C212" s="1185"/>
      <c r="D212" s="973" t="s">
        <v>341</v>
      </c>
      <c r="E212" s="224">
        <f t="shared" ref="E212:R212" si="33">E106</f>
        <v>0</v>
      </c>
      <c r="F212" s="223">
        <f>IF(E$189=0,0,(E212/E$189))</f>
        <v>0</v>
      </c>
      <c r="G212" s="224">
        <f t="shared" si="33"/>
        <v>0</v>
      </c>
      <c r="H212" s="224">
        <f t="shared" si="33"/>
        <v>0</v>
      </c>
      <c r="I212" s="224">
        <f t="shared" si="33"/>
        <v>0</v>
      </c>
      <c r="J212" s="224">
        <f t="shared" si="33"/>
        <v>0</v>
      </c>
      <c r="K212" s="224">
        <f t="shared" si="33"/>
        <v>0</v>
      </c>
      <c r="L212" s="224">
        <f t="shared" si="33"/>
        <v>0</v>
      </c>
      <c r="M212" s="224">
        <f t="shared" si="33"/>
        <v>0</v>
      </c>
      <c r="N212" s="224">
        <f t="shared" si="33"/>
        <v>0</v>
      </c>
      <c r="O212" s="224">
        <f t="shared" si="33"/>
        <v>0</v>
      </c>
      <c r="P212" s="224">
        <f t="shared" si="33"/>
        <v>0</v>
      </c>
      <c r="Q212" s="224">
        <f t="shared" si="33"/>
        <v>0</v>
      </c>
      <c r="R212" s="976">
        <f t="shared" si="33"/>
        <v>0</v>
      </c>
      <c r="S212" s="258"/>
      <c r="T212" s="259"/>
      <c r="U212" s="412"/>
      <c r="V212" s="412"/>
      <c r="W212" s="412"/>
      <c r="X212" s="412"/>
      <c r="Y212" s="412"/>
      <c r="Z212" s="412"/>
      <c r="AA212" s="412"/>
      <c r="AB212" s="412"/>
      <c r="AC212" s="412"/>
      <c r="AD212" s="412"/>
      <c r="AE212" s="412"/>
      <c r="AF212" s="412"/>
      <c r="AG212" s="412"/>
      <c r="AH212" s="412"/>
      <c r="AI212" s="412"/>
      <c r="AJ212" s="412"/>
      <c r="AK212" s="412"/>
      <c r="AL212" s="412"/>
      <c r="AM212" s="412"/>
      <c r="AN212" s="412"/>
      <c r="AO212" s="412"/>
      <c r="AP212" s="412"/>
      <c r="AQ212" s="449"/>
    </row>
    <row r="213" spans="2:43" ht="15" x14ac:dyDescent="0.2">
      <c r="B213" s="412"/>
      <c r="C213" s="1185"/>
      <c r="D213" s="1004" t="str">
        <f t="shared" ref="D213:R213" si="34">D115</f>
        <v>Gastos I+D</v>
      </c>
      <c r="E213" s="224">
        <f t="shared" si="34"/>
        <v>0</v>
      </c>
      <c r="F213" s="223">
        <f>IF(E$189=0,0,(E213/E$189))</f>
        <v>0</v>
      </c>
      <c r="G213" s="224">
        <f t="shared" si="34"/>
        <v>0</v>
      </c>
      <c r="H213" s="224">
        <f t="shared" si="34"/>
        <v>0</v>
      </c>
      <c r="I213" s="224">
        <f t="shared" si="34"/>
        <v>0</v>
      </c>
      <c r="J213" s="224">
        <f t="shared" si="34"/>
        <v>0</v>
      </c>
      <c r="K213" s="224">
        <f t="shared" si="34"/>
        <v>0</v>
      </c>
      <c r="L213" s="224">
        <f t="shared" si="34"/>
        <v>0</v>
      </c>
      <c r="M213" s="224">
        <f t="shared" si="34"/>
        <v>0</v>
      </c>
      <c r="N213" s="224">
        <f t="shared" si="34"/>
        <v>0</v>
      </c>
      <c r="O213" s="224">
        <f t="shared" si="34"/>
        <v>0</v>
      </c>
      <c r="P213" s="224">
        <f t="shared" si="34"/>
        <v>0</v>
      </c>
      <c r="Q213" s="224">
        <f t="shared" si="34"/>
        <v>0</v>
      </c>
      <c r="R213" s="976">
        <f t="shared" si="34"/>
        <v>0</v>
      </c>
      <c r="S213" s="258"/>
      <c r="T213" s="259"/>
      <c r="U213" s="412"/>
      <c r="V213" s="412"/>
      <c r="W213" s="412"/>
      <c r="X213" s="412"/>
      <c r="Y213" s="412"/>
      <c r="Z213" s="412"/>
      <c r="AA213" s="412"/>
      <c r="AB213" s="412"/>
      <c r="AC213" s="412"/>
      <c r="AD213" s="412"/>
      <c r="AE213" s="412"/>
      <c r="AF213" s="412"/>
      <c r="AG213" s="412"/>
      <c r="AH213" s="412"/>
      <c r="AI213" s="412"/>
      <c r="AJ213" s="412"/>
      <c r="AK213" s="412"/>
      <c r="AL213" s="412"/>
      <c r="AM213" s="412"/>
      <c r="AN213" s="412"/>
      <c r="AO213" s="412"/>
      <c r="AP213" s="412"/>
      <c r="AQ213" s="449"/>
    </row>
    <row r="214" spans="2:43" ht="15" x14ac:dyDescent="0.2">
      <c r="B214" s="412"/>
      <c r="C214" s="1185"/>
      <c r="D214" s="1004" t="s">
        <v>342</v>
      </c>
      <c r="E214" s="224">
        <f>E116+E117+E118+E119+E120+E121+E122+E123+E124+E125</f>
        <v>0</v>
      </c>
      <c r="F214" s="223">
        <f>IF(E$189=0,0,(E214/E$189))</f>
        <v>0</v>
      </c>
      <c r="G214" s="224">
        <f t="shared" ref="G214:R214" si="35">G116+G117+G118+G119+G120+G121+G122+G123+G124+G125</f>
        <v>0</v>
      </c>
      <c r="H214" s="224">
        <f t="shared" si="35"/>
        <v>0</v>
      </c>
      <c r="I214" s="224">
        <f t="shared" si="35"/>
        <v>0</v>
      </c>
      <c r="J214" s="224">
        <f t="shared" si="35"/>
        <v>0</v>
      </c>
      <c r="K214" s="224">
        <f t="shared" si="35"/>
        <v>0</v>
      </c>
      <c r="L214" s="224">
        <f t="shared" si="35"/>
        <v>0</v>
      </c>
      <c r="M214" s="224">
        <f t="shared" si="35"/>
        <v>0</v>
      </c>
      <c r="N214" s="224">
        <f t="shared" si="35"/>
        <v>0</v>
      </c>
      <c r="O214" s="224">
        <f t="shared" si="35"/>
        <v>0</v>
      </c>
      <c r="P214" s="224">
        <f t="shared" si="35"/>
        <v>0</v>
      </c>
      <c r="Q214" s="224">
        <f t="shared" si="35"/>
        <v>0</v>
      </c>
      <c r="R214" s="976">
        <f t="shared" si="35"/>
        <v>0</v>
      </c>
      <c r="S214" s="258"/>
      <c r="T214" s="259"/>
      <c r="U214" s="412"/>
      <c r="V214" s="412"/>
      <c r="W214" s="412"/>
      <c r="X214" s="412"/>
      <c r="Y214" s="412"/>
      <c r="Z214" s="412"/>
      <c r="AA214" s="412"/>
      <c r="AB214" s="412"/>
      <c r="AC214" s="412"/>
      <c r="AD214" s="412"/>
      <c r="AE214" s="412"/>
      <c r="AF214" s="412"/>
      <c r="AG214" s="412"/>
      <c r="AH214" s="412"/>
      <c r="AI214" s="412"/>
      <c r="AJ214" s="412"/>
      <c r="AK214" s="412"/>
      <c r="AL214" s="412"/>
      <c r="AM214" s="412"/>
      <c r="AN214" s="412"/>
      <c r="AO214" s="412"/>
      <c r="AP214" s="412"/>
      <c r="AQ214" s="449"/>
    </row>
    <row r="215" spans="2:43" ht="15" x14ac:dyDescent="0.2">
      <c r="B215" s="412"/>
      <c r="C215" s="1185"/>
      <c r="D215" s="1004" t="str">
        <f t="shared" ref="D215:R215" si="36">D127</f>
        <v>Excepcionales</v>
      </c>
      <c r="E215" s="224">
        <f t="shared" si="36"/>
        <v>0</v>
      </c>
      <c r="F215" s="223">
        <f>IF(E$189=0,0,(E215/E$189))</f>
        <v>0</v>
      </c>
      <c r="G215" s="224">
        <f t="shared" si="36"/>
        <v>0</v>
      </c>
      <c r="H215" s="224">
        <f t="shared" si="36"/>
        <v>0</v>
      </c>
      <c r="I215" s="224">
        <f t="shared" si="36"/>
        <v>0</v>
      </c>
      <c r="J215" s="224">
        <f t="shared" si="36"/>
        <v>0</v>
      </c>
      <c r="K215" s="224">
        <f t="shared" si="36"/>
        <v>0</v>
      </c>
      <c r="L215" s="224">
        <f t="shared" si="36"/>
        <v>0</v>
      </c>
      <c r="M215" s="224">
        <f t="shared" si="36"/>
        <v>0</v>
      </c>
      <c r="N215" s="224">
        <f t="shared" si="36"/>
        <v>0</v>
      </c>
      <c r="O215" s="224">
        <f t="shared" si="36"/>
        <v>0</v>
      </c>
      <c r="P215" s="224">
        <f t="shared" si="36"/>
        <v>0</v>
      </c>
      <c r="Q215" s="224">
        <f t="shared" si="36"/>
        <v>0</v>
      </c>
      <c r="R215" s="976">
        <f t="shared" si="36"/>
        <v>0</v>
      </c>
      <c r="S215" s="258"/>
      <c r="T215" s="259"/>
      <c r="U215" s="412"/>
      <c r="V215" s="412"/>
      <c r="W215" s="412"/>
      <c r="X215" s="412"/>
      <c r="Y215" s="412"/>
      <c r="Z215" s="412"/>
      <c r="AA215" s="412"/>
      <c r="AB215" s="412"/>
      <c r="AC215" s="412"/>
      <c r="AD215" s="412"/>
      <c r="AE215" s="412"/>
      <c r="AF215" s="412"/>
      <c r="AG215" s="412"/>
      <c r="AH215" s="412"/>
      <c r="AI215" s="412"/>
      <c r="AJ215" s="412"/>
      <c r="AK215" s="412"/>
      <c r="AL215" s="412"/>
      <c r="AM215" s="412"/>
      <c r="AN215" s="412"/>
      <c r="AO215" s="412"/>
      <c r="AP215" s="412"/>
      <c r="AQ215" s="449"/>
    </row>
    <row r="216" spans="2:43" ht="15" x14ac:dyDescent="0.2">
      <c r="B216" s="412"/>
      <c r="C216" s="1185"/>
      <c r="D216" s="1004" t="str">
        <f t="shared" ref="D216:R216" si="37">D129</f>
        <v>Insolvencias</v>
      </c>
      <c r="E216" s="224">
        <f t="shared" si="37"/>
        <v>0</v>
      </c>
      <c r="F216" s="223">
        <f>IF(E$189=0,0,(E216/E$189))</f>
        <v>0</v>
      </c>
      <c r="G216" s="224">
        <f t="shared" si="37"/>
        <v>0</v>
      </c>
      <c r="H216" s="224">
        <f t="shared" si="37"/>
        <v>0</v>
      </c>
      <c r="I216" s="224">
        <f t="shared" si="37"/>
        <v>0</v>
      </c>
      <c r="J216" s="224">
        <f t="shared" si="37"/>
        <v>0</v>
      </c>
      <c r="K216" s="224">
        <f t="shared" si="37"/>
        <v>0</v>
      </c>
      <c r="L216" s="224">
        <f t="shared" si="37"/>
        <v>0</v>
      </c>
      <c r="M216" s="224">
        <f t="shared" si="37"/>
        <v>0</v>
      </c>
      <c r="N216" s="224">
        <f t="shared" si="37"/>
        <v>0</v>
      </c>
      <c r="O216" s="224">
        <f t="shared" si="37"/>
        <v>0</v>
      </c>
      <c r="P216" s="224">
        <f t="shared" si="37"/>
        <v>0</v>
      </c>
      <c r="Q216" s="224">
        <f t="shared" si="37"/>
        <v>0</v>
      </c>
      <c r="R216" s="976">
        <f t="shared" si="37"/>
        <v>0</v>
      </c>
      <c r="S216" s="258"/>
      <c r="T216" s="259"/>
      <c r="U216" s="412"/>
      <c r="V216" s="412"/>
      <c r="W216" s="412"/>
      <c r="X216" s="412"/>
      <c r="Y216" s="412"/>
      <c r="Z216" s="412"/>
      <c r="AA216" s="412"/>
      <c r="AB216" s="412"/>
      <c r="AC216" s="412"/>
      <c r="AD216" s="412"/>
      <c r="AE216" s="412"/>
      <c r="AF216" s="412"/>
      <c r="AG216" s="412"/>
      <c r="AH216" s="412"/>
      <c r="AI216" s="412"/>
      <c r="AJ216" s="412"/>
      <c r="AK216" s="412"/>
      <c r="AL216" s="412"/>
      <c r="AM216" s="412"/>
      <c r="AN216" s="412"/>
      <c r="AO216" s="412"/>
      <c r="AP216" s="412"/>
      <c r="AQ216" s="449"/>
    </row>
    <row r="217" spans="2:43" ht="5.0999999999999996" customHeight="1" x14ac:dyDescent="0.2">
      <c r="B217" s="412"/>
      <c r="C217" s="1185"/>
      <c r="D217" s="127"/>
      <c r="E217" s="679"/>
      <c r="F217" s="126"/>
      <c r="G217" s="678"/>
      <c r="H217" s="679"/>
      <c r="I217" s="679"/>
      <c r="J217" s="679"/>
      <c r="K217" s="679"/>
      <c r="L217" s="678"/>
      <c r="M217" s="679"/>
      <c r="N217" s="679"/>
      <c r="O217" s="679"/>
      <c r="P217" s="679"/>
      <c r="Q217" s="679"/>
      <c r="R217" s="1005"/>
      <c r="S217" s="258"/>
      <c r="T217" s="259"/>
      <c r="U217" s="412"/>
      <c r="V217" s="412"/>
      <c r="W217" s="412"/>
      <c r="X217" s="412"/>
      <c r="Y217" s="412"/>
      <c r="Z217" s="412"/>
      <c r="AA217" s="412"/>
      <c r="AB217" s="412"/>
      <c r="AC217" s="412"/>
      <c r="AD217" s="412"/>
      <c r="AE217" s="412"/>
      <c r="AF217" s="412"/>
      <c r="AG217" s="412"/>
      <c r="AH217" s="412"/>
      <c r="AI217" s="412"/>
      <c r="AJ217" s="412"/>
      <c r="AK217" s="412"/>
      <c r="AL217" s="412"/>
      <c r="AM217" s="412"/>
      <c r="AN217" s="412"/>
      <c r="AO217" s="412"/>
      <c r="AP217" s="412"/>
      <c r="AQ217" s="449"/>
    </row>
    <row r="218" spans="2:43" ht="15" x14ac:dyDescent="0.2">
      <c r="B218" s="412"/>
      <c r="C218" s="1185"/>
      <c r="D218" s="979" t="s">
        <v>343</v>
      </c>
      <c r="E218" s="236">
        <f>SUM(E212:E216)</f>
        <v>0</v>
      </c>
      <c r="F218" s="231">
        <f>IF(E$189=0,0,(E218/E$189))</f>
        <v>0</v>
      </c>
      <c r="G218" s="236">
        <f t="shared" ref="G218:R218" si="38">SUM(G212:G216)</f>
        <v>0</v>
      </c>
      <c r="H218" s="236">
        <f t="shared" si="38"/>
        <v>0</v>
      </c>
      <c r="I218" s="236">
        <f t="shared" si="38"/>
        <v>0</v>
      </c>
      <c r="J218" s="236">
        <f>SUM(J212:J216)</f>
        <v>0</v>
      </c>
      <c r="K218" s="236">
        <f>SUM(K212:K216)</f>
        <v>0</v>
      </c>
      <c r="L218" s="236">
        <f t="shared" si="38"/>
        <v>0</v>
      </c>
      <c r="M218" s="236">
        <f t="shared" si="38"/>
        <v>0</v>
      </c>
      <c r="N218" s="236">
        <f t="shared" si="38"/>
        <v>0</v>
      </c>
      <c r="O218" s="236">
        <f t="shared" si="38"/>
        <v>0</v>
      </c>
      <c r="P218" s="236">
        <f t="shared" si="38"/>
        <v>0</v>
      </c>
      <c r="Q218" s="236">
        <f t="shared" si="38"/>
        <v>0</v>
      </c>
      <c r="R218" s="989">
        <f t="shared" si="38"/>
        <v>0</v>
      </c>
      <c r="S218" s="258"/>
      <c r="T218" s="259"/>
      <c r="U218" s="412"/>
      <c r="V218" s="412"/>
      <c r="W218" s="412"/>
      <c r="X218" s="412"/>
      <c r="Y218" s="412"/>
      <c r="Z218" s="412"/>
      <c r="AA218" s="412"/>
      <c r="AB218" s="412"/>
      <c r="AC218" s="412"/>
      <c r="AD218" s="412"/>
      <c r="AE218" s="412"/>
      <c r="AF218" s="412"/>
      <c r="AG218" s="412"/>
      <c r="AH218" s="412"/>
      <c r="AI218" s="412"/>
      <c r="AJ218" s="412"/>
      <c r="AK218" s="412"/>
      <c r="AL218" s="412"/>
      <c r="AM218" s="412"/>
      <c r="AN218" s="412"/>
      <c r="AO218" s="412"/>
      <c r="AP218" s="412"/>
      <c r="AQ218" s="449"/>
    </row>
    <row r="219" spans="2:43" ht="9.9499999999999993" customHeight="1" x14ac:dyDescent="0.2">
      <c r="B219" s="412"/>
      <c r="C219" s="1185"/>
      <c r="D219" s="127"/>
      <c r="E219" s="679"/>
      <c r="F219" s="126"/>
      <c r="G219" s="678"/>
      <c r="H219" s="679"/>
      <c r="I219" s="679"/>
      <c r="J219" s="679"/>
      <c r="K219" s="679"/>
      <c r="L219" s="678"/>
      <c r="M219" s="679"/>
      <c r="N219" s="679"/>
      <c r="O219" s="679"/>
      <c r="P219" s="679"/>
      <c r="Q219" s="679"/>
      <c r="R219" s="1005"/>
      <c r="S219" s="258"/>
      <c r="T219" s="259"/>
      <c r="U219" s="412"/>
      <c r="V219" s="412"/>
      <c r="W219" s="412"/>
      <c r="X219" s="412"/>
      <c r="Y219" s="412"/>
      <c r="Z219" s="412"/>
      <c r="AA219" s="412"/>
      <c r="AB219" s="412"/>
      <c r="AC219" s="412"/>
      <c r="AD219" s="412"/>
      <c r="AE219" s="412"/>
      <c r="AF219" s="412"/>
      <c r="AG219" s="412"/>
      <c r="AH219" s="412"/>
      <c r="AI219" s="412"/>
      <c r="AJ219" s="412"/>
      <c r="AK219" s="412"/>
      <c r="AL219" s="412"/>
      <c r="AM219" s="412"/>
      <c r="AN219" s="412"/>
      <c r="AO219" s="412"/>
      <c r="AP219" s="412"/>
      <c r="AQ219" s="449"/>
    </row>
    <row r="220" spans="2:43" ht="15" x14ac:dyDescent="0.2">
      <c r="B220" s="412"/>
      <c r="C220" s="1185"/>
      <c r="D220" s="1003" t="s">
        <v>71</v>
      </c>
      <c r="E220" s="236">
        <f>E199-(E208+E218)</f>
        <v>0</v>
      </c>
      <c r="F220" s="231">
        <f>IF(E$189=0,0,(E220/E$189))</f>
        <v>0</v>
      </c>
      <c r="G220" s="236">
        <f t="shared" ref="G220:R220" si="39">G199-(G208+G218)</f>
        <v>0</v>
      </c>
      <c r="H220" s="236">
        <f t="shared" si="39"/>
        <v>0</v>
      </c>
      <c r="I220" s="236">
        <f t="shared" si="39"/>
        <v>0</v>
      </c>
      <c r="J220" s="236">
        <f t="shared" si="39"/>
        <v>0</v>
      </c>
      <c r="K220" s="236">
        <f t="shared" si="39"/>
        <v>0</v>
      </c>
      <c r="L220" s="236">
        <f t="shared" si="39"/>
        <v>0</v>
      </c>
      <c r="M220" s="236">
        <f t="shared" si="39"/>
        <v>0</v>
      </c>
      <c r="N220" s="236">
        <f t="shared" si="39"/>
        <v>0</v>
      </c>
      <c r="O220" s="236">
        <f t="shared" si="39"/>
        <v>0</v>
      </c>
      <c r="P220" s="236">
        <f t="shared" si="39"/>
        <v>0</v>
      </c>
      <c r="Q220" s="236">
        <f t="shared" si="39"/>
        <v>0</v>
      </c>
      <c r="R220" s="989">
        <f t="shared" si="39"/>
        <v>0</v>
      </c>
      <c r="S220" s="258"/>
      <c r="T220" s="259"/>
      <c r="U220" s="412"/>
      <c r="V220" s="412"/>
      <c r="W220" s="412"/>
      <c r="X220" s="412"/>
      <c r="Y220" s="412"/>
      <c r="Z220" s="412"/>
      <c r="AA220" s="412"/>
      <c r="AB220" s="412"/>
      <c r="AC220" s="412"/>
      <c r="AD220" s="412"/>
      <c r="AE220" s="412"/>
      <c r="AF220" s="412"/>
      <c r="AG220" s="412"/>
      <c r="AH220" s="412"/>
      <c r="AI220" s="412"/>
      <c r="AJ220" s="412"/>
      <c r="AK220" s="412"/>
      <c r="AL220" s="412"/>
      <c r="AM220" s="412"/>
      <c r="AN220" s="412"/>
      <c r="AO220" s="412"/>
      <c r="AP220" s="412"/>
      <c r="AQ220" s="449"/>
    </row>
    <row r="221" spans="2:43" ht="9.9499999999999993" customHeight="1" x14ac:dyDescent="0.2">
      <c r="B221" s="412"/>
      <c r="C221" s="1185"/>
      <c r="D221" s="127"/>
      <c r="E221" s="679"/>
      <c r="F221" s="126"/>
      <c r="G221" s="678"/>
      <c r="H221" s="679"/>
      <c r="I221" s="679"/>
      <c r="J221" s="679"/>
      <c r="K221" s="679"/>
      <c r="L221" s="678"/>
      <c r="M221" s="679"/>
      <c r="N221" s="679"/>
      <c r="O221" s="679"/>
      <c r="P221" s="679"/>
      <c r="Q221" s="679"/>
      <c r="R221" s="1005"/>
      <c r="S221" s="258"/>
      <c r="T221" s="259"/>
      <c r="U221" s="412"/>
      <c r="V221" s="412"/>
      <c r="W221" s="412"/>
      <c r="X221" s="412"/>
      <c r="Y221" s="412"/>
      <c r="Z221" s="412"/>
      <c r="AA221" s="412"/>
      <c r="AB221" s="412"/>
      <c r="AC221" s="412"/>
      <c r="AD221" s="412"/>
      <c r="AE221" s="412"/>
      <c r="AF221" s="412"/>
      <c r="AG221" s="412"/>
      <c r="AH221" s="412"/>
      <c r="AI221" s="412"/>
      <c r="AJ221" s="412"/>
      <c r="AK221" s="412"/>
      <c r="AL221" s="412"/>
      <c r="AM221" s="412"/>
      <c r="AN221" s="412"/>
      <c r="AO221" s="412"/>
      <c r="AP221" s="412"/>
      <c r="AQ221" s="449"/>
    </row>
    <row r="222" spans="2:43" ht="15" x14ac:dyDescent="0.2">
      <c r="B222" s="412"/>
      <c r="C222" s="1185"/>
      <c r="D222" s="1004" t="str">
        <f>D133</f>
        <v>Amortizaciones</v>
      </c>
      <c r="E222" s="224">
        <f>E133</f>
        <v>0</v>
      </c>
      <c r="F222" s="223">
        <f>IF(E$189=0,0,(E222/E$189))</f>
        <v>0</v>
      </c>
      <c r="G222" s="224">
        <f t="shared" ref="G222:R222" si="40">G133</f>
        <v>0</v>
      </c>
      <c r="H222" s="224">
        <f t="shared" si="40"/>
        <v>0</v>
      </c>
      <c r="I222" s="224">
        <f t="shared" si="40"/>
        <v>0</v>
      </c>
      <c r="J222" s="224">
        <f t="shared" si="40"/>
        <v>0</v>
      </c>
      <c r="K222" s="224">
        <f t="shared" si="40"/>
        <v>0</v>
      </c>
      <c r="L222" s="224">
        <f t="shared" si="40"/>
        <v>0</v>
      </c>
      <c r="M222" s="224">
        <f t="shared" si="40"/>
        <v>0</v>
      </c>
      <c r="N222" s="224">
        <f t="shared" si="40"/>
        <v>0</v>
      </c>
      <c r="O222" s="224">
        <f t="shared" si="40"/>
        <v>0</v>
      </c>
      <c r="P222" s="224">
        <f t="shared" si="40"/>
        <v>0</v>
      </c>
      <c r="Q222" s="224">
        <f t="shared" si="40"/>
        <v>0</v>
      </c>
      <c r="R222" s="976">
        <f t="shared" si="40"/>
        <v>0</v>
      </c>
      <c r="S222" s="258"/>
      <c r="T222" s="259"/>
      <c r="U222" s="412"/>
      <c r="V222" s="412"/>
      <c r="W222" s="412"/>
      <c r="X222" s="412"/>
      <c r="Y222" s="412"/>
      <c r="Z222" s="412"/>
      <c r="AA222" s="412"/>
      <c r="AB222" s="412"/>
      <c r="AC222" s="412"/>
      <c r="AD222" s="412"/>
      <c r="AE222" s="412"/>
      <c r="AF222" s="412"/>
      <c r="AG222" s="412"/>
      <c r="AH222" s="412"/>
      <c r="AI222" s="412"/>
      <c r="AJ222" s="412"/>
      <c r="AK222" s="412"/>
      <c r="AL222" s="412"/>
      <c r="AM222" s="412"/>
      <c r="AN222" s="412"/>
      <c r="AO222" s="412"/>
      <c r="AP222" s="412"/>
      <c r="AQ222" s="449"/>
    </row>
    <row r="223" spans="2:43" ht="15" x14ac:dyDescent="0.2">
      <c r="B223" s="412"/>
      <c r="C223" s="1185"/>
      <c r="D223" s="973" t="s">
        <v>153</v>
      </c>
      <c r="E223" s="224">
        <f>E138</f>
        <v>0</v>
      </c>
      <c r="F223" s="223">
        <f>IF(E$189=0,0,(E223/E$189))</f>
        <v>0</v>
      </c>
      <c r="G223" s="224">
        <f t="shared" ref="G223:R223" si="41">G138</f>
        <v>0</v>
      </c>
      <c r="H223" s="224">
        <f t="shared" si="41"/>
        <v>0</v>
      </c>
      <c r="I223" s="224">
        <f t="shared" si="41"/>
        <v>0</v>
      </c>
      <c r="J223" s="224">
        <f t="shared" si="41"/>
        <v>0</v>
      </c>
      <c r="K223" s="224">
        <f t="shared" si="41"/>
        <v>0</v>
      </c>
      <c r="L223" s="224">
        <f t="shared" si="41"/>
        <v>0</v>
      </c>
      <c r="M223" s="224">
        <f t="shared" si="41"/>
        <v>0</v>
      </c>
      <c r="N223" s="224">
        <f t="shared" si="41"/>
        <v>0</v>
      </c>
      <c r="O223" s="224">
        <f t="shared" si="41"/>
        <v>0</v>
      </c>
      <c r="P223" s="224">
        <f t="shared" si="41"/>
        <v>0</v>
      </c>
      <c r="Q223" s="224">
        <f t="shared" si="41"/>
        <v>0</v>
      </c>
      <c r="R223" s="976">
        <f t="shared" si="41"/>
        <v>0</v>
      </c>
      <c r="S223" s="258"/>
      <c r="T223" s="259"/>
      <c r="U223" s="412"/>
      <c r="V223" s="412"/>
      <c r="W223" s="412"/>
      <c r="X223" s="412"/>
      <c r="Y223" s="412"/>
      <c r="Z223" s="412"/>
      <c r="AA223" s="412"/>
      <c r="AB223" s="412"/>
      <c r="AC223" s="412"/>
      <c r="AD223" s="412"/>
      <c r="AE223" s="412"/>
      <c r="AF223" s="412"/>
      <c r="AG223" s="412"/>
      <c r="AH223" s="412"/>
      <c r="AI223" s="412"/>
      <c r="AJ223" s="412"/>
      <c r="AK223" s="412"/>
      <c r="AL223" s="412"/>
      <c r="AM223" s="412"/>
      <c r="AN223" s="412"/>
      <c r="AO223" s="412"/>
      <c r="AP223" s="412"/>
      <c r="AQ223" s="449"/>
    </row>
    <row r="224" spans="2:43" ht="9.9499999999999993" customHeight="1" x14ac:dyDescent="0.2">
      <c r="B224" s="412"/>
      <c r="C224" s="1185"/>
      <c r="D224" s="127"/>
      <c r="E224" s="679"/>
      <c r="F224" s="126"/>
      <c r="G224" s="678"/>
      <c r="H224" s="679"/>
      <c r="I224" s="679"/>
      <c r="J224" s="679"/>
      <c r="K224" s="679"/>
      <c r="L224" s="678"/>
      <c r="M224" s="679"/>
      <c r="N224" s="679"/>
      <c r="O224" s="679"/>
      <c r="P224" s="679"/>
      <c r="Q224" s="679"/>
      <c r="R224" s="1005"/>
      <c r="S224" s="258"/>
      <c r="T224" s="259"/>
      <c r="U224" s="412"/>
      <c r="V224" s="412"/>
      <c r="W224" s="412"/>
      <c r="X224" s="412"/>
      <c r="Y224" s="412"/>
      <c r="Z224" s="412"/>
      <c r="AA224" s="412"/>
      <c r="AB224" s="412"/>
      <c r="AC224" s="412"/>
      <c r="AD224" s="412"/>
      <c r="AE224" s="412"/>
      <c r="AF224" s="412"/>
      <c r="AG224" s="412"/>
      <c r="AH224" s="412"/>
      <c r="AI224" s="412"/>
      <c r="AJ224" s="412"/>
      <c r="AK224" s="412"/>
      <c r="AL224" s="412"/>
      <c r="AM224" s="412"/>
      <c r="AN224" s="412"/>
      <c r="AO224" s="412"/>
      <c r="AP224" s="412"/>
      <c r="AQ224" s="449"/>
    </row>
    <row r="225" spans="2:43" ht="15" x14ac:dyDescent="0.2">
      <c r="B225" s="412"/>
      <c r="C225" s="1185"/>
      <c r="D225" s="1003" t="str">
        <f>IF(E225&gt;=0,"BENEFICIO BRUTO","PÉRDIDA")</f>
        <v>BENEFICIO BRUTO</v>
      </c>
      <c r="E225" s="236">
        <f t="shared" ref="E225:R225" si="42">E144</f>
        <v>0</v>
      </c>
      <c r="F225" s="231">
        <f t="shared" si="42"/>
        <v>0</v>
      </c>
      <c r="G225" s="236">
        <f t="shared" si="42"/>
        <v>0</v>
      </c>
      <c r="H225" s="236">
        <f t="shared" si="42"/>
        <v>0</v>
      </c>
      <c r="I225" s="236">
        <f t="shared" si="42"/>
        <v>0</v>
      </c>
      <c r="J225" s="236">
        <f t="shared" si="42"/>
        <v>0</v>
      </c>
      <c r="K225" s="236">
        <f t="shared" si="42"/>
        <v>0</v>
      </c>
      <c r="L225" s="236">
        <f t="shared" si="42"/>
        <v>0</v>
      </c>
      <c r="M225" s="236">
        <f t="shared" si="42"/>
        <v>0</v>
      </c>
      <c r="N225" s="236">
        <f t="shared" si="42"/>
        <v>0</v>
      </c>
      <c r="O225" s="236">
        <f t="shared" si="42"/>
        <v>0</v>
      </c>
      <c r="P225" s="236">
        <f t="shared" si="42"/>
        <v>0</v>
      </c>
      <c r="Q225" s="236">
        <f t="shared" si="42"/>
        <v>0</v>
      </c>
      <c r="R225" s="989">
        <f t="shared" si="42"/>
        <v>0</v>
      </c>
      <c r="S225" s="258"/>
      <c r="T225" s="259"/>
      <c r="U225" s="412"/>
      <c r="V225" s="412"/>
      <c r="W225" s="412"/>
      <c r="X225" s="412"/>
      <c r="Y225" s="412"/>
      <c r="Z225" s="412"/>
      <c r="AA225" s="412"/>
      <c r="AB225" s="412"/>
      <c r="AC225" s="412"/>
      <c r="AD225" s="412"/>
      <c r="AE225" s="412"/>
      <c r="AF225" s="412"/>
      <c r="AG225" s="412"/>
      <c r="AH225" s="412"/>
      <c r="AI225" s="412"/>
      <c r="AJ225" s="412"/>
      <c r="AK225" s="412"/>
      <c r="AL225" s="412"/>
      <c r="AM225" s="412"/>
      <c r="AN225" s="412"/>
      <c r="AO225" s="412"/>
      <c r="AP225" s="412"/>
      <c r="AQ225" s="449"/>
    </row>
    <row r="226" spans="2:43" ht="5.0999999999999996" customHeight="1" x14ac:dyDescent="0.2">
      <c r="B226" s="412"/>
      <c r="C226" s="1185"/>
      <c r="D226" s="127"/>
      <c r="E226" s="679"/>
      <c r="F226" s="126"/>
      <c r="G226" s="678"/>
      <c r="H226" s="679"/>
      <c r="I226" s="679"/>
      <c r="J226" s="679"/>
      <c r="K226" s="679"/>
      <c r="L226" s="678"/>
      <c r="M226" s="679"/>
      <c r="N226" s="679"/>
      <c r="O226" s="679"/>
      <c r="P226" s="679"/>
      <c r="Q226" s="679"/>
      <c r="R226" s="1005"/>
      <c r="S226" s="258"/>
      <c r="T226" s="259"/>
      <c r="U226" s="412"/>
      <c r="V226" s="412"/>
      <c r="W226" s="412"/>
      <c r="X226" s="412"/>
      <c r="Y226" s="412"/>
      <c r="Z226" s="412"/>
      <c r="AA226" s="412"/>
      <c r="AB226" s="412"/>
      <c r="AC226" s="412"/>
      <c r="AD226" s="412"/>
      <c r="AE226" s="412"/>
      <c r="AF226" s="412"/>
      <c r="AG226" s="412"/>
      <c r="AH226" s="412"/>
      <c r="AI226" s="412"/>
      <c r="AJ226" s="412"/>
      <c r="AK226" s="412"/>
      <c r="AL226" s="412"/>
      <c r="AM226" s="412"/>
      <c r="AN226" s="412"/>
      <c r="AO226" s="412"/>
      <c r="AP226" s="412"/>
      <c r="AQ226" s="449"/>
    </row>
    <row r="227" spans="2:43" ht="15" x14ac:dyDescent="0.2">
      <c r="B227" s="412"/>
      <c r="C227" s="1185"/>
      <c r="D227" s="1004" t="s">
        <v>345</v>
      </c>
      <c r="E227" s="224">
        <f t="shared" ref="E227:R227" si="43">E145</f>
        <v>0</v>
      </c>
      <c r="F227" s="223">
        <f t="shared" si="43"/>
        <v>0</v>
      </c>
      <c r="G227" s="224">
        <f t="shared" si="43"/>
        <v>0</v>
      </c>
      <c r="H227" s="224">
        <f t="shared" si="43"/>
        <v>0</v>
      </c>
      <c r="I227" s="224">
        <f t="shared" si="43"/>
        <v>0</v>
      </c>
      <c r="J227" s="224">
        <f t="shared" si="43"/>
        <v>0</v>
      </c>
      <c r="K227" s="224">
        <f t="shared" si="43"/>
        <v>0</v>
      </c>
      <c r="L227" s="224">
        <f t="shared" si="43"/>
        <v>0</v>
      </c>
      <c r="M227" s="224">
        <f t="shared" si="43"/>
        <v>0</v>
      </c>
      <c r="N227" s="224">
        <f t="shared" si="43"/>
        <v>0</v>
      </c>
      <c r="O227" s="224">
        <f t="shared" si="43"/>
        <v>0</v>
      </c>
      <c r="P227" s="224">
        <f t="shared" si="43"/>
        <v>0</v>
      </c>
      <c r="Q227" s="224">
        <f t="shared" si="43"/>
        <v>0</v>
      </c>
      <c r="R227" s="976">
        <f t="shared" si="43"/>
        <v>0</v>
      </c>
      <c r="S227" s="258"/>
      <c r="T227" s="259"/>
      <c r="U227" s="412"/>
      <c r="V227" s="412"/>
      <c r="W227" s="412"/>
      <c r="X227" s="412"/>
      <c r="Y227" s="412"/>
      <c r="Z227" s="412"/>
      <c r="AA227" s="412"/>
      <c r="AB227" s="412"/>
      <c r="AC227" s="412"/>
      <c r="AD227" s="412"/>
      <c r="AE227" s="412"/>
      <c r="AF227" s="412"/>
      <c r="AG227" s="412"/>
      <c r="AH227" s="412"/>
      <c r="AI227" s="412"/>
      <c r="AJ227" s="412"/>
      <c r="AK227" s="412"/>
      <c r="AL227" s="412"/>
      <c r="AM227" s="412"/>
      <c r="AN227" s="412"/>
      <c r="AO227" s="412"/>
      <c r="AP227" s="412"/>
      <c r="AQ227" s="449"/>
    </row>
    <row r="228" spans="2:43" ht="5.0999999999999996" customHeight="1" x14ac:dyDescent="0.2">
      <c r="B228" s="412"/>
      <c r="C228" s="1185"/>
      <c r="D228" s="127"/>
      <c r="E228" s="679"/>
      <c r="F228" s="126"/>
      <c r="G228" s="678"/>
      <c r="H228" s="679"/>
      <c r="I228" s="679"/>
      <c r="J228" s="679"/>
      <c r="K228" s="679"/>
      <c r="L228" s="678"/>
      <c r="M228" s="679"/>
      <c r="N228" s="679"/>
      <c r="O228" s="679"/>
      <c r="P228" s="679"/>
      <c r="Q228" s="679"/>
      <c r="R228" s="1005"/>
      <c r="S228" s="258"/>
      <c r="T228" s="259"/>
      <c r="U228" s="412"/>
      <c r="V228" s="412"/>
      <c r="W228" s="412"/>
      <c r="X228" s="412"/>
      <c r="Y228" s="412"/>
      <c r="Z228" s="412"/>
      <c r="AA228" s="412"/>
      <c r="AB228" s="412"/>
      <c r="AC228" s="412"/>
      <c r="AD228" s="412"/>
      <c r="AE228" s="412"/>
      <c r="AF228" s="412"/>
      <c r="AG228" s="412"/>
      <c r="AH228" s="412"/>
      <c r="AI228" s="412"/>
      <c r="AJ228" s="412"/>
      <c r="AK228" s="412"/>
      <c r="AL228" s="412"/>
      <c r="AM228" s="412"/>
      <c r="AN228" s="412"/>
      <c r="AO228" s="412"/>
      <c r="AP228" s="412"/>
      <c r="AQ228" s="449"/>
    </row>
    <row r="229" spans="2:43" ht="15" x14ac:dyDescent="0.2">
      <c r="B229" s="412"/>
      <c r="C229" s="1185"/>
      <c r="D229" s="1003" t="str">
        <f>IF(E229&gt;=0,"BENEFICIO BRUTO","PÉRDIDA")</f>
        <v>BENEFICIO BRUTO</v>
      </c>
      <c r="E229" s="236">
        <f t="shared" ref="E229:R229" si="44">E147</f>
        <v>0</v>
      </c>
      <c r="F229" s="231">
        <f t="shared" si="44"/>
        <v>0</v>
      </c>
      <c r="G229" s="236">
        <f t="shared" si="44"/>
        <v>0</v>
      </c>
      <c r="H229" s="236">
        <f t="shared" si="44"/>
        <v>0</v>
      </c>
      <c r="I229" s="236">
        <f t="shared" si="44"/>
        <v>0</v>
      </c>
      <c r="J229" s="236">
        <f t="shared" si="44"/>
        <v>0</v>
      </c>
      <c r="K229" s="236">
        <f t="shared" si="44"/>
        <v>0</v>
      </c>
      <c r="L229" s="236">
        <f t="shared" si="44"/>
        <v>0</v>
      </c>
      <c r="M229" s="236">
        <f t="shared" si="44"/>
        <v>0</v>
      </c>
      <c r="N229" s="236">
        <f t="shared" si="44"/>
        <v>0</v>
      </c>
      <c r="O229" s="236">
        <f t="shared" si="44"/>
        <v>0</v>
      </c>
      <c r="P229" s="236">
        <f t="shared" si="44"/>
        <v>0</v>
      </c>
      <c r="Q229" s="236">
        <f t="shared" si="44"/>
        <v>0</v>
      </c>
      <c r="R229" s="989">
        <f t="shared" si="44"/>
        <v>0</v>
      </c>
      <c r="S229" s="258"/>
      <c r="T229" s="259"/>
      <c r="U229" s="412"/>
      <c r="V229" s="412"/>
      <c r="W229" s="412"/>
      <c r="X229" s="412"/>
      <c r="Y229" s="412"/>
      <c r="Z229" s="412"/>
      <c r="AA229" s="412"/>
      <c r="AB229" s="412"/>
      <c r="AC229" s="412"/>
      <c r="AD229" s="412"/>
      <c r="AE229" s="412"/>
      <c r="AF229" s="412"/>
      <c r="AG229" s="412"/>
      <c r="AH229" s="412"/>
      <c r="AI229" s="412"/>
      <c r="AJ229" s="412"/>
      <c r="AK229" s="412"/>
      <c r="AL229" s="412"/>
      <c r="AM229" s="412"/>
      <c r="AN229" s="412"/>
      <c r="AO229" s="412"/>
      <c r="AP229" s="412"/>
      <c r="AQ229" s="449"/>
    </row>
    <row r="230" spans="2:43" ht="14.25" x14ac:dyDescent="0.2">
      <c r="B230" s="412"/>
      <c r="C230" s="1185"/>
      <c r="D230" s="127"/>
      <c r="E230" s="126"/>
      <c r="F230" s="126"/>
      <c r="G230" s="263"/>
      <c r="H230" s="126"/>
      <c r="I230" s="126"/>
      <c r="J230" s="126"/>
      <c r="K230" s="126"/>
      <c r="L230" s="263"/>
      <c r="M230" s="126"/>
      <c r="N230" s="126"/>
      <c r="O230" s="126"/>
      <c r="P230" s="126"/>
      <c r="Q230" s="126"/>
      <c r="R230" s="129"/>
      <c r="S230" s="258"/>
      <c r="T230" s="259"/>
      <c r="U230" s="820"/>
      <c r="V230" s="412"/>
      <c r="W230" s="412"/>
      <c r="X230" s="412"/>
      <c r="Y230" s="412"/>
      <c r="Z230" s="412"/>
      <c r="AA230" s="412"/>
      <c r="AB230" s="412"/>
      <c r="AC230" s="412"/>
      <c r="AD230" s="412"/>
      <c r="AE230" s="412"/>
      <c r="AF230" s="412"/>
      <c r="AG230" s="412"/>
      <c r="AH230" s="412"/>
      <c r="AI230" s="412"/>
      <c r="AJ230" s="412"/>
      <c r="AK230" s="412"/>
      <c r="AL230" s="412"/>
      <c r="AM230" s="412"/>
      <c r="AN230" s="412"/>
      <c r="AO230" s="412"/>
      <c r="AP230" s="412"/>
      <c r="AQ230" s="449"/>
    </row>
    <row r="231" spans="2:43" ht="14.25" x14ac:dyDescent="0.2">
      <c r="B231" s="412"/>
      <c r="C231" s="1185"/>
      <c r="D231" s="127"/>
      <c r="E231" s="126"/>
      <c r="F231" s="126"/>
      <c r="G231" s="263"/>
      <c r="H231" s="126"/>
      <c r="I231" s="126"/>
      <c r="J231" s="126"/>
      <c r="K231" s="126"/>
      <c r="L231" s="263"/>
      <c r="M231" s="126"/>
      <c r="N231" s="126"/>
      <c r="O231" s="126"/>
      <c r="P231" s="126"/>
      <c r="Q231" s="126"/>
      <c r="R231" s="129"/>
      <c r="S231" s="258"/>
      <c r="T231" s="259"/>
      <c r="U231" s="412"/>
      <c r="V231" s="412"/>
      <c r="W231" s="412"/>
      <c r="X231" s="412"/>
      <c r="Y231" s="412"/>
      <c r="Z231" s="412"/>
      <c r="AA231" s="412"/>
      <c r="AB231" s="412"/>
      <c r="AC231" s="412"/>
      <c r="AD231" s="412"/>
      <c r="AE231" s="412"/>
      <c r="AF231" s="412"/>
      <c r="AG231" s="412"/>
      <c r="AH231" s="412"/>
      <c r="AI231" s="412"/>
      <c r="AJ231" s="412"/>
      <c r="AK231" s="412"/>
      <c r="AL231" s="412"/>
      <c r="AM231" s="412"/>
      <c r="AN231" s="412"/>
      <c r="AO231" s="412"/>
      <c r="AP231" s="412"/>
      <c r="AQ231" s="449"/>
    </row>
    <row r="232" spans="2:43" ht="19.5" x14ac:dyDescent="0.25">
      <c r="B232" s="412"/>
      <c r="C232" s="1186"/>
      <c r="D232" s="1501" t="str">
        <f>D!$H$6</f>
        <v>MiEmpresa</v>
      </c>
      <c r="E232" s="1502"/>
      <c r="F232" s="1502"/>
      <c r="G232" s="1503" t="s">
        <v>346</v>
      </c>
      <c r="H232" s="1503"/>
      <c r="I232" s="1503"/>
      <c r="J232" s="1503"/>
      <c r="K232" s="1503"/>
      <c r="L232" s="1503"/>
      <c r="M232" s="187"/>
      <c r="N232" s="187"/>
      <c r="O232" s="187"/>
      <c r="P232" s="188" t="s">
        <v>589</v>
      </c>
      <c r="Q232" s="238">
        <f>D!$N$6</f>
        <v>2013</v>
      </c>
      <c r="R232" s="967"/>
      <c r="S232" s="1198"/>
      <c r="T232" s="259"/>
      <c r="U232" s="412"/>
      <c r="V232" s="412"/>
      <c r="W232" s="412"/>
      <c r="X232" s="412"/>
      <c r="Y232" s="412"/>
      <c r="Z232" s="412"/>
      <c r="AA232" s="412"/>
      <c r="AB232" s="412"/>
      <c r="AC232" s="412"/>
      <c r="AD232" s="412"/>
      <c r="AE232" s="412"/>
      <c r="AF232" s="412"/>
      <c r="AG232" s="412"/>
      <c r="AH232" s="412"/>
      <c r="AI232" s="412"/>
      <c r="AJ232" s="412"/>
      <c r="AK232" s="412"/>
      <c r="AL232" s="412"/>
      <c r="AM232" s="412"/>
      <c r="AN232" s="412"/>
      <c r="AO232" s="412"/>
      <c r="AP232" s="412"/>
      <c r="AQ232" s="449"/>
    </row>
    <row r="233" spans="2:43" ht="5.0999999999999996" customHeight="1" x14ac:dyDescent="0.2">
      <c r="B233" s="412"/>
      <c r="C233" s="1187"/>
      <c r="D233" s="183"/>
      <c r="E233" s="184"/>
      <c r="F233" s="184"/>
      <c r="G233" s="214"/>
      <c r="H233" s="184"/>
      <c r="I233" s="184"/>
      <c r="J233" s="184"/>
      <c r="K233" s="184"/>
      <c r="L233" s="214"/>
      <c r="M233" s="184"/>
      <c r="N233" s="184"/>
      <c r="O233" s="184"/>
      <c r="P233" s="184"/>
      <c r="Q233" s="184"/>
      <c r="R233" s="1006"/>
      <c r="S233" s="1199"/>
      <c r="T233" s="259"/>
      <c r="U233" s="412"/>
      <c r="V233" s="412"/>
      <c r="W233" s="412"/>
      <c r="X233" s="412"/>
      <c r="Y233" s="412"/>
      <c r="Z233" s="412"/>
      <c r="AA233" s="412"/>
      <c r="AB233" s="412"/>
      <c r="AC233" s="412"/>
      <c r="AD233" s="412"/>
      <c r="AE233" s="412"/>
      <c r="AF233" s="412"/>
      <c r="AG233" s="412"/>
      <c r="AH233" s="412"/>
      <c r="AI233" s="412"/>
      <c r="AJ233" s="412"/>
      <c r="AK233" s="412"/>
      <c r="AL233" s="412"/>
      <c r="AM233" s="412"/>
      <c r="AN233" s="412"/>
      <c r="AO233" s="412"/>
      <c r="AP233" s="412"/>
      <c r="AQ233" s="449"/>
    </row>
    <row r="234" spans="2:43" ht="15" x14ac:dyDescent="0.2">
      <c r="B234" s="412"/>
      <c r="C234" s="1188"/>
      <c r="D234" s="969" t="s">
        <v>1098</v>
      </c>
      <c r="E234" s="228" t="s">
        <v>786</v>
      </c>
      <c r="F234" s="228" t="s">
        <v>820</v>
      </c>
      <c r="G234" s="228" t="str">
        <f>SB!B6</f>
        <v>Enero</v>
      </c>
      <c r="H234" s="228" t="str">
        <f>SB!C6</f>
        <v>Febrero</v>
      </c>
      <c r="I234" s="228" t="str">
        <f>SB!D6</f>
        <v>Marzo</v>
      </c>
      <c r="J234" s="228" t="str">
        <f>SB!E6</f>
        <v>Abril</v>
      </c>
      <c r="K234" s="228" t="str">
        <f>SB!F6</f>
        <v xml:space="preserve">Mayo </v>
      </c>
      <c r="L234" s="228" t="str">
        <f>SB!G6</f>
        <v>Junio</v>
      </c>
      <c r="M234" s="228" t="str">
        <f>SB!H6</f>
        <v>Julio</v>
      </c>
      <c r="N234" s="228" t="str">
        <f>SB!I6</f>
        <v>Agosto</v>
      </c>
      <c r="O234" s="228" t="str">
        <f>SB!J6</f>
        <v>Septiembre</v>
      </c>
      <c r="P234" s="228" t="str">
        <f>SB!K6</f>
        <v>Octubre</v>
      </c>
      <c r="Q234" s="228" t="str">
        <f>SB!L6</f>
        <v>Noviembre</v>
      </c>
      <c r="R234" s="970" t="str">
        <f>SB!M6</f>
        <v>Diciembre</v>
      </c>
      <c r="S234" s="1199"/>
      <c r="T234" s="259"/>
      <c r="U234" s="412"/>
      <c r="V234" s="412"/>
      <c r="W234" s="412"/>
      <c r="X234" s="412"/>
      <c r="Y234" s="412"/>
      <c r="Z234" s="412"/>
      <c r="AA234" s="412"/>
      <c r="AB234" s="412"/>
      <c r="AC234" s="412"/>
      <c r="AD234" s="412"/>
      <c r="AE234" s="412"/>
      <c r="AF234" s="412"/>
      <c r="AG234" s="412"/>
      <c r="AH234" s="412"/>
      <c r="AI234" s="412"/>
      <c r="AJ234" s="412"/>
      <c r="AK234" s="412"/>
      <c r="AL234" s="412"/>
      <c r="AM234" s="412"/>
      <c r="AN234" s="412"/>
      <c r="AO234" s="412"/>
      <c r="AP234" s="412"/>
      <c r="AQ234" s="449"/>
    </row>
    <row r="235" spans="2:43" ht="5.0999999999999996" customHeight="1" x14ac:dyDescent="0.2">
      <c r="B235" s="412"/>
      <c r="C235" s="1188"/>
      <c r="D235" s="185"/>
      <c r="E235" s="189"/>
      <c r="F235" s="189"/>
      <c r="G235" s="189"/>
      <c r="H235" s="189"/>
      <c r="I235" s="189"/>
      <c r="J235" s="189"/>
      <c r="K235" s="189"/>
      <c r="L235" s="189"/>
      <c r="M235" s="189"/>
      <c r="N235" s="189"/>
      <c r="O235" s="189"/>
      <c r="P235" s="189"/>
      <c r="Q235" s="189"/>
      <c r="R235" s="968"/>
      <c r="S235" s="1199"/>
      <c r="T235" s="259"/>
      <c r="U235" s="412"/>
      <c r="V235" s="412"/>
      <c r="W235" s="412"/>
      <c r="X235" s="412"/>
      <c r="Y235" s="412"/>
      <c r="Z235" s="412"/>
      <c r="AA235" s="412"/>
      <c r="AB235" s="412"/>
      <c r="AC235" s="412"/>
      <c r="AD235" s="412"/>
      <c r="AE235" s="412"/>
      <c r="AF235" s="412"/>
      <c r="AG235" s="412"/>
      <c r="AH235" s="412"/>
      <c r="AI235" s="412"/>
      <c r="AJ235" s="412"/>
      <c r="AK235" s="412"/>
      <c r="AL235" s="412"/>
      <c r="AM235" s="412"/>
      <c r="AN235" s="412"/>
      <c r="AO235" s="412"/>
      <c r="AP235" s="412"/>
      <c r="AQ235" s="449"/>
    </row>
    <row r="236" spans="2:43" ht="15" x14ac:dyDescent="0.2">
      <c r="B236" s="412"/>
      <c r="C236" s="1188"/>
      <c r="D236" s="1505" t="s">
        <v>1099</v>
      </c>
      <c r="E236" s="1506"/>
      <c r="F236" s="1506"/>
      <c r="G236" s="236"/>
      <c r="H236" s="236">
        <f t="shared" ref="H236:R236" si="45">+G287</f>
        <v>0</v>
      </c>
      <c r="I236" s="236">
        <f t="shared" si="45"/>
        <v>0</v>
      </c>
      <c r="J236" s="236">
        <f t="shared" si="45"/>
        <v>0</v>
      </c>
      <c r="K236" s="236">
        <f t="shared" si="45"/>
        <v>0</v>
      </c>
      <c r="L236" s="236">
        <f t="shared" si="45"/>
        <v>0</v>
      </c>
      <c r="M236" s="236">
        <f t="shared" si="45"/>
        <v>0</v>
      </c>
      <c r="N236" s="236">
        <f t="shared" si="45"/>
        <v>0</v>
      </c>
      <c r="O236" s="236">
        <f t="shared" si="45"/>
        <v>0</v>
      </c>
      <c r="P236" s="236">
        <f t="shared" si="45"/>
        <v>0</v>
      </c>
      <c r="Q236" s="236">
        <f t="shared" si="45"/>
        <v>0</v>
      </c>
      <c r="R236" s="989">
        <f t="shared" si="45"/>
        <v>0</v>
      </c>
      <c r="S236" s="1200"/>
      <c r="T236" s="259"/>
      <c r="U236" s="412"/>
      <c r="V236" s="412"/>
      <c r="W236" s="412"/>
      <c r="X236" s="412"/>
      <c r="Y236" s="412"/>
      <c r="Z236" s="412"/>
      <c r="AA236" s="412"/>
      <c r="AB236" s="412"/>
      <c r="AC236" s="412"/>
      <c r="AD236" s="412"/>
      <c r="AE236" s="412"/>
      <c r="AF236" s="412"/>
      <c r="AG236" s="412"/>
      <c r="AH236" s="412"/>
      <c r="AI236" s="412"/>
      <c r="AJ236" s="412"/>
      <c r="AK236" s="412"/>
      <c r="AL236" s="412"/>
      <c r="AM236" s="412"/>
      <c r="AN236" s="412"/>
      <c r="AO236" s="412"/>
      <c r="AP236" s="412"/>
      <c r="AQ236" s="449"/>
    </row>
    <row r="237" spans="2:43" ht="15" customHeight="1" x14ac:dyDescent="0.2">
      <c r="B237" s="412"/>
      <c r="C237" s="1189"/>
      <c r="D237" s="1007"/>
      <c r="E237" s="239"/>
      <c r="F237" s="239"/>
      <c r="G237" s="240"/>
      <c r="H237" s="240"/>
      <c r="I237" s="240"/>
      <c r="J237" s="240"/>
      <c r="K237" s="240"/>
      <c r="L237" s="240"/>
      <c r="M237" s="240"/>
      <c r="N237" s="240"/>
      <c r="O237" s="240"/>
      <c r="P237" s="240"/>
      <c r="Q237" s="240"/>
      <c r="R237" s="1008"/>
      <c r="S237" s="1199"/>
      <c r="T237" s="259"/>
      <c r="U237" s="412"/>
      <c r="V237" s="412"/>
      <c r="W237" s="412"/>
      <c r="X237" s="412"/>
      <c r="Y237" s="412"/>
      <c r="Z237" s="412"/>
      <c r="AA237" s="412"/>
      <c r="AB237" s="412"/>
      <c r="AC237" s="412"/>
      <c r="AD237" s="412"/>
      <c r="AE237" s="412"/>
      <c r="AF237" s="412"/>
      <c r="AG237" s="412"/>
      <c r="AH237" s="412"/>
      <c r="AI237" s="412"/>
      <c r="AJ237" s="412"/>
      <c r="AK237" s="412"/>
      <c r="AL237" s="412"/>
      <c r="AM237" s="412"/>
      <c r="AN237" s="412"/>
      <c r="AO237" s="412"/>
      <c r="AP237" s="412"/>
      <c r="AQ237" s="449"/>
    </row>
    <row r="238" spans="2:43" ht="15" x14ac:dyDescent="0.2">
      <c r="B238" s="412"/>
      <c r="C238" s="1189"/>
      <c r="D238" s="979" t="s">
        <v>852</v>
      </c>
      <c r="E238" s="236">
        <f t="shared" ref="E238:E250" si="46">SUM(G238:R238)</f>
        <v>0</v>
      </c>
      <c r="F238" s="243" t="s">
        <v>820</v>
      </c>
      <c r="G238" s="236">
        <f t="shared" ref="G238:R238" si="47">+G244+G239</f>
        <v>0</v>
      </c>
      <c r="H238" s="236">
        <f t="shared" si="47"/>
        <v>0</v>
      </c>
      <c r="I238" s="236">
        <f t="shared" si="47"/>
        <v>0</v>
      </c>
      <c r="J238" s="236">
        <f t="shared" si="47"/>
        <v>0</v>
      </c>
      <c r="K238" s="236">
        <f t="shared" si="47"/>
        <v>0</v>
      </c>
      <c r="L238" s="236">
        <f t="shared" si="47"/>
        <v>0</v>
      </c>
      <c r="M238" s="236">
        <f t="shared" si="47"/>
        <v>0</v>
      </c>
      <c r="N238" s="236">
        <f t="shared" si="47"/>
        <v>0</v>
      </c>
      <c r="O238" s="236">
        <f t="shared" si="47"/>
        <v>0</v>
      </c>
      <c r="P238" s="236">
        <f t="shared" si="47"/>
        <v>0</v>
      </c>
      <c r="Q238" s="236">
        <f t="shared" si="47"/>
        <v>0</v>
      </c>
      <c r="R238" s="989">
        <f t="shared" si="47"/>
        <v>0</v>
      </c>
      <c r="S238" s="1199"/>
      <c r="T238" s="259"/>
      <c r="U238" s="412"/>
      <c r="V238" s="412"/>
      <c r="W238" s="412"/>
      <c r="X238" s="412"/>
      <c r="Y238" s="412"/>
      <c r="Z238" s="412"/>
      <c r="AA238" s="412"/>
      <c r="AB238" s="412"/>
      <c r="AC238" s="412"/>
      <c r="AD238" s="412"/>
      <c r="AE238" s="412"/>
      <c r="AF238" s="412"/>
      <c r="AG238" s="412"/>
      <c r="AH238" s="412"/>
      <c r="AI238" s="412"/>
      <c r="AJ238" s="412"/>
      <c r="AK238" s="412"/>
      <c r="AL238" s="412"/>
      <c r="AM238" s="412"/>
      <c r="AN238" s="412"/>
      <c r="AO238" s="412"/>
      <c r="AP238" s="412"/>
      <c r="AQ238" s="449"/>
    </row>
    <row r="239" spans="2:43" ht="14.25" x14ac:dyDescent="0.2">
      <c r="B239" s="412"/>
      <c r="C239" s="1188"/>
      <c r="D239" s="1009" t="s">
        <v>1176</v>
      </c>
      <c r="E239" s="244">
        <f t="shared" si="46"/>
        <v>0</v>
      </c>
      <c r="F239" s="245">
        <f>IF(E$238=0,0,(E239/$E$238))</f>
        <v>0</v>
      </c>
      <c r="G239" s="244">
        <f t="shared" ref="G239:R239" si="48">SUM(G240:G242)</f>
        <v>0</v>
      </c>
      <c r="H239" s="244">
        <f t="shared" si="48"/>
        <v>0</v>
      </c>
      <c r="I239" s="244">
        <f t="shared" si="48"/>
        <v>0</v>
      </c>
      <c r="J239" s="244">
        <f t="shared" si="48"/>
        <v>0</v>
      </c>
      <c r="K239" s="244">
        <f t="shared" si="48"/>
        <v>0</v>
      </c>
      <c r="L239" s="244">
        <f t="shared" si="48"/>
        <v>0</v>
      </c>
      <c r="M239" s="244">
        <f t="shared" si="48"/>
        <v>0</v>
      </c>
      <c r="N239" s="244">
        <f t="shared" si="48"/>
        <v>0</v>
      </c>
      <c r="O239" s="244">
        <f t="shared" si="48"/>
        <v>0</v>
      </c>
      <c r="P239" s="244">
        <f t="shared" si="48"/>
        <v>0</v>
      </c>
      <c r="Q239" s="244">
        <f t="shared" si="48"/>
        <v>0</v>
      </c>
      <c r="R239" s="1010">
        <f t="shared" si="48"/>
        <v>0</v>
      </c>
      <c r="S239" s="1200"/>
      <c r="T239" s="259"/>
      <c r="U239" s="412"/>
      <c r="V239" s="412"/>
      <c r="W239" s="412"/>
      <c r="X239" s="412"/>
      <c r="Y239" s="412"/>
      <c r="Z239" s="412"/>
      <c r="AA239" s="412"/>
      <c r="AB239" s="412"/>
      <c r="AC239" s="412"/>
      <c r="AD239" s="412"/>
      <c r="AE239" s="412"/>
      <c r="AF239" s="412"/>
      <c r="AG239" s="412"/>
      <c r="AH239" s="412"/>
      <c r="AI239" s="412"/>
      <c r="AJ239" s="412"/>
      <c r="AK239" s="412"/>
      <c r="AL239" s="412"/>
      <c r="AM239" s="412"/>
      <c r="AN239" s="412"/>
      <c r="AO239" s="412"/>
      <c r="AP239" s="412"/>
      <c r="AQ239" s="449"/>
    </row>
    <row r="240" spans="2:43" ht="14.25" x14ac:dyDescent="0.2">
      <c r="B240" s="412"/>
      <c r="C240" s="1190"/>
      <c r="D240" s="975" t="s">
        <v>1173</v>
      </c>
      <c r="E240" s="221">
        <f t="shared" si="46"/>
        <v>0</v>
      </c>
      <c r="F240" s="223">
        <f>IF(E$239=0,0,(E240/$E$239))</f>
        <v>0</v>
      </c>
      <c r="G240" s="221">
        <f>CTesorería!E229</f>
        <v>0</v>
      </c>
      <c r="H240" s="221">
        <f>CTesorería!F229</f>
        <v>0</v>
      </c>
      <c r="I240" s="221">
        <f>CTesorería!G229</f>
        <v>0</v>
      </c>
      <c r="J240" s="221">
        <f>CTesorería!H229</f>
        <v>0</v>
      </c>
      <c r="K240" s="221">
        <f>CTesorería!I229</f>
        <v>0</v>
      </c>
      <c r="L240" s="221">
        <f>CTesorería!J229</f>
        <v>0</v>
      </c>
      <c r="M240" s="221">
        <f>CTesorería!K229</f>
        <v>0</v>
      </c>
      <c r="N240" s="221">
        <f>CTesorería!L229</f>
        <v>0</v>
      </c>
      <c r="O240" s="221">
        <f>CTesorería!M229</f>
        <v>0</v>
      </c>
      <c r="P240" s="221">
        <f>CTesorería!N229</f>
        <v>0</v>
      </c>
      <c r="Q240" s="221">
        <f>CTesorería!O229</f>
        <v>0</v>
      </c>
      <c r="R240" s="974">
        <f>CTesorería!P229</f>
        <v>0</v>
      </c>
      <c r="S240" s="1200"/>
      <c r="T240" s="259"/>
      <c r="U240" s="412"/>
      <c r="V240" s="412"/>
      <c r="W240" s="412"/>
      <c r="X240" s="412"/>
      <c r="Y240" s="412"/>
      <c r="Z240" s="412"/>
      <c r="AA240" s="412"/>
      <c r="AB240" s="412"/>
      <c r="AC240" s="412"/>
      <c r="AD240" s="412"/>
      <c r="AE240" s="412"/>
      <c r="AF240" s="412"/>
      <c r="AG240" s="412"/>
      <c r="AH240" s="412"/>
      <c r="AI240" s="412"/>
      <c r="AJ240" s="412"/>
      <c r="AK240" s="412"/>
      <c r="AL240" s="412"/>
      <c r="AM240" s="412"/>
      <c r="AN240" s="412"/>
      <c r="AO240" s="412"/>
      <c r="AP240" s="412"/>
      <c r="AQ240" s="449"/>
    </row>
    <row r="241" spans="2:43" ht="14.25" x14ac:dyDescent="0.2">
      <c r="B241" s="412"/>
      <c r="C241" s="1190"/>
      <c r="D241" s="975" t="s">
        <v>826</v>
      </c>
      <c r="E241" s="221">
        <f t="shared" si="46"/>
        <v>0</v>
      </c>
      <c r="F241" s="223">
        <f>IF(E$240=0,0,(E241/$E$240))</f>
        <v>0</v>
      </c>
      <c r="G241" s="224">
        <f>-CTesorería!E27</f>
        <v>0</v>
      </c>
      <c r="H241" s="224">
        <f>-CTesorería!F27</f>
        <v>0</v>
      </c>
      <c r="I241" s="224">
        <f>-CTesorería!G27</f>
        <v>0</v>
      </c>
      <c r="J241" s="224">
        <f>-CTesorería!H27</f>
        <v>0</v>
      </c>
      <c r="K241" s="224">
        <f>-CTesorería!I27</f>
        <v>0</v>
      </c>
      <c r="L241" s="224">
        <f>-CTesorería!J27</f>
        <v>0</v>
      </c>
      <c r="M241" s="224">
        <f>-CTesorería!K27</f>
        <v>0</v>
      </c>
      <c r="N241" s="224">
        <f>-CTesorería!L27</f>
        <v>0</v>
      </c>
      <c r="O241" s="224">
        <f>-CTesorería!M27</f>
        <v>0</v>
      </c>
      <c r="P241" s="224">
        <f>-CTesorería!N27</f>
        <v>0</v>
      </c>
      <c r="Q241" s="224">
        <f>-CTesorería!O27</f>
        <v>0</v>
      </c>
      <c r="R241" s="976">
        <f>-CTesorería!P27</f>
        <v>0</v>
      </c>
      <c r="S241" s="1200"/>
      <c r="T241" s="259"/>
      <c r="U241" s="412"/>
      <c r="V241" s="412"/>
      <c r="W241" s="412"/>
      <c r="X241" s="412"/>
      <c r="Y241" s="412"/>
      <c r="Z241" s="412"/>
      <c r="AA241" s="412"/>
      <c r="AB241" s="412"/>
      <c r="AC241" s="412"/>
      <c r="AD241" s="412"/>
      <c r="AE241" s="412"/>
      <c r="AF241" s="412"/>
      <c r="AG241" s="412"/>
      <c r="AH241" s="412"/>
      <c r="AI241" s="412"/>
      <c r="AJ241" s="412"/>
      <c r="AK241" s="412"/>
      <c r="AL241" s="412"/>
      <c r="AM241" s="412"/>
      <c r="AN241" s="412"/>
      <c r="AO241" s="412"/>
      <c r="AP241" s="412"/>
      <c r="AQ241" s="449"/>
    </row>
    <row r="242" spans="2:43" ht="14.25" x14ac:dyDescent="0.2">
      <c r="B242" s="412"/>
      <c r="C242" s="1190"/>
      <c r="D242" s="1011" t="s">
        <v>821</v>
      </c>
      <c r="E242" s="246">
        <f t="shared" si="46"/>
        <v>0</v>
      </c>
      <c r="F242" s="231">
        <f>IF(E$241=0,0,(E242/$E$241))</f>
        <v>0</v>
      </c>
      <c r="G242" s="246">
        <f>-G241*SB!$E$691</f>
        <v>0</v>
      </c>
      <c r="H242" s="246">
        <f>-H241*SB!$E$691</f>
        <v>0</v>
      </c>
      <c r="I242" s="246">
        <f>-I241*SB!$E$691</f>
        <v>0</v>
      </c>
      <c r="J242" s="246">
        <f>-J241*SB!$E$691</f>
        <v>0</v>
      </c>
      <c r="K242" s="246">
        <f>-K241*SB!$E$691</f>
        <v>0</v>
      </c>
      <c r="L242" s="246">
        <f>-L241*SB!$E$691</f>
        <v>0</v>
      </c>
      <c r="M242" s="246">
        <f>-M241*SB!$E$691</f>
        <v>0</v>
      </c>
      <c r="N242" s="246">
        <f>-N241*SB!$E$691</f>
        <v>0</v>
      </c>
      <c r="O242" s="246">
        <f>-O241*SB!$E$691</f>
        <v>0</v>
      </c>
      <c r="P242" s="246">
        <f>-P241*SB!$E$691</f>
        <v>0</v>
      </c>
      <c r="Q242" s="246">
        <f>-Q241*SB!$E$691</f>
        <v>0</v>
      </c>
      <c r="R242" s="1012">
        <f>-R241*SB!$E$691</f>
        <v>0</v>
      </c>
      <c r="S242" s="1200"/>
      <c r="T242" s="259"/>
      <c r="U242" s="412"/>
      <c r="V242" s="412"/>
      <c r="W242" s="412"/>
      <c r="X242" s="412"/>
      <c r="Y242" s="412"/>
      <c r="Z242" s="412"/>
      <c r="AA242" s="412"/>
      <c r="AB242" s="412"/>
      <c r="AC242" s="412"/>
      <c r="AD242" s="412"/>
      <c r="AE242" s="412"/>
      <c r="AF242" s="412"/>
      <c r="AG242" s="412"/>
      <c r="AH242" s="412"/>
      <c r="AI242" s="412"/>
      <c r="AJ242" s="412"/>
      <c r="AK242" s="412"/>
      <c r="AL242" s="412"/>
      <c r="AM242" s="412"/>
      <c r="AN242" s="412"/>
      <c r="AO242" s="412"/>
      <c r="AP242" s="412"/>
      <c r="AQ242" s="449"/>
    </row>
    <row r="243" spans="2:43" ht="14.25" x14ac:dyDescent="0.2">
      <c r="B243" s="412"/>
      <c r="C243" s="1190"/>
      <c r="D243" s="983" t="s">
        <v>126</v>
      </c>
      <c r="E243" s="221">
        <f t="shared" si="46"/>
        <v>0</v>
      </c>
      <c r="F243" s="222"/>
      <c r="G243" s="221">
        <f>CTesorería!E29</f>
        <v>0</v>
      </c>
      <c r="H243" s="221">
        <f>CTesorería!F29</f>
        <v>0</v>
      </c>
      <c r="I243" s="221">
        <f>CTesorería!G29</f>
        <v>0</v>
      </c>
      <c r="J243" s="221">
        <f>CTesorería!H29</f>
        <v>0</v>
      </c>
      <c r="K243" s="221">
        <f>CTesorería!I29</f>
        <v>0</v>
      </c>
      <c r="L243" s="221">
        <f>CTesorería!J29</f>
        <v>0</v>
      </c>
      <c r="M243" s="221">
        <f>CTesorería!K29</f>
        <v>0</v>
      </c>
      <c r="N243" s="221">
        <f>CTesorería!L29</f>
        <v>0</v>
      </c>
      <c r="O243" s="221">
        <f>CTesorería!M29</f>
        <v>0</v>
      </c>
      <c r="P243" s="221">
        <f>CTesorería!N29</f>
        <v>0</v>
      </c>
      <c r="Q243" s="221">
        <f>CTesorería!O29</f>
        <v>0</v>
      </c>
      <c r="R243" s="974">
        <f>CTesorería!P29</f>
        <v>0</v>
      </c>
      <c r="S243" s="1200"/>
      <c r="T243" s="259"/>
      <c r="U243" s="412"/>
      <c r="V243" s="412"/>
      <c r="W243" s="412"/>
      <c r="X243" s="412"/>
      <c r="Y243" s="412"/>
      <c r="Z243" s="412"/>
      <c r="AA243" s="412"/>
      <c r="AB243" s="412"/>
      <c r="AC243" s="412"/>
      <c r="AD243" s="412"/>
      <c r="AE243" s="412"/>
      <c r="AF243" s="412"/>
      <c r="AG243" s="412"/>
      <c r="AH243" s="412"/>
      <c r="AI243" s="412"/>
      <c r="AJ243" s="412"/>
      <c r="AK243" s="412"/>
      <c r="AL243" s="412"/>
      <c r="AM243" s="412"/>
      <c r="AN243" s="412"/>
      <c r="AO243" s="412"/>
      <c r="AP243" s="412"/>
      <c r="AQ243" s="449"/>
    </row>
    <row r="244" spans="2:43" ht="14.25" x14ac:dyDescent="0.2">
      <c r="B244" s="412"/>
      <c r="C244" s="1191"/>
      <c r="D244" s="1013" t="s">
        <v>147</v>
      </c>
      <c r="E244" s="229">
        <f t="shared" si="46"/>
        <v>0</v>
      </c>
      <c r="F244" s="223">
        <f t="shared" ref="F244:F250" si="49">IF(E$238=0,0,(E244/$E$238))</f>
        <v>0</v>
      </c>
      <c r="G244" s="229">
        <f t="shared" ref="G244:R244" si="50">SUM(G245:G250)</f>
        <v>0</v>
      </c>
      <c r="H244" s="229">
        <f t="shared" si="50"/>
        <v>0</v>
      </c>
      <c r="I244" s="229">
        <f t="shared" si="50"/>
        <v>0</v>
      </c>
      <c r="J244" s="229">
        <f t="shared" si="50"/>
        <v>0</v>
      </c>
      <c r="K244" s="229">
        <f t="shared" si="50"/>
        <v>0</v>
      </c>
      <c r="L244" s="229">
        <f t="shared" si="50"/>
        <v>0</v>
      </c>
      <c r="M244" s="229">
        <f t="shared" si="50"/>
        <v>0</v>
      </c>
      <c r="N244" s="229">
        <f t="shared" si="50"/>
        <v>0</v>
      </c>
      <c r="O244" s="229">
        <f t="shared" si="50"/>
        <v>0</v>
      </c>
      <c r="P244" s="229">
        <f t="shared" si="50"/>
        <v>0</v>
      </c>
      <c r="Q244" s="229">
        <f t="shared" si="50"/>
        <v>0</v>
      </c>
      <c r="R244" s="1014">
        <f t="shared" si="50"/>
        <v>0</v>
      </c>
      <c r="S244" s="1200"/>
      <c r="T244" s="259"/>
      <c r="U244" s="412"/>
      <c r="V244" s="412"/>
      <c r="W244" s="412"/>
      <c r="X244" s="412"/>
      <c r="Y244" s="412"/>
      <c r="Z244" s="412"/>
      <c r="AA244" s="412"/>
      <c r="AB244" s="412"/>
      <c r="AC244" s="412"/>
      <c r="AD244" s="412"/>
      <c r="AE244" s="412"/>
      <c r="AF244" s="412"/>
      <c r="AG244" s="412"/>
      <c r="AH244" s="412"/>
      <c r="AI244" s="412"/>
      <c r="AJ244" s="412"/>
      <c r="AK244" s="412"/>
      <c r="AL244" s="412"/>
      <c r="AM244" s="412"/>
      <c r="AN244" s="412"/>
      <c r="AO244" s="412"/>
      <c r="AP244" s="412"/>
      <c r="AQ244" s="449"/>
    </row>
    <row r="245" spans="2:43" ht="14.25" x14ac:dyDescent="0.2">
      <c r="B245" s="412"/>
      <c r="C245" s="1190"/>
      <c r="D245" s="975" t="s">
        <v>147</v>
      </c>
      <c r="E245" s="221">
        <f t="shared" si="46"/>
        <v>0</v>
      </c>
      <c r="F245" s="223">
        <f t="shared" si="49"/>
        <v>0</v>
      </c>
      <c r="G245" s="221">
        <f>CTesorería!E45</f>
        <v>0</v>
      </c>
      <c r="H245" s="221">
        <f>CTesorería!F45</f>
        <v>0</v>
      </c>
      <c r="I245" s="221">
        <f>CTesorería!G45</f>
        <v>0</v>
      </c>
      <c r="J245" s="221">
        <f>CTesorería!H45</f>
        <v>0</v>
      </c>
      <c r="K245" s="221">
        <f>CTesorería!I45</f>
        <v>0</v>
      </c>
      <c r="L245" s="221">
        <f>CTesorería!J45</f>
        <v>0</v>
      </c>
      <c r="M245" s="221">
        <f>CTesorería!K45</f>
        <v>0</v>
      </c>
      <c r="N245" s="221">
        <f>CTesorería!L45</f>
        <v>0</v>
      </c>
      <c r="O245" s="221">
        <f>CTesorería!M45</f>
        <v>0</v>
      </c>
      <c r="P245" s="221">
        <f>CTesorería!N45</f>
        <v>0</v>
      </c>
      <c r="Q245" s="221">
        <f>CTesorería!O45</f>
        <v>0</v>
      </c>
      <c r="R245" s="974">
        <f>CTesorería!P45</f>
        <v>0</v>
      </c>
      <c r="S245" s="1200"/>
      <c r="T245" s="259"/>
      <c r="U245" s="412"/>
      <c r="V245" s="412"/>
      <c r="W245" s="412"/>
      <c r="X245" s="412"/>
      <c r="Y245" s="412"/>
      <c r="Z245" s="412"/>
      <c r="AA245" s="412"/>
      <c r="AB245" s="412"/>
      <c r="AC245" s="412"/>
      <c r="AD245" s="412"/>
      <c r="AE245" s="412"/>
      <c r="AF245" s="412"/>
      <c r="AG245" s="412"/>
      <c r="AH245" s="412"/>
      <c r="AI245" s="412"/>
      <c r="AJ245" s="412"/>
      <c r="AK245" s="412"/>
      <c r="AL245" s="412"/>
      <c r="AM245" s="412"/>
      <c r="AN245" s="412"/>
      <c r="AO245" s="412"/>
      <c r="AP245" s="412"/>
      <c r="AQ245" s="449"/>
    </row>
    <row r="246" spans="2:43" ht="14.25" x14ac:dyDescent="0.2">
      <c r="B246" s="412"/>
      <c r="C246" s="1190"/>
      <c r="D246" s="975" t="s">
        <v>1538</v>
      </c>
      <c r="E246" s="221">
        <f t="shared" si="46"/>
        <v>0</v>
      </c>
      <c r="F246" s="223">
        <f t="shared" si="49"/>
        <v>0</v>
      </c>
      <c r="G246" s="221">
        <f>CTesorería!E48</f>
        <v>0</v>
      </c>
      <c r="H246" s="221">
        <f>CTesorería!F48</f>
        <v>0</v>
      </c>
      <c r="I246" s="221">
        <f>CTesorería!G48</f>
        <v>0</v>
      </c>
      <c r="J246" s="221">
        <f>CTesorería!H48</f>
        <v>0</v>
      </c>
      <c r="K246" s="221">
        <f>CTesorería!I48</f>
        <v>0</v>
      </c>
      <c r="L246" s="221">
        <f>CTesorería!J48</f>
        <v>0</v>
      </c>
      <c r="M246" s="221">
        <f>CTesorería!K48</f>
        <v>0</v>
      </c>
      <c r="N246" s="221">
        <f>CTesorería!L48</f>
        <v>0</v>
      </c>
      <c r="O246" s="221">
        <f>CTesorería!M48</f>
        <v>0</v>
      </c>
      <c r="P246" s="221">
        <f>CTesorería!N48</f>
        <v>0</v>
      </c>
      <c r="Q246" s="221">
        <f>CTesorería!O48</f>
        <v>0</v>
      </c>
      <c r="R246" s="974">
        <f>CTesorería!P48</f>
        <v>0</v>
      </c>
      <c r="S246" s="1200"/>
      <c r="T246" s="259"/>
      <c r="U246" s="412"/>
      <c r="V246" s="412"/>
      <c r="W246" s="412"/>
      <c r="X246" s="412"/>
      <c r="Y246" s="412"/>
      <c r="Z246" s="412"/>
      <c r="AA246" s="412"/>
      <c r="AB246" s="412"/>
      <c r="AC246" s="412"/>
      <c r="AD246" s="412"/>
      <c r="AE246" s="412"/>
      <c r="AF246" s="412"/>
      <c r="AG246" s="412"/>
      <c r="AH246" s="412"/>
      <c r="AI246" s="412"/>
      <c r="AJ246" s="412"/>
      <c r="AK246" s="412"/>
      <c r="AL246" s="412"/>
      <c r="AM246" s="412"/>
      <c r="AN246" s="412"/>
      <c r="AO246" s="412"/>
      <c r="AP246" s="412"/>
      <c r="AQ246" s="449"/>
    </row>
    <row r="247" spans="2:43" ht="14.25" x14ac:dyDescent="0.2">
      <c r="B247" s="412"/>
      <c r="C247" s="1190"/>
      <c r="D247" s="975" t="s">
        <v>67</v>
      </c>
      <c r="E247" s="221">
        <f t="shared" si="46"/>
        <v>0</v>
      </c>
      <c r="F247" s="223">
        <f t="shared" si="49"/>
        <v>0</v>
      </c>
      <c r="G247" s="221">
        <f>+CTesorería!E49+CTesorería!E50</f>
        <v>0</v>
      </c>
      <c r="H247" s="221">
        <f>+CTesorería!F49+CTesorería!F50</f>
        <v>0</v>
      </c>
      <c r="I247" s="221">
        <f>+CTesorería!G49+CTesorería!G50</f>
        <v>0</v>
      </c>
      <c r="J247" s="221">
        <f>+CTesorería!H49+CTesorería!H50</f>
        <v>0</v>
      </c>
      <c r="K247" s="221">
        <f>+CTesorería!I49+CTesorería!I50</f>
        <v>0</v>
      </c>
      <c r="L247" s="221">
        <f>+CTesorería!J49+CTesorería!J50</f>
        <v>0</v>
      </c>
      <c r="M247" s="221">
        <f>+CTesorería!K49+CTesorería!K50</f>
        <v>0</v>
      </c>
      <c r="N247" s="221">
        <f>+CTesorería!L49+CTesorería!L50</f>
        <v>0</v>
      </c>
      <c r="O247" s="221">
        <f>+CTesorería!M49+CTesorería!M50</f>
        <v>0</v>
      </c>
      <c r="P247" s="221">
        <f>+CTesorería!N49+CTesorería!N50</f>
        <v>0</v>
      </c>
      <c r="Q247" s="221">
        <f>+CTesorería!O49+CTesorería!O50</f>
        <v>0</v>
      </c>
      <c r="R247" s="974">
        <f>+CTesorería!P49+CTesorería!P50</f>
        <v>0</v>
      </c>
      <c r="S247" s="1200"/>
      <c r="T247" s="259"/>
      <c r="U247" s="412"/>
      <c r="V247" s="412"/>
      <c r="W247" s="412"/>
      <c r="X247" s="412"/>
      <c r="Y247" s="412"/>
      <c r="Z247" s="412"/>
      <c r="AA247" s="412"/>
      <c r="AB247" s="412"/>
      <c r="AC247" s="412"/>
      <c r="AD247" s="412"/>
      <c r="AE247" s="412"/>
      <c r="AF247" s="412"/>
      <c r="AG247" s="412"/>
      <c r="AH247" s="412"/>
      <c r="AI247" s="412"/>
      <c r="AJ247" s="412"/>
      <c r="AK247" s="412"/>
      <c r="AL247" s="412"/>
      <c r="AM247" s="412"/>
      <c r="AN247" s="412"/>
      <c r="AO247" s="412"/>
      <c r="AP247" s="412"/>
      <c r="AQ247" s="449"/>
    </row>
    <row r="248" spans="2:43" ht="14.25" x14ac:dyDescent="0.2">
      <c r="B248" s="412"/>
      <c r="C248" s="1190"/>
      <c r="D248" s="975" t="s">
        <v>898</v>
      </c>
      <c r="E248" s="221">
        <f t="shared" si="46"/>
        <v>0</v>
      </c>
      <c r="F248" s="223">
        <f t="shared" si="49"/>
        <v>0</v>
      </c>
      <c r="G248" s="221">
        <f>CTesorería!E44</f>
        <v>0</v>
      </c>
      <c r="H248" s="221">
        <f>CTesorería!F44</f>
        <v>0</v>
      </c>
      <c r="I248" s="221">
        <f>CTesorería!G44</f>
        <v>0</v>
      </c>
      <c r="J248" s="221">
        <f>CTesorería!H44</f>
        <v>0</v>
      </c>
      <c r="K248" s="221">
        <f>CTesorería!I44</f>
        <v>0</v>
      </c>
      <c r="L248" s="221">
        <f>CTesorería!J44</f>
        <v>0</v>
      </c>
      <c r="M248" s="221">
        <f>CTesorería!K44</f>
        <v>0</v>
      </c>
      <c r="N248" s="221">
        <f>CTesorería!L44</f>
        <v>0</v>
      </c>
      <c r="O248" s="221">
        <f>CTesorería!M44</f>
        <v>0</v>
      </c>
      <c r="P248" s="221">
        <f>CTesorería!N44</f>
        <v>0</v>
      </c>
      <c r="Q248" s="221">
        <f>CTesorería!O44</f>
        <v>0</v>
      </c>
      <c r="R248" s="974">
        <f>CTesorería!P44</f>
        <v>0</v>
      </c>
      <c r="S248" s="1200"/>
      <c r="T248" s="259"/>
      <c r="U248" s="412"/>
      <c r="V248" s="412"/>
      <c r="W248" s="412"/>
      <c r="X248" s="412"/>
      <c r="Y248" s="412"/>
      <c r="Z248" s="412"/>
      <c r="AA248" s="412"/>
      <c r="AB248" s="412"/>
      <c r="AC248" s="412"/>
      <c r="AD248" s="412"/>
      <c r="AE248" s="412"/>
      <c r="AF248" s="412"/>
      <c r="AG248" s="412"/>
      <c r="AH248" s="412"/>
      <c r="AI248" s="412"/>
      <c r="AJ248" s="412"/>
      <c r="AK248" s="412"/>
      <c r="AL248" s="412"/>
      <c r="AM248" s="412"/>
      <c r="AN248" s="412"/>
      <c r="AO248" s="412"/>
      <c r="AP248" s="412"/>
      <c r="AQ248" s="449"/>
    </row>
    <row r="249" spans="2:43" ht="14.25" x14ac:dyDescent="0.2">
      <c r="B249" s="412"/>
      <c r="C249" s="1190"/>
      <c r="D249" s="975" t="s">
        <v>1418</v>
      </c>
      <c r="E249" s="221">
        <f t="shared" si="46"/>
        <v>0</v>
      </c>
      <c r="F249" s="223">
        <f t="shared" si="49"/>
        <v>0</v>
      </c>
      <c r="G249" s="221">
        <f>CTesorería!E47</f>
        <v>0</v>
      </c>
      <c r="H249" s="221">
        <f>CTesorería!F47</f>
        <v>0</v>
      </c>
      <c r="I249" s="221">
        <f>CTesorería!G47</f>
        <v>0</v>
      </c>
      <c r="J249" s="221">
        <f>CTesorería!H47</f>
        <v>0</v>
      </c>
      <c r="K249" s="221">
        <f>CTesorería!I47</f>
        <v>0</v>
      </c>
      <c r="L249" s="221">
        <f>CTesorería!J47</f>
        <v>0</v>
      </c>
      <c r="M249" s="221">
        <f>CTesorería!K47</f>
        <v>0</v>
      </c>
      <c r="N249" s="221">
        <f>CTesorería!L47</f>
        <v>0</v>
      </c>
      <c r="O249" s="221">
        <f>CTesorería!M47</f>
        <v>0</v>
      </c>
      <c r="P249" s="221">
        <f>CTesorería!N47</f>
        <v>0</v>
      </c>
      <c r="Q249" s="221">
        <f>CTesorería!O47</f>
        <v>0</v>
      </c>
      <c r="R249" s="974">
        <f>CTesorería!P47</f>
        <v>0</v>
      </c>
      <c r="S249" s="1200"/>
      <c r="T249" s="259"/>
      <c r="U249" s="412"/>
      <c r="V249" s="412"/>
      <c r="W249" s="412"/>
      <c r="X249" s="412"/>
      <c r="Y249" s="412"/>
      <c r="Z249" s="412"/>
      <c r="AA249" s="412"/>
      <c r="AB249" s="412"/>
      <c r="AC249" s="412"/>
      <c r="AD249" s="412"/>
      <c r="AE249" s="412"/>
      <c r="AF249" s="412"/>
      <c r="AG249" s="412"/>
      <c r="AH249" s="412"/>
      <c r="AI249" s="412"/>
      <c r="AJ249" s="412"/>
      <c r="AK249" s="412"/>
      <c r="AL249" s="412"/>
      <c r="AM249" s="412"/>
      <c r="AN249" s="412"/>
      <c r="AO249" s="412"/>
      <c r="AP249" s="412"/>
      <c r="AQ249" s="449"/>
    </row>
    <row r="250" spans="2:43" ht="14.25" x14ac:dyDescent="0.2">
      <c r="B250" s="412"/>
      <c r="C250" s="1190"/>
      <c r="D250" s="975" t="s">
        <v>1420</v>
      </c>
      <c r="E250" s="221">
        <f t="shared" si="46"/>
        <v>0</v>
      </c>
      <c r="F250" s="223">
        <f t="shared" si="49"/>
        <v>0</v>
      </c>
      <c r="G250" s="221">
        <f>IF('6'!$F23=SB!$C$170,CTesorería!E151,CTesorería!E153)</f>
        <v>0</v>
      </c>
      <c r="H250" s="221">
        <f>IF('6'!$F23=SB!$C$170,CTesorería!F151,CTesorería!F153)</f>
        <v>0</v>
      </c>
      <c r="I250" s="221">
        <f>IF('6'!$F23=SB!$C$170,CTesorería!G151,CTesorería!G153)</f>
        <v>0</v>
      </c>
      <c r="J250" s="221">
        <f>IF('6'!$F23=SB!$C$170,CTesorería!H151,CTesorería!H153)</f>
        <v>0</v>
      </c>
      <c r="K250" s="221">
        <f>IF('6'!$F23=SB!$C$170,CTesorería!I151,CTesorería!I153)</f>
        <v>0</v>
      </c>
      <c r="L250" s="221">
        <f>IF('6'!$F23=SB!$C$170,CTesorería!J151,CTesorería!J153)</f>
        <v>0</v>
      </c>
      <c r="M250" s="221">
        <f>IF('6'!$F23=SB!$C$170,CTesorería!K151,CTesorería!K153)</f>
        <v>0</v>
      </c>
      <c r="N250" s="221">
        <f>IF('6'!$F23=SB!$C$170,CTesorería!L151,CTesorería!L153)</f>
        <v>0</v>
      </c>
      <c r="O250" s="221">
        <f>IF('6'!$F23=SB!$C$170,CTesorería!M151,CTesorería!M153)</f>
        <v>0</v>
      </c>
      <c r="P250" s="221">
        <f>IF('6'!$F23=SB!$C$170,CTesorería!N151,CTesorería!N153)</f>
        <v>0</v>
      </c>
      <c r="Q250" s="221">
        <f>IF('6'!$F23=SB!$C$170,CTesorería!O151,CTesorería!O153)</f>
        <v>0</v>
      </c>
      <c r="R250" s="974">
        <f>IF('6'!$F23=SB!$C$170,CTesorería!P151,CTesorería!P153)</f>
        <v>0</v>
      </c>
      <c r="S250" s="1200"/>
      <c r="T250" s="259"/>
      <c r="U250" s="412"/>
      <c r="V250" s="412"/>
      <c r="W250" s="412"/>
      <c r="X250" s="412"/>
      <c r="Y250" s="412"/>
      <c r="Z250" s="412"/>
      <c r="AA250" s="412"/>
      <c r="AB250" s="412"/>
      <c r="AC250" s="412"/>
      <c r="AD250" s="412"/>
      <c r="AE250" s="412"/>
      <c r="AF250" s="412"/>
      <c r="AG250" s="412"/>
      <c r="AH250" s="412"/>
      <c r="AI250" s="412"/>
      <c r="AJ250" s="412"/>
      <c r="AK250" s="412"/>
      <c r="AL250" s="412"/>
      <c r="AM250" s="412"/>
      <c r="AN250" s="412"/>
      <c r="AO250" s="412"/>
      <c r="AP250" s="412"/>
      <c r="AQ250" s="449"/>
    </row>
    <row r="251" spans="2:43" ht="15" customHeight="1" x14ac:dyDescent="0.2">
      <c r="B251" s="412"/>
      <c r="C251" s="1190"/>
      <c r="D251" s="1015"/>
      <c r="E251" s="221"/>
      <c r="F251" s="222"/>
      <c r="G251" s="221"/>
      <c r="H251" s="221"/>
      <c r="I251" s="221"/>
      <c r="J251" s="221"/>
      <c r="K251" s="221"/>
      <c r="L251" s="221"/>
      <c r="M251" s="221"/>
      <c r="N251" s="221"/>
      <c r="O251" s="221"/>
      <c r="P251" s="221"/>
      <c r="Q251" s="221"/>
      <c r="R251" s="974"/>
      <c r="S251" s="1199"/>
      <c r="T251" s="259"/>
      <c r="U251" s="412"/>
      <c r="V251" s="412"/>
      <c r="W251" s="412"/>
      <c r="X251" s="412"/>
      <c r="Y251" s="412"/>
      <c r="Z251" s="412"/>
      <c r="AA251" s="412"/>
      <c r="AB251" s="412"/>
      <c r="AC251" s="412"/>
      <c r="AD251" s="412"/>
      <c r="AE251" s="412"/>
      <c r="AF251" s="412"/>
      <c r="AG251" s="412"/>
      <c r="AH251" s="412"/>
      <c r="AI251" s="412"/>
      <c r="AJ251" s="412"/>
      <c r="AK251" s="412"/>
      <c r="AL251" s="412"/>
      <c r="AM251" s="412"/>
      <c r="AN251" s="412"/>
      <c r="AO251" s="412"/>
      <c r="AP251" s="412"/>
      <c r="AQ251" s="449"/>
    </row>
    <row r="252" spans="2:43" ht="15" x14ac:dyDescent="0.2">
      <c r="B252" s="412"/>
      <c r="C252" s="1190"/>
      <c r="D252" s="979" t="s">
        <v>1199</v>
      </c>
      <c r="E252" s="236">
        <f t="shared" ref="E252:E281" si="51">SUM(G252:R252)</f>
        <v>0</v>
      </c>
      <c r="F252" s="243">
        <f>IF(E$238=0,0,(E252/$E$238))</f>
        <v>0</v>
      </c>
      <c r="G252" s="236">
        <f t="shared" ref="G252:R252" si="52">+G276+G253</f>
        <v>0</v>
      </c>
      <c r="H252" s="236">
        <f t="shared" si="52"/>
        <v>0</v>
      </c>
      <c r="I252" s="236">
        <f t="shared" si="52"/>
        <v>0</v>
      </c>
      <c r="J252" s="236">
        <f t="shared" si="52"/>
        <v>0</v>
      </c>
      <c r="K252" s="236">
        <f t="shared" si="52"/>
        <v>0</v>
      </c>
      <c r="L252" s="236">
        <f t="shared" si="52"/>
        <v>0</v>
      </c>
      <c r="M252" s="236">
        <f t="shared" si="52"/>
        <v>0</v>
      </c>
      <c r="N252" s="236">
        <f t="shared" si="52"/>
        <v>0</v>
      </c>
      <c r="O252" s="236">
        <f t="shared" si="52"/>
        <v>0</v>
      </c>
      <c r="P252" s="236">
        <f t="shared" si="52"/>
        <v>0</v>
      </c>
      <c r="Q252" s="236">
        <f t="shared" si="52"/>
        <v>0</v>
      </c>
      <c r="R252" s="989">
        <f t="shared" si="52"/>
        <v>0</v>
      </c>
      <c r="S252" s="1199"/>
      <c r="T252" s="259"/>
      <c r="U252" s="412"/>
      <c r="V252" s="412"/>
      <c r="W252" s="412"/>
      <c r="X252" s="412"/>
      <c r="Y252" s="412"/>
      <c r="Z252" s="412"/>
      <c r="AA252" s="412"/>
      <c r="AB252" s="412"/>
      <c r="AC252" s="412"/>
      <c r="AD252" s="412"/>
      <c r="AE252" s="412"/>
      <c r="AF252" s="412"/>
      <c r="AG252" s="412"/>
      <c r="AH252" s="412"/>
      <c r="AI252" s="412"/>
      <c r="AJ252" s="412"/>
      <c r="AK252" s="412"/>
      <c r="AL252" s="412"/>
      <c r="AM252" s="412"/>
      <c r="AN252" s="412"/>
      <c r="AO252" s="412"/>
      <c r="AP252" s="412"/>
      <c r="AQ252" s="449"/>
    </row>
    <row r="253" spans="2:43" ht="14.25" x14ac:dyDescent="0.2">
      <c r="B253" s="412"/>
      <c r="C253" s="1191"/>
      <c r="D253" s="1013" t="s">
        <v>1178</v>
      </c>
      <c r="E253" s="229">
        <f t="shared" si="51"/>
        <v>0</v>
      </c>
      <c r="F253" s="223">
        <f t="shared" ref="F253:F281" si="53">IF(E$252=0,0,(E253/$E$252))</f>
        <v>0</v>
      </c>
      <c r="G253" s="229">
        <f t="shared" ref="G253:R253" si="54">SUM(G254:G275)</f>
        <v>0</v>
      </c>
      <c r="H253" s="229">
        <f t="shared" si="54"/>
        <v>0</v>
      </c>
      <c r="I253" s="229">
        <f t="shared" si="54"/>
        <v>0</v>
      </c>
      <c r="J253" s="229">
        <f t="shared" si="54"/>
        <v>0</v>
      </c>
      <c r="K253" s="229">
        <f t="shared" si="54"/>
        <v>0</v>
      </c>
      <c r="L253" s="229">
        <f t="shared" si="54"/>
        <v>0</v>
      </c>
      <c r="M253" s="229">
        <f t="shared" si="54"/>
        <v>0</v>
      </c>
      <c r="N253" s="229">
        <f t="shared" si="54"/>
        <v>0</v>
      </c>
      <c r="O253" s="229">
        <f t="shared" si="54"/>
        <v>0</v>
      </c>
      <c r="P253" s="229">
        <f t="shared" si="54"/>
        <v>0</v>
      </c>
      <c r="Q253" s="229">
        <f t="shared" si="54"/>
        <v>0</v>
      </c>
      <c r="R253" s="1014">
        <f t="shared" si="54"/>
        <v>0</v>
      </c>
      <c r="S253" s="1200"/>
      <c r="T253" s="259"/>
      <c r="U253" s="412"/>
      <c r="V253" s="412"/>
      <c r="W253" s="412"/>
      <c r="X253" s="412"/>
      <c r="Y253" s="412"/>
      <c r="Z253" s="412"/>
      <c r="AA253" s="412"/>
      <c r="AB253" s="412"/>
      <c r="AC253" s="412"/>
      <c r="AD253" s="412"/>
      <c r="AE253" s="412"/>
      <c r="AF253" s="412"/>
      <c r="AG253" s="412"/>
      <c r="AH253" s="412"/>
      <c r="AI253" s="412"/>
      <c r="AJ253" s="412"/>
      <c r="AK253" s="412"/>
      <c r="AL253" s="412"/>
      <c r="AM253" s="412"/>
      <c r="AN253" s="412"/>
      <c r="AO253" s="412"/>
      <c r="AP253" s="412"/>
      <c r="AQ253" s="449"/>
    </row>
    <row r="254" spans="2:43" ht="14.25" x14ac:dyDescent="0.2">
      <c r="B254" s="412"/>
      <c r="C254" s="1190"/>
      <c r="D254" s="983" t="s">
        <v>1478</v>
      </c>
      <c r="E254" s="221">
        <f t="shared" si="51"/>
        <v>0</v>
      </c>
      <c r="F254" s="223">
        <f t="shared" si="53"/>
        <v>0</v>
      </c>
      <c r="G254" s="221">
        <f>CTesorería!E143</f>
        <v>0</v>
      </c>
      <c r="H254" s="221">
        <f>CTesorería!F143</f>
        <v>0</v>
      </c>
      <c r="I254" s="221">
        <f>CTesorería!G143</f>
        <v>0</v>
      </c>
      <c r="J254" s="221">
        <f>CTesorería!H143</f>
        <v>0</v>
      </c>
      <c r="K254" s="221">
        <f>CTesorería!I143</f>
        <v>0</v>
      </c>
      <c r="L254" s="221">
        <f>CTesorería!J143</f>
        <v>0</v>
      </c>
      <c r="M254" s="221">
        <f>CTesorería!K143</f>
        <v>0</v>
      </c>
      <c r="N254" s="221">
        <f>CTesorería!L143</f>
        <v>0</v>
      </c>
      <c r="O254" s="221">
        <f>CTesorería!M143</f>
        <v>0</v>
      </c>
      <c r="P254" s="221">
        <f>CTesorería!N143</f>
        <v>0</v>
      </c>
      <c r="Q254" s="221">
        <f>CTesorería!O143</f>
        <v>0</v>
      </c>
      <c r="R254" s="974">
        <f>CTesorería!P143</f>
        <v>0</v>
      </c>
      <c r="S254" s="1200"/>
      <c r="T254" s="259"/>
      <c r="U254" s="412"/>
      <c r="V254" s="412"/>
      <c r="W254" s="412"/>
      <c r="X254" s="412"/>
      <c r="Y254" s="412"/>
      <c r="Z254" s="412"/>
      <c r="AA254" s="412"/>
      <c r="AB254" s="412"/>
      <c r="AC254" s="412"/>
      <c r="AD254" s="412"/>
      <c r="AE254" s="412"/>
      <c r="AF254" s="412"/>
      <c r="AG254" s="412"/>
      <c r="AH254" s="412"/>
      <c r="AI254" s="412"/>
      <c r="AJ254" s="412"/>
      <c r="AK254" s="412"/>
      <c r="AL254" s="412"/>
      <c r="AM254" s="412"/>
      <c r="AN254" s="412"/>
      <c r="AO254" s="412"/>
      <c r="AP254" s="412"/>
      <c r="AQ254" s="449"/>
    </row>
    <row r="255" spans="2:43" ht="14.25" x14ac:dyDescent="0.2">
      <c r="B255" s="412"/>
      <c r="C255" s="1190"/>
      <c r="D255" s="983" t="s">
        <v>1380</v>
      </c>
      <c r="E255" s="221">
        <f t="shared" si="51"/>
        <v>0</v>
      </c>
      <c r="F255" s="223">
        <f t="shared" si="53"/>
        <v>0</v>
      </c>
      <c r="G255" s="221">
        <f>CTesorería!E116</f>
        <v>0</v>
      </c>
      <c r="H255" s="221">
        <f>CTesorería!F116</f>
        <v>0</v>
      </c>
      <c r="I255" s="221">
        <f>CTesorería!G116</f>
        <v>0</v>
      </c>
      <c r="J255" s="221">
        <f>CTesorería!H116</f>
        <v>0</v>
      </c>
      <c r="K255" s="221">
        <f>CTesorería!I116</f>
        <v>0</v>
      </c>
      <c r="L255" s="221">
        <f>CTesorería!J116</f>
        <v>0</v>
      </c>
      <c r="M255" s="221">
        <f>CTesorería!K116</f>
        <v>0</v>
      </c>
      <c r="N255" s="221">
        <f>CTesorería!L116</f>
        <v>0</v>
      </c>
      <c r="O255" s="221">
        <f>CTesorería!M116</f>
        <v>0</v>
      </c>
      <c r="P255" s="221">
        <f>CTesorería!N116</f>
        <v>0</v>
      </c>
      <c r="Q255" s="221">
        <f>CTesorería!O116</f>
        <v>0</v>
      </c>
      <c r="R255" s="974">
        <f>CTesorería!P116</f>
        <v>0</v>
      </c>
      <c r="S255" s="1200"/>
      <c r="T255" s="259"/>
      <c r="U255" s="412"/>
      <c r="V255" s="412"/>
      <c r="W255" s="412"/>
      <c r="X255" s="412"/>
      <c r="Y255" s="412"/>
      <c r="Z255" s="412"/>
      <c r="AA255" s="412"/>
      <c r="AB255" s="412"/>
      <c r="AC255" s="412"/>
      <c r="AD255" s="412"/>
      <c r="AE255" s="412"/>
      <c r="AF255" s="412"/>
      <c r="AG255" s="412"/>
      <c r="AH255" s="412"/>
      <c r="AI255" s="412"/>
      <c r="AJ255" s="412"/>
      <c r="AK255" s="412"/>
      <c r="AL255" s="412"/>
      <c r="AM255" s="412"/>
      <c r="AN255" s="412"/>
      <c r="AO255" s="412"/>
      <c r="AP255" s="412"/>
      <c r="AQ255" s="449"/>
    </row>
    <row r="256" spans="2:43" ht="14.25" x14ac:dyDescent="0.2">
      <c r="B256" s="412"/>
      <c r="C256" s="1190"/>
      <c r="D256" s="983" t="str">
        <f>SANDBOX!$D$26</f>
        <v>Compras</v>
      </c>
      <c r="E256" s="221">
        <f t="shared" si="51"/>
        <v>0</v>
      </c>
      <c r="F256" s="223">
        <f t="shared" si="53"/>
        <v>0</v>
      </c>
      <c r="G256" s="221">
        <f>CTesorería!E96+CTesorería!E134</f>
        <v>0</v>
      </c>
      <c r="H256" s="221">
        <f>CTesorería!F96+CTesorería!F134</f>
        <v>0</v>
      </c>
      <c r="I256" s="221">
        <f>CTesorería!G96+CTesorería!G134</f>
        <v>0</v>
      </c>
      <c r="J256" s="221">
        <f>CTesorería!H96+CTesorería!H134</f>
        <v>0</v>
      </c>
      <c r="K256" s="221">
        <f>CTesorería!I96+CTesorería!I134</f>
        <v>0</v>
      </c>
      <c r="L256" s="221">
        <f>CTesorería!J96+CTesorería!J134</f>
        <v>0</v>
      </c>
      <c r="M256" s="221">
        <f>CTesorería!K96+CTesorería!K134</f>
        <v>0</v>
      </c>
      <c r="N256" s="221">
        <f>CTesorería!L96+CTesorería!L134</f>
        <v>0</v>
      </c>
      <c r="O256" s="221">
        <f>CTesorería!M96+CTesorería!M134</f>
        <v>0</v>
      </c>
      <c r="P256" s="221">
        <f>CTesorería!N96+CTesorería!N134</f>
        <v>0</v>
      </c>
      <c r="Q256" s="221">
        <f>CTesorería!O96+CTesorería!O134</f>
        <v>0</v>
      </c>
      <c r="R256" s="974">
        <f>CTesorería!P96+CTesorería!P134</f>
        <v>0</v>
      </c>
      <c r="S256" s="1200"/>
      <c r="T256" s="259"/>
      <c r="U256" s="412"/>
      <c r="V256" s="412"/>
      <c r="W256" s="412"/>
      <c r="X256" s="412"/>
      <c r="Y256" s="412"/>
      <c r="Z256" s="412"/>
      <c r="AA256" s="412"/>
      <c r="AB256" s="412"/>
      <c r="AC256" s="412"/>
      <c r="AD256" s="412"/>
      <c r="AE256" s="412"/>
      <c r="AF256" s="412"/>
      <c r="AG256" s="412"/>
      <c r="AH256" s="412"/>
      <c r="AI256" s="412"/>
      <c r="AJ256" s="412"/>
      <c r="AK256" s="412"/>
      <c r="AL256" s="412"/>
      <c r="AM256" s="412"/>
      <c r="AN256" s="412"/>
      <c r="AO256" s="412"/>
      <c r="AP256" s="412"/>
      <c r="AQ256" s="449"/>
    </row>
    <row r="257" spans="2:43" ht="14.25" x14ac:dyDescent="0.2">
      <c r="B257" s="412"/>
      <c r="C257" s="1190"/>
      <c r="D257" s="983" t="s">
        <v>1626</v>
      </c>
      <c r="E257" s="221">
        <f t="shared" si="51"/>
        <v>0</v>
      </c>
      <c r="F257" s="223">
        <f t="shared" si="53"/>
        <v>0</v>
      </c>
      <c r="G257" s="221">
        <f>CTesorería!E97</f>
        <v>0</v>
      </c>
      <c r="H257" s="221">
        <f>CTesorería!F97</f>
        <v>0</v>
      </c>
      <c r="I257" s="221">
        <f>CTesorería!G97</f>
        <v>0</v>
      </c>
      <c r="J257" s="221">
        <f>CTesorería!H97</f>
        <v>0</v>
      </c>
      <c r="K257" s="221">
        <f>CTesorería!I97</f>
        <v>0</v>
      </c>
      <c r="L257" s="221">
        <f>CTesorería!J97</f>
        <v>0</v>
      </c>
      <c r="M257" s="221">
        <f>CTesorería!K97</f>
        <v>0</v>
      </c>
      <c r="N257" s="221">
        <f>CTesorería!L97</f>
        <v>0</v>
      </c>
      <c r="O257" s="221">
        <f>CTesorería!M97</f>
        <v>0</v>
      </c>
      <c r="P257" s="221">
        <f>CTesorería!N97</f>
        <v>0</v>
      </c>
      <c r="Q257" s="221">
        <f>CTesorería!O97</f>
        <v>0</v>
      </c>
      <c r="R257" s="974">
        <f>CTesorería!P97</f>
        <v>0</v>
      </c>
      <c r="S257" s="1200"/>
      <c r="T257" s="259"/>
      <c r="U257" s="412"/>
      <c r="V257" s="412"/>
      <c r="W257" s="412"/>
      <c r="X257" s="412"/>
      <c r="Y257" s="412"/>
      <c r="Z257" s="412"/>
      <c r="AA257" s="412"/>
      <c r="AB257" s="412"/>
      <c r="AC257" s="412"/>
      <c r="AD257" s="412"/>
      <c r="AE257" s="412"/>
      <c r="AF257" s="412"/>
      <c r="AG257" s="412"/>
      <c r="AH257" s="412"/>
      <c r="AI257" s="412"/>
      <c r="AJ257" s="412"/>
      <c r="AK257" s="412"/>
      <c r="AL257" s="412"/>
      <c r="AM257" s="412"/>
      <c r="AN257" s="412"/>
      <c r="AO257" s="412"/>
      <c r="AP257" s="412"/>
      <c r="AQ257" s="449"/>
    </row>
    <row r="258" spans="2:43" ht="14.25" x14ac:dyDescent="0.2">
      <c r="B258" s="412"/>
      <c r="C258" s="1190"/>
      <c r="D258" s="983" t="s">
        <v>803</v>
      </c>
      <c r="E258" s="221">
        <f t="shared" si="51"/>
        <v>0</v>
      </c>
      <c r="F258" s="223">
        <f t="shared" si="53"/>
        <v>0</v>
      </c>
      <c r="G258" s="221">
        <f>CTesorería!E98</f>
        <v>0</v>
      </c>
      <c r="H258" s="221">
        <f>CTesorería!F98</f>
        <v>0</v>
      </c>
      <c r="I258" s="221">
        <f>CTesorería!G98</f>
        <v>0</v>
      </c>
      <c r="J258" s="221">
        <f>CTesorería!H98</f>
        <v>0</v>
      </c>
      <c r="K258" s="221">
        <f>CTesorería!I98</f>
        <v>0</v>
      </c>
      <c r="L258" s="221">
        <f>CTesorería!J98</f>
        <v>0</v>
      </c>
      <c r="M258" s="221">
        <f>CTesorería!K98</f>
        <v>0</v>
      </c>
      <c r="N258" s="221">
        <f>CTesorería!L98</f>
        <v>0</v>
      </c>
      <c r="O258" s="221">
        <f>CTesorería!M98</f>
        <v>0</v>
      </c>
      <c r="P258" s="221">
        <f>CTesorería!N98</f>
        <v>0</v>
      </c>
      <c r="Q258" s="221">
        <f>CTesorería!O98</f>
        <v>0</v>
      </c>
      <c r="R258" s="974">
        <f>CTesorería!P98</f>
        <v>0</v>
      </c>
      <c r="S258" s="1200"/>
      <c r="T258" s="259"/>
      <c r="U258" s="412"/>
      <c r="V258" s="412"/>
      <c r="W258" s="412"/>
      <c r="X258" s="412"/>
      <c r="Y258" s="412"/>
      <c r="Z258" s="412"/>
      <c r="AA258" s="412"/>
      <c r="AB258" s="412"/>
      <c r="AC258" s="412"/>
      <c r="AD258" s="412"/>
      <c r="AE258" s="412"/>
      <c r="AF258" s="412"/>
      <c r="AG258" s="412"/>
      <c r="AH258" s="412"/>
      <c r="AI258" s="412"/>
      <c r="AJ258" s="412"/>
      <c r="AK258" s="412"/>
      <c r="AL258" s="412"/>
      <c r="AM258" s="412"/>
      <c r="AN258" s="412"/>
      <c r="AO258" s="412"/>
      <c r="AP258" s="412"/>
      <c r="AQ258" s="449"/>
    </row>
    <row r="259" spans="2:43" ht="14.25" x14ac:dyDescent="0.2">
      <c r="B259" s="412"/>
      <c r="C259" s="1190"/>
      <c r="D259" s="983" t="str">
        <f>'3'!E17</f>
        <v xml:space="preserve">Publicidad </v>
      </c>
      <c r="E259" s="221">
        <f t="shared" si="51"/>
        <v>0</v>
      </c>
      <c r="F259" s="223">
        <f t="shared" si="53"/>
        <v>0</v>
      </c>
      <c r="G259" s="221">
        <f>CTesorería!E99</f>
        <v>0</v>
      </c>
      <c r="H259" s="221">
        <f>CTesorería!F99</f>
        <v>0</v>
      </c>
      <c r="I259" s="221">
        <f>CTesorería!G99</f>
        <v>0</v>
      </c>
      <c r="J259" s="221">
        <f>CTesorería!H99</f>
        <v>0</v>
      </c>
      <c r="K259" s="221">
        <f>CTesorería!I99</f>
        <v>0</v>
      </c>
      <c r="L259" s="221">
        <f>CTesorería!J99</f>
        <v>0</v>
      </c>
      <c r="M259" s="221">
        <f>CTesorería!K99</f>
        <v>0</v>
      </c>
      <c r="N259" s="221">
        <f>CTesorería!L99</f>
        <v>0</v>
      </c>
      <c r="O259" s="221">
        <f>CTesorería!M99</f>
        <v>0</v>
      </c>
      <c r="P259" s="221">
        <f>CTesorería!N99</f>
        <v>0</v>
      </c>
      <c r="Q259" s="221">
        <f>CTesorería!O99</f>
        <v>0</v>
      </c>
      <c r="R259" s="974">
        <f>CTesorería!P99</f>
        <v>0</v>
      </c>
      <c r="S259" s="1200"/>
      <c r="T259" s="259"/>
      <c r="U259" s="412"/>
      <c r="V259" s="412"/>
      <c r="W259" s="412"/>
      <c r="X259" s="412"/>
      <c r="Y259" s="412"/>
      <c r="Z259" s="412"/>
      <c r="AA259" s="412"/>
      <c r="AB259" s="412"/>
      <c r="AC259" s="412"/>
      <c r="AD259" s="412"/>
      <c r="AE259" s="412"/>
      <c r="AF259" s="412"/>
      <c r="AG259" s="412"/>
      <c r="AH259" s="412"/>
      <c r="AI259" s="412"/>
      <c r="AJ259" s="412"/>
      <c r="AK259" s="412"/>
      <c r="AL259" s="412"/>
      <c r="AM259" s="412"/>
      <c r="AN259" s="412"/>
      <c r="AO259" s="412"/>
      <c r="AP259" s="412"/>
      <c r="AQ259" s="449"/>
    </row>
    <row r="260" spans="2:43" ht="14.25" x14ac:dyDescent="0.2">
      <c r="B260" s="412"/>
      <c r="C260" s="1190"/>
      <c r="D260" s="983" t="str">
        <f>'3'!E18</f>
        <v>Relaciones Púb.</v>
      </c>
      <c r="E260" s="221">
        <f t="shared" si="51"/>
        <v>0</v>
      </c>
      <c r="F260" s="223">
        <f t="shared" si="53"/>
        <v>0</v>
      </c>
      <c r="G260" s="221">
        <f>CTesorería!E100</f>
        <v>0</v>
      </c>
      <c r="H260" s="221">
        <f>CTesorería!F100</f>
        <v>0</v>
      </c>
      <c r="I260" s="221">
        <f>CTesorería!G100</f>
        <v>0</v>
      </c>
      <c r="J260" s="221">
        <f>CTesorería!H100</f>
        <v>0</v>
      </c>
      <c r="K260" s="221">
        <f>CTesorería!I100</f>
        <v>0</v>
      </c>
      <c r="L260" s="221">
        <f>CTesorería!J100</f>
        <v>0</v>
      </c>
      <c r="M260" s="221">
        <f>CTesorería!K100</f>
        <v>0</v>
      </c>
      <c r="N260" s="221">
        <f>CTesorería!L100</f>
        <v>0</v>
      </c>
      <c r="O260" s="221">
        <f>CTesorería!M100</f>
        <v>0</v>
      </c>
      <c r="P260" s="221">
        <f>CTesorería!N100</f>
        <v>0</v>
      </c>
      <c r="Q260" s="221">
        <f>CTesorería!O100</f>
        <v>0</v>
      </c>
      <c r="R260" s="974">
        <f>CTesorería!P100</f>
        <v>0</v>
      </c>
      <c r="S260" s="1200"/>
      <c r="T260" s="259"/>
      <c r="U260" s="412"/>
      <c r="V260" s="412"/>
      <c r="W260" s="412"/>
      <c r="X260" s="412"/>
      <c r="Y260" s="412"/>
      <c r="Z260" s="412"/>
      <c r="AA260" s="412"/>
      <c r="AB260" s="412"/>
      <c r="AC260" s="412"/>
      <c r="AD260" s="412"/>
      <c r="AE260" s="412"/>
      <c r="AF260" s="412"/>
      <c r="AG260" s="412"/>
      <c r="AH260" s="412"/>
      <c r="AI260" s="412"/>
      <c r="AJ260" s="412"/>
      <c r="AK260" s="412"/>
      <c r="AL260" s="412"/>
      <c r="AM260" s="412"/>
      <c r="AN260" s="412"/>
      <c r="AO260" s="412"/>
      <c r="AP260" s="412"/>
      <c r="AQ260" s="449"/>
    </row>
    <row r="261" spans="2:43" ht="14.25" x14ac:dyDescent="0.2">
      <c r="B261" s="412"/>
      <c r="C261" s="1190"/>
      <c r="D261" s="983" t="s">
        <v>687</v>
      </c>
      <c r="E261" s="221">
        <f t="shared" si="51"/>
        <v>0</v>
      </c>
      <c r="F261" s="223">
        <f t="shared" si="53"/>
        <v>0</v>
      </c>
      <c r="G261" s="221">
        <f>CTesorería!E101</f>
        <v>0</v>
      </c>
      <c r="H261" s="221">
        <f>CTesorería!F101</f>
        <v>0</v>
      </c>
      <c r="I261" s="221">
        <f>CTesorería!G101</f>
        <v>0</v>
      </c>
      <c r="J261" s="221">
        <f>CTesorería!H101</f>
        <v>0</v>
      </c>
      <c r="K261" s="221">
        <f>CTesorería!I101</f>
        <v>0</v>
      </c>
      <c r="L261" s="221">
        <f>CTesorería!J101</f>
        <v>0</v>
      </c>
      <c r="M261" s="221">
        <f>CTesorería!K101</f>
        <v>0</v>
      </c>
      <c r="N261" s="221">
        <f>CTesorería!L101</f>
        <v>0</v>
      </c>
      <c r="O261" s="221">
        <f>CTesorería!M101</f>
        <v>0</v>
      </c>
      <c r="P261" s="221">
        <f>CTesorería!N101</f>
        <v>0</v>
      </c>
      <c r="Q261" s="221">
        <f>CTesorería!O101</f>
        <v>0</v>
      </c>
      <c r="R261" s="974">
        <f>CTesorería!P101</f>
        <v>0</v>
      </c>
      <c r="S261" s="1200"/>
      <c r="T261" s="259"/>
      <c r="U261" s="412"/>
      <c r="V261" s="412"/>
      <c r="W261" s="412"/>
      <c r="X261" s="412"/>
      <c r="Y261" s="412"/>
      <c r="Z261" s="412"/>
      <c r="AA261" s="412"/>
      <c r="AB261" s="412"/>
      <c r="AC261" s="412"/>
      <c r="AD261" s="412"/>
      <c r="AE261" s="412"/>
      <c r="AF261" s="412"/>
      <c r="AG261" s="412"/>
      <c r="AH261" s="412"/>
      <c r="AI261" s="412"/>
      <c r="AJ261" s="412"/>
      <c r="AK261" s="412"/>
      <c r="AL261" s="412"/>
      <c r="AM261" s="412"/>
      <c r="AN261" s="412"/>
      <c r="AO261" s="412"/>
      <c r="AP261" s="412"/>
      <c r="AQ261" s="449"/>
    </row>
    <row r="262" spans="2:43" ht="14.25" x14ac:dyDescent="0.2">
      <c r="B262" s="412"/>
      <c r="C262" s="1190"/>
      <c r="D262" s="983" t="s">
        <v>688</v>
      </c>
      <c r="E262" s="221">
        <f t="shared" si="51"/>
        <v>0</v>
      </c>
      <c r="F262" s="223">
        <f t="shared" si="53"/>
        <v>0</v>
      </c>
      <c r="G262" s="221">
        <f>CTesorería!E102</f>
        <v>0</v>
      </c>
      <c r="H262" s="221">
        <f>CTesorería!F102</f>
        <v>0</v>
      </c>
      <c r="I262" s="221">
        <f>CTesorería!G102</f>
        <v>0</v>
      </c>
      <c r="J262" s="221">
        <f>CTesorería!H102</f>
        <v>0</v>
      </c>
      <c r="K262" s="221">
        <f>CTesorería!I102</f>
        <v>0</v>
      </c>
      <c r="L262" s="221">
        <f>CTesorería!J102</f>
        <v>0</v>
      </c>
      <c r="M262" s="221">
        <f>CTesorería!K102</f>
        <v>0</v>
      </c>
      <c r="N262" s="221">
        <f>CTesorería!L102</f>
        <v>0</v>
      </c>
      <c r="O262" s="221">
        <f>CTesorería!M102</f>
        <v>0</v>
      </c>
      <c r="P262" s="221">
        <f>CTesorería!N102</f>
        <v>0</v>
      </c>
      <c r="Q262" s="221">
        <f>CTesorería!O102</f>
        <v>0</v>
      </c>
      <c r="R262" s="974">
        <f>CTesorería!P102</f>
        <v>0</v>
      </c>
      <c r="S262" s="1200"/>
      <c r="T262" s="259"/>
      <c r="U262" s="412"/>
      <c r="V262" s="412"/>
      <c r="W262" s="412"/>
      <c r="X262" s="412"/>
      <c r="Y262" s="412"/>
      <c r="Z262" s="412"/>
      <c r="AA262" s="412"/>
      <c r="AB262" s="412"/>
      <c r="AC262" s="412"/>
      <c r="AD262" s="412"/>
      <c r="AE262" s="412"/>
      <c r="AF262" s="412"/>
      <c r="AG262" s="412"/>
      <c r="AH262" s="412"/>
      <c r="AI262" s="412"/>
      <c r="AJ262" s="412"/>
      <c r="AK262" s="412"/>
      <c r="AL262" s="412"/>
      <c r="AM262" s="412"/>
      <c r="AN262" s="412"/>
      <c r="AO262" s="412"/>
      <c r="AP262" s="412"/>
      <c r="AQ262" s="449"/>
    </row>
    <row r="263" spans="2:43" ht="14.25" x14ac:dyDescent="0.2">
      <c r="B263" s="412"/>
      <c r="C263" s="1190"/>
      <c r="D263" s="983" t="str">
        <f>CTesorería!B103</f>
        <v>Gastos I+D</v>
      </c>
      <c r="E263" s="221">
        <f t="shared" si="51"/>
        <v>0</v>
      </c>
      <c r="F263" s="223">
        <f t="shared" si="53"/>
        <v>0</v>
      </c>
      <c r="G263" s="221">
        <f>CTesorería!E103</f>
        <v>0</v>
      </c>
      <c r="H263" s="221">
        <f>CTesorería!F103</f>
        <v>0</v>
      </c>
      <c r="I263" s="221">
        <f>CTesorería!G103</f>
        <v>0</v>
      </c>
      <c r="J263" s="221">
        <f>CTesorería!H103</f>
        <v>0</v>
      </c>
      <c r="K263" s="221">
        <f>CTesorería!I103</f>
        <v>0</v>
      </c>
      <c r="L263" s="221">
        <f>CTesorería!J103</f>
        <v>0</v>
      </c>
      <c r="M263" s="221">
        <f>CTesorería!K103</f>
        <v>0</v>
      </c>
      <c r="N263" s="221">
        <f>CTesorería!L103</f>
        <v>0</v>
      </c>
      <c r="O263" s="221">
        <f>CTesorería!M103</f>
        <v>0</v>
      </c>
      <c r="P263" s="221">
        <f>CTesorería!N103</f>
        <v>0</v>
      </c>
      <c r="Q263" s="221">
        <f>CTesorería!O103</f>
        <v>0</v>
      </c>
      <c r="R263" s="974">
        <f>CTesorería!P103</f>
        <v>0</v>
      </c>
      <c r="S263" s="1200"/>
      <c r="T263" s="259"/>
      <c r="U263" s="412"/>
      <c r="V263" s="412"/>
      <c r="W263" s="412"/>
      <c r="X263" s="412"/>
      <c r="Y263" s="412"/>
      <c r="Z263" s="412"/>
      <c r="AA263" s="412"/>
      <c r="AB263" s="412"/>
      <c r="AC263" s="412"/>
      <c r="AD263" s="412"/>
      <c r="AE263" s="412"/>
      <c r="AF263" s="412"/>
      <c r="AG263" s="412"/>
      <c r="AH263" s="412"/>
      <c r="AI263" s="412"/>
      <c r="AJ263" s="412"/>
      <c r="AK263" s="412"/>
      <c r="AL263" s="412"/>
      <c r="AM263" s="412"/>
      <c r="AN263" s="412"/>
      <c r="AO263" s="412"/>
      <c r="AP263" s="412"/>
      <c r="AQ263" s="449"/>
    </row>
    <row r="264" spans="2:43" ht="14.25" x14ac:dyDescent="0.2">
      <c r="B264" s="412"/>
      <c r="C264" s="1190"/>
      <c r="D264" s="983" t="str">
        <f>CTesorería!B104</f>
        <v>Arrendamientos</v>
      </c>
      <c r="E264" s="221">
        <f t="shared" si="51"/>
        <v>0</v>
      </c>
      <c r="F264" s="223">
        <f t="shared" si="53"/>
        <v>0</v>
      </c>
      <c r="G264" s="221">
        <f>CTesorería!E104</f>
        <v>0</v>
      </c>
      <c r="H264" s="221">
        <f>CTesorería!F104</f>
        <v>0</v>
      </c>
      <c r="I264" s="221">
        <f>CTesorería!G104</f>
        <v>0</v>
      </c>
      <c r="J264" s="221">
        <f>CTesorería!H104</f>
        <v>0</v>
      </c>
      <c r="K264" s="221">
        <f>CTesorería!I104</f>
        <v>0</v>
      </c>
      <c r="L264" s="221">
        <f>CTesorería!J104</f>
        <v>0</v>
      </c>
      <c r="M264" s="221">
        <f>CTesorería!K104</f>
        <v>0</v>
      </c>
      <c r="N264" s="221">
        <f>CTesorería!L104</f>
        <v>0</v>
      </c>
      <c r="O264" s="221">
        <f>CTesorería!M104</f>
        <v>0</v>
      </c>
      <c r="P264" s="221">
        <f>CTesorería!N104</f>
        <v>0</v>
      </c>
      <c r="Q264" s="221">
        <f>CTesorería!O104</f>
        <v>0</v>
      </c>
      <c r="R264" s="974">
        <f>CTesorería!P104</f>
        <v>0</v>
      </c>
      <c r="S264" s="1200"/>
      <c r="T264" s="259"/>
      <c r="U264" s="412"/>
      <c r="V264" s="412"/>
      <c r="W264" s="412"/>
      <c r="X264" s="412"/>
      <c r="Y264" s="412"/>
      <c r="Z264" s="412"/>
      <c r="AA264" s="412"/>
      <c r="AB264" s="412"/>
      <c r="AC264" s="412"/>
      <c r="AD264" s="412"/>
      <c r="AE264" s="412"/>
      <c r="AF264" s="412"/>
      <c r="AG264" s="412"/>
      <c r="AH264" s="412"/>
      <c r="AI264" s="412"/>
      <c r="AJ264" s="412"/>
      <c r="AK264" s="412"/>
      <c r="AL264" s="412"/>
      <c r="AM264" s="412"/>
      <c r="AN264" s="412"/>
      <c r="AO264" s="412"/>
      <c r="AP264" s="412"/>
      <c r="AQ264" s="449"/>
    </row>
    <row r="265" spans="2:43" ht="14.25" x14ac:dyDescent="0.2">
      <c r="B265" s="412"/>
      <c r="C265" s="1190"/>
      <c r="D265" s="983" t="str">
        <f>CTesorería!B105</f>
        <v>Conservación</v>
      </c>
      <c r="E265" s="221">
        <f t="shared" si="51"/>
        <v>0</v>
      </c>
      <c r="F265" s="223">
        <f t="shared" si="53"/>
        <v>0</v>
      </c>
      <c r="G265" s="221">
        <f>CTesorería!E105</f>
        <v>0</v>
      </c>
      <c r="H265" s="221">
        <f>CTesorería!F105</f>
        <v>0</v>
      </c>
      <c r="I265" s="221">
        <f>CTesorería!G105</f>
        <v>0</v>
      </c>
      <c r="J265" s="221">
        <f>CTesorería!H105</f>
        <v>0</v>
      </c>
      <c r="K265" s="221">
        <f>CTesorería!I105</f>
        <v>0</v>
      </c>
      <c r="L265" s="221">
        <f>CTesorería!J105</f>
        <v>0</v>
      </c>
      <c r="M265" s="221">
        <f>CTesorería!K105</f>
        <v>0</v>
      </c>
      <c r="N265" s="221">
        <f>CTesorería!L105</f>
        <v>0</v>
      </c>
      <c r="O265" s="221">
        <f>CTesorería!M105</f>
        <v>0</v>
      </c>
      <c r="P265" s="221">
        <f>CTesorería!N105</f>
        <v>0</v>
      </c>
      <c r="Q265" s="221">
        <f>CTesorería!O105</f>
        <v>0</v>
      </c>
      <c r="R265" s="974">
        <f>CTesorería!P105</f>
        <v>0</v>
      </c>
      <c r="S265" s="1200"/>
      <c r="T265" s="259"/>
      <c r="U265" s="412"/>
      <c r="V265" s="412"/>
      <c r="W265" s="412"/>
      <c r="X265" s="412"/>
      <c r="Y265" s="412"/>
      <c r="Z265" s="412"/>
      <c r="AA265" s="412"/>
      <c r="AB265" s="412"/>
      <c r="AC265" s="412"/>
      <c r="AD265" s="412"/>
      <c r="AE265" s="412"/>
      <c r="AF265" s="412"/>
      <c r="AG265" s="412"/>
      <c r="AH265" s="412"/>
      <c r="AI265" s="412"/>
      <c r="AJ265" s="412"/>
      <c r="AK265" s="412"/>
      <c r="AL265" s="412"/>
      <c r="AM265" s="412"/>
      <c r="AN265" s="412"/>
      <c r="AO265" s="412"/>
      <c r="AP265" s="412"/>
      <c r="AQ265" s="449"/>
    </row>
    <row r="266" spans="2:43" ht="14.25" x14ac:dyDescent="0.2">
      <c r="B266" s="412"/>
      <c r="C266" s="1190"/>
      <c r="D266" s="983" t="str">
        <f>CTesorería!B106</f>
        <v>S. Profesionales</v>
      </c>
      <c r="E266" s="221">
        <f t="shared" si="51"/>
        <v>0</v>
      </c>
      <c r="F266" s="223">
        <f t="shared" si="53"/>
        <v>0</v>
      </c>
      <c r="G266" s="221">
        <f>CTesorería!E106</f>
        <v>0</v>
      </c>
      <c r="H266" s="221">
        <f>CTesorería!F106</f>
        <v>0</v>
      </c>
      <c r="I266" s="221">
        <f>CTesorería!G106</f>
        <v>0</v>
      </c>
      <c r="J266" s="221">
        <f>CTesorería!H106</f>
        <v>0</v>
      </c>
      <c r="K266" s="221">
        <f>CTesorería!I106</f>
        <v>0</v>
      </c>
      <c r="L266" s="221">
        <f>CTesorería!J106</f>
        <v>0</v>
      </c>
      <c r="M266" s="221">
        <f>CTesorería!K106</f>
        <v>0</v>
      </c>
      <c r="N266" s="221">
        <f>CTesorería!L106</f>
        <v>0</v>
      </c>
      <c r="O266" s="221">
        <f>CTesorería!M106</f>
        <v>0</v>
      </c>
      <c r="P266" s="221">
        <f>CTesorería!N106</f>
        <v>0</v>
      </c>
      <c r="Q266" s="221">
        <f>CTesorería!O106</f>
        <v>0</v>
      </c>
      <c r="R266" s="974">
        <f>CTesorería!P106</f>
        <v>0</v>
      </c>
      <c r="S266" s="1200"/>
      <c r="T266" s="259"/>
      <c r="U266" s="412"/>
      <c r="V266" s="412"/>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49"/>
    </row>
    <row r="267" spans="2:43" ht="14.25" x14ac:dyDescent="0.2">
      <c r="B267" s="412"/>
      <c r="C267" s="1190"/>
      <c r="D267" s="983" t="s">
        <v>818</v>
      </c>
      <c r="E267" s="221">
        <f t="shared" si="51"/>
        <v>0</v>
      </c>
      <c r="F267" s="223">
        <f t="shared" si="53"/>
        <v>0</v>
      </c>
      <c r="G267" s="221">
        <f>CTesorería!E107</f>
        <v>0</v>
      </c>
      <c r="H267" s="221">
        <f>CTesorería!F107</f>
        <v>0</v>
      </c>
      <c r="I267" s="221">
        <f>CTesorería!G107</f>
        <v>0</v>
      </c>
      <c r="J267" s="221">
        <f>CTesorería!H107</f>
        <v>0</v>
      </c>
      <c r="K267" s="221">
        <f>CTesorería!I107</f>
        <v>0</v>
      </c>
      <c r="L267" s="221">
        <f>CTesorería!J107</f>
        <v>0</v>
      </c>
      <c r="M267" s="221">
        <f>CTesorería!K107</f>
        <v>0</v>
      </c>
      <c r="N267" s="221">
        <f>CTesorería!L107</f>
        <v>0</v>
      </c>
      <c r="O267" s="221">
        <f>CTesorería!M107</f>
        <v>0</v>
      </c>
      <c r="P267" s="221">
        <f>CTesorería!N107</f>
        <v>0</v>
      </c>
      <c r="Q267" s="221">
        <f>CTesorería!O107</f>
        <v>0</v>
      </c>
      <c r="R267" s="974">
        <f>CTesorería!P107</f>
        <v>0</v>
      </c>
      <c r="S267" s="1200"/>
      <c r="T267" s="259"/>
      <c r="U267" s="412"/>
      <c r="V267" s="412"/>
      <c r="W267" s="412"/>
      <c r="X267" s="412"/>
      <c r="Y267" s="412"/>
      <c r="Z267" s="412"/>
      <c r="AA267" s="412"/>
      <c r="AB267" s="412"/>
      <c r="AC267" s="412"/>
      <c r="AD267" s="412"/>
      <c r="AE267" s="412"/>
      <c r="AF267" s="412"/>
      <c r="AG267" s="412"/>
      <c r="AH267" s="412"/>
      <c r="AI267" s="412"/>
      <c r="AJ267" s="412"/>
      <c r="AK267" s="412"/>
      <c r="AL267" s="412"/>
      <c r="AM267" s="412"/>
      <c r="AN267" s="412"/>
      <c r="AO267" s="412"/>
      <c r="AP267" s="412"/>
      <c r="AQ267" s="449"/>
    </row>
    <row r="268" spans="2:43" ht="14.25" x14ac:dyDescent="0.2">
      <c r="B268" s="412"/>
      <c r="C268" s="1190"/>
      <c r="D268" s="983" t="str">
        <f>CTesorería!B108</f>
        <v>Seguros</v>
      </c>
      <c r="E268" s="221">
        <f t="shared" si="51"/>
        <v>0</v>
      </c>
      <c r="F268" s="223">
        <f t="shared" si="53"/>
        <v>0</v>
      </c>
      <c r="G268" s="221">
        <f>CTesorería!E108</f>
        <v>0</v>
      </c>
      <c r="H268" s="221">
        <f>CTesorería!F108</f>
        <v>0</v>
      </c>
      <c r="I268" s="221">
        <f>CTesorería!G108</f>
        <v>0</v>
      </c>
      <c r="J268" s="221">
        <f>CTesorería!H108</f>
        <v>0</v>
      </c>
      <c r="K268" s="221">
        <f>CTesorería!I108</f>
        <v>0</v>
      </c>
      <c r="L268" s="221">
        <f>CTesorería!J108</f>
        <v>0</v>
      </c>
      <c r="M268" s="221">
        <f>CTesorería!K108</f>
        <v>0</v>
      </c>
      <c r="N268" s="221">
        <f>CTesorería!L108</f>
        <v>0</v>
      </c>
      <c r="O268" s="221">
        <f>CTesorería!M108</f>
        <v>0</v>
      </c>
      <c r="P268" s="221">
        <f>CTesorería!N108</f>
        <v>0</v>
      </c>
      <c r="Q268" s="221">
        <f>CTesorería!O108</f>
        <v>0</v>
      </c>
      <c r="R268" s="974">
        <f>CTesorería!P108</f>
        <v>0</v>
      </c>
      <c r="S268" s="1200"/>
      <c r="T268" s="259"/>
      <c r="U268" s="412"/>
      <c r="V268" s="412"/>
      <c r="W268" s="412"/>
      <c r="X268" s="412"/>
      <c r="Y268" s="412"/>
      <c r="Z268" s="412"/>
      <c r="AA268" s="412"/>
      <c r="AB268" s="412"/>
      <c r="AC268" s="412"/>
      <c r="AD268" s="412"/>
      <c r="AE268" s="412"/>
      <c r="AF268" s="412"/>
      <c r="AG268" s="412"/>
      <c r="AH268" s="412"/>
      <c r="AI268" s="412"/>
      <c r="AJ268" s="412"/>
      <c r="AK268" s="412"/>
      <c r="AL268" s="412"/>
      <c r="AM268" s="412"/>
      <c r="AN268" s="412"/>
      <c r="AO268" s="412"/>
      <c r="AP268" s="412"/>
      <c r="AQ268" s="449"/>
    </row>
    <row r="269" spans="2:43" ht="14.25" x14ac:dyDescent="0.2">
      <c r="B269" s="412"/>
      <c r="C269" s="1190"/>
      <c r="D269" s="983" t="str">
        <f>CTesorería!B109</f>
        <v>Otros servicios</v>
      </c>
      <c r="E269" s="221">
        <f t="shared" si="51"/>
        <v>0</v>
      </c>
      <c r="F269" s="223">
        <f t="shared" si="53"/>
        <v>0</v>
      </c>
      <c r="G269" s="221">
        <f>CTesorería!E109</f>
        <v>0</v>
      </c>
      <c r="H269" s="221">
        <f>CTesorería!F109</f>
        <v>0</v>
      </c>
      <c r="I269" s="221">
        <f>CTesorería!G109</f>
        <v>0</v>
      </c>
      <c r="J269" s="221">
        <f>CTesorería!H109</f>
        <v>0</v>
      </c>
      <c r="K269" s="221">
        <f>CTesorería!I109</f>
        <v>0</v>
      </c>
      <c r="L269" s="221">
        <f>CTesorería!J109</f>
        <v>0</v>
      </c>
      <c r="M269" s="221">
        <f>CTesorería!K109</f>
        <v>0</v>
      </c>
      <c r="N269" s="221">
        <f>CTesorería!L109</f>
        <v>0</v>
      </c>
      <c r="O269" s="221">
        <f>CTesorería!M109</f>
        <v>0</v>
      </c>
      <c r="P269" s="221">
        <f>CTesorería!N109</f>
        <v>0</v>
      </c>
      <c r="Q269" s="221">
        <f>CTesorería!O109</f>
        <v>0</v>
      </c>
      <c r="R269" s="974">
        <f>CTesorería!P109</f>
        <v>0</v>
      </c>
      <c r="S269" s="1200"/>
      <c r="T269" s="259"/>
      <c r="U269" s="412"/>
      <c r="V269" s="412"/>
      <c r="W269" s="412"/>
      <c r="X269" s="412"/>
      <c r="Y269" s="412"/>
      <c r="Z269" s="412"/>
      <c r="AA269" s="412"/>
      <c r="AB269" s="412"/>
      <c r="AC269" s="412"/>
      <c r="AD269" s="412"/>
      <c r="AE269" s="412"/>
      <c r="AF269" s="412"/>
      <c r="AG269" s="412"/>
      <c r="AH269" s="412"/>
      <c r="AI269" s="412"/>
      <c r="AJ269" s="412"/>
      <c r="AK269" s="412"/>
      <c r="AL269" s="412"/>
      <c r="AM269" s="412"/>
      <c r="AN269" s="412"/>
      <c r="AO269" s="412"/>
      <c r="AP269" s="412"/>
      <c r="AQ269" s="449"/>
    </row>
    <row r="270" spans="2:43" ht="14.25" x14ac:dyDescent="0.2">
      <c r="B270" s="412"/>
      <c r="C270" s="1190"/>
      <c r="D270" s="983" t="str">
        <f>CTesorería!B110</f>
        <v>Suministros</v>
      </c>
      <c r="E270" s="221">
        <f t="shared" si="51"/>
        <v>0</v>
      </c>
      <c r="F270" s="223">
        <f t="shared" si="53"/>
        <v>0</v>
      </c>
      <c r="G270" s="221">
        <f>CTesorería!E110</f>
        <v>0</v>
      </c>
      <c r="H270" s="221">
        <f>CTesorería!F110</f>
        <v>0</v>
      </c>
      <c r="I270" s="221">
        <f>CTesorería!G110</f>
        <v>0</v>
      </c>
      <c r="J270" s="221">
        <f>CTesorería!H110</f>
        <v>0</v>
      </c>
      <c r="K270" s="221">
        <f>CTesorería!I110</f>
        <v>0</v>
      </c>
      <c r="L270" s="221">
        <f>CTesorería!J110</f>
        <v>0</v>
      </c>
      <c r="M270" s="221">
        <f>CTesorería!K110</f>
        <v>0</v>
      </c>
      <c r="N270" s="221">
        <f>CTesorería!L110</f>
        <v>0</v>
      </c>
      <c r="O270" s="221">
        <f>CTesorería!M110</f>
        <v>0</v>
      </c>
      <c r="P270" s="221">
        <f>CTesorería!N110</f>
        <v>0</v>
      </c>
      <c r="Q270" s="221">
        <f>CTesorería!O110</f>
        <v>0</v>
      </c>
      <c r="R270" s="974">
        <f>CTesorería!P110</f>
        <v>0</v>
      </c>
      <c r="S270" s="1200"/>
      <c r="T270" s="259"/>
      <c r="U270" s="412"/>
      <c r="V270" s="412"/>
      <c r="W270" s="412"/>
      <c r="X270" s="412"/>
      <c r="Y270" s="412"/>
      <c r="Z270" s="412"/>
      <c r="AA270" s="412"/>
      <c r="AB270" s="412"/>
      <c r="AC270" s="412"/>
      <c r="AD270" s="412"/>
      <c r="AE270" s="412"/>
      <c r="AF270" s="412"/>
      <c r="AG270" s="412"/>
      <c r="AH270" s="412"/>
      <c r="AI270" s="412"/>
      <c r="AJ270" s="412"/>
      <c r="AK270" s="412"/>
      <c r="AL270" s="412"/>
      <c r="AM270" s="412"/>
      <c r="AN270" s="412"/>
      <c r="AO270" s="412"/>
      <c r="AP270" s="412"/>
      <c r="AQ270" s="449"/>
    </row>
    <row r="271" spans="2:43" ht="14.25" x14ac:dyDescent="0.2">
      <c r="B271" s="412"/>
      <c r="C271" s="1190"/>
      <c r="D271" s="983" t="str">
        <f>CTesorería!B111</f>
        <v>Viajes, dietas…</v>
      </c>
      <c r="E271" s="221">
        <f t="shared" si="51"/>
        <v>0</v>
      </c>
      <c r="F271" s="223">
        <f t="shared" si="53"/>
        <v>0</v>
      </c>
      <c r="G271" s="221">
        <f>CTesorería!E111</f>
        <v>0</v>
      </c>
      <c r="H271" s="221">
        <f>CTesorería!F111</f>
        <v>0</v>
      </c>
      <c r="I271" s="221">
        <f>CTesorería!G111</f>
        <v>0</v>
      </c>
      <c r="J271" s="221">
        <f>CTesorería!H111</f>
        <v>0</v>
      </c>
      <c r="K271" s="221">
        <f>CTesorería!I111</f>
        <v>0</v>
      </c>
      <c r="L271" s="221">
        <f>CTesorería!J111</f>
        <v>0</v>
      </c>
      <c r="M271" s="221">
        <f>CTesorería!K111</f>
        <v>0</v>
      </c>
      <c r="N271" s="221">
        <f>CTesorería!L111</f>
        <v>0</v>
      </c>
      <c r="O271" s="221">
        <f>CTesorería!M111</f>
        <v>0</v>
      </c>
      <c r="P271" s="221">
        <f>CTesorería!N111</f>
        <v>0</v>
      </c>
      <c r="Q271" s="221">
        <f>CTesorería!O111</f>
        <v>0</v>
      </c>
      <c r="R271" s="974">
        <f>CTesorería!P111</f>
        <v>0</v>
      </c>
      <c r="S271" s="1200"/>
      <c r="T271" s="259"/>
      <c r="U271" s="412"/>
      <c r="V271" s="412"/>
      <c r="W271" s="412"/>
      <c r="X271" s="412"/>
      <c r="Y271" s="412"/>
      <c r="Z271" s="412"/>
      <c r="AA271" s="412"/>
      <c r="AB271" s="412"/>
      <c r="AC271" s="412"/>
      <c r="AD271" s="412"/>
      <c r="AE271" s="412"/>
      <c r="AF271" s="412"/>
      <c r="AG271" s="412"/>
      <c r="AH271" s="412"/>
      <c r="AI271" s="412"/>
      <c r="AJ271" s="412"/>
      <c r="AK271" s="412"/>
      <c r="AL271" s="412"/>
      <c r="AM271" s="412"/>
      <c r="AN271" s="412"/>
      <c r="AO271" s="412"/>
      <c r="AP271" s="412"/>
      <c r="AQ271" s="449"/>
    </row>
    <row r="272" spans="2:43" ht="14.25" x14ac:dyDescent="0.2">
      <c r="B272" s="412"/>
      <c r="C272" s="1190"/>
      <c r="D272" s="983" t="str">
        <f>CTesorería!B112</f>
        <v>Material Oficina</v>
      </c>
      <c r="E272" s="221">
        <f t="shared" si="51"/>
        <v>0</v>
      </c>
      <c r="F272" s="223">
        <f t="shared" si="53"/>
        <v>0</v>
      </c>
      <c r="G272" s="221">
        <f>CTesorería!E112</f>
        <v>0</v>
      </c>
      <c r="H272" s="221">
        <f>CTesorería!F112</f>
        <v>0</v>
      </c>
      <c r="I272" s="221">
        <f>CTesorería!G112</f>
        <v>0</v>
      </c>
      <c r="J272" s="221">
        <f>CTesorería!H112</f>
        <v>0</v>
      </c>
      <c r="K272" s="221">
        <f>CTesorería!I112</f>
        <v>0</v>
      </c>
      <c r="L272" s="221">
        <f>CTesorería!J112</f>
        <v>0</v>
      </c>
      <c r="M272" s="221">
        <f>CTesorería!K112</f>
        <v>0</v>
      </c>
      <c r="N272" s="221">
        <f>CTesorería!L112</f>
        <v>0</v>
      </c>
      <c r="O272" s="221">
        <f>CTesorería!M112</f>
        <v>0</v>
      </c>
      <c r="P272" s="221">
        <f>CTesorería!N112</f>
        <v>0</v>
      </c>
      <c r="Q272" s="221">
        <f>CTesorería!O112</f>
        <v>0</v>
      </c>
      <c r="R272" s="974">
        <f>CTesorería!P112</f>
        <v>0</v>
      </c>
      <c r="S272" s="1200"/>
      <c r="T272" s="259"/>
      <c r="U272" s="412"/>
      <c r="V272" s="412"/>
      <c r="W272" s="412"/>
      <c r="X272" s="412"/>
      <c r="Y272" s="412"/>
      <c r="Z272" s="412"/>
      <c r="AA272" s="412"/>
      <c r="AB272" s="412"/>
      <c r="AC272" s="412"/>
      <c r="AD272" s="412"/>
      <c r="AE272" s="412"/>
      <c r="AF272" s="412"/>
      <c r="AG272" s="412"/>
      <c r="AH272" s="412"/>
      <c r="AI272" s="412"/>
      <c r="AJ272" s="412"/>
      <c r="AK272" s="412"/>
      <c r="AL272" s="412"/>
      <c r="AM272" s="412"/>
      <c r="AN272" s="412"/>
      <c r="AO272" s="412"/>
      <c r="AP272" s="412"/>
      <c r="AQ272" s="449"/>
    </row>
    <row r="273" spans="2:43" ht="14.25" x14ac:dyDescent="0.2">
      <c r="B273" s="412"/>
      <c r="C273" s="1190"/>
      <c r="D273" s="983" t="str">
        <f>CTesorería!B113</f>
        <v>Transportes</v>
      </c>
      <c r="E273" s="221">
        <f t="shared" si="51"/>
        <v>0</v>
      </c>
      <c r="F273" s="223">
        <f t="shared" si="53"/>
        <v>0</v>
      </c>
      <c r="G273" s="221">
        <f>CTesorería!E113</f>
        <v>0</v>
      </c>
      <c r="H273" s="221">
        <f>CTesorería!F113</f>
        <v>0</v>
      </c>
      <c r="I273" s="221">
        <f>CTesorería!G113</f>
        <v>0</v>
      </c>
      <c r="J273" s="221">
        <f>CTesorería!H113</f>
        <v>0</v>
      </c>
      <c r="K273" s="221">
        <f>CTesorería!I113</f>
        <v>0</v>
      </c>
      <c r="L273" s="221">
        <f>CTesorería!J113</f>
        <v>0</v>
      </c>
      <c r="M273" s="221">
        <f>CTesorería!K113</f>
        <v>0</v>
      </c>
      <c r="N273" s="221">
        <f>CTesorería!L113</f>
        <v>0</v>
      </c>
      <c r="O273" s="221">
        <f>CTesorería!M113</f>
        <v>0</v>
      </c>
      <c r="P273" s="221">
        <f>CTesorería!N113</f>
        <v>0</v>
      </c>
      <c r="Q273" s="221">
        <f>CTesorería!O113</f>
        <v>0</v>
      </c>
      <c r="R273" s="974">
        <f>CTesorería!P113</f>
        <v>0</v>
      </c>
      <c r="S273" s="1200"/>
      <c r="T273" s="259"/>
      <c r="U273" s="412"/>
      <c r="V273" s="412"/>
      <c r="W273" s="412"/>
      <c r="X273" s="412"/>
      <c r="Y273" s="412"/>
      <c r="Z273" s="412"/>
      <c r="AA273" s="412"/>
      <c r="AB273" s="412"/>
      <c r="AC273" s="412"/>
      <c r="AD273" s="412"/>
      <c r="AE273" s="412"/>
      <c r="AF273" s="412"/>
      <c r="AG273" s="412"/>
      <c r="AH273" s="412"/>
      <c r="AI273" s="412"/>
      <c r="AJ273" s="412"/>
      <c r="AK273" s="412"/>
      <c r="AL273" s="412"/>
      <c r="AM273" s="412"/>
      <c r="AN273" s="412"/>
      <c r="AO273" s="412"/>
      <c r="AP273" s="412"/>
      <c r="AQ273" s="449"/>
    </row>
    <row r="274" spans="2:43" ht="14.25" x14ac:dyDescent="0.2">
      <c r="B274" s="412"/>
      <c r="C274" s="1190"/>
      <c r="D274" s="983" t="s">
        <v>804</v>
      </c>
      <c r="E274" s="221">
        <f t="shared" si="51"/>
        <v>0</v>
      </c>
      <c r="F274" s="223">
        <f t="shared" si="53"/>
        <v>0</v>
      </c>
      <c r="G274" s="221">
        <f>IF('6'!$F21=SB!$C$170,CTesorería!E147,CTesorería!E148)</f>
        <v>0</v>
      </c>
      <c r="H274" s="221">
        <f>IF('6'!$F21=SB!$C$170,CTesorería!F147,CTesorería!F148)</f>
        <v>0</v>
      </c>
      <c r="I274" s="221">
        <f>IF('6'!$F21=SB!$C$170,CTesorería!G147,CTesorería!G148)</f>
        <v>0</v>
      </c>
      <c r="J274" s="221">
        <f>IF('6'!$F21=SB!$C$170,CTesorería!H147,CTesorería!H148)</f>
        <v>0</v>
      </c>
      <c r="K274" s="221">
        <f>IF('6'!$F21=SB!$C$170,CTesorería!I147,CTesorería!I148)</f>
        <v>0</v>
      </c>
      <c r="L274" s="221">
        <f>IF('6'!$F21=SB!$C$170,CTesorería!J147,CTesorería!J148)</f>
        <v>0</v>
      </c>
      <c r="M274" s="221">
        <f>IF('6'!$F21=SB!$C$170,CTesorería!K147,CTesorería!K148)</f>
        <v>0</v>
      </c>
      <c r="N274" s="221">
        <f>IF('6'!$F21=SB!$C$170,CTesorería!L147,CTesorería!L148)</f>
        <v>0</v>
      </c>
      <c r="O274" s="221">
        <f>IF('6'!$F21=SB!$C$170,CTesorería!M147,CTesorería!M148)</f>
        <v>0</v>
      </c>
      <c r="P274" s="221">
        <f>IF('6'!$F21=SB!$C$170,CTesorería!N147,CTesorería!N148)</f>
        <v>0</v>
      </c>
      <c r="Q274" s="221">
        <f>IF('6'!$F21=SB!$C$170,CTesorería!O147,CTesorería!O148)</f>
        <v>0</v>
      </c>
      <c r="R274" s="974">
        <f>IF('6'!$F21=SB!$C$170,CTesorería!P147,CTesorería!P148)</f>
        <v>0</v>
      </c>
      <c r="S274" s="1200"/>
      <c r="T274" s="259"/>
      <c r="U274" s="412"/>
      <c r="V274" s="412"/>
      <c r="W274" s="412"/>
      <c r="X274" s="412"/>
      <c r="Y274" s="412"/>
      <c r="Z274" s="412"/>
      <c r="AA274" s="412"/>
      <c r="AB274" s="412"/>
      <c r="AC274" s="412"/>
      <c r="AD274" s="412"/>
      <c r="AE274" s="412"/>
      <c r="AF274" s="412"/>
      <c r="AG274" s="412"/>
      <c r="AH274" s="412"/>
      <c r="AI274" s="412"/>
      <c r="AJ274" s="412"/>
      <c r="AK274" s="412"/>
      <c r="AL274" s="412"/>
      <c r="AM274" s="412"/>
      <c r="AN274" s="412"/>
      <c r="AO274" s="412"/>
      <c r="AP274" s="412"/>
      <c r="AQ274" s="449"/>
    </row>
    <row r="275" spans="2:43" ht="14.25" x14ac:dyDescent="0.2">
      <c r="B275" s="412"/>
      <c r="C275" s="1190"/>
      <c r="D275" s="1016" t="s">
        <v>171</v>
      </c>
      <c r="E275" s="246">
        <f t="shared" si="51"/>
        <v>0</v>
      </c>
      <c r="F275" s="231">
        <f t="shared" si="53"/>
        <v>0</v>
      </c>
      <c r="G275" s="246">
        <f>CTesorería!E115</f>
        <v>0</v>
      </c>
      <c r="H275" s="246">
        <f>CTesorería!F115</f>
        <v>0</v>
      </c>
      <c r="I275" s="246">
        <f>CTesorería!G115</f>
        <v>0</v>
      </c>
      <c r="J275" s="246">
        <f>CTesorería!H115</f>
        <v>0</v>
      </c>
      <c r="K275" s="246">
        <f>CTesorería!I115</f>
        <v>0</v>
      </c>
      <c r="L275" s="246">
        <f>CTesorería!J115</f>
        <v>0</v>
      </c>
      <c r="M275" s="246">
        <f>CTesorería!K115</f>
        <v>0</v>
      </c>
      <c r="N275" s="246">
        <f>CTesorería!L115</f>
        <v>0</v>
      </c>
      <c r="O275" s="246">
        <f>CTesorería!M115</f>
        <v>0</v>
      </c>
      <c r="P275" s="246">
        <f>CTesorería!N115</f>
        <v>0</v>
      </c>
      <c r="Q275" s="246">
        <f>CTesorería!O115</f>
        <v>0</v>
      </c>
      <c r="R275" s="1012">
        <f>CTesorería!P115</f>
        <v>0</v>
      </c>
      <c r="S275" s="1200"/>
      <c r="T275" s="259"/>
      <c r="U275" s="412"/>
      <c r="V275" s="412"/>
      <c r="W275" s="412"/>
      <c r="X275" s="412"/>
      <c r="Y275" s="412"/>
      <c r="Z275" s="412"/>
      <c r="AA275" s="412"/>
      <c r="AB275" s="412"/>
      <c r="AC275" s="412"/>
      <c r="AD275" s="412"/>
      <c r="AE275" s="412"/>
      <c r="AF275" s="412"/>
      <c r="AG275" s="412"/>
      <c r="AH275" s="412"/>
      <c r="AI275" s="412"/>
      <c r="AJ275" s="412"/>
      <c r="AK275" s="412"/>
      <c r="AL275" s="412"/>
      <c r="AM275" s="412"/>
      <c r="AN275" s="412"/>
      <c r="AO275" s="412"/>
      <c r="AP275" s="412"/>
      <c r="AQ275" s="449"/>
    </row>
    <row r="276" spans="2:43" ht="14.25" x14ac:dyDescent="0.2">
      <c r="B276" s="412"/>
      <c r="C276" s="1191"/>
      <c r="D276" s="1013" t="s">
        <v>723</v>
      </c>
      <c r="E276" s="229">
        <f t="shared" si="51"/>
        <v>0</v>
      </c>
      <c r="F276" s="223">
        <f t="shared" si="53"/>
        <v>0</v>
      </c>
      <c r="G276" s="229">
        <f t="shared" ref="G276:R276" si="55">SUM(G277:G281)</f>
        <v>0</v>
      </c>
      <c r="H276" s="229">
        <f t="shared" si="55"/>
        <v>0</v>
      </c>
      <c r="I276" s="229">
        <f t="shared" si="55"/>
        <v>0</v>
      </c>
      <c r="J276" s="229">
        <f t="shared" si="55"/>
        <v>0</v>
      </c>
      <c r="K276" s="229">
        <f t="shared" si="55"/>
        <v>0</v>
      </c>
      <c r="L276" s="229">
        <f t="shared" si="55"/>
        <v>0</v>
      </c>
      <c r="M276" s="229">
        <f t="shared" si="55"/>
        <v>0</v>
      </c>
      <c r="N276" s="229">
        <f t="shared" si="55"/>
        <v>0</v>
      </c>
      <c r="O276" s="229">
        <f t="shared" si="55"/>
        <v>0</v>
      </c>
      <c r="P276" s="229">
        <f t="shared" si="55"/>
        <v>0</v>
      </c>
      <c r="Q276" s="229">
        <f t="shared" si="55"/>
        <v>0</v>
      </c>
      <c r="R276" s="1014">
        <f t="shared" si="55"/>
        <v>0</v>
      </c>
      <c r="S276" s="1200"/>
      <c r="T276" s="259"/>
      <c r="U276" s="412"/>
      <c r="V276" s="412"/>
      <c r="W276" s="412"/>
      <c r="X276" s="412"/>
      <c r="Y276" s="412"/>
      <c r="Z276" s="412"/>
      <c r="AA276" s="412"/>
      <c r="AB276" s="412"/>
      <c r="AC276" s="412"/>
      <c r="AD276" s="412"/>
      <c r="AE276" s="412"/>
      <c r="AF276" s="412"/>
      <c r="AG276" s="412"/>
      <c r="AH276" s="412"/>
      <c r="AI276" s="412"/>
      <c r="AJ276" s="412"/>
      <c r="AK276" s="412"/>
      <c r="AL276" s="412"/>
      <c r="AM276" s="412"/>
      <c r="AN276" s="412"/>
      <c r="AO276" s="412"/>
      <c r="AP276" s="412"/>
      <c r="AQ276" s="449"/>
    </row>
    <row r="277" spans="2:43" ht="14.25" x14ac:dyDescent="0.2">
      <c r="B277" s="412"/>
      <c r="C277" s="1190"/>
      <c r="D277" s="983" t="s">
        <v>1177</v>
      </c>
      <c r="E277" s="221">
        <f t="shared" si="51"/>
        <v>0</v>
      </c>
      <c r="F277" s="223">
        <f t="shared" si="53"/>
        <v>0</v>
      </c>
      <c r="G277" s="221">
        <f>CTesorería!E140</f>
        <v>0</v>
      </c>
      <c r="H277" s="221">
        <f>CTesorería!F140</f>
        <v>0</v>
      </c>
      <c r="I277" s="221">
        <f>CTesorería!G140</f>
        <v>0</v>
      </c>
      <c r="J277" s="221">
        <f>CTesorería!H140</f>
        <v>0</v>
      </c>
      <c r="K277" s="221">
        <f>CTesorería!I140</f>
        <v>0</v>
      </c>
      <c r="L277" s="221">
        <f>CTesorería!J140</f>
        <v>0</v>
      </c>
      <c r="M277" s="221">
        <f>CTesorería!K140</f>
        <v>0</v>
      </c>
      <c r="N277" s="221">
        <f>CTesorería!L140</f>
        <v>0</v>
      </c>
      <c r="O277" s="221">
        <f>CTesorería!M140</f>
        <v>0</v>
      </c>
      <c r="P277" s="221">
        <f>CTesorería!N140</f>
        <v>0</v>
      </c>
      <c r="Q277" s="221">
        <f>CTesorería!O140</f>
        <v>0</v>
      </c>
      <c r="R277" s="974">
        <f>CTesorería!P140</f>
        <v>0</v>
      </c>
      <c r="S277" s="1200"/>
      <c r="T277" s="259"/>
      <c r="U277" s="412"/>
      <c r="V277" s="412"/>
      <c r="W277" s="412"/>
      <c r="X277" s="412"/>
      <c r="Y277" s="412"/>
      <c r="Z277" s="412"/>
      <c r="AA277" s="412"/>
      <c r="AB277" s="412"/>
      <c r="AC277" s="412"/>
      <c r="AD277" s="412"/>
      <c r="AE277" s="412"/>
      <c r="AF277" s="412"/>
      <c r="AG277" s="412"/>
      <c r="AH277" s="412"/>
      <c r="AI277" s="412"/>
      <c r="AJ277" s="412"/>
      <c r="AK277" s="412"/>
      <c r="AL277" s="412"/>
      <c r="AM277" s="412"/>
      <c r="AN277" s="412"/>
      <c r="AO277" s="412"/>
      <c r="AP277" s="412"/>
      <c r="AQ277" s="449"/>
    </row>
    <row r="278" spans="2:43" ht="14.25" x14ac:dyDescent="0.2">
      <c r="B278" s="412"/>
      <c r="C278" s="1190"/>
      <c r="D278" s="983" t="s">
        <v>407</v>
      </c>
      <c r="E278" s="221">
        <f t="shared" si="51"/>
        <v>0</v>
      </c>
      <c r="F278" s="223">
        <f t="shared" si="53"/>
        <v>0</v>
      </c>
      <c r="G278" s="221">
        <f>CTesorería!E114</f>
        <v>0</v>
      </c>
      <c r="H278" s="221">
        <f>CTesorería!F114</f>
        <v>0</v>
      </c>
      <c r="I278" s="221">
        <f>CTesorería!G114</f>
        <v>0</v>
      </c>
      <c r="J278" s="221">
        <f>CTesorería!H114</f>
        <v>0</v>
      </c>
      <c r="K278" s="221">
        <f>CTesorería!I114</f>
        <v>0</v>
      </c>
      <c r="L278" s="221">
        <f>CTesorería!J114</f>
        <v>0</v>
      </c>
      <c r="M278" s="221">
        <f>CTesorería!K114</f>
        <v>0</v>
      </c>
      <c r="N278" s="221">
        <f>CTesorería!L114</f>
        <v>0</v>
      </c>
      <c r="O278" s="221">
        <f>CTesorería!M114</f>
        <v>0</v>
      </c>
      <c r="P278" s="221">
        <f>CTesorería!N114</f>
        <v>0</v>
      </c>
      <c r="Q278" s="221">
        <f>CTesorería!O114</f>
        <v>0</v>
      </c>
      <c r="R278" s="974">
        <f>CTesorería!P114</f>
        <v>0</v>
      </c>
      <c r="S278" s="1200"/>
      <c r="T278" s="259"/>
      <c r="U278" s="412"/>
      <c r="V278" s="412"/>
      <c r="W278" s="412"/>
      <c r="X278" s="412"/>
      <c r="Y278" s="412"/>
      <c r="Z278" s="412"/>
      <c r="AA278" s="412"/>
      <c r="AB278" s="412"/>
      <c r="AC278" s="412"/>
      <c r="AD278" s="412"/>
      <c r="AE278" s="412"/>
      <c r="AF278" s="412"/>
      <c r="AG278" s="412"/>
      <c r="AH278" s="412"/>
      <c r="AI278" s="412"/>
      <c r="AJ278" s="412"/>
      <c r="AK278" s="412"/>
      <c r="AL278" s="412"/>
      <c r="AM278" s="412"/>
      <c r="AN278" s="412"/>
      <c r="AO278" s="412"/>
      <c r="AP278" s="412"/>
      <c r="AQ278" s="449"/>
    </row>
    <row r="279" spans="2:43" ht="14.25" x14ac:dyDescent="0.2">
      <c r="B279" s="412"/>
      <c r="C279" s="1190"/>
      <c r="D279" s="983" t="s">
        <v>1479</v>
      </c>
      <c r="E279" s="221">
        <f t="shared" si="51"/>
        <v>0</v>
      </c>
      <c r="F279" s="223">
        <f t="shared" si="53"/>
        <v>0</v>
      </c>
      <c r="G279" s="221">
        <f>CTesorería!E139+CTesorería!E137+CTesorería!E250</f>
        <v>0</v>
      </c>
      <c r="H279" s="221">
        <f>CTesorería!F139+CTesorería!F137</f>
        <v>0</v>
      </c>
      <c r="I279" s="221">
        <f>CTesorería!G139+CTesorería!G137</f>
        <v>0</v>
      </c>
      <c r="J279" s="221">
        <f>CTesorería!H139+CTesorería!H137</f>
        <v>0</v>
      </c>
      <c r="K279" s="221">
        <f>CTesorería!I139+CTesorería!I137</f>
        <v>0</v>
      </c>
      <c r="L279" s="221">
        <f>CTesorería!J139+CTesorería!J137</f>
        <v>0</v>
      </c>
      <c r="M279" s="221">
        <f>CTesorería!K139+CTesorería!K137</f>
        <v>0</v>
      </c>
      <c r="N279" s="221">
        <f>CTesorería!L139+CTesorería!L137</f>
        <v>0</v>
      </c>
      <c r="O279" s="221">
        <f>CTesorería!M139+CTesorería!M137</f>
        <v>0</v>
      </c>
      <c r="P279" s="221">
        <f>CTesorería!N139+CTesorería!N137</f>
        <v>0</v>
      </c>
      <c r="Q279" s="221">
        <f>CTesorería!O139+CTesorería!O137</f>
        <v>0</v>
      </c>
      <c r="R279" s="974">
        <f>CTesorería!P139+CTesorería!P137</f>
        <v>0</v>
      </c>
      <c r="S279" s="1200"/>
      <c r="T279" s="259"/>
      <c r="U279" s="412"/>
      <c r="V279" s="412"/>
      <c r="W279" s="412"/>
      <c r="X279" s="412"/>
      <c r="Y279" s="412"/>
      <c r="Z279" s="412"/>
      <c r="AA279" s="412"/>
      <c r="AB279" s="412"/>
      <c r="AC279" s="412"/>
      <c r="AD279" s="412"/>
      <c r="AE279" s="412"/>
      <c r="AF279" s="412"/>
      <c r="AG279" s="412"/>
      <c r="AH279" s="412"/>
      <c r="AI279" s="412"/>
      <c r="AJ279" s="412"/>
      <c r="AK279" s="412"/>
      <c r="AL279" s="412"/>
      <c r="AM279" s="412"/>
      <c r="AN279" s="412"/>
      <c r="AO279" s="412"/>
      <c r="AP279" s="412"/>
      <c r="AQ279" s="449"/>
    </row>
    <row r="280" spans="2:43" ht="14.25" x14ac:dyDescent="0.2">
      <c r="B280" s="412"/>
      <c r="C280" s="1190"/>
      <c r="D280" s="983" t="s">
        <v>1480</v>
      </c>
      <c r="E280" s="221">
        <f t="shared" si="51"/>
        <v>0</v>
      </c>
      <c r="F280" s="223">
        <f t="shared" si="53"/>
        <v>0</v>
      </c>
      <c r="G280" s="221">
        <f>IF('6'!$F23=SB!$C$170,CTesorería!E152,CTesorería!E154)</f>
        <v>0</v>
      </c>
      <c r="H280" s="221">
        <f>IF('6'!$F23=SB!$C$170,CTesorería!F152,CTesorería!F154)</f>
        <v>0</v>
      </c>
      <c r="I280" s="221">
        <f>IF('6'!$F23=SB!$C$170,CTesorería!G152,CTesorería!G154)</f>
        <v>0</v>
      </c>
      <c r="J280" s="221">
        <f>IF('6'!$F23=SB!$C$170,CTesorería!H152,CTesorería!H154)</f>
        <v>0</v>
      </c>
      <c r="K280" s="221">
        <f>IF('6'!$F23=SB!$C$170,CTesorería!I152,CTesorería!I154)</f>
        <v>0</v>
      </c>
      <c r="L280" s="221">
        <f>IF('6'!$F23=SB!$C$170,CTesorería!J152,CTesorería!J154)</f>
        <v>0</v>
      </c>
      <c r="M280" s="221">
        <f>IF('6'!$F23=SB!$C$170,CTesorería!K152,CTesorería!K154)</f>
        <v>0</v>
      </c>
      <c r="N280" s="221">
        <f>IF('6'!$F23=SB!$C$170,CTesorería!L152,CTesorería!L154)</f>
        <v>0</v>
      </c>
      <c r="O280" s="221">
        <f>IF('6'!$F23=SB!$C$170,CTesorería!M152,CTesorería!M154)</f>
        <v>0</v>
      </c>
      <c r="P280" s="221">
        <f>IF('6'!$F23=SB!$C$170,CTesorería!N152,CTesorería!N154)</f>
        <v>0</v>
      </c>
      <c r="Q280" s="221">
        <f>IF('6'!$F23=SB!$C$170,CTesorería!O152,CTesorería!O154)</f>
        <v>0</v>
      </c>
      <c r="R280" s="974">
        <f>IF('6'!$F23=SB!$C$170,CTesorería!P152,CTesorería!P154)</f>
        <v>0</v>
      </c>
      <c r="S280" s="1200"/>
      <c r="T280" s="259"/>
      <c r="U280" s="412"/>
      <c r="V280" s="412"/>
      <c r="W280" s="412"/>
      <c r="X280" s="412"/>
      <c r="Y280" s="412"/>
      <c r="Z280" s="412"/>
      <c r="AA280" s="412"/>
      <c r="AB280" s="412"/>
      <c r="AC280" s="412"/>
      <c r="AD280" s="412"/>
      <c r="AE280" s="412"/>
      <c r="AF280" s="412"/>
      <c r="AG280" s="412"/>
      <c r="AH280" s="412"/>
      <c r="AI280" s="412"/>
      <c r="AJ280" s="412"/>
      <c r="AK280" s="412"/>
      <c r="AL280" s="412"/>
      <c r="AM280" s="412"/>
      <c r="AN280" s="412"/>
      <c r="AO280" s="412"/>
      <c r="AP280" s="412"/>
      <c r="AQ280" s="449"/>
    </row>
    <row r="281" spans="2:43" ht="14.25" x14ac:dyDescent="0.2">
      <c r="B281" s="412"/>
      <c r="C281" s="1190"/>
      <c r="D281" s="983" t="s">
        <v>421</v>
      </c>
      <c r="E281" s="221">
        <f t="shared" si="51"/>
        <v>0</v>
      </c>
      <c r="F281" s="223">
        <f t="shared" si="53"/>
        <v>0</v>
      </c>
      <c r="G281" s="221">
        <f>IF('6'!$F22=SB!$C$170,CTesorería!E145,CTesorería!E146)</f>
        <v>0</v>
      </c>
      <c r="H281" s="221">
        <f>IF('6'!$F22=SB!$C$170,CTesorería!F145,CTesorería!F146)</f>
        <v>0</v>
      </c>
      <c r="I281" s="221">
        <f>IF('6'!$F22=SB!$C$170,CTesorería!G145,CTesorería!G146)</f>
        <v>0</v>
      </c>
      <c r="J281" s="221">
        <f>IF('6'!$F22=SB!$C$170,CTesorería!H145,CTesorería!H146)</f>
        <v>0</v>
      </c>
      <c r="K281" s="221">
        <f>IF('6'!$F22=SB!$C$170,CTesorería!I145,CTesorería!I146)</f>
        <v>0</v>
      </c>
      <c r="L281" s="221">
        <f>IF('6'!$F22=SB!$C$170,CTesorería!J145,CTesorería!J146)</f>
        <v>0</v>
      </c>
      <c r="M281" s="221">
        <f>IF('6'!$F22=SB!$C$170,CTesorería!K145,CTesorería!K146)</f>
        <v>0</v>
      </c>
      <c r="N281" s="221">
        <f>IF('6'!$F22=SB!$C$170,CTesorería!L145,CTesorería!L146)</f>
        <v>0</v>
      </c>
      <c r="O281" s="221">
        <f>IF('6'!$F22=SB!$C$170,CTesorería!M145,CTesorería!M146)</f>
        <v>0</v>
      </c>
      <c r="P281" s="221">
        <f>IF('6'!$F22=SB!$C$170,CTesorería!N145,CTesorería!N146)</f>
        <v>0</v>
      </c>
      <c r="Q281" s="221">
        <f>IF('6'!$F22=SB!$C$170,CTesorería!O145,CTesorería!O146)</f>
        <v>0</v>
      </c>
      <c r="R281" s="974">
        <f>IF('6'!$F22=SB!$C$170,CTesorería!P145,CTesorería!P146)</f>
        <v>0</v>
      </c>
      <c r="S281" s="1200"/>
      <c r="T281" s="259"/>
      <c r="U281" s="412"/>
      <c r="V281" s="412"/>
      <c r="W281" s="412"/>
      <c r="X281" s="412"/>
      <c r="Y281" s="412"/>
      <c r="Z281" s="412"/>
      <c r="AA281" s="412"/>
      <c r="AB281" s="412"/>
      <c r="AC281" s="412"/>
      <c r="AD281" s="412"/>
      <c r="AE281" s="412"/>
      <c r="AF281" s="412"/>
      <c r="AG281" s="412"/>
      <c r="AH281" s="412"/>
      <c r="AI281" s="412"/>
      <c r="AJ281" s="412"/>
      <c r="AK281" s="412"/>
      <c r="AL281" s="412"/>
      <c r="AM281" s="412"/>
      <c r="AN281" s="412"/>
      <c r="AO281" s="412"/>
      <c r="AP281" s="412"/>
      <c r="AQ281" s="449"/>
    </row>
    <row r="282" spans="2:43" ht="5.0999999999999996" customHeight="1" x14ac:dyDescent="0.2">
      <c r="B282" s="412"/>
      <c r="C282" s="1190"/>
      <c r="D282" s="1015"/>
      <c r="E282" s="241"/>
      <c r="F282" s="241"/>
      <c r="G282" s="242"/>
      <c r="H282" s="242"/>
      <c r="I282" s="242"/>
      <c r="J282" s="242"/>
      <c r="K282" s="242"/>
      <c r="L282" s="242"/>
      <c r="M282" s="242"/>
      <c r="N282" s="242"/>
      <c r="O282" s="242"/>
      <c r="P282" s="242"/>
      <c r="Q282" s="242"/>
      <c r="R282" s="1017"/>
      <c r="S282" s="1199"/>
      <c r="T282" s="259"/>
      <c r="U282" s="412"/>
      <c r="V282" s="412"/>
      <c r="W282" s="412"/>
      <c r="X282" s="412"/>
      <c r="Y282" s="412"/>
      <c r="Z282" s="412"/>
      <c r="AA282" s="412"/>
      <c r="AB282" s="412"/>
      <c r="AC282" s="412"/>
      <c r="AD282" s="412"/>
      <c r="AE282" s="412"/>
      <c r="AF282" s="412"/>
      <c r="AG282" s="412"/>
      <c r="AH282" s="412"/>
      <c r="AI282" s="412"/>
      <c r="AJ282" s="412"/>
      <c r="AK282" s="412"/>
      <c r="AL282" s="412"/>
      <c r="AM282" s="412"/>
      <c r="AN282" s="412"/>
      <c r="AO282" s="412"/>
      <c r="AP282" s="412"/>
      <c r="AQ282" s="449"/>
    </row>
    <row r="283" spans="2:43" ht="15" x14ac:dyDescent="0.2">
      <c r="B283" s="412"/>
      <c r="C283" s="1190"/>
      <c r="D283" s="1497" t="s">
        <v>330</v>
      </c>
      <c r="E283" s="1498"/>
      <c r="F283" s="1498"/>
      <c r="G283" s="236">
        <f>+G238-G252+G236</f>
        <v>0</v>
      </c>
      <c r="H283" s="236">
        <f t="shared" ref="H283:R283" si="56">+H238-H252</f>
        <v>0</v>
      </c>
      <c r="I283" s="236">
        <f t="shared" si="56"/>
        <v>0</v>
      </c>
      <c r="J283" s="236">
        <f t="shared" si="56"/>
        <v>0</v>
      </c>
      <c r="K283" s="236">
        <f t="shared" si="56"/>
        <v>0</v>
      </c>
      <c r="L283" s="236">
        <f t="shared" si="56"/>
        <v>0</v>
      </c>
      <c r="M283" s="236">
        <f t="shared" si="56"/>
        <v>0</v>
      </c>
      <c r="N283" s="236">
        <f t="shared" si="56"/>
        <v>0</v>
      </c>
      <c r="O283" s="236">
        <f t="shared" si="56"/>
        <v>0</v>
      </c>
      <c r="P283" s="236">
        <f t="shared" si="56"/>
        <v>0</v>
      </c>
      <c r="Q283" s="236">
        <f t="shared" si="56"/>
        <v>0</v>
      </c>
      <c r="R283" s="989">
        <f t="shared" si="56"/>
        <v>0</v>
      </c>
      <c r="S283" s="1200"/>
      <c r="T283" s="259"/>
      <c r="U283" s="412"/>
      <c r="V283" s="412"/>
      <c r="W283" s="412"/>
      <c r="X283" s="412"/>
      <c r="Y283" s="412"/>
      <c r="Z283" s="412"/>
      <c r="AA283" s="412"/>
      <c r="AB283" s="412"/>
      <c r="AC283" s="412"/>
      <c r="AD283" s="412"/>
      <c r="AE283" s="412"/>
      <c r="AF283" s="412"/>
      <c r="AG283" s="412"/>
      <c r="AH283" s="412"/>
      <c r="AI283" s="412"/>
      <c r="AJ283" s="412"/>
      <c r="AK283" s="412"/>
      <c r="AL283" s="412"/>
      <c r="AM283" s="412"/>
      <c r="AN283" s="412"/>
      <c r="AO283" s="412"/>
      <c r="AP283" s="412"/>
      <c r="AQ283" s="449"/>
    </row>
    <row r="284" spans="2:43" ht="5.0999999999999996" customHeight="1" x14ac:dyDescent="0.2">
      <c r="B284" s="412"/>
      <c r="C284" s="1190"/>
      <c r="D284" s="1015"/>
      <c r="E284" s="241"/>
      <c r="F284" s="241"/>
      <c r="G284" s="224"/>
      <c r="H284" s="224"/>
      <c r="I284" s="224"/>
      <c r="J284" s="224"/>
      <c r="K284" s="224"/>
      <c r="L284" s="224"/>
      <c r="M284" s="224"/>
      <c r="N284" s="224"/>
      <c r="O284" s="224"/>
      <c r="P284" s="224"/>
      <c r="Q284" s="224"/>
      <c r="R284" s="976"/>
      <c r="S284" s="1199"/>
      <c r="T284" s="259"/>
      <c r="U284" s="412"/>
      <c r="V284" s="412"/>
      <c r="W284" s="412"/>
      <c r="X284" s="412"/>
      <c r="Y284" s="412"/>
      <c r="Z284" s="412"/>
      <c r="AA284" s="412"/>
      <c r="AB284" s="412"/>
      <c r="AC284" s="412"/>
      <c r="AD284" s="412"/>
      <c r="AE284" s="412"/>
      <c r="AF284" s="412"/>
      <c r="AG284" s="412"/>
      <c r="AH284" s="412"/>
      <c r="AI284" s="412"/>
      <c r="AJ284" s="412"/>
      <c r="AK284" s="412"/>
      <c r="AL284" s="412"/>
      <c r="AM284" s="412"/>
      <c r="AN284" s="412"/>
      <c r="AO284" s="412"/>
      <c r="AP284" s="412"/>
      <c r="AQ284" s="449"/>
    </row>
    <row r="285" spans="2:43" ht="15" x14ac:dyDescent="0.2">
      <c r="B285" s="412"/>
      <c r="C285" s="1191"/>
      <c r="D285" s="1497" t="s">
        <v>331</v>
      </c>
      <c r="E285" s="1498"/>
      <c r="F285" s="1498"/>
      <c r="G285" s="236">
        <f>+G283</f>
        <v>0</v>
      </c>
      <c r="H285" s="236">
        <f t="shared" ref="H285:R285" si="57">+G285+H283</f>
        <v>0</v>
      </c>
      <c r="I285" s="236">
        <f t="shared" si="57"/>
        <v>0</v>
      </c>
      <c r="J285" s="236">
        <f t="shared" si="57"/>
        <v>0</v>
      </c>
      <c r="K285" s="236">
        <f t="shared" si="57"/>
        <v>0</v>
      </c>
      <c r="L285" s="236">
        <f t="shared" si="57"/>
        <v>0</v>
      </c>
      <c r="M285" s="236">
        <f t="shared" si="57"/>
        <v>0</v>
      </c>
      <c r="N285" s="236">
        <f t="shared" si="57"/>
        <v>0</v>
      </c>
      <c r="O285" s="236">
        <f t="shared" si="57"/>
        <v>0</v>
      </c>
      <c r="P285" s="236">
        <f t="shared" si="57"/>
        <v>0</v>
      </c>
      <c r="Q285" s="236">
        <f t="shared" si="57"/>
        <v>0</v>
      </c>
      <c r="R285" s="989">
        <f t="shared" si="57"/>
        <v>0</v>
      </c>
      <c r="S285" s="1200"/>
      <c r="T285" s="259"/>
      <c r="U285" s="412"/>
      <c r="V285" s="412"/>
      <c r="W285" s="412"/>
      <c r="X285" s="412"/>
      <c r="Y285" s="412"/>
      <c r="Z285" s="412"/>
      <c r="AA285" s="412"/>
      <c r="AB285" s="412"/>
      <c r="AC285" s="412"/>
      <c r="AD285" s="412"/>
      <c r="AE285" s="412"/>
      <c r="AF285" s="412"/>
      <c r="AG285" s="412"/>
      <c r="AH285" s="412"/>
      <c r="AI285" s="412"/>
      <c r="AJ285" s="412"/>
      <c r="AK285" s="412"/>
      <c r="AL285" s="412"/>
      <c r="AM285" s="412"/>
      <c r="AN285" s="412"/>
      <c r="AO285" s="412"/>
      <c r="AP285" s="412"/>
      <c r="AQ285" s="449"/>
    </row>
    <row r="286" spans="2:43" ht="5.0999999999999996" customHeight="1" x14ac:dyDescent="0.2">
      <c r="B286" s="412"/>
      <c r="C286" s="1190"/>
      <c r="D286" s="1015"/>
      <c r="E286" s="241"/>
      <c r="F286" s="241"/>
      <c r="G286" s="224"/>
      <c r="H286" s="224"/>
      <c r="I286" s="224"/>
      <c r="J286" s="224"/>
      <c r="K286" s="224"/>
      <c r="L286" s="224"/>
      <c r="M286" s="224"/>
      <c r="N286" s="224"/>
      <c r="O286" s="224"/>
      <c r="P286" s="224"/>
      <c r="Q286" s="224"/>
      <c r="R286" s="976"/>
      <c r="S286" s="1199"/>
      <c r="T286" s="259"/>
      <c r="U286" s="412"/>
      <c r="V286" s="412"/>
      <c r="W286" s="412"/>
      <c r="X286" s="412"/>
      <c r="Y286" s="412"/>
      <c r="Z286" s="412"/>
      <c r="AA286" s="412"/>
      <c r="AB286" s="412"/>
      <c r="AC286" s="412"/>
      <c r="AD286" s="412"/>
      <c r="AE286" s="412"/>
      <c r="AF286" s="412"/>
      <c r="AG286" s="412"/>
      <c r="AH286" s="412"/>
      <c r="AI286" s="412"/>
      <c r="AJ286" s="412"/>
      <c r="AK286" s="412"/>
      <c r="AL286" s="412"/>
      <c r="AM286" s="412"/>
      <c r="AN286" s="412"/>
      <c r="AO286" s="412"/>
      <c r="AP286" s="412"/>
      <c r="AQ286" s="449"/>
    </row>
    <row r="287" spans="2:43" ht="15" x14ac:dyDescent="0.2">
      <c r="B287" s="412"/>
      <c r="C287" s="1191"/>
      <c r="D287" s="1497" t="s">
        <v>332</v>
      </c>
      <c r="E287" s="1498"/>
      <c r="F287" s="1498"/>
      <c r="G287" s="236">
        <f>+G285+'6'!G34</f>
        <v>0</v>
      </c>
      <c r="H287" s="236">
        <f>+H285+'6'!H34</f>
        <v>0</v>
      </c>
      <c r="I287" s="236">
        <f>+I285+'6'!I34</f>
        <v>0</v>
      </c>
      <c r="J287" s="236">
        <f>+J285+'6'!J34</f>
        <v>0</v>
      </c>
      <c r="K287" s="236">
        <f>+K285+'6'!K34</f>
        <v>0</v>
      </c>
      <c r="L287" s="236">
        <f>+L285+'6'!L34</f>
        <v>0</v>
      </c>
      <c r="M287" s="236">
        <f>+M285+'6'!M34</f>
        <v>0</v>
      </c>
      <c r="N287" s="236">
        <f>+N285+'6'!N34</f>
        <v>0</v>
      </c>
      <c r="O287" s="236">
        <f>+O285+'6'!O34</f>
        <v>0</v>
      </c>
      <c r="P287" s="236">
        <f>+P285+'6'!P34</f>
        <v>0</v>
      </c>
      <c r="Q287" s="236">
        <f>+Q285+'6'!Q34</f>
        <v>0</v>
      </c>
      <c r="R287" s="989">
        <f>+R285+'6'!R34</f>
        <v>0</v>
      </c>
      <c r="S287" s="1200"/>
      <c r="T287" s="259"/>
      <c r="U287" s="820"/>
      <c r="V287" s="412"/>
      <c r="W287" s="412"/>
      <c r="X287" s="412"/>
      <c r="Y287" s="412"/>
      <c r="Z287" s="412"/>
      <c r="AA287" s="412"/>
      <c r="AB287" s="412"/>
      <c r="AC287" s="412"/>
      <c r="AD287" s="412"/>
      <c r="AE287" s="412"/>
      <c r="AF287" s="412"/>
      <c r="AG287" s="412"/>
      <c r="AH287" s="412"/>
      <c r="AI287" s="412"/>
      <c r="AJ287" s="412"/>
      <c r="AK287" s="412"/>
      <c r="AL287" s="412"/>
      <c r="AM287" s="412"/>
      <c r="AN287" s="412"/>
      <c r="AO287" s="412"/>
      <c r="AP287" s="412"/>
      <c r="AQ287" s="449"/>
    </row>
    <row r="288" spans="2:43" x14ac:dyDescent="0.2">
      <c r="B288" s="412"/>
      <c r="C288" s="1192"/>
      <c r="D288" s="1018"/>
      <c r="E288" s="215"/>
      <c r="F288" s="215"/>
      <c r="G288" s="215"/>
      <c r="H288" s="215"/>
      <c r="I288" s="215"/>
      <c r="J288" s="215"/>
      <c r="K288" s="215"/>
      <c r="L288" s="215"/>
      <c r="M288" s="215"/>
      <c r="N288" s="215"/>
      <c r="O288" s="215"/>
      <c r="P288" s="215"/>
      <c r="Q288" s="215"/>
      <c r="R288" s="1019"/>
      <c r="S288" s="1199"/>
      <c r="T288" s="259"/>
      <c r="U288" s="412"/>
      <c r="V288" s="412"/>
      <c r="W288" s="412"/>
      <c r="X288" s="412"/>
      <c r="Y288" s="412"/>
      <c r="Z288" s="412"/>
      <c r="AA288" s="412"/>
      <c r="AB288" s="412"/>
      <c r="AC288" s="412"/>
      <c r="AD288" s="412"/>
      <c r="AE288" s="412"/>
      <c r="AF288" s="412"/>
      <c r="AG288" s="412"/>
      <c r="AH288" s="412"/>
      <c r="AI288" s="412"/>
      <c r="AJ288" s="412"/>
      <c r="AK288" s="412"/>
      <c r="AL288" s="412"/>
      <c r="AM288" s="412"/>
      <c r="AN288" s="412"/>
      <c r="AO288" s="412"/>
      <c r="AP288" s="412"/>
      <c r="AQ288" s="449"/>
    </row>
    <row r="289" spans="2:43" x14ac:dyDescent="0.2">
      <c r="B289" s="412"/>
      <c r="C289" s="1193"/>
      <c r="D289" s="1020"/>
      <c r="E289" s="227"/>
      <c r="F289" s="227"/>
      <c r="G289" s="227"/>
      <c r="H289" s="227"/>
      <c r="I289" s="227"/>
      <c r="J289" s="227"/>
      <c r="K289" s="227"/>
      <c r="L289" s="227"/>
      <c r="M289" s="227"/>
      <c r="N289" s="227"/>
      <c r="O289" s="227"/>
      <c r="P289" s="227"/>
      <c r="Q289" s="227"/>
      <c r="R289" s="104"/>
      <c r="S289" s="258"/>
      <c r="T289" s="259"/>
      <c r="U289" s="412"/>
      <c r="V289" s="412"/>
      <c r="W289" s="412"/>
      <c r="X289" s="412"/>
      <c r="Y289" s="412"/>
      <c r="Z289" s="412"/>
      <c r="AA289" s="412"/>
      <c r="AB289" s="412"/>
      <c r="AC289" s="412"/>
      <c r="AD289" s="412"/>
      <c r="AE289" s="412"/>
      <c r="AF289" s="412"/>
      <c r="AG289" s="412"/>
      <c r="AH289" s="412"/>
      <c r="AI289" s="412"/>
      <c r="AJ289" s="412"/>
      <c r="AK289" s="412"/>
      <c r="AL289" s="412"/>
      <c r="AM289" s="412"/>
      <c r="AN289" s="412"/>
      <c r="AO289" s="412"/>
      <c r="AP289" s="412"/>
      <c r="AQ289" s="449"/>
    </row>
    <row r="290" spans="2:43" x14ac:dyDescent="0.2">
      <c r="B290" s="412"/>
      <c r="C290" s="257"/>
      <c r="D290" s="1021"/>
      <c r="E290" s="250"/>
      <c r="F290" s="250"/>
      <c r="G290" s="250"/>
      <c r="H290" s="250"/>
      <c r="I290" s="250"/>
      <c r="J290" s="250"/>
      <c r="K290" s="250"/>
      <c r="L290" s="250"/>
      <c r="M290" s="250"/>
      <c r="N290" s="250"/>
      <c r="O290" s="250"/>
      <c r="P290" s="250"/>
      <c r="Q290" s="250"/>
      <c r="R290" s="124"/>
      <c r="S290" s="258"/>
      <c r="T290" s="259"/>
      <c r="U290" s="412"/>
      <c r="V290" s="412"/>
      <c r="W290" s="412"/>
      <c r="X290" s="412"/>
      <c r="Y290" s="412"/>
      <c r="Z290" s="412"/>
      <c r="AA290" s="412"/>
      <c r="AB290" s="412"/>
      <c r="AC290" s="412"/>
      <c r="AD290" s="412"/>
      <c r="AE290" s="412"/>
      <c r="AF290" s="412"/>
      <c r="AG290" s="412"/>
      <c r="AH290" s="412"/>
      <c r="AI290" s="412"/>
      <c r="AJ290" s="412"/>
      <c r="AK290" s="412"/>
      <c r="AL290" s="412"/>
      <c r="AM290" s="412"/>
      <c r="AN290" s="412"/>
      <c r="AO290" s="412"/>
      <c r="AP290" s="412"/>
      <c r="AQ290" s="449"/>
    </row>
    <row r="291" spans="2:43" x14ac:dyDescent="0.2">
      <c r="B291" s="412"/>
      <c r="C291" s="257"/>
      <c r="D291" s="1021"/>
      <c r="E291" s="250"/>
      <c r="F291" s="250"/>
      <c r="G291" s="250"/>
      <c r="H291" s="250"/>
      <c r="I291" s="250"/>
      <c r="J291" s="250"/>
      <c r="K291" s="250"/>
      <c r="L291" s="250"/>
      <c r="M291" s="250"/>
      <c r="N291" s="250"/>
      <c r="O291" s="250"/>
      <c r="P291" s="250"/>
      <c r="Q291" s="250"/>
      <c r="R291" s="124"/>
      <c r="S291" s="258"/>
      <c r="T291" s="259"/>
      <c r="U291" s="412"/>
      <c r="V291" s="412"/>
      <c r="W291" s="412"/>
      <c r="X291" s="412"/>
      <c r="Y291" s="412"/>
      <c r="Z291" s="412"/>
      <c r="AA291" s="412"/>
      <c r="AB291" s="412"/>
      <c r="AC291" s="412"/>
      <c r="AD291" s="412"/>
      <c r="AE291" s="412"/>
      <c r="AF291" s="412"/>
      <c r="AG291" s="412"/>
      <c r="AH291" s="412"/>
      <c r="AI291" s="412"/>
      <c r="AJ291" s="412"/>
      <c r="AK291" s="412"/>
      <c r="AL291" s="412"/>
      <c r="AM291" s="412"/>
      <c r="AN291" s="412"/>
      <c r="AO291" s="412"/>
      <c r="AP291" s="412"/>
      <c r="AQ291" s="449"/>
    </row>
    <row r="292" spans="2:43" x14ac:dyDescent="0.2">
      <c r="B292" s="412"/>
      <c r="C292" s="257"/>
      <c r="D292" s="1021"/>
      <c r="E292" s="250"/>
      <c r="F292" s="250"/>
      <c r="G292" s="250"/>
      <c r="H292" s="250"/>
      <c r="I292" s="250"/>
      <c r="J292" s="250"/>
      <c r="K292" s="250"/>
      <c r="L292" s="250"/>
      <c r="M292" s="250"/>
      <c r="N292" s="250"/>
      <c r="O292" s="250"/>
      <c r="P292" s="250"/>
      <c r="Q292" s="250"/>
      <c r="R292" s="124"/>
      <c r="S292" s="258"/>
      <c r="T292" s="259"/>
      <c r="U292" s="412"/>
      <c r="V292" s="412"/>
      <c r="W292" s="412"/>
      <c r="X292" s="412"/>
      <c r="Y292" s="412"/>
      <c r="Z292" s="412"/>
      <c r="AA292" s="412"/>
      <c r="AB292" s="412"/>
      <c r="AC292" s="412"/>
      <c r="AD292" s="412"/>
      <c r="AE292" s="412"/>
      <c r="AF292" s="412"/>
      <c r="AG292" s="412"/>
      <c r="AH292" s="412"/>
      <c r="AI292" s="412"/>
      <c r="AJ292" s="412"/>
      <c r="AK292" s="412"/>
      <c r="AL292" s="412"/>
      <c r="AM292" s="412"/>
      <c r="AN292" s="412"/>
      <c r="AO292" s="412"/>
      <c r="AP292" s="412"/>
      <c r="AQ292" s="449"/>
    </row>
    <row r="293" spans="2:43" x14ac:dyDescent="0.2">
      <c r="B293" s="412"/>
      <c r="C293" s="257"/>
      <c r="D293" s="1021"/>
      <c r="E293" s="250"/>
      <c r="F293" s="250"/>
      <c r="G293" s="250"/>
      <c r="H293" s="250"/>
      <c r="I293" s="250"/>
      <c r="J293" s="250"/>
      <c r="K293" s="250"/>
      <c r="L293" s="250"/>
      <c r="M293" s="250"/>
      <c r="N293" s="250"/>
      <c r="O293" s="250"/>
      <c r="P293" s="250"/>
      <c r="Q293" s="250"/>
      <c r="R293" s="124"/>
      <c r="S293" s="258"/>
      <c r="T293" s="259"/>
      <c r="U293" s="412"/>
      <c r="V293" s="412"/>
      <c r="W293" s="412"/>
      <c r="X293" s="412"/>
      <c r="Y293" s="412"/>
      <c r="Z293" s="412"/>
      <c r="AA293" s="412"/>
      <c r="AB293" s="412"/>
      <c r="AC293" s="412"/>
      <c r="AD293" s="412"/>
      <c r="AE293" s="412"/>
      <c r="AF293" s="412"/>
      <c r="AG293" s="412"/>
      <c r="AH293" s="412"/>
      <c r="AI293" s="412"/>
      <c r="AJ293" s="412"/>
      <c r="AK293" s="412"/>
      <c r="AL293" s="412"/>
      <c r="AM293" s="412"/>
      <c r="AN293" s="412"/>
      <c r="AO293" s="412"/>
      <c r="AP293" s="412"/>
      <c r="AQ293" s="449"/>
    </row>
    <row r="294" spans="2:43" x14ac:dyDescent="0.2">
      <c r="B294" s="412"/>
      <c r="C294" s="257"/>
      <c r="D294" s="1021"/>
      <c r="E294" s="250"/>
      <c r="F294" s="250"/>
      <c r="G294" s="250"/>
      <c r="H294" s="250"/>
      <c r="I294" s="250"/>
      <c r="J294" s="250"/>
      <c r="K294" s="250"/>
      <c r="L294" s="250"/>
      <c r="M294" s="250"/>
      <c r="N294" s="250"/>
      <c r="O294" s="250"/>
      <c r="P294" s="250"/>
      <c r="Q294" s="250"/>
      <c r="R294" s="124"/>
      <c r="S294" s="258"/>
      <c r="T294" s="259"/>
      <c r="U294" s="412"/>
      <c r="V294" s="412"/>
      <c r="W294" s="412"/>
      <c r="X294" s="412"/>
      <c r="Y294" s="412"/>
      <c r="Z294" s="412"/>
      <c r="AA294" s="412"/>
      <c r="AB294" s="412"/>
      <c r="AC294" s="412"/>
      <c r="AD294" s="412"/>
      <c r="AE294" s="412"/>
      <c r="AF294" s="412"/>
      <c r="AG294" s="412"/>
      <c r="AH294" s="412"/>
      <c r="AI294" s="412"/>
      <c r="AJ294" s="412"/>
      <c r="AK294" s="412"/>
      <c r="AL294" s="412"/>
      <c r="AM294" s="412"/>
      <c r="AN294" s="412"/>
      <c r="AO294" s="412"/>
      <c r="AP294" s="412"/>
      <c r="AQ294" s="449"/>
    </row>
    <row r="295" spans="2:43" x14ac:dyDescent="0.2">
      <c r="B295" s="412"/>
      <c r="C295" s="257"/>
      <c r="D295" s="1021"/>
      <c r="E295" s="250"/>
      <c r="F295" s="250"/>
      <c r="G295" s="250"/>
      <c r="H295" s="250"/>
      <c r="I295" s="250"/>
      <c r="J295" s="250"/>
      <c r="K295" s="250"/>
      <c r="L295" s="250"/>
      <c r="M295" s="250"/>
      <c r="N295" s="250"/>
      <c r="O295" s="250"/>
      <c r="P295" s="250"/>
      <c r="Q295" s="250"/>
      <c r="R295" s="124"/>
      <c r="S295" s="258"/>
      <c r="T295" s="259"/>
      <c r="U295" s="412"/>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49"/>
    </row>
    <row r="296" spans="2:43" x14ac:dyDescent="0.2">
      <c r="B296" s="412"/>
      <c r="C296" s="257"/>
      <c r="D296" s="1021"/>
      <c r="E296" s="250"/>
      <c r="F296" s="250"/>
      <c r="G296" s="250"/>
      <c r="H296" s="250"/>
      <c r="I296" s="250"/>
      <c r="J296" s="250"/>
      <c r="K296" s="250"/>
      <c r="L296" s="250"/>
      <c r="M296" s="250"/>
      <c r="N296" s="250"/>
      <c r="O296" s="250"/>
      <c r="P296" s="250"/>
      <c r="Q296" s="250"/>
      <c r="R296" s="124"/>
      <c r="S296" s="258"/>
      <c r="T296" s="259"/>
      <c r="U296" s="412"/>
      <c r="V296" s="412"/>
      <c r="W296" s="412"/>
      <c r="X296" s="412"/>
      <c r="Y296" s="412"/>
      <c r="Z296" s="412"/>
      <c r="AA296" s="412"/>
      <c r="AB296" s="412"/>
      <c r="AC296" s="412"/>
      <c r="AD296" s="412"/>
      <c r="AE296" s="412"/>
      <c r="AF296" s="412"/>
      <c r="AG296" s="412"/>
      <c r="AH296" s="412"/>
      <c r="AI296" s="412"/>
      <c r="AJ296" s="412"/>
      <c r="AK296" s="412"/>
      <c r="AL296" s="412"/>
      <c r="AM296" s="412"/>
      <c r="AN296" s="412"/>
      <c r="AO296" s="412"/>
      <c r="AP296" s="412"/>
      <c r="AQ296" s="449"/>
    </row>
    <row r="297" spans="2:43" x14ac:dyDescent="0.2">
      <c r="B297" s="412"/>
      <c r="C297" s="257"/>
      <c r="D297" s="1021"/>
      <c r="E297" s="250"/>
      <c r="F297" s="250"/>
      <c r="G297" s="250"/>
      <c r="H297" s="250"/>
      <c r="I297" s="250"/>
      <c r="J297" s="250"/>
      <c r="K297" s="250"/>
      <c r="L297" s="250"/>
      <c r="M297" s="250"/>
      <c r="N297" s="250"/>
      <c r="O297" s="250"/>
      <c r="P297" s="250"/>
      <c r="Q297" s="250"/>
      <c r="R297" s="124"/>
      <c r="S297" s="258"/>
      <c r="T297" s="259"/>
      <c r="U297" s="412"/>
      <c r="V297" s="412"/>
      <c r="W297" s="412"/>
      <c r="X297" s="412"/>
      <c r="Y297" s="412"/>
      <c r="Z297" s="412"/>
      <c r="AA297" s="412"/>
      <c r="AB297" s="412"/>
      <c r="AC297" s="412"/>
      <c r="AD297" s="412"/>
      <c r="AE297" s="412"/>
      <c r="AF297" s="412"/>
      <c r="AG297" s="412"/>
      <c r="AH297" s="412"/>
      <c r="AI297" s="412"/>
      <c r="AJ297" s="412"/>
      <c r="AK297" s="412"/>
      <c r="AL297" s="412"/>
      <c r="AM297" s="412"/>
      <c r="AN297" s="412"/>
      <c r="AO297" s="412"/>
      <c r="AP297" s="412"/>
      <c r="AQ297" s="449"/>
    </row>
    <row r="298" spans="2:43" x14ac:dyDescent="0.2">
      <c r="B298" s="412"/>
      <c r="C298" s="257"/>
      <c r="D298" s="1021"/>
      <c r="E298" s="250"/>
      <c r="F298" s="250"/>
      <c r="G298" s="250"/>
      <c r="H298" s="250"/>
      <c r="I298" s="250"/>
      <c r="J298" s="250"/>
      <c r="K298" s="250"/>
      <c r="L298" s="250"/>
      <c r="M298" s="250"/>
      <c r="N298" s="250"/>
      <c r="O298" s="250"/>
      <c r="P298" s="250"/>
      <c r="Q298" s="250"/>
      <c r="R298" s="124"/>
      <c r="S298" s="258"/>
      <c r="T298" s="259"/>
      <c r="U298" s="412"/>
      <c r="V298" s="412"/>
      <c r="W298" s="412"/>
      <c r="X298" s="412"/>
      <c r="Y298" s="412"/>
      <c r="Z298" s="412"/>
      <c r="AA298" s="412"/>
      <c r="AB298" s="412"/>
      <c r="AC298" s="412"/>
      <c r="AD298" s="412"/>
      <c r="AE298" s="412"/>
      <c r="AF298" s="412"/>
      <c r="AG298" s="412"/>
      <c r="AH298" s="412"/>
      <c r="AI298" s="412"/>
      <c r="AJ298" s="412"/>
      <c r="AK298" s="412"/>
      <c r="AL298" s="412"/>
      <c r="AM298" s="412"/>
      <c r="AN298" s="412"/>
      <c r="AO298" s="412"/>
      <c r="AP298" s="412"/>
      <c r="AQ298" s="449"/>
    </row>
    <row r="299" spans="2:43" x14ac:dyDescent="0.2">
      <c r="B299" s="412"/>
      <c r="C299" s="257"/>
      <c r="D299" s="1021"/>
      <c r="E299" s="250"/>
      <c r="F299" s="250"/>
      <c r="G299" s="250"/>
      <c r="H299" s="250"/>
      <c r="I299" s="250"/>
      <c r="J299" s="250"/>
      <c r="K299" s="250"/>
      <c r="L299" s="250"/>
      <c r="M299" s="250"/>
      <c r="N299" s="250"/>
      <c r="O299" s="250"/>
      <c r="P299" s="250"/>
      <c r="Q299" s="250"/>
      <c r="R299" s="124"/>
      <c r="S299" s="258"/>
      <c r="T299" s="259"/>
      <c r="U299" s="412"/>
      <c r="V299" s="412"/>
      <c r="W299" s="412"/>
      <c r="X299" s="412"/>
      <c r="Y299" s="412"/>
      <c r="Z299" s="412"/>
      <c r="AA299" s="412"/>
      <c r="AB299" s="412"/>
      <c r="AC299" s="412"/>
      <c r="AD299" s="412"/>
      <c r="AE299" s="412"/>
      <c r="AF299" s="412"/>
      <c r="AG299" s="412"/>
      <c r="AH299" s="412"/>
      <c r="AI299" s="412"/>
      <c r="AJ299" s="412"/>
      <c r="AK299" s="412"/>
      <c r="AL299" s="412"/>
      <c r="AM299" s="412"/>
      <c r="AN299" s="412"/>
      <c r="AO299" s="412"/>
      <c r="AP299" s="412"/>
      <c r="AQ299" s="449"/>
    </row>
    <row r="300" spans="2:43" x14ac:dyDescent="0.2">
      <c r="B300" s="412"/>
      <c r="C300" s="257"/>
      <c r="D300" s="1021"/>
      <c r="E300" s="250"/>
      <c r="F300" s="250"/>
      <c r="G300" s="250"/>
      <c r="H300" s="250"/>
      <c r="I300" s="250"/>
      <c r="J300" s="250"/>
      <c r="K300" s="250"/>
      <c r="L300" s="250"/>
      <c r="M300" s="250"/>
      <c r="N300" s="250"/>
      <c r="O300" s="250"/>
      <c r="P300" s="250"/>
      <c r="Q300" s="250"/>
      <c r="R300" s="124"/>
      <c r="S300" s="258"/>
      <c r="T300" s="259"/>
      <c r="U300" s="412"/>
      <c r="V300" s="412"/>
      <c r="W300" s="412"/>
      <c r="X300" s="412"/>
      <c r="Y300" s="412"/>
      <c r="Z300" s="412"/>
      <c r="AA300" s="412"/>
      <c r="AB300" s="412"/>
      <c r="AC300" s="412"/>
      <c r="AD300" s="412"/>
      <c r="AE300" s="412"/>
      <c r="AF300" s="412"/>
      <c r="AG300" s="412"/>
      <c r="AH300" s="412"/>
      <c r="AI300" s="412"/>
      <c r="AJ300" s="412"/>
      <c r="AK300" s="412"/>
      <c r="AL300" s="412"/>
      <c r="AM300" s="412"/>
      <c r="AN300" s="412"/>
      <c r="AO300" s="412"/>
      <c r="AP300" s="412"/>
      <c r="AQ300" s="449"/>
    </row>
    <row r="301" spans="2:43" x14ac:dyDescent="0.2">
      <c r="B301" s="412"/>
      <c r="C301" s="257"/>
      <c r="D301" s="1021"/>
      <c r="E301" s="250"/>
      <c r="F301" s="250"/>
      <c r="G301" s="250"/>
      <c r="H301" s="250"/>
      <c r="I301" s="250"/>
      <c r="J301" s="250"/>
      <c r="K301" s="250"/>
      <c r="L301" s="250"/>
      <c r="M301" s="250"/>
      <c r="N301" s="250"/>
      <c r="O301" s="250"/>
      <c r="P301" s="250"/>
      <c r="Q301" s="250"/>
      <c r="R301" s="124"/>
      <c r="S301" s="258"/>
      <c r="T301" s="259"/>
      <c r="U301" s="412"/>
      <c r="V301" s="412"/>
      <c r="W301" s="412"/>
      <c r="X301" s="412"/>
      <c r="Y301" s="412"/>
      <c r="Z301" s="412"/>
      <c r="AA301" s="412"/>
      <c r="AB301" s="412"/>
      <c r="AC301" s="412"/>
      <c r="AD301" s="412"/>
      <c r="AE301" s="412"/>
      <c r="AF301" s="412"/>
      <c r="AG301" s="412"/>
      <c r="AH301" s="412"/>
      <c r="AI301" s="412"/>
      <c r="AJ301" s="412"/>
      <c r="AK301" s="412"/>
      <c r="AL301" s="412"/>
      <c r="AM301" s="412"/>
      <c r="AN301" s="412"/>
      <c r="AO301" s="412"/>
      <c r="AP301" s="412"/>
      <c r="AQ301" s="449"/>
    </row>
    <row r="302" spans="2:43" x14ac:dyDescent="0.2">
      <c r="B302" s="412"/>
      <c r="C302" s="257"/>
      <c r="D302" s="1021"/>
      <c r="E302" s="250"/>
      <c r="F302" s="250"/>
      <c r="G302" s="250"/>
      <c r="H302" s="250"/>
      <c r="I302" s="250"/>
      <c r="J302" s="250"/>
      <c r="K302" s="250"/>
      <c r="L302" s="250"/>
      <c r="M302" s="250"/>
      <c r="N302" s="250"/>
      <c r="O302" s="250"/>
      <c r="P302" s="250"/>
      <c r="Q302" s="250"/>
      <c r="R302" s="124"/>
      <c r="S302" s="258"/>
      <c r="T302" s="259"/>
      <c r="U302" s="412"/>
      <c r="V302" s="412"/>
      <c r="W302" s="412"/>
      <c r="X302" s="412"/>
      <c r="Y302" s="412"/>
      <c r="Z302" s="412"/>
      <c r="AA302" s="412"/>
      <c r="AB302" s="412"/>
      <c r="AC302" s="412"/>
      <c r="AD302" s="412"/>
      <c r="AE302" s="412"/>
      <c r="AF302" s="412"/>
      <c r="AG302" s="412"/>
      <c r="AH302" s="412"/>
      <c r="AI302" s="412"/>
      <c r="AJ302" s="412"/>
      <c r="AK302" s="412"/>
      <c r="AL302" s="412"/>
      <c r="AM302" s="412"/>
      <c r="AN302" s="412"/>
      <c r="AO302" s="412"/>
      <c r="AP302" s="412"/>
      <c r="AQ302" s="449"/>
    </row>
    <row r="303" spans="2:43" x14ac:dyDescent="0.2">
      <c r="B303" s="412"/>
      <c r="C303" s="257"/>
      <c r="D303" s="1021"/>
      <c r="E303" s="250"/>
      <c r="F303" s="250"/>
      <c r="G303" s="250"/>
      <c r="H303" s="250"/>
      <c r="I303" s="250"/>
      <c r="J303" s="250"/>
      <c r="K303" s="250"/>
      <c r="L303" s="250"/>
      <c r="M303" s="250"/>
      <c r="N303" s="250"/>
      <c r="O303" s="250"/>
      <c r="P303" s="250"/>
      <c r="Q303" s="250"/>
      <c r="R303" s="124"/>
      <c r="S303" s="258"/>
      <c r="T303" s="259"/>
      <c r="U303" s="412"/>
      <c r="V303" s="412"/>
      <c r="W303" s="412"/>
      <c r="X303" s="412"/>
      <c r="Y303" s="412"/>
      <c r="Z303" s="412"/>
      <c r="AA303" s="412"/>
      <c r="AB303" s="412"/>
      <c r="AC303" s="412"/>
      <c r="AD303" s="412"/>
      <c r="AE303" s="412"/>
      <c r="AF303" s="412"/>
      <c r="AG303" s="412"/>
      <c r="AH303" s="412"/>
      <c r="AI303" s="412"/>
      <c r="AJ303" s="412"/>
      <c r="AK303" s="412"/>
      <c r="AL303" s="412"/>
      <c r="AM303" s="412"/>
      <c r="AN303" s="412"/>
      <c r="AO303" s="412"/>
      <c r="AP303" s="412"/>
      <c r="AQ303" s="449"/>
    </row>
    <row r="304" spans="2:43" x14ac:dyDescent="0.2">
      <c r="B304" s="412"/>
      <c r="C304" s="257"/>
      <c r="D304" s="1021"/>
      <c r="E304" s="250"/>
      <c r="F304" s="250"/>
      <c r="G304" s="250"/>
      <c r="H304" s="250"/>
      <c r="I304" s="250"/>
      <c r="J304" s="250"/>
      <c r="K304" s="250"/>
      <c r="L304" s="250"/>
      <c r="M304" s="250"/>
      <c r="N304" s="250"/>
      <c r="O304" s="250"/>
      <c r="P304" s="250"/>
      <c r="Q304" s="250"/>
      <c r="R304" s="124"/>
      <c r="S304" s="258"/>
      <c r="T304" s="259"/>
      <c r="U304" s="412"/>
      <c r="V304" s="412"/>
      <c r="W304" s="412"/>
      <c r="X304" s="412"/>
      <c r="Y304" s="412"/>
      <c r="Z304" s="412"/>
      <c r="AA304" s="412"/>
      <c r="AB304" s="412"/>
      <c r="AC304" s="412"/>
      <c r="AD304" s="412"/>
      <c r="AE304" s="412"/>
      <c r="AF304" s="412"/>
      <c r="AG304" s="412"/>
      <c r="AH304" s="412"/>
      <c r="AI304" s="412"/>
      <c r="AJ304" s="412"/>
      <c r="AK304" s="412"/>
      <c r="AL304" s="412"/>
      <c r="AM304" s="412"/>
      <c r="AN304" s="412"/>
      <c r="AO304" s="412"/>
      <c r="AP304" s="412"/>
      <c r="AQ304" s="449"/>
    </row>
    <row r="305" spans="2:43" x14ac:dyDescent="0.2">
      <c r="B305" s="412"/>
      <c r="C305" s="257"/>
      <c r="D305" s="1021"/>
      <c r="E305" s="250"/>
      <c r="F305" s="250"/>
      <c r="G305" s="250"/>
      <c r="H305" s="250"/>
      <c r="I305" s="250"/>
      <c r="J305" s="250"/>
      <c r="K305" s="250"/>
      <c r="L305" s="250"/>
      <c r="M305" s="250"/>
      <c r="N305" s="250"/>
      <c r="O305" s="250"/>
      <c r="P305" s="250"/>
      <c r="Q305" s="250"/>
      <c r="R305" s="124"/>
      <c r="S305" s="258"/>
      <c r="T305" s="259"/>
      <c r="U305" s="412"/>
      <c r="V305" s="412"/>
      <c r="W305" s="412"/>
      <c r="X305" s="412"/>
      <c r="Y305" s="412"/>
      <c r="Z305" s="412"/>
      <c r="AA305" s="412"/>
      <c r="AB305" s="412"/>
      <c r="AC305" s="412"/>
      <c r="AD305" s="412"/>
      <c r="AE305" s="412"/>
      <c r="AF305" s="412"/>
      <c r="AG305" s="412"/>
      <c r="AH305" s="412"/>
      <c r="AI305" s="412"/>
      <c r="AJ305" s="412"/>
      <c r="AK305" s="412"/>
      <c r="AL305" s="412"/>
      <c r="AM305" s="412"/>
      <c r="AN305" s="412"/>
      <c r="AO305" s="412"/>
      <c r="AP305" s="412"/>
      <c r="AQ305" s="449"/>
    </row>
    <row r="306" spans="2:43" x14ac:dyDescent="0.2">
      <c r="B306" s="412"/>
      <c r="C306" s="257"/>
      <c r="D306" s="1021"/>
      <c r="E306" s="250"/>
      <c r="F306" s="250"/>
      <c r="G306" s="250"/>
      <c r="H306" s="250"/>
      <c r="I306" s="250"/>
      <c r="J306" s="250"/>
      <c r="K306" s="250"/>
      <c r="L306" s="250"/>
      <c r="M306" s="250"/>
      <c r="N306" s="250"/>
      <c r="O306" s="250"/>
      <c r="P306" s="250"/>
      <c r="Q306" s="250"/>
      <c r="R306" s="124"/>
      <c r="S306" s="258"/>
      <c r="T306" s="259"/>
      <c r="U306" s="412"/>
      <c r="V306" s="412"/>
      <c r="W306" s="412"/>
      <c r="X306" s="412"/>
      <c r="Y306" s="412"/>
      <c r="Z306" s="412"/>
      <c r="AA306" s="412"/>
      <c r="AB306" s="412"/>
      <c r="AC306" s="412"/>
      <c r="AD306" s="412"/>
      <c r="AE306" s="412"/>
      <c r="AF306" s="412"/>
      <c r="AG306" s="412"/>
      <c r="AH306" s="412"/>
      <c r="AI306" s="412"/>
      <c r="AJ306" s="412"/>
      <c r="AK306" s="412"/>
      <c r="AL306" s="412"/>
      <c r="AM306" s="412"/>
      <c r="AN306" s="412"/>
      <c r="AO306" s="412"/>
      <c r="AP306" s="412"/>
      <c r="AQ306" s="449"/>
    </row>
    <row r="307" spans="2:43" x14ac:dyDescent="0.2">
      <c r="B307" s="412"/>
      <c r="C307" s="257"/>
      <c r="D307" s="1021"/>
      <c r="E307" s="250"/>
      <c r="F307" s="250"/>
      <c r="G307" s="250"/>
      <c r="H307" s="250"/>
      <c r="I307" s="250"/>
      <c r="J307" s="250"/>
      <c r="K307" s="250"/>
      <c r="L307" s="250"/>
      <c r="M307" s="250"/>
      <c r="N307" s="250"/>
      <c r="O307" s="250"/>
      <c r="P307" s="250"/>
      <c r="Q307" s="250"/>
      <c r="R307" s="124"/>
      <c r="S307" s="258"/>
      <c r="T307" s="259"/>
      <c r="U307" s="412"/>
      <c r="V307" s="412"/>
      <c r="W307" s="412"/>
      <c r="X307" s="412"/>
      <c r="Y307" s="412"/>
      <c r="Z307" s="412"/>
      <c r="AA307" s="412"/>
      <c r="AB307" s="412"/>
      <c r="AC307" s="412"/>
      <c r="AD307" s="412"/>
      <c r="AE307" s="412"/>
      <c r="AF307" s="412"/>
      <c r="AG307" s="412"/>
      <c r="AH307" s="412"/>
      <c r="AI307" s="412"/>
      <c r="AJ307" s="412"/>
      <c r="AK307" s="412"/>
      <c r="AL307" s="412"/>
      <c r="AM307" s="412"/>
      <c r="AN307" s="412"/>
      <c r="AO307" s="412"/>
      <c r="AP307" s="412"/>
      <c r="AQ307" s="449"/>
    </row>
    <row r="308" spans="2:43" x14ac:dyDescent="0.2">
      <c r="B308" s="412"/>
      <c r="C308" s="260"/>
      <c r="D308" s="1021"/>
      <c r="E308" s="250"/>
      <c r="F308" s="250"/>
      <c r="G308" s="250"/>
      <c r="H308" s="250"/>
      <c r="I308" s="250"/>
      <c r="J308" s="250"/>
      <c r="K308" s="250"/>
      <c r="L308" s="250"/>
      <c r="M308" s="250"/>
      <c r="N308" s="250"/>
      <c r="O308" s="250"/>
      <c r="P308" s="250"/>
      <c r="Q308" s="250"/>
      <c r="R308" s="124"/>
      <c r="S308" s="258"/>
      <c r="T308" s="259"/>
      <c r="U308" s="820"/>
      <c r="V308" s="412"/>
      <c r="W308" s="412"/>
      <c r="X308" s="412"/>
      <c r="Y308" s="412"/>
      <c r="Z308" s="412"/>
      <c r="AA308" s="412"/>
      <c r="AB308" s="412"/>
      <c r="AC308" s="412"/>
      <c r="AD308" s="412"/>
      <c r="AE308" s="412"/>
      <c r="AF308" s="412"/>
      <c r="AG308" s="412"/>
      <c r="AH308" s="412"/>
      <c r="AI308" s="412"/>
      <c r="AJ308" s="412"/>
      <c r="AK308" s="412"/>
      <c r="AL308" s="412"/>
      <c r="AM308" s="412"/>
      <c r="AN308" s="412"/>
      <c r="AO308" s="412"/>
      <c r="AP308" s="412"/>
      <c r="AQ308" s="449"/>
    </row>
    <row r="309" spans="2:43" ht="14.25" x14ac:dyDescent="0.2">
      <c r="B309" s="412"/>
      <c r="C309" s="1194"/>
      <c r="D309" s="984"/>
      <c r="E309" s="205"/>
      <c r="F309" s="206"/>
      <c r="G309" s="206"/>
      <c r="H309" s="206"/>
      <c r="I309" s="204"/>
      <c r="J309" s="204"/>
      <c r="K309" s="204"/>
      <c r="L309" s="204"/>
      <c r="M309" s="204"/>
      <c r="N309" s="250"/>
      <c r="O309" s="250"/>
      <c r="P309" s="250"/>
      <c r="Q309" s="250"/>
      <c r="R309" s="124"/>
      <c r="S309" s="258"/>
      <c r="T309" s="259"/>
      <c r="U309" s="412"/>
      <c r="V309" s="412"/>
      <c r="W309" s="412"/>
      <c r="X309" s="412"/>
      <c r="Y309" s="412"/>
      <c r="Z309" s="412"/>
      <c r="AA309" s="412"/>
      <c r="AB309" s="412"/>
      <c r="AC309" s="412"/>
      <c r="AD309" s="412"/>
      <c r="AE309" s="412"/>
      <c r="AF309" s="412"/>
      <c r="AG309" s="412"/>
      <c r="AH309" s="412"/>
      <c r="AI309" s="412"/>
      <c r="AJ309" s="412"/>
      <c r="AK309" s="412"/>
      <c r="AL309" s="412"/>
      <c r="AM309" s="412"/>
      <c r="AN309" s="412"/>
      <c r="AO309" s="412"/>
      <c r="AP309" s="412"/>
      <c r="AQ309" s="449"/>
    </row>
    <row r="310" spans="2:43" ht="19.5" x14ac:dyDescent="0.25">
      <c r="B310" s="412"/>
      <c r="C310" s="1195"/>
      <c r="D310" s="1501" t="str">
        <f>D!$H$6</f>
        <v>MiEmpresa</v>
      </c>
      <c r="E310" s="1502"/>
      <c r="F310" s="1502"/>
      <c r="G310" s="1503" t="s">
        <v>1122</v>
      </c>
      <c r="H310" s="1503"/>
      <c r="I310" s="1503"/>
      <c r="J310" s="1503"/>
      <c r="K310" s="1503"/>
      <c r="L310" s="186"/>
      <c r="M310" s="187"/>
      <c r="N310" s="187"/>
      <c r="O310" s="187"/>
      <c r="P310" s="188" t="s">
        <v>589</v>
      </c>
      <c r="Q310" s="834">
        <f>D!$N$6</f>
        <v>2013</v>
      </c>
      <c r="R310" s="967"/>
      <c r="S310" s="258"/>
      <c r="T310" s="259"/>
      <c r="U310" s="412"/>
      <c r="V310" s="412"/>
      <c r="W310" s="412"/>
      <c r="X310" s="412"/>
      <c r="Y310" s="412"/>
      <c r="Z310" s="412"/>
      <c r="AA310" s="412"/>
      <c r="AB310" s="412"/>
      <c r="AC310" s="412"/>
      <c r="AD310" s="412"/>
      <c r="AE310" s="412"/>
      <c r="AF310" s="412"/>
      <c r="AG310" s="412"/>
      <c r="AH310" s="412"/>
      <c r="AI310" s="412"/>
      <c r="AJ310" s="412"/>
      <c r="AK310" s="412"/>
      <c r="AL310" s="412"/>
      <c r="AM310" s="412"/>
      <c r="AN310" s="412"/>
      <c r="AO310" s="412"/>
      <c r="AP310" s="412"/>
      <c r="AQ310" s="449"/>
    </row>
    <row r="311" spans="2:43" ht="14.25" x14ac:dyDescent="0.2">
      <c r="B311" s="412"/>
      <c r="C311" s="1195"/>
      <c r="D311" s="984"/>
      <c r="E311" s="205"/>
      <c r="F311" s="206"/>
      <c r="G311" s="206"/>
      <c r="H311" s="206"/>
      <c r="I311" s="204"/>
      <c r="J311" s="204"/>
      <c r="K311" s="204"/>
      <c r="L311" s="204"/>
      <c r="M311" s="204"/>
      <c r="N311" s="250"/>
      <c r="O311" s="250"/>
      <c r="P311" s="250"/>
      <c r="Q311" s="250"/>
      <c r="R311" s="124"/>
      <c r="S311" s="258"/>
      <c r="T311" s="259"/>
      <c r="U311" s="412"/>
      <c r="V311" s="412"/>
      <c r="W311" s="412"/>
      <c r="X311" s="412"/>
      <c r="Y311" s="412"/>
      <c r="Z311" s="412"/>
      <c r="AA311" s="412"/>
      <c r="AB311" s="412"/>
      <c r="AC311" s="412"/>
      <c r="AD311" s="412"/>
      <c r="AE311" s="412"/>
      <c r="AF311" s="412"/>
      <c r="AG311" s="412"/>
      <c r="AH311" s="412"/>
      <c r="AI311" s="412"/>
      <c r="AJ311" s="412"/>
      <c r="AK311" s="412"/>
      <c r="AL311" s="412"/>
      <c r="AM311" s="412"/>
      <c r="AN311" s="412"/>
      <c r="AO311" s="412"/>
      <c r="AP311" s="412"/>
      <c r="AQ311" s="449"/>
    </row>
    <row r="312" spans="2:43" ht="19.5" x14ac:dyDescent="0.25">
      <c r="B312" s="412"/>
      <c r="C312" s="1195"/>
      <c r="D312" s="1499"/>
      <c r="E312" s="1500"/>
      <c r="F312" s="1500"/>
      <c r="G312" s="1500"/>
      <c r="H312" s="1500"/>
      <c r="I312" s="1500"/>
      <c r="J312" s="1500"/>
      <c r="K312" s="1500"/>
      <c r="L312" s="1500"/>
      <c r="M312" s="204"/>
      <c r="N312" s="250"/>
      <c r="O312" s="250"/>
      <c r="P312" s="250"/>
      <c r="Q312" s="250"/>
      <c r="R312" s="124"/>
      <c r="S312" s="258"/>
      <c r="T312" s="259"/>
      <c r="U312" s="412"/>
      <c r="V312" s="412"/>
      <c r="W312" s="412"/>
      <c r="X312" s="412"/>
      <c r="Y312" s="412"/>
      <c r="Z312" s="412"/>
      <c r="AA312" s="412"/>
      <c r="AB312" s="412"/>
      <c r="AC312" s="412"/>
      <c r="AD312" s="412"/>
      <c r="AE312" s="412"/>
      <c r="AF312" s="412"/>
      <c r="AG312" s="412"/>
      <c r="AH312" s="412"/>
      <c r="AI312" s="412"/>
      <c r="AJ312" s="412"/>
      <c r="AK312" s="412"/>
      <c r="AL312" s="412"/>
      <c r="AM312" s="412"/>
      <c r="AN312" s="412"/>
      <c r="AO312" s="412"/>
      <c r="AP312" s="412"/>
      <c r="AQ312" s="449"/>
    </row>
    <row r="313" spans="2:43" ht="18" x14ac:dyDescent="0.25">
      <c r="B313" s="412"/>
      <c r="C313" s="1195"/>
      <c r="D313" s="1022"/>
      <c r="E313" s="175"/>
      <c r="F313" s="206"/>
      <c r="G313" s="206"/>
      <c r="H313" s="206"/>
      <c r="I313" s="204"/>
      <c r="J313" s="212"/>
      <c r="K313" s="204"/>
      <c r="L313" s="254"/>
      <c r="M313" s="213"/>
      <c r="N313" s="255"/>
      <c r="O313" s="255"/>
      <c r="P313" s="255"/>
      <c r="Q313" s="255"/>
      <c r="R313" s="256"/>
      <c r="S313" s="258"/>
      <c r="T313" s="259"/>
      <c r="U313" s="412"/>
      <c r="V313" s="412"/>
      <c r="W313" s="412"/>
      <c r="X313" s="412"/>
      <c r="Y313" s="412"/>
      <c r="Z313" s="412"/>
      <c r="AA313" s="412"/>
      <c r="AB313" s="412"/>
      <c r="AC313" s="412"/>
      <c r="AD313" s="412"/>
      <c r="AE313" s="412"/>
      <c r="AF313" s="412"/>
      <c r="AG313" s="412"/>
      <c r="AH313" s="412"/>
      <c r="AI313" s="412"/>
      <c r="AJ313" s="412"/>
      <c r="AK313" s="412"/>
      <c r="AL313" s="412"/>
      <c r="AM313" s="412"/>
      <c r="AN313" s="412"/>
      <c r="AO313" s="412"/>
      <c r="AP313" s="412"/>
      <c r="AQ313" s="449"/>
    </row>
    <row r="314" spans="2:43" ht="15" x14ac:dyDescent="0.2">
      <c r="B314" s="412"/>
      <c r="C314" s="1195"/>
      <c r="D314" s="1023" t="s">
        <v>349</v>
      </c>
      <c r="E314" s="251"/>
      <c r="F314" s="207"/>
      <c r="G314" s="251"/>
      <c r="H314" s="253"/>
      <c r="I314" s="253"/>
      <c r="J314" s="267">
        <f>'5años'!$E$301</f>
        <v>0</v>
      </c>
      <c r="K314" s="250"/>
      <c r="L314" s="257"/>
      <c r="M314" s="258"/>
      <c r="N314" s="258"/>
      <c r="O314" s="258"/>
      <c r="P314" s="258"/>
      <c r="Q314" s="258"/>
      <c r="R314" s="259"/>
      <c r="S314" s="258"/>
      <c r="T314" s="259"/>
      <c r="U314" s="412"/>
      <c r="V314" s="412"/>
      <c r="W314" s="412"/>
      <c r="X314" s="412"/>
      <c r="Y314" s="412"/>
      <c r="Z314" s="412"/>
      <c r="AA314" s="412"/>
      <c r="AB314" s="412"/>
      <c r="AC314" s="412"/>
      <c r="AD314" s="412"/>
      <c r="AE314" s="412"/>
      <c r="AF314" s="412"/>
      <c r="AG314" s="412"/>
      <c r="AH314" s="412"/>
      <c r="AI314" s="412"/>
      <c r="AJ314" s="412"/>
      <c r="AK314" s="412"/>
      <c r="AL314" s="412"/>
      <c r="AM314" s="412"/>
      <c r="AN314" s="412"/>
      <c r="AO314" s="412"/>
      <c r="AP314" s="412"/>
      <c r="AQ314" s="449"/>
    </row>
    <row r="315" spans="2:43" ht="15" x14ac:dyDescent="0.2">
      <c r="B315" s="412"/>
      <c r="C315" s="1195"/>
      <c r="D315" s="1024"/>
      <c r="E315" s="250"/>
      <c r="F315" s="171"/>
      <c r="G315" s="208" t="s">
        <v>610</v>
      </c>
      <c r="H315" s="250"/>
      <c r="I315" s="250"/>
      <c r="J315" s="268">
        <f>CResult!$R$64</f>
        <v>0</v>
      </c>
      <c r="K315" s="250"/>
      <c r="L315" s="257"/>
      <c r="M315" s="258"/>
      <c r="N315" s="258"/>
      <c r="O315" s="258"/>
      <c r="P315" s="258"/>
      <c r="Q315" s="258"/>
      <c r="R315" s="259"/>
      <c r="S315" s="258"/>
      <c r="T315" s="259"/>
      <c r="U315" s="412"/>
      <c r="V315" s="412"/>
      <c r="W315" s="412"/>
      <c r="X315" s="412"/>
      <c r="Y315" s="412"/>
      <c r="Z315" s="412"/>
      <c r="AA315" s="412"/>
      <c r="AB315" s="412"/>
      <c r="AC315" s="412"/>
      <c r="AD315" s="412"/>
      <c r="AE315" s="412"/>
      <c r="AF315" s="412"/>
      <c r="AG315" s="412"/>
      <c r="AH315" s="412"/>
      <c r="AI315" s="412"/>
      <c r="AJ315" s="412"/>
      <c r="AK315" s="412"/>
      <c r="AL315" s="412"/>
      <c r="AM315" s="412"/>
      <c r="AN315" s="412"/>
      <c r="AO315" s="412"/>
      <c r="AP315" s="412"/>
      <c r="AQ315" s="449"/>
    </row>
    <row r="316" spans="2:43" ht="15" x14ac:dyDescent="0.2">
      <c r="B316" s="412"/>
      <c r="C316" s="1195"/>
      <c r="D316" s="1024"/>
      <c r="E316" s="250"/>
      <c r="F316" s="156"/>
      <c r="G316" s="204"/>
      <c r="H316" s="250"/>
      <c r="I316" s="209"/>
      <c r="J316" s="210"/>
      <c r="K316" s="250"/>
      <c r="L316" s="257"/>
      <c r="M316" s="258"/>
      <c r="N316" s="258"/>
      <c r="O316" s="258"/>
      <c r="P316" s="258"/>
      <c r="Q316" s="258"/>
      <c r="R316" s="259"/>
      <c r="S316" s="258"/>
      <c r="T316" s="259"/>
      <c r="U316" s="412"/>
      <c r="V316" s="412"/>
      <c r="W316" s="412"/>
      <c r="X316" s="412"/>
      <c r="Y316" s="412"/>
      <c r="Z316" s="412"/>
      <c r="AA316" s="412"/>
      <c r="AB316" s="412"/>
      <c r="AC316" s="412"/>
      <c r="AD316" s="412"/>
      <c r="AE316" s="412"/>
      <c r="AF316" s="412"/>
      <c r="AG316" s="412"/>
      <c r="AH316" s="412"/>
      <c r="AI316" s="412"/>
      <c r="AJ316" s="412"/>
      <c r="AK316" s="412"/>
      <c r="AL316" s="412"/>
      <c r="AM316" s="412"/>
      <c r="AN316" s="412"/>
      <c r="AO316" s="412"/>
      <c r="AP316" s="412"/>
      <c r="AQ316" s="449"/>
    </row>
    <row r="317" spans="2:43" ht="15" x14ac:dyDescent="0.2">
      <c r="B317" s="412"/>
      <c r="C317" s="1195"/>
      <c r="D317" s="1023" t="s">
        <v>350</v>
      </c>
      <c r="E317" s="251"/>
      <c r="F317" s="207"/>
      <c r="G317" s="253"/>
      <c r="H317" s="251"/>
      <c r="I317" s="207"/>
      <c r="J317" s="267">
        <f>'5años'!$E$305</f>
        <v>0</v>
      </c>
      <c r="K317" s="250"/>
      <c r="L317" s="257"/>
      <c r="M317" s="258"/>
      <c r="N317" s="258"/>
      <c r="O317" s="258"/>
      <c r="P317" s="258"/>
      <c r="Q317" s="258"/>
      <c r="R317" s="259"/>
      <c r="S317" s="258"/>
      <c r="T317" s="259"/>
      <c r="U317" s="412"/>
      <c r="V317" s="412"/>
      <c r="W317" s="412"/>
      <c r="X317" s="412"/>
      <c r="Y317" s="412"/>
      <c r="Z317" s="412"/>
      <c r="AA317" s="412"/>
      <c r="AB317" s="412"/>
      <c r="AC317" s="412"/>
      <c r="AD317" s="412"/>
      <c r="AE317" s="412"/>
      <c r="AF317" s="412"/>
      <c r="AG317" s="412"/>
      <c r="AH317" s="412"/>
      <c r="AI317" s="412"/>
      <c r="AJ317" s="412"/>
      <c r="AK317" s="412"/>
      <c r="AL317" s="412"/>
      <c r="AM317" s="412"/>
      <c r="AN317" s="412"/>
      <c r="AO317" s="412"/>
      <c r="AP317" s="412"/>
      <c r="AQ317" s="449"/>
    </row>
    <row r="318" spans="2:43" ht="15" x14ac:dyDescent="0.2">
      <c r="B318" s="412"/>
      <c r="C318" s="1195"/>
      <c r="D318" s="1024"/>
      <c r="E318" s="250"/>
      <c r="F318" s="171"/>
      <c r="G318" s="208" t="s">
        <v>1121</v>
      </c>
      <c r="H318" s="250"/>
      <c r="I318" s="250"/>
      <c r="J318" s="269">
        <f>IF(CResult!S63=0,0,J317/CResult!S63)</f>
        <v>0</v>
      </c>
      <c r="K318" s="250"/>
      <c r="L318" s="257"/>
      <c r="M318" s="258"/>
      <c r="N318" s="258"/>
      <c r="O318" s="258"/>
      <c r="P318" s="258"/>
      <c r="Q318" s="258"/>
      <c r="R318" s="259"/>
      <c r="S318" s="258"/>
      <c r="T318" s="259"/>
      <c r="U318" s="412"/>
      <c r="V318" s="412"/>
      <c r="W318" s="412"/>
      <c r="X318" s="412"/>
      <c r="Y318" s="412"/>
      <c r="Z318" s="412"/>
      <c r="AA318" s="412"/>
      <c r="AB318" s="412"/>
      <c r="AC318" s="412"/>
      <c r="AD318" s="412"/>
      <c r="AE318" s="412"/>
      <c r="AF318" s="412"/>
      <c r="AG318" s="412"/>
      <c r="AH318" s="412"/>
      <c r="AI318" s="412"/>
      <c r="AJ318" s="412"/>
      <c r="AK318" s="412"/>
      <c r="AL318" s="412"/>
      <c r="AM318" s="412"/>
      <c r="AN318" s="412"/>
      <c r="AO318" s="412"/>
      <c r="AP318" s="412"/>
      <c r="AQ318" s="449"/>
    </row>
    <row r="319" spans="2:43" ht="15" x14ac:dyDescent="0.2">
      <c r="B319" s="412"/>
      <c r="C319" s="1195"/>
      <c r="D319" s="1025"/>
      <c r="E319" s="250"/>
      <c r="F319" s="209"/>
      <c r="G319" s="250"/>
      <c r="H319" s="204"/>
      <c r="I319" s="204"/>
      <c r="J319" s="211"/>
      <c r="K319" s="250"/>
      <c r="L319" s="257"/>
      <c r="M319" s="258"/>
      <c r="N319" s="258"/>
      <c r="O319" s="258"/>
      <c r="P319" s="258"/>
      <c r="Q319" s="258"/>
      <c r="R319" s="259"/>
      <c r="S319" s="258"/>
      <c r="T319" s="259"/>
      <c r="U319" s="412"/>
      <c r="V319" s="412"/>
      <c r="W319" s="412"/>
      <c r="X319" s="412"/>
      <c r="Y319" s="412"/>
      <c r="Z319" s="412"/>
      <c r="AA319" s="412"/>
      <c r="AB319" s="412"/>
      <c r="AC319" s="412"/>
      <c r="AD319" s="412"/>
      <c r="AE319" s="412"/>
      <c r="AF319" s="412"/>
      <c r="AG319" s="412"/>
      <c r="AH319" s="412"/>
      <c r="AI319" s="412"/>
      <c r="AJ319" s="412"/>
      <c r="AK319" s="412"/>
      <c r="AL319" s="412"/>
      <c r="AM319" s="412"/>
      <c r="AN319" s="412"/>
      <c r="AO319" s="412"/>
      <c r="AP319" s="412"/>
      <c r="AQ319" s="449"/>
    </row>
    <row r="320" spans="2:43" ht="15" x14ac:dyDescent="0.2">
      <c r="B320" s="412"/>
      <c r="C320" s="1195"/>
      <c r="D320" s="1023" t="s">
        <v>351</v>
      </c>
      <c r="E320" s="251"/>
      <c r="F320" s="207"/>
      <c r="G320" s="251"/>
      <c r="H320" s="253"/>
      <c r="I320" s="253"/>
      <c r="J320" s="267">
        <f>CResult!$S$67</f>
        <v>0</v>
      </c>
      <c r="K320" s="250"/>
      <c r="L320" s="257"/>
      <c r="M320" s="258"/>
      <c r="N320" s="258"/>
      <c r="O320" s="258"/>
      <c r="P320" s="258"/>
      <c r="Q320" s="258"/>
      <c r="R320" s="259"/>
      <c r="S320" s="258"/>
      <c r="T320" s="259"/>
      <c r="U320" s="412"/>
      <c r="V320" s="412"/>
      <c r="W320" s="412"/>
      <c r="X320" s="412"/>
      <c r="Y320" s="412"/>
      <c r="Z320" s="412"/>
      <c r="AA320" s="412"/>
      <c r="AB320" s="412"/>
      <c r="AC320" s="412"/>
      <c r="AD320" s="412"/>
      <c r="AE320" s="412"/>
      <c r="AF320" s="412"/>
      <c r="AG320" s="412"/>
      <c r="AH320" s="412"/>
      <c r="AI320" s="412"/>
      <c r="AJ320" s="412"/>
      <c r="AK320" s="412"/>
      <c r="AL320" s="412"/>
      <c r="AM320" s="412"/>
      <c r="AN320" s="412"/>
      <c r="AO320" s="412"/>
      <c r="AP320" s="412"/>
      <c r="AQ320" s="449"/>
    </row>
    <row r="321" spans="2:43" ht="18" x14ac:dyDescent="0.25">
      <c r="B321" s="412"/>
      <c r="C321" s="1195"/>
      <c r="D321" s="1026"/>
      <c r="E321" s="175"/>
      <c r="F321" s="209"/>
      <c r="G321" s="212"/>
      <c r="H321" s="204"/>
      <c r="I321" s="204"/>
      <c r="J321" s="204"/>
      <c r="K321" s="250"/>
      <c r="L321" s="257"/>
      <c r="M321" s="258"/>
      <c r="N321" s="258"/>
      <c r="O321" s="258"/>
      <c r="P321" s="258"/>
      <c r="Q321" s="258"/>
      <c r="R321" s="259"/>
      <c r="S321" s="258"/>
      <c r="T321" s="259"/>
      <c r="U321" s="412"/>
      <c r="V321" s="412"/>
      <c r="W321" s="412"/>
      <c r="X321" s="412"/>
      <c r="Y321" s="412"/>
      <c r="Z321" s="412"/>
      <c r="AA321" s="412"/>
      <c r="AB321" s="412"/>
      <c r="AC321" s="412"/>
      <c r="AD321" s="412"/>
      <c r="AE321" s="412"/>
      <c r="AF321" s="412"/>
      <c r="AG321" s="412"/>
      <c r="AH321" s="412"/>
      <c r="AI321" s="412"/>
      <c r="AJ321" s="412"/>
      <c r="AK321" s="412"/>
      <c r="AL321" s="412"/>
      <c r="AM321" s="412"/>
      <c r="AN321" s="412"/>
      <c r="AO321" s="412"/>
      <c r="AP321" s="412"/>
      <c r="AQ321" s="449"/>
    </row>
    <row r="322" spans="2:43" x14ac:dyDescent="0.2">
      <c r="B322" s="412"/>
      <c r="C322" s="257"/>
      <c r="D322" s="1021"/>
      <c r="E322" s="250"/>
      <c r="F322" s="250"/>
      <c r="G322" s="250"/>
      <c r="H322" s="250"/>
      <c r="I322" s="250"/>
      <c r="J322" s="250"/>
      <c r="K322" s="250"/>
      <c r="L322" s="257"/>
      <c r="M322" s="258"/>
      <c r="N322" s="258"/>
      <c r="O322" s="258"/>
      <c r="P322" s="258"/>
      <c r="Q322" s="258"/>
      <c r="R322" s="259"/>
      <c r="S322" s="258"/>
      <c r="T322" s="259"/>
      <c r="U322" s="412"/>
      <c r="V322" s="412"/>
      <c r="W322" s="412"/>
      <c r="X322" s="412"/>
      <c r="Y322" s="412"/>
      <c r="Z322" s="412"/>
      <c r="AA322" s="412"/>
      <c r="AB322" s="412"/>
      <c r="AC322" s="412"/>
      <c r="AD322" s="412"/>
      <c r="AE322" s="412"/>
      <c r="AF322" s="412"/>
      <c r="AG322" s="412"/>
      <c r="AH322" s="412"/>
      <c r="AI322" s="412"/>
      <c r="AJ322" s="412"/>
      <c r="AK322" s="412"/>
      <c r="AL322" s="412"/>
      <c r="AM322" s="412"/>
      <c r="AN322" s="412"/>
      <c r="AO322" s="412"/>
      <c r="AP322" s="412"/>
      <c r="AQ322" s="449"/>
    </row>
    <row r="323" spans="2:43" x14ac:dyDescent="0.2">
      <c r="B323" s="412"/>
      <c r="C323" s="257"/>
      <c r="D323" s="1021"/>
      <c r="E323" s="250"/>
      <c r="F323" s="250"/>
      <c r="G323" s="250"/>
      <c r="H323" s="250"/>
      <c r="I323" s="250"/>
      <c r="J323" s="250"/>
      <c r="K323" s="250"/>
      <c r="L323" s="257"/>
      <c r="M323" s="258"/>
      <c r="N323" s="258"/>
      <c r="O323" s="258"/>
      <c r="P323" s="258"/>
      <c r="Q323" s="258"/>
      <c r="R323" s="259"/>
      <c r="S323" s="258"/>
      <c r="T323" s="259"/>
      <c r="U323" s="412"/>
      <c r="V323" s="412"/>
      <c r="W323" s="412"/>
      <c r="X323" s="412"/>
      <c r="Y323" s="412"/>
      <c r="Z323" s="412"/>
      <c r="AA323" s="412"/>
      <c r="AB323" s="412"/>
      <c r="AC323" s="412"/>
      <c r="AD323" s="412"/>
      <c r="AE323" s="412"/>
      <c r="AF323" s="412"/>
      <c r="AG323" s="412"/>
      <c r="AH323" s="412"/>
      <c r="AI323" s="412"/>
      <c r="AJ323" s="412"/>
      <c r="AK323" s="412"/>
      <c r="AL323" s="412"/>
      <c r="AM323" s="412"/>
      <c r="AN323" s="412"/>
      <c r="AO323" s="412"/>
      <c r="AP323" s="412"/>
      <c r="AQ323" s="449"/>
    </row>
    <row r="324" spans="2:43" x14ac:dyDescent="0.2">
      <c r="B324" s="412"/>
      <c r="C324" s="257"/>
      <c r="D324" s="1021"/>
      <c r="E324" s="250"/>
      <c r="F324" s="250"/>
      <c r="G324" s="250"/>
      <c r="H324" s="250"/>
      <c r="I324" s="250"/>
      <c r="J324" s="250"/>
      <c r="K324" s="250"/>
      <c r="L324" s="257"/>
      <c r="M324" s="258"/>
      <c r="N324" s="258"/>
      <c r="O324" s="258"/>
      <c r="P324" s="258"/>
      <c r="Q324" s="258"/>
      <c r="R324" s="259"/>
      <c r="S324" s="258"/>
      <c r="T324" s="259"/>
      <c r="U324" s="412"/>
      <c r="V324" s="412"/>
      <c r="W324" s="412"/>
      <c r="X324" s="412"/>
      <c r="Y324" s="412"/>
      <c r="Z324" s="412"/>
      <c r="AA324" s="412"/>
      <c r="AB324" s="412"/>
      <c r="AC324" s="412"/>
      <c r="AD324" s="412"/>
      <c r="AE324" s="412"/>
      <c r="AF324" s="412"/>
      <c r="AG324" s="412"/>
      <c r="AH324" s="412"/>
      <c r="AI324" s="412"/>
      <c r="AJ324" s="412"/>
      <c r="AK324" s="412"/>
      <c r="AL324" s="412"/>
      <c r="AM324" s="412"/>
      <c r="AN324" s="412"/>
      <c r="AO324" s="412"/>
      <c r="AP324" s="412"/>
      <c r="AQ324" s="449"/>
    </row>
    <row r="325" spans="2:43" ht="18" x14ac:dyDescent="0.25">
      <c r="B325" s="412"/>
      <c r="C325" s="257"/>
      <c r="D325" s="1027" t="str">
        <f>IF(J314=0,"NO HAY DATOS SOBRE EL NÚMERO DE UNIDADES, NO SE PUEDE EFECTUAR EL CÁLCULO","")</f>
        <v>NO HAY DATOS SOBRE EL NÚMERO DE UNIDADES, NO SE PUEDE EFECTUAR EL CÁLCULO</v>
      </c>
      <c r="E325" s="250"/>
      <c r="F325" s="250"/>
      <c r="G325" s="250"/>
      <c r="H325" s="250"/>
      <c r="I325" s="250"/>
      <c r="J325" s="250"/>
      <c r="K325" s="250"/>
      <c r="L325" s="257"/>
      <c r="M325" s="258"/>
      <c r="N325" s="258"/>
      <c r="O325" s="258"/>
      <c r="P325" s="258"/>
      <c r="Q325" s="258"/>
      <c r="R325" s="259"/>
      <c r="S325" s="258"/>
      <c r="T325" s="259"/>
      <c r="U325" s="412"/>
      <c r="V325" s="412"/>
      <c r="W325" s="412"/>
      <c r="X325" s="412"/>
      <c r="Y325" s="412"/>
      <c r="Z325" s="412"/>
      <c r="AA325" s="412"/>
      <c r="AB325" s="412"/>
      <c r="AC325" s="412"/>
      <c r="AD325" s="412"/>
      <c r="AE325" s="412"/>
      <c r="AF325" s="412"/>
      <c r="AG325" s="412"/>
      <c r="AH325" s="412"/>
      <c r="AI325" s="412"/>
      <c r="AJ325" s="412"/>
      <c r="AK325" s="412"/>
      <c r="AL325" s="412"/>
      <c r="AM325" s="412"/>
      <c r="AN325" s="412"/>
      <c r="AO325" s="412"/>
      <c r="AP325" s="412"/>
      <c r="AQ325" s="449"/>
    </row>
    <row r="326" spans="2:43" x14ac:dyDescent="0.2">
      <c r="B326" s="412"/>
      <c r="C326" s="257"/>
      <c r="D326" s="1021"/>
      <c r="E326" s="250"/>
      <c r="F326" s="250"/>
      <c r="G326" s="250"/>
      <c r="H326" s="250"/>
      <c r="I326" s="250"/>
      <c r="J326" s="250"/>
      <c r="K326" s="250"/>
      <c r="L326" s="257"/>
      <c r="M326" s="258"/>
      <c r="N326" s="258"/>
      <c r="O326" s="258"/>
      <c r="P326" s="258"/>
      <c r="Q326" s="258"/>
      <c r="R326" s="259"/>
      <c r="S326" s="258"/>
      <c r="T326" s="259"/>
      <c r="U326" s="412"/>
      <c r="V326" s="412"/>
      <c r="W326" s="412"/>
      <c r="X326" s="412"/>
      <c r="Y326" s="412"/>
      <c r="Z326" s="412"/>
      <c r="AA326" s="412"/>
      <c r="AB326" s="412"/>
      <c r="AC326" s="412"/>
      <c r="AD326" s="412"/>
      <c r="AE326" s="412"/>
      <c r="AF326" s="412"/>
      <c r="AG326" s="412"/>
      <c r="AH326" s="412"/>
      <c r="AI326" s="412"/>
      <c r="AJ326" s="412"/>
      <c r="AK326" s="412"/>
      <c r="AL326" s="412"/>
      <c r="AM326" s="412"/>
      <c r="AN326" s="412"/>
      <c r="AO326" s="412"/>
      <c r="AP326" s="412"/>
      <c r="AQ326" s="449"/>
    </row>
    <row r="327" spans="2:43" x14ac:dyDescent="0.2">
      <c r="B327" s="412"/>
      <c r="C327" s="257"/>
      <c r="D327" s="1021"/>
      <c r="E327" s="250"/>
      <c r="F327" s="250"/>
      <c r="G327" s="250"/>
      <c r="H327" s="250"/>
      <c r="I327" s="250"/>
      <c r="J327" s="250"/>
      <c r="K327" s="250"/>
      <c r="L327" s="257"/>
      <c r="M327" s="258"/>
      <c r="N327" s="258"/>
      <c r="O327" s="258"/>
      <c r="P327" s="258"/>
      <c r="Q327" s="258"/>
      <c r="R327" s="259"/>
      <c r="S327" s="258"/>
      <c r="T327" s="259"/>
      <c r="U327" s="412"/>
      <c r="V327" s="412"/>
      <c r="W327" s="412"/>
      <c r="X327" s="412"/>
      <c r="Y327" s="412"/>
      <c r="Z327" s="412"/>
      <c r="AA327" s="412"/>
      <c r="AB327" s="412"/>
      <c r="AC327" s="412"/>
      <c r="AD327" s="412"/>
      <c r="AE327" s="412"/>
      <c r="AF327" s="412"/>
      <c r="AG327" s="412"/>
      <c r="AH327" s="412"/>
      <c r="AI327" s="412"/>
      <c r="AJ327" s="412"/>
      <c r="AK327" s="412"/>
      <c r="AL327" s="412"/>
      <c r="AM327" s="412"/>
      <c r="AN327" s="412"/>
      <c r="AO327" s="412"/>
      <c r="AP327" s="412"/>
      <c r="AQ327" s="449"/>
    </row>
    <row r="328" spans="2:43" x14ac:dyDescent="0.2">
      <c r="B328" s="412"/>
      <c r="C328" s="257"/>
      <c r="D328" s="1021"/>
      <c r="E328" s="250"/>
      <c r="F328" s="250"/>
      <c r="G328" s="250"/>
      <c r="H328" s="250"/>
      <c r="I328" s="250"/>
      <c r="J328" s="250"/>
      <c r="K328" s="250"/>
      <c r="L328" s="257"/>
      <c r="M328" s="258"/>
      <c r="N328" s="258"/>
      <c r="O328" s="258"/>
      <c r="P328" s="258"/>
      <c r="Q328" s="258"/>
      <c r="R328" s="259"/>
      <c r="S328" s="258"/>
      <c r="T328" s="259"/>
      <c r="U328" s="412"/>
      <c r="V328" s="412"/>
      <c r="W328" s="412"/>
      <c r="X328" s="412"/>
      <c r="Y328" s="412"/>
      <c r="Z328" s="412"/>
      <c r="AA328" s="412"/>
      <c r="AB328" s="412"/>
      <c r="AC328" s="412"/>
      <c r="AD328" s="412"/>
      <c r="AE328" s="412"/>
      <c r="AF328" s="412"/>
      <c r="AG328" s="412"/>
      <c r="AH328" s="412"/>
      <c r="AI328" s="412"/>
      <c r="AJ328" s="412"/>
      <c r="AK328" s="412"/>
      <c r="AL328" s="412"/>
      <c r="AM328" s="412"/>
      <c r="AN328" s="412"/>
      <c r="AO328" s="412"/>
      <c r="AP328" s="412"/>
      <c r="AQ328" s="449"/>
    </row>
    <row r="329" spans="2:43" x14ac:dyDescent="0.2">
      <c r="B329" s="412"/>
      <c r="C329" s="257"/>
      <c r="D329" s="1021"/>
      <c r="E329" s="250"/>
      <c r="F329" s="250"/>
      <c r="G329" s="250"/>
      <c r="H329" s="250"/>
      <c r="I329" s="250"/>
      <c r="J329" s="250"/>
      <c r="K329" s="250"/>
      <c r="L329" s="257"/>
      <c r="M329" s="258"/>
      <c r="N329" s="258"/>
      <c r="O329" s="258"/>
      <c r="P329" s="258"/>
      <c r="Q329" s="258"/>
      <c r="R329" s="259"/>
      <c r="S329" s="258"/>
      <c r="T329" s="259"/>
      <c r="U329" s="412"/>
      <c r="V329" s="412"/>
      <c r="W329" s="412"/>
      <c r="X329" s="412"/>
      <c r="Y329" s="412"/>
      <c r="Z329" s="412"/>
      <c r="AA329" s="412"/>
      <c r="AB329" s="412"/>
      <c r="AC329" s="412"/>
      <c r="AD329" s="412"/>
      <c r="AE329" s="412"/>
      <c r="AF329" s="412"/>
      <c r="AG329" s="412"/>
      <c r="AH329" s="412"/>
      <c r="AI329" s="412"/>
      <c r="AJ329" s="412"/>
      <c r="AK329" s="412"/>
      <c r="AL329" s="412"/>
      <c r="AM329" s="412"/>
      <c r="AN329" s="412"/>
      <c r="AO329" s="412"/>
      <c r="AP329" s="412"/>
      <c r="AQ329" s="449"/>
    </row>
    <row r="330" spans="2:43" x14ac:dyDescent="0.2">
      <c r="B330" s="412"/>
      <c r="C330" s="257"/>
      <c r="D330" s="1021"/>
      <c r="E330" s="250"/>
      <c r="F330" s="250"/>
      <c r="G330" s="250"/>
      <c r="H330" s="250"/>
      <c r="I330" s="250"/>
      <c r="J330" s="250"/>
      <c r="K330" s="250"/>
      <c r="L330" s="257"/>
      <c r="M330" s="258"/>
      <c r="N330" s="258"/>
      <c r="O330" s="258"/>
      <c r="P330" s="258"/>
      <c r="Q330" s="258"/>
      <c r="R330" s="259"/>
      <c r="S330" s="258"/>
      <c r="T330" s="259"/>
      <c r="U330" s="412"/>
      <c r="V330" s="412"/>
      <c r="W330" s="412"/>
      <c r="X330" s="412"/>
      <c r="Y330" s="412"/>
      <c r="Z330" s="412"/>
      <c r="AA330" s="412"/>
      <c r="AB330" s="412"/>
      <c r="AC330" s="412"/>
      <c r="AD330" s="412"/>
      <c r="AE330" s="412"/>
      <c r="AF330" s="412"/>
      <c r="AG330" s="412"/>
      <c r="AH330" s="412"/>
      <c r="AI330" s="412"/>
      <c r="AJ330" s="412"/>
      <c r="AK330" s="412"/>
      <c r="AL330" s="412"/>
      <c r="AM330" s="412"/>
      <c r="AN330" s="412"/>
      <c r="AO330" s="412"/>
      <c r="AP330" s="412"/>
      <c r="AQ330" s="449"/>
    </row>
    <row r="331" spans="2:43" x14ac:dyDescent="0.2">
      <c r="B331" s="412"/>
      <c r="C331" s="257"/>
      <c r="D331" s="1021"/>
      <c r="E331" s="250"/>
      <c r="F331" s="250"/>
      <c r="G331" s="250"/>
      <c r="H331" s="250"/>
      <c r="I331" s="250"/>
      <c r="J331" s="250"/>
      <c r="K331" s="250"/>
      <c r="L331" s="257"/>
      <c r="M331" s="258"/>
      <c r="N331" s="258"/>
      <c r="O331" s="258"/>
      <c r="P331" s="258"/>
      <c r="Q331" s="258"/>
      <c r="R331" s="259"/>
      <c r="S331" s="258"/>
      <c r="T331" s="259"/>
      <c r="U331" s="412"/>
      <c r="V331" s="412"/>
      <c r="W331" s="412"/>
      <c r="X331" s="412"/>
      <c r="Y331" s="412"/>
      <c r="Z331" s="412"/>
      <c r="AA331" s="412"/>
      <c r="AB331" s="412"/>
      <c r="AC331" s="412"/>
      <c r="AD331" s="412"/>
      <c r="AE331" s="412"/>
      <c r="AF331" s="412"/>
      <c r="AG331" s="412"/>
      <c r="AH331" s="412"/>
      <c r="AI331" s="412"/>
      <c r="AJ331" s="412"/>
      <c r="AK331" s="412"/>
      <c r="AL331" s="412"/>
      <c r="AM331" s="412"/>
      <c r="AN331" s="412"/>
      <c r="AO331" s="412"/>
      <c r="AP331" s="412"/>
      <c r="AQ331" s="449"/>
    </row>
    <row r="332" spans="2:43" x14ac:dyDescent="0.2">
      <c r="B332" s="412"/>
      <c r="C332" s="257"/>
      <c r="D332" s="1021"/>
      <c r="E332" s="250"/>
      <c r="F332" s="250"/>
      <c r="G332" s="250"/>
      <c r="H332" s="250"/>
      <c r="I332" s="250"/>
      <c r="J332" s="250"/>
      <c r="K332" s="250"/>
      <c r="L332" s="257"/>
      <c r="M332" s="258"/>
      <c r="N332" s="258"/>
      <c r="O332" s="258"/>
      <c r="P332" s="258"/>
      <c r="Q332" s="258"/>
      <c r="R332" s="259"/>
      <c r="S332" s="258"/>
      <c r="T332" s="259"/>
      <c r="U332" s="412"/>
      <c r="V332" s="412"/>
      <c r="W332" s="412"/>
      <c r="X332" s="412"/>
      <c r="Y332" s="412"/>
      <c r="Z332" s="412"/>
      <c r="AA332" s="412"/>
      <c r="AB332" s="412"/>
      <c r="AC332" s="412"/>
      <c r="AD332" s="412"/>
      <c r="AE332" s="412"/>
      <c r="AF332" s="412"/>
      <c r="AG332" s="412"/>
      <c r="AH332" s="412"/>
      <c r="AI332" s="412"/>
      <c r="AJ332" s="412"/>
      <c r="AK332" s="412"/>
      <c r="AL332" s="412"/>
      <c r="AM332" s="412"/>
      <c r="AN332" s="412"/>
      <c r="AO332" s="412"/>
      <c r="AP332" s="412"/>
      <c r="AQ332" s="449"/>
    </row>
    <row r="333" spans="2:43" x14ac:dyDescent="0.2">
      <c r="B333" s="412"/>
      <c r="C333" s="257"/>
      <c r="D333" s="1021"/>
      <c r="E333" s="250"/>
      <c r="F333" s="250"/>
      <c r="G333" s="250"/>
      <c r="H333" s="250"/>
      <c r="I333" s="250"/>
      <c r="J333" s="250"/>
      <c r="K333" s="250"/>
      <c r="L333" s="257"/>
      <c r="M333" s="258"/>
      <c r="N333" s="258"/>
      <c r="O333" s="258"/>
      <c r="P333" s="258"/>
      <c r="Q333" s="258"/>
      <c r="R333" s="259"/>
      <c r="S333" s="258"/>
      <c r="T333" s="259"/>
      <c r="U333" s="412"/>
      <c r="V333" s="412"/>
      <c r="W333" s="412"/>
      <c r="X333" s="412"/>
      <c r="Y333" s="412"/>
      <c r="Z333" s="412"/>
      <c r="AA333" s="412"/>
      <c r="AB333" s="412"/>
      <c r="AC333" s="412"/>
      <c r="AD333" s="412"/>
      <c r="AE333" s="412"/>
      <c r="AF333" s="412"/>
      <c r="AG333" s="412"/>
      <c r="AH333" s="412"/>
      <c r="AI333" s="412"/>
      <c r="AJ333" s="412"/>
      <c r="AK333" s="412"/>
      <c r="AL333" s="412"/>
      <c r="AM333" s="412"/>
      <c r="AN333" s="412"/>
      <c r="AO333" s="412"/>
      <c r="AP333" s="412"/>
      <c r="AQ333" s="449"/>
    </row>
    <row r="334" spans="2:43" x14ac:dyDescent="0.2">
      <c r="B334" s="412"/>
      <c r="C334" s="257"/>
      <c r="D334" s="1021"/>
      <c r="E334" s="250"/>
      <c r="F334" s="250"/>
      <c r="G334" s="250"/>
      <c r="H334" s="250"/>
      <c r="I334" s="250"/>
      <c r="J334" s="250"/>
      <c r="K334" s="250"/>
      <c r="L334" s="257"/>
      <c r="M334" s="258"/>
      <c r="N334" s="258"/>
      <c r="O334" s="258"/>
      <c r="P334" s="258"/>
      <c r="Q334" s="258"/>
      <c r="R334" s="259"/>
      <c r="S334" s="258"/>
      <c r="T334" s="259"/>
      <c r="U334" s="412"/>
      <c r="V334" s="412"/>
      <c r="W334" s="412"/>
      <c r="X334" s="412"/>
      <c r="Y334" s="412"/>
      <c r="Z334" s="412"/>
      <c r="AA334" s="412"/>
      <c r="AB334" s="412"/>
      <c r="AC334" s="412"/>
      <c r="AD334" s="412"/>
      <c r="AE334" s="412"/>
      <c r="AF334" s="412"/>
      <c r="AG334" s="412"/>
      <c r="AH334" s="412"/>
      <c r="AI334" s="412"/>
      <c r="AJ334" s="412"/>
      <c r="AK334" s="412"/>
      <c r="AL334" s="412"/>
      <c r="AM334" s="412"/>
      <c r="AN334" s="412"/>
      <c r="AO334" s="412"/>
      <c r="AP334" s="412"/>
      <c r="AQ334" s="449"/>
    </row>
    <row r="335" spans="2:43" x14ac:dyDescent="0.2">
      <c r="B335" s="412"/>
      <c r="C335" s="257"/>
      <c r="D335" s="1021"/>
      <c r="E335" s="250"/>
      <c r="F335" s="250"/>
      <c r="G335" s="250"/>
      <c r="H335" s="250"/>
      <c r="I335" s="250"/>
      <c r="J335" s="250"/>
      <c r="K335" s="250"/>
      <c r="L335" s="257"/>
      <c r="M335" s="258"/>
      <c r="N335" s="258"/>
      <c r="O335" s="258"/>
      <c r="P335" s="258"/>
      <c r="Q335" s="258"/>
      <c r="R335" s="259"/>
      <c r="S335" s="258"/>
      <c r="T335" s="259"/>
      <c r="U335" s="412"/>
      <c r="V335" s="412"/>
      <c r="W335" s="412"/>
      <c r="X335" s="412"/>
      <c r="Y335" s="412"/>
      <c r="Z335" s="412"/>
      <c r="AA335" s="412"/>
      <c r="AB335" s="412"/>
      <c r="AC335" s="412"/>
      <c r="AD335" s="412"/>
      <c r="AE335" s="412"/>
      <c r="AF335" s="412"/>
      <c r="AG335" s="412"/>
      <c r="AH335" s="412"/>
      <c r="AI335" s="412"/>
      <c r="AJ335" s="412"/>
      <c r="AK335" s="412"/>
      <c r="AL335" s="412"/>
      <c r="AM335" s="412"/>
      <c r="AN335" s="412"/>
      <c r="AO335" s="412"/>
      <c r="AP335" s="412"/>
      <c r="AQ335" s="449"/>
    </row>
    <row r="336" spans="2:43" x14ac:dyDescent="0.2">
      <c r="B336" s="412"/>
      <c r="C336" s="257"/>
      <c r="D336" s="1021"/>
      <c r="E336" s="250"/>
      <c r="F336" s="250"/>
      <c r="G336" s="250"/>
      <c r="H336" s="250"/>
      <c r="I336" s="250"/>
      <c r="J336" s="250"/>
      <c r="K336" s="250"/>
      <c r="L336" s="257"/>
      <c r="M336" s="258"/>
      <c r="N336" s="258"/>
      <c r="O336" s="258"/>
      <c r="P336" s="258"/>
      <c r="Q336" s="258"/>
      <c r="R336" s="259"/>
      <c r="S336" s="258"/>
      <c r="T336" s="259"/>
      <c r="U336" s="412"/>
      <c r="V336" s="412"/>
      <c r="W336" s="412"/>
      <c r="X336" s="412"/>
      <c r="Y336" s="412"/>
      <c r="Z336" s="412"/>
      <c r="AA336" s="412"/>
      <c r="AB336" s="412"/>
      <c r="AC336" s="412"/>
      <c r="AD336" s="412"/>
      <c r="AE336" s="412"/>
      <c r="AF336" s="412"/>
      <c r="AG336" s="412"/>
      <c r="AH336" s="412"/>
      <c r="AI336" s="412"/>
      <c r="AJ336" s="412"/>
      <c r="AK336" s="412"/>
      <c r="AL336" s="412"/>
      <c r="AM336" s="412"/>
      <c r="AN336" s="412"/>
      <c r="AO336" s="412"/>
      <c r="AP336" s="412"/>
      <c r="AQ336" s="449"/>
    </row>
    <row r="337" spans="2:43" x14ac:dyDescent="0.2">
      <c r="B337" s="412"/>
      <c r="C337" s="257"/>
      <c r="D337" s="1021"/>
      <c r="E337" s="250"/>
      <c r="F337" s="250"/>
      <c r="G337" s="250"/>
      <c r="H337" s="250"/>
      <c r="I337" s="250"/>
      <c r="J337" s="250"/>
      <c r="K337" s="250"/>
      <c r="L337" s="257"/>
      <c r="M337" s="258"/>
      <c r="N337" s="258"/>
      <c r="O337" s="258"/>
      <c r="P337" s="258"/>
      <c r="Q337" s="258"/>
      <c r="R337" s="259"/>
      <c r="S337" s="258"/>
      <c r="T337" s="259"/>
      <c r="U337" s="412"/>
      <c r="V337" s="412"/>
      <c r="W337" s="412"/>
      <c r="X337" s="412"/>
      <c r="Y337" s="412"/>
      <c r="Z337" s="412"/>
      <c r="AA337" s="412"/>
      <c r="AB337" s="412"/>
      <c r="AC337" s="412"/>
      <c r="AD337" s="412"/>
      <c r="AE337" s="412"/>
      <c r="AF337" s="412"/>
      <c r="AG337" s="412"/>
      <c r="AH337" s="412"/>
      <c r="AI337" s="412"/>
      <c r="AJ337" s="412"/>
      <c r="AK337" s="412"/>
      <c r="AL337" s="412"/>
      <c r="AM337" s="412"/>
      <c r="AN337" s="412"/>
      <c r="AO337" s="412"/>
      <c r="AP337" s="412"/>
      <c r="AQ337" s="449"/>
    </row>
    <row r="338" spans="2:43" x14ac:dyDescent="0.2">
      <c r="B338" s="412"/>
      <c r="C338" s="257"/>
      <c r="D338" s="1021"/>
      <c r="E338" s="250"/>
      <c r="F338" s="250"/>
      <c r="G338" s="250"/>
      <c r="H338" s="250"/>
      <c r="I338" s="250"/>
      <c r="J338" s="250"/>
      <c r="K338" s="250"/>
      <c r="L338" s="257"/>
      <c r="M338" s="258"/>
      <c r="N338" s="258"/>
      <c r="O338" s="258"/>
      <c r="P338" s="258"/>
      <c r="Q338" s="258"/>
      <c r="R338" s="259"/>
      <c r="S338" s="258"/>
      <c r="T338" s="259"/>
      <c r="U338" s="412"/>
      <c r="V338" s="412"/>
      <c r="W338" s="412"/>
      <c r="X338" s="412"/>
      <c r="Y338" s="412"/>
      <c r="Z338" s="412"/>
      <c r="AA338" s="412"/>
      <c r="AB338" s="412"/>
      <c r="AC338" s="412"/>
      <c r="AD338" s="412"/>
      <c r="AE338" s="412"/>
      <c r="AF338" s="412"/>
      <c r="AG338" s="412"/>
      <c r="AH338" s="412"/>
      <c r="AI338" s="412"/>
      <c r="AJ338" s="412"/>
      <c r="AK338" s="412"/>
      <c r="AL338" s="412"/>
      <c r="AM338" s="412"/>
      <c r="AN338" s="412"/>
      <c r="AO338" s="412"/>
      <c r="AP338" s="412"/>
      <c r="AQ338" s="449"/>
    </row>
    <row r="339" spans="2:43" x14ac:dyDescent="0.2">
      <c r="B339" s="412"/>
      <c r="C339" s="257"/>
      <c r="D339" s="1021"/>
      <c r="E339" s="250"/>
      <c r="F339" s="250"/>
      <c r="G339" s="250"/>
      <c r="H339" s="250"/>
      <c r="I339" s="250"/>
      <c r="J339" s="250"/>
      <c r="K339" s="250"/>
      <c r="L339" s="257"/>
      <c r="M339" s="258"/>
      <c r="N339" s="258"/>
      <c r="O339" s="258"/>
      <c r="P339" s="258"/>
      <c r="Q339" s="258"/>
      <c r="R339" s="259"/>
      <c r="S339" s="258"/>
      <c r="T339" s="259"/>
      <c r="U339" s="412"/>
      <c r="V339" s="412"/>
      <c r="W339" s="412"/>
      <c r="X339" s="412"/>
      <c r="Y339" s="412"/>
      <c r="Z339" s="412"/>
      <c r="AA339" s="412"/>
      <c r="AB339" s="412"/>
      <c r="AC339" s="412"/>
      <c r="AD339" s="412"/>
      <c r="AE339" s="412"/>
      <c r="AF339" s="412"/>
      <c r="AG339" s="412"/>
      <c r="AH339" s="412"/>
      <c r="AI339" s="412"/>
      <c r="AJ339" s="412"/>
      <c r="AK339" s="412"/>
      <c r="AL339" s="412"/>
      <c r="AM339" s="412"/>
      <c r="AN339" s="412"/>
      <c r="AO339" s="412"/>
      <c r="AP339" s="412"/>
      <c r="AQ339" s="449"/>
    </row>
    <row r="340" spans="2:43" x14ac:dyDescent="0.2">
      <c r="B340" s="412"/>
      <c r="C340" s="257"/>
      <c r="D340" s="1021"/>
      <c r="E340" s="250"/>
      <c r="F340" s="250"/>
      <c r="G340" s="250"/>
      <c r="H340" s="250"/>
      <c r="I340" s="250"/>
      <c r="J340" s="250"/>
      <c r="K340" s="250"/>
      <c r="L340" s="257"/>
      <c r="M340" s="258"/>
      <c r="N340" s="258"/>
      <c r="O340" s="258"/>
      <c r="P340" s="258"/>
      <c r="Q340" s="258"/>
      <c r="R340" s="259"/>
      <c r="S340" s="258"/>
      <c r="T340" s="259"/>
      <c r="U340" s="412"/>
      <c r="V340" s="412"/>
      <c r="W340" s="412"/>
      <c r="X340" s="412"/>
      <c r="Y340" s="412"/>
      <c r="Z340" s="412"/>
      <c r="AA340" s="412"/>
      <c r="AB340" s="412"/>
      <c r="AC340" s="412"/>
      <c r="AD340" s="412"/>
      <c r="AE340" s="412"/>
      <c r="AF340" s="412"/>
      <c r="AG340" s="412"/>
      <c r="AH340" s="412"/>
      <c r="AI340" s="412"/>
      <c r="AJ340" s="412"/>
      <c r="AK340" s="412"/>
      <c r="AL340" s="412"/>
      <c r="AM340" s="412"/>
      <c r="AN340" s="412"/>
      <c r="AO340" s="412"/>
      <c r="AP340" s="412"/>
      <c r="AQ340" s="449"/>
    </row>
    <row r="341" spans="2:43" x14ac:dyDescent="0.2">
      <c r="B341" s="412"/>
      <c r="C341" s="257"/>
      <c r="D341" s="1021"/>
      <c r="E341" s="250"/>
      <c r="F341" s="250"/>
      <c r="G341" s="250"/>
      <c r="H341" s="250"/>
      <c r="I341" s="250"/>
      <c r="J341" s="250"/>
      <c r="K341" s="250"/>
      <c r="L341" s="257"/>
      <c r="M341" s="258"/>
      <c r="N341" s="258"/>
      <c r="O341" s="258"/>
      <c r="P341" s="258"/>
      <c r="Q341" s="258"/>
      <c r="R341" s="259"/>
      <c r="S341" s="258"/>
      <c r="T341" s="259"/>
      <c r="U341" s="412"/>
      <c r="V341" s="412"/>
      <c r="W341" s="412"/>
      <c r="X341" s="412"/>
      <c r="Y341" s="412"/>
      <c r="Z341" s="412"/>
      <c r="AA341" s="412"/>
      <c r="AB341" s="412"/>
      <c r="AC341" s="412"/>
      <c r="AD341" s="412"/>
      <c r="AE341" s="412"/>
      <c r="AF341" s="412"/>
      <c r="AG341" s="412"/>
      <c r="AH341" s="412"/>
      <c r="AI341" s="412"/>
      <c r="AJ341" s="412"/>
      <c r="AK341" s="412"/>
      <c r="AL341" s="412"/>
      <c r="AM341" s="412"/>
      <c r="AN341" s="412"/>
      <c r="AO341" s="412"/>
      <c r="AP341" s="412"/>
      <c r="AQ341" s="449"/>
    </row>
    <row r="342" spans="2:43" x14ac:dyDescent="0.2">
      <c r="B342" s="412"/>
      <c r="C342" s="257"/>
      <c r="D342" s="1021"/>
      <c r="E342" s="250"/>
      <c r="F342" s="250"/>
      <c r="G342" s="250"/>
      <c r="H342" s="250"/>
      <c r="I342" s="250"/>
      <c r="J342" s="250"/>
      <c r="K342" s="250"/>
      <c r="L342" s="257"/>
      <c r="M342" s="258"/>
      <c r="N342" s="258"/>
      <c r="O342" s="258"/>
      <c r="P342" s="258"/>
      <c r="Q342" s="258"/>
      <c r="R342" s="259"/>
      <c r="S342" s="258"/>
      <c r="T342" s="259"/>
      <c r="U342" s="412"/>
      <c r="V342" s="412"/>
      <c r="W342" s="412"/>
      <c r="X342" s="412"/>
      <c r="Y342" s="412"/>
      <c r="Z342" s="412"/>
      <c r="AA342" s="412"/>
      <c r="AB342" s="412"/>
      <c r="AC342" s="412"/>
      <c r="AD342" s="412"/>
      <c r="AE342" s="412"/>
      <c r="AF342" s="412"/>
      <c r="AG342" s="412"/>
      <c r="AH342" s="412"/>
      <c r="AI342" s="412"/>
      <c r="AJ342" s="412"/>
      <c r="AK342" s="412"/>
      <c r="AL342" s="412"/>
      <c r="AM342" s="412"/>
      <c r="AN342" s="412"/>
      <c r="AO342" s="412"/>
      <c r="AP342" s="412"/>
      <c r="AQ342" s="449"/>
    </row>
    <row r="343" spans="2:43" x14ac:dyDescent="0.2">
      <c r="B343" s="412"/>
      <c r="C343" s="257"/>
      <c r="D343" s="1021"/>
      <c r="E343" s="250"/>
      <c r="F343" s="250"/>
      <c r="G343" s="250"/>
      <c r="H343" s="250"/>
      <c r="I343" s="250"/>
      <c r="J343" s="250"/>
      <c r="K343" s="250"/>
      <c r="L343" s="257"/>
      <c r="M343" s="258"/>
      <c r="N343" s="258"/>
      <c r="O343" s="258"/>
      <c r="P343" s="258"/>
      <c r="Q343" s="258"/>
      <c r="R343" s="259"/>
      <c r="S343" s="258"/>
      <c r="T343" s="259"/>
      <c r="U343" s="412"/>
      <c r="V343" s="412"/>
      <c r="W343" s="412"/>
      <c r="X343" s="412"/>
      <c r="Y343" s="412"/>
      <c r="Z343" s="412"/>
      <c r="AA343" s="412"/>
      <c r="AB343" s="412"/>
      <c r="AC343" s="412"/>
      <c r="AD343" s="412"/>
      <c r="AE343" s="412"/>
      <c r="AF343" s="412"/>
      <c r="AG343" s="412"/>
      <c r="AH343" s="412"/>
      <c r="AI343" s="412"/>
      <c r="AJ343" s="412"/>
      <c r="AK343" s="412"/>
      <c r="AL343" s="412"/>
      <c r="AM343" s="412"/>
      <c r="AN343" s="412"/>
      <c r="AO343" s="412"/>
      <c r="AP343" s="412"/>
      <c r="AQ343" s="449"/>
    </row>
    <row r="344" spans="2:43" x14ac:dyDescent="0.2">
      <c r="B344" s="412"/>
      <c r="C344" s="257"/>
      <c r="D344" s="1021"/>
      <c r="E344" s="250"/>
      <c r="F344" s="250"/>
      <c r="G344" s="250"/>
      <c r="H344" s="250"/>
      <c r="I344" s="250"/>
      <c r="J344" s="250"/>
      <c r="K344" s="250"/>
      <c r="L344" s="257"/>
      <c r="M344" s="258"/>
      <c r="N344" s="258"/>
      <c r="O344" s="258"/>
      <c r="P344" s="258"/>
      <c r="Q344" s="258"/>
      <c r="R344" s="259"/>
      <c r="S344" s="258"/>
      <c r="T344" s="259"/>
      <c r="U344" s="412"/>
      <c r="V344" s="412"/>
      <c r="W344" s="412"/>
      <c r="X344" s="412"/>
      <c r="Y344" s="412"/>
      <c r="Z344" s="412"/>
      <c r="AA344" s="412"/>
      <c r="AB344" s="412"/>
      <c r="AC344" s="412"/>
      <c r="AD344" s="412"/>
      <c r="AE344" s="412"/>
      <c r="AF344" s="412"/>
      <c r="AG344" s="412"/>
      <c r="AH344" s="412"/>
      <c r="AI344" s="412"/>
      <c r="AJ344" s="412"/>
      <c r="AK344" s="412"/>
      <c r="AL344" s="412"/>
      <c r="AM344" s="412"/>
      <c r="AN344" s="412"/>
      <c r="AO344" s="412"/>
      <c r="AP344" s="412"/>
      <c r="AQ344" s="449"/>
    </row>
    <row r="345" spans="2:43" x14ac:dyDescent="0.2">
      <c r="B345" s="412"/>
      <c r="C345" s="257"/>
      <c r="D345" s="1021"/>
      <c r="E345" s="250"/>
      <c r="F345" s="250"/>
      <c r="G345" s="250"/>
      <c r="H345" s="250"/>
      <c r="I345" s="250"/>
      <c r="J345" s="250"/>
      <c r="K345" s="250"/>
      <c r="L345" s="257"/>
      <c r="M345" s="258"/>
      <c r="N345" s="258"/>
      <c r="O345" s="258"/>
      <c r="P345" s="258"/>
      <c r="Q345" s="258"/>
      <c r="R345" s="259"/>
      <c r="S345" s="258"/>
      <c r="T345" s="259"/>
      <c r="U345" s="412"/>
      <c r="V345" s="412"/>
      <c r="W345" s="412"/>
      <c r="X345" s="412"/>
      <c r="Y345" s="412"/>
      <c r="Z345" s="412"/>
      <c r="AA345" s="412"/>
      <c r="AB345" s="412"/>
      <c r="AC345" s="412"/>
      <c r="AD345" s="412"/>
      <c r="AE345" s="412"/>
      <c r="AF345" s="412"/>
      <c r="AG345" s="412"/>
      <c r="AH345" s="412"/>
      <c r="AI345" s="412"/>
      <c r="AJ345" s="412"/>
      <c r="AK345" s="412"/>
      <c r="AL345" s="412"/>
      <c r="AM345" s="412"/>
      <c r="AN345" s="412"/>
      <c r="AO345" s="412"/>
      <c r="AP345" s="412"/>
      <c r="AQ345" s="449"/>
    </row>
    <row r="346" spans="2:43" x14ac:dyDescent="0.2">
      <c r="B346" s="412"/>
      <c r="C346" s="257"/>
      <c r="D346" s="1021"/>
      <c r="E346" s="250"/>
      <c r="F346" s="250"/>
      <c r="G346" s="250"/>
      <c r="H346" s="250"/>
      <c r="I346" s="250"/>
      <c r="J346" s="250"/>
      <c r="K346" s="250"/>
      <c r="L346" s="257"/>
      <c r="M346" s="258"/>
      <c r="N346" s="258"/>
      <c r="O346" s="258"/>
      <c r="P346" s="258"/>
      <c r="Q346" s="258"/>
      <c r="R346" s="259"/>
      <c r="S346" s="258"/>
      <c r="T346" s="259"/>
      <c r="U346" s="412"/>
      <c r="V346" s="412"/>
      <c r="W346" s="412"/>
      <c r="X346" s="412"/>
      <c r="Y346" s="412"/>
      <c r="Z346" s="412"/>
      <c r="AA346" s="412"/>
      <c r="AB346" s="412"/>
      <c r="AC346" s="412"/>
      <c r="AD346" s="412"/>
      <c r="AE346" s="412"/>
      <c r="AF346" s="412"/>
      <c r="AG346" s="412"/>
      <c r="AH346" s="412"/>
      <c r="AI346" s="412"/>
      <c r="AJ346" s="412"/>
      <c r="AK346" s="412"/>
      <c r="AL346" s="412"/>
      <c r="AM346" s="412"/>
      <c r="AN346" s="412"/>
      <c r="AO346" s="412"/>
      <c r="AP346" s="412"/>
      <c r="AQ346" s="449"/>
    </row>
    <row r="347" spans="2:43" x14ac:dyDescent="0.2">
      <c r="B347" s="412"/>
      <c r="C347" s="257"/>
      <c r="D347" s="1021"/>
      <c r="E347" s="250"/>
      <c r="F347" s="250"/>
      <c r="G347" s="250"/>
      <c r="H347" s="250"/>
      <c r="I347" s="250"/>
      <c r="J347" s="250"/>
      <c r="K347" s="250"/>
      <c r="L347" s="257"/>
      <c r="M347" s="258"/>
      <c r="N347" s="258"/>
      <c r="O347" s="258"/>
      <c r="P347" s="258"/>
      <c r="Q347" s="258"/>
      <c r="R347" s="259"/>
      <c r="S347" s="258"/>
      <c r="T347" s="259"/>
      <c r="U347" s="412"/>
      <c r="V347" s="412"/>
      <c r="W347" s="412"/>
      <c r="X347" s="412"/>
      <c r="Y347" s="412"/>
      <c r="Z347" s="412"/>
      <c r="AA347" s="412"/>
      <c r="AB347" s="412"/>
      <c r="AC347" s="412"/>
      <c r="AD347" s="412"/>
      <c r="AE347" s="412"/>
      <c r="AF347" s="412"/>
      <c r="AG347" s="412"/>
      <c r="AH347" s="412"/>
      <c r="AI347" s="412"/>
      <c r="AJ347" s="412"/>
      <c r="AK347" s="412"/>
      <c r="AL347" s="412"/>
      <c r="AM347" s="412"/>
      <c r="AN347" s="412"/>
      <c r="AO347" s="412"/>
      <c r="AP347" s="412"/>
      <c r="AQ347" s="449"/>
    </row>
    <row r="348" spans="2:43" x14ac:dyDescent="0.2">
      <c r="B348" s="412"/>
      <c r="C348" s="257"/>
      <c r="D348" s="1021"/>
      <c r="E348" s="250"/>
      <c r="F348" s="250"/>
      <c r="G348" s="250"/>
      <c r="H348" s="250"/>
      <c r="I348" s="250"/>
      <c r="J348" s="250"/>
      <c r="K348" s="250"/>
      <c r="L348" s="257"/>
      <c r="M348" s="258"/>
      <c r="N348" s="258"/>
      <c r="O348" s="258"/>
      <c r="P348" s="258"/>
      <c r="Q348" s="258"/>
      <c r="R348" s="259"/>
      <c r="S348" s="258"/>
      <c r="T348" s="259"/>
      <c r="U348" s="412"/>
      <c r="V348" s="412"/>
      <c r="W348" s="412"/>
      <c r="X348" s="412"/>
      <c r="Y348" s="412"/>
      <c r="Z348" s="412"/>
      <c r="AA348" s="412"/>
      <c r="AB348" s="412"/>
      <c r="AC348" s="412"/>
      <c r="AD348" s="412"/>
      <c r="AE348" s="412"/>
      <c r="AF348" s="412"/>
      <c r="AG348" s="412"/>
      <c r="AH348" s="412"/>
      <c r="AI348" s="412"/>
      <c r="AJ348" s="412"/>
      <c r="AK348" s="412"/>
      <c r="AL348" s="412"/>
      <c r="AM348" s="412"/>
      <c r="AN348" s="412"/>
      <c r="AO348" s="412"/>
      <c r="AP348" s="412"/>
      <c r="AQ348" s="449"/>
    </row>
    <row r="349" spans="2:43" x14ac:dyDescent="0.2">
      <c r="B349" s="412"/>
      <c r="C349" s="257"/>
      <c r="D349" s="1021"/>
      <c r="E349" s="250"/>
      <c r="F349" s="250"/>
      <c r="G349" s="250"/>
      <c r="H349" s="250"/>
      <c r="I349" s="250"/>
      <c r="J349" s="250"/>
      <c r="K349" s="250"/>
      <c r="L349" s="257"/>
      <c r="M349" s="258"/>
      <c r="N349" s="258"/>
      <c r="O349" s="258"/>
      <c r="P349" s="258"/>
      <c r="Q349" s="258"/>
      <c r="R349" s="259"/>
      <c r="S349" s="258"/>
      <c r="T349" s="259"/>
      <c r="U349" s="412"/>
      <c r="V349" s="412"/>
      <c r="W349" s="412"/>
      <c r="X349" s="412"/>
      <c r="Y349" s="412"/>
      <c r="Z349" s="412"/>
      <c r="AA349" s="412"/>
      <c r="AB349" s="412"/>
      <c r="AC349" s="412"/>
      <c r="AD349" s="412"/>
      <c r="AE349" s="412"/>
      <c r="AF349" s="412"/>
      <c r="AG349" s="412"/>
      <c r="AH349" s="412"/>
      <c r="AI349" s="412"/>
      <c r="AJ349" s="412"/>
      <c r="AK349" s="412"/>
      <c r="AL349" s="412"/>
      <c r="AM349" s="412"/>
      <c r="AN349" s="412"/>
      <c r="AO349" s="412"/>
      <c r="AP349" s="412"/>
      <c r="AQ349" s="449"/>
    </row>
    <row r="350" spans="2:43" x14ac:dyDescent="0.2">
      <c r="B350" s="412"/>
      <c r="C350" s="257"/>
      <c r="D350" s="1021"/>
      <c r="E350" s="250"/>
      <c r="F350" s="250"/>
      <c r="G350" s="250"/>
      <c r="H350" s="250"/>
      <c r="I350" s="250"/>
      <c r="J350" s="250"/>
      <c r="K350" s="250"/>
      <c r="L350" s="257"/>
      <c r="M350" s="258"/>
      <c r="N350" s="258"/>
      <c r="O350" s="258"/>
      <c r="P350" s="258"/>
      <c r="Q350" s="258"/>
      <c r="R350" s="259"/>
      <c r="S350" s="258"/>
      <c r="T350" s="259"/>
      <c r="U350" s="412"/>
      <c r="V350" s="412"/>
      <c r="W350" s="412"/>
      <c r="X350" s="412"/>
      <c r="Y350" s="412"/>
      <c r="Z350" s="412"/>
      <c r="AA350" s="412"/>
      <c r="AB350" s="412"/>
      <c r="AC350" s="412"/>
      <c r="AD350" s="412"/>
      <c r="AE350" s="412"/>
      <c r="AF350" s="412"/>
      <c r="AG350" s="412"/>
      <c r="AH350" s="412"/>
      <c r="AI350" s="412"/>
      <c r="AJ350" s="412"/>
      <c r="AK350" s="412"/>
      <c r="AL350" s="412"/>
      <c r="AM350" s="412"/>
      <c r="AN350" s="412"/>
      <c r="AO350" s="412"/>
      <c r="AP350" s="412"/>
      <c r="AQ350" s="449"/>
    </row>
    <row r="351" spans="2:43" x14ac:dyDescent="0.2">
      <c r="B351" s="412"/>
      <c r="C351" s="257"/>
      <c r="D351" s="1021"/>
      <c r="E351" s="250"/>
      <c r="F351" s="250"/>
      <c r="G351" s="250"/>
      <c r="H351" s="250"/>
      <c r="I351" s="250"/>
      <c r="J351" s="250"/>
      <c r="K351" s="250"/>
      <c r="L351" s="257"/>
      <c r="M351" s="258"/>
      <c r="N351" s="258"/>
      <c r="O351" s="258"/>
      <c r="P351" s="258"/>
      <c r="Q351" s="258"/>
      <c r="R351" s="259"/>
      <c r="S351" s="258"/>
      <c r="T351" s="259"/>
      <c r="U351" s="412"/>
      <c r="V351" s="412"/>
      <c r="W351" s="412"/>
      <c r="X351" s="412"/>
      <c r="Y351" s="412"/>
      <c r="Z351" s="412"/>
      <c r="AA351" s="412"/>
      <c r="AB351" s="412"/>
      <c r="AC351" s="412"/>
      <c r="AD351" s="412"/>
      <c r="AE351" s="412"/>
      <c r="AF351" s="412"/>
      <c r="AG351" s="412"/>
      <c r="AH351" s="412"/>
      <c r="AI351" s="412"/>
      <c r="AJ351" s="412"/>
      <c r="AK351" s="412"/>
      <c r="AL351" s="412"/>
      <c r="AM351" s="412"/>
      <c r="AN351" s="412"/>
      <c r="AO351" s="412"/>
      <c r="AP351" s="412"/>
      <c r="AQ351" s="449"/>
    </row>
    <row r="352" spans="2:43" x14ac:dyDescent="0.2">
      <c r="B352" s="412"/>
      <c r="C352" s="257"/>
      <c r="D352" s="1021"/>
      <c r="E352" s="250"/>
      <c r="F352" s="250"/>
      <c r="G352" s="250"/>
      <c r="H352" s="250"/>
      <c r="I352" s="250"/>
      <c r="J352" s="250"/>
      <c r="K352" s="250"/>
      <c r="L352" s="257"/>
      <c r="M352" s="258"/>
      <c r="N352" s="258"/>
      <c r="O352" s="258"/>
      <c r="P352" s="258"/>
      <c r="Q352" s="258"/>
      <c r="R352" s="259"/>
      <c r="S352" s="258"/>
      <c r="T352" s="259"/>
      <c r="U352" s="412"/>
      <c r="V352" s="412"/>
      <c r="W352" s="412"/>
      <c r="X352" s="412"/>
      <c r="Y352" s="412"/>
      <c r="Z352" s="412"/>
      <c r="AA352" s="412"/>
      <c r="AB352" s="412"/>
      <c r="AC352" s="412"/>
      <c r="AD352" s="412"/>
      <c r="AE352" s="412"/>
      <c r="AF352" s="412"/>
      <c r="AG352" s="412"/>
      <c r="AH352" s="412"/>
      <c r="AI352" s="412"/>
      <c r="AJ352" s="412"/>
      <c r="AK352" s="412"/>
      <c r="AL352" s="412"/>
      <c r="AM352" s="412"/>
      <c r="AN352" s="412"/>
      <c r="AO352" s="412"/>
      <c r="AP352" s="412"/>
      <c r="AQ352" s="449"/>
    </row>
    <row r="353" spans="2:43" x14ac:dyDescent="0.2">
      <c r="B353" s="412"/>
      <c r="C353" s="257"/>
      <c r="D353" s="1021"/>
      <c r="E353" s="250"/>
      <c r="F353" s="250"/>
      <c r="G353" s="250"/>
      <c r="H353" s="250"/>
      <c r="I353" s="250"/>
      <c r="J353" s="250"/>
      <c r="K353" s="250"/>
      <c r="L353" s="257"/>
      <c r="M353" s="258"/>
      <c r="N353" s="258"/>
      <c r="O353" s="258"/>
      <c r="P353" s="258"/>
      <c r="Q353" s="258"/>
      <c r="R353" s="259"/>
      <c r="S353" s="258"/>
      <c r="T353" s="259"/>
      <c r="U353" s="412"/>
      <c r="V353" s="412"/>
      <c r="W353" s="412"/>
      <c r="X353" s="412"/>
      <c r="Y353" s="412"/>
      <c r="Z353" s="412"/>
      <c r="AA353" s="412"/>
      <c r="AB353" s="412"/>
      <c r="AC353" s="412"/>
      <c r="AD353" s="412"/>
      <c r="AE353" s="412"/>
      <c r="AF353" s="412"/>
      <c r="AG353" s="412"/>
      <c r="AH353" s="412"/>
      <c r="AI353" s="412"/>
      <c r="AJ353" s="412"/>
      <c r="AK353" s="412"/>
      <c r="AL353" s="412"/>
      <c r="AM353" s="412"/>
      <c r="AN353" s="412"/>
      <c r="AO353" s="412"/>
      <c r="AP353" s="412"/>
      <c r="AQ353" s="449"/>
    </row>
    <row r="354" spans="2:43" x14ac:dyDescent="0.2">
      <c r="B354" s="412"/>
      <c r="C354" s="257"/>
      <c r="D354" s="1021"/>
      <c r="E354" s="250"/>
      <c r="F354" s="250"/>
      <c r="G354" s="250"/>
      <c r="H354" s="250"/>
      <c r="I354" s="250"/>
      <c r="J354" s="250"/>
      <c r="K354" s="250"/>
      <c r="L354" s="257"/>
      <c r="M354" s="258"/>
      <c r="N354" s="258"/>
      <c r="O354" s="258"/>
      <c r="P354" s="258"/>
      <c r="Q354" s="258"/>
      <c r="R354" s="259"/>
      <c r="S354" s="258"/>
      <c r="T354" s="259"/>
      <c r="U354" s="412"/>
      <c r="V354" s="412"/>
      <c r="W354" s="412"/>
      <c r="X354" s="412"/>
      <c r="Y354" s="412"/>
      <c r="Z354" s="412"/>
      <c r="AA354" s="412"/>
      <c r="AB354" s="412"/>
      <c r="AC354" s="412"/>
      <c r="AD354" s="412"/>
      <c r="AE354" s="412"/>
      <c r="AF354" s="412"/>
      <c r="AG354" s="412"/>
      <c r="AH354" s="412"/>
      <c r="AI354" s="412"/>
      <c r="AJ354" s="412"/>
      <c r="AK354" s="412"/>
      <c r="AL354" s="412"/>
      <c r="AM354" s="412"/>
      <c r="AN354" s="412"/>
      <c r="AO354" s="412"/>
      <c r="AP354" s="412"/>
      <c r="AQ354" s="449"/>
    </row>
    <row r="355" spans="2:43" x14ac:dyDescent="0.2">
      <c r="B355" s="412"/>
      <c r="C355" s="257"/>
      <c r="D355" s="1021"/>
      <c r="E355" s="250"/>
      <c r="F355" s="250"/>
      <c r="G355" s="250"/>
      <c r="H355" s="250"/>
      <c r="I355" s="250"/>
      <c r="J355" s="250"/>
      <c r="K355" s="250"/>
      <c r="L355" s="260"/>
      <c r="M355" s="261"/>
      <c r="N355" s="261"/>
      <c r="O355" s="261"/>
      <c r="P355" s="261"/>
      <c r="Q355" s="261"/>
      <c r="R355" s="262"/>
      <c r="S355" s="258"/>
      <c r="T355" s="259"/>
      <c r="U355" s="412"/>
      <c r="V355" s="412"/>
      <c r="W355" s="412"/>
      <c r="X355" s="412"/>
      <c r="Y355" s="412"/>
      <c r="Z355" s="412"/>
      <c r="AA355" s="412"/>
      <c r="AB355" s="412"/>
      <c r="AC355" s="412"/>
      <c r="AD355" s="412"/>
      <c r="AE355" s="412"/>
      <c r="AF355" s="412"/>
      <c r="AG355" s="412"/>
      <c r="AH355" s="412"/>
      <c r="AI355" s="412"/>
      <c r="AJ355" s="412"/>
      <c r="AK355" s="412"/>
      <c r="AL355" s="412"/>
      <c r="AM355" s="412"/>
      <c r="AN355" s="412"/>
      <c r="AO355" s="412"/>
      <c r="AP355" s="412"/>
      <c r="AQ355" s="449"/>
    </row>
    <row r="356" spans="2:43" x14ac:dyDescent="0.2">
      <c r="B356" s="412"/>
      <c r="C356" s="257"/>
      <c r="D356" s="1028"/>
      <c r="E356" s="251"/>
      <c r="F356" s="251"/>
      <c r="G356" s="251"/>
      <c r="H356" s="251"/>
      <c r="I356" s="251"/>
      <c r="J356" s="251"/>
      <c r="K356" s="251"/>
      <c r="L356" s="251"/>
      <c r="M356" s="251"/>
      <c r="N356" s="251"/>
      <c r="O356" s="251"/>
      <c r="P356" s="251"/>
      <c r="Q356" s="251"/>
      <c r="R356" s="125"/>
      <c r="S356" s="258"/>
      <c r="T356" s="259"/>
      <c r="U356" s="412"/>
      <c r="V356" s="412"/>
      <c r="W356" s="412"/>
      <c r="X356" s="412"/>
      <c r="Y356" s="412"/>
      <c r="Z356" s="412"/>
      <c r="AA356" s="412"/>
      <c r="AB356" s="412"/>
      <c r="AC356" s="412"/>
      <c r="AD356" s="412"/>
      <c r="AE356" s="412"/>
      <c r="AF356" s="412"/>
      <c r="AG356" s="412"/>
      <c r="AH356" s="412"/>
      <c r="AI356" s="412"/>
      <c r="AJ356" s="412"/>
      <c r="AK356" s="412"/>
      <c r="AL356" s="412"/>
      <c r="AM356" s="412"/>
      <c r="AN356" s="412"/>
      <c r="AO356" s="412"/>
      <c r="AP356" s="412"/>
      <c r="AQ356" s="449"/>
    </row>
    <row r="357" spans="2:43" x14ac:dyDescent="0.2">
      <c r="B357" s="412"/>
      <c r="C357" s="260"/>
      <c r="D357" s="261"/>
      <c r="E357" s="261"/>
      <c r="F357" s="261"/>
      <c r="G357" s="261"/>
      <c r="H357" s="261"/>
      <c r="I357" s="261"/>
      <c r="J357" s="261"/>
      <c r="K357" s="261"/>
      <c r="L357" s="261"/>
      <c r="M357" s="261"/>
      <c r="N357" s="261"/>
      <c r="O357" s="261"/>
      <c r="P357" s="261"/>
      <c r="Q357" s="261"/>
      <c r="R357" s="261"/>
      <c r="S357" s="261"/>
      <c r="T357" s="262"/>
      <c r="U357" s="412"/>
      <c r="V357" s="412"/>
      <c r="W357" s="412"/>
      <c r="X357" s="412"/>
      <c r="Y357" s="412"/>
      <c r="Z357" s="412"/>
      <c r="AA357" s="412"/>
      <c r="AB357" s="412"/>
      <c r="AC357" s="412"/>
      <c r="AD357" s="412"/>
      <c r="AE357" s="412"/>
      <c r="AF357" s="412"/>
      <c r="AG357" s="412"/>
      <c r="AH357" s="412"/>
      <c r="AI357" s="412"/>
      <c r="AJ357" s="412"/>
      <c r="AK357" s="412"/>
      <c r="AL357" s="412"/>
      <c r="AM357" s="412"/>
      <c r="AN357" s="412"/>
      <c r="AO357" s="412"/>
      <c r="AP357" s="412"/>
      <c r="AQ357" s="449"/>
    </row>
    <row r="358" spans="2:43" x14ac:dyDescent="0.2">
      <c r="B358" s="412"/>
      <c r="C358" s="412"/>
      <c r="D358" s="412"/>
      <c r="E358" s="412"/>
      <c r="F358" s="412"/>
      <c r="G358" s="412"/>
      <c r="H358" s="41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c r="AJ358" s="412"/>
      <c r="AK358" s="412"/>
      <c r="AL358" s="412"/>
      <c r="AM358" s="412"/>
      <c r="AN358" s="412"/>
      <c r="AO358" s="412"/>
      <c r="AP358" s="412"/>
      <c r="AQ358" s="449"/>
    </row>
    <row r="359" spans="2:43" x14ac:dyDescent="0.2">
      <c r="B359" s="412"/>
      <c r="C359" s="412"/>
      <c r="D359" s="412"/>
      <c r="E359" s="412"/>
      <c r="F359" s="412"/>
      <c r="G359" s="412"/>
      <c r="H359" s="41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c r="AJ359" s="412"/>
      <c r="AK359" s="412"/>
      <c r="AL359" s="412"/>
      <c r="AM359" s="412"/>
      <c r="AN359" s="412"/>
      <c r="AO359" s="412"/>
      <c r="AP359" s="412"/>
      <c r="AQ359" s="449"/>
    </row>
    <row r="360" spans="2:43" x14ac:dyDescent="0.2">
      <c r="B360" s="412"/>
      <c r="C360" s="412"/>
      <c r="D360" s="412"/>
      <c r="E360" s="412"/>
      <c r="F360" s="412"/>
      <c r="G360" s="412"/>
      <c r="H360" s="41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c r="AJ360" s="412"/>
      <c r="AK360" s="412"/>
      <c r="AL360" s="412"/>
      <c r="AM360" s="412"/>
      <c r="AN360" s="412"/>
      <c r="AO360" s="412"/>
      <c r="AP360" s="412"/>
      <c r="AQ360" s="449"/>
    </row>
    <row r="361" spans="2:43" x14ac:dyDescent="0.2">
      <c r="B361" s="412"/>
      <c r="C361" s="412"/>
      <c r="D361" s="412"/>
      <c r="E361" s="412"/>
      <c r="F361" s="412"/>
      <c r="G361" s="412"/>
      <c r="H361" s="41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c r="AJ361" s="412"/>
      <c r="AK361" s="412"/>
      <c r="AL361" s="412"/>
      <c r="AM361" s="412"/>
      <c r="AN361" s="412"/>
      <c r="AO361" s="412"/>
      <c r="AP361" s="412"/>
      <c r="AQ361" s="449"/>
    </row>
    <row r="362" spans="2:43" x14ac:dyDescent="0.2">
      <c r="B362" s="412"/>
      <c r="C362" s="412"/>
      <c r="D362" s="412"/>
      <c r="E362" s="412"/>
      <c r="F362" s="412"/>
      <c r="G362" s="412"/>
      <c r="H362" s="41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c r="AJ362" s="412"/>
      <c r="AK362" s="412"/>
      <c r="AL362" s="412"/>
      <c r="AM362" s="412"/>
      <c r="AN362" s="412"/>
      <c r="AO362" s="412"/>
      <c r="AP362" s="412"/>
      <c r="AQ362" s="449"/>
    </row>
    <row r="363" spans="2:43" x14ac:dyDescent="0.2">
      <c r="B363" s="412"/>
      <c r="C363" s="412"/>
      <c r="D363" s="412"/>
      <c r="E363" s="412"/>
      <c r="F363" s="412"/>
      <c r="G363" s="412"/>
      <c r="H363" s="41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c r="AJ363" s="412"/>
      <c r="AK363" s="412"/>
      <c r="AL363" s="412"/>
      <c r="AM363" s="412"/>
      <c r="AN363" s="412"/>
      <c r="AO363" s="412"/>
      <c r="AP363" s="412"/>
      <c r="AQ363" s="449"/>
    </row>
    <row r="364" spans="2:43" x14ac:dyDescent="0.2">
      <c r="B364" s="412"/>
      <c r="C364" s="412"/>
      <c r="D364" s="412"/>
      <c r="E364" s="412"/>
      <c r="F364" s="412"/>
      <c r="G364" s="412"/>
      <c r="H364" s="41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c r="AJ364" s="412"/>
      <c r="AK364" s="412"/>
      <c r="AL364" s="412"/>
      <c r="AM364" s="412"/>
      <c r="AN364" s="412"/>
      <c r="AO364" s="412"/>
      <c r="AP364" s="412"/>
      <c r="AQ364" s="449"/>
    </row>
    <row r="365" spans="2:43" x14ac:dyDescent="0.2">
      <c r="B365" s="412"/>
      <c r="C365" s="412"/>
      <c r="D365" s="412"/>
      <c r="E365" s="412"/>
      <c r="F365" s="412"/>
      <c r="G365" s="412"/>
      <c r="H365" s="41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c r="AJ365" s="412"/>
      <c r="AK365" s="412"/>
      <c r="AL365" s="412"/>
      <c r="AM365" s="412"/>
      <c r="AN365" s="412"/>
      <c r="AO365" s="412"/>
      <c r="AP365" s="412"/>
      <c r="AQ365" s="449"/>
    </row>
    <row r="366" spans="2:43" x14ac:dyDescent="0.2">
      <c r="B366" s="412"/>
      <c r="C366" s="412"/>
      <c r="D366" s="412"/>
      <c r="E366" s="412"/>
      <c r="F366" s="412"/>
      <c r="G366" s="412"/>
      <c r="H366" s="41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c r="AJ366" s="412"/>
      <c r="AK366" s="412"/>
      <c r="AL366" s="412"/>
      <c r="AM366" s="412"/>
      <c r="AN366" s="412"/>
      <c r="AO366" s="412"/>
      <c r="AP366" s="412"/>
      <c r="AQ366" s="449"/>
    </row>
    <row r="367" spans="2:43" x14ac:dyDescent="0.2">
      <c r="B367" s="412"/>
      <c r="C367" s="412"/>
      <c r="D367" s="412"/>
      <c r="E367" s="412"/>
      <c r="F367" s="412"/>
      <c r="G367" s="412"/>
      <c r="H367" s="41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c r="AJ367" s="412"/>
      <c r="AK367" s="412"/>
      <c r="AL367" s="412"/>
      <c r="AM367" s="412"/>
      <c r="AN367" s="412"/>
      <c r="AO367" s="412"/>
      <c r="AP367" s="412"/>
      <c r="AQ367" s="449"/>
    </row>
    <row r="368" spans="2:43" x14ac:dyDescent="0.2">
      <c r="B368" s="412"/>
      <c r="C368" s="412"/>
      <c r="D368" s="412"/>
      <c r="E368" s="412"/>
      <c r="F368" s="412"/>
      <c r="G368" s="412"/>
      <c r="H368" s="41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c r="AJ368" s="412"/>
      <c r="AK368" s="412"/>
      <c r="AL368" s="412"/>
      <c r="AM368" s="412"/>
      <c r="AN368" s="412"/>
      <c r="AO368" s="412"/>
      <c r="AP368" s="412"/>
      <c r="AQ368" s="449"/>
    </row>
    <row r="369" spans="2:43" x14ac:dyDescent="0.2">
      <c r="B369" s="412"/>
      <c r="C369" s="412"/>
      <c r="D369" s="412"/>
      <c r="E369" s="412"/>
      <c r="F369" s="412"/>
      <c r="G369" s="412"/>
      <c r="H369" s="41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c r="AJ369" s="412"/>
      <c r="AK369" s="412"/>
      <c r="AL369" s="412"/>
      <c r="AM369" s="412"/>
      <c r="AN369" s="412"/>
      <c r="AO369" s="412"/>
      <c r="AP369" s="412"/>
      <c r="AQ369" s="449"/>
    </row>
    <row r="370" spans="2:43" x14ac:dyDescent="0.2">
      <c r="B370" s="412"/>
      <c r="C370" s="412"/>
      <c r="D370" s="412"/>
      <c r="E370" s="412"/>
      <c r="F370" s="412"/>
      <c r="G370" s="412"/>
      <c r="H370" s="41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c r="AJ370" s="412"/>
      <c r="AK370" s="412"/>
      <c r="AL370" s="412"/>
      <c r="AM370" s="412"/>
      <c r="AN370" s="412"/>
      <c r="AO370" s="412"/>
      <c r="AP370" s="412"/>
      <c r="AQ370" s="449"/>
    </row>
    <row r="371" spans="2:43" x14ac:dyDescent="0.2">
      <c r="B371" s="412"/>
      <c r="C371" s="412"/>
      <c r="D371" s="412"/>
      <c r="E371" s="412"/>
      <c r="F371" s="412"/>
      <c r="G371" s="412"/>
      <c r="H371" s="41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c r="AJ371" s="412"/>
      <c r="AK371" s="412"/>
      <c r="AL371" s="412"/>
      <c r="AM371" s="412"/>
      <c r="AN371" s="412"/>
      <c r="AO371" s="412"/>
      <c r="AP371" s="412"/>
      <c r="AQ371" s="449"/>
    </row>
    <row r="372" spans="2:43" x14ac:dyDescent="0.2">
      <c r="B372" s="412"/>
      <c r="C372" s="412"/>
      <c r="D372" s="412"/>
      <c r="E372" s="412"/>
      <c r="F372" s="412"/>
      <c r="G372" s="412"/>
      <c r="H372" s="41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c r="AJ372" s="412"/>
      <c r="AK372" s="412"/>
      <c r="AL372" s="412"/>
      <c r="AM372" s="412"/>
      <c r="AN372" s="412"/>
      <c r="AO372" s="412"/>
      <c r="AP372" s="412"/>
      <c r="AQ372" s="449"/>
    </row>
    <row r="373" spans="2:43" x14ac:dyDescent="0.2">
      <c r="B373" s="412"/>
      <c r="C373" s="412"/>
      <c r="D373" s="412"/>
      <c r="E373" s="412"/>
      <c r="F373" s="412"/>
      <c r="G373" s="412"/>
      <c r="H373" s="41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c r="AJ373" s="412"/>
      <c r="AK373" s="412"/>
      <c r="AL373" s="412"/>
      <c r="AM373" s="412"/>
      <c r="AN373" s="412"/>
      <c r="AO373" s="412"/>
      <c r="AP373" s="412"/>
      <c r="AQ373" s="449"/>
    </row>
    <row r="374" spans="2:43" x14ac:dyDescent="0.2">
      <c r="B374" s="412"/>
      <c r="C374" s="412"/>
      <c r="D374" s="412"/>
      <c r="E374" s="412"/>
      <c r="F374" s="412"/>
      <c r="G374" s="412"/>
      <c r="H374" s="41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c r="AJ374" s="412"/>
      <c r="AK374" s="412"/>
      <c r="AL374" s="412"/>
      <c r="AM374" s="412"/>
      <c r="AN374" s="412"/>
      <c r="AO374" s="412"/>
      <c r="AP374" s="412"/>
      <c r="AQ374" s="449"/>
    </row>
    <row r="375" spans="2:43" x14ac:dyDescent="0.2">
      <c r="B375" s="412"/>
      <c r="C375" s="412"/>
      <c r="D375" s="412"/>
      <c r="E375" s="412"/>
      <c r="F375" s="412"/>
      <c r="G375" s="412"/>
      <c r="H375" s="41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c r="AJ375" s="412"/>
      <c r="AK375" s="412"/>
      <c r="AL375" s="412"/>
      <c r="AM375" s="412"/>
      <c r="AN375" s="412"/>
      <c r="AO375" s="412"/>
      <c r="AP375" s="412"/>
      <c r="AQ375" s="449"/>
    </row>
    <row r="376" spans="2:43" x14ac:dyDescent="0.2">
      <c r="B376" s="412"/>
      <c r="C376" s="412"/>
      <c r="D376" s="412"/>
      <c r="E376" s="412"/>
      <c r="F376" s="412"/>
      <c r="G376" s="412"/>
      <c r="H376" s="41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c r="AJ376" s="412"/>
      <c r="AK376" s="412"/>
      <c r="AL376" s="412"/>
      <c r="AM376" s="412"/>
      <c r="AN376" s="412"/>
      <c r="AO376" s="412"/>
      <c r="AP376" s="412"/>
      <c r="AQ376" s="449"/>
    </row>
    <row r="377" spans="2:43" x14ac:dyDescent="0.2">
      <c r="B377" s="412"/>
      <c r="C377" s="412"/>
      <c r="D377" s="412"/>
      <c r="E377" s="412"/>
      <c r="F377" s="412"/>
      <c r="G377" s="412"/>
      <c r="H377" s="41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c r="AJ377" s="412"/>
      <c r="AK377" s="412"/>
      <c r="AL377" s="412"/>
      <c r="AM377" s="412"/>
      <c r="AN377" s="412"/>
      <c r="AO377" s="412"/>
      <c r="AP377" s="412"/>
      <c r="AQ377" s="449"/>
    </row>
    <row r="378" spans="2:43" x14ac:dyDescent="0.2">
      <c r="B378" s="412"/>
      <c r="C378" s="412"/>
      <c r="D378" s="412"/>
      <c r="E378" s="412"/>
      <c r="F378" s="412"/>
      <c r="G378" s="412"/>
      <c r="H378" s="41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c r="AJ378" s="412"/>
      <c r="AK378" s="412"/>
      <c r="AL378" s="412"/>
      <c r="AM378" s="412"/>
      <c r="AN378" s="412"/>
      <c r="AO378" s="412"/>
      <c r="AP378" s="412"/>
      <c r="AQ378" s="449"/>
    </row>
    <row r="379" spans="2:43" x14ac:dyDescent="0.2">
      <c r="B379" s="412"/>
      <c r="C379" s="412"/>
      <c r="D379" s="412"/>
      <c r="E379" s="412"/>
      <c r="F379" s="412"/>
      <c r="G379" s="41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c r="AJ379" s="412"/>
      <c r="AK379" s="412"/>
      <c r="AL379" s="412"/>
      <c r="AM379" s="412"/>
      <c r="AN379" s="412"/>
      <c r="AO379" s="412"/>
      <c r="AP379" s="412"/>
      <c r="AQ379" s="449"/>
    </row>
    <row r="380" spans="2:43" x14ac:dyDescent="0.2">
      <c r="B380" s="412"/>
      <c r="C380" s="412"/>
      <c r="D380" s="412"/>
      <c r="E380" s="412"/>
      <c r="F380" s="412"/>
      <c r="G380" s="412"/>
      <c r="H380" s="41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c r="AJ380" s="412"/>
      <c r="AK380" s="412"/>
      <c r="AL380" s="412"/>
      <c r="AM380" s="412"/>
      <c r="AN380" s="412"/>
      <c r="AO380" s="412"/>
      <c r="AP380" s="412"/>
      <c r="AQ380" s="449"/>
    </row>
    <row r="381" spans="2:43" x14ac:dyDescent="0.2">
      <c r="B381" s="412"/>
      <c r="C381" s="412"/>
      <c r="D381" s="412"/>
      <c r="E381" s="412"/>
      <c r="F381" s="412"/>
      <c r="G381" s="412"/>
      <c r="H381" s="41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c r="AJ381" s="412"/>
      <c r="AK381" s="412"/>
      <c r="AL381" s="412"/>
      <c r="AM381" s="412"/>
      <c r="AN381" s="412"/>
      <c r="AO381" s="412"/>
      <c r="AP381" s="412"/>
      <c r="AQ381" s="449"/>
    </row>
    <row r="382" spans="2:43" x14ac:dyDescent="0.2">
      <c r="B382" s="412"/>
      <c r="C382" s="412"/>
      <c r="D382" s="412"/>
      <c r="E382" s="412"/>
      <c r="F382" s="412"/>
      <c r="G382" s="412"/>
      <c r="H382" s="41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c r="AJ382" s="412"/>
      <c r="AK382" s="412"/>
      <c r="AL382" s="412"/>
      <c r="AM382" s="412"/>
      <c r="AN382" s="412"/>
      <c r="AO382" s="412"/>
      <c r="AP382" s="412"/>
      <c r="AQ382" s="449"/>
    </row>
    <row r="383" spans="2:43" x14ac:dyDescent="0.2">
      <c r="B383" s="412"/>
      <c r="C383" s="412"/>
      <c r="D383" s="412"/>
      <c r="E383" s="412"/>
      <c r="F383" s="412"/>
      <c r="G383" s="412"/>
      <c r="H383" s="41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c r="AJ383" s="412"/>
      <c r="AK383" s="412"/>
      <c r="AL383" s="412"/>
      <c r="AM383" s="412"/>
      <c r="AN383" s="412"/>
      <c r="AO383" s="412"/>
      <c r="AP383" s="412"/>
      <c r="AQ383" s="449"/>
    </row>
    <row r="384" spans="2:43" x14ac:dyDescent="0.2">
      <c r="B384" s="412"/>
      <c r="C384" s="412"/>
      <c r="D384" s="412"/>
      <c r="E384" s="412"/>
      <c r="F384" s="412"/>
      <c r="G384" s="412"/>
      <c r="H384" s="41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c r="AJ384" s="412"/>
      <c r="AK384" s="412"/>
      <c r="AL384" s="412"/>
      <c r="AM384" s="412"/>
      <c r="AN384" s="412"/>
      <c r="AO384" s="412"/>
      <c r="AP384" s="412"/>
      <c r="AQ384" s="449"/>
    </row>
    <row r="385" spans="2:43" x14ac:dyDescent="0.2">
      <c r="B385" s="412"/>
      <c r="C385" s="412"/>
      <c r="D385" s="412"/>
      <c r="E385" s="412"/>
      <c r="F385" s="412"/>
      <c r="G385" s="412"/>
      <c r="H385" s="41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c r="AJ385" s="412"/>
      <c r="AK385" s="412"/>
      <c r="AL385" s="412"/>
      <c r="AM385" s="412"/>
      <c r="AN385" s="412"/>
      <c r="AO385" s="412"/>
      <c r="AP385" s="412"/>
      <c r="AQ385" s="449"/>
    </row>
    <row r="386" spans="2:43" x14ac:dyDescent="0.2">
      <c r="B386" s="412"/>
      <c r="C386" s="412"/>
      <c r="D386" s="412"/>
      <c r="E386" s="412"/>
      <c r="F386" s="412"/>
      <c r="G386" s="412"/>
      <c r="H386" s="41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c r="AJ386" s="412"/>
      <c r="AK386" s="412"/>
      <c r="AL386" s="412"/>
      <c r="AM386" s="412"/>
      <c r="AN386" s="412"/>
      <c r="AO386" s="412"/>
      <c r="AP386" s="412"/>
      <c r="AQ386" s="449"/>
    </row>
    <row r="387" spans="2:43" x14ac:dyDescent="0.2">
      <c r="B387" s="412"/>
      <c r="C387" s="412"/>
      <c r="D387" s="412"/>
      <c r="E387" s="412"/>
      <c r="F387" s="412"/>
      <c r="G387" s="412"/>
      <c r="H387" s="41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c r="AJ387" s="412"/>
      <c r="AK387" s="412"/>
      <c r="AL387" s="412"/>
      <c r="AM387" s="412"/>
      <c r="AN387" s="412"/>
      <c r="AO387" s="412"/>
      <c r="AP387" s="412"/>
      <c r="AQ387" s="449"/>
    </row>
    <row r="388" spans="2:43" x14ac:dyDescent="0.2">
      <c r="B388" s="412"/>
      <c r="C388" s="412"/>
      <c r="D388" s="412"/>
      <c r="E388" s="412"/>
      <c r="F388" s="412"/>
      <c r="G388" s="412"/>
      <c r="H388" s="41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c r="AJ388" s="412"/>
      <c r="AK388" s="412"/>
      <c r="AL388" s="412"/>
      <c r="AM388" s="412"/>
      <c r="AN388" s="412"/>
      <c r="AO388" s="412"/>
      <c r="AP388" s="412"/>
      <c r="AQ388" s="449"/>
    </row>
    <row r="389" spans="2:43" x14ac:dyDescent="0.2">
      <c r="B389" s="412"/>
      <c r="C389" s="412"/>
      <c r="D389" s="412"/>
      <c r="E389" s="412"/>
      <c r="F389" s="412"/>
      <c r="G389" s="412"/>
      <c r="H389" s="41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c r="AJ389" s="412"/>
      <c r="AK389" s="412"/>
      <c r="AL389" s="412"/>
      <c r="AM389" s="412"/>
      <c r="AN389" s="412"/>
      <c r="AO389" s="412"/>
      <c r="AP389" s="412"/>
      <c r="AQ389" s="449"/>
    </row>
    <row r="390" spans="2:43" x14ac:dyDescent="0.2">
      <c r="B390" s="412"/>
      <c r="C390" s="412"/>
      <c r="D390" s="412"/>
      <c r="E390" s="412"/>
      <c r="F390" s="412"/>
      <c r="G390" s="412"/>
      <c r="H390" s="41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c r="AJ390" s="412"/>
      <c r="AK390" s="412"/>
      <c r="AL390" s="412"/>
      <c r="AM390" s="412"/>
      <c r="AN390" s="412"/>
      <c r="AO390" s="412"/>
      <c r="AP390" s="412"/>
      <c r="AQ390" s="449"/>
    </row>
    <row r="391" spans="2:43" x14ac:dyDescent="0.2">
      <c r="B391" s="412"/>
      <c r="C391" s="412"/>
      <c r="D391" s="412"/>
      <c r="E391" s="412"/>
      <c r="F391" s="412"/>
      <c r="G391" s="412"/>
      <c r="H391" s="41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c r="AJ391" s="412"/>
      <c r="AK391" s="412"/>
      <c r="AL391" s="412"/>
      <c r="AM391" s="412"/>
      <c r="AN391" s="412"/>
      <c r="AO391" s="412"/>
      <c r="AP391" s="412"/>
      <c r="AQ391" s="449"/>
    </row>
    <row r="392" spans="2:43" x14ac:dyDescent="0.2">
      <c r="B392" s="412"/>
      <c r="C392" s="412"/>
      <c r="D392" s="412"/>
      <c r="E392" s="412"/>
      <c r="F392" s="412"/>
      <c r="G392" s="412"/>
      <c r="H392" s="41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c r="AJ392" s="412"/>
      <c r="AK392" s="412"/>
      <c r="AL392" s="412"/>
      <c r="AM392" s="412"/>
      <c r="AN392" s="412"/>
      <c r="AO392" s="412"/>
      <c r="AP392" s="412"/>
      <c r="AQ392" s="449"/>
    </row>
    <row r="393" spans="2:43" x14ac:dyDescent="0.2">
      <c r="B393" s="412"/>
      <c r="C393" s="412"/>
      <c r="D393" s="412"/>
      <c r="E393" s="412"/>
      <c r="F393" s="412"/>
      <c r="G393" s="412"/>
      <c r="H393" s="41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c r="AJ393" s="412"/>
      <c r="AK393" s="412"/>
      <c r="AL393" s="412"/>
      <c r="AM393" s="412"/>
      <c r="AN393" s="412"/>
      <c r="AO393" s="412"/>
      <c r="AP393" s="412"/>
      <c r="AQ393" s="449"/>
    </row>
    <row r="394" spans="2:43" x14ac:dyDescent="0.2">
      <c r="B394" s="412"/>
      <c r="C394" s="412"/>
      <c r="D394" s="412"/>
      <c r="E394" s="412"/>
      <c r="F394" s="412"/>
      <c r="G394" s="412"/>
      <c r="H394" s="41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c r="AJ394" s="412"/>
      <c r="AK394" s="412"/>
      <c r="AL394" s="412"/>
      <c r="AM394" s="412"/>
      <c r="AN394" s="412"/>
      <c r="AO394" s="412"/>
      <c r="AP394" s="412"/>
      <c r="AQ394" s="449"/>
    </row>
    <row r="395" spans="2:43" x14ac:dyDescent="0.2">
      <c r="B395" s="412"/>
      <c r="C395" s="412"/>
      <c r="D395" s="412"/>
      <c r="E395" s="412"/>
      <c r="F395" s="412"/>
      <c r="G395" s="412"/>
      <c r="H395" s="41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c r="AJ395" s="412"/>
      <c r="AK395" s="412"/>
      <c r="AL395" s="412"/>
      <c r="AM395" s="412"/>
      <c r="AN395" s="412"/>
      <c r="AO395" s="412"/>
      <c r="AP395" s="412"/>
      <c r="AQ395" s="449"/>
    </row>
    <row r="396" spans="2:43" x14ac:dyDescent="0.2">
      <c r="B396" s="412"/>
      <c r="C396" s="412"/>
      <c r="D396" s="412"/>
      <c r="E396" s="412"/>
      <c r="F396" s="412"/>
      <c r="G396" s="412"/>
      <c r="H396" s="41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c r="AJ396" s="412"/>
      <c r="AK396" s="412"/>
      <c r="AL396" s="412"/>
      <c r="AM396" s="412"/>
      <c r="AN396" s="412"/>
      <c r="AO396" s="412"/>
      <c r="AP396" s="412"/>
      <c r="AQ396" s="449"/>
    </row>
    <row r="397" spans="2:43" x14ac:dyDescent="0.2">
      <c r="B397" s="412"/>
      <c r="C397" s="412"/>
      <c r="D397" s="412"/>
      <c r="E397" s="412"/>
      <c r="F397" s="412"/>
      <c r="G397" s="412"/>
      <c r="H397" s="41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c r="AJ397" s="412"/>
      <c r="AK397" s="412"/>
      <c r="AL397" s="412"/>
      <c r="AM397" s="412"/>
      <c r="AN397" s="412"/>
      <c r="AO397" s="412"/>
      <c r="AP397" s="412"/>
      <c r="AQ397" s="449"/>
    </row>
    <row r="398" spans="2:43" x14ac:dyDescent="0.2">
      <c r="B398" s="412"/>
      <c r="C398" s="412"/>
      <c r="D398" s="412"/>
      <c r="E398" s="412"/>
      <c r="F398" s="412"/>
      <c r="G398" s="412"/>
      <c r="H398" s="41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c r="AJ398" s="412"/>
      <c r="AK398" s="412"/>
      <c r="AL398" s="412"/>
      <c r="AM398" s="412"/>
      <c r="AN398" s="412"/>
      <c r="AO398" s="412"/>
      <c r="AP398" s="412"/>
      <c r="AQ398" s="449"/>
    </row>
    <row r="399" spans="2:43" x14ac:dyDescent="0.2">
      <c r="B399" s="413"/>
      <c r="C399" s="412"/>
      <c r="D399" s="412"/>
      <c r="E399" s="412"/>
      <c r="F399" s="412"/>
      <c r="G399" s="412"/>
      <c r="H399" s="41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c r="AJ399" s="412"/>
      <c r="AK399" s="412"/>
      <c r="AL399" s="412"/>
      <c r="AM399" s="412"/>
      <c r="AN399" s="412"/>
      <c r="AO399" s="412"/>
      <c r="AP399" s="412"/>
      <c r="AQ399" s="449"/>
    </row>
    <row r="400" spans="2:43" x14ac:dyDescent="0.2">
      <c r="C400" s="412"/>
      <c r="D400" s="412"/>
      <c r="E400" s="412"/>
      <c r="F400" s="412"/>
      <c r="G400" s="412"/>
      <c r="H400" s="41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c r="AJ400" s="412"/>
      <c r="AK400" s="412"/>
      <c r="AL400" s="412"/>
      <c r="AM400" s="412"/>
      <c r="AN400" s="412"/>
      <c r="AO400" s="412"/>
      <c r="AP400" s="412"/>
      <c r="AQ400" s="449"/>
    </row>
    <row r="401" spans="3:43" x14ac:dyDescent="0.2">
      <c r="C401" s="412"/>
      <c r="D401" s="412"/>
      <c r="E401" s="412"/>
      <c r="F401" s="412"/>
      <c r="G401" s="412"/>
      <c r="H401" s="41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c r="AJ401" s="412"/>
      <c r="AK401" s="412"/>
      <c r="AL401" s="412"/>
      <c r="AM401" s="412"/>
      <c r="AN401" s="412"/>
      <c r="AO401" s="412"/>
      <c r="AP401" s="412"/>
      <c r="AQ401" s="449"/>
    </row>
    <row r="402" spans="3:43" x14ac:dyDescent="0.2">
      <c r="C402" s="412"/>
      <c r="D402" s="412"/>
      <c r="E402" s="412"/>
      <c r="F402" s="412"/>
      <c r="G402" s="412"/>
      <c r="H402" s="41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c r="AJ402" s="412"/>
      <c r="AK402" s="412"/>
      <c r="AL402" s="412"/>
      <c r="AM402" s="412"/>
      <c r="AN402" s="412"/>
      <c r="AO402" s="412"/>
      <c r="AP402" s="412"/>
      <c r="AQ402" s="449"/>
    </row>
    <row r="403" spans="3:43" x14ac:dyDescent="0.2">
      <c r="C403" s="412"/>
      <c r="D403" s="412"/>
      <c r="E403" s="412"/>
      <c r="F403" s="412"/>
      <c r="G403" s="412"/>
      <c r="H403" s="41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c r="AJ403" s="412"/>
      <c r="AK403" s="412"/>
      <c r="AL403" s="412"/>
      <c r="AM403" s="412"/>
      <c r="AN403" s="412"/>
      <c r="AO403" s="412"/>
      <c r="AP403" s="412"/>
      <c r="AQ403" s="449"/>
    </row>
    <row r="404" spans="3:43" x14ac:dyDescent="0.2">
      <c r="C404" s="412"/>
      <c r="D404" s="412"/>
      <c r="E404" s="412"/>
      <c r="F404" s="412"/>
      <c r="G404" s="412"/>
      <c r="H404" s="41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49"/>
    </row>
    <row r="405" spans="3:43" x14ac:dyDescent="0.2">
      <c r="C405" s="412"/>
      <c r="D405" s="412"/>
      <c r="E405" s="412"/>
      <c r="F405" s="412"/>
      <c r="G405" s="412"/>
      <c r="H405" s="41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49"/>
    </row>
    <row r="406" spans="3:43" x14ac:dyDescent="0.2">
      <c r="C406" s="412"/>
      <c r="D406" s="412"/>
      <c r="E406" s="412"/>
      <c r="F406" s="412"/>
      <c r="G406" s="412"/>
      <c r="H406" s="41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49"/>
    </row>
    <row r="407" spans="3:43" x14ac:dyDescent="0.2">
      <c r="C407" s="412"/>
      <c r="D407" s="412"/>
      <c r="E407" s="412"/>
      <c r="F407" s="412"/>
      <c r="G407" s="412"/>
      <c r="H407" s="41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49"/>
    </row>
    <row r="408" spans="3:43" x14ac:dyDescent="0.2">
      <c r="C408" s="412"/>
      <c r="D408" s="412"/>
      <c r="E408" s="412"/>
      <c r="F408" s="412"/>
      <c r="G408" s="412"/>
      <c r="H408" s="41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49"/>
    </row>
    <row r="409" spans="3:43" x14ac:dyDescent="0.2">
      <c r="C409" s="412"/>
      <c r="D409" s="412"/>
      <c r="E409" s="412"/>
      <c r="F409" s="412"/>
      <c r="G409" s="412"/>
      <c r="H409" s="41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49"/>
    </row>
    <row r="410" spans="3:43" x14ac:dyDescent="0.2">
      <c r="C410" s="412"/>
      <c r="D410" s="412"/>
      <c r="E410" s="412"/>
      <c r="F410" s="412"/>
      <c r="G410" s="412"/>
      <c r="H410" s="41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49"/>
    </row>
    <row r="411" spans="3:43" x14ac:dyDescent="0.2">
      <c r="C411" s="412"/>
      <c r="D411" s="412"/>
      <c r="E411" s="412"/>
      <c r="F411" s="412"/>
      <c r="G411" s="412"/>
      <c r="H411" s="41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c r="AK411" s="412"/>
      <c r="AL411" s="412"/>
      <c r="AM411" s="412"/>
      <c r="AN411" s="412"/>
      <c r="AO411" s="412"/>
      <c r="AP411" s="412"/>
      <c r="AQ411" s="449"/>
    </row>
    <row r="412" spans="3:43" x14ac:dyDescent="0.2">
      <c r="C412" s="412"/>
      <c r="D412" s="412"/>
      <c r="E412" s="412"/>
      <c r="F412" s="412"/>
      <c r="G412" s="412"/>
      <c r="H412" s="41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c r="AJ412" s="412"/>
      <c r="AK412" s="412"/>
      <c r="AL412" s="412"/>
      <c r="AM412" s="412"/>
      <c r="AN412" s="412"/>
      <c r="AO412" s="412"/>
      <c r="AP412" s="412"/>
      <c r="AQ412" s="449"/>
    </row>
    <row r="413" spans="3:43" x14ac:dyDescent="0.2">
      <c r="C413" s="412"/>
      <c r="D413" s="412"/>
      <c r="E413" s="412"/>
      <c r="F413" s="412"/>
      <c r="G413" s="412"/>
      <c r="H413" s="41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49"/>
    </row>
    <row r="414" spans="3:43" x14ac:dyDescent="0.2">
      <c r="C414" s="412"/>
      <c r="D414" s="412"/>
      <c r="E414" s="412"/>
      <c r="F414" s="412"/>
      <c r="G414" s="412"/>
      <c r="H414" s="41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49"/>
    </row>
    <row r="415" spans="3:43" x14ac:dyDescent="0.2">
      <c r="C415" s="412"/>
      <c r="D415" s="412"/>
      <c r="E415" s="412"/>
      <c r="F415" s="412"/>
      <c r="G415" s="412"/>
      <c r="H415" s="41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49"/>
    </row>
    <row r="416" spans="3:43" x14ac:dyDescent="0.2">
      <c r="C416" s="412"/>
      <c r="D416" s="412"/>
      <c r="E416" s="412"/>
      <c r="F416" s="412"/>
      <c r="G416" s="412"/>
      <c r="H416" s="41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49"/>
    </row>
    <row r="417" spans="3:43" x14ac:dyDescent="0.2">
      <c r="C417" s="412"/>
      <c r="D417" s="412"/>
      <c r="E417" s="412"/>
      <c r="F417" s="412"/>
      <c r="G417" s="412"/>
      <c r="H417" s="41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c r="AJ417" s="412"/>
      <c r="AK417" s="412"/>
      <c r="AL417" s="412"/>
      <c r="AM417" s="412"/>
      <c r="AN417" s="412"/>
      <c r="AO417" s="412"/>
      <c r="AP417" s="412"/>
      <c r="AQ417" s="449"/>
    </row>
    <row r="418" spans="3:43" x14ac:dyDescent="0.2">
      <c r="C418" s="412"/>
      <c r="D418" s="412"/>
      <c r="E418" s="412"/>
      <c r="F418" s="412"/>
      <c r="G418" s="412"/>
      <c r="H418" s="41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c r="AJ418" s="412"/>
      <c r="AK418" s="412"/>
      <c r="AL418" s="412"/>
      <c r="AM418" s="412"/>
      <c r="AN418" s="412"/>
      <c r="AO418" s="412"/>
      <c r="AP418" s="412"/>
      <c r="AQ418" s="449"/>
    </row>
    <row r="419" spans="3:43" x14ac:dyDescent="0.2">
      <c r="C419" s="412"/>
      <c r="D419" s="412"/>
      <c r="E419" s="412"/>
      <c r="F419" s="412"/>
      <c r="G419" s="412"/>
      <c r="H419" s="41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c r="AJ419" s="412"/>
      <c r="AK419" s="412"/>
      <c r="AL419" s="412"/>
      <c r="AM419" s="412"/>
      <c r="AN419" s="412"/>
      <c r="AO419" s="412"/>
      <c r="AP419" s="412"/>
      <c r="AQ419" s="449"/>
    </row>
    <row r="420" spans="3:43" x14ac:dyDescent="0.2">
      <c r="C420" s="412"/>
      <c r="D420" s="412"/>
      <c r="E420" s="412"/>
      <c r="F420" s="412"/>
      <c r="G420" s="412"/>
      <c r="H420" s="41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c r="AJ420" s="412"/>
      <c r="AK420" s="412"/>
      <c r="AL420" s="412"/>
      <c r="AM420" s="412"/>
      <c r="AN420" s="412"/>
      <c r="AO420" s="412"/>
      <c r="AP420" s="412"/>
      <c r="AQ420" s="449"/>
    </row>
    <row r="421" spans="3:43" x14ac:dyDescent="0.2">
      <c r="C421" s="412"/>
      <c r="D421" s="412"/>
      <c r="E421" s="412"/>
      <c r="F421" s="412"/>
      <c r="G421" s="412"/>
      <c r="H421" s="41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49"/>
    </row>
    <row r="422" spans="3:43" x14ac:dyDescent="0.2">
      <c r="C422" s="412"/>
      <c r="D422" s="412"/>
      <c r="E422" s="412"/>
      <c r="F422" s="412"/>
      <c r="G422" s="412"/>
      <c r="H422" s="41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c r="AJ422" s="412"/>
      <c r="AK422" s="412"/>
      <c r="AL422" s="412"/>
      <c r="AM422" s="412"/>
      <c r="AN422" s="412"/>
      <c r="AO422" s="412"/>
      <c r="AP422" s="412"/>
      <c r="AQ422" s="449"/>
    </row>
    <row r="423" spans="3:43" x14ac:dyDescent="0.2">
      <c r="C423" s="412"/>
      <c r="D423" s="412"/>
      <c r="E423" s="412"/>
      <c r="F423" s="412"/>
      <c r="G423" s="412"/>
      <c r="H423" s="41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c r="AJ423" s="412"/>
      <c r="AK423" s="412"/>
      <c r="AL423" s="412"/>
      <c r="AM423" s="412"/>
      <c r="AN423" s="412"/>
      <c r="AO423" s="412"/>
      <c r="AP423" s="412"/>
      <c r="AQ423" s="449"/>
    </row>
    <row r="424" spans="3:43" x14ac:dyDescent="0.2">
      <c r="C424" s="412"/>
      <c r="D424" s="412"/>
      <c r="E424" s="412"/>
      <c r="F424" s="412"/>
      <c r="G424" s="412"/>
      <c r="H424" s="41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c r="AJ424" s="412"/>
      <c r="AK424" s="412"/>
      <c r="AL424" s="412"/>
      <c r="AM424" s="412"/>
      <c r="AN424" s="412"/>
      <c r="AO424" s="412"/>
      <c r="AP424" s="412"/>
      <c r="AQ424" s="449"/>
    </row>
    <row r="425" spans="3:43" x14ac:dyDescent="0.2">
      <c r="C425" s="412"/>
      <c r="D425" s="412"/>
      <c r="E425" s="412"/>
      <c r="F425" s="412"/>
      <c r="G425" s="412"/>
      <c r="H425" s="41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c r="AJ425" s="412"/>
      <c r="AK425" s="412"/>
      <c r="AL425" s="412"/>
      <c r="AM425" s="412"/>
      <c r="AN425" s="412"/>
      <c r="AO425" s="412"/>
      <c r="AP425" s="412"/>
      <c r="AQ425" s="449"/>
    </row>
    <row r="426" spans="3:43" x14ac:dyDescent="0.2">
      <c r="C426" s="412"/>
      <c r="D426" s="412"/>
      <c r="E426" s="412"/>
      <c r="F426" s="412"/>
      <c r="G426" s="412"/>
      <c r="H426" s="41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c r="AJ426" s="412"/>
      <c r="AK426" s="412"/>
      <c r="AL426" s="412"/>
      <c r="AM426" s="412"/>
      <c r="AN426" s="412"/>
      <c r="AO426" s="412"/>
      <c r="AP426" s="412"/>
      <c r="AQ426" s="449"/>
    </row>
    <row r="427" spans="3:43" x14ac:dyDescent="0.2">
      <c r="C427" s="412"/>
      <c r="D427" s="412"/>
      <c r="E427" s="412"/>
      <c r="F427" s="412"/>
      <c r="G427" s="412"/>
      <c r="H427" s="41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c r="AJ427" s="412"/>
      <c r="AK427" s="412"/>
      <c r="AL427" s="412"/>
      <c r="AM427" s="412"/>
      <c r="AN427" s="412"/>
      <c r="AO427" s="412"/>
      <c r="AP427" s="412"/>
      <c r="AQ427" s="449"/>
    </row>
    <row r="428" spans="3:43" x14ac:dyDescent="0.2">
      <c r="C428" s="412"/>
      <c r="D428" s="412"/>
      <c r="E428" s="412"/>
      <c r="F428" s="412"/>
      <c r="G428" s="412"/>
      <c r="H428" s="41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c r="AJ428" s="412"/>
      <c r="AK428" s="412"/>
      <c r="AL428" s="412"/>
      <c r="AM428" s="412"/>
      <c r="AN428" s="412"/>
      <c r="AO428" s="412"/>
      <c r="AP428" s="412"/>
      <c r="AQ428" s="449"/>
    </row>
    <row r="429" spans="3:43" x14ac:dyDescent="0.2">
      <c r="C429" s="412"/>
      <c r="D429" s="412"/>
      <c r="E429" s="412"/>
      <c r="F429" s="412"/>
      <c r="G429" s="41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c r="AJ429" s="412"/>
      <c r="AK429" s="412"/>
      <c r="AL429" s="412"/>
      <c r="AM429" s="412"/>
      <c r="AN429" s="412"/>
      <c r="AO429" s="412"/>
      <c r="AP429" s="412"/>
      <c r="AQ429" s="449"/>
    </row>
    <row r="430" spans="3:43" x14ac:dyDescent="0.2">
      <c r="C430" s="412"/>
      <c r="D430" s="412"/>
      <c r="E430" s="412"/>
      <c r="F430" s="412"/>
      <c r="G430" s="41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c r="AJ430" s="412"/>
      <c r="AK430" s="412"/>
      <c r="AL430" s="412"/>
      <c r="AM430" s="412"/>
      <c r="AN430" s="412"/>
      <c r="AO430" s="412"/>
      <c r="AP430" s="412"/>
      <c r="AQ430" s="449"/>
    </row>
    <row r="431" spans="3:43" ht="15" x14ac:dyDescent="0.2">
      <c r="C431" s="412"/>
      <c r="D431" s="824"/>
      <c r="E431" s="829" t="s">
        <v>70</v>
      </c>
      <c r="F431" s="825"/>
      <c r="G431" s="822"/>
      <c r="H431" s="822"/>
      <c r="I431" s="822"/>
      <c r="J431" s="822"/>
      <c r="K431" s="822"/>
      <c r="L431" s="822"/>
      <c r="M431" s="822"/>
      <c r="N431" s="822"/>
      <c r="O431" s="822"/>
      <c r="P431" s="822"/>
      <c r="Q431" s="822"/>
      <c r="R431" s="822"/>
      <c r="S431" s="822"/>
      <c r="T431" s="822"/>
      <c r="U431" s="822"/>
      <c r="V431" s="822"/>
      <c r="W431" s="822"/>
      <c r="X431" s="822"/>
      <c r="Y431" s="823"/>
      <c r="Z431" s="412"/>
      <c r="AA431" s="412"/>
      <c r="AB431" s="412"/>
      <c r="AC431" s="412"/>
      <c r="AD431" s="412"/>
      <c r="AE431" s="412"/>
      <c r="AF431" s="412"/>
      <c r="AG431" s="412"/>
      <c r="AH431" s="412"/>
      <c r="AI431" s="412"/>
      <c r="AJ431" s="412"/>
      <c r="AK431" s="412"/>
      <c r="AL431" s="412"/>
      <c r="AM431" s="412"/>
      <c r="AN431" s="412"/>
      <c r="AO431" s="412"/>
      <c r="AP431" s="412"/>
      <c r="AQ431" s="449"/>
    </row>
    <row r="432" spans="3:43" hidden="1" x14ac:dyDescent="0.2">
      <c r="C432" s="412"/>
      <c r="D432" s="21" t="s">
        <v>265</v>
      </c>
      <c r="E432" s="21"/>
      <c r="F432" s="21"/>
      <c r="G432" s="21"/>
      <c r="H432" s="21"/>
      <c r="I432" s="21"/>
      <c r="J432" s="21"/>
      <c r="K432" s="21"/>
      <c r="L432" s="21"/>
      <c r="M432" s="21"/>
      <c r="N432" s="21"/>
      <c r="O432" s="21"/>
      <c r="P432" s="21"/>
      <c r="Q432" s="21"/>
      <c r="R432" s="21"/>
      <c r="S432" s="21"/>
      <c r="T432" s="21"/>
      <c r="U432" s="21"/>
      <c r="V432" s="21"/>
      <c r="W432" s="21"/>
      <c r="X432" s="21"/>
      <c r="Y432" s="21"/>
      <c r="Z432" s="412"/>
      <c r="AA432" s="412"/>
      <c r="AB432" s="412"/>
      <c r="AC432" s="412"/>
      <c r="AD432" s="412"/>
      <c r="AE432" s="412"/>
      <c r="AF432" s="412"/>
      <c r="AG432" s="412"/>
      <c r="AH432" s="412"/>
      <c r="AI432" s="412"/>
      <c r="AJ432" s="412"/>
      <c r="AK432" s="412"/>
      <c r="AL432" s="412"/>
      <c r="AM432" s="412"/>
      <c r="AN432" s="412"/>
      <c r="AO432" s="412"/>
      <c r="AP432" s="412"/>
      <c r="AQ432" s="449"/>
    </row>
    <row r="433" spans="3:43" hidden="1" x14ac:dyDescent="0.2">
      <c r="C433" s="412"/>
      <c r="D433" s="21" t="s">
        <v>1033</v>
      </c>
      <c r="E433" s="21"/>
      <c r="F433" s="21"/>
      <c r="G433" s="21"/>
      <c r="H433" s="21"/>
      <c r="I433" s="21"/>
      <c r="J433" s="21"/>
      <c r="K433" s="21"/>
      <c r="L433" s="21"/>
      <c r="M433" s="21"/>
      <c r="N433" s="21"/>
      <c r="O433" s="21"/>
      <c r="P433" s="21"/>
      <c r="Q433" s="21"/>
      <c r="R433" s="21"/>
      <c r="S433" s="21"/>
      <c r="T433" s="21"/>
      <c r="U433" s="21"/>
      <c r="V433" s="21"/>
      <c r="W433" s="21"/>
      <c r="X433" s="21"/>
      <c r="Y433" s="21"/>
      <c r="Z433" s="412"/>
      <c r="AA433" s="412"/>
      <c r="AB433" s="412"/>
      <c r="AC433" s="412"/>
      <c r="AD433" s="412"/>
      <c r="AE433" s="412"/>
      <c r="AF433" s="412"/>
      <c r="AG433" s="412"/>
      <c r="AH433" s="412"/>
      <c r="AI433" s="412"/>
      <c r="AJ433" s="412"/>
      <c r="AK433" s="412"/>
      <c r="AL433" s="412"/>
      <c r="AM433" s="412"/>
      <c r="AN433" s="412"/>
      <c r="AO433" s="412"/>
      <c r="AP433" s="412"/>
      <c r="AQ433" s="449"/>
    </row>
    <row r="434" spans="3:43" hidden="1" x14ac:dyDescent="0.2">
      <c r="C434" s="412"/>
      <c r="D434" s="21" t="s">
        <v>1034</v>
      </c>
      <c r="E434" s="21"/>
      <c r="F434" s="21"/>
      <c r="G434" s="21"/>
      <c r="H434" s="21"/>
      <c r="I434" s="21"/>
      <c r="J434" s="21"/>
      <c r="K434" s="21"/>
      <c r="L434" s="21"/>
      <c r="M434" s="21"/>
      <c r="N434" s="21"/>
      <c r="O434" s="21"/>
      <c r="P434" s="21"/>
      <c r="Q434" s="21"/>
      <c r="R434" s="21"/>
      <c r="S434" s="21"/>
      <c r="T434" s="21"/>
      <c r="U434" s="21"/>
      <c r="V434" s="21"/>
      <c r="W434" s="21"/>
      <c r="X434" s="21"/>
      <c r="Y434" s="21"/>
      <c r="Z434" s="412"/>
      <c r="AA434" s="412"/>
      <c r="AB434" s="412"/>
      <c r="AC434" s="412"/>
      <c r="AD434" s="412"/>
      <c r="AE434" s="412"/>
      <c r="AF434" s="412"/>
      <c r="AG434" s="412"/>
      <c r="AH434" s="412"/>
      <c r="AI434" s="412"/>
      <c r="AJ434" s="412"/>
      <c r="AK434" s="412"/>
      <c r="AL434" s="412"/>
      <c r="AM434" s="412"/>
      <c r="AN434" s="412"/>
      <c r="AO434" s="412"/>
      <c r="AP434" s="412"/>
      <c r="AQ434" s="449"/>
    </row>
    <row r="435" spans="3:43" hidden="1" x14ac:dyDescent="0.2">
      <c r="C435" s="412"/>
      <c r="D435" s="21">
        <f>IF(CTesorería!D252&gt;CTesorería!D255,CTesorería!D255,CTesorería!D252)</f>
        <v>0</v>
      </c>
      <c r="E435" s="21">
        <f>IF(CTesorería!E252&gt;CTesorería!E255,CTesorería!E255,CTesorería!E252)</f>
        <v>0</v>
      </c>
      <c r="F435" s="21">
        <f>IF(CTesorería!F252&gt;CTesorería!F255,CTesorería!F255,CTesorería!F252)</f>
        <v>0</v>
      </c>
      <c r="G435" s="21">
        <f>IF(CTesorería!G252&gt;CTesorería!G255,CTesorería!G255,CTesorería!G252)</f>
        <v>0</v>
      </c>
      <c r="H435" s="21">
        <f>IF(CTesorería!H252&gt;CTesorería!H255,CTesorería!H255,CTesorería!H252)</f>
        <v>0</v>
      </c>
      <c r="I435" s="21">
        <f>IF(CTesorería!I252&gt;CTesorería!I255,CTesorería!I255,CTesorería!I252)</f>
        <v>0</v>
      </c>
      <c r="J435" s="21">
        <f>IF(CTesorería!J252&gt;CTesorería!J255,CTesorería!J255,CTesorería!J252)</f>
        <v>0</v>
      </c>
      <c r="K435" s="21">
        <f>IF(CTesorería!K252&gt;CTesorería!K255,CTesorería!K255,CTesorería!K252)</f>
        <v>0</v>
      </c>
      <c r="L435" s="21">
        <f>IF(CTesorería!L252&gt;CTesorería!L255,CTesorería!L255,CTesorería!L252)</f>
        <v>0</v>
      </c>
      <c r="M435" s="21">
        <f>IF(CTesorería!M252&gt;CTesorería!M255,CTesorería!M255,CTesorería!M252)</f>
        <v>0</v>
      </c>
      <c r="N435" s="21">
        <f>IF(CTesorería!N252&gt;CTesorería!N255,CTesorería!N255,CTesorería!N252)</f>
        <v>0</v>
      </c>
      <c r="O435" s="21">
        <f>IF(CTesorería!O252&gt;CTesorería!O255,CTesorería!O255,CTesorería!O252)</f>
        <v>0</v>
      </c>
      <c r="P435" s="21"/>
      <c r="Q435" s="21"/>
      <c r="R435" s="21"/>
      <c r="S435" s="21"/>
      <c r="T435" s="21"/>
      <c r="U435" s="21"/>
      <c r="V435" s="21"/>
      <c r="W435" s="21"/>
      <c r="X435" s="21"/>
      <c r="Y435" s="21"/>
      <c r="Z435" s="412"/>
      <c r="AA435" s="412"/>
      <c r="AB435" s="412"/>
      <c r="AC435" s="412"/>
      <c r="AD435" s="412"/>
      <c r="AE435" s="412"/>
      <c r="AF435" s="412"/>
      <c r="AG435" s="412"/>
      <c r="AH435" s="412"/>
      <c r="AI435" s="412"/>
      <c r="AJ435" s="412"/>
      <c r="AK435" s="412"/>
      <c r="AL435" s="412"/>
      <c r="AM435" s="412"/>
      <c r="AN435" s="412"/>
      <c r="AO435" s="412"/>
      <c r="AP435" s="412"/>
      <c r="AQ435" s="449"/>
    </row>
    <row r="436" spans="3:43" x14ac:dyDescent="0.2">
      <c r="C436" s="412"/>
      <c r="D436" s="826"/>
      <c r="E436" s="413"/>
      <c r="F436" s="413"/>
      <c r="G436" s="413"/>
      <c r="H436" s="413"/>
      <c r="I436" s="413"/>
      <c r="J436" s="413"/>
      <c r="K436" s="413"/>
      <c r="L436" s="413"/>
      <c r="M436" s="413"/>
      <c r="N436" s="413"/>
      <c r="O436" s="413"/>
      <c r="P436" s="413"/>
      <c r="Q436" s="413"/>
      <c r="R436" s="413"/>
      <c r="S436" s="413"/>
      <c r="T436" s="413"/>
      <c r="U436" s="413"/>
      <c r="V436" s="413"/>
      <c r="W436" s="413"/>
      <c r="X436" s="413"/>
      <c r="Y436" s="451"/>
      <c r="Z436" s="412"/>
      <c r="AA436" s="412"/>
      <c r="AB436" s="412"/>
      <c r="AC436" s="412"/>
      <c r="AD436" s="412"/>
      <c r="AE436" s="412"/>
      <c r="AF436" s="412"/>
      <c r="AG436" s="412"/>
      <c r="AH436" s="412"/>
      <c r="AI436" s="412"/>
      <c r="AJ436" s="412"/>
      <c r="AK436" s="412"/>
      <c r="AL436" s="412"/>
      <c r="AM436" s="412"/>
      <c r="AN436" s="412"/>
      <c r="AO436" s="412"/>
      <c r="AP436" s="412"/>
      <c r="AQ436" s="449"/>
    </row>
    <row r="437" spans="3:43" x14ac:dyDescent="0.2">
      <c r="C437" s="412"/>
      <c r="D437" s="412"/>
      <c r="E437" s="412"/>
      <c r="F437" s="412"/>
      <c r="G437" s="412"/>
      <c r="H437" s="41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c r="AJ437" s="412"/>
      <c r="AK437" s="412"/>
      <c r="AL437" s="412"/>
      <c r="AM437" s="412"/>
      <c r="AN437" s="412"/>
      <c r="AO437" s="412"/>
      <c r="AP437" s="412"/>
      <c r="AQ437" s="449"/>
    </row>
    <row r="438" spans="3:43" x14ac:dyDescent="0.2">
      <c r="C438" s="412"/>
      <c r="D438" s="412"/>
      <c r="E438" s="412"/>
      <c r="F438" s="412"/>
      <c r="G438" s="412"/>
      <c r="H438" s="41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c r="AJ438" s="412"/>
      <c r="AK438" s="412"/>
      <c r="AL438" s="412"/>
      <c r="AM438" s="412"/>
      <c r="AN438" s="412"/>
      <c r="AO438" s="412"/>
      <c r="AP438" s="412"/>
      <c r="AQ438" s="449"/>
    </row>
    <row r="439" spans="3:43" x14ac:dyDescent="0.2">
      <c r="C439" s="412"/>
      <c r="D439" s="412"/>
      <c r="E439" s="412"/>
      <c r="F439" s="412"/>
      <c r="G439" s="412"/>
      <c r="H439" s="41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c r="AJ439" s="412"/>
      <c r="AK439" s="412"/>
      <c r="AL439" s="412"/>
      <c r="AM439" s="412"/>
      <c r="AN439" s="412"/>
      <c r="AO439" s="412"/>
      <c r="AP439" s="412"/>
      <c r="AQ439" s="449"/>
    </row>
    <row r="440" spans="3:43" x14ac:dyDescent="0.2">
      <c r="C440" s="412"/>
      <c r="D440" s="412"/>
      <c r="E440" s="412"/>
      <c r="F440" s="412"/>
      <c r="G440" s="412"/>
      <c r="H440" s="41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c r="AJ440" s="412"/>
      <c r="AK440" s="412"/>
      <c r="AL440" s="412"/>
      <c r="AM440" s="412"/>
      <c r="AN440" s="412"/>
      <c r="AO440" s="412"/>
      <c r="AP440" s="412"/>
      <c r="AQ440" s="449"/>
    </row>
    <row r="441" spans="3:43" x14ac:dyDescent="0.2">
      <c r="C441" s="412"/>
      <c r="D441" s="412"/>
      <c r="E441" s="412"/>
      <c r="F441" s="412"/>
      <c r="G441" s="412"/>
      <c r="H441" s="41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c r="AJ441" s="412"/>
      <c r="AK441" s="412"/>
      <c r="AL441" s="412"/>
      <c r="AM441" s="412"/>
      <c r="AN441" s="412"/>
      <c r="AO441" s="412"/>
      <c r="AP441" s="412"/>
      <c r="AQ441" s="449"/>
    </row>
    <row r="442" spans="3:43" x14ac:dyDescent="0.2">
      <c r="C442" s="412"/>
      <c r="D442" s="412"/>
      <c r="E442" s="412"/>
      <c r="F442" s="412"/>
      <c r="G442" s="412"/>
      <c r="H442" s="41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c r="AJ442" s="412"/>
      <c r="AK442" s="412"/>
      <c r="AL442" s="412"/>
      <c r="AM442" s="412"/>
      <c r="AN442" s="412"/>
      <c r="AO442" s="412"/>
      <c r="AP442" s="412"/>
      <c r="AQ442" s="449"/>
    </row>
    <row r="443" spans="3:43" x14ac:dyDescent="0.2">
      <c r="C443" s="412"/>
      <c r="D443" s="412"/>
      <c r="E443" s="412"/>
      <c r="F443" s="412"/>
      <c r="G443" s="412"/>
      <c r="H443" s="41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c r="AJ443" s="412"/>
      <c r="AK443" s="412"/>
      <c r="AL443" s="412"/>
      <c r="AM443" s="412"/>
      <c r="AN443" s="412"/>
      <c r="AO443" s="412"/>
      <c r="AP443" s="412"/>
      <c r="AQ443" s="449"/>
    </row>
    <row r="444" spans="3:43" x14ac:dyDescent="0.2">
      <c r="C444" s="412"/>
      <c r="D444" s="412"/>
      <c r="E444" s="412"/>
      <c r="F444" s="412"/>
      <c r="G444" s="412"/>
      <c r="H444" s="41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c r="AJ444" s="412"/>
      <c r="AK444" s="412"/>
      <c r="AL444" s="412"/>
      <c r="AM444" s="412"/>
      <c r="AN444" s="412"/>
      <c r="AO444" s="412"/>
      <c r="AP444" s="412"/>
      <c r="AQ444" s="449"/>
    </row>
    <row r="445" spans="3:43" x14ac:dyDescent="0.2">
      <c r="C445" s="412"/>
      <c r="D445" s="412"/>
      <c r="E445" s="412"/>
      <c r="F445" s="412"/>
      <c r="G445" s="412"/>
      <c r="H445" s="41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c r="AJ445" s="412"/>
      <c r="AK445" s="412"/>
      <c r="AL445" s="412"/>
      <c r="AM445" s="412"/>
      <c r="AN445" s="412"/>
      <c r="AO445" s="412"/>
      <c r="AP445" s="412"/>
      <c r="AQ445" s="449"/>
    </row>
    <row r="446" spans="3:43" x14ac:dyDescent="0.2">
      <c r="C446" s="412"/>
      <c r="D446" s="412"/>
      <c r="E446" s="412"/>
      <c r="F446" s="412"/>
      <c r="G446" s="412"/>
      <c r="H446" s="41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c r="AJ446" s="412"/>
      <c r="AK446" s="412"/>
      <c r="AL446" s="412"/>
      <c r="AM446" s="412"/>
      <c r="AN446" s="412"/>
      <c r="AO446" s="412"/>
      <c r="AP446" s="412"/>
      <c r="AQ446" s="449"/>
    </row>
    <row r="447" spans="3:43" x14ac:dyDescent="0.2">
      <c r="C447" s="412"/>
      <c r="D447" s="412"/>
      <c r="E447" s="412"/>
      <c r="F447" s="412"/>
      <c r="G447" s="412"/>
      <c r="H447" s="41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c r="AJ447" s="412"/>
      <c r="AK447" s="412"/>
      <c r="AL447" s="412"/>
      <c r="AM447" s="412"/>
      <c r="AN447" s="412"/>
      <c r="AO447" s="412"/>
      <c r="AP447" s="412"/>
      <c r="AQ447" s="449"/>
    </row>
    <row r="448" spans="3:43" x14ac:dyDescent="0.2">
      <c r="C448" s="412"/>
      <c r="D448" s="412"/>
      <c r="E448" s="412"/>
      <c r="F448" s="412"/>
      <c r="G448" s="412"/>
      <c r="H448" s="41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c r="AJ448" s="412"/>
      <c r="AK448" s="412"/>
      <c r="AL448" s="412"/>
      <c r="AM448" s="412"/>
      <c r="AN448" s="412"/>
      <c r="AO448" s="412"/>
      <c r="AP448" s="412"/>
      <c r="AQ448" s="449"/>
    </row>
    <row r="449" spans="3:43" x14ac:dyDescent="0.2">
      <c r="C449" s="412"/>
      <c r="D449" s="412"/>
      <c r="E449" s="412"/>
      <c r="F449" s="412"/>
      <c r="G449" s="412"/>
      <c r="H449" s="41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c r="AJ449" s="412"/>
      <c r="AK449" s="412"/>
      <c r="AL449" s="412"/>
      <c r="AM449" s="412"/>
      <c r="AN449" s="412"/>
      <c r="AO449" s="412"/>
      <c r="AP449" s="412"/>
      <c r="AQ449" s="449"/>
    </row>
    <row r="450" spans="3:43" x14ac:dyDescent="0.2">
      <c r="C450" s="412"/>
      <c r="D450" s="412"/>
      <c r="E450" s="412"/>
      <c r="F450" s="412"/>
      <c r="G450" s="412"/>
      <c r="H450" s="41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c r="AJ450" s="412"/>
      <c r="AK450" s="412"/>
      <c r="AL450" s="412"/>
      <c r="AM450" s="412"/>
      <c r="AN450" s="412"/>
      <c r="AO450" s="412"/>
      <c r="AP450" s="412"/>
      <c r="AQ450" s="449"/>
    </row>
    <row r="451" spans="3:43" x14ac:dyDescent="0.2">
      <c r="C451" s="412"/>
      <c r="D451" s="412"/>
      <c r="E451" s="412"/>
      <c r="F451" s="412"/>
      <c r="G451" s="412"/>
      <c r="H451" s="41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c r="AJ451" s="412"/>
      <c r="AK451" s="412"/>
      <c r="AL451" s="412"/>
      <c r="AM451" s="412"/>
      <c r="AN451" s="412"/>
      <c r="AO451" s="412"/>
      <c r="AP451" s="412"/>
      <c r="AQ451" s="449"/>
    </row>
    <row r="452" spans="3:43" x14ac:dyDescent="0.2">
      <c r="C452" s="412"/>
      <c r="D452" s="412"/>
      <c r="E452" s="412"/>
      <c r="F452" s="412"/>
      <c r="G452" s="412"/>
      <c r="H452" s="41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c r="AJ452" s="412"/>
      <c r="AK452" s="412"/>
      <c r="AL452" s="412"/>
      <c r="AM452" s="412"/>
      <c r="AN452" s="412"/>
      <c r="AO452" s="412"/>
      <c r="AP452" s="412"/>
      <c r="AQ452" s="449"/>
    </row>
    <row r="453" spans="3:43" x14ac:dyDescent="0.2">
      <c r="C453" s="412"/>
      <c r="D453" s="412"/>
      <c r="E453" s="412"/>
      <c r="F453" s="412"/>
      <c r="G453" s="412"/>
      <c r="H453" s="41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c r="AJ453" s="412"/>
      <c r="AK453" s="412"/>
      <c r="AL453" s="412"/>
      <c r="AM453" s="412"/>
      <c r="AN453" s="412"/>
      <c r="AO453" s="412"/>
      <c r="AP453" s="412"/>
      <c r="AQ453" s="449"/>
    </row>
    <row r="454" spans="3:43" x14ac:dyDescent="0.2">
      <c r="C454" s="412"/>
      <c r="D454" s="412"/>
      <c r="E454" s="412"/>
      <c r="F454" s="412"/>
      <c r="G454" s="412"/>
      <c r="H454" s="41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c r="AJ454" s="412"/>
      <c r="AK454" s="412"/>
      <c r="AL454" s="412"/>
      <c r="AM454" s="412"/>
      <c r="AN454" s="412"/>
      <c r="AO454" s="412"/>
      <c r="AP454" s="412"/>
      <c r="AQ454" s="449"/>
    </row>
    <row r="455" spans="3:43" x14ac:dyDescent="0.2">
      <c r="C455" s="412"/>
      <c r="D455" s="412"/>
      <c r="E455" s="412"/>
      <c r="F455" s="412"/>
      <c r="G455" s="412"/>
      <c r="H455" s="41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c r="AJ455" s="412"/>
      <c r="AK455" s="412"/>
      <c r="AL455" s="412"/>
      <c r="AM455" s="412"/>
      <c r="AN455" s="412"/>
      <c r="AO455" s="412"/>
      <c r="AP455" s="412"/>
      <c r="AQ455" s="449"/>
    </row>
    <row r="456" spans="3:43" x14ac:dyDescent="0.2">
      <c r="C456" s="412"/>
      <c r="D456" s="412"/>
      <c r="E456" s="412"/>
      <c r="F456" s="412"/>
      <c r="G456" s="412"/>
      <c r="H456" s="41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c r="AJ456" s="412"/>
      <c r="AK456" s="412"/>
      <c r="AL456" s="412"/>
      <c r="AM456" s="412"/>
      <c r="AN456" s="412"/>
      <c r="AO456" s="412"/>
      <c r="AP456" s="412"/>
      <c r="AQ456" s="449"/>
    </row>
    <row r="457" spans="3:43" x14ac:dyDescent="0.2">
      <c r="C457" s="412"/>
      <c r="D457" s="412"/>
      <c r="E457" s="412"/>
      <c r="F457" s="412"/>
      <c r="G457" s="412"/>
      <c r="H457" s="41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c r="AJ457" s="412"/>
      <c r="AK457" s="412"/>
      <c r="AL457" s="412"/>
      <c r="AM457" s="412"/>
      <c r="AN457" s="412"/>
      <c r="AO457" s="412"/>
      <c r="AP457" s="412"/>
      <c r="AQ457" s="449"/>
    </row>
    <row r="458" spans="3:43" x14ac:dyDescent="0.2">
      <c r="C458" s="412"/>
      <c r="D458" s="412"/>
      <c r="E458" s="412"/>
      <c r="F458" s="412"/>
      <c r="G458" s="412"/>
      <c r="H458" s="41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c r="AJ458" s="412"/>
      <c r="AK458" s="412"/>
      <c r="AL458" s="412"/>
      <c r="AM458" s="412"/>
      <c r="AN458" s="412"/>
      <c r="AO458" s="412"/>
      <c r="AP458" s="412"/>
      <c r="AQ458" s="449"/>
    </row>
    <row r="459" spans="3:43" x14ac:dyDescent="0.2">
      <c r="C459" s="412"/>
      <c r="D459" s="412"/>
      <c r="E459" s="412"/>
      <c r="F459" s="412"/>
      <c r="G459" s="412"/>
      <c r="H459" s="41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c r="AJ459" s="412"/>
      <c r="AK459" s="412"/>
      <c r="AL459" s="412"/>
      <c r="AM459" s="412"/>
      <c r="AN459" s="412"/>
      <c r="AO459" s="412"/>
      <c r="AP459" s="412"/>
      <c r="AQ459" s="449"/>
    </row>
    <row r="460" spans="3:43" x14ac:dyDescent="0.2">
      <c r="C460" s="412"/>
      <c r="D460" s="412"/>
      <c r="E460" s="412"/>
      <c r="F460" s="412"/>
      <c r="G460" s="412"/>
      <c r="H460" s="41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c r="AJ460" s="412"/>
      <c r="AK460" s="412"/>
      <c r="AL460" s="412"/>
      <c r="AM460" s="412"/>
      <c r="AN460" s="412"/>
      <c r="AO460" s="412"/>
      <c r="AP460" s="412"/>
      <c r="AQ460" s="449"/>
    </row>
    <row r="461" spans="3:43" x14ac:dyDescent="0.2">
      <c r="C461" s="412"/>
      <c r="D461" s="412"/>
      <c r="E461" s="412"/>
      <c r="F461" s="412"/>
      <c r="G461" s="412"/>
      <c r="H461" s="41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c r="AJ461" s="412"/>
      <c r="AK461" s="412"/>
      <c r="AL461" s="412"/>
      <c r="AM461" s="412"/>
      <c r="AN461" s="412"/>
      <c r="AO461" s="412"/>
      <c r="AP461" s="412"/>
      <c r="AQ461" s="449"/>
    </row>
    <row r="462" spans="3:43" x14ac:dyDescent="0.2">
      <c r="C462" s="412"/>
      <c r="D462" s="412"/>
      <c r="E462" s="412"/>
      <c r="F462" s="412"/>
      <c r="G462" s="412"/>
      <c r="H462" s="41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c r="AJ462" s="412"/>
      <c r="AK462" s="412"/>
      <c r="AL462" s="412"/>
      <c r="AM462" s="412"/>
      <c r="AN462" s="412"/>
      <c r="AO462" s="412"/>
      <c r="AP462" s="412"/>
      <c r="AQ462" s="449"/>
    </row>
    <row r="463" spans="3:43" x14ac:dyDescent="0.2">
      <c r="C463" s="412"/>
      <c r="D463" s="412"/>
      <c r="E463" s="412"/>
      <c r="F463" s="412"/>
      <c r="G463" s="412"/>
      <c r="H463" s="41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c r="AJ463" s="412"/>
      <c r="AK463" s="412"/>
      <c r="AL463" s="412"/>
      <c r="AM463" s="412"/>
      <c r="AN463" s="412"/>
      <c r="AO463" s="412"/>
      <c r="AP463" s="412"/>
      <c r="AQ463" s="449"/>
    </row>
    <row r="464" spans="3:43" x14ac:dyDescent="0.2">
      <c r="C464" s="412"/>
      <c r="D464" s="412"/>
      <c r="E464" s="412"/>
      <c r="F464" s="412"/>
      <c r="G464" s="412"/>
      <c r="H464" s="41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c r="AJ464" s="412"/>
      <c r="AK464" s="412"/>
      <c r="AL464" s="412"/>
      <c r="AM464" s="412"/>
      <c r="AN464" s="412"/>
      <c r="AO464" s="412"/>
      <c r="AP464" s="412"/>
      <c r="AQ464" s="449"/>
    </row>
    <row r="465" spans="3:43" x14ac:dyDescent="0.2">
      <c r="C465" s="412"/>
      <c r="D465" s="412"/>
      <c r="E465" s="412"/>
      <c r="F465" s="412"/>
      <c r="G465" s="412"/>
      <c r="H465" s="41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c r="AJ465" s="412"/>
      <c r="AK465" s="412"/>
      <c r="AL465" s="412"/>
      <c r="AM465" s="412"/>
      <c r="AN465" s="412"/>
      <c r="AO465" s="412"/>
      <c r="AP465" s="412"/>
      <c r="AQ465" s="449"/>
    </row>
    <row r="466" spans="3:43" x14ac:dyDescent="0.2">
      <c r="C466" s="412"/>
      <c r="D466" s="412"/>
      <c r="E466" s="412"/>
      <c r="F466" s="412"/>
      <c r="G466" s="412"/>
      <c r="H466" s="41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c r="AJ466" s="412"/>
      <c r="AK466" s="412"/>
      <c r="AL466" s="412"/>
      <c r="AM466" s="412"/>
      <c r="AN466" s="412"/>
      <c r="AO466" s="412"/>
      <c r="AP466" s="412"/>
      <c r="AQ466" s="449"/>
    </row>
    <row r="467" spans="3:43" x14ac:dyDescent="0.2">
      <c r="C467" s="412"/>
      <c r="D467" s="412"/>
      <c r="E467" s="412"/>
      <c r="F467" s="412"/>
      <c r="G467" s="412"/>
      <c r="H467" s="41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c r="AJ467" s="412"/>
      <c r="AK467" s="412"/>
      <c r="AL467" s="412"/>
      <c r="AM467" s="412"/>
      <c r="AN467" s="412"/>
      <c r="AO467" s="412"/>
      <c r="AP467" s="412"/>
      <c r="AQ467" s="449"/>
    </row>
    <row r="468" spans="3:43" x14ac:dyDescent="0.2">
      <c r="C468" s="412"/>
      <c r="D468" s="412"/>
      <c r="E468" s="412"/>
      <c r="F468" s="412"/>
      <c r="G468" s="412"/>
      <c r="H468" s="41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c r="AJ468" s="412"/>
      <c r="AK468" s="412"/>
      <c r="AL468" s="412"/>
      <c r="AM468" s="412"/>
      <c r="AN468" s="412"/>
      <c r="AO468" s="412"/>
      <c r="AP468" s="412"/>
      <c r="AQ468" s="449"/>
    </row>
    <row r="469" spans="3:43" x14ac:dyDescent="0.2">
      <c r="C469" s="412"/>
      <c r="D469" s="412"/>
      <c r="E469" s="412"/>
      <c r="F469" s="412"/>
      <c r="G469" s="412"/>
      <c r="H469" s="41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c r="AJ469" s="412"/>
      <c r="AK469" s="412"/>
      <c r="AL469" s="412"/>
      <c r="AM469" s="412"/>
      <c r="AN469" s="412"/>
      <c r="AO469" s="412"/>
      <c r="AP469" s="412"/>
      <c r="AQ469" s="449"/>
    </row>
    <row r="470" spans="3:43" x14ac:dyDescent="0.2">
      <c r="C470" s="412"/>
      <c r="D470" s="412"/>
      <c r="E470" s="412"/>
      <c r="F470" s="412"/>
      <c r="G470" s="412"/>
      <c r="H470" s="41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c r="AJ470" s="412"/>
      <c r="AK470" s="412"/>
      <c r="AL470" s="412"/>
      <c r="AM470" s="412"/>
      <c r="AN470" s="412"/>
      <c r="AO470" s="412"/>
      <c r="AP470" s="412"/>
      <c r="AQ470" s="449"/>
    </row>
    <row r="471" spans="3:43" x14ac:dyDescent="0.2">
      <c r="C471" s="412"/>
      <c r="D471" s="412"/>
      <c r="E471" s="412"/>
      <c r="F471" s="412"/>
      <c r="G471" s="412"/>
      <c r="H471" s="41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c r="AJ471" s="412"/>
      <c r="AK471" s="412"/>
      <c r="AL471" s="412"/>
      <c r="AM471" s="412"/>
      <c r="AN471" s="412"/>
      <c r="AO471" s="412"/>
      <c r="AP471" s="412"/>
      <c r="AQ471" s="449"/>
    </row>
    <row r="472" spans="3:43" x14ac:dyDescent="0.2">
      <c r="C472" s="412"/>
      <c r="D472" s="412"/>
      <c r="E472" s="412"/>
      <c r="F472" s="412"/>
      <c r="G472" s="412"/>
      <c r="H472" s="41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c r="AJ472" s="412"/>
      <c r="AK472" s="412"/>
      <c r="AL472" s="412"/>
      <c r="AM472" s="412"/>
      <c r="AN472" s="412"/>
      <c r="AO472" s="412"/>
      <c r="AP472" s="412"/>
      <c r="AQ472" s="449"/>
    </row>
    <row r="473" spans="3:43" x14ac:dyDescent="0.2">
      <c r="C473" s="412"/>
      <c r="D473" s="412"/>
      <c r="E473" s="412"/>
      <c r="F473" s="412"/>
      <c r="G473" s="412"/>
      <c r="H473" s="41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c r="AJ473" s="412"/>
      <c r="AK473" s="412"/>
      <c r="AL473" s="412"/>
      <c r="AM473" s="412"/>
      <c r="AN473" s="412"/>
      <c r="AO473" s="412"/>
      <c r="AP473" s="412"/>
      <c r="AQ473" s="449"/>
    </row>
    <row r="474" spans="3:43" x14ac:dyDescent="0.2">
      <c r="C474" s="412"/>
      <c r="D474" s="412"/>
      <c r="E474" s="412"/>
      <c r="F474" s="412"/>
      <c r="G474" s="412"/>
      <c r="H474" s="41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c r="AJ474" s="412"/>
      <c r="AK474" s="412"/>
      <c r="AL474" s="412"/>
      <c r="AM474" s="412"/>
      <c r="AN474" s="412"/>
      <c r="AO474" s="412"/>
      <c r="AP474" s="412"/>
      <c r="AQ474" s="449"/>
    </row>
    <row r="475" spans="3:43" x14ac:dyDescent="0.2">
      <c r="C475" s="412"/>
      <c r="D475" s="412"/>
      <c r="E475" s="412"/>
      <c r="F475" s="412"/>
      <c r="G475" s="412"/>
      <c r="H475" s="41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c r="AJ475" s="412"/>
      <c r="AK475" s="412"/>
      <c r="AL475" s="412"/>
      <c r="AM475" s="412"/>
      <c r="AN475" s="412"/>
      <c r="AO475" s="412"/>
      <c r="AP475" s="412"/>
      <c r="AQ475" s="449"/>
    </row>
    <row r="476" spans="3:43" x14ac:dyDescent="0.2">
      <c r="C476" s="412"/>
      <c r="D476" s="412"/>
      <c r="E476" s="412"/>
      <c r="F476" s="412"/>
      <c r="G476" s="412"/>
      <c r="H476" s="41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c r="AJ476" s="412"/>
      <c r="AK476" s="412"/>
      <c r="AL476" s="412"/>
      <c r="AM476" s="412"/>
      <c r="AN476" s="412"/>
      <c r="AO476" s="412"/>
      <c r="AP476" s="412"/>
      <c r="AQ476" s="449"/>
    </row>
    <row r="477" spans="3:43" x14ac:dyDescent="0.2">
      <c r="C477" s="412"/>
      <c r="D477" s="412"/>
      <c r="E477" s="412"/>
      <c r="F477" s="412"/>
      <c r="G477" s="412"/>
      <c r="H477" s="41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c r="AJ477" s="412"/>
      <c r="AK477" s="412"/>
      <c r="AL477" s="412"/>
      <c r="AM477" s="412"/>
      <c r="AN477" s="412"/>
      <c r="AO477" s="412"/>
      <c r="AP477" s="412"/>
      <c r="AQ477" s="449"/>
    </row>
    <row r="478" spans="3:43" x14ac:dyDescent="0.2">
      <c r="C478" s="412"/>
      <c r="D478" s="412"/>
      <c r="E478" s="412"/>
      <c r="F478" s="412"/>
      <c r="G478" s="412"/>
      <c r="H478" s="41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c r="AJ478" s="412"/>
      <c r="AK478" s="412"/>
      <c r="AL478" s="412"/>
      <c r="AM478" s="412"/>
      <c r="AN478" s="412"/>
      <c r="AO478" s="412"/>
      <c r="AP478" s="412"/>
      <c r="AQ478" s="449"/>
    </row>
    <row r="479" spans="3:43" x14ac:dyDescent="0.2">
      <c r="C479" s="412"/>
      <c r="D479" s="412"/>
      <c r="E479" s="412"/>
      <c r="F479" s="412"/>
      <c r="G479" s="412"/>
      <c r="H479" s="41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c r="AJ479" s="412"/>
      <c r="AK479" s="412"/>
      <c r="AL479" s="412"/>
      <c r="AM479" s="412"/>
      <c r="AN479" s="412"/>
      <c r="AO479" s="412"/>
      <c r="AP479" s="412"/>
      <c r="AQ479" s="449"/>
    </row>
    <row r="480" spans="3:43" x14ac:dyDescent="0.2">
      <c r="C480" s="412"/>
      <c r="D480" s="412"/>
      <c r="E480" s="412"/>
      <c r="F480" s="412"/>
      <c r="G480" s="412"/>
      <c r="H480" s="41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c r="AJ480" s="412"/>
      <c r="AK480" s="412"/>
      <c r="AL480" s="412"/>
      <c r="AM480" s="412"/>
      <c r="AN480" s="412"/>
      <c r="AO480" s="412"/>
      <c r="AP480" s="412"/>
      <c r="AQ480" s="449"/>
    </row>
    <row r="481" spans="3:43" x14ac:dyDescent="0.2">
      <c r="C481" s="412"/>
      <c r="D481" s="412"/>
      <c r="E481" s="412"/>
      <c r="F481" s="412"/>
      <c r="G481" s="412"/>
      <c r="H481" s="41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c r="AJ481" s="412"/>
      <c r="AK481" s="412"/>
      <c r="AL481" s="412"/>
      <c r="AM481" s="412"/>
      <c r="AN481" s="412"/>
      <c r="AO481" s="412"/>
      <c r="AP481" s="412"/>
      <c r="AQ481" s="449"/>
    </row>
    <row r="482" spans="3:43" x14ac:dyDescent="0.2">
      <c r="C482" s="412"/>
      <c r="D482" s="412"/>
      <c r="E482" s="412"/>
      <c r="F482" s="412"/>
      <c r="G482" s="41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c r="AJ482" s="412"/>
      <c r="AK482" s="412"/>
      <c r="AL482" s="412"/>
      <c r="AM482" s="412"/>
      <c r="AN482" s="412"/>
      <c r="AO482" s="412"/>
      <c r="AP482" s="412"/>
      <c r="AQ482" s="449"/>
    </row>
    <row r="483" spans="3:43" x14ac:dyDescent="0.2">
      <c r="C483" s="412"/>
      <c r="D483" s="412"/>
      <c r="E483" s="412"/>
      <c r="F483" s="412"/>
      <c r="G483" s="412"/>
      <c r="H483" s="41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c r="AJ483" s="412"/>
      <c r="AK483" s="412"/>
      <c r="AL483" s="412"/>
      <c r="AM483" s="412"/>
      <c r="AN483" s="412"/>
      <c r="AO483" s="412"/>
      <c r="AP483" s="412"/>
      <c r="AQ483" s="449"/>
    </row>
    <row r="484" spans="3:43" x14ac:dyDescent="0.2">
      <c r="C484" s="412"/>
      <c r="D484" s="412"/>
      <c r="E484" s="412"/>
      <c r="F484" s="412"/>
      <c r="G484" s="412"/>
      <c r="H484" s="41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c r="AJ484" s="412"/>
      <c r="AK484" s="412"/>
      <c r="AL484" s="412"/>
      <c r="AM484" s="412"/>
      <c r="AN484" s="412"/>
      <c r="AO484" s="412"/>
      <c r="AP484" s="412"/>
      <c r="AQ484" s="449"/>
    </row>
    <row r="485" spans="3:43" x14ac:dyDescent="0.2">
      <c r="C485" s="412"/>
      <c r="D485" s="412"/>
      <c r="E485" s="412"/>
      <c r="F485" s="412"/>
      <c r="G485" s="412"/>
      <c r="H485" s="41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c r="AJ485" s="412"/>
      <c r="AK485" s="412"/>
      <c r="AL485" s="412"/>
      <c r="AM485" s="412"/>
      <c r="AN485" s="412"/>
      <c r="AO485" s="412"/>
      <c r="AP485" s="412"/>
      <c r="AQ485" s="449"/>
    </row>
    <row r="486" spans="3:43" x14ac:dyDescent="0.2">
      <c r="C486" s="412"/>
      <c r="D486" s="412"/>
      <c r="E486" s="412"/>
      <c r="F486" s="412"/>
      <c r="G486" s="412"/>
      <c r="H486" s="41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c r="AJ486" s="412"/>
      <c r="AK486" s="412"/>
      <c r="AL486" s="412"/>
      <c r="AM486" s="412"/>
      <c r="AN486" s="412"/>
      <c r="AO486" s="412"/>
      <c r="AP486" s="412"/>
      <c r="AQ486" s="449"/>
    </row>
    <row r="487" spans="3:43" x14ac:dyDescent="0.2">
      <c r="C487" s="412"/>
      <c r="D487" s="412"/>
      <c r="E487" s="412"/>
      <c r="F487" s="412"/>
      <c r="G487" s="412"/>
      <c r="H487" s="41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c r="AJ487" s="412"/>
      <c r="AK487" s="412"/>
      <c r="AL487" s="412"/>
      <c r="AM487" s="412"/>
      <c r="AN487" s="412"/>
      <c r="AO487" s="412"/>
      <c r="AP487" s="412"/>
      <c r="AQ487" s="449"/>
    </row>
    <row r="488" spans="3:43" x14ac:dyDescent="0.2">
      <c r="C488" s="412"/>
      <c r="D488" s="412"/>
      <c r="E488" s="412"/>
      <c r="F488" s="412"/>
      <c r="G488" s="412"/>
      <c r="H488" s="41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c r="AJ488" s="412"/>
      <c r="AK488" s="412"/>
      <c r="AL488" s="412"/>
      <c r="AM488" s="412"/>
      <c r="AN488" s="412"/>
      <c r="AO488" s="412"/>
      <c r="AP488" s="412"/>
      <c r="AQ488" s="449"/>
    </row>
    <row r="489" spans="3:43" x14ac:dyDescent="0.2">
      <c r="C489" s="412"/>
      <c r="D489" s="412"/>
      <c r="E489" s="412"/>
      <c r="F489" s="412"/>
      <c r="G489" s="412"/>
      <c r="H489" s="41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c r="AJ489" s="412"/>
      <c r="AK489" s="412"/>
      <c r="AL489" s="412"/>
      <c r="AM489" s="412"/>
      <c r="AN489" s="412"/>
      <c r="AO489" s="412"/>
      <c r="AP489" s="412"/>
      <c r="AQ489" s="449"/>
    </row>
    <row r="490" spans="3:43" x14ac:dyDescent="0.2">
      <c r="C490" s="412"/>
      <c r="D490" s="412"/>
      <c r="E490" s="412"/>
      <c r="F490" s="412"/>
      <c r="G490" s="412"/>
      <c r="H490" s="41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c r="AJ490" s="412"/>
      <c r="AK490" s="412"/>
      <c r="AL490" s="412"/>
      <c r="AM490" s="412"/>
      <c r="AN490" s="412"/>
      <c r="AO490" s="412"/>
      <c r="AP490" s="412"/>
      <c r="AQ490" s="449"/>
    </row>
    <row r="491" spans="3:43" x14ac:dyDescent="0.2">
      <c r="C491" s="15"/>
      <c r="D491" s="15"/>
      <c r="E491" s="15"/>
      <c r="F491" s="15"/>
      <c r="G491" s="15"/>
      <c r="H491" s="15"/>
      <c r="I491" s="15"/>
      <c r="J491" s="15"/>
      <c r="K491" s="15"/>
      <c r="L491" s="15"/>
      <c r="M491" s="15"/>
      <c r="N491" s="15"/>
      <c r="O491" s="15"/>
      <c r="P491" s="15"/>
      <c r="Q491" s="15"/>
      <c r="R491" s="412"/>
      <c r="S491" s="412"/>
      <c r="T491" s="412"/>
      <c r="U491" s="412"/>
      <c r="V491" s="412"/>
      <c r="W491" s="412"/>
      <c r="X491" s="412"/>
      <c r="Y491" s="412"/>
      <c r="Z491" s="412"/>
      <c r="AA491" s="412"/>
      <c r="AB491" s="412"/>
      <c r="AC491" s="412"/>
      <c r="AD491" s="412"/>
      <c r="AE491" s="412"/>
      <c r="AF491" s="412"/>
      <c r="AG491" s="412"/>
      <c r="AH491" s="412"/>
      <c r="AI491" s="412"/>
      <c r="AJ491" s="412"/>
      <c r="AK491" s="412"/>
      <c r="AL491" s="412"/>
      <c r="AM491" s="412"/>
      <c r="AN491" s="412"/>
      <c r="AO491" s="412"/>
      <c r="AP491" s="412"/>
      <c r="AQ491" s="449"/>
    </row>
    <row r="492" spans="3:43" x14ac:dyDescent="0.2">
      <c r="C492" s="15"/>
      <c r="D492" s="15"/>
      <c r="E492" s="15"/>
      <c r="F492" s="15"/>
      <c r="G492" s="15"/>
      <c r="H492" s="15"/>
      <c r="I492" s="15"/>
      <c r="J492" s="15"/>
      <c r="K492" s="15"/>
      <c r="L492" s="15"/>
      <c r="M492" s="15"/>
      <c r="N492" s="15"/>
      <c r="O492" s="15"/>
      <c r="P492" s="15"/>
      <c r="Q492" s="15"/>
      <c r="R492" s="412"/>
      <c r="S492" s="412"/>
      <c r="T492" s="412"/>
      <c r="U492" s="412"/>
      <c r="V492" s="412"/>
      <c r="W492" s="412"/>
      <c r="X492" s="412"/>
      <c r="Y492" s="412"/>
      <c r="Z492" s="412"/>
      <c r="AA492" s="412"/>
      <c r="AB492" s="412"/>
      <c r="AC492" s="412"/>
      <c r="AD492" s="412"/>
      <c r="AE492" s="412"/>
      <c r="AF492" s="412"/>
      <c r="AG492" s="412"/>
      <c r="AH492" s="412"/>
      <c r="AI492" s="412"/>
      <c r="AJ492" s="412"/>
      <c r="AK492" s="412"/>
      <c r="AL492" s="412"/>
      <c r="AM492" s="412"/>
      <c r="AN492" s="412"/>
      <c r="AO492" s="412"/>
      <c r="AP492" s="412"/>
      <c r="AQ492" s="449"/>
    </row>
    <row r="493" spans="3:43" x14ac:dyDescent="0.2">
      <c r="C493" s="15"/>
      <c r="D493" s="15"/>
      <c r="E493" s="15"/>
      <c r="F493" s="15"/>
      <c r="G493" s="15"/>
      <c r="H493" s="15"/>
      <c r="I493" s="15"/>
      <c r="J493" s="15"/>
      <c r="K493" s="15"/>
      <c r="L493" s="15"/>
      <c r="M493" s="15"/>
      <c r="N493" s="15"/>
      <c r="O493" s="15"/>
      <c r="P493" s="15"/>
      <c r="Q493" s="15"/>
      <c r="R493" s="412"/>
      <c r="S493" s="412"/>
      <c r="T493" s="412"/>
      <c r="U493" s="412"/>
      <c r="V493" s="412"/>
      <c r="W493" s="412"/>
      <c r="X493" s="412"/>
      <c r="Y493" s="412"/>
      <c r="Z493" s="412"/>
      <c r="AA493" s="412"/>
      <c r="AB493" s="412"/>
      <c r="AC493" s="412"/>
      <c r="AD493" s="412"/>
      <c r="AE493" s="412"/>
      <c r="AF493" s="412"/>
      <c r="AG493" s="412"/>
      <c r="AH493" s="412"/>
      <c r="AI493" s="412"/>
      <c r="AJ493" s="412"/>
      <c r="AK493" s="412"/>
      <c r="AL493" s="412"/>
      <c r="AM493" s="412"/>
      <c r="AN493" s="412"/>
      <c r="AO493" s="412"/>
      <c r="AP493" s="412"/>
      <c r="AQ493" s="449"/>
    </row>
    <row r="494" spans="3:43" x14ac:dyDescent="0.2">
      <c r="C494" s="15"/>
      <c r="D494" s="15"/>
      <c r="E494" s="15"/>
      <c r="F494" s="15"/>
      <c r="G494" s="15"/>
      <c r="H494" s="15"/>
      <c r="I494" s="15"/>
      <c r="J494" s="15"/>
      <c r="K494" s="15"/>
      <c r="L494" s="15"/>
      <c r="M494" s="15"/>
      <c r="N494" s="15"/>
      <c r="O494" s="15"/>
      <c r="P494" s="15"/>
      <c r="Q494" s="15"/>
      <c r="R494" s="412"/>
      <c r="S494" s="412"/>
      <c r="T494" s="412"/>
      <c r="U494" s="412"/>
      <c r="V494" s="412"/>
      <c r="W494" s="412"/>
      <c r="X494" s="412"/>
      <c r="Y494" s="412"/>
      <c r="Z494" s="412"/>
      <c r="AA494" s="412"/>
      <c r="AB494" s="412"/>
      <c r="AC494" s="412"/>
      <c r="AD494" s="412"/>
      <c r="AE494" s="412"/>
      <c r="AF494" s="412"/>
      <c r="AG494" s="412"/>
      <c r="AH494" s="412"/>
      <c r="AI494" s="412"/>
      <c r="AJ494" s="412"/>
      <c r="AK494" s="412"/>
      <c r="AL494" s="412"/>
      <c r="AM494" s="412"/>
      <c r="AN494" s="412"/>
      <c r="AO494" s="412"/>
      <c r="AP494" s="412"/>
      <c r="AQ494" s="449"/>
    </row>
    <row r="495" spans="3:43" x14ac:dyDescent="0.2">
      <c r="C495" s="15"/>
      <c r="D495" s="15"/>
      <c r="E495" s="15"/>
      <c r="F495" s="15"/>
      <c r="G495" s="15"/>
      <c r="H495" s="15"/>
      <c r="I495" s="15"/>
      <c r="J495" s="15"/>
      <c r="K495" s="15"/>
      <c r="L495" s="15"/>
      <c r="M495" s="15"/>
      <c r="N495" s="15"/>
      <c r="O495" s="15"/>
      <c r="P495" s="15"/>
      <c r="Q495" s="15"/>
      <c r="R495" s="412"/>
      <c r="S495" s="412"/>
      <c r="T495" s="412"/>
      <c r="U495" s="412"/>
      <c r="V495" s="412"/>
      <c r="W495" s="412"/>
      <c r="X495" s="412"/>
      <c r="Y495" s="412"/>
      <c r="Z495" s="412"/>
      <c r="AA495" s="412"/>
      <c r="AB495" s="412"/>
      <c r="AC495" s="412"/>
      <c r="AD495" s="412"/>
      <c r="AE495" s="412"/>
      <c r="AF495" s="412"/>
      <c r="AG495" s="412"/>
      <c r="AH495" s="412"/>
      <c r="AI495" s="412"/>
      <c r="AJ495" s="412"/>
      <c r="AK495" s="412"/>
      <c r="AL495" s="412"/>
      <c r="AM495" s="412"/>
      <c r="AN495" s="412"/>
      <c r="AO495" s="412"/>
      <c r="AP495" s="412"/>
      <c r="AQ495" s="449"/>
    </row>
    <row r="496" spans="3:43" x14ac:dyDescent="0.2">
      <c r="C496" s="15"/>
      <c r="D496" s="15"/>
      <c r="E496" s="15"/>
      <c r="F496" s="15"/>
      <c r="G496" s="15"/>
      <c r="H496" s="15"/>
      <c r="I496" s="15"/>
      <c r="J496" s="15"/>
      <c r="K496" s="15"/>
      <c r="L496" s="15"/>
      <c r="M496" s="15"/>
      <c r="N496" s="15"/>
      <c r="O496" s="15"/>
      <c r="P496" s="15"/>
      <c r="Q496" s="15"/>
      <c r="R496" s="412"/>
      <c r="S496" s="412"/>
      <c r="T496" s="412"/>
      <c r="U496" s="412"/>
      <c r="V496" s="412"/>
      <c r="W496" s="412"/>
      <c r="X496" s="412"/>
      <c r="Y496" s="412"/>
      <c r="Z496" s="412"/>
      <c r="AA496" s="412"/>
      <c r="AB496" s="412"/>
      <c r="AC496" s="412"/>
      <c r="AD496" s="412"/>
      <c r="AE496" s="412"/>
      <c r="AF496" s="412"/>
      <c r="AG496" s="412"/>
      <c r="AH496" s="412"/>
      <c r="AI496" s="412"/>
      <c r="AJ496" s="412"/>
      <c r="AK496" s="412"/>
      <c r="AL496" s="412"/>
      <c r="AM496" s="412"/>
      <c r="AN496" s="412"/>
      <c r="AO496" s="412"/>
      <c r="AP496" s="412"/>
      <c r="AQ496" s="449"/>
    </row>
    <row r="497" spans="3:43" x14ac:dyDescent="0.2">
      <c r="C497" s="15"/>
      <c r="D497" s="15"/>
      <c r="E497" s="15"/>
      <c r="F497" s="15"/>
      <c r="G497" s="15"/>
      <c r="H497" s="15"/>
      <c r="I497" s="15"/>
      <c r="J497" s="15"/>
      <c r="K497" s="15"/>
      <c r="L497" s="15"/>
      <c r="M497" s="15"/>
      <c r="N497" s="15"/>
      <c r="O497" s="15"/>
      <c r="P497" s="15"/>
      <c r="Q497" s="15"/>
      <c r="R497" s="412"/>
      <c r="S497" s="412"/>
      <c r="T497" s="412"/>
      <c r="U497" s="412"/>
      <c r="V497" s="412"/>
      <c r="W497" s="412"/>
      <c r="X497" s="412"/>
      <c r="Y497" s="412"/>
      <c r="Z497" s="412"/>
      <c r="AA497" s="412"/>
      <c r="AB497" s="412"/>
      <c r="AC497" s="412"/>
      <c r="AD497" s="412"/>
      <c r="AE497" s="412"/>
      <c r="AF497" s="412"/>
      <c r="AG497" s="412"/>
      <c r="AH497" s="412"/>
      <c r="AI497" s="412"/>
      <c r="AJ497" s="412"/>
      <c r="AK497" s="412"/>
      <c r="AL497" s="412"/>
      <c r="AM497" s="412"/>
      <c r="AN497" s="412"/>
      <c r="AO497" s="412"/>
      <c r="AP497" s="412"/>
      <c r="AQ497" s="449"/>
    </row>
    <row r="498" spans="3:43" x14ac:dyDescent="0.2">
      <c r="C498" s="15"/>
      <c r="D498" s="15"/>
      <c r="E498" s="15"/>
      <c r="F498" s="15"/>
      <c r="G498" s="15"/>
      <c r="H498" s="15"/>
      <c r="I498" s="15"/>
      <c r="J498" s="15"/>
      <c r="K498" s="15"/>
      <c r="L498" s="15"/>
      <c r="M498" s="15"/>
      <c r="N498" s="15"/>
      <c r="O498" s="15"/>
      <c r="P498" s="15"/>
      <c r="Q498" s="15"/>
      <c r="R498" s="412"/>
      <c r="S498" s="412"/>
      <c r="T498" s="412"/>
      <c r="U498" s="412"/>
      <c r="V498" s="412"/>
      <c r="W498" s="412"/>
      <c r="X498" s="412"/>
      <c r="Y498" s="412"/>
      <c r="Z498" s="412"/>
      <c r="AA498" s="412"/>
      <c r="AB498" s="412"/>
      <c r="AC498" s="412"/>
      <c r="AD498" s="412"/>
      <c r="AE498" s="412"/>
      <c r="AF498" s="412"/>
      <c r="AG498" s="412"/>
      <c r="AH498" s="412"/>
      <c r="AI498" s="412"/>
      <c r="AJ498" s="412"/>
      <c r="AK498" s="412"/>
      <c r="AL498" s="412"/>
      <c r="AM498" s="412"/>
      <c r="AN498" s="412"/>
      <c r="AO498" s="412"/>
      <c r="AP498" s="412"/>
      <c r="AQ498" s="449"/>
    </row>
    <row r="499" spans="3:43" x14ac:dyDescent="0.2">
      <c r="C499" s="15"/>
      <c r="D499" s="15"/>
      <c r="E499" s="15"/>
      <c r="F499" s="15"/>
      <c r="G499" s="15"/>
      <c r="H499" s="15"/>
      <c r="I499" s="15"/>
      <c r="J499" s="15"/>
      <c r="K499" s="15"/>
      <c r="L499" s="15"/>
      <c r="M499" s="15"/>
      <c r="N499" s="15"/>
      <c r="O499" s="15"/>
      <c r="P499" s="15"/>
      <c r="Q499" s="15"/>
      <c r="R499" s="412"/>
      <c r="S499" s="412"/>
      <c r="T499" s="412"/>
      <c r="U499" s="412"/>
      <c r="V499" s="412"/>
      <c r="W499" s="412"/>
      <c r="X499" s="412"/>
      <c r="Y499" s="412"/>
      <c r="Z499" s="412"/>
      <c r="AA499" s="412"/>
      <c r="AB499" s="412"/>
      <c r="AC499" s="412"/>
      <c r="AD499" s="412"/>
      <c r="AE499" s="412"/>
      <c r="AF499" s="412"/>
      <c r="AG499" s="412"/>
      <c r="AH499" s="412"/>
      <c r="AI499" s="412"/>
      <c r="AJ499" s="412"/>
      <c r="AK499" s="412"/>
      <c r="AL499" s="412"/>
      <c r="AM499" s="412"/>
      <c r="AN499" s="412"/>
      <c r="AO499" s="412"/>
      <c r="AP499" s="412"/>
      <c r="AQ499" s="449"/>
    </row>
    <row r="500" spans="3:43" x14ac:dyDescent="0.2">
      <c r="C500" s="15"/>
      <c r="D500" s="15"/>
      <c r="E500" s="15"/>
      <c r="F500" s="15"/>
      <c r="G500" s="15"/>
      <c r="H500" s="15"/>
      <c r="I500" s="15"/>
      <c r="J500" s="15"/>
      <c r="K500" s="15"/>
      <c r="L500" s="15"/>
      <c r="M500" s="15"/>
      <c r="N500" s="15"/>
      <c r="O500" s="15"/>
      <c r="P500" s="15"/>
      <c r="Q500" s="15"/>
      <c r="R500" s="412"/>
      <c r="S500" s="412"/>
      <c r="T500" s="412"/>
      <c r="U500" s="412"/>
      <c r="V500" s="412"/>
      <c r="W500" s="412"/>
      <c r="X500" s="412"/>
      <c r="Y500" s="412"/>
      <c r="Z500" s="412"/>
      <c r="AA500" s="412"/>
      <c r="AB500" s="412"/>
      <c r="AC500" s="412"/>
      <c r="AD500" s="412"/>
      <c r="AE500" s="412"/>
      <c r="AF500" s="412"/>
      <c r="AG500" s="412"/>
      <c r="AH500" s="412"/>
      <c r="AI500" s="412"/>
      <c r="AJ500" s="412"/>
      <c r="AK500" s="412"/>
      <c r="AL500" s="412"/>
      <c r="AM500" s="412"/>
      <c r="AN500" s="412"/>
      <c r="AO500" s="412"/>
      <c r="AP500" s="412"/>
      <c r="AQ500" s="449"/>
    </row>
    <row r="501" spans="3:43" x14ac:dyDescent="0.2">
      <c r="C501" s="15"/>
      <c r="D501" s="15"/>
      <c r="E501" s="15"/>
      <c r="F501" s="15"/>
      <c r="G501" s="15"/>
      <c r="H501" s="15"/>
      <c r="I501" s="15"/>
      <c r="J501" s="15"/>
      <c r="K501" s="15"/>
      <c r="L501" s="15"/>
      <c r="M501" s="15"/>
      <c r="N501" s="15"/>
      <c r="O501" s="15"/>
      <c r="P501" s="15"/>
      <c r="Q501" s="15"/>
      <c r="R501" s="412"/>
      <c r="S501" s="412"/>
      <c r="T501" s="412"/>
      <c r="U501" s="412"/>
      <c r="V501" s="412"/>
      <c r="W501" s="412"/>
      <c r="X501" s="412"/>
      <c r="Y501" s="412"/>
      <c r="Z501" s="412"/>
      <c r="AA501" s="412"/>
      <c r="AB501" s="412"/>
      <c r="AC501" s="412"/>
      <c r="AD501" s="412"/>
      <c r="AE501" s="412"/>
      <c r="AF501" s="412"/>
      <c r="AG501" s="412"/>
      <c r="AH501" s="412"/>
      <c r="AI501" s="412"/>
      <c r="AJ501" s="412"/>
      <c r="AK501" s="412"/>
      <c r="AL501" s="412"/>
      <c r="AM501" s="412"/>
      <c r="AN501" s="412"/>
      <c r="AO501" s="412"/>
      <c r="AP501" s="412"/>
      <c r="AQ501" s="449"/>
    </row>
    <row r="502" spans="3:43" x14ac:dyDescent="0.2">
      <c r="C502" s="15"/>
      <c r="D502" s="15"/>
      <c r="E502" s="15"/>
      <c r="F502" s="15"/>
      <c r="G502" s="15"/>
      <c r="H502" s="15"/>
      <c r="I502" s="15"/>
      <c r="J502" s="15"/>
      <c r="K502" s="15"/>
      <c r="L502" s="15"/>
      <c r="M502" s="15"/>
      <c r="N502" s="15"/>
      <c r="O502" s="15"/>
      <c r="P502" s="15"/>
      <c r="Q502" s="15"/>
      <c r="R502" s="412"/>
      <c r="S502" s="412"/>
      <c r="T502" s="412"/>
      <c r="U502" s="412"/>
      <c r="V502" s="412"/>
      <c r="W502" s="412"/>
      <c r="X502" s="412"/>
      <c r="Y502" s="412"/>
      <c r="Z502" s="412"/>
      <c r="AA502" s="412"/>
      <c r="AB502" s="412"/>
      <c r="AC502" s="412"/>
      <c r="AD502" s="412"/>
      <c r="AE502" s="412"/>
      <c r="AF502" s="412"/>
      <c r="AG502" s="412"/>
      <c r="AH502" s="412"/>
      <c r="AI502" s="412"/>
      <c r="AJ502" s="412"/>
      <c r="AK502" s="412"/>
      <c r="AL502" s="412"/>
      <c r="AM502" s="412"/>
      <c r="AN502" s="412"/>
      <c r="AO502" s="412"/>
      <c r="AP502" s="412"/>
      <c r="AQ502" s="449"/>
    </row>
    <row r="503" spans="3:43" x14ac:dyDescent="0.2">
      <c r="C503" s="15"/>
      <c r="D503" s="15"/>
      <c r="E503" s="15"/>
      <c r="F503" s="15"/>
      <c r="G503" s="15"/>
      <c r="H503" s="15"/>
      <c r="I503" s="15"/>
      <c r="J503" s="15"/>
      <c r="K503" s="15"/>
      <c r="L503" s="15"/>
      <c r="M503" s="15"/>
      <c r="N503" s="15"/>
      <c r="O503" s="15"/>
      <c r="P503" s="15"/>
      <c r="Q503" s="15"/>
      <c r="R503" s="412"/>
      <c r="S503" s="412"/>
      <c r="T503" s="412"/>
      <c r="U503" s="412"/>
      <c r="V503" s="412"/>
      <c r="W503" s="412"/>
      <c r="X503" s="412"/>
      <c r="Y503" s="412"/>
      <c r="Z503" s="412"/>
      <c r="AA503" s="412"/>
      <c r="AB503" s="412"/>
      <c r="AC503" s="412"/>
      <c r="AD503" s="412"/>
      <c r="AE503" s="412"/>
      <c r="AF503" s="412"/>
      <c r="AG503" s="412"/>
      <c r="AH503" s="412"/>
      <c r="AI503" s="412"/>
      <c r="AJ503" s="412"/>
      <c r="AK503" s="412"/>
      <c r="AL503" s="412"/>
      <c r="AM503" s="412"/>
      <c r="AN503" s="412"/>
      <c r="AO503" s="412"/>
      <c r="AP503" s="412"/>
      <c r="AQ503" s="449"/>
    </row>
    <row r="504" spans="3:43" hidden="1" x14ac:dyDescent="0.2">
      <c r="C504" s="15"/>
      <c r="D504" s="15"/>
      <c r="E504" s="15"/>
      <c r="F504" s="15"/>
      <c r="G504" s="15"/>
      <c r="H504" s="15"/>
      <c r="I504" s="15"/>
      <c r="J504" s="15"/>
      <c r="K504" s="15"/>
      <c r="L504" s="15"/>
      <c r="M504" s="15"/>
      <c r="N504" s="15"/>
      <c r="O504" s="15"/>
      <c r="P504" s="15"/>
      <c r="Q504" s="15"/>
      <c r="R504" s="412"/>
      <c r="S504" s="412"/>
      <c r="T504" s="412"/>
      <c r="U504" s="412"/>
      <c r="V504" s="412"/>
      <c r="W504" s="412"/>
      <c r="X504" s="412"/>
      <c r="Y504" s="412"/>
      <c r="Z504" s="412"/>
      <c r="AA504" s="412"/>
      <c r="AB504" s="412"/>
      <c r="AC504" s="412"/>
      <c r="AD504" s="412"/>
      <c r="AE504" s="412"/>
      <c r="AF504" s="412"/>
      <c r="AG504" s="412"/>
      <c r="AH504" s="412"/>
      <c r="AI504" s="412"/>
      <c r="AJ504" s="412"/>
      <c r="AK504" s="412"/>
      <c r="AL504" s="412"/>
      <c r="AM504" s="412"/>
      <c r="AN504" s="412"/>
      <c r="AO504" s="412"/>
      <c r="AP504" s="412"/>
      <c r="AQ504" s="449"/>
    </row>
    <row r="505" spans="3:43" hidden="1" x14ac:dyDescent="0.2">
      <c r="C505" s="15"/>
      <c r="D505" s="15"/>
      <c r="E505" s="15"/>
      <c r="F505" s="15"/>
      <c r="G505" s="15"/>
      <c r="H505" s="15"/>
      <c r="I505" s="15"/>
      <c r="J505" s="15"/>
      <c r="K505" s="15"/>
      <c r="L505" s="15"/>
      <c r="M505" s="15"/>
      <c r="N505" s="15"/>
      <c r="O505" s="15"/>
      <c r="P505" s="15"/>
      <c r="Q505" s="15"/>
      <c r="R505" s="412"/>
      <c r="S505" s="412"/>
      <c r="T505" s="412"/>
      <c r="U505" s="412"/>
      <c r="V505" s="412"/>
      <c r="W505" s="412"/>
      <c r="X505" s="412"/>
      <c r="Y505" s="412"/>
      <c r="Z505" s="412"/>
      <c r="AA505" s="412"/>
      <c r="AB505" s="412"/>
      <c r="AC505" s="412"/>
      <c r="AD505" s="412"/>
      <c r="AE505" s="412"/>
      <c r="AF505" s="412"/>
      <c r="AG505" s="412"/>
      <c r="AH505" s="412"/>
      <c r="AI505" s="412"/>
      <c r="AJ505" s="412"/>
      <c r="AK505" s="412"/>
      <c r="AL505" s="412"/>
      <c r="AM505" s="412"/>
      <c r="AN505" s="412"/>
      <c r="AO505" s="412"/>
      <c r="AP505" s="412"/>
      <c r="AQ505" s="449"/>
    </row>
    <row r="506" spans="3:43" hidden="1" x14ac:dyDescent="0.2">
      <c r="C506" s="15"/>
      <c r="D506" s="15"/>
      <c r="E506" s="15"/>
      <c r="F506" s="15"/>
      <c r="G506" s="15"/>
      <c r="H506" s="15"/>
      <c r="I506" s="15"/>
      <c r="J506" s="15"/>
      <c r="K506" s="15"/>
      <c r="L506" s="15"/>
      <c r="M506" s="15"/>
      <c r="N506" s="15"/>
      <c r="O506" s="15"/>
      <c r="P506" s="15"/>
      <c r="Q506" s="15"/>
      <c r="R506" s="412"/>
      <c r="S506" s="412"/>
      <c r="T506" s="412"/>
      <c r="U506" s="412"/>
      <c r="V506" s="412"/>
      <c r="W506" s="412"/>
      <c r="X506" s="412"/>
      <c r="Y506" s="412"/>
      <c r="Z506" s="412"/>
      <c r="AA506" s="412"/>
      <c r="AB506" s="412"/>
      <c r="AC506" s="412"/>
      <c r="AD506" s="412"/>
      <c r="AE506" s="412"/>
      <c r="AF506" s="412"/>
      <c r="AG506" s="412"/>
      <c r="AH506" s="412"/>
      <c r="AI506" s="412"/>
      <c r="AJ506" s="412"/>
      <c r="AK506" s="412"/>
      <c r="AL506" s="412"/>
      <c r="AM506" s="412"/>
      <c r="AN506" s="412"/>
      <c r="AO506" s="412"/>
      <c r="AP506" s="412"/>
      <c r="AQ506" s="449"/>
    </row>
    <row r="507" spans="3:43" hidden="1" x14ac:dyDescent="0.2">
      <c r="C507" s="15"/>
      <c r="D507" s="15"/>
      <c r="E507" s="15"/>
      <c r="F507" s="15"/>
      <c r="G507" s="15"/>
      <c r="H507" s="15"/>
      <c r="I507" s="15"/>
      <c r="J507" s="15"/>
      <c r="K507" s="15"/>
      <c r="L507" s="15"/>
      <c r="M507" s="15"/>
      <c r="N507" s="15"/>
      <c r="O507" s="15"/>
      <c r="P507" s="15"/>
      <c r="Q507" s="15"/>
      <c r="R507" s="412"/>
      <c r="S507" s="412"/>
      <c r="T507" s="412"/>
      <c r="U507" s="412"/>
      <c r="V507" s="412"/>
      <c r="W507" s="412"/>
      <c r="X507" s="412"/>
      <c r="Y507" s="412"/>
      <c r="Z507" s="412"/>
      <c r="AA507" s="412"/>
      <c r="AB507" s="412"/>
      <c r="AC507" s="412"/>
      <c r="AD507" s="412"/>
      <c r="AE507" s="412"/>
      <c r="AF507" s="412"/>
      <c r="AG507" s="412"/>
      <c r="AH507" s="412"/>
      <c r="AI507" s="412"/>
      <c r="AJ507" s="412"/>
      <c r="AK507" s="412"/>
      <c r="AL507" s="412"/>
      <c r="AM507" s="412"/>
      <c r="AN507" s="412"/>
      <c r="AO507" s="412"/>
      <c r="AP507" s="412"/>
      <c r="AQ507" s="449"/>
    </row>
    <row r="508" spans="3:43" ht="9.9499999999999993" customHeight="1" thickBot="1" x14ac:dyDescent="0.25">
      <c r="C508" s="250"/>
      <c r="D508" s="250"/>
      <c r="E508" s="250"/>
      <c r="F508" s="250"/>
      <c r="G508" s="250"/>
      <c r="H508" s="250"/>
      <c r="I508" s="250"/>
      <c r="J508" s="250"/>
      <c r="K508" s="250"/>
      <c r="L508" s="250"/>
      <c r="M508" s="250"/>
      <c r="N508" s="250"/>
      <c r="O508" s="15"/>
      <c r="P508" s="15"/>
      <c r="Q508" s="15"/>
      <c r="R508" s="412"/>
      <c r="S508" s="412"/>
      <c r="T508" s="412"/>
      <c r="U508" s="412"/>
      <c r="V508" s="412"/>
      <c r="W508" s="412"/>
      <c r="X508" s="412"/>
      <c r="Y508" s="412"/>
      <c r="Z508" s="412"/>
      <c r="AA508" s="412"/>
      <c r="AB508" s="412"/>
      <c r="AC508" s="412"/>
      <c r="AD508" s="412"/>
      <c r="AE508" s="412"/>
      <c r="AF508" s="412"/>
      <c r="AG508" s="412"/>
      <c r="AH508" s="412"/>
      <c r="AI508" s="412"/>
      <c r="AJ508" s="412"/>
      <c r="AK508" s="412"/>
      <c r="AL508" s="412"/>
      <c r="AM508" s="412"/>
      <c r="AN508" s="412"/>
      <c r="AO508" s="412"/>
      <c r="AP508" s="412"/>
      <c r="AQ508" s="449"/>
    </row>
    <row r="509" spans="3:43" ht="5.0999999999999996" customHeight="1" x14ac:dyDescent="0.2">
      <c r="C509" s="250"/>
      <c r="D509" s="1395" t="s">
        <v>1097</v>
      </c>
      <c r="E509" s="1396"/>
      <c r="F509" s="1396"/>
      <c r="G509" s="1396"/>
      <c r="H509" s="1396"/>
      <c r="I509" s="1396"/>
      <c r="J509" s="1396"/>
      <c r="K509" s="1396"/>
      <c r="L509" s="1396"/>
      <c r="M509" s="1396"/>
      <c r="N509" s="1397"/>
      <c r="O509" s="15"/>
      <c r="P509" s="15"/>
      <c r="Q509" s="15"/>
      <c r="R509" s="412"/>
      <c r="S509" s="412"/>
      <c r="T509" s="412"/>
      <c r="U509" s="412"/>
      <c r="V509" s="412"/>
      <c r="W509" s="412"/>
      <c r="X509" s="412"/>
      <c r="Y509" s="412"/>
      <c r="Z509" s="412"/>
      <c r="AA509" s="412"/>
      <c r="AB509" s="412"/>
      <c r="AC509" s="412"/>
      <c r="AD509" s="412"/>
      <c r="AE509" s="412"/>
      <c r="AF509" s="412"/>
      <c r="AG509" s="412"/>
      <c r="AH509" s="412"/>
      <c r="AI509" s="412"/>
      <c r="AJ509" s="412"/>
      <c r="AK509" s="412"/>
      <c r="AL509" s="412"/>
      <c r="AM509" s="412"/>
      <c r="AN509" s="412"/>
      <c r="AO509" s="412"/>
      <c r="AP509" s="412"/>
      <c r="AQ509" s="449"/>
    </row>
    <row r="510" spans="3:43" ht="24.95" customHeight="1" thickBot="1" x14ac:dyDescent="0.25">
      <c r="C510" s="250"/>
      <c r="D510" s="1398"/>
      <c r="E510" s="1399"/>
      <c r="F510" s="1399"/>
      <c r="G510" s="1399"/>
      <c r="H510" s="1399"/>
      <c r="I510" s="1399"/>
      <c r="J510" s="1399"/>
      <c r="K510" s="1399"/>
      <c r="L510" s="1399"/>
      <c r="M510" s="1399"/>
      <c r="N510" s="1400"/>
      <c r="O510" s="15"/>
      <c r="P510" s="15"/>
      <c r="Q510" s="15"/>
      <c r="R510" s="412"/>
      <c r="S510" s="412"/>
      <c r="T510" s="412"/>
      <c r="U510" s="412"/>
      <c r="V510" s="412"/>
      <c r="W510" s="412"/>
      <c r="X510" s="412"/>
      <c r="Y510" s="412"/>
      <c r="Z510" s="412"/>
      <c r="AA510" s="412"/>
      <c r="AB510" s="412"/>
      <c r="AC510" s="412"/>
      <c r="AD510" s="412"/>
      <c r="AE510" s="412"/>
      <c r="AF510" s="412"/>
      <c r="AG510" s="412"/>
      <c r="AH510" s="412"/>
      <c r="AI510" s="412"/>
      <c r="AJ510" s="412"/>
      <c r="AK510" s="412"/>
      <c r="AL510" s="412"/>
      <c r="AM510" s="412"/>
      <c r="AN510" s="412"/>
      <c r="AO510" s="412"/>
      <c r="AP510" s="412"/>
      <c r="AQ510" s="449"/>
    </row>
    <row r="511" spans="3:43" x14ac:dyDescent="0.2">
      <c r="C511" s="250"/>
      <c r="D511" s="930"/>
      <c r="E511" s="896"/>
      <c r="F511" s="896"/>
      <c r="G511" s="896"/>
      <c r="H511" s="896"/>
      <c r="I511" s="896"/>
      <c r="J511" s="896"/>
      <c r="K511" s="896"/>
      <c r="L511" s="896"/>
      <c r="M511" s="896"/>
      <c r="N511" s="931"/>
      <c r="O511" s="15"/>
      <c r="P511" s="15"/>
      <c r="Q511" s="15"/>
      <c r="R511" s="412"/>
      <c r="S511" s="412"/>
      <c r="T511" s="412"/>
      <c r="U511" s="412"/>
      <c r="V511" s="412"/>
      <c r="W511" s="412"/>
      <c r="X511" s="412"/>
      <c r="Y511" s="412"/>
      <c r="Z511" s="412"/>
      <c r="AA511" s="412"/>
      <c r="AB511" s="412"/>
      <c r="AC511" s="412"/>
      <c r="AD511" s="412"/>
      <c r="AE511" s="412"/>
      <c r="AF511" s="412"/>
      <c r="AG511" s="412"/>
      <c r="AH511" s="412"/>
      <c r="AI511" s="412"/>
      <c r="AJ511" s="412"/>
      <c r="AK511" s="412"/>
      <c r="AL511" s="412"/>
      <c r="AM511" s="412"/>
      <c r="AN511" s="412"/>
      <c r="AO511" s="412"/>
      <c r="AP511" s="412"/>
      <c r="AQ511" s="449"/>
    </row>
    <row r="512" spans="3:43" ht="18" x14ac:dyDescent="0.25">
      <c r="C512" s="250"/>
      <c r="D512" s="932" t="s">
        <v>923</v>
      </c>
      <c r="E512" s="898"/>
      <c r="F512" s="898"/>
      <c r="G512" s="898"/>
      <c r="H512" s="898"/>
      <c r="I512" s="898"/>
      <c r="J512" s="898"/>
      <c r="K512" s="898"/>
      <c r="L512" s="898"/>
      <c r="M512" s="898"/>
      <c r="N512" s="933"/>
      <c r="O512" s="15"/>
      <c r="P512" s="15"/>
      <c r="Q512" s="15"/>
      <c r="R512" s="412"/>
      <c r="S512" s="412"/>
      <c r="T512" s="412"/>
      <c r="U512" s="412"/>
      <c r="V512" s="412"/>
      <c r="W512" s="412"/>
      <c r="X512" s="412"/>
      <c r="Y512" s="412"/>
      <c r="Z512" s="412"/>
      <c r="AA512" s="412"/>
      <c r="AB512" s="412"/>
      <c r="AC512" s="412"/>
      <c r="AD512" s="412"/>
      <c r="AE512" s="412"/>
      <c r="AF512" s="412"/>
      <c r="AG512" s="412"/>
      <c r="AH512" s="412"/>
      <c r="AI512" s="412"/>
      <c r="AJ512" s="412"/>
      <c r="AK512" s="412"/>
      <c r="AL512" s="412"/>
      <c r="AM512" s="412"/>
      <c r="AN512" s="412"/>
      <c r="AO512" s="412"/>
      <c r="AP512" s="412"/>
      <c r="AQ512" s="449"/>
    </row>
    <row r="513" spans="3:43" ht="24.95" customHeight="1" x14ac:dyDescent="0.25">
      <c r="C513" s="250"/>
      <c r="D513" s="934" t="s">
        <v>352</v>
      </c>
      <c r="E513" s="898"/>
      <c r="F513" s="898"/>
      <c r="G513" s="898"/>
      <c r="H513" s="898"/>
      <c r="I513" s="898"/>
      <c r="J513" s="898"/>
      <c r="K513" s="898"/>
      <c r="L513" s="898"/>
      <c r="M513" s="898"/>
      <c r="N513" s="933"/>
      <c r="O513" s="15"/>
      <c r="P513" s="15"/>
      <c r="Q513" s="15"/>
      <c r="R513" s="412"/>
      <c r="S513" s="412"/>
      <c r="T513" s="412"/>
      <c r="U513" s="412"/>
      <c r="V513" s="412"/>
      <c r="W513" s="412"/>
      <c r="X513" s="412"/>
      <c r="Y513" s="412"/>
      <c r="Z513" s="412"/>
      <c r="AA513" s="412"/>
      <c r="AB513" s="412"/>
      <c r="AC513" s="412"/>
      <c r="AD513" s="412"/>
      <c r="AE513" s="412"/>
      <c r="AF513" s="412"/>
      <c r="AG513" s="412"/>
      <c r="AH513" s="412"/>
      <c r="AI513" s="412"/>
      <c r="AJ513" s="412"/>
      <c r="AK513" s="412"/>
      <c r="AL513" s="412"/>
      <c r="AM513" s="412"/>
      <c r="AN513" s="412"/>
      <c r="AO513" s="412"/>
      <c r="AP513" s="412"/>
      <c r="AQ513" s="449"/>
    </row>
    <row r="514" spans="3:43" ht="18" x14ac:dyDescent="0.25">
      <c r="C514" s="250"/>
      <c r="D514" s="934" t="s">
        <v>353</v>
      </c>
      <c r="E514" s="898"/>
      <c r="F514" s="898"/>
      <c r="G514" s="898"/>
      <c r="H514" s="898"/>
      <c r="I514" s="898"/>
      <c r="J514" s="898"/>
      <c r="K514" s="898"/>
      <c r="L514" s="898"/>
      <c r="M514" s="898"/>
      <c r="N514" s="933"/>
      <c r="O514" s="15"/>
      <c r="P514" s="15"/>
      <c r="Q514" s="15"/>
      <c r="R514" s="412"/>
      <c r="S514" s="412"/>
      <c r="T514" s="412"/>
      <c r="U514" s="412"/>
      <c r="V514" s="412"/>
      <c r="W514" s="412"/>
      <c r="X514" s="412"/>
      <c r="Y514" s="412"/>
      <c r="Z514" s="412"/>
      <c r="AA514" s="412"/>
      <c r="AB514" s="412"/>
      <c r="AC514" s="412"/>
      <c r="AD514" s="412"/>
      <c r="AE514" s="412"/>
      <c r="AF514" s="412"/>
      <c r="AG514" s="412"/>
      <c r="AH514" s="412"/>
      <c r="AI514" s="412"/>
      <c r="AJ514" s="412"/>
      <c r="AK514" s="412"/>
      <c r="AL514" s="412"/>
      <c r="AM514" s="412"/>
      <c r="AN514" s="412"/>
      <c r="AO514" s="412"/>
      <c r="AP514" s="412"/>
      <c r="AQ514" s="449"/>
    </row>
    <row r="515" spans="3:43" ht="15" customHeight="1" x14ac:dyDescent="0.25">
      <c r="C515" s="250"/>
      <c r="D515" s="934" t="s">
        <v>354</v>
      </c>
      <c r="E515" s="898"/>
      <c r="F515" s="898"/>
      <c r="G515" s="898"/>
      <c r="H515" s="898"/>
      <c r="I515" s="898"/>
      <c r="J515" s="898"/>
      <c r="K515" s="898"/>
      <c r="L515" s="898"/>
      <c r="M515" s="898"/>
      <c r="N515" s="933"/>
      <c r="O515" s="15"/>
      <c r="P515" s="15"/>
      <c r="Q515" s="15"/>
      <c r="R515" s="412"/>
      <c r="S515" s="412"/>
      <c r="T515" s="412"/>
      <c r="U515" s="412"/>
      <c r="V515" s="412"/>
      <c r="W515" s="412"/>
      <c r="X515" s="412"/>
      <c r="Y515" s="412"/>
      <c r="Z515" s="412"/>
      <c r="AA515" s="412"/>
      <c r="AB515" s="412"/>
      <c r="AC515" s="412"/>
      <c r="AD515" s="412"/>
      <c r="AE515" s="412"/>
      <c r="AF515" s="412"/>
      <c r="AG515" s="412"/>
      <c r="AH515" s="412"/>
      <c r="AI515" s="412"/>
      <c r="AJ515" s="412"/>
      <c r="AK515" s="412"/>
      <c r="AL515" s="412"/>
      <c r="AM515" s="412"/>
      <c r="AN515" s="412"/>
      <c r="AO515" s="412"/>
      <c r="AP515" s="412"/>
      <c r="AQ515" s="449"/>
    </row>
    <row r="516" spans="3:43" ht="15" customHeight="1" x14ac:dyDescent="0.25">
      <c r="C516" s="250"/>
      <c r="D516" s="934" t="s">
        <v>1254</v>
      </c>
      <c r="E516" s="898"/>
      <c r="F516" s="898"/>
      <c r="G516" s="898"/>
      <c r="H516" s="898"/>
      <c r="I516" s="898"/>
      <c r="J516" s="898"/>
      <c r="K516" s="898"/>
      <c r="L516" s="898"/>
      <c r="M516" s="898"/>
      <c r="N516" s="933"/>
      <c r="O516" s="15"/>
      <c r="P516" s="15"/>
      <c r="Q516" s="15"/>
      <c r="R516" s="412"/>
      <c r="S516" s="412"/>
      <c r="T516" s="412"/>
      <c r="U516" s="412"/>
      <c r="V516" s="412"/>
      <c r="W516" s="412"/>
      <c r="X516" s="412"/>
      <c r="Y516" s="412"/>
      <c r="Z516" s="412"/>
      <c r="AA516" s="412"/>
      <c r="AB516" s="412"/>
      <c r="AC516" s="412"/>
      <c r="AD516" s="412"/>
      <c r="AE516" s="412"/>
      <c r="AF516" s="412"/>
      <c r="AG516" s="412"/>
      <c r="AH516" s="412"/>
      <c r="AI516" s="412"/>
      <c r="AJ516" s="412"/>
      <c r="AK516" s="412"/>
      <c r="AL516" s="412"/>
      <c r="AM516" s="412"/>
      <c r="AN516" s="412"/>
      <c r="AO516" s="412"/>
      <c r="AP516" s="412"/>
      <c r="AQ516" s="449"/>
    </row>
    <row r="517" spans="3:43" ht="15" customHeight="1" x14ac:dyDescent="0.25">
      <c r="C517" s="250"/>
      <c r="D517" s="934" t="s">
        <v>1255</v>
      </c>
      <c r="E517" s="898"/>
      <c r="F517" s="898"/>
      <c r="G517" s="898"/>
      <c r="H517" s="898"/>
      <c r="I517" s="898"/>
      <c r="J517" s="898"/>
      <c r="K517" s="898"/>
      <c r="L517" s="898"/>
      <c r="M517" s="898"/>
      <c r="N517" s="933"/>
      <c r="O517" s="15"/>
      <c r="P517" s="15"/>
      <c r="Q517" s="15"/>
      <c r="R517" s="412"/>
      <c r="S517" s="412"/>
      <c r="T517" s="412"/>
      <c r="U517" s="412"/>
      <c r="V517" s="412"/>
      <c r="W517" s="412"/>
      <c r="X517" s="412"/>
      <c r="Y517" s="412"/>
      <c r="Z517" s="412"/>
      <c r="AA517" s="412"/>
      <c r="AB517" s="412"/>
      <c r="AC517" s="412"/>
      <c r="AD517" s="412"/>
      <c r="AE517" s="412"/>
      <c r="AF517" s="412"/>
      <c r="AG517" s="412"/>
      <c r="AH517" s="412"/>
      <c r="AI517" s="412"/>
      <c r="AJ517" s="412"/>
      <c r="AK517" s="412"/>
      <c r="AL517" s="412"/>
      <c r="AM517" s="412"/>
      <c r="AN517" s="412"/>
      <c r="AO517" s="412"/>
      <c r="AP517" s="412"/>
      <c r="AQ517" s="449"/>
    </row>
    <row r="518" spans="3:43" ht="15" customHeight="1" x14ac:dyDescent="0.25">
      <c r="C518" s="250"/>
      <c r="D518" s="934" t="s">
        <v>1256</v>
      </c>
      <c r="E518" s="898"/>
      <c r="F518" s="898"/>
      <c r="G518" s="898"/>
      <c r="H518" s="898"/>
      <c r="I518" s="898"/>
      <c r="J518" s="898"/>
      <c r="K518" s="898"/>
      <c r="L518" s="898"/>
      <c r="M518" s="898"/>
      <c r="N518" s="933"/>
      <c r="O518" s="15"/>
      <c r="P518" s="15"/>
      <c r="Q518" s="15"/>
      <c r="R518" s="412"/>
      <c r="S518" s="412"/>
      <c r="T518" s="412"/>
      <c r="U518" s="412"/>
      <c r="V518" s="412"/>
      <c r="W518" s="412"/>
      <c r="X518" s="412"/>
      <c r="Y518" s="412"/>
      <c r="Z518" s="412"/>
      <c r="AA518" s="412"/>
      <c r="AB518" s="412"/>
      <c r="AC518" s="412"/>
      <c r="AD518" s="412"/>
      <c r="AE518" s="412"/>
      <c r="AF518" s="412"/>
      <c r="AG518" s="412"/>
      <c r="AH518" s="412"/>
      <c r="AI518" s="412"/>
      <c r="AJ518" s="412"/>
      <c r="AK518" s="412"/>
      <c r="AL518" s="412"/>
      <c r="AM518" s="412"/>
      <c r="AN518" s="412"/>
      <c r="AO518" s="412"/>
      <c r="AP518" s="412"/>
      <c r="AQ518" s="449"/>
    </row>
    <row r="519" spans="3:43" ht="15" customHeight="1" x14ac:dyDescent="0.25">
      <c r="C519" s="250"/>
      <c r="D519" s="934" t="s">
        <v>1257</v>
      </c>
      <c r="E519" s="898"/>
      <c r="F519" s="898"/>
      <c r="G519" s="898"/>
      <c r="H519" s="898"/>
      <c r="I519" s="898"/>
      <c r="J519" s="898"/>
      <c r="K519" s="898"/>
      <c r="L519" s="898"/>
      <c r="M519" s="898"/>
      <c r="N519" s="933"/>
      <c r="O519" s="15"/>
      <c r="P519" s="15"/>
      <c r="Q519" s="15"/>
      <c r="R519" s="412"/>
      <c r="S519" s="412"/>
      <c r="T519" s="412"/>
      <c r="U519" s="412"/>
      <c r="V519" s="412"/>
      <c r="W519" s="412"/>
      <c r="X519" s="412"/>
      <c r="Y519" s="412"/>
      <c r="Z519" s="412"/>
      <c r="AA519" s="412"/>
      <c r="AB519" s="412"/>
      <c r="AC519" s="412"/>
      <c r="AD519" s="412"/>
      <c r="AE519" s="412"/>
      <c r="AF519" s="412"/>
      <c r="AG519" s="412"/>
      <c r="AH519" s="412"/>
      <c r="AI519" s="412"/>
      <c r="AJ519" s="412"/>
      <c r="AK519" s="412"/>
      <c r="AL519" s="412"/>
      <c r="AM519" s="412"/>
      <c r="AN519" s="412"/>
      <c r="AO519" s="412"/>
      <c r="AP519" s="412"/>
      <c r="AQ519" s="449"/>
    </row>
    <row r="520" spans="3:43" ht="18" x14ac:dyDescent="0.25">
      <c r="C520" s="250"/>
      <c r="D520" s="932"/>
      <c r="E520" s="898"/>
      <c r="F520" s="898"/>
      <c r="G520" s="898"/>
      <c r="H520" s="898"/>
      <c r="I520" s="898"/>
      <c r="J520" s="898"/>
      <c r="K520" s="898"/>
      <c r="L520" s="898"/>
      <c r="M520" s="898"/>
      <c r="N520" s="933"/>
      <c r="O520" s="15"/>
      <c r="P520" s="15"/>
      <c r="Q520" s="15"/>
      <c r="R520" s="412"/>
      <c r="S520" s="412"/>
      <c r="T520" s="412"/>
      <c r="U520" s="412"/>
      <c r="V520" s="412"/>
      <c r="W520" s="412"/>
      <c r="X520" s="412"/>
      <c r="Y520" s="412"/>
      <c r="Z520" s="412"/>
      <c r="AA520" s="412"/>
      <c r="AB520" s="412"/>
      <c r="AC520" s="412"/>
      <c r="AD520" s="412"/>
      <c r="AE520" s="412"/>
      <c r="AF520" s="412"/>
      <c r="AG520" s="412"/>
      <c r="AH520" s="412"/>
      <c r="AI520" s="412"/>
      <c r="AJ520" s="412"/>
      <c r="AK520" s="412"/>
      <c r="AL520" s="412"/>
      <c r="AM520" s="412"/>
      <c r="AN520" s="412"/>
      <c r="AO520" s="412"/>
      <c r="AP520" s="412"/>
      <c r="AQ520" s="449"/>
    </row>
    <row r="521" spans="3:43" ht="18" x14ac:dyDescent="0.25">
      <c r="C521" s="250"/>
      <c r="D521" s="932" t="s">
        <v>1259</v>
      </c>
      <c r="E521" s="898"/>
      <c r="F521" s="898"/>
      <c r="G521" s="898"/>
      <c r="H521" s="898"/>
      <c r="I521" s="898"/>
      <c r="J521" s="898"/>
      <c r="K521" s="898"/>
      <c r="L521" s="898"/>
      <c r="M521" s="898"/>
      <c r="N521" s="933"/>
      <c r="O521" s="15"/>
      <c r="P521" s="15"/>
      <c r="Q521" s="15"/>
      <c r="R521" s="412"/>
      <c r="S521" s="412"/>
      <c r="T521" s="412"/>
      <c r="U521" s="412"/>
      <c r="V521" s="412"/>
      <c r="W521" s="412"/>
      <c r="X521" s="412"/>
      <c r="Y521" s="412"/>
      <c r="Z521" s="412"/>
      <c r="AA521" s="412"/>
      <c r="AB521" s="412"/>
      <c r="AC521" s="412"/>
      <c r="AD521" s="412"/>
      <c r="AE521" s="412"/>
      <c r="AF521" s="412"/>
      <c r="AG521" s="412"/>
      <c r="AH521" s="412"/>
      <c r="AI521" s="412"/>
      <c r="AJ521" s="412"/>
      <c r="AK521" s="412"/>
      <c r="AL521" s="412"/>
      <c r="AM521" s="412"/>
      <c r="AN521" s="412"/>
      <c r="AO521" s="412"/>
      <c r="AP521" s="412"/>
      <c r="AQ521" s="449"/>
    </row>
    <row r="522" spans="3:43" ht="18" x14ac:dyDescent="0.25">
      <c r="C522" s="250"/>
      <c r="D522" s="935" t="s">
        <v>1261</v>
      </c>
      <c r="E522" s="898"/>
      <c r="F522" s="898"/>
      <c r="G522" s="898"/>
      <c r="H522" s="898"/>
      <c r="I522" s="898"/>
      <c r="J522" s="898"/>
      <c r="K522" s="898"/>
      <c r="L522" s="898"/>
      <c r="M522" s="898"/>
      <c r="N522" s="933"/>
      <c r="O522" s="15"/>
      <c r="P522" s="15"/>
      <c r="Q522" s="15"/>
      <c r="R522" s="412"/>
      <c r="S522" s="412"/>
      <c r="T522" s="412"/>
      <c r="U522" s="412"/>
      <c r="V522" s="412"/>
      <c r="W522" s="412"/>
      <c r="X522" s="412"/>
      <c r="Y522" s="412"/>
      <c r="Z522" s="412"/>
      <c r="AA522" s="412"/>
      <c r="AB522" s="412"/>
      <c r="AC522" s="412"/>
      <c r="AD522" s="412"/>
      <c r="AE522" s="412"/>
      <c r="AF522" s="412"/>
      <c r="AG522" s="412"/>
      <c r="AH522" s="412"/>
      <c r="AI522" s="412"/>
      <c r="AJ522" s="412"/>
      <c r="AK522" s="412"/>
      <c r="AL522" s="412"/>
      <c r="AM522" s="412"/>
      <c r="AN522" s="412"/>
      <c r="AO522" s="412"/>
      <c r="AP522" s="412"/>
      <c r="AQ522" s="449"/>
    </row>
    <row r="523" spans="3:43" ht="18" x14ac:dyDescent="0.25">
      <c r="C523" s="250"/>
      <c r="D523" s="935" t="s">
        <v>1260</v>
      </c>
      <c r="E523" s="898"/>
      <c r="F523" s="898"/>
      <c r="G523" s="898"/>
      <c r="H523" s="898"/>
      <c r="I523" s="898"/>
      <c r="J523" s="898"/>
      <c r="K523" s="898"/>
      <c r="L523" s="898"/>
      <c r="M523" s="898"/>
      <c r="N523" s="933"/>
      <c r="O523" s="15"/>
      <c r="P523" s="15"/>
      <c r="Q523" s="15"/>
      <c r="R523" s="412"/>
      <c r="S523" s="412"/>
      <c r="T523" s="412"/>
      <c r="U523" s="412"/>
      <c r="V523" s="412"/>
      <c r="W523" s="412"/>
      <c r="X523" s="412"/>
      <c r="Y523" s="412"/>
      <c r="Z523" s="412"/>
      <c r="AA523" s="412"/>
      <c r="AB523" s="412"/>
      <c r="AC523" s="412"/>
      <c r="AD523" s="412"/>
      <c r="AE523" s="412"/>
      <c r="AF523" s="412"/>
      <c r="AG523" s="412"/>
      <c r="AH523" s="412"/>
      <c r="AI523" s="412"/>
      <c r="AJ523" s="412"/>
      <c r="AK523" s="412"/>
      <c r="AL523" s="412"/>
      <c r="AM523" s="412"/>
      <c r="AN523" s="412"/>
      <c r="AO523" s="412"/>
      <c r="AP523" s="412"/>
      <c r="AQ523" s="449"/>
    </row>
    <row r="524" spans="3:43" ht="9.9499999999999993" customHeight="1" x14ac:dyDescent="0.25">
      <c r="C524" s="250"/>
      <c r="D524" s="935"/>
      <c r="E524" s="898"/>
      <c r="F524" s="898"/>
      <c r="G524" s="898"/>
      <c r="H524" s="898"/>
      <c r="I524" s="898"/>
      <c r="J524" s="898"/>
      <c r="K524" s="898"/>
      <c r="L524" s="898"/>
      <c r="M524" s="898"/>
      <c r="N524" s="933"/>
      <c r="O524" s="15"/>
      <c r="P524" s="15"/>
      <c r="Q524" s="15"/>
      <c r="R524" s="412"/>
      <c r="S524" s="412"/>
      <c r="T524" s="412"/>
      <c r="U524" s="412"/>
      <c r="V524" s="412"/>
      <c r="W524" s="412"/>
      <c r="X524" s="412"/>
      <c r="Y524" s="412"/>
      <c r="Z524" s="412"/>
      <c r="AA524" s="412"/>
      <c r="AB524" s="412"/>
      <c r="AC524" s="412"/>
      <c r="AD524" s="412"/>
      <c r="AE524" s="412"/>
      <c r="AF524" s="412"/>
      <c r="AG524" s="412"/>
      <c r="AH524" s="412"/>
      <c r="AI524" s="412"/>
      <c r="AJ524" s="412"/>
      <c r="AK524" s="412"/>
      <c r="AL524" s="412"/>
      <c r="AM524" s="412"/>
      <c r="AN524" s="412"/>
      <c r="AO524" s="412"/>
      <c r="AP524" s="412"/>
      <c r="AQ524" s="449"/>
    </row>
    <row r="525" spans="3:43" ht="15" x14ac:dyDescent="0.2">
      <c r="C525" s="250"/>
      <c r="D525" s="934" t="s">
        <v>1258</v>
      </c>
      <c r="E525" s="899"/>
      <c r="F525" s="899"/>
      <c r="G525" s="899"/>
      <c r="H525" s="899"/>
      <c r="I525" s="899"/>
      <c r="J525" s="899"/>
      <c r="K525" s="899"/>
      <c r="L525" s="899"/>
      <c r="M525" s="899"/>
      <c r="N525" s="933"/>
      <c r="O525" s="15"/>
      <c r="P525" s="15"/>
      <c r="Q525" s="15"/>
      <c r="R525" s="412"/>
      <c r="S525" s="412"/>
      <c r="T525" s="412"/>
      <c r="U525" s="412"/>
      <c r="V525" s="412"/>
      <c r="W525" s="412"/>
      <c r="X525" s="412"/>
      <c r="Y525" s="412"/>
      <c r="Z525" s="412"/>
      <c r="AA525" s="412"/>
      <c r="AB525" s="412"/>
      <c r="AC525" s="412"/>
      <c r="AD525" s="412"/>
      <c r="AE525" s="412"/>
      <c r="AF525" s="412"/>
      <c r="AG525" s="412"/>
      <c r="AH525" s="412"/>
      <c r="AI525" s="412"/>
      <c r="AJ525" s="412"/>
      <c r="AK525" s="412"/>
      <c r="AL525" s="412"/>
      <c r="AM525" s="412"/>
      <c r="AN525" s="412"/>
      <c r="AO525" s="412"/>
      <c r="AP525" s="412"/>
      <c r="AQ525" s="449"/>
    </row>
    <row r="526" spans="3:43" x14ac:dyDescent="0.2">
      <c r="C526" s="250"/>
      <c r="D526" s="936"/>
      <c r="E526" s="937"/>
      <c r="F526" s="937"/>
      <c r="G526" s="937"/>
      <c r="H526" s="937"/>
      <c r="I526" s="937"/>
      <c r="J526" s="937"/>
      <c r="K526" s="937"/>
      <c r="L526" s="937"/>
      <c r="M526" s="937"/>
      <c r="N526" s="938"/>
      <c r="O526" s="15"/>
      <c r="P526" s="15"/>
      <c r="Q526" s="15"/>
      <c r="R526" s="412"/>
      <c r="S526" s="412"/>
      <c r="T526" s="412"/>
      <c r="U526" s="412"/>
      <c r="V526" s="412"/>
      <c r="W526" s="412"/>
      <c r="X526" s="412"/>
      <c r="Y526" s="412"/>
      <c r="Z526" s="412"/>
      <c r="AA526" s="412"/>
      <c r="AB526" s="412"/>
      <c r="AC526" s="412"/>
      <c r="AD526" s="412"/>
      <c r="AE526" s="412"/>
      <c r="AF526" s="412"/>
      <c r="AG526" s="412"/>
      <c r="AH526" s="412"/>
      <c r="AI526" s="412"/>
      <c r="AJ526" s="412"/>
      <c r="AK526" s="412"/>
      <c r="AL526" s="412"/>
      <c r="AM526" s="412"/>
      <c r="AN526" s="412"/>
      <c r="AO526" s="412"/>
      <c r="AP526" s="412"/>
      <c r="AQ526" s="449"/>
    </row>
    <row r="527" spans="3:43" ht="5.0999999999999996" customHeight="1" x14ac:dyDescent="0.2">
      <c r="C527" s="250"/>
      <c r="D527" s="178"/>
      <c r="E527" s="178"/>
      <c r="F527" s="178"/>
      <c r="G527" s="178"/>
      <c r="H527" s="178"/>
      <c r="I527" s="178"/>
      <c r="J527" s="178"/>
      <c r="K527" s="178"/>
      <c r="L527" s="178"/>
      <c r="M527" s="178"/>
      <c r="N527" s="178"/>
      <c r="O527" s="15"/>
      <c r="P527" s="15"/>
      <c r="Q527" s="15"/>
      <c r="R527" s="412"/>
      <c r="S527" s="412"/>
      <c r="T527" s="412"/>
      <c r="U527" s="412"/>
      <c r="V527" s="412"/>
      <c r="W527" s="412"/>
      <c r="X527" s="412"/>
      <c r="Y527" s="412"/>
      <c r="Z527" s="412"/>
      <c r="AA527" s="412"/>
      <c r="AB527" s="412"/>
      <c r="AC527" s="412"/>
      <c r="AD527" s="412"/>
      <c r="AE527" s="412"/>
      <c r="AF527" s="412"/>
      <c r="AG527" s="412"/>
      <c r="AH527" s="412"/>
      <c r="AI527" s="412"/>
      <c r="AJ527" s="412"/>
      <c r="AK527" s="412"/>
      <c r="AL527" s="412"/>
      <c r="AM527" s="412"/>
      <c r="AN527" s="412"/>
      <c r="AO527" s="412"/>
      <c r="AP527" s="412"/>
      <c r="AQ527" s="449"/>
    </row>
    <row r="528" spans="3:43" ht="5.0999999999999996" customHeight="1" thickBot="1" x14ac:dyDescent="0.25">
      <c r="C528" s="250"/>
      <c r="D528" s="250"/>
      <c r="E528" s="827"/>
      <c r="F528" s="250"/>
      <c r="G528" s="250"/>
      <c r="H528" s="250"/>
      <c r="I528" s="250"/>
      <c r="J528" s="250"/>
      <c r="K528" s="250"/>
      <c r="L528" s="250"/>
      <c r="M528" s="250"/>
      <c r="N528" s="250"/>
      <c r="O528" s="15"/>
      <c r="P528" s="15"/>
      <c r="Q528" s="15"/>
      <c r="R528" s="412"/>
      <c r="S528" s="412"/>
      <c r="T528" s="412"/>
      <c r="U528" s="412"/>
      <c r="V528" s="412"/>
      <c r="W528" s="412"/>
      <c r="X528" s="412"/>
      <c r="Y528" s="412"/>
      <c r="Z528" s="412"/>
      <c r="AA528" s="412"/>
      <c r="AB528" s="412"/>
      <c r="AC528" s="412"/>
      <c r="AD528" s="412"/>
      <c r="AE528" s="412"/>
      <c r="AF528" s="412"/>
      <c r="AG528" s="412"/>
      <c r="AH528" s="412"/>
      <c r="AI528" s="412"/>
      <c r="AJ528" s="412"/>
      <c r="AK528" s="412"/>
      <c r="AL528" s="412"/>
      <c r="AM528" s="412"/>
      <c r="AN528" s="412"/>
      <c r="AO528" s="412"/>
      <c r="AP528" s="412"/>
      <c r="AQ528" s="449"/>
    </row>
    <row r="529" spans="2:43" ht="5.0999999999999996" customHeight="1" x14ac:dyDescent="0.2">
      <c r="C529" s="828"/>
      <c r="D529" s="1395" t="s">
        <v>1122</v>
      </c>
      <c r="E529" s="1396"/>
      <c r="F529" s="1396"/>
      <c r="G529" s="1396"/>
      <c r="H529" s="1396"/>
      <c r="I529" s="1396"/>
      <c r="J529" s="1396"/>
      <c r="K529" s="1396"/>
      <c r="L529" s="1396"/>
      <c r="M529" s="1396"/>
      <c r="N529" s="1397"/>
      <c r="O529" s="15"/>
      <c r="P529" s="15"/>
      <c r="Q529" s="15"/>
      <c r="R529" s="412"/>
      <c r="S529" s="412"/>
      <c r="T529" s="412"/>
      <c r="U529" s="412"/>
      <c r="V529" s="412"/>
      <c r="W529" s="412"/>
      <c r="X529" s="412"/>
      <c r="Y529" s="412"/>
      <c r="Z529" s="412"/>
      <c r="AA529" s="412"/>
      <c r="AB529" s="412"/>
      <c r="AC529" s="412"/>
      <c r="AD529" s="412"/>
      <c r="AE529" s="412"/>
      <c r="AF529" s="412"/>
      <c r="AG529" s="412"/>
      <c r="AH529" s="412"/>
      <c r="AI529" s="412"/>
      <c r="AJ529" s="412"/>
      <c r="AK529" s="412"/>
      <c r="AL529" s="412"/>
      <c r="AM529" s="412"/>
      <c r="AN529" s="412"/>
      <c r="AO529" s="412"/>
      <c r="AP529" s="412"/>
      <c r="AQ529" s="449"/>
    </row>
    <row r="530" spans="2:43" ht="24.95" customHeight="1" thickBot="1" x14ac:dyDescent="0.25">
      <c r="C530" s="828"/>
      <c r="D530" s="1398"/>
      <c r="E530" s="1399"/>
      <c r="F530" s="1399"/>
      <c r="G530" s="1399"/>
      <c r="H530" s="1399"/>
      <c r="I530" s="1399"/>
      <c r="J530" s="1399"/>
      <c r="K530" s="1399"/>
      <c r="L530" s="1399"/>
      <c r="M530" s="1399"/>
      <c r="N530" s="1400"/>
      <c r="O530" s="15"/>
      <c r="P530" s="15"/>
      <c r="Q530" s="15"/>
      <c r="R530" s="412"/>
      <c r="S530" s="412"/>
      <c r="T530" s="412"/>
      <c r="U530" s="412"/>
      <c r="V530" s="412"/>
      <c r="W530" s="412"/>
      <c r="X530" s="412"/>
      <c r="Y530" s="412"/>
      <c r="Z530" s="412"/>
      <c r="AA530" s="412"/>
      <c r="AB530" s="412"/>
      <c r="AC530" s="412"/>
      <c r="AD530" s="412"/>
      <c r="AE530" s="412"/>
      <c r="AF530" s="412"/>
      <c r="AG530" s="412"/>
      <c r="AH530" s="412"/>
      <c r="AI530" s="412"/>
      <c r="AJ530" s="412"/>
      <c r="AK530" s="412"/>
      <c r="AL530" s="412"/>
      <c r="AM530" s="412"/>
      <c r="AN530" s="412"/>
      <c r="AO530" s="412"/>
      <c r="AP530" s="412"/>
      <c r="AQ530" s="449"/>
    </row>
    <row r="531" spans="2:43" x14ac:dyDescent="0.2">
      <c r="C531" s="150"/>
      <c r="D531" s="905"/>
      <c r="E531" s="896"/>
      <c r="F531" s="896"/>
      <c r="G531" s="896"/>
      <c r="H531" s="896"/>
      <c r="I531" s="896"/>
      <c r="J531" s="896"/>
      <c r="K531" s="896"/>
      <c r="L531" s="896"/>
      <c r="M531" s="896"/>
      <c r="N531" s="939"/>
      <c r="O531" s="15"/>
      <c r="P531" s="15"/>
      <c r="Q531" s="15"/>
      <c r="R531" s="412"/>
      <c r="S531" s="412"/>
      <c r="T531" s="412"/>
      <c r="U531" s="412"/>
      <c r="V531" s="412"/>
      <c r="W531" s="412"/>
      <c r="X531" s="412"/>
      <c r="Y531" s="412"/>
      <c r="Z531" s="412"/>
      <c r="AA531" s="412"/>
      <c r="AB531" s="412"/>
      <c r="AC531" s="412"/>
      <c r="AD531" s="412"/>
      <c r="AE531" s="412"/>
      <c r="AF531" s="412"/>
      <c r="AG531" s="412"/>
      <c r="AH531" s="412"/>
      <c r="AI531" s="412"/>
      <c r="AJ531" s="412"/>
      <c r="AK531" s="412"/>
      <c r="AL531" s="412"/>
      <c r="AM531" s="412"/>
      <c r="AN531" s="412"/>
      <c r="AO531" s="412"/>
      <c r="AP531" s="412"/>
      <c r="AQ531" s="449"/>
    </row>
    <row r="532" spans="2:43" ht="18" x14ac:dyDescent="0.25">
      <c r="C532" s="154"/>
      <c r="D532" s="940" t="s">
        <v>458</v>
      </c>
      <c r="E532" s="897"/>
      <c r="F532" s="897"/>
      <c r="G532" s="897"/>
      <c r="H532" s="897"/>
      <c r="I532" s="897"/>
      <c r="J532" s="897"/>
      <c r="K532" s="897"/>
      <c r="L532" s="897"/>
      <c r="M532" s="897"/>
      <c r="N532" s="907"/>
      <c r="O532" s="15"/>
      <c r="P532" s="15"/>
      <c r="Q532" s="15"/>
      <c r="R532" s="412"/>
      <c r="S532" s="412"/>
      <c r="T532" s="412"/>
      <c r="U532" s="412"/>
      <c r="V532" s="412"/>
      <c r="W532" s="412"/>
      <c r="X532" s="412"/>
      <c r="Y532" s="412"/>
      <c r="Z532" s="412"/>
      <c r="AA532" s="412"/>
      <c r="AB532" s="412"/>
      <c r="AC532" s="412"/>
      <c r="AD532" s="412"/>
      <c r="AE532" s="412"/>
      <c r="AF532" s="412"/>
      <c r="AG532" s="412"/>
      <c r="AH532" s="412"/>
      <c r="AI532" s="412"/>
      <c r="AJ532" s="412"/>
      <c r="AK532" s="412"/>
      <c r="AL532" s="412"/>
      <c r="AM532" s="412"/>
      <c r="AN532" s="412"/>
      <c r="AO532" s="412"/>
      <c r="AP532" s="412"/>
      <c r="AQ532" s="449"/>
    </row>
    <row r="533" spans="2:43" ht="18" x14ac:dyDescent="0.25">
      <c r="C533" s="154"/>
      <c r="D533" s="940" t="s">
        <v>459</v>
      </c>
      <c r="E533" s="897"/>
      <c r="F533" s="897"/>
      <c r="G533" s="897"/>
      <c r="H533" s="897"/>
      <c r="I533" s="897"/>
      <c r="J533" s="897"/>
      <c r="K533" s="897"/>
      <c r="L533" s="897"/>
      <c r="M533" s="897"/>
      <c r="N533" s="907"/>
      <c r="O533" s="15"/>
      <c r="P533" s="15"/>
      <c r="Q533" s="15"/>
      <c r="R533" s="412"/>
      <c r="S533" s="412"/>
      <c r="T533" s="412"/>
      <c r="U533" s="412"/>
      <c r="V533" s="412"/>
      <c r="W533" s="412"/>
      <c r="X533" s="412"/>
      <c r="Y533" s="412"/>
      <c r="Z533" s="412"/>
      <c r="AA533" s="412"/>
      <c r="AB533" s="412"/>
      <c r="AC533" s="412"/>
      <c r="AD533" s="412"/>
      <c r="AE533" s="412"/>
      <c r="AF533" s="412"/>
      <c r="AG533" s="412"/>
      <c r="AH533" s="412"/>
      <c r="AI533" s="412"/>
      <c r="AJ533" s="412"/>
      <c r="AK533" s="412"/>
      <c r="AL533" s="412"/>
      <c r="AM533" s="412"/>
      <c r="AN533" s="412"/>
      <c r="AO533" s="412"/>
      <c r="AP533" s="412"/>
      <c r="AQ533" s="449"/>
    </row>
    <row r="534" spans="2:43" ht="18" x14ac:dyDescent="0.25">
      <c r="C534" s="154"/>
      <c r="D534" s="940"/>
      <c r="E534" s="897"/>
      <c r="F534" s="897"/>
      <c r="G534" s="897"/>
      <c r="H534" s="897"/>
      <c r="I534" s="897"/>
      <c r="J534" s="897"/>
      <c r="K534" s="897"/>
      <c r="L534" s="897"/>
      <c r="M534" s="897"/>
      <c r="N534" s="907"/>
      <c r="O534" s="15"/>
      <c r="P534" s="15"/>
      <c r="Q534" s="15"/>
      <c r="R534" s="412"/>
      <c r="S534" s="412"/>
      <c r="T534" s="412"/>
      <c r="U534" s="412"/>
      <c r="V534" s="412"/>
      <c r="W534" s="412"/>
      <c r="X534" s="412"/>
      <c r="Y534" s="412"/>
      <c r="Z534" s="412"/>
      <c r="AA534" s="412"/>
      <c r="AB534" s="412"/>
      <c r="AC534" s="412"/>
      <c r="AD534" s="412"/>
      <c r="AE534" s="412"/>
      <c r="AF534" s="412"/>
      <c r="AG534" s="412"/>
      <c r="AH534" s="412"/>
      <c r="AI534" s="412"/>
      <c r="AJ534" s="412"/>
      <c r="AK534" s="412"/>
      <c r="AL534" s="412"/>
      <c r="AM534" s="412"/>
      <c r="AN534" s="412"/>
      <c r="AO534" s="412"/>
      <c r="AP534" s="412"/>
      <c r="AQ534" s="449"/>
    </row>
    <row r="535" spans="2:43" ht="15" x14ac:dyDescent="0.2">
      <c r="C535" s="154"/>
      <c r="D535" s="941" t="s">
        <v>460</v>
      </c>
      <c r="E535" s="897"/>
      <c r="F535" s="897"/>
      <c r="G535" s="897"/>
      <c r="H535" s="897"/>
      <c r="I535" s="897"/>
      <c r="J535" s="897"/>
      <c r="K535" s="897"/>
      <c r="L535" s="897"/>
      <c r="M535" s="897"/>
      <c r="N535" s="907"/>
      <c r="O535" s="15"/>
      <c r="P535" s="15"/>
      <c r="Q535" s="15"/>
      <c r="R535" s="412"/>
      <c r="S535" s="412"/>
      <c r="T535" s="412"/>
      <c r="U535" s="412"/>
      <c r="V535" s="412"/>
      <c r="W535" s="412"/>
      <c r="X535" s="412"/>
      <c r="Y535" s="412"/>
      <c r="Z535" s="412"/>
      <c r="AA535" s="412"/>
      <c r="AB535" s="412"/>
      <c r="AC535" s="412"/>
      <c r="AD535" s="412"/>
      <c r="AE535" s="412"/>
      <c r="AF535" s="412"/>
      <c r="AG535" s="412"/>
      <c r="AH535" s="412"/>
      <c r="AI535" s="412"/>
      <c r="AJ535" s="412"/>
      <c r="AK535" s="412"/>
      <c r="AL535" s="412"/>
      <c r="AM535" s="412"/>
      <c r="AN535" s="412"/>
      <c r="AO535" s="412"/>
      <c r="AP535" s="412"/>
      <c r="AQ535" s="449"/>
    </row>
    <row r="536" spans="2:43" ht="15" x14ac:dyDescent="0.2">
      <c r="C536" s="154"/>
      <c r="D536" s="942" t="s">
        <v>461</v>
      </c>
      <c r="E536" s="897"/>
      <c r="F536" s="897"/>
      <c r="G536" s="897"/>
      <c r="H536" s="897"/>
      <c r="I536" s="897"/>
      <c r="J536" s="897"/>
      <c r="K536" s="897"/>
      <c r="L536" s="897"/>
      <c r="M536" s="897"/>
      <c r="N536" s="907"/>
      <c r="O536" s="15"/>
      <c r="P536" s="15"/>
      <c r="Q536" s="15"/>
      <c r="R536" s="412"/>
      <c r="S536" s="412"/>
      <c r="T536" s="412"/>
      <c r="U536" s="412"/>
      <c r="V536" s="412"/>
      <c r="W536" s="412"/>
      <c r="X536" s="412"/>
      <c r="Y536" s="412"/>
      <c r="Z536" s="412"/>
      <c r="AA536" s="412"/>
      <c r="AB536" s="412"/>
      <c r="AC536" s="412"/>
      <c r="AD536" s="412"/>
      <c r="AE536" s="412"/>
      <c r="AF536" s="412"/>
      <c r="AG536" s="412"/>
      <c r="AH536" s="412"/>
      <c r="AI536" s="412"/>
      <c r="AJ536" s="412"/>
      <c r="AK536" s="412"/>
      <c r="AL536" s="412"/>
      <c r="AM536" s="412"/>
      <c r="AN536" s="412"/>
      <c r="AO536" s="412"/>
      <c r="AP536" s="412"/>
      <c r="AQ536" s="449"/>
    </row>
    <row r="537" spans="2:43" ht="15" x14ac:dyDescent="0.2">
      <c r="C537" s="157"/>
      <c r="D537" s="942" t="s">
        <v>462</v>
      </c>
      <c r="E537" s="899"/>
      <c r="F537" s="911"/>
      <c r="G537" s="911"/>
      <c r="H537" s="899"/>
      <c r="I537" s="911"/>
      <c r="J537" s="911"/>
      <c r="K537" s="911"/>
      <c r="L537" s="911"/>
      <c r="M537" s="911"/>
      <c r="N537" s="907"/>
      <c r="O537" s="15"/>
      <c r="P537" s="15"/>
      <c r="Q537" s="15"/>
      <c r="R537" s="412"/>
      <c r="S537" s="412"/>
      <c r="T537" s="412"/>
      <c r="U537" s="412"/>
      <c r="V537" s="412"/>
      <c r="W537" s="412"/>
      <c r="X537" s="412"/>
      <c r="Y537" s="412"/>
      <c r="Z537" s="412"/>
      <c r="AA537" s="412"/>
      <c r="AB537" s="412"/>
      <c r="AC537" s="412"/>
      <c r="AD537" s="412"/>
      <c r="AE537" s="412"/>
      <c r="AF537" s="412"/>
      <c r="AG537" s="412"/>
      <c r="AH537" s="412"/>
      <c r="AI537" s="412"/>
      <c r="AJ537" s="412"/>
      <c r="AK537" s="412"/>
      <c r="AL537" s="412"/>
      <c r="AM537" s="412"/>
      <c r="AN537" s="412"/>
      <c r="AO537" s="412"/>
      <c r="AP537" s="412"/>
      <c r="AQ537" s="449"/>
    </row>
    <row r="538" spans="2:43" ht="15" x14ac:dyDescent="0.2">
      <c r="C538" s="157"/>
      <c r="D538" s="941"/>
      <c r="E538" s="899"/>
      <c r="F538" s="911"/>
      <c r="G538" s="911"/>
      <c r="H538" s="899"/>
      <c r="I538" s="911"/>
      <c r="J538" s="911"/>
      <c r="K538" s="911"/>
      <c r="L538" s="911"/>
      <c r="M538" s="911"/>
      <c r="N538" s="907"/>
      <c r="O538" s="15"/>
      <c r="P538" s="15"/>
      <c r="Q538" s="15"/>
      <c r="R538" s="412"/>
      <c r="S538" s="412"/>
      <c r="T538" s="412"/>
      <c r="U538" s="412"/>
      <c r="V538" s="412"/>
      <c r="W538" s="412"/>
      <c r="X538" s="412"/>
      <c r="Y538" s="412"/>
      <c r="Z538" s="412"/>
      <c r="AA538" s="412"/>
      <c r="AB538" s="412"/>
      <c r="AC538" s="412"/>
      <c r="AD538" s="412"/>
      <c r="AE538" s="412"/>
      <c r="AF538" s="412"/>
      <c r="AG538" s="412"/>
      <c r="AH538" s="412"/>
      <c r="AI538" s="412"/>
      <c r="AJ538" s="412"/>
      <c r="AK538" s="412"/>
      <c r="AL538" s="412"/>
      <c r="AM538" s="412"/>
      <c r="AN538" s="412"/>
      <c r="AO538" s="412"/>
      <c r="AP538" s="412"/>
      <c r="AQ538" s="449"/>
    </row>
    <row r="539" spans="2:43" ht="15" x14ac:dyDescent="0.2">
      <c r="B539" s="412"/>
      <c r="C539" s="157"/>
      <c r="D539" s="941" t="s">
        <v>463</v>
      </c>
      <c r="E539" s="899"/>
      <c r="F539" s="911"/>
      <c r="G539" s="911"/>
      <c r="H539" s="899"/>
      <c r="I539" s="911"/>
      <c r="J539" s="911"/>
      <c r="K539" s="911"/>
      <c r="L539" s="911"/>
      <c r="M539" s="911"/>
      <c r="N539" s="907"/>
      <c r="O539" s="15"/>
      <c r="P539" s="412"/>
      <c r="Q539" s="412"/>
      <c r="R539" s="412"/>
      <c r="S539" s="412"/>
      <c r="T539" s="412"/>
      <c r="U539" s="412"/>
      <c r="V539" s="412"/>
      <c r="W539" s="412"/>
      <c r="X539" s="412"/>
      <c r="Y539" s="412"/>
      <c r="Z539" s="412"/>
      <c r="AA539" s="412"/>
      <c r="AB539" s="412"/>
      <c r="AC539" s="412"/>
      <c r="AD539" s="412"/>
      <c r="AE539" s="412"/>
      <c r="AF539" s="412"/>
      <c r="AG539" s="412"/>
      <c r="AH539" s="412"/>
      <c r="AI539" s="412"/>
      <c r="AJ539" s="412"/>
      <c r="AK539" s="412"/>
      <c r="AL539" s="412"/>
      <c r="AM539" s="412"/>
      <c r="AN539" s="412"/>
      <c r="AO539" s="412"/>
      <c r="AP539" s="412"/>
      <c r="AQ539" s="449"/>
    </row>
    <row r="540" spans="2:43" ht="15" x14ac:dyDescent="0.2">
      <c r="B540" s="412"/>
      <c r="C540" s="157"/>
      <c r="D540" s="942" t="s">
        <v>1601</v>
      </c>
      <c r="E540" s="899"/>
      <c r="F540" s="911"/>
      <c r="G540" s="911"/>
      <c r="H540" s="899"/>
      <c r="I540" s="911"/>
      <c r="J540" s="911"/>
      <c r="K540" s="911"/>
      <c r="L540" s="911"/>
      <c r="M540" s="911"/>
      <c r="N540" s="907"/>
      <c r="O540" s="15"/>
      <c r="P540" s="412"/>
      <c r="Q540" s="412"/>
      <c r="R540" s="412"/>
      <c r="S540" s="412"/>
      <c r="T540" s="412"/>
      <c r="U540" s="412"/>
      <c r="V540" s="412"/>
      <c r="W540" s="412"/>
      <c r="X540" s="412"/>
      <c r="Y540" s="412"/>
      <c r="Z540" s="412"/>
      <c r="AA540" s="412"/>
      <c r="AB540" s="412"/>
      <c r="AC540" s="412"/>
      <c r="AD540" s="412"/>
      <c r="AE540" s="412"/>
      <c r="AF540" s="412"/>
      <c r="AG540" s="412"/>
      <c r="AH540" s="412"/>
      <c r="AI540" s="412"/>
      <c r="AJ540" s="412"/>
      <c r="AK540" s="412"/>
      <c r="AL540" s="412"/>
      <c r="AM540" s="412"/>
      <c r="AN540" s="412"/>
      <c r="AO540" s="412"/>
      <c r="AP540" s="412"/>
      <c r="AQ540" s="449"/>
    </row>
    <row r="541" spans="2:43" ht="15" x14ac:dyDescent="0.2">
      <c r="B541" s="412"/>
      <c r="C541" s="157"/>
      <c r="D541" s="943" t="s">
        <v>464</v>
      </c>
      <c r="E541" s="899"/>
      <c r="F541" s="911"/>
      <c r="G541" s="911"/>
      <c r="H541" s="899"/>
      <c r="I541" s="911"/>
      <c r="J541" s="911"/>
      <c r="K541" s="911"/>
      <c r="L541" s="911"/>
      <c r="M541" s="911"/>
      <c r="N541" s="907"/>
      <c r="O541" s="15"/>
      <c r="P541" s="412"/>
      <c r="Q541" s="412"/>
      <c r="R541" s="412"/>
      <c r="S541" s="412"/>
      <c r="T541" s="412"/>
      <c r="U541" s="412"/>
      <c r="V541" s="412"/>
      <c r="W541" s="412"/>
      <c r="X541" s="412"/>
      <c r="Y541" s="412"/>
      <c r="Z541" s="412"/>
      <c r="AA541" s="412"/>
      <c r="AB541" s="412"/>
      <c r="AC541" s="412"/>
      <c r="AD541" s="412"/>
      <c r="AE541" s="412"/>
      <c r="AF541" s="412"/>
      <c r="AG541" s="412"/>
      <c r="AH541" s="412"/>
      <c r="AI541" s="412"/>
      <c r="AJ541" s="412"/>
      <c r="AK541" s="412"/>
      <c r="AL541" s="412"/>
      <c r="AM541" s="412"/>
      <c r="AN541" s="412"/>
      <c r="AO541" s="412"/>
      <c r="AP541" s="412"/>
      <c r="AQ541" s="449"/>
    </row>
    <row r="542" spans="2:43" x14ac:dyDescent="0.2">
      <c r="B542" s="412"/>
      <c r="C542" s="226"/>
      <c r="D542" s="944"/>
      <c r="E542" s="902"/>
      <c r="F542" s="945"/>
      <c r="G542" s="945"/>
      <c r="H542" s="902"/>
      <c r="I542" s="945"/>
      <c r="J542" s="945"/>
      <c r="K542" s="945"/>
      <c r="L542" s="945"/>
      <c r="M542" s="945"/>
      <c r="N542" s="906"/>
      <c r="O542" s="15"/>
      <c r="P542" s="412"/>
      <c r="Q542" s="412"/>
      <c r="R542" s="412"/>
      <c r="S542" s="412"/>
      <c r="T542" s="412"/>
      <c r="U542" s="412"/>
      <c r="V542" s="412"/>
      <c r="W542" s="412"/>
      <c r="X542" s="412"/>
      <c r="Y542" s="412"/>
      <c r="Z542" s="412"/>
      <c r="AA542" s="412"/>
      <c r="AB542" s="412"/>
      <c r="AC542" s="412"/>
      <c r="AD542" s="412"/>
      <c r="AE542" s="412"/>
      <c r="AF542" s="412"/>
      <c r="AG542" s="412"/>
      <c r="AH542" s="412"/>
      <c r="AI542" s="412"/>
      <c r="AJ542" s="412"/>
      <c r="AK542" s="412"/>
      <c r="AL542" s="412"/>
      <c r="AM542" s="412"/>
      <c r="AN542" s="412"/>
      <c r="AO542" s="412"/>
      <c r="AP542" s="412"/>
      <c r="AQ542" s="449"/>
    </row>
    <row r="543" spans="2:43" ht="15" x14ac:dyDescent="0.2">
      <c r="B543" s="412"/>
      <c r="C543" s="157"/>
      <c r="D543" s="941" t="s">
        <v>91</v>
      </c>
      <c r="E543" s="899"/>
      <c r="F543" s="911"/>
      <c r="G543" s="911"/>
      <c r="H543" s="899"/>
      <c r="I543" s="911"/>
      <c r="J543" s="911"/>
      <c r="K543" s="911"/>
      <c r="L543" s="911"/>
      <c r="M543" s="911"/>
      <c r="N543" s="907"/>
      <c r="O543" s="15"/>
      <c r="P543" s="412"/>
      <c r="Q543" s="412"/>
      <c r="R543" s="412"/>
      <c r="S543" s="412"/>
      <c r="T543" s="412"/>
      <c r="U543" s="412"/>
      <c r="V543" s="412"/>
      <c r="W543" s="412"/>
      <c r="X543" s="412"/>
      <c r="Y543" s="412"/>
      <c r="Z543" s="412"/>
      <c r="AA543" s="412"/>
      <c r="AB543" s="412"/>
      <c r="AC543" s="412"/>
      <c r="AD543" s="412"/>
      <c r="AE543" s="412"/>
      <c r="AF543" s="412"/>
      <c r="AG543" s="412"/>
      <c r="AH543" s="412"/>
      <c r="AI543" s="412"/>
      <c r="AJ543" s="412"/>
      <c r="AK543" s="412"/>
      <c r="AL543" s="412"/>
      <c r="AM543" s="412"/>
      <c r="AN543" s="412"/>
      <c r="AO543" s="412"/>
      <c r="AP543" s="412"/>
      <c r="AQ543" s="449"/>
    </row>
    <row r="544" spans="2:43" ht="15" x14ac:dyDescent="0.2">
      <c r="B544" s="412"/>
      <c r="C544" s="158"/>
      <c r="D544" s="942" t="s">
        <v>465</v>
      </c>
      <c r="E544" s="904"/>
      <c r="F544" s="900"/>
      <c r="G544" s="900"/>
      <c r="H544" s="900"/>
      <c r="I544" s="900"/>
      <c r="J544" s="900"/>
      <c r="K544" s="900"/>
      <c r="L544" s="900"/>
      <c r="M544" s="900"/>
      <c r="N544" s="906"/>
      <c r="O544" s="15"/>
      <c r="P544" s="412"/>
      <c r="Q544" s="412"/>
      <c r="R544" s="412"/>
      <c r="S544" s="412"/>
      <c r="T544" s="412"/>
      <c r="U544" s="412"/>
      <c r="V544" s="412"/>
      <c r="W544" s="412"/>
      <c r="X544" s="412"/>
      <c r="Y544" s="412"/>
      <c r="Z544" s="412"/>
      <c r="AA544" s="412"/>
      <c r="AB544" s="412"/>
      <c r="AC544" s="412"/>
      <c r="AD544" s="412"/>
      <c r="AE544" s="412"/>
      <c r="AF544" s="412"/>
      <c r="AG544" s="412"/>
      <c r="AH544" s="412"/>
      <c r="AI544" s="412"/>
      <c r="AJ544" s="412"/>
      <c r="AK544" s="412"/>
      <c r="AL544" s="412"/>
      <c r="AM544" s="412"/>
      <c r="AN544" s="412"/>
      <c r="AO544" s="412"/>
      <c r="AP544" s="412"/>
      <c r="AQ544" s="449"/>
    </row>
    <row r="545" spans="2:43" ht="15" x14ac:dyDescent="0.2">
      <c r="B545" s="412"/>
      <c r="C545" s="158"/>
      <c r="D545" s="942" t="s">
        <v>466</v>
      </c>
      <c r="E545" s="904"/>
      <c r="F545" s="900"/>
      <c r="G545" s="900"/>
      <c r="H545" s="900"/>
      <c r="I545" s="900"/>
      <c r="J545" s="900"/>
      <c r="K545" s="900"/>
      <c r="L545" s="900"/>
      <c r="M545" s="900"/>
      <c r="N545" s="906"/>
      <c r="O545" s="15"/>
      <c r="P545" s="412"/>
      <c r="Q545" s="412"/>
      <c r="R545" s="412"/>
      <c r="S545" s="412"/>
      <c r="T545" s="412"/>
      <c r="U545" s="412"/>
      <c r="V545" s="412"/>
      <c r="W545" s="412"/>
      <c r="X545" s="412"/>
      <c r="Y545" s="412"/>
      <c r="Z545" s="412"/>
      <c r="AA545" s="412"/>
      <c r="AB545" s="412"/>
      <c r="AC545" s="412"/>
      <c r="AD545" s="412"/>
      <c r="AE545" s="412"/>
      <c r="AF545" s="412"/>
      <c r="AG545" s="412"/>
      <c r="AH545" s="412"/>
      <c r="AI545" s="412"/>
      <c r="AJ545" s="412"/>
      <c r="AK545" s="412"/>
      <c r="AL545" s="412"/>
      <c r="AM545" s="412"/>
      <c r="AN545" s="412"/>
      <c r="AO545" s="412"/>
      <c r="AP545" s="412"/>
      <c r="AQ545" s="449"/>
    </row>
    <row r="546" spans="2:43" ht="15" x14ac:dyDescent="0.2">
      <c r="B546" s="412"/>
      <c r="C546" s="158"/>
      <c r="D546" s="942" t="s">
        <v>467</v>
      </c>
      <c r="E546" s="904"/>
      <c r="F546" s="900"/>
      <c r="G546" s="900"/>
      <c r="H546" s="900"/>
      <c r="I546" s="900"/>
      <c r="J546" s="900"/>
      <c r="K546" s="900"/>
      <c r="L546" s="900"/>
      <c r="M546" s="900"/>
      <c r="N546" s="906"/>
      <c r="O546" s="15"/>
      <c r="P546" s="412"/>
      <c r="Q546" s="412"/>
      <c r="R546" s="412"/>
      <c r="S546" s="412"/>
      <c r="T546" s="412"/>
      <c r="U546" s="412"/>
      <c r="V546" s="412"/>
      <c r="W546" s="412"/>
      <c r="X546" s="412"/>
      <c r="Y546" s="412"/>
      <c r="Z546" s="412"/>
      <c r="AA546" s="412"/>
      <c r="AB546" s="412"/>
      <c r="AC546" s="412"/>
      <c r="AD546" s="412"/>
      <c r="AE546" s="412"/>
      <c r="AF546" s="412"/>
      <c r="AG546" s="412"/>
      <c r="AH546" s="412"/>
      <c r="AI546" s="412"/>
      <c r="AJ546" s="412"/>
      <c r="AK546" s="412"/>
      <c r="AL546" s="412"/>
      <c r="AM546" s="412"/>
      <c r="AN546" s="412"/>
      <c r="AO546" s="412"/>
      <c r="AP546" s="412"/>
      <c r="AQ546" s="449"/>
    </row>
    <row r="547" spans="2:43" ht="15" x14ac:dyDescent="0.2">
      <c r="B547" s="412"/>
      <c r="C547" s="158"/>
      <c r="D547" s="942"/>
      <c r="E547" s="904"/>
      <c r="F547" s="900"/>
      <c r="G547" s="900"/>
      <c r="H547" s="900"/>
      <c r="I547" s="900"/>
      <c r="J547" s="900"/>
      <c r="K547" s="900"/>
      <c r="L547" s="900"/>
      <c r="M547" s="900"/>
      <c r="N547" s="906"/>
      <c r="O547" s="15"/>
      <c r="P547" s="412"/>
      <c r="Q547" s="412"/>
      <c r="R547" s="412"/>
      <c r="S547" s="412"/>
      <c r="T547" s="412"/>
      <c r="U547" s="412"/>
      <c r="V547" s="412"/>
      <c r="W547" s="412"/>
      <c r="X547" s="412"/>
      <c r="Y547" s="412"/>
      <c r="Z547" s="412"/>
      <c r="AA547" s="412"/>
      <c r="AB547" s="412"/>
      <c r="AC547" s="412"/>
      <c r="AD547" s="412"/>
      <c r="AE547" s="412"/>
      <c r="AF547" s="412"/>
      <c r="AG547" s="412"/>
      <c r="AH547" s="412"/>
      <c r="AI547" s="412"/>
      <c r="AJ547" s="412"/>
      <c r="AK547" s="412"/>
      <c r="AL547" s="412"/>
      <c r="AM547" s="412"/>
      <c r="AN547" s="412"/>
      <c r="AO547" s="412"/>
      <c r="AP547" s="412"/>
      <c r="AQ547" s="449"/>
    </row>
    <row r="548" spans="2:43" ht="15" x14ac:dyDescent="0.2">
      <c r="B548" s="412"/>
      <c r="C548" s="158"/>
      <c r="D548" s="946"/>
      <c r="E548" s="947"/>
      <c r="F548" s="918"/>
      <c r="G548" s="918"/>
      <c r="H548" s="918"/>
      <c r="I548" s="918"/>
      <c r="J548" s="918"/>
      <c r="K548" s="918"/>
      <c r="L548" s="918"/>
      <c r="M548" s="918"/>
      <c r="N548" s="919"/>
      <c r="O548" s="15"/>
      <c r="P548" s="412"/>
      <c r="Q548" s="412"/>
      <c r="R548" s="412"/>
      <c r="S548" s="412"/>
      <c r="T548" s="412"/>
      <c r="U548" s="412"/>
      <c r="V548" s="412"/>
      <c r="W548" s="412"/>
      <c r="X548" s="412"/>
      <c r="Y548" s="412"/>
      <c r="Z548" s="412"/>
      <c r="AA548" s="412"/>
      <c r="AB548" s="412"/>
      <c r="AC548" s="412"/>
      <c r="AD548" s="412"/>
      <c r="AE548" s="412"/>
      <c r="AF548" s="412"/>
      <c r="AG548" s="412"/>
      <c r="AH548" s="412"/>
      <c r="AI548" s="412"/>
      <c r="AJ548" s="412"/>
      <c r="AK548" s="412"/>
      <c r="AL548" s="412"/>
      <c r="AM548" s="412"/>
      <c r="AN548" s="412"/>
      <c r="AO548" s="412"/>
      <c r="AP548" s="412"/>
      <c r="AQ548" s="449"/>
    </row>
    <row r="549" spans="2:43" x14ac:dyDescent="0.2">
      <c r="B549" s="412"/>
      <c r="C549" s="166"/>
      <c r="D549" s="166"/>
      <c r="E549" s="166"/>
      <c r="F549" s="166"/>
      <c r="G549" s="166"/>
      <c r="H549" s="166"/>
      <c r="I549" s="166"/>
      <c r="J549" s="166"/>
      <c r="K549" s="166"/>
      <c r="L549" s="166"/>
      <c r="M549" s="166"/>
      <c r="N549" s="166"/>
      <c r="O549" s="15"/>
      <c r="P549" s="412"/>
      <c r="Q549" s="412"/>
      <c r="R549" s="412"/>
      <c r="S549" s="412"/>
      <c r="T549" s="412"/>
      <c r="U549" s="412"/>
      <c r="V549" s="412"/>
      <c r="W549" s="412"/>
      <c r="X549" s="412"/>
      <c r="Y549" s="412"/>
      <c r="Z549" s="412"/>
      <c r="AA549" s="412"/>
      <c r="AB549" s="412"/>
      <c r="AC549" s="412"/>
      <c r="AD549" s="412"/>
      <c r="AE549" s="412"/>
      <c r="AF549" s="412"/>
      <c r="AG549" s="412"/>
      <c r="AH549" s="412"/>
      <c r="AI549" s="412"/>
      <c r="AJ549" s="412"/>
      <c r="AK549" s="412"/>
      <c r="AL549" s="412"/>
      <c r="AM549" s="412"/>
      <c r="AN549" s="412"/>
      <c r="AO549" s="412"/>
      <c r="AP549" s="412"/>
      <c r="AQ549" s="449"/>
    </row>
    <row r="550" spans="2:43" x14ac:dyDescent="0.2">
      <c r="B550" s="412"/>
      <c r="C550" s="412"/>
      <c r="D550" s="412"/>
      <c r="E550" s="412"/>
      <c r="F550" s="412"/>
      <c r="G550" s="412"/>
      <c r="H550" s="412"/>
      <c r="I550" s="412"/>
      <c r="J550" s="412"/>
      <c r="K550" s="412"/>
      <c r="L550" s="412"/>
      <c r="M550" s="412"/>
      <c r="N550" s="412"/>
      <c r="O550" s="15"/>
      <c r="P550" s="412"/>
      <c r="Q550" s="412"/>
      <c r="R550" s="412"/>
      <c r="S550" s="412"/>
      <c r="T550" s="412"/>
      <c r="U550" s="412"/>
      <c r="V550" s="412"/>
      <c r="W550" s="412"/>
      <c r="X550" s="412"/>
      <c r="Y550" s="412"/>
      <c r="Z550" s="412"/>
      <c r="AA550" s="412"/>
      <c r="AB550" s="412"/>
      <c r="AC550" s="412"/>
      <c r="AD550" s="412"/>
      <c r="AE550" s="412"/>
      <c r="AF550" s="412"/>
      <c r="AG550" s="412"/>
      <c r="AH550" s="412"/>
      <c r="AI550" s="412"/>
      <c r="AJ550" s="412"/>
      <c r="AK550" s="412"/>
      <c r="AL550" s="412"/>
      <c r="AM550" s="412"/>
      <c r="AN550" s="412"/>
      <c r="AO550" s="412"/>
      <c r="AP550" s="412"/>
      <c r="AQ550" s="449"/>
    </row>
    <row r="551" spans="2:43" x14ac:dyDescent="0.2">
      <c r="B551" s="412"/>
      <c r="C551" s="412"/>
      <c r="D551" s="412"/>
      <c r="E551" s="412"/>
      <c r="F551" s="412"/>
      <c r="G551" s="412"/>
      <c r="H551" s="41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c r="AJ551" s="412"/>
      <c r="AK551" s="412"/>
      <c r="AL551" s="412"/>
      <c r="AM551" s="412"/>
      <c r="AN551" s="412"/>
      <c r="AO551" s="412"/>
      <c r="AP551" s="412"/>
      <c r="AQ551" s="449"/>
    </row>
    <row r="552" spans="2:43" x14ac:dyDescent="0.2">
      <c r="B552" s="412"/>
      <c r="C552" s="412"/>
      <c r="D552" s="412"/>
      <c r="E552" s="412"/>
      <c r="F552" s="412"/>
      <c r="G552" s="412"/>
      <c r="H552" s="41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c r="AJ552" s="412"/>
      <c r="AK552" s="412"/>
      <c r="AL552" s="412"/>
      <c r="AM552" s="412"/>
      <c r="AN552" s="412"/>
      <c r="AO552" s="412"/>
      <c r="AP552" s="412"/>
      <c r="AQ552" s="449"/>
    </row>
    <row r="553" spans="2:43" x14ac:dyDescent="0.2">
      <c r="B553" s="412"/>
      <c r="C553" s="412"/>
      <c r="D553" s="412"/>
      <c r="E553" s="412"/>
      <c r="F553" s="412"/>
      <c r="G553" s="412"/>
      <c r="H553" s="41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c r="AJ553" s="412"/>
      <c r="AK553" s="412"/>
      <c r="AL553" s="412"/>
      <c r="AM553" s="412"/>
      <c r="AN553" s="412"/>
      <c r="AO553" s="412"/>
      <c r="AP553" s="412"/>
      <c r="AQ553" s="449"/>
    </row>
    <row r="554" spans="2:43" x14ac:dyDescent="0.2">
      <c r="B554" s="412"/>
      <c r="C554" s="412"/>
      <c r="D554" s="412"/>
      <c r="E554" s="412"/>
      <c r="F554" s="412"/>
      <c r="G554" s="412"/>
      <c r="H554" s="41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c r="AJ554" s="412"/>
      <c r="AK554" s="412"/>
      <c r="AL554" s="412"/>
      <c r="AM554" s="412"/>
      <c r="AN554" s="412"/>
      <c r="AO554" s="412"/>
      <c r="AP554" s="412"/>
      <c r="AQ554" s="449"/>
    </row>
    <row r="555" spans="2:43" x14ac:dyDescent="0.2">
      <c r="B555" s="412"/>
      <c r="C555" s="412"/>
      <c r="D555" s="412"/>
      <c r="E555" s="412"/>
      <c r="F555" s="412"/>
      <c r="G555" s="412"/>
      <c r="H555" s="41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c r="AJ555" s="412"/>
      <c r="AK555" s="412"/>
      <c r="AL555" s="412"/>
      <c r="AM555" s="412"/>
      <c r="AN555" s="412"/>
      <c r="AO555" s="412"/>
      <c r="AP555" s="412"/>
      <c r="AQ555" s="449"/>
    </row>
    <row r="556" spans="2:43" x14ac:dyDescent="0.2">
      <c r="B556" s="412"/>
      <c r="C556" s="412"/>
      <c r="D556" s="412"/>
      <c r="E556" s="412"/>
      <c r="F556" s="412"/>
      <c r="G556" s="412"/>
      <c r="H556" s="41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c r="AJ556" s="412"/>
      <c r="AK556" s="412"/>
      <c r="AL556" s="412"/>
      <c r="AM556" s="412"/>
      <c r="AN556" s="412"/>
      <c r="AO556" s="412"/>
      <c r="AP556" s="412"/>
      <c r="AQ556" s="449"/>
    </row>
    <row r="557" spans="2:43" x14ac:dyDescent="0.2">
      <c r="B557" s="412"/>
      <c r="C557" s="412"/>
      <c r="D557" s="412"/>
      <c r="E557" s="412"/>
      <c r="F557" s="412"/>
      <c r="G557" s="412"/>
      <c r="H557" s="41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c r="AJ557" s="412"/>
      <c r="AK557" s="412"/>
      <c r="AL557" s="412"/>
      <c r="AM557" s="412"/>
      <c r="AN557" s="412"/>
      <c r="AO557" s="412"/>
      <c r="AP557" s="412"/>
      <c r="AQ557" s="449"/>
    </row>
    <row r="558" spans="2:43" x14ac:dyDescent="0.2">
      <c r="B558" s="412"/>
      <c r="C558" s="412"/>
      <c r="D558" s="412"/>
      <c r="E558" s="412"/>
      <c r="F558" s="412"/>
      <c r="G558" s="412"/>
      <c r="H558" s="41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c r="AJ558" s="412"/>
      <c r="AK558" s="412"/>
      <c r="AL558" s="412"/>
      <c r="AM558" s="412"/>
      <c r="AN558" s="412"/>
      <c r="AO558" s="412"/>
      <c r="AP558" s="412"/>
      <c r="AQ558" s="449"/>
    </row>
    <row r="559" spans="2:43" x14ac:dyDescent="0.2">
      <c r="B559" s="412"/>
      <c r="C559" s="412"/>
      <c r="D559" s="412"/>
      <c r="E559" s="412"/>
      <c r="F559" s="412"/>
      <c r="G559" s="412"/>
      <c r="H559" s="41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c r="AJ559" s="412"/>
      <c r="AK559" s="412"/>
      <c r="AL559" s="412"/>
      <c r="AM559" s="412"/>
      <c r="AN559" s="412"/>
      <c r="AO559" s="412"/>
      <c r="AP559" s="412"/>
      <c r="AQ559" s="449"/>
    </row>
    <row r="560" spans="2:43" x14ac:dyDescent="0.2">
      <c r="B560" s="412"/>
      <c r="C560" s="412"/>
      <c r="D560" s="412"/>
      <c r="E560" s="412"/>
      <c r="F560" s="412"/>
      <c r="G560" s="412"/>
      <c r="H560" s="41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c r="AJ560" s="412"/>
      <c r="AK560" s="412"/>
      <c r="AL560" s="412"/>
      <c r="AM560" s="412"/>
      <c r="AN560" s="412"/>
      <c r="AO560" s="412"/>
      <c r="AP560" s="412"/>
      <c r="AQ560" s="449"/>
    </row>
    <row r="561" spans="2:43" x14ac:dyDescent="0.2">
      <c r="B561" s="412"/>
      <c r="C561" s="412"/>
      <c r="D561" s="412"/>
      <c r="E561" s="412"/>
      <c r="F561" s="412"/>
      <c r="G561" s="412"/>
      <c r="H561" s="41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c r="AJ561" s="412"/>
      <c r="AK561" s="412"/>
      <c r="AL561" s="412"/>
      <c r="AM561" s="412"/>
      <c r="AN561" s="412"/>
      <c r="AO561" s="412"/>
      <c r="AP561" s="412"/>
      <c r="AQ561" s="449"/>
    </row>
    <row r="562" spans="2:43" x14ac:dyDescent="0.2">
      <c r="B562" s="412"/>
      <c r="C562" s="412"/>
      <c r="D562" s="412"/>
      <c r="E562" s="412"/>
      <c r="F562" s="412"/>
      <c r="G562" s="412"/>
      <c r="H562" s="41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c r="AJ562" s="412"/>
      <c r="AK562" s="412"/>
      <c r="AL562" s="412"/>
      <c r="AM562" s="412"/>
      <c r="AN562" s="412"/>
      <c r="AO562" s="412"/>
      <c r="AP562" s="412"/>
      <c r="AQ562" s="449"/>
    </row>
    <row r="563" spans="2:43" x14ac:dyDescent="0.2">
      <c r="B563" s="412"/>
      <c r="C563" s="412"/>
      <c r="D563" s="412"/>
      <c r="E563" s="412"/>
      <c r="F563" s="412"/>
      <c r="G563" s="412"/>
      <c r="H563" s="41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c r="AJ563" s="412"/>
      <c r="AK563" s="412"/>
      <c r="AL563" s="412"/>
      <c r="AM563" s="412"/>
      <c r="AN563" s="412"/>
      <c r="AO563" s="412"/>
      <c r="AP563" s="412"/>
      <c r="AQ563" s="449"/>
    </row>
    <row r="564" spans="2:43" x14ac:dyDescent="0.2">
      <c r="B564" s="412"/>
      <c r="C564" s="412"/>
      <c r="D564" s="412"/>
      <c r="E564" s="412"/>
      <c r="F564" s="412"/>
      <c r="G564" s="412"/>
      <c r="H564" s="41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c r="AJ564" s="412"/>
      <c r="AK564" s="412"/>
      <c r="AL564" s="412"/>
      <c r="AM564" s="412"/>
      <c r="AN564" s="412"/>
      <c r="AO564" s="412"/>
      <c r="AP564" s="412"/>
      <c r="AQ564" s="449"/>
    </row>
    <row r="565" spans="2:43" x14ac:dyDescent="0.2">
      <c r="B565" s="412"/>
      <c r="C565" s="412"/>
      <c r="D565" s="412"/>
      <c r="E565" s="412"/>
      <c r="F565" s="412"/>
      <c r="G565" s="412"/>
      <c r="H565" s="41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c r="AJ565" s="412"/>
      <c r="AK565" s="412"/>
      <c r="AL565" s="412"/>
      <c r="AM565" s="412"/>
      <c r="AN565" s="412"/>
      <c r="AO565" s="412"/>
      <c r="AP565" s="412"/>
      <c r="AQ565" s="449"/>
    </row>
    <row r="566" spans="2:43" x14ac:dyDescent="0.2">
      <c r="B566" s="412"/>
      <c r="C566" s="412"/>
      <c r="D566" s="412"/>
      <c r="E566" s="412"/>
      <c r="F566" s="412"/>
      <c r="G566" s="412"/>
      <c r="H566" s="41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c r="AJ566" s="412"/>
      <c r="AK566" s="412"/>
      <c r="AL566" s="412"/>
      <c r="AM566" s="412"/>
      <c r="AN566" s="412"/>
      <c r="AO566" s="412"/>
      <c r="AP566" s="412"/>
      <c r="AQ566" s="449"/>
    </row>
    <row r="567" spans="2:43" x14ac:dyDescent="0.2">
      <c r="B567" s="412"/>
      <c r="C567" s="412"/>
      <c r="D567" s="412"/>
      <c r="E567" s="412"/>
      <c r="F567" s="412"/>
      <c r="G567" s="412"/>
      <c r="H567" s="41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c r="AJ567" s="412"/>
      <c r="AK567" s="412"/>
      <c r="AL567" s="412"/>
      <c r="AM567" s="412"/>
      <c r="AN567" s="412"/>
      <c r="AO567" s="412"/>
      <c r="AP567" s="412"/>
      <c r="AQ567" s="449"/>
    </row>
    <row r="568" spans="2:43" x14ac:dyDescent="0.2">
      <c r="B568" s="412"/>
      <c r="C568" s="412"/>
      <c r="D568" s="412"/>
      <c r="E568" s="412"/>
      <c r="F568" s="412"/>
      <c r="G568" s="412"/>
      <c r="H568" s="41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c r="AJ568" s="412"/>
      <c r="AK568" s="412"/>
      <c r="AL568" s="412"/>
      <c r="AM568" s="412"/>
      <c r="AN568" s="412"/>
      <c r="AO568" s="412"/>
      <c r="AP568" s="412"/>
      <c r="AQ568" s="449"/>
    </row>
    <row r="569" spans="2:43" x14ac:dyDescent="0.2">
      <c r="B569" s="412"/>
      <c r="C569" s="412"/>
      <c r="D569" s="412"/>
      <c r="E569" s="412"/>
      <c r="F569" s="412"/>
      <c r="G569" s="412"/>
      <c r="H569" s="41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c r="AJ569" s="412"/>
      <c r="AK569" s="412"/>
      <c r="AL569" s="412"/>
      <c r="AM569" s="412"/>
      <c r="AN569" s="412"/>
      <c r="AO569" s="412"/>
      <c r="AP569" s="412"/>
      <c r="AQ569" s="449"/>
    </row>
    <row r="570" spans="2:43" x14ac:dyDescent="0.2">
      <c r="B570" s="412"/>
      <c r="C570" s="412"/>
      <c r="D570" s="412"/>
      <c r="E570" s="412"/>
      <c r="F570" s="412"/>
      <c r="G570" s="412"/>
      <c r="H570" s="41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c r="AJ570" s="412"/>
      <c r="AK570" s="412"/>
      <c r="AL570" s="412"/>
      <c r="AM570" s="412"/>
      <c r="AN570" s="412"/>
      <c r="AO570" s="412"/>
      <c r="AP570" s="412"/>
      <c r="AQ570" s="449"/>
    </row>
    <row r="571" spans="2:43" x14ac:dyDescent="0.2">
      <c r="B571" s="412"/>
      <c r="C571" s="412"/>
      <c r="D571" s="412"/>
      <c r="E571" s="412"/>
      <c r="F571" s="412"/>
      <c r="G571" s="412"/>
      <c r="H571" s="41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c r="AJ571" s="412"/>
      <c r="AK571" s="412"/>
      <c r="AL571" s="412"/>
      <c r="AM571" s="412"/>
      <c r="AN571" s="412"/>
      <c r="AO571" s="412"/>
      <c r="AP571" s="412"/>
      <c r="AQ571" s="449"/>
    </row>
    <row r="572" spans="2:43" x14ac:dyDescent="0.2">
      <c r="B572" s="412"/>
      <c r="C572" s="412"/>
      <c r="D572" s="412"/>
      <c r="E572" s="412"/>
      <c r="F572" s="412"/>
      <c r="G572" s="412"/>
      <c r="H572" s="41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c r="AJ572" s="412"/>
      <c r="AK572" s="412"/>
      <c r="AL572" s="412"/>
      <c r="AM572" s="412"/>
      <c r="AN572" s="412"/>
      <c r="AO572" s="412"/>
      <c r="AP572" s="412"/>
      <c r="AQ572" s="449"/>
    </row>
    <row r="573" spans="2:43" x14ac:dyDescent="0.2">
      <c r="B573" s="412"/>
      <c r="C573" s="412"/>
      <c r="D573" s="412"/>
      <c r="E573" s="412"/>
      <c r="F573" s="412"/>
      <c r="G573" s="412"/>
      <c r="H573" s="41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c r="AJ573" s="412"/>
      <c r="AK573" s="412"/>
      <c r="AL573" s="412"/>
      <c r="AM573" s="412"/>
      <c r="AN573" s="412"/>
      <c r="AO573" s="412"/>
      <c r="AP573" s="412"/>
      <c r="AQ573" s="449"/>
    </row>
    <row r="574" spans="2:43" x14ac:dyDescent="0.2">
      <c r="B574" s="412"/>
      <c r="C574" s="412"/>
      <c r="D574" s="412"/>
      <c r="E574" s="412"/>
      <c r="F574" s="412"/>
      <c r="G574" s="412"/>
      <c r="H574" s="41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c r="AJ574" s="412"/>
      <c r="AK574" s="412"/>
      <c r="AL574" s="412"/>
      <c r="AM574" s="412"/>
      <c r="AN574" s="412"/>
      <c r="AO574" s="412"/>
      <c r="AP574" s="412"/>
      <c r="AQ574" s="449"/>
    </row>
    <row r="575" spans="2:43" x14ac:dyDescent="0.2">
      <c r="B575" s="412"/>
      <c r="C575" s="412"/>
      <c r="D575" s="412"/>
      <c r="E575" s="412"/>
      <c r="F575" s="412"/>
      <c r="G575" s="412"/>
      <c r="H575" s="41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c r="AJ575" s="412"/>
      <c r="AK575" s="412"/>
      <c r="AL575" s="412"/>
      <c r="AM575" s="412"/>
      <c r="AN575" s="412"/>
      <c r="AO575" s="412"/>
      <c r="AP575" s="412"/>
      <c r="AQ575" s="449"/>
    </row>
    <row r="576" spans="2:43" x14ac:dyDescent="0.2">
      <c r="B576" s="412"/>
      <c r="C576" s="412"/>
      <c r="D576" s="412"/>
      <c r="E576" s="412"/>
      <c r="F576" s="412"/>
      <c r="G576" s="412"/>
      <c r="H576" s="41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c r="AJ576" s="412"/>
      <c r="AK576" s="412"/>
      <c r="AL576" s="412"/>
      <c r="AM576" s="412"/>
      <c r="AN576" s="412"/>
      <c r="AO576" s="412"/>
      <c r="AP576" s="412"/>
      <c r="AQ576" s="449"/>
    </row>
    <row r="577" spans="2:43" x14ac:dyDescent="0.2">
      <c r="B577" s="412"/>
      <c r="C577" s="412"/>
      <c r="D577" s="412"/>
      <c r="E577" s="412"/>
      <c r="F577" s="412"/>
      <c r="G577" s="412"/>
      <c r="H577" s="41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c r="AJ577" s="412"/>
      <c r="AK577" s="412"/>
      <c r="AL577" s="412"/>
      <c r="AM577" s="412"/>
      <c r="AN577" s="412"/>
      <c r="AO577" s="412"/>
      <c r="AP577" s="412"/>
      <c r="AQ577" s="449"/>
    </row>
    <row r="578" spans="2:43" x14ac:dyDescent="0.2">
      <c r="B578" s="412"/>
      <c r="C578" s="412"/>
      <c r="D578" s="412"/>
      <c r="E578" s="412"/>
      <c r="F578" s="412"/>
      <c r="G578" s="412"/>
      <c r="H578" s="41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c r="AJ578" s="412"/>
      <c r="AK578" s="412"/>
      <c r="AL578" s="412"/>
      <c r="AM578" s="412"/>
      <c r="AN578" s="412"/>
      <c r="AO578" s="412"/>
      <c r="AP578" s="412"/>
      <c r="AQ578" s="449"/>
    </row>
    <row r="579" spans="2:43" x14ac:dyDescent="0.2">
      <c r="B579" s="412"/>
      <c r="C579" s="412"/>
      <c r="D579" s="412"/>
      <c r="E579" s="412"/>
      <c r="F579" s="412"/>
      <c r="G579" s="412"/>
      <c r="H579" s="41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c r="AJ579" s="412"/>
      <c r="AK579" s="412"/>
      <c r="AL579" s="412"/>
      <c r="AM579" s="412"/>
      <c r="AN579" s="412"/>
      <c r="AO579" s="412"/>
      <c r="AP579" s="412"/>
      <c r="AQ579" s="449"/>
    </row>
    <row r="580" spans="2:43" x14ac:dyDescent="0.2">
      <c r="B580" s="412"/>
      <c r="C580" s="412"/>
      <c r="D580" s="412"/>
      <c r="E580" s="412"/>
      <c r="F580" s="412"/>
      <c r="G580" s="412"/>
      <c r="H580" s="41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c r="AJ580" s="412"/>
      <c r="AK580" s="412"/>
      <c r="AL580" s="412"/>
      <c r="AM580" s="412"/>
      <c r="AN580" s="412"/>
      <c r="AO580" s="412"/>
      <c r="AP580" s="412"/>
      <c r="AQ580" s="449"/>
    </row>
    <row r="581" spans="2:43" x14ac:dyDescent="0.2">
      <c r="B581" s="412"/>
      <c r="C581" s="412"/>
      <c r="D581" s="412"/>
      <c r="E581" s="412"/>
      <c r="F581" s="412"/>
      <c r="G581" s="412"/>
      <c r="H581" s="41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c r="AJ581" s="412"/>
      <c r="AK581" s="412"/>
      <c r="AL581" s="412"/>
      <c r="AM581" s="412"/>
      <c r="AN581" s="412"/>
      <c r="AO581" s="412"/>
      <c r="AP581" s="412"/>
      <c r="AQ581" s="449"/>
    </row>
    <row r="582" spans="2:43" x14ac:dyDescent="0.2">
      <c r="B582" s="412"/>
      <c r="C582" s="412"/>
      <c r="D582" s="412"/>
      <c r="E582" s="412"/>
      <c r="F582" s="412"/>
      <c r="G582" s="412"/>
      <c r="H582" s="41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c r="AJ582" s="412"/>
      <c r="AK582" s="412"/>
      <c r="AL582" s="412"/>
      <c r="AM582" s="412"/>
      <c r="AN582" s="412"/>
      <c r="AO582" s="412"/>
      <c r="AP582" s="412"/>
      <c r="AQ582" s="449"/>
    </row>
    <row r="583" spans="2:43" x14ac:dyDescent="0.2">
      <c r="B583" s="412"/>
      <c r="C583" s="412"/>
      <c r="D583" s="412"/>
      <c r="E583" s="412"/>
      <c r="F583" s="412"/>
      <c r="G583" s="412"/>
      <c r="H583" s="41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c r="AJ583" s="412"/>
      <c r="AK583" s="412"/>
      <c r="AL583" s="412"/>
      <c r="AM583" s="412"/>
      <c r="AN583" s="412"/>
      <c r="AO583" s="412"/>
      <c r="AP583" s="412"/>
      <c r="AQ583" s="449"/>
    </row>
    <row r="584" spans="2:43" x14ac:dyDescent="0.2">
      <c r="B584" s="412"/>
      <c r="C584" s="412"/>
      <c r="D584" s="412"/>
      <c r="E584" s="412"/>
      <c r="F584" s="412"/>
      <c r="G584" s="412"/>
      <c r="H584" s="41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c r="AJ584" s="412"/>
      <c r="AK584" s="412"/>
      <c r="AL584" s="412"/>
      <c r="AM584" s="412"/>
      <c r="AN584" s="412"/>
      <c r="AO584" s="412"/>
      <c r="AP584" s="412"/>
      <c r="AQ584" s="449"/>
    </row>
    <row r="585" spans="2:43" x14ac:dyDescent="0.2">
      <c r="B585" s="412"/>
      <c r="C585" s="412"/>
      <c r="D585" s="412"/>
      <c r="E585" s="412"/>
      <c r="F585" s="412"/>
      <c r="G585" s="412"/>
      <c r="H585" s="41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c r="AJ585" s="412"/>
      <c r="AK585" s="412"/>
      <c r="AL585" s="412"/>
      <c r="AM585" s="412"/>
      <c r="AN585" s="412"/>
      <c r="AO585" s="412"/>
      <c r="AP585" s="412"/>
      <c r="AQ585" s="449"/>
    </row>
    <row r="586" spans="2:43" x14ac:dyDescent="0.2">
      <c r="B586" s="412"/>
      <c r="C586" s="412"/>
      <c r="D586" s="412"/>
      <c r="E586" s="412"/>
      <c r="F586" s="412"/>
      <c r="G586" s="412"/>
      <c r="H586" s="41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c r="AJ586" s="412"/>
      <c r="AK586" s="412"/>
      <c r="AL586" s="412"/>
      <c r="AM586" s="412"/>
      <c r="AN586" s="412"/>
      <c r="AO586" s="412"/>
      <c r="AP586" s="412"/>
      <c r="AQ586" s="449"/>
    </row>
    <row r="587" spans="2:43" x14ac:dyDescent="0.2">
      <c r="B587" s="412"/>
      <c r="C587" s="412"/>
      <c r="D587" s="412"/>
      <c r="E587" s="412"/>
      <c r="F587" s="412"/>
      <c r="G587" s="412"/>
      <c r="H587" s="41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c r="AJ587" s="412"/>
      <c r="AK587" s="412"/>
      <c r="AL587" s="412"/>
      <c r="AM587" s="412"/>
      <c r="AN587" s="412"/>
      <c r="AO587" s="412"/>
      <c r="AP587" s="412"/>
      <c r="AQ587" s="449"/>
    </row>
    <row r="588" spans="2:43" x14ac:dyDescent="0.2">
      <c r="B588" s="412"/>
      <c r="C588" s="412"/>
      <c r="D588" s="412"/>
      <c r="E588" s="412"/>
      <c r="F588" s="412"/>
      <c r="G588" s="412"/>
      <c r="H588" s="41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c r="AJ588" s="412"/>
      <c r="AK588" s="412"/>
      <c r="AL588" s="412"/>
      <c r="AM588" s="412"/>
      <c r="AN588" s="412"/>
      <c r="AO588" s="412"/>
      <c r="AP588" s="412"/>
      <c r="AQ588" s="449"/>
    </row>
    <row r="589" spans="2:43" x14ac:dyDescent="0.2">
      <c r="B589" s="412"/>
      <c r="C589" s="412"/>
      <c r="D589" s="412"/>
      <c r="E589" s="412"/>
      <c r="F589" s="412"/>
      <c r="G589" s="412"/>
      <c r="H589" s="41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c r="AJ589" s="412"/>
      <c r="AK589" s="412"/>
      <c r="AL589" s="412"/>
      <c r="AM589" s="412"/>
      <c r="AN589" s="412"/>
      <c r="AO589" s="412"/>
      <c r="AP589" s="412"/>
      <c r="AQ589" s="449"/>
    </row>
    <row r="590" spans="2:43" x14ac:dyDescent="0.2">
      <c r="B590" s="412"/>
      <c r="C590" s="412"/>
      <c r="D590" s="412"/>
      <c r="E590" s="412"/>
      <c r="F590" s="412"/>
      <c r="G590" s="412"/>
      <c r="H590" s="41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c r="AJ590" s="412"/>
      <c r="AK590" s="412"/>
      <c r="AL590" s="412"/>
      <c r="AM590" s="412"/>
      <c r="AN590" s="412"/>
      <c r="AO590" s="412"/>
      <c r="AP590" s="412"/>
      <c r="AQ590" s="449"/>
    </row>
    <row r="591" spans="2:43" x14ac:dyDescent="0.2">
      <c r="B591" s="412"/>
      <c r="C591" s="412"/>
      <c r="D591" s="412"/>
      <c r="E591" s="412"/>
      <c r="F591" s="412"/>
      <c r="G591" s="412"/>
      <c r="H591" s="41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c r="AJ591" s="412"/>
      <c r="AK591" s="412"/>
      <c r="AL591" s="412"/>
      <c r="AM591" s="412"/>
      <c r="AN591" s="412"/>
      <c r="AO591" s="412"/>
      <c r="AP591" s="412"/>
      <c r="AQ591" s="449"/>
    </row>
    <row r="592" spans="2:43" x14ac:dyDescent="0.2">
      <c r="B592" s="412"/>
      <c r="C592" s="412"/>
      <c r="D592" s="412"/>
      <c r="E592" s="412"/>
      <c r="F592" s="412"/>
      <c r="G592" s="412"/>
      <c r="H592" s="41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c r="AJ592" s="412"/>
      <c r="AK592" s="412"/>
      <c r="AL592" s="412"/>
      <c r="AM592" s="412"/>
      <c r="AN592" s="412"/>
      <c r="AO592" s="412"/>
      <c r="AP592" s="412"/>
      <c r="AQ592" s="449"/>
    </row>
    <row r="593" spans="2:43" x14ac:dyDescent="0.2">
      <c r="B593" s="412"/>
      <c r="C593" s="412"/>
      <c r="D593" s="412"/>
      <c r="E593" s="412"/>
      <c r="F593" s="412"/>
      <c r="G593" s="412"/>
      <c r="H593" s="41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c r="AJ593" s="412"/>
      <c r="AK593" s="412"/>
      <c r="AL593" s="412"/>
      <c r="AM593" s="412"/>
      <c r="AN593" s="412"/>
      <c r="AO593" s="412"/>
      <c r="AP593" s="412"/>
      <c r="AQ593" s="449"/>
    </row>
    <row r="594" spans="2:43" x14ac:dyDescent="0.2">
      <c r="B594" s="412"/>
      <c r="C594" s="412"/>
      <c r="D594" s="412"/>
      <c r="E594" s="412"/>
      <c r="F594" s="412"/>
      <c r="G594" s="412"/>
      <c r="H594" s="41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c r="AJ594" s="412"/>
      <c r="AK594" s="412"/>
      <c r="AL594" s="412"/>
      <c r="AM594" s="412"/>
      <c r="AN594" s="412"/>
      <c r="AO594" s="412"/>
      <c r="AP594" s="412"/>
      <c r="AQ594" s="449"/>
    </row>
    <row r="595" spans="2:43" x14ac:dyDescent="0.2">
      <c r="B595" s="412"/>
      <c r="C595" s="412"/>
      <c r="D595" s="412"/>
      <c r="E595" s="412"/>
      <c r="F595" s="412"/>
      <c r="G595" s="412"/>
      <c r="H595" s="41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c r="AJ595" s="412"/>
      <c r="AK595" s="412"/>
      <c r="AL595" s="412"/>
      <c r="AM595" s="412"/>
      <c r="AN595" s="412"/>
      <c r="AO595" s="412"/>
      <c r="AP595" s="412"/>
      <c r="AQ595" s="449"/>
    </row>
    <row r="596" spans="2:43" x14ac:dyDescent="0.2">
      <c r="B596" s="412"/>
      <c r="C596" s="412"/>
      <c r="D596" s="412"/>
      <c r="E596" s="412"/>
      <c r="F596" s="412"/>
      <c r="G596" s="412"/>
      <c r="H596" s="41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c r="AJ596" s="412"/>
      <c r="AK596" s="412"/>
      <c r="AL596" s="412"/>
      <c r="AM596" s="412"/>
      <c r="AN596" s="412"/>
      <c r="AO596" s="412"/>
      <c r="AP596" s="412"/>
      <c r="AQ596" s="449"/>
    </row>
    <row r="597" spans="2:43" x14ac:dyDescent="0.2">
      <c r="B597" s="412"/>
      <c r="C597" s="412"/>
      <c r="D597" s="412"/>
      <c r="E597" s="412"/>
      <c r="F597" s="412"/>
      <c r="G597" s="412"/>
      <c r="H597" s="41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c r="AJ597" s="412"/>
      <c r="AK597" s="412"/>
      <c r="AL597" s="412"/>
      <c r="AM597" s="412"/>
      <c r="AN597" s="412"/>
      <c r="AO597" s="412"/>
      <c r="AP597" s="412"/>
      <c r="AQ597" s="449"/>
    </row>
    <row r="598" spans="2:43" x14ac:dyDescent="0.2">
      <c r="B598" s="412"/>
      <c r="C598" s="412"/>
      <c r="D598" s="412"/>
      <c r="E598" s="412"/>
      <c r="F598" s="412"/>
      <c r="G598" s="412"/>
      <c r="H598" s="41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c r="AJ598" s="412"/>
      <c r="AK598" s="412"/>
      <c r="AL598" s="412"/>
      <c r="AM598" s="412"/>
      <c r="AN598" s="412"/>
      <c r="AO598" s="412"/>
      <c r="AP598" s="412"/>
      <c r="AQ598" s="449"/>
    </row>
    <row r="599" spans="2:43" x14ac:dyDescent="0.2">
      <c r="B599" s="412"/>
      <c r="C599" s="412"/>
      <c r="D599" s="412"/>
      <c r="E599" s="412"/>
      <c r="F599" s="412"/>
      <c r="G599" s="412"/>
      <c r="H599" s="41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c r="AJ599" s="412"/>
      <c r="AK599" s="412"/>
      <c r="AL599" s="412"/>
      <c r="AM599" s="412"/>
      <c r="AN599" s="412"/>
      <c r="AO599" s="412"/>
      <c r="AP599" s="412"/>
      <c r="AQ599" s="449"/>
    </row>
    <row r="600" spans="2:43" x14ac:dyDescent="0.2">
      <c r="B600" s="412"/>
      <c r="C600" s="412"/>
      <c r="D600" s="412"/>
      <c r="E600" s="412"/>
      <c r="F600" s="412"/>
      <c r="G600" s="412"/>
      <c r="H600" s="41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c r="AJ600" s="412"/>
      <c r="AK600" s="412"/>
      <c r="AL600" s="412"/>
      <c r="AM600" s="412"/>
      <c r="AN600" s="412"/>
      <c r="AO600" s="412"/>
      <c r="AP600" s="412"/>
      <c r="AQ600" s="449"/>
    </row>
    <row r="601" spans="2:43" x14ac:dyDescent="0.2">
      <c r="B601" s="412"/>
      <c r="C601" s="412"/>
      <c r="D601" s="412"/>
      <c r="E601" s="412"/>
      <c r="F601" s="412"/>
      <c r="G601" s="412"/>
      <c r="H601" s="41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c r="AJ601" s="412"/>
      <c r="AK601" s="412"/>
      <c r="AL601" s="412"/>
      <c r="AM601" s="412"/>
      <c r="AN601" s="412"/>
      <c r="AO601" s="412"/>
      <c r="AP601" s="412"/>
      <c r="AQ601" s="449"/>
    </row>
    <row r="602" spans="2:43" x14ac:dyDescent="0.2">
      <c r="B602" s="412"/>
      <c r="C602" s="412"/>
      <c r="D602" s="412"/>
      <c r="E602" s="412"/>
      <c r="F602" s="412"/>
      <c r="G602" s="412"/>
      <c r="H602" s="41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c r="AJ602" s="412"/>
      <c r="AK602" s="412"/>
      <c r="AL602" s="412"/>
      <c r="AM602" s="412"/>
      <c r="AN602" s="412"/>
      <c r="AO602" s="412"/>
      <c r="AP602" s="412"/>
      <c r="AQ602" s="449"/>
    </row>
    <row r="603" spans="2:43" x14ac:dyDescent="0.2">
      <c r="B603" s="412"/>
      <c r="C603" s="412"/>
      <c r="D603" s="412"/>
      <c r="E603" s="412"/>
      <c r="F603" s="412"/>
      <c r="G603" s="412"/>
      <c r="H603" s="41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c r="AJ603" s="412"/>
      <c r="AK603" s="412"/>
      <c r="AL603" s="412"/>
      <c r="AM603" s="412"/>
      <c r="AN603" s="412"/>
      <c r="AO603" s="412"/>
      <c r="AP603" s="412"/>
      <c r="AQ603" s="449"/>
    </row>
    <row r="604" spans="2:43" x14ac:dyDescent="0.2">
      <c r="B604" s="412"/>
      <c r="C604" s="412"/>
      <c r="D604" s="412"/>
      <c r="E604" s="412"/>
      <c r="F604" s="412"/>
      <c r="G604" s="412"/>
      <c r="H604" s="41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c r="AJ604" s="412"/>
      <c r="AK604" s="412"/>
      <c r="AL604" s="412"/>
      <c r="AM604" s="412"/>
      <c r="AN604" s="412"/>
      <c r="AO604" s="412"/>
      <c r="AP604" s="412"/>
      <c r="AQ604" s="449"/>
    </row>
    <row r="605" spans="2:43" x14ac:dyDescent="0.2">
      <c r="B605" s="412"/>
      <c r="C605" s="412"/>
      <c r="D605" s="412"/>
      <c r="E605" s="412"/>
      <c r="F605" s="412"/>
      <c r="G605" s="412"/>
      <c r="H605" s="41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c r="AJ605" s="412"/>
      <c r="AK605" s="412"/>
      <c r="AL605" s="412"/>
      <c r="AM605" s="412"/>
      <c r="AN605" s="412"/>
      <c r="AO605" s="412"/>
      <c r="AP605" s="412"/>
      <c r="AQ605" s="449"/>
    </row>
    <row r="606" spans="2:43" x14ac:dyDescent="0.2">
      <c r="B606" s="412"/>
      <c r="C606" s="412"/>
      <c r="D606" s="412"/>
      <c r="E606" s="412"/>
      <c r="F606" s="412"/>
      <c r="G606" s="412"/>
      <c r="H606" s="41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c r="AJ606" s="412"/>
      <c r="AK606" s="412"/>
      <c r="AL606" s="412"/>
      <c r="AM606" s="412"/>
      <c r="AN606" s="412"/>
      <c r="AO606" s="412"/>
      <c r="AP606" s="412"/>
      <c r="AQ606" s="449"/>
    </row>
    <row r="607" spans="2:43" x14ac:dyDescent="0.2">
      <c r="B607" s="412"/>
      <c r="C607" s="412"/>
      <c r="D607" s="412"/>
      <c r="E607" s="412"/>
      <c r="F607" s="412"/>
      <c r="G607" s="412"/>
      <c r="H607" s="41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c r="AJ607" s="412"/>
      <c r="AK607" s="412"/>
      <c r="AL607" s="412"/>
      <c r="AM607" s="412"/>
      <c r="AN607" s="412"/>
      <c r="AO607" s="412"/>
      <c r="AP607" s="412"/>
      <c r="AQ607" s="449"/>
    </row>
    <row r="608" spans="2:43" x14ac:dyDescent="0.2">
      <c r="B608" s="412"/>
      <c r="C608" s="412"/>
      <c r="D608" s="412"/>
      <c r="E608" s="412"/>
      <c r="F608" s="412"/>
      <c r="G608" s="412"/>
      <c r="H608" s="41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c r="AJ608" s="412"/>
      <c r="AK608" s="412"/>
      <c r="AL608" s="412"/>
      <c r="AM608" s="412"/>
      <c r="AN608" s="412"/>
      <c r="AO608" s="412"/>
      <c r="AP608" s="412"/>
      <c r="AQ608" s="449"/>
    </row>
    <row r="609" spans="2:43" x14ac:dyDescent="0.2">
      <c r="B609" s="412"/>
      <c r="C609" s="412"/>
      <c r="D609" s="412"/>
      <c r="E609" s="412"/>
      <c r="F609" s="412"/>
      <c r="G609" s="412"/>
      <c r="H609" s="41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c r="AJ609" s="412"/>
      <c r="AK609" s="412"/>
      <c r="AL609" s="412"/>
      <c r="AM609" s="412"/>
      <c r="AN609" s="412"/>
      <c r="AO609" s="412"/>
      <c r="AP609" s="412"/>
      <c r="AQ609" s="449"/>
    </row>
    <row r="610" spans="2:43" x14ac:dyDescent="0.2">
      <c r="B610" s="412"/>
      <c r="C610" s="412"/>
      <c r="D610" s="412"/>
      <c r="E610" s="412"/>
      <c r="F610" s="412"/>
      <c r="G610" s="412"/>
      <c r="H610" s="41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c r="AJ610" s="412"/>
      <c r="AK610" s="412"/>
      <c r="AL610" s="412"/>
      <c r="AM610" s="412"/>
      <c r="AN610" s="412"/>
      <c r="AO610" s="412"/>
      <c r="AP610" s="412"/>
      <c r="AQ610" s="449"/>
    </row>
    <row r="611" spans="2:43" x14ac:dyDescent="0.2">
      <c r="B611" s="412"/>
      <c r="C611" s="412"/>
      <c r="D611" s="412"/>
      <c r="E611" s="412"/>
      <c r="F611" s="412"/>
      <c r="G611" s="412"/>
      <c r="H611" s="41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c r="AJ611" s="412"/>
      <c r="AK611" s="412"/>
      <c r="AL611" s="412"/>
      <c r="AM611" s="412"/>
      <c r="AN611" s="412"/>
      <c r="AO611" s="412"/>
      <c r="AP611" s="412"/>
      <c r="AQ611" s="449"/>
    </row>
    <row r="612" spans="2:43" x14ac:dyDescent="0.2">
      <c r="B612" s="412"/>
      <c r="C612" s="412"/>
      <c r="D612" s="412"/>
      <c r="E612" s="412"/>
      <c r="F612" s="412"/>
      <c r="G612" s="412"/>
      <c r="H612" s="41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c r="AJ612" s="412"/>
      <c r="AK612" s="412"/>
      <c r="AL612" s="412"/>
      <c r="AM612" s="412"/>
      <c r="AN612" s="412"/>
      <c r="AO612" s="412"/>
      <c r="AP612" s="412"/>
      <c r="AQ612" s="449"/>
    </row>
    <row r="613" spans="2:43" x14ac:dyDescent="0.2">
      <c r="B613" s="412"/>
      <c r="C613" s="412"/>
      <c r="D613" s="412"/>
      <c r="E613" s="412"/>
      <c r="F613" s="412"/>
      <c r="G613" s="412"/>
      <c r="H613" s="41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c r="AI613" s="412"/>
      <c r="AJ613" s="412"/>
      <c r="AK613" s="412"/>
      <c r="AL613" s="412"/>
      <c r="AM613" s="412"/>
      <c r="AN613" s="412"/>
      <c r="AO613" s="412"/>
      <c r="AP613" s="412"/>
      <c r="AQ613" s="449"/>
    </row>
    <row r="614" spans="2:43" x14ac:dyDescent="0.2">
      <c r="B614" s="412"/>
      <c r="C614" s="412"/>
      <c r="D614" s="412"/>
      <c r="E614" s="412"/>
      <c r="F614" s="412"/>
      <c r="G614" s="412"/>
      <c r="H614" s="41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c r="AI614" s="412"/>
      <c r="AJ614" s="412"/>
      <c r="AK614" s="412"/>
      <c r="AL614" s="412"/>
      <c r="AM614" s="412"/>
      <c r="AN614" s="412"/>
      <c r="AO614" s="412"/>
      <c r="AP614" s="412"/>
      <c r="AQ614" s="449"/>
    </row>
    <row r="615" spans="2:43" x14ac:dyDescent="0.2">
      <c r="B615" s="412"/>
      <c r="C615" s="412"/>
      <c r="D615" s="412"/>
      <c r="E615" s="412"/>
      <c r="F615" s="412"/>
      <c r="G615" s="412"/>
      <c r="H615" s="41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c r="AI615" s="412"/>
      <c r="AJ615" s="412"/>
      <c r="AK615" s="412"/>
      <c r="AL615" s="412"/>
      <c r="AM615" s="412"/>
      <c r="AN615" s="412"/>
      <c r="AO615" s="412"/>
      <c r="AP615" s="412"/>
      <c r="AQ615" s="449"/>
    </row>
    <row r="616" spans="2:43" x14ac:dyDescent="0.2">
      <c r="B616" s="412"/>
      <c r="C616" s="412"/>
      <c r="D616" s="412"/>
      <c r="E616" s="412"/>
      <c r="F616" s="412"/>
      <c r="G616" s="412"/>
      <c r="H616" s="41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c r="AI616" s="412"/>
      <c r="AJ616" s="412"/>
      <c r="AK616" s="412"/>
      <c r="AL616" s="412"/>
      <c r="AM616" s="412"/>
      <c r="AN616" s="412"/>
      <c r="AO616" s="412"/>
      <c r="AP616" s="412"/>
      <c r="AQ616" s="449"/>
    </row>
    <row r="617" spans="2:43" x14ac:dyDescent="0.2">
      <c r="B617" s="412"/>
      <c r="C617" s="412"/>
      <c r="D617" s="412"/>
      <c r="E617" s="412"/>
      <c r="F617" s="412"/>
      <c r="G617" s="412"/>
      <c r="H617" s="41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c r="AI617" s="412"/>
      <c r="AJ617" s="412"/>
      <c r="AK617" s="412"/>
      <c r="AL617" s="412"/>
      <c r="AM617" s="412"/>
      <c r="AN617" s="412"/>
      <c r="AO617" s="412"/>
      <c r="AP617" s="412"/>
      <c r="AQ617" s="449"/>
    </row>
    <row r="618" spans="2:43" x14ac:dyDescent="0.2">
      <c r="B618" s="412"/>
      <c r="C618" s="412"/>
      <c r="D618" s="412"/>
      <c r="E618" s="412"/>
      <c r="F618" s="412"/>
      <c r="G618" s="412"/>
      <c r="H618" s="412"/>
      <c r="I618" s="412"/>
      <c r="J618" s="412"/>
      <c r="K618" s="412"/>
      <c r="L618" s="412"/>
      <c r="M618" s="412"/>
      <c r="N618" s="412"/>
      <c r="O618" s="412"/>
      <c r="P618" s="412"/>
      <c r="Q618" s="412"/>
      <c r="R618" s="412"/>
      <c r="S618" s="412"/>
      <c r="T618" s="412"/>
      <c r="U618" s="412"/>
      <c r="V618" s="412"/>
      <c r="W618" s="412"/>
      <c r="X618" s="412"/>
      <c r="Y618" s="412"/>
      <c r="Z618" s="412"/>
      <c r="AA618" s="412"/>
      <c r="AB618" s="412"/>
      <c r="AC618" s="412"/>
      <c r="AD618" s="412"/>
      <c r="AE618" s="412"/>
      <c r="AF618" s="412"/>
      <c r="AG618" s="412"/>
      <c r="AH618" s="412"/>
      <c r="AI618" s="412"/>
      <c r="AJ618" s="412"/>
      <c r="AK618" s="412"/>
      <c r="AL618" s="412"/>
      <c r="AM618" s="412"/>
      <c r="AN618" s="412"/>
      <c r="AO618" s="412"/>
      <c r="AP618" s="412"/>
      <c r="AQ618" s="449"/>
    </row>
    <row r="619" spans="2:43" x14ac:dyDescent="0.2">
      <c r="B619" s="412"/>
      <c r="C619" s="412"/>
      <c r="D619" s="412"/>
      <c r="E619" s="412"/>
      <c r="F619" s="412"/>
      <c r="G619" s="412"/>
      <c r="H619" s="412"/>
      <c r="I619" s="412"/>
      <c r="J619" s="412"/>
      <c r="K619" s="412"/>
      <c r="L619" s="412"/>
      <c r="M619" s="412"/>
      <c r="N619" s="412"/>
      <c r="O619" s="412"/>
      <c r="P619" s="412"/>
      <c r="Q619" s="412"/>
      <c r="R619" s="412"/>
      <c r="S619" s="412"/>
      <c r="T619" s="412"/>
      <c r="U619" s="412"/>
      <c r="V619" s="412"/>
      <c r="W619" s="412"/>
      <c r="X619" s="412"/>
      <c r="Y619" s="412"/>
      <c r="Z619" s="412"/>
      <c r="AA619" s="412"/>
      <c r="AB619" s="412"/>
      <c r="AC619" s="412"/>
      <c r="AD619" s="412"/>
      <c r="AE619" s="412"/>
      <c r="AF619" s="412"/>
      <c r="AG619" s="412"/>
      <c r="AH619" s="412"/>
      <c r="AI619" s="412"/>
      <c r="AJ619" s="412"/>
      <c r="AK619" s="412"/>
      <c r="AL619" s="412"/>
      <c r="AM619" s="412"/>
      <c r="AN619" s="412"/>
      <c r="AO619" s="412"/>
      <c r="AP619" s="412"/>
      <c r="AQ619" s="449"/>
    </row>
    <row r="620" spans="2:43" x14ac:dyDescent="0.2">
      <c r="B620" s="412"/>
      <c r="C620" s="412"/>
      <c r="D620" s="412"/>
      <c r="E620" s="412"/>
      <c r="F620" s="412"/>
      <c r="G620" s="412"/>
      <c r="H620" s="412"/>
      <c r="I620" s="412"/>
      <c r="J620" s="412"/>
      <c r="K620" s="412"/>
      <c r="L620" s="412"/>
      <c r="M620" s="412"/>
      <c r="N620" s="412"/>
      <c r="O620" s="412"/>
      <c r="P620" s="412"/>
      <c r="Q620" s="412"/>
      <c r="R620" s="412"/>
      <c r="S620" s="412"/>
      <c r="T620" s="412"/>
      <c r="U620" s="412"/>
      <c r="V620" s="412"/>
      <c r="W620" s="412"/>
      <c r="X620" s="412"/>
      <c r="Y620" s="412"/>
      <c r="Z620" s="412"/>
      <c r="AA620" s="412"/>
      <c r="AB620" s="412"/>
      <c r="AC620" s="412"/>
      <c r="AD620" s="412"/>
      <c r="AE620" s="412"/>
      <c r="AF620" s="412"/>
      <c r="AG620" s="412"/>
      <c r="AH620" s="412"/>
      <c r="AI620" s="412"/>
      <c r="AJ620" s="412"/>
      <c r="AK620" s="412"/>
      <c r="AL620" s="412"/>
      <c r="AM620" s="412"/>
      <c r="AN620" s="412"/>
      <c r="AO620" s="412"/>
      <c r="AP620" s="412"/>
      <c r="AQ620" s="449"/>
    </row>
    <row r="621" spans="2:43" x14ac:dyDescent="0.2">
      <c r="B621" s="412"/>
      <c r="C621" s="412"/>
      <c r="D621" s="412"/>
      <c r="E621" s="412"/>
      <c r="F621" s="412"/>
      <c r="G621" s="412"/>
      <c r="H621" s="412"/>
      <c r="I621" s="412"/>
      <c r="J621" s="412"/>
      <c r="K621" s="412"/>
      <c r="L621" s="412"/>
      <c r="M621" s="412"/>
      <c r="N621" s="412"/>
      <c r="O621" s="412"/>
      <c r="P621" s="412"/>
      <c r="Q621" s="412"/>
      <c r="R621" s="412"/>
      <c r="S621" s="412"/>
      <c r="T621" s="412"/>
      <c r="U621" s="412"/>
      <c r="V621" s="412"/>
      <c r="W621" s="412"/>
      <c r="X621" s="412"/>
      <c r="Y621" s="412"/>
      <c r="Z621" s="412"/>
      <c r="AA621" s="412"/>
      <c r="AB621" s="412"/>
      <c r="AC621" s="412"/>
      <c r="AD621" s="412"/>
      <c r="AE621" s="412"/>
      <c r="AF621" s="412"/>
      <c r="AG621" s="412"/>
      <c r="AH621" s="412"/>
      <c r="AI621" s="412"/>
      <c r="AJ621" s="412"/>
      <c r="AK621" s="412"/>
      <c r="AL621" s="412"/>
      <c r="AM621" s="412"/>
      <c r="AN621" s="412"/>
      <c r="AO621" s="412"/>
      <c r="AP621" s="412"/>
      <c r="AQ621" s="449"/>
    </row>
    <row r="622" spans="2:43" x14ac:dyDescent="0.2">
      <c r="B622" s="412"/>
      <c r="C622" s="412"/>
      <c r="D622" s="412"/>
      <c r="E622" s="412"/>
      <c r="F622" s="412"/>
      <c r="G622" s="412"/>
      <c r="H622" s="412"/>
      <c r="I622" s="412"/>
      <c r="J622" s="412"/>
      <c r="K622" s="412"/>
      <c r="L622" s="412"/>
      <c r="M622" s="412"/>
      <c r="N622" s="412"/>
      <c r="O622" s="412"/>
      <c r="P622" s="412"/>
      <c r="Q622" s="412"/>
      <c r="R622" s="412"/>
      <c r="S622" s="412"/>
      <c r="T622" s="412"/>
      <c r="U622" s="412"/>
      <c r="V622" s="412"/>
      <c r="W622" s="412"/>
      <c r="X622" s="412"/>
      <c r="Y622" s="412"/>
      <c r="Z622" s="412"/>
      <c r="AA622" s="412"/>
      <c r="AB622" s="412"/>
      <c r="AC622" s="412"/>
      <c r="AD622" s="412"/>
      <c r="AE622" s="412"/>
      <c r="AF622" s="412"/>
      <c r="AG622" s="412"/>
      <c r="AH622" s="412"/>
      <c r="AI622" s="412"/>
      <c r="AJ622" s="412"/>
      <c r="AK622" s="412"/>
      <c r="AL622" s="412"/>
      <c r="AM622" s="412"/>
      <c r="AN622" s="412"/>
      <c r="AO622" s="412"/>
      <c r="AP622" s="412"/>
      <c r="AQ622" s="449"/>
    </row>
    <row r="623" spans="2:43" x14ac:dyDescent="0.2">
      <c r="B623" s="412"/>
      <c r="C623" s="412"/>
      <c r="D623" s="412"/>
      <c r="E623" s="412"/>
      <c r="F623" s="412"/>
      <c r="G623" s="412"/>
      <c r="H623" s="412"/>
      <c r="I623" s="412"/>
      <c r="J623" s="412"/>
      <c r="K623" s="412"/>
      <c r="L623" s="412"/>
      <c r="M623" s="412"/>
      <c r="N623" s="412"/>
      <c r="O623" s="412"/>
      <c r="P623" s="412"/>
      <c r="Q623" s="412"/>
      <c r="R623" s="412"/>
      <c r="S623" s="412"/>
      <c r="T623" s="412"/>
      <c r="U623" s="412"/>
      <c r="V623" s="412"/>
      <c r="W623" s="412"/>
      <c r="X623" s="412"/>
      <c r="Y623" s="412"/>
      <c r="Z623" s="412"/>
      <c r="AA623" s="412"/>
      <c r="AB623" s="412"/>
      <c r="AC623" s="412"/>
      <c r="AD623" s="412"/>
      <c r="AE623" s="412"/>
      <c r="AF623" s="412"/>
      <c r="AG623" s="412"/>
      <c r="AH623" s="412"/>
      <c r="AI623" s="412"/>
      <c r="AJ623" s="412"/>
      <c r="AK623" s="412"/>
      <c r="AL623" s="412"/>
      <c r="AM623" s="412"/>
      <c r="AN623" s="412"/>
      <c r="AO623" s="412"/>
      <c r="AP623" s="412"/>
      <c r="AQ623" s="449"/>
    </row>
    <row r="624" spans="2:43" x14ac:dyDescent="0.2">
      <c r="B624" s="412"/>
      <c r="C624" s="412"/>
      <c r="D624" s="412"/>
      <c r="E624" s="412"/>
      <c r="F624" s="412"/>
      <c r="G624" s="412"/>
      <c r="H624" s="412"/>
      <c r="I624" s="412"/>
      <c r="J624" s="412"/>
      <c r="K624" s="412"/>
      <c r="L624" s="412"/>
      <c r="M624" s="412"/>
      <c r="N624" s="412"/>
      <c r="O624" s="412"/>
      <c r="P624" s="412"/>
      <c r="Q624" s="412"/>
      <c r="R624" s="412"/>
      <c r="S624" s="412"/>
      <c r="T624" s="412"/>
      <c r="U624" s="412"/>
      <c r="V624" s="412"/>
      <c r="W624" s="412"/>
      <c r="X624" s="412"/>
      <c r="Y624" s="412"/>
      <c r="Z624" s="412"/>
      <c r="AA624" s="412"/>
      <c r="AB624" s="412"/>
      <c r="AC624" s="412"/>
      <c r="AD624" s="412"/>
      <c r="AE624" s="412"/>
      <c r="AF624" s="412"/>
      <c r="AG624" s="412"/>
      <c r="AH624" s="412"/>
      <c r="AI624" s="412"/>
      <c r="AJ624" s="412"/>
      <c r="AK624" s="412"/>
      <c r="AL624" s="412"/>
      <c r="AM624" s="412"/>
      <c r="AN624" s="412"/>
      <c r="AO624" s="412"/>
      <c r="AP624" s="412"/>
      <c r="AQ624" s="449"/>
    </row>
    <row r="625" spans="2:43" x14ac:dyDescent="0.2">
      <c r="B625" s="412"/>
      <c r="C625" s="412"/>
      <c r="D625" s="412"/>
      <c r="E625" s="412"/>
      <c r="F625" s="412"/>
      <c r="G625" s="412"/>
      <c r="H625" s="412"/>
      <c r="I625" s="412"/>
      <c r="J625" s="412"/>
      <c r="K625" s="412"/>
      <c r="L625" s="412"/>
      <c r="M625" s="412"/>
      <c r="N625" s="412"/>
      <c r="O625" s="412"/>
      <c r="P625" s="412"/>
      <c r="Q625" s="412"/>
      <c r="R625" s="412"/>
      <c r="S625" s="412"/>
      <c r="T625" s="412"/>
      <c r="U625" s="412"/>
      <c r="V625" s="412"/>
      <c r="W625" s="412"/>
      <c r="X625" s="412"/>
      <c r="Y625" s="412"/>
      <c r="Z625" s="412"/>
      <c r="AA625" s="412"/>
      <c r="AB625" s="412"/>
      <c r="AC625" s="412"/>
      <c r="AD625" s="412"/>
      <c r="AE625" s="412"/>
      <c r="AF625" s="412"/>
      <c r="AG625" s="412"/>
      <c r="AH625" s="412"/>
      <c r="AI625" s="412"/>
      <c r="AJ625" s="412"/>
      <c r="AK625" s="412"/>
      <c r="AL625" s="412"/>
      <c r="AM625" s="412"/>
      <c r="AN625" s="412"/>
      <c r="AO625" s="412"/>
      <c r="AP625" s="412"/>
      <c r="AQ625" s="449"/>
    </row>
    <row r="626" spans="2:43" x14ac:dyDescent="0.2">
      <c r="B626" s="412"/>
      <c r="C626" s="412"/>
      <c r="D626" s="412"/>
      <c r="E626" s="412"/>
      <c r="F626" s="412"/>
      <c r="G626" s="412"/>
      <c r="H626" s="412"/>
      <c r="I626" s="412"/>
      <c r="J626" s="412"/>
      <c r="K626" s="412"/>
      <c r="L626" s="412"/>
      <c r="M626" s="412"/>
      <c r="N626" s="412"/>
      <c r="O626" s="412"/>
      <c r="P626" s="412"/>
      <c r="Q626" s="412"/>
      <c r="R626" s="412"/>
      <c r="S626" s="412"/>
      <c r="T626" s="412"/>
      <c r="U626" s="412"/>
      <c r="V626" s="412"/>
      <c r="W626" s="412"/>
      <c r="X626" s="412"/>
      <c r="Y626" s="412"/>
      <c r="Z626" s="412"/>
      <c r="AA626" s="412"/>
      <c r="AB626" s="412"/>
      <c r="AC626" s="412"/>
      <c r="AD626" s="412"/>
      <c r="AE626" s="412"/>
      <c r="AF626" s="412"/>
      <c r="AG626" s="412"/>
      <c r="AH626" s="412"/>
      <c r="AI626" s="412"/>
      <c r="AJ626" s="412"/>
      <c r="AK626" s="412"/>
      <c r="AL626" s="412"/>
      <c r="AM626" s="412"/>
      <c r="AN626" s="412"/>
      <c r="AO626" s="412"/>
      <c r="AP626" s="412"/>
      <c r="AQ626" s="449"/>
    </row>
    <row r="627" spans="2:43" x14ac:dyDescent="0.2">
      <c r="B627" s="412"/>
      <c r="C627" s="412"/>
      <c r="D627" s="412"/>
      <c r="E627" s="412"/>
      <c r="F627" s="412"/>
      <c r="G627" s="412"/>
      <c r="H627" s="412"/>
      <c r="I627" s="412"/>
      <c r="J627" s="412"/>
      <c r="K627" s="412"/>
      <c r="L627" s="412"/>
      <c r="M627" s="412"/>
      <c r="N627" s="412"/>
      <c r="O627" s="412"/>
      <c r="P627" s="412"/>
      <c r="Q627" s="412"/>
      <c r="R627" s="412"/>
      <c r="S627" s="412"/>
      <c r="T627" s="412"/>
      <c r="U627" s="412"/>
      <c r="V627" s="412"/>
      <c r="W627" s="412"/>
      <c r="X627" s="412"/>
      <c r="Y627" s="412"/>
      <c r="Z627" s="412"/>
      <c r="AA627" s="412"/>
      <c r="AB627" s="412"/>
      <c r="AC627" s="412"/>
      <c r="AD627" s="412"/>
      <c r="AE627" s="412"/>
      <c r="AF627" s="412"/>
      <c r="AG627" s="412"/>
      <c r="AH627" s="412"/>
      <c r="AI627" s="412"/>
      <c r="AJ627" s="412"/>
      <c r="AK627" s="412"/>
      <c r="AL627" s="412"/>
      <c r="AM627" s="412"/>
      <c r="AN627" s="412"/>
      <c r="AO627" s="412"/>
      <c r="AP627" s="412"/>
      <c r="AQ627" s="449"/>
    </row>
    <row r="628" spans="2:43" x14ac:dyDescent="0.2">
      <c r="B628" s="412"/>
      <c r="C628" s="412"/>
      <c r="D628" s="412"/>
      <c r="E628" s="412"/>
      <c r="F628" s="412"/>
      <c r="G628" s="412"/>
      <c r="H628" s="412"/>
      <c r="I628" s="412"/>
      <c r="J628" s="412"/>
      <c r="K628" s="412"/>
      <c r="L628" s="412"/>
      <c r="M628" s="412"/>
      <c r="N628" s="412"/>
      <c r="O628" s="412"/>
      <c r="P628" s="412"/>
      <c r="Q628" s="412"/>
      <c r="R628" s="412"/>
      <c r="S628" s="412"/>
      <c r="T628" s="412"/>
      <c r="U628" s="412"/>
      <c r="V628" s="412"/>
      <c r="W628" s="412"/>
      <c r="X628" s="412"/>
      <c r="Y628" s="412"/>
      <c r="Z628" s="412"/>
      <c r="AA628" s="412"/>
      <c r="AB628" s="412"/>
      <c r="AC628" s="412"/>
      <c r="AD628" s="412"/>
      <c r="AE628" s="412"/>
      <c r="AF628" s="412"/>
      <c r="AG628" s="412"/>
      <c r="AH628" s="412"/>
      <c r="AI628" s="412"/>
      <c r="AJ628" s="412"/>
      <c r="AK628" s="412"/>
      <c r="AL628" s="412"/>
      <c r="AM628" s="412"/>
      <c r="AN628" s="412"/>
      <c r="AO628" s="412"/>
      <c r="AP628" s="412"/>
      <c r="AQ628" s="449"/>
    </row>
    <row r="629" spans="2:43" x14ac:dyDescent="0.2">
      <c r="B629" s="412"/>
      <c r="C629" s="412"/>
      <c r="D629" s="412"/>
      <c r="E629" s="412"/>
      <c r="F629" s="412"/>
      <c r="G629" s="412"/>
      <c r="H629" s="412"/>
      <c r="I629" s="412"/>
      <c r="J629" s="412"/>
      <c r="K629" s="412"/>
      <c r="L629" s="412"/>
      <c r="M629" s="412"/>
      <c r="N629" s="412"/>
      <c r="O629" s="412"/>
      <c r="P629" s="412"/>
      <c r="Q629" s="412"/>
      <c r="R629" s="412"/>
      <c r="S629" s="412"/>
      <c r="T629" s="412"/>
      <c r="U629" s="412"/>
      <c r="V629" s="412"/>
      <c r="W629" s="412"/>
      <c r="X629" s="412"/>
      <c r="Y629" s="412"/>
      <c r="Z629" s="412"/>
      <c r="AA629" s="412"/>
      <c r="AB629" s="412"/>
      <c r="AC629" s="412"/>
      <c r="AD629" s="412"/>
      <c r="AE629" s="412"/>
      <c r="AF629" s="412"/>
      <c r="AG629" s="412"/>
      <c r="AH629" s="412"/>
      <c r="AI629" s="412"/>
      <c r="AJ629" s="412"/>
      <c r="AK629" s="412"/>
      <c r="AL629" s="412"/>
      <c r="AM629" s="412"/>
      <c r="AN629" s="412"/>
      <c r="AO629" s="412"/>
      <c r="AP629" s="412"/>
      <c r="AQ629" s="449"/>
    </row>
    <row r="630" spans="2:43" x14ac:dyDescent="0.2">
      <c r="B630" s="412"/>
      <c r="C630" s="412"/>
      <c r="D630" s="412"/>
      <c r="E630" s="412"/>
      <c r="F630" s="412"/>
      <c r="G630" s="412"/>
      <c r="H630" s="412"/>
      <c r="I630" s="412"/>
      <c r="J630" s="412"/>
      <c r="K630" s="412"/>
      <c r="L630" s="412"/>
      <c r="M630" s="412"/>
      <c r="N630" s="412"/>
      <c r="O630" s="412"/>
      <c r="P630" s="412"/>
      <c r="Q630" s="412"/>
      <c r="R630" s="412"/>
      <c r="S630" s="412"/>
      <c r="T630" s="412"/>
      <c r="U630" s="412"/>
      <c r="V630" s="412"/>
      <c r="W630" s="412"/>
      <c r="X630" s="412"/>
      <c r="Y630" s="412"/>
      <c r="Z630" s="412"/>
      <c r="AA630" s="412"/>
      <c r="AB630" s="412"/>
      <c r="AC630" s="412"/>
      <c r="AD630" s="412"/>
      <c r="AE630" s="412"/>
      <c r="AF630" s="412"/>
      <c r="AG630" s="412"/>
      <c r="AH630" s="412"/>
      <c r="AI630" s="412"/>
      <c r="AJ630" s="412"/>
      <c r="AK630" s="412"/>
      <c r="AL630" s="412"/>
      <c r="AM630" s="412"/>
      <c r="AN630" s="412"/>
      <c r="AO630" s="412"/>
      <c r="AP630" s="412"/>
      <c r="AQ630" s="449"/>
    </row>
    <row r="631" spans="2:43" x14ac:dyDescent="0.2">
      <c r="B631" s="412"/>
      <c r="C631" s="412"/>
      <c r="D631" s="412"/>
      <c r="E631" s="412"/>
      <c r="F631" s="412"/>
      <c r="G631" s="412"/>
      <c r="H631" s="412"/>
      <c r="I631" s="412"/>
      <c r="J631" s="412"/>
      <c r="K631" s="412"/>
      <c r="L631" s="412"/>
      <c r="M631" s="412"/>
      <c r="N631" s="412"/>
      <c r="O631" s="412"/>
      <c r="P631" s="412"/>
      <c r="Q631" s="412"/>
      <c r="R631" s="412"/>
      <c r="S631" s="412"/>
      <c r="T631" s="412"/>
      <c r="U631" s="412"/>
      <c r="V631" s="412"/>
      <c r="W631" s="412"/>
      <c r="X631" s="412"/>
      <c r="Y631" s="412"/>
      <c r="Z631" s="412"/>
      <c r="AA631" s="412"/>
      <c r="AB631" s="412"/>
      <c r="AC631" s="412"/>
      <c r="AD631" s="412"/>
      <c r="AE631" s="412"/>
      <c r="AF631" s="412"/>
      <c r="AG631" s="412"/>
      <c r="AH631" s="412"/>
      <c r="AI631" s="412"/>
      <c r="AJ631" s="412"/>
      <c r="AK631" s="412"/>
      <c r="AL631" s="412"/>
      <c r="AM631" s="412"/>
      <c r="AN631" s="412"/>
      <c r="AO631" s="412"/>
      <c r="AP631" s="412"/>
      <c r="AQ631" s="449"/>
    </row>
    <row r="632" spans="2:43" x14ac:dyDescent="0.2">
      <c r="B632" s="412"/>
      <c r="C632" s="412"/>
      <c r="D632" s="412"/>
      <c r="E632" s="412"/>
      <c r="F632" s="412"/>
      <c r="G632" s="412"/>
      <c r="H632" s="412"/>
      <c r="I632" s="412"/>
      <c r="J632" s="412"/>
      <c r="K632" s="412"/>
      <c r="L632" s="412"/>
      <c r="M632" s="412"/>
      <c r="N632" s="412"/>
      <c r="O632" s="412"/>
      <c r="P632" s="412"/>
      <c r="Q632" s="412"/>
      <c r="R632" s="412"/>
      <c r="S632" s="412"/>
      <c r="T632" s="412"/>
      <c r="U632" s="412"/>
      <c r="V632" s="412"/>
      <c r="W632" s="412"/>
      <c r="X632" s="412"/>
      <c r="Y632" s="412"/>
      <c r="Z632" s="412"/>
      <c r="AA632" s="412"/>
      <c r="AB632" s="412"/>
      <c r="AC632" s="412"/>
      <c r="AD632" s="412"/>
      <c r="AE632" s="412"/>
      <c r="AF632" s="412"/>
      <c r="AG632" s="412"/>
      <c r="AH632" s="412"/>
      <c r="AI632" s="412"/>
      <c r="AJ632" s="412"/>
      <c r="AK632" s="412"/>
      <c r="AL632" s="412"/>
      <c r="AM632" s="412"/>
      <c r="AN632" s="412"/>
      <c r="AO632" s="412"/>
      <c r="AP632" s="412"/>
      <c r="AQ632" s="449"/>
    </row>
    <row r="633" spans="2:43" x14ac:dyDescent="0.2">
      <c r="B633" s="412"/>
      <c r="C633" s="412"/>
      <c r="D633" s="412"/>
      <c r="E633" s="412"/>
      <c r="F633" s="412"/>
      <c r="G633" s="412"/>
      <c r="H633" s="412"/>
      <c r="I633" s="412"/>
      <c r="J633" s="412"/>
      <c r="K633" s="412"/>
      <c r="L633" s="412"/>
      <c r="M633" s="412"/>
      <c r="N633" s="412"/>
      <c r="O633" s="412"/>
      <c r="P633" s="412"/>
      <c r="Q633" s="412"/>
      <c r="R633" s="412"/>
      <c r="S633" s="412"/>
      <c r="T633" s="412"/>
      <c r="U633" s="412"/>
      <c r="V633" s="412"/>
      <c r="W633" s="412"/>
      <c r="X633" s="412"/>
      <c r="Y633" s="412"/>
      <c r="Z633" s="412"/>
      <c r="AA633" s="412"/>
      <c r="AB633" s="412"/>
      <c r="AC633" s="412"/>
      <c r="AD633" s="412"/>
      <c r="AE633" s="412"/>
      <c r="AF633" s="412"/>
      <c r="AG633" s="412"/>
      <c r="AH633" s="412"/>
      <c r="AI633" s="412"/>
      <c r="AJ633" s="412"/>
      <c r="AK633" s="412"/>
      <c r="AL633" s="412"/>
      <c r="AM633" s="412"/>
      <c r="AN633" s="412"/>
      <c r="AO633" s="412"/>
      <c r="AP633" s="412"/>
      <c r="AQ633" s="449"/>
    </row>
    <row r="634" spans="2:43" x14ac:dyDescent="0.2">
      <c r="B634" s="412"/>
      <c r="C634" s="412"/>
      <c r="D634" s="412"/>
      <c r="E634" s="412"/>
      <c r="F634" s="412"/>
      <c r="G634" s="412"/>
      <c r="H634" s="412"/>
      <c r="I634" s="412"/>
      <c r="J634" s="412"/>
      <c r="K634" s="412"/>
      <c r="L634" s="412"/>
      <c r="M634" s="412"/>
      <c r="N634" s="412"/>
      <c r="O634" s="412"/>
      <c r="P634" s="412"/>
      <c r="Q634" s="412"/>
      <c r="R634" s="412"/>
      <c r="S634" s="412"/>
      <c r="T634" s="412"/>
      <c r="U634" s="412"/>
      <c r="V634" s="412"/>
      <c r="W634" s="412"/>
      <c r="X634" s="412"/>
      <c r="Y634" s="412"/>
      <c r="Z634" s="412"/>
      <c r="AA634" s="412"/>
      <c r="AB634" s="412"/>
      <c r="AC634" s="412"/>
      <c r="AD634" s="412"/>
      <c r="AE634" s="412"/>
      <c r="AF634" s="412"/>
      <c r="AG634" s="412"/>
      <c r="AH634" s="412"/>
      <c r="AI634" s="412"/>
      <c r="AJ634" s="412"/>
      <c r="AK634" s="412"/>
      <c r="AL634" s="412"/>
      <c r="AM634" s="412"/>
      <c r="AN634" s="412"/>
      <c r="AO634" s="412"/>
      <c r="AP634" s="412"/>
      <c r="AQ634" s="449"/>
    </row>
    <row r="635" spans="2:43" x14ac:dyDescent="0.2">
      <c r="B635" s="412"/>
      <c r="C635" s="412"/>
      <c r="D635" s="412"/>
      <c r="E635" s="412"/>
      <c r="F635" s="412"/>
      <c r="G635" s="412"/>
      <c r="H635" s="412"/>
      <c r="I635" s="412"/>
      <c r="J635" s="412"/>
      <c r="K635" s="412"/>
      <c r="L635" s="412"/>
      <c r="M635" s="412"/>
      <c r="N635" s="412"/>
      <c r="O635" s="412"/>
      <c r="P635" s="412"/>
      <c r="Q635" s="412"/>
      <c r="R635" s="412"/>
      <c r="S635" s="412"/>
      <c r="T635" s="412"/>
      <c r="U635" s="412"/>
      <c r="V635" s="412"/>
      <c r="W635" s="412"/>
      <c r="X635" s="412"/>
      <c r="Y635" s="412"/>
      <c r="Z635" s="412"/>
      <c r="AA635" s="412"/>
      <c r="AB635" s="412"/>
      <c r="AC635" s="412"/>
      <c r="AD635" s="412"/>
      <c r="AE635" s="412"/>
      <c r="AF635" s="412"/>
      <c r="AG635" s="412"/>
      <c r="AH635" s="412"/>
      <c r="AI635" s="412"/>
      <c r="AJ635" s="412"/>
      <c r="AK635" s="412"/>
      <c r="AL635" s="412"/>
      <c r="AM635" s="412"/>
      <c r="AN635" s="412"/>
      <c r="AO635" s="412"/>
      <c r="AP635" s="412"/>
      <c r="AQ635" s="449"/>
    </row>
    <row r="636" spans="2:43" x14ac:dyDescent="0.2">
      <c r="B636" s="413"/>
      <c r="C636" s="413"/>
      <c r="D636" s="413"/>
      <c r="E636" s="413"/>
      <c r="F636" s="413"/>
      <c r="G636" s="413"/>
      <c r="H636" s="413"/>
      <c r="I636" s="413"/>
      <c r="J636" s="413"/>
      <c r="K636" s="413"/>
      <c r="L636" s="413"/>
      <c r="M636" s="413"/>
      <c r="N636" s="413"/>
      <c r="O636" s="413"/>
      <c r="P636" s="413"/>
      <c r="Q636" s="413"/>
      <c r="R636" s="413"/>
      <c r="S636" s="413"/>
      <c r="T636" s="413"/>
      <c r="U636" s="413"/>
      <c r="V636" s="413"/>
      <c r="W636" s="413"/>
      <c r="X636" s="413"/>
      <c r="Y636" s="413"/>
      <c r="Z636" s="413"/>
      <c r="AA636" s="413"/>
      <c r="AB636" s="413"/>
      <c r="AC636" s="413"/>
      <c r="AD636" s="413"/>
      <c r="AE636" s="413"/>
      <c r="AF636" s="413"/>
      <c r="AG636" s="413"/>
      <c r="AH636" s="413"/>
      <c r="AI636" s="413"/>
      <c r="AJ636" s="413"/>
      <c r="AK636" s="413"/>
      <c r="AL636" s="413"/>
      <c r="AM636" s="413"/>
      <c r="AN636" s="413"/>
      <c r="AO636" s="413"/>
      <c r="AP636" s="413"/>
      <c r="AQ636" s="451"/>
    </row>
    <row r="637" spans="2:43" x14ac:dyDescent="0.2">
      <c r="O637" s="15"/>
      <c r="P637" s="15"/>
      <c r="Q637" s="15"/>
      <c r="R637" s="15"/>
      <c r="S637" s="15"/>
    </row>
    <row r="638" spans="2:43" x14ac:dyDescent="0.2">
      <c r="O638" s="15"/>
      <c r="P638" s="15"/>
      <c r="Q638" s="15"/>
      <c r="R638" s="15"/>
      <c r="S638" s="15"/>
    </row>
    <row r="639" spans="2:43" x14ac:dyDescent="0.2">
      <c r="O639" s="15"/>
      <c r="P639" s="15"/>
      <c r="Q639" s="15"/>
      <c r="R639" s="15"/>
      <c r="S639" s="15"/>
    </row>
    <row r="640" spans="2:43" x14ac:dyDescent="0.2">
      <c r="O640" s="15"/>
      <c r="P640" s="15"/>
      <c r="Q640" s="15"/>
      <c r="R640" s="15"/>
      <c r="S640" s="15"/>
    </row>
    <row r="641" spans="3:19" x14ac:dyDescent="0.2">
      <c r="O641" s="15"/>
      <c r="P641" s="15"/>
      <c r="Q641" s="15"/>
      <c r="R641" s="15"/>
      <c r="S641" s="15"/>
    </row>
    <row r="646" spans="3:19" ht="15" x14ac:dyDescent="0.2">
      <c r="D646" s="4" t="s">
        <v>719</v>
      </c>
    </row>
    <row r="647" spans="3:19" x14ac:dyDescent="0.2">
      <c r="C647" s="30"/>
      <c r="D647" s="31"/>
      <c r="E647" s="31"/>
      <c r="F647" s="31"/>
      <c r="G647" s="31"/>
      <c r="H647" s="31"/>
      <c r="I647" s="31"/>
      <c r="J647" s="31"/>
      <c r="K647" s="31"/>
      <c r="L647" s="31"/>
      <c r="M647" s="31"/>
      <c r="N647" s="31"/>
      <c r="O647" s="31"/>
      <c r="P647" s="31"/>
      <c r="Q647" s="31"/>
      <c r="R647" s="31"/>
      <c r="S647" s="120"/>
    </row>
    <row r="648" spans="3:19" ht="14.25" x14ac:dyDescent="0.2">
      <c r="C648" s="28"/>
      <c r="D648" s="117" t="s">
        <v>722</v>
      </c>
      <c r="E648" s="1"/>
      <c r="F648" s="1"/>
      <c r="G648" s="123">
        <f>G89</f>
        <v>0</v>
      </c>
      <c r="H648" s="123">
        <f t="shared" ref="H648:R648" si="58">G648+H89</f>
        <v>0</v>
      </c>
      <c r="I648" s="123">
        <f t="shared" si="58"/>
        <v>0</v>
      </c>
      <c r="J648" s="123">
        <f t="shared" si="58"/>
        <v>0</v>
      </c>
      <c r="K648" s="123">
        <f t="shared" si="58"/>
        <v>0</v>
      </c>
      <c r="L648" s="123">
        <f t="shared" si="58"/>
        <v>0</v>
      </c>
      <c r="M648" s="123">
        <f t="shared" si="58"/>
        <v>0</v>
      </c>
      <c r="N648" s="123">
        <f t="shared" si="58"/>
        <v>0</v>
      </c>
      <c r="O648" s="123">
        <f t="shared" si="58"/>
        <v>0</v>
      </c>
      <c r="P648" s="123">
        <f t="shared" si="58"/>
        <v>0</v>
      </c>
      <c r="Q648" s="123">
        <f t="shared" si="58"/>
        <v>0</v>
      </c>
      <c r="R648" s="123">
        <f t="shared" si="58"/>
        <v>0</v>
      </c>
      <c r="S648" s="121"/>
    </row>
    <row r="649" spans="3:19" ht="14.25" x14ac:dyDescent="0.2">
      <c r="C649" s="28"/>
      <c r="D649" s="117" t="s">
        <v>720</v>
      </c>
      <c r="E649" s="118">
        <f>E131+E133-E137</f>
        <v>0</v>
      </c>
      <c r="F649" s="117"/>
      <c r="G649" s="118">
        <f t="shared" ref="G649:R649" si="59">G131+G133-G137</f>
        <v>0</v>
      </c>
      <c r="H649" s="118">
        <f t="shared" si="59"/>
        <v>0</v>
      </c>
      <c r="I649" s="118">
        <f t="shared" si="59"/>
        <v>0</v>
      </c>
      <c r="J649" s="118">
        <f t="shared" si="59"/>
        <v>0</v>
      </c>
      <c r="K649" s="118">
        <f>K131+K133-K137</f>
        <v>0</v>
      </c>
      <c r="L649" s="118">
        <f t="shared" si="59"/>
        <v>0</v>
      </c>
      <c r="M649" s="118">
        <f t="shared" si="59"/>
        <v>0</v>
      </c>
      <c r="N649" s="118">
        <f t="shared" si="59"/>
        <v>0</v>
      </c>
      <c r="O649" s="118">
        <f t="shared" si="59"/>
        <v>0</v>
      </c>
      <c r="P649" s="118">
        <f t="shared" si="59"/>
        <v>0</v>
      </c>
      <c r="Q649" s="118">
        <f t="shared" si="59"/>
        <v>0</v>
      </c>
      <c r="R649" s="118">
        <f t="shared" si="59"/>
        <v>0</v>
      </c>
      <c r="S649" s="121"/>
    </row>
    <row r="650" spans="3:19" ht="14.25" x14ac:dyDescent="0.2">
      <c r="C650" s="28"/>
      <c r="D650" s="117" t="s">
        <v>721</v>
      </c>
      <c r="E650" s="118"/>
      <c r="F650" s="117"/>
      <c r="G650" s="118">
        <f>G649</f>
        <v>0</v>
      </c>
      <c r="H650" s="118">
        <f>G650+H649</f>
        <v>0</v>
      </c>
      <c r="I650" s="118">
        <f t="shared" ref="I650:R650" si="60">H650+I649</f>
        <v>0</v>
      </c>
      <c r="J650" s="118">
        <f t="shared" si="60"/>
        <v>0</v>
      </c>
      <c r="K650" s="118">
        <f t="shared" si="60"/>
        <v>0</v>
      </c>
      <c r="L650" s="118">
        <f t="shared" si="60"/>
        <v>0</v>
      </c>
      <c r="M650" s="118">
        <f t="shared" si="60"/>
        <v>0</v>
      </c>
      <c r="N650" s="118">
        <f t="shared" si="60"/>
        <v>0</v>
      </c>
      <c r="O650" s="118">
        <f t="shared" si="60"/>
        <v>0</v>
      </c>
      <c r="P650" s="118">
        <f t="shared" si="60"/>
        <v>0</v>
      </c>
      <c r="Q650" s="118">
        <f t="shared" si="60"/>
        <v>0</v>
      </c>
      <c r="R650" s="118">
        <f t="shared" si="60"/>
        <v>0</v>
      </c>
      <c r="S650" s="121"/>
    </row>
    <row r="651" spans="3:19" ht="14.25" x14ac:dyDescent="0.2">
      <c r="C651" s="28"/>
      <c r="D651" s="117" t="s">
        <v>716</v>
      </c>
      <c r="E651" s="118">
        <f>E98+E93</f>
        <v>0</v>
      </c>
      <c r="F651" s="117"/>
      <c r="G651" s="118">
        <f t="shared" ref="G651:R651" si="61">G98+G93</f>
        <v>0</v>
      </c>
      <c r="H651" s="118">
        <f t="shared" si="61"/>
        <v>0</v>
      </c>
      <c r="I651" s="118">
        <f t="shared" si="61"/>
        <v>0</v>
      </c>
      <c r="J651" s="118">
        <f t="shared" si="61"/>
        <v>0</v>
      </c>
      <c r="K651" s="118">
        <f t="shared" si="61"/>
        <v>0</v>
      </c>
      <c r="L651" s="118">
        <f t="shared" si="61"/>
        <v>0</v>
      </c>
      <c r="M651" s="118">
        <f t="shared" si="61"/>
        <v>0</v>
      </c>
      <c r="N651" s="118">
        <f t="shared" si="61"/>
        <v>0</v>
      </c>
      <c r="O651" s="118">
        <f t="shared" si="61"/>
        <v>0</v>
      </c>
      <c r="P651" s="118">
        <f t="shared" si="61"/>
        <v>0</v>
      </c>
      <c r="Q651" s="118">
        <f t="shared" si="61"/>
        <v>0</v>
      </c>
      <c r="R651" s="118">
        <f t="shared" si="61"/>
        <v>0</v>
      </c>
      <c r="S651" s="121"/>
    </row>
    <row r="652" spans="3:19" ht="14.25" x14ac:dyDescent="0.2">
      <c r="C652" s="28"/>
      <c r="D652" s="117" t="s">
        <v>130</v>
      </c>
      <c r="E652" s="118">
        <f>E102</f>
        <v>0</v>
      </c>
      <c r="F652" s="118"/>
      <c r="G652" s="118">
        <f t="shared" ref="G652:R652" si="62">G102</f>
        <v>0</v>
      </c>
      <c r="H652" s="118">
        <f t="shared" si="62"/>
        <v>0</v>
      </c>
      <c r="I652" s="118">
        <f t="shared" si="62"/>
        <v>0</v>
      </c>
      <c r="J652" s="118">
        <f t="shared" si="62"/>
        <v>0</v>
      </c>
      <c r="K652" s="118">
        <f t="shared" si="62"/>
        <v>0</v>
      </c>
      <c r="L652" s="118">
        <f t="shared" si="62"/>
        <v>0</v>
      </c>
      <c r="M652" s="118">
        <f t="shared" si="62"/>
        <v>0</v>
      </c>
      <c r="N652" s="118">
        <f t="shared" si="62"/>
        <v>0</v>
      </c>
      <c r="O652" s="118">
        <f t="shared" si="62"/>
        <v>0</v>
      </c>
      <c r="P652" s="118">
        <f t="shared" si="62"/>
        <v>0</v>
      </c>
      <c r="Q652" s="118">
        <f t="shared" si="62"/>
        <v>0</v>
      </c>
      <c r="R652" s="118">
        <f t="shared" si="62"/>
        <v>0</v>
      </c>
      <c r="S652" s="121"/>
    </row>
    <row r="653" spans="3:19" ht="14.25" x14ac:dyDescent="0.2">
      <c r="C653" s="28"/>
      <c r="D653" s="117" t="s">
        <v>808</v>
      </c>
      <c r="E653" s="118">
        <f>E108</f>
        <v>0</v>
      </c>
      <c r="F653" s="118"/>
      <c r="G653" s="118">
        <f t="shared" ref="G653:R653" si="63">G108</f>
        <v>0</v>
      </c>
      <c r="H653" s="118">
        <f t="shared" si="63"/>
        <v>0</v>
      </c>
      <c r="I653" s="118">
        <f t="shared" si="63"/>
        <v>0</v>
      </c>
      <c r="J653" s="118">
        <f t="shared" si="63"/>
        <v>0</v>
      </c>
      <c r="K653" s="118">
        <f t="shared" si="63"/>
        <v>0</v>
      </c>
      <c r="L653" s="118">
        <f t="shared" si="63"/>
        <v>0</v>
      </c>
      <c r="M653" s="118">
        <f t="shared" si="63"/>
        <v>0</v>
      </c>
      <c r="N653" s="118">
        <f t="shared" si="63"/>
        <v>0</v>
      </c>
      <c r="O653" s="118">
        <f t="shared" si="63"/>
        <v>0</v>
      </c>
      <c r="P653" s="118">
        <f t="shared" si="63"/>
        <v>0</v>
      </c>
      <c r="Q653" s="118">
        <f t="shared" si="63"/>
        <v>0</v>
      </c>
      <c r="R653" s="118">
        <f t="shared" si="63"/>
        <v>0</v>
      </c>
      <c r="S653" s="121"/>
    </row>
    <row r="654" spans="3:19" ht="14.25" x14ac:dyDescent="0.2">
      <c r="C654" s="28"/>
      <c r="D654" s="117" t="s">
        <v>717</v>
      </c>
      <c r="E654" s="118">
        <f>E114</f>
        <v>0</v>
      </c>
      <c r="F654" s="117"/>
      <c r="G654" s="118">
        <f t="shared" ref="G654:R654" si="64">G114</f>
        <v>0</v>
      </c>
      <c r="H654" s="118">
        <f t="shared" si="64"/>
        <v>0</v>
      </c>
      <c r="I654" s="118">
        <f t="shared" si="64"/>
        <v>0</v>
      </c>
      <c r="J654" s="118">
        <f t="shared" si="64"/>
        <v>0</v>
      </c>
      <c r="K654" s="118">
        <f t="shared" si="64"/>
        <v>0</v>
      </c>
      <c r="L654" s="118">
        <f t="shared" si="64"/>
        <v>0</v>
      </c>
      <c r="M654" s="118">
        <f t="shared" si="64"/>
        <v>0</v>
      </c>
      <c r="N654" s="118">
        <f t="shared" si="64"/>
        <v>0</v>
      </c>
      <c r="O654" s="118">
        <f t="shared" si="64"/>
        <v>0</v>
      </c>
      <c r="P654" s="118">
        <f t="shared" si="64"/>
        <v>0</v>
      </c>
      <c r="Q654" s="118">
        <f t="shared" si="64"/>
        <v>0</v>
      </c>
      <c r="R654" s="118">
        <f t="shared" si="64"/>
        <v>0</v>
      </c>
      <c r="S654" s="121"/>
    </row>
    <row r="655" spans="3:19" ht="14.25" x14ac:dyDescent="0.2">
      <c r="C655" s="28"/>
      <c r="D655" s="117" t="s">
        <v>718</v>
      </c>
      <c r="E655" s="118">
        <f>E127+E129+E133</f>
        <v>0</v>
      </c>
      <c r="F655" s="117"/>
      <c r="G655" s="118">
        <f t="shared" ref="G655:R655" si="65">G127+G129+G133</f>
        <v>0</v>
      </c>
      <c r="H655" s="118">
        <f t="shared" si="65"/>
        <v>0</v>
      </c>
      <c r="I655" s="118">
        <f t="shared" si="65"/>
        <v>0</v>
      </c>
      <c r="J655" s="118">
        <f t="shared" si="65"/>
        <v>0</v>
      </c>
      <c r="K655" s="118">
        <f t="shared" si="65"/>
        <v>0</v>
      </c>
      <c r="L655" s="118">
        <f t="shared" si="65"/>
        <v>0</v>
      </c>
      <c r="M655" s="118">
        <f t="shared" si="65"/>
        <v>0</v>
      </c>
      <c r="N655" s="118">
        <f t="shared" si="65"/>
        <v>0</v>
      </c>
      <c r="O655" s="118">
        <f t="shared" si="65"/>
        <v>0</v>
      </c>
      <c r="P655" s="118">
        <f t="shared" si="65"/>
        <v>0</v>
      </c>
      <c r="Q655" s="118">
        <f t="shared" si="65"/>
        <v>0</v>
      </c>
      <c r="R655" s="118">
        <f t="shared" si="65"/>
        <v>0</v>
      </c>
      <c r="S655" s="121"/>
    </row>
    <row r="656" spans="3:19" ht="14.25" x14ac:dyDescent="0.2">
      <c r="C656" s="28"/>
      <c r="D656" s="117" t="s">
        <v>153</v>
      </c>
      <c r="E656" s="119">
        <f>-E137</f>
        <v>0</v>
      </c>
      <c r="F656" s="117"/>
      <c r="G656" s="119">
        <f t="shared" ref="G656:R656" si="66">-G137</f>
        <v>0</v>
      </c>
      <c r="H656" s="119">
        <f t="shared" si="66"/>
        <v>0</v>
      </c>
      <c r="I656" s="119">
        <f t="shared" si="66"/>
        <v>0</v>
      </c>
      <c r="J656" s="119">
        <f t="shared" si="66"/>
        <v>0</v>
      </c>
      <c r="K656" s="119">
        <f t="shared" si="66"/>
        <v>0</v>
      </c>
      <c r="L656" s="119">
        <f t="shared" si="66"/>
        <v>0</v>
      </c>
      <c r="M656" s="119">
        <f t="shared" si="66"/>
        <v>0</v>
      </c>
      <c r="N656" s="119">
        <f t="shared" si="66"/>
        <v>0</v>
      </c>
      <c r="O656" s="119">
        <f t="shared" si="66"/>
        <v>0</v>
      </c>
      <c r="P656" s="119">
        <f t="shared" si="66"/>
        <v>0</v>
      </c>
      <c r="Q656" s="119">
        <f t="shared" si="66"/>
        <v>0</v>
      </c>
      <c r="R656" s="119">
        <f t="shared" si="66"/>
        <v>0</v>
      </c>
      <c r="S656" s="121"/>
    </row>
    <row r="657" spans="3:19" x14ac:dyDescent="0.2">
      <c r="C657" s="29"/>
      <c r="D657" s="2"/>
      <c r="E657" s="2"/>
      <c r="F657" s="2"/>
      <c r="G657" s="2"/>
      <c r="H657" s="2"/>
      <c r="I657" s="2"/>
      <c r="J657" s="2"/>
      <c r="K657" s="2"/>
      <c r="L657" s="2"/>
      <c r="M657" s="2"/>
      <c r="N657" s="2"/>
      <c r="O657" s="2"/>
      <c r="P657" s="2"/>
      <c r="Q657" s="2"/>
      <c r="R657" s="2"/>
      <c r="S657" s="122"/>
    </row>
  </sheetData>
  <sheetProtection sheet="1" objects="1" scenarios="1"/>
  <mergeCells count="16">
    <mergeCell ref="E3:J3"/>
    <mergeCell ref="D79:F79"/>
    <mergeCell ref="G79:K79"/>
    <mergeCell ref="D236:F236"/>
    <mergeCell ref="G232:L232"/>
    <mergeCell ref="D232:F232"/>
    <mergeCell ref="D182:F182"/>
    <mergeCell ref="G182:K182"/>
    <mergeCell ref="D287:F287"/>
    <mergeCell ref="D285:F285"/>
    <mergeCell ref="D283:F283"/>
    <mergeCell ref="D529:N530"/>
    <mergeCell ref="D312:L312"/>
    <mergeCell ref="D310:F310"/>
    <mergeCell ref="G310:K310"/>
    <mergeCell ref="D509:N510"/>
  </mergeCells>
  <phoneticPr fontId="2" type="noConversion"/>
  <dataValidations count="9">
    <dataValidation allowBlank="1" showInputMessage="1" showErrorMessage="1" promptTitle="% Sobre total PAGOS" prompt="arriba" sqref="F253:F281"/>
    <dataValidation allowBlank="1" showInputMessage="1" showErrorMessage="1" promptTitle="%  sobre IMPAGADOS" prompt="línea superior" sqref="F242"/>
    <dataValidation allowBlank="1" showInputMessage="1" showErrorMessage="1" promptTitle="% sobre VENTAS" prompt="línea superior" sqref="F241"/>
    <dataValidation allowBlank="1" showInputMessage="1" showErrorMessage="1" promptTitle="% sobre COBROS POR VENTAS" prompt="Línea superior" sqref="F240"/>
    <dataValidation allowBlank="1" showInputMessage="1" showErrorMessage="1" promptTitle="% Sobre total COBROS" prompt="arriba" sqref="F252"/>
    <dataValidation allowBlank="1" showInputMessage="1" showErrorMessage="1" promptTitle="% Sobre total COBROS" prompt="netos" sqref="F244:F250 F239"/>
    <dataValidation allowBlank="1" showInputMessage="1" showErrorMessage="1" promptTitle="% Sobre total ingresos" prompt="netos" sqref="F186:F187 F87 F83:F85"/>
    <dataValidation allowBlank="1" showInputMessage="1" showErrorMessage="1" promptTitle="% Sobre venta bruta" prompt="(no sobre ingresos)" sqref="F193 F93 F95"/>
    <dataValidation allowBlank="1" showInputMessage="1" showErrorMessage="1" promptTitle="EBITDA" prompt="Earnings Before Interest Taxes Amortizations &amp; Depreciations_x000a_Beneficio Antes de Intereses Impuestos Amortizaciones y Depreciaciones" sqref="D220"/>
  </dataValidations>
  <printOptions horizontalCentered="1" verticalCentered="1"/>
  <pageMargins left="0.35433070866141736" right="0.11811023622047245" top="0.59055118110236227" bottom="0.59055118110236227" header="0.35433070866141736" footer="0.19685039370078741"/>
  <pageSetup paperSize="9" scale="61" orientation="landscape" horizontalDpi="300" verticalDpi="300" r:id="rId1"/>
  <headerFooter alignWithMargins="0">
    <oddFooter>&amp;R&amp;"Tahoma,Normal"&amp;8Elaborado con EASY Planning (gratis) - www.plannegocios.com</oddFooter>
  </headerFooter>
  <rowBreaks count="6" manualBreakCount="6">
    <brk id="77" min="3" max="17" man="1"/>
    <brk id="148" min="3" max="17" man="1"/>
    <brk id="180" min="3" max="17" man="1"/>
    <brk id="230" min="3" max="17" man="1"/>
    <brk id="287" min="3" max="17" man="1"/>
    <brk id="308" min="3" max="17" man="1"/>
  </rowBreaks>
  <ignoredErrors>
    <ignoredError sqref="E145:F145 F131 E94" formula="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enableFormatConditionsCalculation="0">
    <tabColor indexed="23"/>
  </sheetPr>
  <dimension ref="A2:AX592"/>
  <sheetViews>
    <sheetView showGridLines="0" showOutlineSymbols="0" workbookViewId="0">
      <pane xSplit="3" ySplit="3" topLeftCell="D4" activePane="bottomRight" state="frozen"/>
      <selection pane="topRight" activeCell="D1" sqref="D1"/>
      <selection pane="bottomLeft" activeCell="A3" sqref="A3"/>
      <selection pane="bottomRight" activeCell="K538" sqref="K538"/>
    </sheetView>
  </sheetViews>
  <sheetFormatPr baseColWidth="10" defaultRowHeight="12.75" x14ac:dyDescent="0.2"/>
  <cols>
    <col min="1" max="1" width="1.42578125" style="27" customWidth="1"/>
    <col min="2" max="4" width="10.7109375" style="27" customWidth="1"/>
    <col min="5" max="6" width="12.85546875" style="27" customWidth="1"/>
    <col min="7" max="9" width="10.7109375" style="27" customWidth="1"/>
    <col min="10" max="10" width="12.5703125" style="27" customWidth="1"/>
    <col min="11" max="25" width="10.7109375" style="27" customWidth="1"/>
    <col min="26" max="27" width="11.42578125" style="27"/>
    <col min="28" max="50" width="11.42578125" style="15"/>
  </cols>
  <sheetData>
    <row r="2" spans="2:19" ht="12" customHeight="1" x14ac:dyDescent="0.2">
      <c r="C2" s="1346" t="s">
        <v>1562</v>
      </c>
    </row>
    <row r="3" spans="2:19" ht="12" customHeight="1" x14ac:dyDescent="0.2"/>
    <row r="4" spans="2:19" ht="12" hidden="1" customHeight="1" x14ac:dyDescent="0.2">
      <c r="B4" s="62"/>
      <c r="C4" s="63" t="s">
        <v>787</v>
      </c>
      <c r="D4" s="63" t="s">
        <v>416</v>
      </c>
      <c r="E4" s="63"/>
      <c r="F4" s="63"/>
      <c r="G4" s="63"/>
      <c r="H4" s="63"/>
      <c r="I4" s="63"/>
      <c r="J4" s="63"/>
      <c r="K4" s="63"/>
      <c r="L4" s="63"/>
      <c r="M4" s="63"/>
      <c r="N4" s="63"/>
      <c r="O4" s="63"/>
      <c r="P4" s="63"/>
      <c r="Q4" s="63"/>
      <c r="R4" s="63"/>
      <c r="S4" s="64"/>
    </row>
    <row r="5" spans="2:19" ht="12" hidden="1" customHeight="1" x14ac:dyDescent="0.2">
      <c r="B5" s="60"/>
      <c r="C5" s="27" t="s">
        <v>638</v>
      </c>
      <c r="D5" s="27">
        <f>SANDBOX!F5</f>
        <v>0</v>
      </c>
      <c r="E5" s="27">
        <f>SANDBOX!G5</f>
        <v>0</v>
      </c>
      <c r="F5" s="27">
        <f>SANDBOX!H5</f>
        <v>0</v>
      </c>
      <c r="G5" s="27">
        <f>SANDBOX!I5</f>
        <v>0</v>
      </c>
      <c r="H5" s="27">
        <f>SANDBOX!J5</f>
        <v>0</v>
      </c>
      <c r="I5" s="27">
        <f>SANDBOX!K5</f>
        <v>0</v>
      </c>
      <c r="J5" s="27">
        <f>SANDBOX!L5</f>
        <v>0</v>
      </c>
      <c r="K5" s="27">
        <f>SANDBOX!M5</f>
        <v>0</v>
      </c>
      <c r="L5" s="27">
        <f>SANDBOX!N5</f>
        <v>0</v>
      </c>
      <c r="M5" s="27">
        <f>SANDBOX!O5</f>
        <v>0</v>
      </c>
      <c r="N5" s="27">
        <f>SANDBOX!P5</f>
        <v>0</v>
      </c>
      <c r="O5" s="27">
        <f>SANDBOX!Q5</f>
        <v>0</v>
      </c>
      <c r="P5" s="27">
        <f>SANDBOX!$E$5</f>
        <v>0</v>
      </c>
      <c r="S5" s="61"/>
    </row>
    <row r="6" spans="2:19" ht="12" hidden="1" customHeight="1" x14ac:dyDescent="0.2">
      <c r="B6" s="60"/>
      <c r="C6" s="27" t="s">
        <v>639</v>
      </c>
      <c r="D6" s="27">
        <f>SANDBOX!F6</f>
        <v>0</v>
      </c>
      <c r="E6" s="27">
        <f>SANDBOX!G6</f>
        <v>0</v>
      </c>
      <c r="F6" s="27">
        <f>SANDBOX!H6</f>
        <v>0</v>
      </c>
      <c r="G6" s="27">
        <f>SANDBOX!I6</f>
        <v>0</v>
      </c>
      <c r="H6" s="27">
        <f>SANDBOX!J6</f>
        <v>0</v>
      </c>
      <c r="I6" s="27">
        <f>SANDBOX!K6</f>
        <v>0</v>
      </c>
      <c r="J6" s="27">
        <f>SANDBOX!L6</f>
        <v>0</v>
      </c>
      <c r="K6" s="27">
        <f>SANDBOX!M6</f>
        <v>0</v>
      </c>
      <c r="L6" s="27">
        <f>SANDBOX!N6</f>
        <v>0</v>
      </c>
      <c r="M6" s="27">
        <f>SANDBOX!O6</f>
        <v>0</v>
      </c>
      <c r="N6" s="27">
        <f>SANDBOX!P6</f>
        <v>0</v>
      </c>
      <c r="O6" s="27">
        <f>SANDBOX!Q6</f>
        <v>0</v>
      </c>
      <c r="P6" s="27">
        <f>SUM(D6:O6)</f>
        <v>0</v>
      </c>
      <c r="S6" s="61"/>
    </row>
    <row r="7" spans="2:19" ht="12" hidden="1" customHeight="1" x14ac:dyDescent="0.2">
      <c r="B7" s="60"/>
      <c r="C7" s="27" t="s">
        <v>611</v>
      </c>
      <c r="D7" s="27">
        <f>INFORME!G83</f>
        <v>0</v>
      </c>
      <c r="E7" s="27">
        <f>INFORME!H83</f>
        <v>0</v>
      </c>
      <c r="F7" s="27">
        <f>INFORME!I83</f>
        <v>0</v>
      </c>
      <c r="G7" s="27">
        <f>INFORME!J83</f>
        <v>0</v>
      </c>
      <c r="H7" s="27">
        <f>INFORME!K83</f>
        <v>0</v>
      </c>
      <c r="I7" s="27">
        <f>INFORME!L83</f>
        <v>0</v>
      </c>
      <c r="J7" s="27">
        <f>INFORME!M83</f>
        <v>0</v>
      </c>
      <c r="K7" s="27">
        <f>INFORME!N83</f>
        <v>0</v>
      </c>
      <c r="L7" s="27">
        <f>INFORME!O83</f>
        <v>0</v>
      </c>
      <c r="M7" s="27">
        <f>INFORME!P83</f>
        <v>0</v>
      </c>
      <c r="N7" s="27">
        <f>INFORME!Q83</f>
        <v>0</v>
      </c>
      <c r="O7" s="27">
        <f>INFORME!R83</f>
        <v>0</v>
      </c>
      <c r="P7" s="27">
        <f>SUM(D7:O7)</f>
        <v>0</v>
      </c>
      <c r="S7" s="61"/>
    </row>
    <row r="8" spans="2:19" ht="12" hidden="1" customHeight="1" x14ac:dyDescent="0.2">
      <c r="B8" s="60"/>
      <c r="C8" s="27" t="s">
        <v>899</v>
      </c>
      <c r="D8" s="27">
        <f>INFORME!G89</f>
        <v>0</v>
      </c>
      <c r="E8" s="27">
        <f>INFORME!H89</f>
        <v>0</v>
      </c>
      <c r="F8" s="27">
        <f>INFORME!I89</f>
        <v>0</v>
      </c>
      <c r="G8" s="27">
        <f>INFORME!J89</f>
        <v>0</v>
      </c>
      <c r="H8" s="27">
        <f>INFORME!K89</f>
        <v>0</v>
      </c>
      <c r="I8" s="27">
        <f>INFORME!L89</f>
        <v>0</v>
      </c>
      <c r="J8" s="27">
        <f>INFORME!M89</f>
        <v>0</v>
      </c>
      <c r="K8" s="27">
        <f>INFORME!N89</f>
        <v>0</v>
      </c>
      <c r="L8" s="27">
        <f>INFORME!O89</f>
        <v>0</v>
      </c>
      <c r="M8" s="27">
        <f>INFORME!P89</f>
        <v>0</v>
      </c>
      <c r="N8" s="27">
        <f>INFORME!Q89</f>
        <v>0</v>
      </c>
      <c r="O8" s="27">
        <f>INFORME!R89</f>
        <v>0</v>
      </c>
      <c r="P8" s="27">
        <f>SUM(D8:O8)</f>
        <v>0</v>
      </c>
      <c r="S8" s="61"/>
    </row>
    <row r="9" spans="2:19" ht="12" hidden="1" customHeight="1" x14ac:dyDescent="0.2">
      <c r="B9" s="60"/>
      <c r="C9" s="27" t="s">
        <v>1387</v>
      </c>
      <c r="D9" s="27">
        <f>+INFORME!G83+SB!F635+INFORME!G87</f>
        <v>0</v>
      </c>
      <c r="E9" s="27">
        <f>+INFORME!H83+SB!G635+INFORME!H87</f>
        <v>0</v>
      </c>
      <c r="F9" s="27">
        <f>+INFORME!I83+SB!H635+INFORME!I87</f>
        <v>0</v>
      </c>
      <c r="G9" s="27">
        <f>+INFORME!J83+SB!I635+INFORME!J87</f>
        <v>0</v>
      </c>
      <c r="H9" s="27">
        <f>+INFORME!K83+SB!J635+INFORME!K87</f>
        <v>0</v>
      </c>
      <c r="I9" s="27">
        <f>+INFORME!L83+SB!K635+INFORME!L87</f>
        <v>0</v>
      </c>
      <c r="J9" s="27">
        <f>+INFORME!M83+SB!L635+INFORME!M87</f>
        <v>0</v>
      </c>
      <c r="K9" s="27">
        <f>+INFORME!N83+SB!M635+INFORME!N87</f>
        <v>0</v>
      </c>
      <c r="L9" s="27">
        <f>+INFORME!O83+SB!N635+INFORME!O87</f>
        <v>0</v>
      </c>
      <c r="M9" s="27">
        <f>+INFORME!P83+SB!O635+INFORME!P87</f>
        <v>0</v>
      </c>
      <c r="N9" s="27">
        <f>+INFORME!Q83+SB!P635+INFORME!Q87</f>
        <v>0</v>
      </c>
      <c r="O9" s="27">
        <f>+INFORME!R83+SB!Q635+INFORME!R87</f>
        <v>0</v>
      </c>
      <c r="P9" s="27">
        <f>SUM(D9:O9)</f>
        <v>0</v>
      </c>
      <c r="S9" s="61"/>
    </row>
    <row r="10" spans="2:19" ht="12" hidden="1" customHeight="1" x14ac:dyDescent="0.2">
      <c r="B10" s="65"/>
      <c r="C10" s="66" t="s">
        <v>988</v>
      </c>
      <c r="D10" s="66"/>
      <c r="E10" s="66"/>
      <c r="F10" s="66"/>
      <c r="G10" s="66"/>
      <c r="H10" s="66"/>
      <c r="I10" s="66"/>
      <c r="J10" s="66"/>
      <c r="K10" s="66"/>
      <c r="L10" s="66"/>
      <c r="M10" s="66"/>
      <c r="N10" s="66"/>
      <c r="O10" s="66"/>
      <c r="P10" s="66"/>
      <c r="Q10" s="66"/>
      <c r="R10" s="66"/>
      <c r="S10" s="67"/>
    </row>
    <row r="11" spans="2:19" ht="12" hidden="1" customHeight="1" x14ac:dyDescent="0.2">
      <c r="B11" s="62"/>
      <c r="C11" s="63"/>
      <c r="D11" s="63"/>
      <c r="E11" s="63"/>
      <c r="F11" s="63"/>
      <c r="G11" s="63"/>
      <c r="H11" s="63"/>
      <c r="I11" s="63"/>
      <c r="J11" s="63"/>
      <c r="K11" s="63"/>
      <c r="L11" s="63"/>
      <c r="M11" s="63"/>
      <c r="N11" s="63"/>
      <c r="O11" s="63"/>
      <c r="P11" s="63"/>
      <c r="Q11" s="63"/>
      <c r="R11" s="63"/>
      <c r="S11" s="64"/>
    </row>
    <row r="12" spans="2:19" ht="12" hidden="1" customHeight="1" x14ac:dyDescent="0.2">
      <c r="B12" s="60"/>
      <c r="C12" s="27" t="s">
        <v>819</v>
      </c>
      <c r="D12" s="27" t="s">
        <v>416</v>
      </c>
      <c r="S12" s="61"/>
    </row>
    <row r="13" spans="2:19" ht="12" hidden="1" customHeight="1" x14ac:dyDescent="0.2">
      <c r="B13" s="60"/>
      <c r="C13" s="27" t="s">
        <v>790</v>
      </c>
      <c r="D13" s="27">
        <f>IF('3'!$F$6=0,100%,'3'!$F$6)</f>
        <v>0.5</v>
      </c>
      <c r="E13" s="27" t="s">
        <v>791</v>
      </c>
      <c r="F13" s="27">
        <v>0.5</v>
      </c>
      <c r="G13" s="27" t="s">
        <v>792</v>
      </c>
      <c r="H13" s="27">
        <v>0.5</v>
      </c>
      <c r="R13" s="27">
        <f>P8-(P8*D13)</f>
        <v>0</v>
      </c>
      <c r="S13" s="61"/>
    </row>
    <row r="14" spans="2:19" ht="12" hidden="1" customHeight="1" x14ac:dyDescent="0.2">
      <c r="B14" s="60"/>
      <c r="C14" s="27" t="s">
        <v>793</v>
      </c>
      <c r="D14" s="27">
        <f>+D7-(D7*$D$13)</f>
        <v>0</v>
      </c>
      <c r="E14" s="27">
        <f t="shared" ref="E14:O14" si="0">+E7-(E7*$D$13)</f>
        <v>0</v>
      </c>
      <c r="F14" s="27">
        <f t="shared" si="0"/>
        <v>0</v>
      </c>
      <c r="G14" s="27">
        <f t="shared" si="0"/>
        <v>0</v>
      </c>
      <c r="H14" s="27">
        <f t="shared" si="0"/>
        <v>0</v>
      </c>
      <c r="I14" s="27">
        <f t="shared" si="0"/>
        <v>0</v>
      </c>
      <c r="J14" s="27">
        <f t="shared" si="0"/>
        <v>0</v>
      </c>
      <c r="K14" s="27">
        <f t="shared" si="0"/>
        <v>0</v>
      </c>
      <c r="L14" s="27">
        <f t="shared" si="0"/>
        <v>0</v>
      </c>
      <c r="M14" s="27">
        <f t="shared" si="0"/>
        <v>0</v>
      </c>
      <c r="N14" s="27">
        <f t="shared" si="0"/>
        <v>0</v>
      </c>
      <c r="O14" s="27">
        <f t="shared" si="0"/>
        <v>0</v>
      </c>
      <c r="P14" s="27">
        <f>+P7-(P7*$D$13)</f>
        <v>0</v>
      </c>
      <c r="R14" s="27">
        <f>SUM(D14:O14)</f>
        <v>0</v>
      </c>
      <c r="S14" s="61"/>
    </row>
    <row r="15" spans="2:19" ht="12" hidden="1" customHeight="1" x14ac:dyDescent="0.2">
      <c r="B15" s="60"/>
      <c r="C15" s="27" t="s">
        <v>794</v>
      </c>
      <c r="D15" s="27">
        <f>'1'!$I$31</f>
        <v>0</v>
      </c>
      <c r="E15" s="27">
        <f>+D21</f>
        <v>0</v>
      </c>
      <c r="F15" s="27">
        <f t="shared" ref="F15:O15" si="1">+E21</f>
        <v>0</v>
      </c>
      <c r="G15" s="27">
        <f t="shared" si="1"/>
        <v>0</v>
      </c>
      <c r="H15" s="27">
        <f t="shared" si="1"/>
        <v>0</v>
      </c>
      <c r="I15" s="27">
        <f t="shared" si="1"/>
        <v>0</v>
      </c>
      <c r="J15" s="27">
        <f t="shared" si="1"/>
        <v>0</v>
      </c>
      <c r="K15" s="27">
        <f t="shared" si="1"/>
        <v>0</v>
      </c>
      <c r="L15" s="27">
        <f t="shared" si="1"/>
        <v>0</v>
      </c>
      <c r="M15" s="27">
        <f t="shared" si="1"/>
        <v>0</v>
      </c>
      <c r="N15" s="27">
        <f t="shared" si="1"/>
        <v>0</v>
      </c>
      <c r="O15" s="27">
        <f t="shared" si="1"/>
        <v>0</v>
      </c>
      <c r="S15" s="61"/>
    </row>
    <row r="16" spans="2:19" ht="12" hidden="1" customHeight="1" x14ac:dyDescent="0.2">
      <c r="B16" s="60"/>
      <c r="C16" s="27" t="s">
        <v>633</v>
      </c>
      <c r="D16" s="27">
        <f>SB!$E$692</f>
        <v>0</v>
      </c>
      <c r="E16" s="27">
        <f t="shared" ref="E16:O16" si="2">+D16</f>
        <v>0</v>
      </c>
      <c r="F16" s="27">
        <f t="shared" si="2"/>
        <v>0</v>
      </c>
      <c r="G16" s="27">
        <f t="shared" si="2"/>
        <v>0</v>
      </c>
      <c r="H16" s="27">
        <f t="shared" si="2"/>
        <v>0</v>
      </c>
      <c r="I16" s="27">
        <f t="shared" si="2"/>
        <v>0</v>
      </c>
      <c r="J16" s="27">
        <f t="shared" si="2"/>
        <v>0</v>
      </c>
      <c r="K16" s="27">
        <f t="shared" si="2"/>
        <v>0</v>
      </c>
      <c r="L16" s="27">
        <f t="shared" si="2"/>
        <v>0</v>
      </c>
      <c r="M16" s="27">
        <f t="shared" si="2"/>
        <v>0</v>
      </c>
      <c r="N16" s="27">
        <f t="shared" si="2"/>
        <v>0</v>
      </c>
      <c r="O16" s="27">
        <f t="shared" si="2"/>
        <v>0</v>
      </c>
      <c r="S16" s="61"/>
    </row>
    <row r="17" spans="2:23" ht="12" hidden="1" customHeight="1" x14ac:dyDescent="0.2">
      <c r="B17" s="60"/>
      <c r="C17" s="27" t="s">
        <v>634</v>
      </c>
      <c r="D17" s="27">
        <f>+D16+D14</f>
        <v>0</v>
      </c>
      <c r="E17" s="27">
        <f>+E16+E14</f>
        <v>0</v>
      </c>
      <c r="F17" s="27">
        <f t="shared" ref="F17:O17" si="3">+F16+F14</f>
        <v>0</v>
      </c>
      <c r="G17" s="27">
        <f t="shared" si="3"/>
        <v>0</v>
      </c>
      <c r="H17" s="27">
        <f t="shared" si="3"/>
        <v>0</v>
      </c>
      <c r="I17" s="27">
        <f t="shared" si="3"/>
        <v>0</v>
      </c>
      <c r="J17" s="27">
        <f t="shared" si="3"/>
        <v>0</v>
      </c>
      <c r="K17" s="27">
        <f t="shared" si="3"/>
        <v>0</v>
      </c>
      <c r="L17" s="27">
        <f t="shared" si="3"/>
        <v>0</v>
      </c>
      <c r="M17" s="27">
        <f t="shared" si="3"/>
        <v>0</v>
      </c>
      <c r="N17" s="27">
        <f t="shared" si="3"/>
        <v>0</v>
      </c>
      <c r="O17" s="27">
        <f t="shared" si="3"/>
        <v>0</v>
      </c>
      <c r="S17" s="61"/>
    </row>
    <row r="18" spans="2:23" ht="12" hidden="1" customHeight="1" x14ac:dyDescent="0.2">
      <c r="B18" s="60"/>
      <c r="C18" s="27" t="s">
        <v>635</v>
      </c>
      <c r="D18" s="27">
        <f>+D15-D17</f>
        <v>0</v>
      </c>
      <c r="E18" s="27">
        <f>+E15-E17</f>
        <v>0</v>
      </c>
      <c r="F18" s="27">
        <f t="shared" ref="F18:O18" si="4">+F15-F17</f>
        <v>0</v>
      </c>
      <c r="G18" s="27">
        <f t="shared" si="4"/>
        <v>0</v>
      </c>
      <c r="H18" s="27">
        <f t="shared" si="4"/>
        <v>0</v>
      </c>
      <c r="I18" s="27">
        <f t="shared" si="4"/>
        <v>0</v>
      </c>
      <c r="J18" s="27">
        <f t="shared" si="4"/>
        <v>0</v>
      </c>
      <c r="K18" s="27">
        <f t="shared" si="4"/>
        <v>0</v>
      </c>
      <c r="L18" s="27">
        <f t="shared" si="4"/>
        <v>0</v>
      </c>
      <c r="M18" s="27">
        <f t="shared" si="4"/>
        <v>0</v>
      </c>
      <c r="N18" s="27">
        <f t="shared" si="4"/>
        <v>0</v>
      </c>
      <c r="O18" s="27">
        <f t="shared" si="4"/>
        <v>0</v>
      </c>
      <c r="P18" s="27">
        <f>SUM(D18:O18)</f>
        <v>0</v>
      </c>
      <c r="S18" s="61"/>
    </row>
    <row r="19" spans="2:23" ht="12" hidden="1" customHeight="1" x14ac:dyDescent="0.2">
      <c r="B19" s="60"/>
      <c r="C19" s="27" t="s">
        <v>1484</v>
      </c>
      <c r="D19" s="27">
        <f>+IF(D18&lt;0,-D18,0)</f>
        <v>0</v>
      </c>
      <c r="E19" s="27">
        <f>+IF(E18&lt;0,-E18,0)</f>
        <v>0</v>
      </c>
      <c r="F19" s="27">
        <f t="shared" ref="F19:O19" si="5">+IF(F18&lt;0,-F18,0)</f>
        <v>0</v>
      </c>
      <c r="G19" s="27">
        <f t="shared" si="5"/>
        <v>0</v>
      </c>
      <c r="H19" s="27">
        <f t="shared" si="5"/>
        <v>0</v>
      </c>
      <c r="I19" s="27">
        <f t="shared" si="5"/>
        <v>0</v>
      </c>
      <c r="J19" s="27">
        <f t="shared" si="5"/>
        <v>0</v>
      </c>
      <c r="K19" s="27">
        <f t="shared" si="5"/>
        <v>0</v>
      </c>
      <c r="L19" s="27">
        <f t="shared" si="5"/>
        <v>0</v>
      </c>
      <c r="M19" s="27">
        <f t="shared" si="5"/>
        <v>0</v>
      </c>
      <c r="N19" s="27">
        <f t="shared" si="5"/>
        <v>0</v>
      </c>
      <c r="O19" s="27">
        <f t="shared" si="5"/>
        <v>0</v>
      </c>
      <c r="S19" s="61"/>
    </row>
    <row r="20" spans="2:23" ht="12" hidden="1" customHeight="1" x14ac:dyDescent="0.2">
      <c r="B20" s="60"/>
      <c r="C20" s="27" t="s">
        <v>636</v>
      </c>
      <c r="D20" s="27">
        <f t="shared" ref="D20:O20" si="6">D19</f>
        <v>0</v>
      </c>
      <c r="E20" s="27">
        <f t="shared" si="6"/>
        <v>0</v>
      </c>
      <c r="F20" s="27">
        <f t="shared" si="6"/>
        <v>0</v>
      </c>
      <c r="G20" s="27">
        <f t="shared" si="6"/>
        <v>0</v>
      </c>
      <c r="H20" s="27">
        <f t="shared" si="6"/>
        <v>0</v>
      </c>
      <c r="I20" s="27">
        <f t="shared" si="6"/>
        <v>0</v>
      </c>
      <c r="J20" s="27">
        <f t="shared" si="6"/>
        <v>0</v>
      </c>
      <c r="K20" s="27">
        <f t="shared" si="6"/>
        <v>0</v>
      </c>
      <c r="L20" s="27">
        <f t="shared" si="6"/>
        <v>0</v>
      </c>
      <c r="M20" s="27">
        <f t="shared" si="6"/>
        <v>0</v>
      </c>
      <c r="N20" s="27">
        <f t="shared" si="6"/>
        <v>0</v>
      </c>
      <c r="O20" s="27">
        <f t="shared" si="6"/>
        <v>0</v>
      </c>
      <c r="P20" s="27">
        <f>SUM(D20:O20)</f>
        <v>0</v>
      </c>
      <c r="S20" s="61"/>
    </row>
    <row r="21" spans="2:23" ht="12" hidden="1" customHeight="1" x14ac:dyDescent="0.2">
      <c r="B21" s="60"/>
      <c r="C21" s="27" t="s">
        <v>637</v>
      </c>
      <c r="D21" s="27">
        <f>+(D15-D14)+D20</f>
        <v>0</v>
      </c>
      <c r="E21" s="27">
        <f>+(E15-E14)+E20</f>
        <v>0</v>
      </c>
      <c r="F21" s="27">
        <f t="shared" ref="F21:O21" si="7">+(F15-F14)+F20</f>
        <v>0</v>
      </c>
      <c r="G21" s="27">
        <f t="shared" si="7"/>
        <v>0</v>
      </c>
      <c r="H21" s="27">
        <f t="shared" si="7"/>
        <v>0</v>
      </c>
      <c r="I21" s="27">
        <f t="shared" si="7"/>
        <v>0</v>
      </c>
      <c r="J21" s="27">
        <f t="shared" si="7"/>
        <v>0</v>
      </c>
      <c r="K21" s="27">
        <f t="shared" si="7"/>
        <v>0</v>
      </c>
      <c r="L21" s="27">
        <f t="shared" si="7"/>
        <v>0</v>
      </c>
      <c r="M21" s="27">
        <f t="shared" si="7"/>
        <v>0</v>
      </c>
      <c r="N21" s="27">
        <f t="shared" si="7"/>
        <v>0</v>
      </c>
      <c r="O21" s="27">
        <f t="shared" si="7"/>
        <v>0</v>
      </c>
      <c r="S21" s="61"/>
    </row>
    <row r="22" spans="2:23" ht="12" hidden="1" customHeight="1" x14ac:dyDescent="0.2">
      <c r="B22" s="62"/>
      <c r="C22" s="63" t="s">
        <v>789</v>
      </c>
      <c r="D22" s="63" t="s">
        <v>416</v>
      </c>
      <c r="E22" s="63"/>
      <c r="F22" s="63"/>
      <c r="G22" s="63"/>
      <c r="H22" s="63"/>
      <c r="I22" s="63"/>
      <c r="J22" s="63"/>
      <c r="K22" s="63"/>
      <c r="L22" s="63"/>
      <c r="M22" s="63"/>
      <c r="N22" s="63"/>
      <c r="O22" s="63"/>
      <c r="P22" s="63"/>
      <c r="Q22" s="63"/>
      <c r="R22" s="63"/>
      <c r="S22" s="63"/>
      <c r="T22" s="63"/>
      <c r="U22" s="63"/>
      <c r="V22" s="63"/>
      <c r="W22" s="64"/>
    </row>
    <row r="23" spans="2:23" ht="12" hidden="1" customHeight="1" x14ac:dyDescent="0.2">
      <c r="B23" s="60"/>
      <c r="C23" s="27" t="s">
        <v>163</v>
      </c>
      <c r="D23" s="27">
        <f>SUM(D24:D25)</f>
        <v>0</v>
      </c>
      <c r="E23" s="27">
        <f t="shared" ref="E23:O23" si="8">SUM(E24:E25)</f>
        <v>0</v>
      </c>
      <c r="F23" s="27">
        <f t="shared" si="8"/>
        <v>0</v>
      </c>
      <c r="G23" s="27">
        <f t="shared" si="8"/>
        <v>0</v>
      </c>
      <c r="H23" s="27">
        <f t="shared" si="8"/>
        <v>0</v>
      </c>
      <c r="I23" s="27">
        <f t="shared" si="8"/>
        <v>0</v>
      </c>
      <c r="J23" s="27">
        <f t="shared" si="8"/>
        <v>0</v>
      </c>
      <c r="K23" s="27">
        <f t="shared" si="8"/>
        <v>0</v>
      </c>
      <c r="L23" s="27">
        <f t="shared" si="8"/>
        <v>0</v>
      </c>
      <c r="M23" s="27">
        <f t="shared" si="8"/>
        <v>0</v>
      </c>
      <c r="N23" s="27">
        <f t="shared" si="8"/>
        <v>0</v>
      </c>
      <c r="O23" s="27">
        <f t="shared" si="8"/>
        <v>0</v>
      </c>
      <c r="W23" s="61"/>
    </row>
    <row r="24" spans="2:23" ht="12" hidden="1" customHeight="1" x14ac:dyDescent="0.2">
      <c r="B24" s="60" t="s">
        <v>1371</v>
      </c>
      <c r="C24" s="27" t="s">
        <v>164</v>
      </c>
      <c r="D24" s="27">
        <f>SANDBOX!F38+SANDBOX!Q106</f>
        <v>0</v>
      </c>
      <c r="E24" s="27">
        <f>SANDBOX!G38</f>
        <v>0</v>
      </c>
      <c r="F24" s="27">
        <f>SANDBOX!H38</f>
        <v>0</v>
      </c>
      <c r="G24" s="27">
        <f>SANDBOX!I38</f>
        <v>0</v>
      </c>
      <c r="H24" s="27">
        <f>SANDBOX!J38</f>
        <v>0</v>
      </c>
      <c r="I24" s="27">
        <f>SANDBOX!K38</f>
        <v>0</v>
      </c>
      <c r="J24" s="27">
        <f>SANDBOX!L38</f>
        <v>0</v>
      </c>
      <c r="K24" s="27">
        <f>SANDBOX!M38</f>
        <v>0</v>
      </c>
      <c r="L24" s="27">
        <f>SANDBOX!N38</f>
        <v>0</v>
      </c>
      <c r="M24" s="27">
        <f>SANDBOX!O38</f>
        <v>0</v>
      </c>
      <c r="N24" s="27">
        <f>SANDBOX!P38</f>
        <v>0</v>
      </c>
      <c r="O24" s="27">
        <f>SANDBOX!Q38</f>
        <v>0</v>
      </c>
      <c r="W24" s="61"/>
    </row>
    <row r="25" spans="2:23" ht="12" hidden="1" customHeight="1" x14ac:dyDescent="0.2">
      <c r="B25" s="60" t="s">
        <v>1372</v>
      </c>
      <c r="C25" s="27" t="s">
        <v>165</v>
      </c>
      <c r="D25" s="27">
        <f>+D8*SANDBOX!F42</f>
        <v>0</v>
      </c>
      <c r="E25" s="27">
        <f>+E8*SANDBOX!G42</f>
        <v>0</v>
      </c>
      <c r="F25" s="27">
        <f>+F8*SANDBOX!H42</f>
        <v>0</v>
      </c>
      <c r="G25" s="27">
        <f>+G8*SANDBOX!I42</f>
        <v>0</v>
      </c>
      <c r="H25" s="27">
        <f>+H8*SANDBOX!J42</f>
        <v>0</v>
      </c>
      <c r="I25" s="27">
        <f>+I8*SANDBOX!K42</f>
        <v>0</v>
      </c>
      <c r="J25" s="27">
        <f>+J8*SANDBOX!L42</f>
        <v>0</v>
      </c>
      <c r="K25" s="27">
        <f>+K8*SANDBOX!M42</f>
        <v>0</v>
      </c>
      <c r="L25" s="27">
        <f>+L8*SANDBOX!N42</f>
        <v>0</v>
      </c>
      <c r="M25" s="27">
        <f>+M8*SANDBOX!O42</f>
        <v>0</v>
      </c>
      <c r="N25" s="27">
        <f>+N8*SANDBOX!P42</f>
        <v>0</v>
      </c>
      <c r="O25" s="27">
        <f>+O8*SANDBOX!Q42</f>
        <v>0</v>
      </c>
      <c r="W25" s="61"/>
    </row>
    <row r="26" spans="2:23" ht="12" hidden="1" customHeight="1" x14ac:dyDescent="0.2">
      <c r="B26" s="60"/>
      <c r="W26" s="61"/>
    </row>
    <row r="27" spans="2:23" ht="12" hidden="1" customHeight="1" x14ac:dyDescent="0.2">
      <c r="B27" s="60"/>
      <c r="C27" s="27" t="s">
        <v>1563</v>
      </c>
      <c r="D27" s="27">
        <f>SUM(D28:D31)</f>
        <v>0</v>
      </c>
      <c r="E27" s="27">
        <f t="shared" ref="E27:O27" si="9">SUM(E28:E31)</f>
        <v>0</v>
      </c>
      <c r="F27" s="27">
        <f t="shared" si="9"/>
        <v>0</v>
      </c>
      <c r="G27" s="27">
        <f t="shared" si="9"/>
        <v>0</v>
      </c>
      <c r="H27" s="27">
        <f t="shared" si="9"/>
        <v>0</v>
      </c>
      <c r="I27" s="27">
        <f t="shared" si="9"/>
        <v>0</v>
      </c>
      <c r="J27" s="27">
        <f t="shared" si="9"/>
        <v>0</v>
      </c>
      <c r="K27" s="27">
        <f t="shared" si="9"/>
        <v>0</v>
      </c>
      <c r="L27" s="27">
        <f t="shared" si="9"/>
        <v>0</v>
      </c>
      <c r="M27" s="27">
        <f t="shared" si="9"/>
        <v>0</v>
      </c>
      <c r="N27" s="27">
        <f t="shared" si="9"/>
        <v>0</v>
      </c>
      <c r="O27" s="27">
        <f t="shared" si="9"/>
        <v>0</v>
      </c>
      <c r="W27" s="61"/>
    </row>
    <row r="28" spans="2:23" ht="12" hidden="1" customHeight="1" x14ac:dyDescent="0.2">
      <c r="B28" s="60" t="s">
        <v>1375</v>
      </c>
      <c r="C28" s="27" t="str">
        <f>SANDBOX!D48</f>
        <v xml:space="preserve">Publicidad </v>
      </c>
      <c r="D28" s="27">
        <f>SANDBOX!F48</f>
        <v>0</v>
      </c>
      <c r="E28" s="27">
        <f>SANDBOX!G48</f>
        <v>0</v>
      </c>
      <c r="F28" s="27">
        <f>SANDBOX!H48</f>
        <v>0</v>
      </c>
      <c r="G28" s="27">
        <f>SANDBOX!I48</f>
        <v>0</v>
      </c>
      <c r="H28" s="27">
        <f>SANDBOX!J48</f>
        <v>0</v>
      </c>
      <c r="I28" s="27">
        <f>SANDBOX!K48</f>
        <v>0</v>
      </c>
      <c r="J28" s="27">
        <f>SANDBOX!L48</f>
        <v>0</v>
      </c>
      <c r="K28" s="27">
        <f>SANDBOX!M48</f>
        <v>0</v>
      </c>
      <c r="L28" s="27">
        <f>SANDBOX!N48</f>
        <v>0</v>
      </c>
      <c r="M28" s="27">
        <f>SANDBOX!O48</f>
        <v>0</v>
      </c>
      <c r="N28" s="27">
        <f>SANDBOX!P48</f>
        <v>0</v>
      </c>
      <c r="O28" s="27">
        <f>SANDBOX!Q48</f>
        <v>0</v>
      </c>
      <c r="W28" s="61"/>
    </row>
    <row r="29" spans="2:23" ht="12" hidden="1" customHeight="1" x14ac:dyDescent="0.2">
      <c r="B29" s="60" t="s">
        <v>1371</v>
      </c>
      <c r="C29" s="27" t="s">
        <v>1360</v>
      </c>
      <c r="D29" s="27">
        <f>SANDBOX!F51+SANDBOX!Q114</f>
        <v>0</v>
      </c>
      <c r="E29" s="27">
        <f>SANDBOX!G51</f>
        <v>0</v>
      </c>
      <c r="F29" s="27">
        <f>SANDBOX!H51</f>
        <v>0</v>
      </c>
      <c r="G29" s="27">
        <f>SANDBOX!I51</f>
        <v>0</v>
      </c>
      <c r="H29" s="27">
        <f>SANDBOX!J51</f>
        <v>0</v>
      </c>
      <c r="I29" s="27">
        <f>SANDBOX!K51</f>
        <v>0</v>
      </c>
      <c r="J29" s="27">
        <f>SANDBOX!L51</f>
        <v>0</v>
      </c>
      <c r="K29" s="27">
        <f>SANDBOX!M51</f>
        <v>0</v>
      </c>
      <c r="L29" s="27">
        <f>SANDBOX!N51</f>
        <v>0</v>
      </c>
      <c r="M29" s="27">
        <f>SANDBOX!O51</f>
        <v>0</v>
      </c>
      <c r="N29" s="27">
        <f>SANDBOX!P51</f>
        <v>0</v>
      </c>
      <c r="O29" s="27">
        <f>SANDBOX!Q51</f>
        <v>0</v>
      </c>
      <c r="W29" s="61"/>
    </row>
    <row r="30" spans="2:23" ht="12" hidden="1" customHeight="1" x14ac:dyDescent="0.2">
      <c r="B30" s="60" t="s">
        <v>1371</v>
      </c>
      <c r="C30" s="27" t="str">
        <f>SANDBOX!$D$58</f>
        <v>Varios ventas</v>
      </c>
      <c r="D30" s="27">
        <f>SANDBOX!F58</f>
        <v>0</v>
      </c>
      <c r="E30" s="27">
        <f>SANDBOX!G58</f>
        <v>0</v>
      </c>
      <c r="F30" s="27">
        <f>SANDBOX!H58</f>
        <v>0</v>
      </c>
      <c r="G30" s="27">
        <f>SANDBOX!I58</f>
        <v>0</v>
      </c>
      <c r="H30" s="27">
        <f>SANDBOX!J58</f>
        <v>0</v>
      </c>
      <c r="I30" s="27">
        <f>SANDBOX!K58</f>
        <v>0</v>
      </c>
      <c r="J30" s="27">
        <f>SANDBOX!L58</f>
        <v>0</v>
      </c>
      <c r="K30" s="27">
        <f>SANDBOX!M58</f>
        <v>0</v>
      </c>
      <c r="L30" s="27">
        <f>SANDBOX!N58</f>
        <v>0</v>
      </c>
      <c r="M30" s="27">
        <f>SANDBOX!O58</f>
        <v>0</v>
      </c>
      <c r="N30" s="27">
        <f>SANDBOX!P58</f>
        <v>0</v>
      </c>
      <c r="O30" s="27">
        <f>SANDBOX!Q58</f>
        <v>0</v>
      </c>
      <c r="W30" s="61"/>
    </row>
    <row r="31" spans="2:23" ht="12" hidden="1" customHeight="1" x14ac:dyDescent="0.2">
      <c r="B31" s="60" t="s">
        <v>1372</v>
      </c>
      <c r="C31" s="27" t="s">
        <v>949</v>
      </c>
      <c r="D31" s="27">
        <f>+D8*SANDBOX!F60</f>
        <v>0</v>
      </c>
      <c r="E31" s="27">
        <f>+E8*SANDBOX!G60</f>
        <v>0</v>
      </c>
      <c r="F31" s="27">
        <f>+F8*SANDBOX!H60</f>
        <v>0</v>
      </c>
      <c r="G31" s="27">
        <f>+G8*SANDBOX!I60</f>
        <v>0</v>
      </c>
      <c r="H31" s="27">
        <f>+H8*SANDBOX!J60</f>
        <v>0</v>
      </c>
      <c r="I31" s="27">
        <f>+I8*SANDBOX!K60</f>
        <v>0</v>
      </c>
      <c r="J31" s="27">
        <f>+J8*SANDBOX!L60</f>
        <v>0</v>
      </c>
      <c r="K31" s="27">
        <f>+K8*SANDBOX!M60</f>
        <v>0</v>
      </c>
      <c r="L31" s="27">
        <f>+L8*SANDBOX!N60</f>
        <v>0</v>
      </c>
      <c r="M31" s="27">
        <f>+M8*SANDBOX!O60</f>
        <v>0</v>
      </c>
      <c r="N31" s="27">
        <f>+N8*SANDBOX!P60</f>
        <v>0</v>
      </c>
      <c r="O31" s="27">
        <f>+O8*SANDBOX!Q60</f>
        <v>0</v>
      </c>
      <c r="W31" s="61"/>
    </row>
    <row r="32" spans="2:23" ht="12" hidden="1" customHeight="1" x14ac:dyDescent="0.2">
      <c r="B32" s="60"/>
      <c r="W32" s="61"/>
    </row>
    <row r="33" spans="2:23" ht="12" hidden="1" customHeight="1" x14ac:dyDescent="0.2">
      <c r="B33" s="60" t="s">
        <v>1371</v>
      </c>
      <c r="C33" s="27" t="s">
        <v>1361</v>
      </c>
      <c r="D33" s="27">
        <f>SANDBOX!F66+SANDBOX!Q118</f>
        <v>0</v>
      </c>
      <c r="E33" s="27">
        <f>SANDBOX!G66</f>
        <v>0</v>
      </c>
      <c r="F33" s="27">
        <f>SANDBOX!H66</f>
        <v>0</v>
      </c>
      <c r="G33" s="27">
        <f>SANDBOX!I66</f>
        <v>0</v>
      </c>
      <c r="H33" s="27">
        <f>SANDBOX!J66</f>
        <v>0</v>
      </c>
      <c r="I33" s="27">
        <f>SANDBOX!K66</f>
        <v>0</v>
      </c>
      <c r="J33" s="27">
        <f>SANDBOX!L66</f>
        <v>0</v>
      </c>
      <c r="K33" s="27">
        <f>SANDBOX!M66</f>
        <v>0</v>
      </c>
      <c r="L33" s="27">
        <f>SANDBOX!N66</f>
        <v>0</v>
      </c>
      <c r="M33" s="27">
        <f>SANDBOX!O66</f>
        <v>0</v>
      </c>
      <c r="N33" s="27">
        <f>SANDBOX!P66</f>
        <v>0</v>
      </c>
      <c r="O33" s="27">
        <f>SANDBOX!Q66</f>
        <v>0</v>
      </c>
      <c r="W33" s="61"/>
    </row>
    <row r="34" spans="2:23" ht="12" hidden="1" customHeight="1" x14ac:dyDescent="0.2">
      <c r="B34" s="60"/>
      <c r="W34" s="61"/>
    </row>
    <row r="35" spans="2:23" ht="12" hidden="1" customHeight="1" x14ac:dyDescent="0.2">
      <c r="B35" s="60"/>
      <c r="C35" s="27" t="s">
        <v>947</v>
      </c>
      <c r="D35" s="27">
        <f>SUM(D36:D38)</f>
        <v>0</v>
      </c>
      <c r="E35" s="27">
        <f t="shared" ref="E35:O35" si="10">SUM(E36:E38)</f>
        <v>0</v>
      </c>
      <c r="F35" s="27">
        <f t="shared" si="10"/>
        <v>0</v>
      </c>
      <c r="G35" s="27">
        <f t="shared" si="10"/>
        <v>0</v>
      </c>
      <c r="H35" s="27">
        <f t="shared" si="10"/>
        <v>0</v>
      </c>
      <c r="I35" s="27">
        <f t="shared" si="10"/>
        <v>0</v>
      </c>
      <c r="J35" s="27">
        <f t="shared" si="10"/>
        <v>0</v>
      </c>
      <c r="K35" s="27">
        <f t="shared" si="10"/>
        <v>0</v>
      </c>
      <c r="L35" s="27">
        <f t="shared" si="10"/>
        <v>0</v>
      </c>
      <c r="M35" s="27">
        <f t="shared" si="10"/>
        <v>0</v>
      </c>
      <c r="N35" s="27">
        <f t="shared" si="10"/>
        <v>0</v>
      </c>
      <c r="O35" s="27">
        <f t="shared" si="10"/>
        <v>0</v>
      </c>
      <c r="W35" s="61"/>
    </row>
    <row r="36" spans="2:23" ht="12" hidden="1" customHeight="1" x14ac:dyDescent="0.2">
      <c r="B36" s="60" t="s">
        <v>1371</v>
      </c>
      <c r="C36" s="27" t="s">
        <v>1376</v>
      </c>
      <c r="D36" s="27">
        <f>SANDBOX!H800+SANDBOX!H805+SANDBOX!Q110</f>
        <v>0</v>
      </c>
      <c r="E36" s="27">
        <f>+SANDBOX!I800+SANDBOX!I805</f>
        <v>0</v>
      </c>
      <c r="F36" s="27">
        <f>+SANDBOX!J800+SANDBOX!J805</f>
        <v>0</v>
      </c>
      <c r="G36" s="27">
        <f>+SANDBOX!K800+SANDBOX!K805</f>
        <v>0</v>
      </c>
      <c r="H36" s="27">
        <f>+SANDBOX!L800+SANDBOX!L805</f>
        <v>0</v>
      </c>
      <c r="I36" s="27">
        <f>+SANDBOX!M800+SANDBOX!M805</f>
        <v>0</v>
      </c>
      <c r="J36" s="27">
        <f>+SANDBOX!N800+SANDBOX!N805</f>
        <v>0</v>
      </c>
      <c r="K36" s="27">
        <f>+SANDBOX!O800+SANDBOX!O805</f>
        <v>0</v>
      </c>
      <c r="L36" s="27">
        <f>+SANDBOX!P800+SANDBOX!P805</f>
        <v>0</v>
      </c>
      <c r="M36" s="27">
        <f>+SANDBOX!Q800+SANDBOX!Q805</f>
        <v>0</v>
      </c>
      <c r="N36" s="27">
        <f>+SANDBOX!R800+SANDBOX!R805</f>
        <v>0</v>
      </c>
      <c r="O36" s="27">
        <f>+SANDBOX!S800+SANDBOX!S805</f>
        <v>0</v>
      </c>
      <c r="P36" s="27" t="s">
        <v>4</v>
      </c>
      <c r="W36" s="61"/>
    </row>
    <row r="37" spans="2:23" ht="12" hidden="1" customHeight="1" x14ac:dyDescent="0.2">
      <c r="B37" s="60" t="s">
        <v>1372</v>
      </c>
      <c r="C37" s="27" t="s">
        <v>1379</v>
      </c>
      <c r="D37" s="27">
        <f>+SANDBOX!H809</f>
        <v>0</v>
      </c>
      <c r="E37" s="27">
        <f>+SANDBOX!I809</f>
        <v>0</v>
      </c>
      <c r="F37" s="27">
        <f>+SANDBOX!J809</f>
        <v>0</v>
      </c>
      <c r="G37" s="27">
        <f>+SANDBOX!K809</f>
        <v>0</v>
      </c>
      <c r="H37" s="27">
        <f>+SANDBOX!L809</f>
        <v>0</v>
      </c>
      <c r="I37" s="27">
        <f>+SANDBOX!M809</f>
        <v>0</v>
      </c>
      <c r="J37" s="27">
        <f>+SANDBOX!N809</f>
        <v>0</v>
      </c>
      <c r="K37" s="27">
        <f>+SANDBOX!O809</f>
        <v>0</v>
      </c>
      <c r="L37" s="27">
        <f>+SANDBOX!P809</f>
        <v>0</v>
      </c>
      <c r="M37" s="27">
        <f>+SANDBOX!Q809</f>
        <v>0</v>
      </c>
      <c r="N37" s="27">
        <f>+SANDBOX!R809</f>
        <v>0</v>
      </c>
      <c r="O37" s="27">
        <f>+SANDBOX!S809</f>
        <v>0</v>
      </c>
      <c r="P37" s="27">
        <f>+SANDBOX!T784+SANDBOX!T813+SANDBOX!T838</f>
        <v>0</v>
      </c>
      <c r="W37" s="61"/>
    </row>
    <row r="38" spans="2:23" ht="12" hidden="1" customHeight="1" x14ac:dyDescent="0.2">
      <c r="B38" s="60" t="s">
        <v>1372</v>
      </c>
      <c r="C38" s="27" t="s">
        <v>1381</v>
      </c>
      <c r="D38" s="27">
        <f>INFORME!G103+SANDBOX!H813</f>
        <v>0</v>
      </c>
      <c r="E38" s="27">
        <f>INFORME!H103+SANDBOX!I813</f>
        <v>0</v>
      </c>
      <c r="F38" s="27">
        <f>INFORME!I103+SANDBOX!J813</f>
        <v>0</v>
      </c>
      <c r="G38" s="27">
        <f>INFORME!J103+SANDBOX!K813</f>
        <v>0</v>
      </c>
      <c r="H38" s="27">
        <f>INFORME!K103+SANDBOX!L813</f>
        <v>0</v>
      </c>
      <c r="I38" s="27">
        <f>INFORME!L103+SANDBOX!M813</f>
        <v>0</v>
      </c>
      <c r="J38" s="27">
        <f>INFORME!M103+SANDBOX!N813</f>
        <v>0</v>
      </c>
      <c r="K38" s="27">
        <f>INFORME!N103+SANDBOX!O813</f>
        <v>0</v>
      </c>
      <c r="L38" s="27">
        <f>INFORME!O103+SANDBOX!P813</f>
        <v>0</v>
      </c>
      <c r="M38" s="27">
        <f>INFORME!P103+SANDBOX!Q813</f>
        <v>0</v>
      </c>
      <c r="N38" s="27">
        <f>INFORME!Q103+SANDBOX!R813</f>
        <v>0</v>
      </c>
      <c r="O38" s="27">
        <f>INFORME!R103+SANDBOX!S813</f>
        <v>0</v>
      </c>
      <c r="P38" s="27">
        <f>SUM(D36:O38)</f>
        <v>0</v>
      </c>
      <c r="W38" s="61"/>
    </row>
    <row r="39" spans="2:23" ht="12" hidden="1" customHeight="1" x14ac:dyDescent="0.2">
      <c r="B39" s="60"/>
      <c r="C39" s="27" t="s">
        <v>1366</v>
      </c>
      <c r="D39" s="27">
        <f>+D35+D33+D27+D23+D14</f>
        <v>0</v>
      </c>
      <c r="E39" s="27">
        <f t="shared" ref="E39:O39" si="11">+E35+E33+E27+E23+E14</f>
        <v>0</v>
      </c>
      <c r="F39" s="27">
        <f t="shared" si="11"/>
        <v>0</v>
      </c>
      <c r="G39" s="27">
        <f t="shared" si="11"/>
        <v>0</v>
      </c>
      <c r="H39" s="27">
        <f t="shared" si="11"/>
        <v>0</v>
      </c>
      <c r="I39" s="27">
        <f t="shared" si="11"/>
        <v>0</v>
      </c>
      <c r="J39" s="27">
        <f t="shared" si="11"/>
        <v>0</v>
      </c>
      <c r="K39" s="27">
        <f t="shared" si="11"/>
        <v>0</v>
      </c>
      <c r="L39" s="27">
        <f t="shared" si="11"/>
        <v>0</v>
      </c>
      <c r="M39" s="27">
        <f t="shared" si="11"/>
        <v>0</v>
      </c>
      <c r="N39" s="27">
        <f t="shared" si="11"/>
        <v>0</v>
      </c>
      <c r="O39" s="27">
        <f t="shared" si="11"/>
        <v>0</v>
      </c>
      <c r="W39" s="61"/>
    </row>
    <row r="40" spans="2:23" ht="12" hidden="1" customHeight="1" x14ac:dyDescent="0.2">
      <c r="B40" s="60"/>
      <c r="C40" s="27" t="s">
        <v>1364</v>
      </c>
      <c r="D40" s="27">
        <f t="shared" ref="D40:O40" si="12">+D8-D39</f>
        <v>0</v>
      </c>
      <c r="E40" s="27">
        <f t="shared" si="12"/>
        <v>0</v>
      </c>
      <c r="F40" s="27">
        <f t="shared" si="12"/>
        <v>0</v>
      </c>
      <c r="G40" s="27">
        <f t="shared" si="12"/>
        <v>0</v>
      </c>
      <c r="H40" s="27">
        <f t="shared" si="12"/>
        <v>0</v>
      </c>
      <c r="I40" s="27">
        <f t="shared" si="12"/>
        <v>0</v>
      </c>
      <c r="J40" s="27">
        <f t="shared" si="12"/>
        <v>0</v>
      </c>
      <c r="K40" s="27">
        <f t="shared" si="12"/>
        <v>0</v>
      </c>
      <c r="L40" s="27">
        <f t="shared" si="12"/>
        <v>0</v>
      </c>
      <c r="M40" s="27">
        <f t="shared" si="12"/>
        <v>0</v>
      </c>
      <c r="N40" s="27">
        <f t="shared" si="12"/>
        <v>0</v>
      </c>
      <c r="O40" s="27">
        <f t="shared" si="12"/>
        <v>0</v>
      </c>
      <c r="W40" s="61"/>
    </row>
    <row r="41" spans="2:23" ht="12" hidden="1" customHeight="1" x14ac:dyDescent="0.2">
      <c r="B41" s="60" t="s">
        <v>179</v>
      </c>
      <c r="D41" s="27">
        <f>SB!F634</f>
        <v>0</v>
      </c>
      <c r="E41" s="27">
        <f>SB!G634</f>
        <v>0</v>
      </c>
      <c r="F41" s="27">
        <f>SB!H634</f>
        <v>0</v>
      </c>
      <c r="G41" s="27">
        <f>SB!I634</f>
        <v>0</v>
      </c>
      <c r="H41" s="27">
        <f>SB!J634</f>
        <v>0</v>
      </c>
      <c r="I41" s="27">
        <f>SB!K634</f>
        <v>0</v>
      </c>
      <c r="J41" s="27">
        <f>SB!L634</f>
        <v>0</v>
      </c>
      <c r="K41" s="27">
        <f>SB!M634</f>
        <v>0</v>
      </c>
      <c r="L41" s="27">
        <f>SB!N634</f>
        <v>0</v>
      </c>
      <c r="M41" s="27">
        <f>SB!O634</f>
        <v>0</v>
      </c>
      <c r="N41" s="27">
        <f>SB!P634</f>
        <v>0</v>
      </c>
      <c r="O41" s="27">
        <f>SB!Q634</f>
        <v>0</v>
      </c>
      <c r="W41" s="61"/>
    </row>
    <row r="42" spans="2:23" ht="12" hidden="1" customHeight="1" x14ac:dyDescent="0.2">
      <c r="B42" s="60"/>
      <c r="W42" s="61"/>
    </row>
    <row r="43" spans="2:23" ht="12" hidden="1" customHeight="1" x14ac:dyDescent="0.2">
      <c r="B43" s="60" t="s">
        <v>1371</v>
      </c>
      <c r="C43" s="27" t="s">
        <v>48</v>
      </c>
      <c r="D43" s="27">
        <f>INFORME!G133</f>
        <v>0</v>
      </c>
      <c r="E43" s="27">
        <f>INFORME!H133</f>
        <v>0</v>
      </c>
      <c r="F43" s="27">
        <f>INFORME!I133</f>
        <v>0</v>
      </c>
      <c r="G43" s="27">
        <f>INFORME!J133</f>
        <v>0</v>
      </c>
      <c r="H43" s="27">
        <f>INFORME!K133</f>
        <v>0</v>
      </c>
      <c r="I43" s="27">
        <f>INFORME!L133</f>
        <v>0</v>
      </c>
      <c r="J43" s="27">
        <f>INFORME!M133</f>
        <v>0</v>
      </c>
      <c r="K43" s="27">
        <f>INFORME!N133</f>
        <v>0</v>
      </c>
      <c r="L43" s="27">
        <f>INFORME!O133</f>
        <v>0</v>
      </c>
      <c r="M43" s="27">
        <f>INFORME!P133</f>
        <v>0</v>
      </c>
      <c r="N43" s="27">
        <f>INFORME!Q133</f>
        <v>0</v>
      </c>
      <c r="O43" s="27">
        <f>INFORME!R133</f>
        <v>0</v>
      </c>
      <c r="W43" s="61"/>
    </row>
    <row r="44" spans="2:23" ht="12" hidden="1" customHeight="1" x14ac:dyDescent="0.2">
      <c r="B44" s="60"/>
      <c r="W44" s="61"/>
    </row>
    <row r="45" spans="2:23" ht="12" hidden="1" customHeight="1" x14ac:dyDescent="0.2">
      <c r="B45" s="60"/>
      <c r="C45" s="27" t="s">
        <v>1362</v>
      </c>
      <c r="D45" s="27">
        <f>+SANDBOX!F91-SANDBOX!F96</f>
        <v>0</v>
      </c>
      <c r="E45" s="27">
        <f>+SANDBOX!G91-SANDBOX!G96</f>
        <v>0</v>
      </c>
      <c r="F45" s="27">
        <f>+SANDBOX!H91-SANDBOX!H96</f>
        <v>0</v>
      </c>
      <c r="G45" s="27">
        <f>+SANDBOX!I91-SANDBOX!I96</f>
        <v>0</v>
      </c>
      <c r="H45" s="27">
        <f>+SANDBOX!J91-SANDBOX!J96</f>
        <v>0</v>
      </c>
      <c r="I45" s="27">
        <f>+SANDBOX!K91-SANDBOX!K96</f>
        <v>0</v>
      </c>
      <c r="J45" s="27">
        <f>+SANDBOX!L91-SANDBOX!L96</f>
        <v>0</v>
      </c>
      <c r="K45" s="27">
        <f>+SANDBOX!M91-SANDBOX!M96</f>
        <v>0</v>
      </c>
      <c r="L45" s="27">
        <f>+SANDBOX!N91-SANDBOX!N96</f>
        <v>0</v>
      </c>
      <c r="M45" s="27">
        <f>+SANDBOX!O91-SANDBOX!O96</f>
        <v>0</v>
      </c>
      <c r="N45" s="27">
        <f>+SANDBOX!P91-SANDBOX!P96</f>
        <v>0</v>
      </c>
      <c r="O45" s="27">
        <f>+SANDBOX!Q91-SANDBOX!Q96</f>
        <v>0</v>
      </c>
      <c r="W45" s="61"/>
    </row>
    <row r="46" spans="2:23" ht="12" hidden="1" customHeight="1" x14ac:dyDescent="0.2">
      <c r="B46" s="60"/>
      <c r="W46" s="61"/>
    </row>
    <row r="47" spans="2:23" ht="12" hidden="1" customHeight="1" x14ac:dyDescent="0.2">
      <c r="B47" s="60"/>
      <c r="W47" s="61"/>
    </row>
    <row r="48" spans="2:23" ht="12" hidden="1" customHeight="1" x14ac:dyDescent="0.2">
      <c r="B48" s="60"/>
      <c r="W48" s="61"/>
    </row>
    <row r="49" spans="2:23" ht="12" hidden="1" customHeight="1" x14ac:dyDescent="0.2">
      <c r="B49" s="60"/>
      <c r="W49" s="61"/>
    </row>
    <row r="50" spans="2:23" ht="12" hidden="1" customHeight="1" x14ac:dyDescent="0.2">
      <c r="B50" s="60"/>
      <c r="W50" s="61"/>
    </row>
    <row r="51" spans="2:23" ht="12" hidden="1" customHeight="1" x14ac:dyDescent="0.2">
      <c r="B51" s="60"/>
      <c r="C51" s="27" t="s">
        <v>1363</v>
      </c>
      <c r="D51" s="27">
        <f>+SANDBOX!F17-SANDBOX!F85</f>
        <v>0</v>
      </c>
      <c r="E51" s="27">
        <f>+SANDBOX!G17-SANDBOX!G85</f>
        <v>0</v>
      </c>
      <c r="F51" s="27">
        <f>+SANDBOX!H17-SANDBOX!H85</f>
        <v>0</v>
      </c>
      <c r="G51" s="27">
        <f>+SANDBOX!I17-SANDBOX!I85</f>
        <v>0</v>
      </c>
      <c r="H51" s="27">
        <f>+SANDBOX!J17-SANDBOX!J85</f>
        <v>0</v>
      </c>
      <c r="I51" s="27">
        <f>+SANDBOX!K17-SANDBOX!K85</f>
        <v>0</v>
      </c>
      <c r="J51" s="27">
        <f>+SANDBOX!L17-SANDBOX!L85</f>
        <v>0</v>
      </c>
      <c r="K51" s="27">
        <f>+SANDBOX!M17-SANDBOX!M85</f>
        <v>0</v>
      </c>
      <c r="L51" s="27">
        <f>+SANDBOX!N17-SANDBOX!N85</f>
        <v>0</v>
      </c>
      <c r="M51" s="27">
        <f>+SANDBOX!O17-SANDBOX!O85</f>
        <v>0</v>
      </c>
      <c r="N51" s="27">
        <f>+SANDBOX!P17-SANDBOX!P85</f>
        <v>0</v>
      </c>
      <c r="O51" s="27">
        <f>+SANDBOX!Q17-SANDBOX!Q85</f>
        <v>0</v>
      </c>
      <c r="W51" s="61"/>
    </row>
    <row r="52" spans="2:23" ht="12" hidden="1" customHeight="1" x14ac:dyDescent="0.2">
      <c r="B52" s="60"/>
      <c r="W52" s="61"/>
    </row>
    <row r="53" spans="2:23" ht="12" hidden="1" customHeight="1" x14ac:dyDescent="0.2">
      <c r="B53" s="65"/>
      <c r="C53" s="66" t="s">
        <v>1368</v>
      </c>
      <c r="D53" s="66">
        <f>+(D41+D45+D51)-D43</f>
        <v>0</v>
      </c>
      <c r="E53" s="66">
        <f t="shared" ref="E53:O53" si="13">+(E41+E45+E51)-E43</f>
        <v>0</v>
      </c>
      <c r="F53" s="66">
        <f t="shared" si="13"/>
        <v>0</v>
      </c>
      <c r="G53" s="66">
        <f t="shared" si="13"/>
        <v>0</v>
      </c>
      <c r="H53" s="66">
        <f t="shared" si="13"/>
        <v>0</v>
      </c>
      <c r="I53" s="66">
        <f t="shared" si="13"/>
        <v>0</v>
      </c>
      <c r="J53" s="66">
        <f t="shared" si="13"/>
        <v>0</v>
      </c>
      <c r="K53" s="66">
        <f t="shared" si="13"/>
        <v>0</v>
      </c>
      <c r="L53" s="66">
        <f t="shared" si="13"/>
        <v>0</v>
      </c>
      <c r="M53" s="66">
        <f t="shared" si="13"/>
        <v>0</v>
      </c>
      <c r="N53" s="66">
        <f t="shared" si="13"/>
        <v>0</v>
      </c>
      <c r="O53" s="66">
        <f t="shared" si="13"/>
        <v>0</v>
      </c>
      <c r="P53" s="66">
        <f>SUM(D53:O53)</f>
        <v>0</v>
      </c>
      <c r="Q53" s="66"/>
      <c r="R53" s="66"/>
      <c r="S53" s="66"/>
      <c r="T53" s="66"/>
      <c r="U53" s="66"/>
      <c r="V53" s="66"/>
      <c r="W53" s="67"/>
    </row>
    <row r="54" spans="2:23" ht="12" hidden="1" customHeight="1" x14ac:dyDescent="0.2">
      <c r="B54" s="62" t="s">
        <v>47</v>
      </c>
      <c r="C54" s="63"/>
      <c r="D54" s="63">
        <f>INFORME!G144</f>
        <v>0</v>
      </c>
      <c r="E54" s="63">
        <f>INFORME!H144</f>
        <v>0</v>
      </c>
      <c r="F54" s="63">
        <f>INFORME!I144</f>
        <v>0</v>
      </c>
      <c r="G54" s="63">
        <f>INFORME!J144</f>
        <v>0</v>
      </c>
      <c r="H54" s="63">
        <f>INFORME!K144</f>
        <v>0</v>
      </c>
      <c r="I54" s="63">
        <f>INFORME!L144</f>
        <v>0</v>
      </c>
      <c r="J54" s="63">
        <f>INFORME!M144</f>
        <v>0</v>
      </c>
      <c r="K54" s="63">
        <f>INFORME!N144</f>
        <v>0</v>
      </c>
      <c r="L54" s="63">
        <f>INFORME!O144</f>
        <v>0</v>
      </c>
      <c r="M54" s="63">
        <f>INFORME!P144</f>
        <v>0</v>
      </c>
      <c r="N54" s="63">
        <f>INFORME!Q144</f>
        <v>0</v>
      </c>
      <c r="O54" s="63">
        <f>INFORME!R144</f>
        <v>0</v>
      </c>
      <c r="P54" s="63"/>
      <c r="Q54" s="63"/>
      <c r="R54" s="63"/>
      <c r="S54" s="63"/>
      <c r="T54" s="63"/>
      <c r="U54" s="63"/>
      <c r="V54" s="63"/>
      <c r="W54" s="64"/>
    </row>
    <row r="55" spans="2:23" ht="12" hidden="1" customHeight="1" x14ac:dyDescent="0.2">
      <c r="B55" s="60"/>
      <c r="R55" s="27" t="s">
        <v>397</v>
      </c>
      <c r="W55" s="61"/>
    </row>
    <row r="56" spans="2:23" ht="12" hidden="1" customHeight="1" x14ac:dyDescent="0.2">
      <c r="B56" s="60"/>
      <c r="C56" s="27" t="s">
        <v>1369</v>
      </c>
      <c r="D56" s="27">
        <f>+D36+D33+D30+D29+(D28*50%)+D24+(D14*$F$13)+D43</f>
        <v>0</v>
      </c>
      <c r="E56" s="27">
        <f>+E36+E33+E30+E29+(E28*50%)+E24+(E14*$F$13)+E43</f>
        <v>0</v>
      </c>
      <c r="F56" s="27">
        <f t="shared" ref="F56:O56" si="14">+F36+F33+F30+F29+(F28*50%)+F24+(F14*$F$13)+F43</f>
        <v>0</v>
      </c>
      <c r="G56" s="27">
        <f t="shared" si="14"/>
        <v>0</v>
      </c>
      <c r="H56" s="27">
        <f t="shared" si="14"/>
        <v>0</v>
      </c>
      <c r="I56" s="27">
        <f t="shared" si="14"/>
        <v>0</v>
      </c>
      <c r="J56" s="27">
        <f t="shared" si="14"/>
        <v>0</v>
      </c>
      <c r="K56" s="27">
        <f t="shared" si="14"/>
        <v>0</v>
      </c>
      <c r="L56" s="27">
        <f t="shared" si="14"/>
        <v>0</v>
      </c>
      <c r="M56" s="27">
        <f t="shared" si="14"/>
        <v>0</v>
      </c>
      <c r="N56" s="27">
        <f t="shared" si="14"/>
        <v>0</v>
      </c>
      <c r="O56" s="27">
        <f t="shared" si="14"/>
        <v>0</v>
      </c>
      <c r="R56" s="27">
        <f>SUM(D56:O56)</f>
        <v>0</v>
      </c>
      <c r="W56" s="61"/>
    </row>
    <row r="57" spans="2:23" ht="12" hidden="1" customHeight="1" x14ac:dyDescent="0.2">
      <c r="B57" s="60"/>
      <c r="C57" s="27" t="s">
        <v>1370</v>
      </c>
      <c r="D57" s="27">
        <f>+D37+D31+D25+(D28*50%)+(D14*$H$13)+D38</f>
        <v>0</v>
      </c>
      <c r="E57" s="27">
        <f t="shared" ref="E57:O57" si="15">+E37+E31+E25+(E28*50%)+(E14*$H$13)+E38</f>
        <v>0</v>
      </c>
      <c r="F57" s="27">
        <f t="shared" si="15"/>
        <v>0</v>
      </c>
      <c r="G57" s="27">
        <f t="shared" si="15"/>
        <v>0</v>
      </c>
      <c r="H57" s="27">
        <f t="shared" si="15"/>
        <v>0</v>
      </c>
      <c r="I57" s="27">
        <f t="shared" si="15"/>
        <v>0</v>
      </c>
      <c r="J57" s="27">
        <f t="shared" si="15"/>
        <v>0</v>
      </c>
      <c r="K57" s="27">
        <f t="shared" si="15"/>
        <v>0</v>
      </c>
      <c r="L57" s="27">
        <f t="shared" si="15"/>
        <v>0</v>
      </c>
      <c r="M57" s="27">
        <f t="shared" si="15"/>
        <v>0</v>
      </c>
      <c r="N57" s="27">
        <f t="shared" si="15"/>
        <v>0</v>
      </c>
      <c r="O57" s="27">
        <f t="shared" si="15"/>
        <v>0</v>
      </c>
      <c r="R57" s="27">
        <f>SUM(D58:O58)</f>
        <v>0</v>
      </c>
      <c r="W57" s="61"/>
    </row>
    <row r="58" spans="2:23" ht="12" hidden="1" customHeight="1" x14ac:dyDescent="0.2">
      <c r="B58" s="60"/>
      <c r="C58" s="27" t="s">
        <v>1388</v>
      </c>
      <c r="D58" s="27">
        <f>INFORME!G138</f>
        <v>0</v>
      </c>
      <c r="E58" s="27">
        <f>INFORME!H138</f>
        <v>0</v>
      </c>
      <c r="F58" s="27">
        <f>INFORME!I138</f>
        <v>0</v>
      </c>
      <c r="G58" s="27">
        <f>INFORME!J138</f>
        <v>0</v>
      </c>
      <c r="H58" s="27">
        <f>INFORME!K138</f>
        <v>0</v>
      </c>
      <c r="I58" s="27">
        <f>INFORME!L138</f>
        <v>0</v>
      </c>
      <c r="J58" s="27">
        <f>INFORME!M138</f>
        <v>0</v>
      </c>
      <c r="K58" s="27">
        <f>INFORME!N138</f>
        <v>0</v>
      </c>
      <c r="L58" s="27">
        <f>INFORME!O138</f>
        <v>0</v>
      </c>
      <c r="M58" s="27">
        <f>INFORME!P138</f>
        <v>0</v>
      </c>
      <c r="N58" s="27">
        <f>INFORME!Q138</f>
        <v>0</v>
      </c>
      <c r="O58" s="27">
        <f>INFORME!R138</f>
        <v>0</v>
      </c>
      <c r="R58" s="27">
        <f>SUM(R56:R57)</f>
        <v>0</v>
      </c>
      <c r="W58" s="61"/>
    </row>
    <row r="59" spans="2:23" ht="12" hidden="1" customHeight="1" x14ac:dyDescent="0.2">
      <c r="B59" s="60"/>
      <c r="C59" s="27" t="s">
        <v>1389</v>
      </c>
      <c r="D59" s="27">
        <f>INFORME!G127</f>
        <v>0</v>
      </c>
      <c r="E59" s="27">
        <f>INFORME!H127</f>
        <v>0</v>
      </c>
      <c r="F59" s="27">
        <f>INFORME!I127</f>
        <v>0</v>
      </c>
      <c r="G59" s="27">
        <f>INFORME!J127</f>
        <v>0</v>
      </c>
      <c r="H59" s="27">
        <f>INFORME!K127</f>
        <v>0</v>
      </c>
      <c r="I59" s="27">
        <f>INFORME!L127</f>
        <v>0</v>
      </c>
      <c r="J59" s="27">
        <f>INFORME!M127</f>
        <v>0</v>
      </c>
      <c r="K59" s="27">
        <f>INFORME!N127</f>
        <v>0</v>
      </c>
      <c r="L59" s="27">
        <f>INFORME!O127</f>
        <v>0</v>
      </c>
      <c r="M59" s="27">
        <f>INFORME!P127</f>
        <v>0</v>
      </c>
      <c r="N59" s="27">
        <f>INFORME!Q127</f>
        <v>0</v>
      </c>
      <c r="O59" s="27">
        <f>INFORME!R127</f>
        <v>0</v>
      </c>
      <c r="R59" s="27" t="s">
        <v>398</v>
      </c>
      <c r="W59" s="61"/>
    </row>
    <row r="60" spans="2:23" ht="12" hidden="1" customHeight="1" x14ac:dyDescent="0.2">
      <c r="B60" s="60"/>
      <c r="C60" s="27" t="s">
        <v>1382</v>
      </c>
      <c r="D60" s="27">
        <f>SUM(D56:D59)</f>
        <v>0</v>
      </c>
      <c r="E60" s="27">
        <f t="shared" ref="E60:O60" si="16">SUM(E56:E59)</f>
        <v>0</v>
      </c>
      <c r="F60" s="27">
        <f t="shared" si="16"/>
        <v>0</v>
      </c>
      <c r="G60" s="27">
        <f t="shared" si="16"/>
        <v>0</v>
      </c>
      <c r="H60" s="27">
        <f t="shared" si="16"/>
        <v>0</v>
      </c>
      <c r="I60" s="27">
        <f t="shared" si="16"/>
        <v>0</v>
      </c>
      <c r="J60" s="27">
        <f t="shared" si="16"/>
        <v>0</v>
      </c>
      <c r="K60" s="27">
        <f t="shared" si="16"/>
        <v>0</v>
      </c>
      <c r="L60" s="27">
        <f t="shared" si="16"/>
        <v>0</v>
      </c>
      <c r="M60" s="27">
        <f t="shared" si="16"/>
        <v>0</v>
      </c>
      <c r="N60" s="27">
        <f t="shared" si="16"/>
        <v>0</v>
      </c>
      <c r="O60" s="27">
        <f t="shared" si="16"/>
        <v>0</v>
      </c>
      <c r="P60" s="27">
        <f>SUM(D60:O60)</f>
        <v>0</v>
      </c>
      <c r="R60" s="27">
        <f>+P60-R58</f>
        <v>0</v>
      </c>
      <c r="W60" s="61"/>
    </row>
    <row r="61" spans="2:23" ht="12" hidden="1" customHeight="1" x14ac:dyDescent="0.2">
      <c r="B61" s="60"/>
      <c r="D61" s="27">
        <f t="shared" ref="D61:O61" si="17">+D9-D60</f>
        <v>0</v>
      </c>
      <c r="E61" s="27">
        <f t="shared" si="17"/>
        <v>0</v>
      </c>
      <c r="F61" s="27">
        <f t="shared" si="17"/>
        <v>0</v>
      </c>
      <c r="G61" s="27">
        <f t="shared" si="17"/>
        <v>0</v>
      </c>
      <c r="H61" s="27">
        <f t="shared" si="17"/>
        <v>0</v>
      </c>
      <c r="I61" s="27">
        <f t="shared" si="17"/>
        <v>0</v>
      </c>
      <c r="J61" s="27">
        <f t="shared" si="17"/>
        <v>0</v>
      </c>
      <c r="K61" s="27">
        <f t="shared" si="17"/>
        <v>0</v>
      </c>
      <c r="L61" s="27">
        <f t="shared" si="17"/>
        <v>0</v>
      </c>
      <c r="M61" s="27">
        <f t="shared" si="17"/>
        <v>0</v>
      </c>
      <c r="N61" s="27">
        <f t="shared" si="17"/>
        <v>0</v>
      </c>
      <c r="O61" s="27">
        <f t="shared" si="17"/>
        <v>0</v>
      </c>
      <c r="R61" s="27" t="s">
        <v>399</v>
      </c>
      <c r="S61" s="27">
        <f>SANDBOX!$E$4</f>
        <v>0</v>
      </c>
      <c r="T61" s="27" t="s">
        <v>1448</v>
      </c>
      <c r="W61" s="61"/>
    </row>
    <row r="62" spans="2:23" ht="12" hidden="1" customHeight="1" x14ac:dyDescent="0.2">
      <c r="B62" s="60"/>
      <c r="C62" s="27" t="s">
        <v>1390</v>
      </c>
      <c r="D62" s="27">
        <f t="shared" ref="D62:P62" si="18">IF(D9=0,0,D60/D9)</f>
        <v>0</v>
      </c>
      <c r="E62" s="27">
        <f t="shared" si="18"/>
        <v>0</v>
      </c>
      <c r="F62" s="27">
        <f t="shared" si="18"/>
        <v>0</v>
      </c>
      <c r="G62" s="27">
        <f t="shared" si="18"/>
        <v>0</v>
      </c>
      <c r="H62" s="27">
        <f t="shared" si="18"/>
        <v>0</v>
      </c>
      <c r="I62" s="27">
        <f t="shared" si="18"/>
        <v>0</v>
      </c>
      <c r="J62" s="27">
        <f t="shared" si="18"/>
        <v>0</v>
      </c>
      <c r="K62" s="27">
        <f t="shared" si="18"/>
        <v>0</v>
      </c>
      <c r="L62" s="27">
        <f t="shared" si="18"/>
        <v>0</v>
      </c>
      <c r="M62" s="27">
        <f t="shared" si="18"/>
        <v>0</v>
      </c>
      <c r="N62" s="27">
        <f t="shared" si="18"/>
        <v>0</v>
      </c>
      <c r="O62" s="27">
        <f t="shared" si="18"/>
        <v>0</v>
      </c>
      <c r="P62" s="27">
        <f t="shared" si="18"/>
        <v>0</v>
      </c>
      <c r="R62" s="27">
        <f>IF(S61=0,0,R60/S61)</f>
        <v>0</v>
      </c>
      <c r="W62" s="61"/>
    </row>
    <row r="63" spans="2:23" ht="12" hidden="1" customHeight="1" x14ac:dyDescent="0.2">
      <c r="B63" s="65"/>
      <c r="C63" s="66"/>
      <c r="D63" s="66"/>
      <c r="E63" s="66"/>
      <c r="F63" s="66"/>
      <c r="G63" s="66"/>
      <c r="H63" s="66"/>
      <c r="I63" s="66"/>
      <c r="J63" s="66"/>
      <c r="K63" s="66"/>
      <c r="L63" s="66"/>
      <c r="M63" s="66"/>
      <c r="N63" s="66"/>
      <c r="O63" s="66"/>
      <c r="P63" s="66"/>
      <c r="Q63" s="66"/>
      <c r="R63" s="66" t="s">
        <v>400</v>
      </c>
      <c r="S63" s="66">
        <f>SANDBOX!$E$7</f>
        <v>0</v>
      </c>
      <c r="T63" s="66" t="s">
        <v>611</v>
      </c>
      <c r="U63" s="66"/>
      <c r="V63" s="66"/>
      <c r="W63" s="67"/>
    </row>
    <row r="64" spans="2:23" ht="12" hidden="1" customHeight="1" x14ac:dyDescent="0.2">
      <c r="B64" s="62"/>
      <c r="C64" s="63" t="s">
        <v>49</v>
      </c>
      <c r="D64" s="63"/>
      <c r="E64" s="63"/>
      <c r="F64" s="63"/>
      <c r="G64" s="63"/>
      <c r="H64" s="63"/>
      <c r="I64" s="63"/>
      <c r="J64" s="63"/>
      <c r="K64" s="63"/>
      <c r="L64" s="63"/>
      <c r="M64" s="63"/>
      <c r="N64" s="63"/>
      <c r="O64" s="63"/>
      <c r="P64" s="63"/>
      <c r="Q64" s="63"/>
      <c r="R64" s="63">
        <f>IF(S61=0,0,S63/S61)</f>
        <v>0</v>
      </c>
      <c r="S64" s="63"/>
      <c r="T64" s="63"/>
      <c r="U64" s="63"/>
      <c r="V64" s="63"/>
      <c r="W64" s="64"/>
    </row>
    <row r="65" spans="2:24" ht="12" hidden="1" customHeight="1" x14ac:dyDescent="0.2">
      <c r="B65" s="60"/>
      <c r="C65" s="27" t="s">
        <v>50</v>
      </c>
      <c r="D65" s="27">
        <f>D!$J$24</f>
        <v>0.25</v>
      </c>
      <c r="R65" s="27" t="s">
        <v>990</v>
      </c>
      <c r="S65" s="27">
        <f>+S63/360</f>
        <v>0</v>
      </c>
      <c r="W65" s="61"/>
    </row>
    <row r="66" spans="2:24" ht="12" hidden="1" customHeight="1" x14ac:dyDescent="0.2">
      <c r="B66" s="60"/>
      <c r="R66" s="27" t="s">
        <v>401</v>
      </c>
      <c r="S66" s="27">
        <f>IF(ISERROR(INFORME!$J$317),0,INFORME!$J$317)</f>
        <v>0</v>
      </c>
      <c r="W66" s="61"/>
    </row>
    <row r="67" spans="2:24" ht="12" hidden="1" customHeight="1" x14ac:dyDescent="0.2">
      <c r="B67" s="60"/>
      <c r="C67" s="27" t="s">
        <v>51</v>
      </c>
      <c r="D67" s="27">
        <f>+D54*$D$65</f>
        <v>0</v>
      </c>
      <c r="E67" s="27">
        <f t="shared" ref="E67:O67" si="19">+E54*$D$65</f>
        <v>0</v>
      </c>
      <c r="F67" s="27">
        <f t="shared" si="19"/>
        <v>0</v>
      </c>
      <c r="G67" s="27">
        <f t="shared" si="19"/>
        <v>0</v>
      </c>
      <c r="H67" s="27">
        <f t="shared" si="19"/>
        <v>0</v>
      </c>
      <c r="I67" s="27">
        <f t="shared" si="19"/>
        <v>0</v>
      </c>
      <c r="J67" s="27">
        <f t="shared" si="19"/>
        <v>0</v>
      </c>
      <c r="K67" s="27">
        <f t="shared" si="19"/>
        <v>0</v>
      </c>
      <c r="L67" s="27">
        <f t="shared" si="19"/>
        <v>0</v>
      </c>
      <c r="M67" s="27">
        <f t="shared" si="19"/>
        <v>0</v>
      </c>
      <c r="N67" s="27">
        <f t="shared" si="19"/>
        <v>0</v>
      </c>
      <c r="O67" s="27">
        <f t="shared" si="19"/>
        <v>0</v>
      </c>
      <c r="P67" s="27">
        <f>+P53*$D$65</f>
        <v>0</v>
      </c>
      <c r="R67" s="27" t="s">
        <v>991</v>
      </c>
      <c r="S67" s="27">
        <f>IF(S65=0,0,S66/S65)</f>
        <v>0</v>
      </c>
      <c r="W67" s="61"/>
    </row>
    <row r="68" spans="2:24" ht="12" hidden="1" customHeight="1" x14ac:dyDescent="0.2">
      <c r="B68" s="60" t="s">
        <v>53</v>
      </c>
      <c r="C68" s="27" t="s">
        <v>52</v>
      </c>
      <c r="D68" s="27">
        <f>+D67</f>
        <v>0</v>
      </c>
      <c r="E68" s="27">
        <f>+D68+E67</f>
        <v>0</v>
      </c>
      <c r="F68" s="27">
        <f t="shared" ref="F68:O68" si="20">+E68+F67</f>
        <v>0</v>
      </c>
      <c r="G68" s="27">
        <f t="shared" si="20"/>
        <v>0</v>
      </c>
      <c r="H68" s="27">
        <f t="shared" si="20"/>
        <v>0</v>
      </c>
      <c r="I68" s="27">
        <f t="shared" si="20"/>
        <v>0</v>
      </c>
      <c r="J68" s="27">
        <f t="shared" si="20"/>
        <v>0</v>
      </c>
      <c r="K68" s="27">
        <f t="shared" si="20"/>
        <v>0</v>
      </c>
      <c r="L68" s="27">
        <f t="shared" si="20"/>
        <v>0</v>
      </c>
      <c r="M68" s="27">
        <f t="shared" si="20"/>
        <v>0</v>
      </c>
      <c r="N68" s="27">
        <f t="shared" si="20"/>
        <v>0</v>
      </c>
      <c r="O68" s="27">
        <f t="shared" si="20"/>
        <v>0</v>
      </c>
      <c r="W68" s="61"/>
    </row>
    <row r="69" spans="2:24" ht="12" hidden="1" customHeight="1" x14ac:dyDescent="0.2">
      <c r="B69" s="60"/>
      <c r="R69" s="27" t="s">
        <v>992</v>
      </c>
      <c r="S69" s="27">
        <f>+S66/12</f>
        <v>0</v>
      </c>
      <c r="W69" s="61"/>
    </row>
    <row r="70" spans="2:24" ht="12" hidden="1" customHeight="1" x14ac:dyDescent="0.2">
      <c r="B70" s="60" t="s">
        <v>54</v>
      </c>
      <c r="C70" s="27" t="s">
        <v>55</v>
      </c>
      <c r="E70" s="27" t="s">
        <v>960</v>
      </c>
      <c r="W70" s="61"/>
    </row>
    <row r="71" spans="2:24" ht="12" hidden="1" customHeight="1" x14ac:dyDescent="0.2">
      <c r="B71" s="60"/>
      <c r="W71" s="61"/>
    </row>
    <row r="72" spans="2:24" ht="12" hidden="1" customHeight="1" x14ac:dyDescent="0.2">
      <c r="B72" s="60"/>
      <c r="N72" s="27" t="s">
        <v>607</v>
      </c>
      <c r="O72" s="27">
        <f>SUM(D67:O67)</f>
        <v>0</v>
      </c>
      <c r="W72" s="61"/>
    </row>
    <row r="73" spans="2:24" hidden="1" x14ac:dyDescent="0.2">
      <c r="B73" s="60"/>
      <c r="W73" s="61"/>
    </row>
    <row r="74" spans="2:24" hidden="1" x14ac:dyDescent="0.2">
      <c r="B74" s="60"/>
      <c r="C74" s="27" t="s">
        <v>795</v>
      </c>
      <c r="W74" s="61"/>
    </row>
    <row r="75" spans="2:24" hidden="1" x14ac:dyDescent="0.2">
      <c r="B75" s="62"/>
      <c r="C75" s="63"/>
      <c r="D75" s="63" t="s">
        <v>972</v>
      </c>
      <c r="E75" s="63" t="s">
        <v>1456</v>
      </c>
      <c r="F75" s="63"/>
      <c r="G75" s="63"/>
      <c r="H75" s="63"/>
      <c r="I75" s="63"/>
      <c r="J75" s="63"/>
      <c r="K75" s="63"/>
      <c r="L75" s="63"/>
      <c r="M75" s="63"/>
      <c r="N75" s="63"/>
      <c r="O75" s="63"/>
      <c r="P75" s="63"/>
      <c r="Q75" s="63"/>
      <c r="R75" s="63"/>
      <c r="S75" s="63"/>
      <c r="T75" s="63"/>
      <c r="U75" s="63"/>
      <c r="V75" s="63"/>
      <c r="W75" s="63"/>
      <c r="X75" s="64"/>
    </row>
    <row r="76" spans="2:24" hidden="1" x14ac:dyDescent="0.2">
      <c r="B76" s="60"/>
      <c r="E76" s="27" t="s">
        <v>574</v>
      </c>
      <c r="T76" s="27" t="s">
        <v>705</v>
      </c>
      <c r="X76" s="61"/>
    </row>
    <row r="77" spans="2:24" hidden="1" x14ac:dyDescent="0.2">
      <c r="B77" s="60"/>
      <c r="F77" s="27" t="s">
        <v>786</v>
      </c>
      <c r="G77" s="27" t="s">
        <v>1547</v>
      </c>
      <c r="H77" s="27" t="str">
        <f>SB!B6</f>
        <v>Enero</v>
      </c>
      <c r="I77" s="27" t="str">
        <f>SB!C6</f>
        <v>Febrero</v>
      </c>
      <c r="J77" s="27" t="str">
        <f>SB!D6</f>
        <v>Marzo</v>
      </c>
      <c r="K77" s="27" t="str">
        <f>SB!E6</f>
        <v>Abril</v>
      </c>
      <c r="L77" s="27" t="str">
        <f>SB!F6</f>
        <v xml:space="preserve">Mayo </v>
      </c>
      <c r="M77" s="27" t="str">
        <f>SB!G6</f>
        <v>Junio</v>
      </c>
      <c r="N77" s="27" t="str">
        <f>SB!H6</f>
        <v>Julio</v>
      </c>
      <c r="O77" s="27" t="str">
        <f>SB!I6</f>
        <v>Agosto</v>
      </c>
      <c r="P77" s="27" t="str">
        <f>SB!J6</f>
        <v>Septiembre</v>
      </c>
      <c r="Q77" s="27" t="str">
        <f>SB!K6</f>
        <v>Octubre</v>
      </c>
      <c r="R77" s="27" t="str">
        <f>SB!L6</f>
        <v>Noviembre</v>
      </c>
      <c r="S77" s="27" t="str">
        <f>SB!M6</f>
        <v>Diciembre</v>
      </c>
      <c r="T77" s="27" t="s">
        <v>703</v>
      </c>
      <c r="U77" s="27" t="s">
        <v>958</v>
      </c>
      <c r="X77" s="61"/>
    </row>
    <row r="78" spans="2:24" hidden="1" x14ac:dyDescent="0.2">
      <c r="B78" s="60"/>
      <c r="E78" s="27" t="s">
        <v>1536</v>
      </c>
      <c r="F78" s="27">
        <f>SUM(G78:S78)</f>
        <v>0</v>
      </c>
      <c r="G78" s="27">
        <f>+G93</f>
        <v>0</v>
      </c>
      <c r="H78" s="27">
        <f>+H93+H109+G78</f>
        <v>0</v>
      </c>
      <c r="I78" s="27">
        <f>+I93+I109</f>
        <v>0</v>
      </c>
      <c r="J78" s="27">
        <f>+J93+J109</f>
        <v>0</v>
      </c>
      <c r="K78" s="27">
        <f t="shared" ref="K78:S78" si="21">+K93+K109</f>
        <v>0</v>
      </c>
      <c r="L78" s="27">
        <f t="shared" si="21"/>
        <v>0</v>
      </c>
      <c r="M78" s="27">
        <f t="shared" si="21"/>
        <v>0</v>
      </c>
      <c r="N78" s="27">
        <f t="shared" si="21"/>
        <v>0</v>
      </c>
      <c r="O78" s="27">
        <f t="shared" si="21"/>
        <v>0</v>
      </c>
      <c r="P78" s="27">
        <f t="shared" si="21"/>
        <v>0</v>
      </c>
      <c r="Q78" s="27">
        <f t="shared" si="21"/>
        <v>0</v>
      </c>
      <c r="R78" s="27">
        <f t="shared" si="21"/>
        <v>0</v>
      </c>
      <c r="S78" s="27">
        <f t="shared" si="21"/>
        <v>0</v>
      </c>
      <c r="U78" s="27">
        <f>SUM(H78:T78)</f>
        <v>0</v>
      </c>
      <c r="X78" s="61"/>
    </row>
    <row r="79" spans="2:24" hidden="1" x14ac:dyDescent="0.2">
      <c r="B79" s="60"/>
      <c r="E79" s="27" t="s">
        <v>701</v>
      </c>
      <c r="F79" s="27">
        <f>+F102+F109+F205+F264+F273+F309</f>
        <v>0</v>
      </c>
      <c r="G79" s="27">
        <f>+G205+G264+G221+G229</f>
        <v>0</v>
      </c>
      <c r="H79" s="27">
        <f>H102+H205+H264+G273+G309+H221+G79</f>
        <v>0</v>
      </c>
      <c r="I79" s="27">
        <f>IF(I81=0,I102+I205+I264+H273+H309+I221,I81)</f>
        <v>0</v>
      </c>
      <c r="J79" s="27">
        <f>IF(J81=0,J102+J205+J264+I273+I309+J221,J81)</f>
        <v>0</v>
      </c>
      <c r="K79" s="27">
        <f t="shared" ref="K79:S79" si="22">IF(K81=0,K102+K205+K264+J273+J309+K221,K81)</f>
        <v>0</v>
      </c>
      <c r="L79" s="27">
        <f t="shared" si="22"/>
        <v>0</v>
      </c>
      <c r="M79" s="27">
        <f t="shared" si="22"/>
        <v>0</v>
      </c>
      <c r="N79" s="27">
        <f t="shared" si="22"/>
        <v>0</v>
      </c>
      <c r="O79" s="27">
        <f t="shared" si="22"/>
        <v>0</v>
      </c>
      <c r="P79" s="27">
        <f t="shared" si="22"/>
        <v>0</v>
      </c>
      <c r="Q79" s="27">
        <f t="shared" si="22"/>
        <v>0</v>
      </c>
      <c r="R79" s="27">
        <f t="shared" si="22"/>
        <v>0</v>
      </c>
      <c r="S79" s="27">
        <f t="shared" si="22"/>
        <v>0</v>
      </c>
      <c r="U79" s="27">
        <f>SUM(H79:T79)</f>
        <v>0</v>
      </c>
      <c r="X79" s="61"/>
    </row>
    <row r="80" spans="2:24" hidden="1" x14ac:dyDescent="0.2">
      <c r="B80" s="60"/>
      <c r="E80" s="27" t="s">
        <v>1197</v>
      </c>
      <c r="H80" s="27">
        <f>+H78-H79</f>
        <v>0</v>
      </c>
      <c r="I80" s="27">
        <f>+I78-I79</f>
        <v>0</v>
      </c>
      <c r="J80" s="27">
        <f t="shared" ref="J80:S80" si="23">+J78-J79</f>
        <v>0</v>
      </c>
      <c r="K80" s="27">
        <f t="shared" si="23"/>
        <v>0</v>
      </c>
      <c r="L80" s="27">
        <f t="shared" si="23"/>
        <v>0</v>
      </c>
      <c r="M80" s="27">
        <f t="shared" si="23"/>
        <v>0</v>
      </c>
      <c r="N80" s="27">
        <f t="shared" si="23"/>
        <v>0</v>
      </c>
      <c r="O80" s="27">
        <f t="shared" si="23"/>
        <v>0</v>
      </c>
      <c r="P80" s="27">
        <f t="shared" si="23"/>
        <v>0</v>
      </c>
      <c r="Q80" s="27">
        <f t="shared" si="23"/>
        <v>0</v>
      </c>
      <c r="R80" s="27">
        <f t="shared" si="23"/>
        <v>0</v>
      </c>
      <c r="S80" s="27">
        <f t="shared" si="23"/>
        <v>0</v>
      </c>
      <c r="U80" s="27">
        <f>IF(U78-U79&lt;0,U83+U78-U79,U78-U79-U83)</f>
        <v>0</v>
      </c>
      <c r="V80" s="27">
        <f>$U$86</f>
        <v>0</v>
      </c>
      <c r="X80" s="61">
        <f>U78-U79</f>
        <v>0</v>
      </c>
    </row>
    <row r="81" spans="2:24" ht="12.75" hidden="1" customHeight="1" x14ac:dyDescent="0.2">
      <c r="B81" s="60"/>
      <c r="E81" s="27" t="s">
        <v>945</v>
      </c>
      <c r="X81" s="61"/>
    </row>
    <row r="82" spans="2:24" ht="12.75" hidden="1" customHeight="1" x14ac:dyDescent="0.2">
      <c r="B82" s="60"/>
      <c r="X82" s="61"/>
    </row>
    <row r="83" spans="2:24" ht="12.75" hidden="1" customHeight="1" x14ac:dyDescent="0.2">
      <c r="B83" s="60"/>
      <c r="F83" s="27" t="s">
        <v>222</v>
      </c>
      <c r="H83" s="27">
        <f>IF($F$87=SB!$C$170,CResult!H388,CResult!H411)</f>
        <v>0</v>
      </c>
      <c r="I83" s="27">
        <f>IF($F$87=SB!$C$170,CResult!I388,CResult!I411)</f>
        <v>0</v>
      </c>
      <c r="J83" s="27">
        <f>IF($F$87=SB!$C$170,CResult!J388,CResult!J411)</f>
        <v>0</v>
      </c>
      <c r="K83" s="27">
        <f>IF($F$87=SB!$C$170,CResult!K388,CResult!K411)</f>
        <v>0</v>
      </c>
      <c r="L83" s="27">
        <f>IF($F$87=SB!$C$170,CResult!L388,CResult!L411)</f>
        <v>0</v>
      </c>
      <c r="M83" s="27">
        <f>IF($F$87=SB!$C$170,CResult!M388,CResult!M411)</f>
        <v>0</v>
      </c>
      <c r="N83" s="27">
        <f>IF($F$87=SB!$C$170,CResult!N388,CResult!N411)</f>
        <v>0</v>
      </c>
      <c r="O83" s="27">
        <f>IF($F$87=SB!$C$170,CResult!O388,CResult!O411)</f>
        <v>0</v>
      </c>
      <c r="P83" s="27">
        <f>IF($F$87=SB!$C$170,CResult!P388,CResult!P411)</f>
        <v>0</v>
      </c>
      <c r="Q83" s="27">
        <f>IF($F$87=SB!$C$170,CResult!Q388,CResult!Q411)</f>
        <v>0</v>
      </c>
      <c r="R83" s="27">
        <f>IF($F$87=SB!$C$170,CResult!R388,CResult!R411)</f>
        <v>0</v>
      </c>
      <c r="S83" s="27">
        <f>IF($F$87=SB!$C$170,CResult!S388,CResult!S411)</f>
        <v>0</v>
      </c>
      <c r="U83" s="27">
        <f>SUM(H83:T83)</f>
        <v>0</v>
      </c>
      <c r="X83" s="61"/>
    </row>
    <row r="84" spans="2:24" ht="12.75" hidden="1" customHeight="1" x14ac:dyDescent="0.2">
      <c r="B84" s="60"/>
      <c r="F84" s="27" t="s">
        <v>225</v>
      </c>
      <c r="H84" s="27">
        <f>IF($F$87=SB!$C$170,CResult!H389,CResult!H412)</f>
        <v>0</v>
      </c>
      <c r="I84" s="27">
        <f>IF($F$87=SB!$C$170,CResult!I389,CResult!I412)</f>
        <v>0</v>
      </c>
      <c r="J84" s="27">
        <f>IF($F$87=SB!$C$170,CResult!J389,CResult!J412)</f>
        <v>0</v>
      </c>
      <c r="K84" s="27">
        <f>IF($F$87=SB!$C$170,CResult!K389,CResult!K412)</f>
        <v>0</v>
      </c>
      <c r="L84" s="27">
        <f>IF($F$87=SB!$C$170,CResult!L389,CResult!L412)</f>
        <v>0</v>
      </c>
      <c r="M84" s="27">
        <f>IF($F$87=SB!$C$170,CResult!M389,CResult!M412)</f>
        <v>0</v>
      </c>
      <c r="N84" s="27">
        <f>IF($F$87=SB!$C$170,CResult!N389,CResult!N412)</f>
        <v>0</v>
      </c>
      <c r="O84" s="27">
        <f>IF($F$87=SB!$C$170,CResult!O389,CResult!O412)</f>
        <v>0</v>
      </c>
      <c r="P84" s="27">
        <f>IF($F$87=SB!$C$170,CResult!P389,CResult!P412)</f>
        <v>0</v>
      </c>
      <c r="Q84" s="27">
        <f>IF($F$87=SB!$C$170,CResult!Q389,CResult!Q412)</f>
        <v>0</v>
      </c>
      <c r="R84" s="27">
        <f>IF($F$87=SB!$C$170,CResult!R389,CResult!R412)</f>
        <v>0</v>
      </c>
      <c r="S84" s="27">
        <f>IF($F$87=SB!$C$170,CResult!S389,CResult!S412)</f>
        <v>0</v>
      </c>
      <c r="U84" s="27">
        <f>SUM(H84:T84)</f>
        <v>0</v>
      </c>
      <c r="X84" s="61"/>
    </row>
    <row r="85" spans="2:24" hidden="1" x14ac:dyDescent="0.2">
      <c r="B85" s="60"/>
      <c r="E85" s="27" t="s">
        <v>1422</v>
      </c>
      <c r="F85" s="27" t="s">
        <v>220</v>
      </c>
      <c r="H85" s="27">
        <f>IF($F$87=SB!$C$170,CResult!H390,CResult!H414)</f>
        <v>0</v>
      </c>
      <c r="I85" s="27">
        <f>IF($F$87=SB!$C$170,CResult!I390,CResult!I414)</f>
        <v>0</v>
      </c>
      <c r="J85" s="27">
        <f>IF($F$87=SB!$C$170,CResult!J390,CResult!J414)</f>
        <v>0</v>
      </c>
      <c r="K85" s="27">
        <f>IF($F$87=SB!$C$170,CResult!K390,CResult!K414)</f>
        <v>0</v>
      </c>
      <c r="L85" s="27">
        <f>IF($F$87=SB!$C$170,CResult!L390,CResult!L414)</f>
        <v>0</v>
      </c>
      <c r="M85" s="27">
        <f>IF($F$87=SB!$C$170,CResult!M390,CResult!M414)</f>
        <v>0</v>
      </c>
      <c r="N85" s="27">
        <f>IF($F$87=SB!$C$170,CResult!N390,CResult!N414)</f>
        <v>0</v>
      </c>
      <c r="O85" s="27">
        <f>IF($F$87=SB!$C$170,CResult!O390,CResult!O414)</f>
        <v>0</v>
      </c>
      <c r="P85" s="27">
        <f>IF($F$87=SB!$C$170,CResult!P390,CResult!P414)</f>
        <v>0</v>
      </c>
      <c r="Q85" s="27">
        <f>IF($F$87=SB!$C$170,CResult!Q390,CResult!Q414)</f>
        <v>0</v>
      </c>
      <c r="R85" s="27">
        <f>IF($F$87=SB!$C$170,CResult!R390,CResult!R414)</f>
        <v>0</v>
      </c>
      <c r="S85" s="27">
        <f>IF($F$87=SB!$C$170,CResult!S390,CResult!S414)</f>
        <v>0</v>
      </c>
      <c r="T85" s="27">
        <f>+S85</f>
        <v>0</v>
      </c>
      <c r="X85" s="61"/>
    </row>
    <row r="86" spans="2:24" hidden="1" x14ac:dyDescent="0.2">
      <c r="B86" s="60"/>
      <c r="E86" s="27" t="s">
        <v>1422</v>
      </c>
      <c r="F86" s="27" t="s">
        <v>221</v>
      </c>
      <c r="H86" s="27">
        <f>IF($F$87=SB!$C$170,CResult!H391,CResult!H415)</f>
        <v>0</v>
      </c>
      <c r="I86" s="27">
        <f>IF($F$87=SB!$C$170,CResult!I391,CResult!I415)</f>
        <v>0</v>
      </c>
      <c r="J86" s="27">
        <f>IF($F$87=SB!$C$170,CResult!J391,CResult!J415)</f>
        <v>0</v>
      </c>
      <c r="K86" s="27">
        <f>IF($F$87=SB!$C$170,CResult!K391,CResult!K415)</f>
        <v>0</v>
      </c>
      <c r="L86" s="27">
        <f>IF($F$87=SB!$C$170,CResult!L391,CResult!L415)</f>
        <v>0</v>
      </c>
      <c r="M86" s="27">
        <f>IF($F$87=SB!$C$170,CResult!M391,CResult!M415)</f>
        <v>0</v>
      </c>
      <c r="N86" s="27">
        <f>IF($F$87=SB!$C$170,CResult!N391,CResult!N415)</f>
        <v>0</v>
      </c>
      <c r="O86" s="27">
        <f>IF($F$87=SB!$C$170,CResult!O391,CResult!O415)</f>
        <v>0</v>
      </c>
      <c r="P86" s="27">
        <f>IF($F$87=SB!$C$170,CResult!P391,CResult!P415)</f>
        <v>0</v>
      </c>
      <c r="Q86" s="27">
        <f>IF($F$87=SB!$C$170,CResult!Q391,CResult!Q415)</f>
        <v>0</v>
      </c>
      <c r="R86" s="27">
        <f>IF($F$87=SB!$C$170,CResult!R391,CResult!R415)</f>
        <v>0</v>
      </c>
      <c r="S86" s="27">
        <f>IF($F$87=SB!$C$170,CResult!S391,CResult!S415)</f>
        <v>0</v>
      </c>
      <c r="T86" s="27">
        <f>+S86</f>
        <v>0</v>
      </c>
      <c r="U86" s="27">
        <f>-T85+T86</f>
        <v>0</v>
      </c>
      <c r="X86" s="61"/>
    </row>
    <row r="87" spans="2:24" hidden="1" x14ac:dyDescent="0.2">
      <c r="B87" s="60"/>
      <c r="E87" s="27" t="s">
        <v>1332</v>
      </c>
      <c r="F87" s="27" t="str">
        <f>'6'!$F$23</f>
        <v>MENSUAL</v>
      </c>
      <c r="X87" s="61"/>
    </row>
    <row r="88" spans="2:24" hidden="1" x14ac:dyDescent="0.2">
      <c r="B88" s="65"/>
      <c r="C88" s="66"/>
      <c r="D88" s="66"/>
      <c r="E88" s="66"/>
      <c r="F88" s="66"/>
      <c r="G88" s="66"/>
      <c r="H88" s="66"/>
      <c r="I88" s="66"/>
      <c r="J88" s="66"/>
      <c r="K88" s="66"/>
      <c r="L88" s="66"/>
      <c r="M88" s="66"/>
      <c r="N88" s="66"/>
      <c r="O88" s="66"/>
      <c r="P88" s="66"/>
      <c r="Q88" s="66"/>
      <c r="R88" s="66"/>
      <c r="S88" s="66"/>
      <c r="T88" s="66"/>
      <c r="U88" s="66"/>
      <c r="V88" s="66"/>
      <c r="W88" s="66"/>
      <c r="X88" s="67"/>
    </row>
    <row r="89" spans="2:24" hidden="1" x14ac:dyDescent="0.2">
      <c r="B89" s="62"/>
      <c r="C89" s="63"/>
      <c r="D89" s="63" t="s">
        <v>973</v>
      </c>
      <c r="E89" s="63" t="s">
        <v>787</v>
      </c>
      <c r="F89" s="63"/>
      <c r="G89" s="63"/>
      <c r="H89" s="63"/>
      <c r="I89" s="63"/>
      <c r="J89" s="63"/>
      <c r="K89" s="63"/>
      <c r="L89" s="63"/>
      <c r="M89" s="63"/>
      <c r="N89" s="63"/>
      <c r="O89" s="63"/>
      <c r="P89" s="63"/>
      <c r="Q89" s="63"/>
      <c r="R89" s="63"/>
      <c r="S89" s="63"/>
      <c r="T89" s="63"/>
      <c r="U89" s="63"/>
      <c r="V89" s="63"/>
      <c r="W89" s="63"/>
      <c r="X89" s="64"/>
    </row>
    <row r="90" spans="2:24" hidden="1" x14ac:dyDescent="0.2">
      <c r="B90" s="60"/>
      <c r="E90" s="27" t="s">
        <v>1534</v>
      </c>
      <c r="F90" s="27">
        <f>SB!$I$449</f>
        <v>0.21</v>
      </c>
      <c r="H90" s="27" t="str">
        <f>IF(F92=INFORME!E83,"OK","ERROR")</f>
        <v>OK</v>
      </c>
      <c r="U90" s="27" t="s">
        <v>1134</v>
      </c>
      <c r="X90" s="61"/>
    </row>
    <row r="91" spans="2:24" hidden="1" x14ac:dyDescent="0.2">
      <c r="B91" s="60"/>
      <c r="E91" s="27" t="s">
        <v>1541</v>
      </c>
      <c r="F91" s="27" t="s">
        <v>786</v>
      </c>
      <c r="H91" s="27">
        <v>1</v>
      </c>
      <c r="I91" s="27">
        <v>2</v>
      </c>
      <c r="J91" s="27">
        <v>3</v>
      </c>
      <c r="K91" s="27">
        <v>4</v>
      </c>
      <c r="L91" s="27">
        <v>5</v>
      </c>
      <c r="M91" s="27">
        <v>6</v>
      </c>
      <c r="N91" s="27">
        <v>7</v>
      </c>
      <c r="O91" s="27">
        <v>8</v>
      </c>
      <c r="P91" s="27">
        <v>9</v>
      </c>
      <c r="Q91" s="27">
        <v>10</v>
      </c>
      <c r="R91" s="27">
        <v>11</v>
      </c>
      <c r="S91" s="27">
        <v>12</v>
      </c>
      <c r="U91" s="27" t="s">
        <v>1133</v>
      </c>
      <c r="X91" s="61"/>
    </row>
    <row r="92" spans="2:24" hidden="1" x14ac:dyDescent="0.2">
      <c r="B92" s="60"/>
      <c r="E92" s="27" t="s">
        <v>1537</v>
      </c>
      <c r="F92" s="27">
        <f>SUM(H92:S92)</f>
        <v>0</v>
      </c>
      <c r="H92" s="27">
        <f>INFORME!G83</f>
        <v>0</v>
      </c>
      <c r="I92" s="27">
        <f>INFORME!H83</f>
        <v>0</v>
      </c>
      <c r="J92" s="27">
        <f>INFORME!I83</f>
        <v>0</v>
      </c>
      <c r="K92" s="27">
        <f>INFORME!J83</f>
        <v>0</v>
      </c>
      <c r="L92" s="27">
        <f>INFORME!K83</f>
        <v>0</v>
      </c>
      <c r="M92" s="27">
        <f>INFORME!L83</f>
        <v>0</v>
      </c>
      <c r="N92" s="27">
        <f>INFORME!M83</f>
        <v>0</v>
      </c>
      <c r="O92" s="27">
        <f>INFORME!N83</f>
        <v>0</v>
      </c>
      <c r="P92" s="27">
        <f>INFORME!O83</f>
        <v>0</v>
      </c>
      <c r="Q92" s="27">
        <f>INFORME!P83</f>
        <v>0</v>
      </c>
      <c r="R92" s="27">
        <f>INFORME!Q83</f>
        <v>0</v>
      </c>
      <c r="S92" s="27">
        <f>INFORME!R83</f>
        <v>0</v>
      </c>
      <c r="T92" s="27">
        <f>SUM(H92:S92)</f>
        <v>0</v>
      </c>
      <c r="X92" s="61"/>
    </row>
    <row r="93" spans="2:24" hidden="1" x14ac:dyDescent="0.2">
      <c r="B93" s="60"/>
      <c r="E93" s="27" t="s">
        <v>1535</v>
      </c>
      <c r="F93" s="27">
        <f>+F92*$F$90</f>
        <v>0</v>
      </c>
      <c r="H93" s="27">
        <f t="shared" ref="H93:S93" si="24">+H92*$F$90</f>
        <v>0</v>
      </c>
      <c r="I93" s="27">
        <f t="shared" si="24"/>
        <v>0</v>
      </c>
      <c r="J93" s="27">
        <f t="shared" si="24"/>
        <v>0</v>
      </c>
      <c r="K93" s="27">
        <f t="shared" si="24"/>
        <v>0</v>
      </c>
      <c r="L93" s="27">
        <f t="shared" si="24"/>
        <v>0</v>
      </c>
      <c r="M93" s="27">
        <f t="shared" si="24"/>
        <v>0</v>
      </c>
      <c r="N93" s="27">
        <f t="shared" si="24"/>
        <v>0</v>
      </c>
      <c r="O93" s="27">
        <f t="shared" si="24"/>
        <v>0</v>
      </c>
      <c r="P93" s="27">
        <f t="shared" si="24"/>
        <v>0</v>
      </c>
      <c r="Q93" s="27">
        <f t="shared" si="24"/>
        <v>0</v>
      </c>
      <c r="R93" s="27">
        <f t="shared" si="24"/>
        <v>0</v>
      </c>
      <c r="S93" s="27">
        <f t="shared" si="24"/>
        <v>0</v>
      </c>
      <c r="T93" s="27">
        <f>SUM(H93:S93)</f>
        <v>0</v>
      </c>
      <c r="U93" s="27">
        <f>+IF(T92=0,0,T93/T92)</f>
        <v>0</v>
      </c>
      <c r="X93" s="61"/>
    </row>
    <row r="94" spans="2:24" hidden="1" x14ac:dyDescent="0.2">
      <c r="B94" s="60"/>
      <c r="E94" s="27" t="s">
        <v>1540</v>
      </c>
      <c r="F94" s="27">
        <f>SUM(F92:F93)</f>
        <v>0</v>
      </c>
      <c r="H94" s="27">
        <f t="shared" ref="H94:S94" si="25">SUM(H92:H93)</f>
        <v>0</v>
      </c>
      <c r="I94" s="27">
        <f t="shared" si="25"/>
        <v>0</v>
      </c>
      <c r="J94" s="27">
        <f t="shared" si="25"/>
        <v>0</v>
      </c>
      <c r="K94" s="27">
        <f t="shared" si="25"/>
        <v>0</v>
      </c>
      <c r="L94" s="27">
        <f t="shared" si="25"/>
        <v>0</v>
      </c>
      <c r="M94" s="27">
        <f t="shared" si="25"/>
        <v>0</v>
      </c>
      <c r="N94" s="27">
        <f t="shared" si="25"/>
        <v>0</v>
      </c>
      <c r="O94" s="27">
        <f t="shared" si="25"/>
        <v>0</v>
      </c>
      <c r="P94" s="27">
        <f t="shared" si="25"/>
        <v>0</v>
      </c>
      <c r="Q94" s="27">
        <f t="shared" si="25"/>
        <v>0</v>
      </c>
      <c r="R94" s="27">
        <f t="shared" si="25"/>
        <v>0</v>
      </c>
      <c r="S94" s="27">
        <f t="shared" si="25"/>
        <v>0</v>
      </c>
      <c r="X94" s="61"/>
    </row>
    <row r="95" spans="2:24" hidden="1" x14ac:dyDescent="0.2">
      <c r="B95" s="65"/>
      <c r="C95" s="66"/>
      <c r="D95" s="66"/>
      <c r="E95" s="66"/>
      <c r="F95" s="66"/>
      <c r="G95" s="66"/>
      <c r="H95" s="66"/>
      <c r="I95" s="66"/>
      <c r="J95" s="66"/>
      <c r="K95" s="66"/>
      <c r="L95" s="66"/>
      <c r="M95" s="66"/>
      <c r="N95" s="66"/>
      <c r="O95" s="66"/>
      <c r="P95" s="66"/>
      <c r="Q95" s="66"/>
      <c r="R95" s="66"/>
      <c r="S95" s="66"/>
      <c r="T95" s="66"/>
      <c r="U95" s="66"/>
      <c r="V95" s="66"/>
      <c r="W95" s="66"/>
      <c r="X95" s="67"/>
    </row>
    <row r="96" spans="2:24" hidden="1" x14ac:dyDescent="0.2">
      <c r="B96" s="62"/>
      <c r="C96" s="63"/>
      <c r="D96" s="63" t="s">
        <v>1457</v>
      </c>
      <c r="E96" s="63" t="s">
        <v>1542</v>
      </c>
      <c r="F96" s="63"/>
      <c r="G96" s="63"/>
      <c r="H96" s="63" t="s">
        <v>702</v>
      </c>
      <c r="I96" s="63"/>
      <c r="J96" s="63"/>
      <c r="K96" s="63"/>
      <c r="L96" s="63"/>
      <c r="M96" s="63"/>
      <c r="N96" s="63"/>
      <c r="O96" s="63"/>
      <c r="P96" s="63"/>
      <c r="Q96" s="63"/>
      <c r="R96" s="63"/>
      <c r="S96" s="63"/>
      <c r="T96" s="63"/>
      <c r="U96" s="63"/>
      <c r="V96" s="63"/>
      <c r="W96" s="63"/>
      <c r="X96" s="64"/>
    </row>
    <row r="97" spans="2:24" hidden="1" x14ac:dyDescent="0.2">
      <c r="B97" s="60"/>
      <c r="E97" s="27" t="s">
        <v>975</v>
      </c>
      <c r="G97" s="27" t="s">
        <v>974</v>
      </c>
      <c r="H97" s="27" t="s">
        <v>786</v>
      </c>
      <c r="X97" s="61"/>
    </row>
    <row r="98" spans="2:24" hidden="1" x14ac:dyDescent="0.2">
      <c r="B98" s="60"/>
      <c r="E98" s="27" t="str">
        <f>SANDBOX!D92</f>
        <v>Inter. depósito</v>
      </c>
      <c r="G98" s="27">
        <f>SB!$I$450</f>
        <v>0.21</v>
      </c>
      <c r="H98" s="27">
        <f>SUM(I98:T98)</f>
        <v>0</v>
      </c>
      <c r="I98" s="27">
        <f>+$G98*SANDBOX!F92</f>
        <v>0</v>
      </c>
      <c r="J98" s="27">
        <f>+$G98*SANDBOX!G92</f>
        <v>0</v>
      </c>
      <c r="K98" s="27">
        <f>+$G98*SANDBOX!H92</f>
        <v>0</v>
      </c>
      <c r="L98" s="27">
        <f>+$G98*SANDBOX!I92</f>
        <v>0</v>
      </c>
      <c r="M98" s="27">
        <f>+$G98*SANDBOX!J92</f>
        <v>0</v>
      </c>
      <c r="N98" s="27">
        <f>+$G98*SANDBOX!K92</f>
        <v>0</v>
      </c>
      <c r="O98" s="27">
        <f>+$G98*SANDBOX!L92</f>
        <v>0</v>
      </c>
      <c r="P98" s="27">
        <f>+$G98*SANDBOX!M92</f>
        <v>0</v>
      </c>
      <c r="Q98" s="27">
        <f>+$G98*SANDBOX!N92</f>
        <v>0</v>
      </c>
      <c r="R98" s="27">
        <f>+$G98*SANDBOX!O92</f>
        <v>0</v>
      </c>
      <c r="S98" s="27">
        <f>+$G98*SANDBOX!P92</f>
        <v>0</v>
      </c>
      <c r="T98" s="27">
        <f>+$G98*SANDBOX!Q92</f>
        <v>0</v>
      </c>
      <c r="X98" s="61"/>
    </row>
    <row r="99" spans="2:24" hidden="1" x14ac:dyDescent="0.2">
      <c r="B99" s="60"/>
      <c r="E99" s="27">
        <f>SANDBOX!D93</f>
        <v>0</v>
      </c>
      <c r="G99" s="27">
        <f>SB!$I$450</f>
        <v>0.21</v>
      </c>
      <c r="H99" s="27">
        <f>SUM(I99:T99)</f>
        <v>0</v>
      </c>
      <c r="I99" s="27">
        <f>+$G99*SANDBOX!F93</f>
        <v>0</v>
      </c>
      <c r="J99" s="27">
        <f>+$G99*SANDBOX!G93</f>
        <v>0</v>
      </c>
      <c r="K99" s="27">
        <f>+$G99*SANDBOX!H93</f>
        <v>0</v>
      </c>
      <c r="L99" s="27">
        <f>+$G99*SANDBOX!I93</f>
        <v>0</v>
      </c>
      <c r="M99" s="27">
        <f>+$G99*SANDBOX!J93</f>
        <v>0</v>
      </c>
      <c r="N99" s="27">
        <f>+$G99*SANDBOX!K93</f>
        <v>0</v>
      </c>
      <c r="O99" s="27">
        <f>+$G99*SANDBOX!L93</f>
        <v>0</v>
      </c>
      <c r="P99" s="27">
        <f>+$G99*SANDBOX!M93</f>
        <v>0</v>
      </c>
      <c r="Q99" s="27">
        <f>+$G99*SANDBOX!N93</f>
        <v>0</v>
      </c>
      <c r="R99" s="27">
        <f>+$G99*SANDBOX!O93</f>
        <v>0</v>
      </c>
      <c r="S99" s="27">
        <f>+$G99*SANDBOX!P93</f>
        <v>0</v>
      </c>
      <c r="T99" s="27">
        <f>+$G99*SANDBOX!Q93</f>
        <v>0</v>
      </c>
      <c r="X99" s="61"/>
    </row>
    <row r="100" spans="2:24" hidden="1" x14ac:dyDescent="0.2">
      <c r="B100" s="60"/>
      <c r="E100" s="27">
        <f>SANDBOX!D94</f>
        <v>0</v>
      </c>
      <c r="G100" s="27">
        <f>SB!$I$450</f>
        <v>0.21</v>
      </c>
      <c r="H100" s="27">
        <f>SUM(I100:T100)</f>
        <v>0</v>
      </c>
      <c r="I100" s="27">
        <f>+$G100*SANDBOX!F94</f>
        <v>0</v>
      </c>
      <c r="J100" s="27">
        <f>+$G100*SANDBOX!G94</f>
        <v>0</v>
      </c>
      <c r="K100" s="27">
        <f>+$G100*SANDBOX!H94</f>
        <v>0</v>
      </c>
      <c r="L100" s="27">
        <f>+$G100*SANDBOX!I94</f>
        <v>0</v>
      </c>
      <c r="M100" s="27">
        <f>+$G100*SANDBOX!J94</f>
        <v>0</v>
      </c>
      <c r="N100" s="27">
        <f>+$G100*SANDBOX!K94</f>
        <v>0</v>
      </c>
      <c r="O100" s="27">
        <f>+$G100*SANDBOX!L94</f>
        <v>0</v>
      </c>
      <c r="P100" s="27">
        <f>+$G100*SANDBOX!M94</f>
        <v>0</v>
      </c>
      <c r="Q100" s="27">
        <f>+$G100*SANDBOX!N94</f>
        <v>0</v>
      </c>
      <c r="R100" s="27">
        <f>+$G100*SANDBOX!O94</f>
        <v>0</v>
      </c>
      <c r="S100" s="27">
        <f>+$G100*SANDBOX!P94</f>
        <v>0</v>
      </c>
      <c r="T100" s="27">
        <f>+$G100*SANDBOX!Q94</f>
        <v>0</v>
      </c>
      <c r="X100" s="61"/>
    </row>
    <row r="101" spans="2:24" hidden="1" x14ac:dyDescent="0.2">
      <c r="B101" s="60"/>
      <c r="E101" s="27" t="s">
        <v>693</v>
      </c>
      <c r="F101" s="27">
        <f>SUM(H101:S101)</f>
        <v>0</v>
      </c>
      <c r="H101" s="27">
        <f>SANDBOX!F91</f>
        <v>0</v>
      </c>
      <c r="I101" s="27">
        <f>SANDBOX!G91</f>
        <v>0</v>
      </c>
      <c r="J101" s="27">
        <f>SANDBOX!H91</f>
        <v>0</v>
      </c>
      <c r="K101" s="27">
        <f>SANDBOX!I91</f>
        <v>0</v>
      </c>
      <c r="L101" s="27">
        <f>SANDBOX!J91</f>
        <v>0</v>
      </c>
      <c r="M101" s="27">
        <f>SANDBOX!K91</f>
        <v>0</v>
      </c>
      <c r="N101" s="27">
        <f>SANDBOX!L91</f>
        <v>0</v>
      </c>
      <c r="O101" s="27">
        <f>SANDBOX!M91</f>
        <v>0</v>
      </c>
      <c r="P101" s="27">
        <f>SANDBOX!N91</f>
        <v>0</v>
      </c>
      <c r="Q101" s="27">
        <f>SANDBOX!O91</f>
        <v>0</v>
      </c>
      <c r="R101" s="27">
        <f>SANDBOX!P91</f>
        <v>0</v>
      </c>
      <c r="S101" s="27">
        <f>SANDBOX!Q91</f>
        <v>0</v>
      </c>
      <c r="X101" s="61"/>
    </row>
    <row r="102" spans="2:24" hidden="1" x14ac:dyDescent="0.2">
      <c r="B102" s="60"/>
      <c r="E102" s="27" t="s">
        <v>1543</v>
      </c>
      <c r="F102" s="27">
        <f>SUM(H102:S102)</f>
        <v>0</v>
      </c>
      <c r="G102" s="27">
        <f>IF(F101=0,0,F102/F101)</f>
        <v>0</v>
      </c>
      <c r="H102" s="27">
        <f t="shared" ref="H102:S102" si="26">SUM(I98:I100)</f>
        <v>0</v>
      </c>
      <c r="I102" s="27">
        <f t="shared" si="26"/>
        <v>0</v>
      </c>
      <c r="J102" s="27">
        <f t="shared" si="26"/>
        <v>0</v>
      </c>
      <c r="K102" s="27">
        <f t="shared" si="26"/>
        <v>0</v>
      </c>
      <c r="L102" s="27">
        <f t="shared" si="26"/>
        <v>0</v>
      </c>
      <c r="M102" s="27">
        <f t="shared" si="26"/>
        <v>0</v>
      </c>
      <c r="N102" s="27">
        <f t="shared" si="26"/>
        <v>0</v>
      </c>
      <c r="O102" s="27">
        <f t="shared" si="26"/>
        <v>0</v>
      </c>
      <c r="P102" s="27">
        <f t="shared" si="26"/>
        <v>0</v>
      </c>
      <c r="Q102" s="27">
        <f t="shared" si="26"/>
        <v>0</v>
      </c>
      <c r="R102" s="27">
        <f t="shared" si="26"/>
        <v>0</v>
      </c>
      <c r="S102" s="27">
        <f t="shared" si="26"/>
        <v>0</v>
      </c>
      <c r="X102" s="61"/>
    </row>
    <row r="103" spans="2:24" hidden="1" x14ac:dyDescent="0.2">
      <c r="B103" s="60"/>
      <c r="E103" s="27" t="s">
        <v>1540</v>
      </c>
      <c r="F103" s="27">
        <f>+F101-F102</f>
        <v>0</v>
      </c>
      <c r="H103" s="27">
        <f t="shared" ref="H103:S103" si="27">+H101-H102</f>
        <v>0</v>
      </c>
      <c r="I103" s="27">
        <f t="shared" si="27"/>
        <v>0</v>
      </c>
      <c r="J103" s="27">
        <f t="shared" si="27"/>
        <v>0</v>
      </c>
      <c r="K103" s="27">
        <f t="shared" si="27"/>
        <v>0</v>
      </c>
      <c r="L103" s="27">
        <f t="shared" si="27"/>
        <v>0</v>
      </c>
      <c r="M103" s="27">
        <f t="shared" si="27"/>
        <v>0</v>
      </c>
      <c r="N103" s="27">
        <f t="shared" si="27"/>
        <v>0</v>
      </c>
      <c r="O103" s="27">
        <f t="shared" si="27"/>
        <v>0</v>
      </c>
      <c r="P103" s="27">
        <f t="shared" si="27"/>
        <v>0</v>
      </c>
      <c r="Q103" s="27">
        <f t="shared" si="27"/>
        <v>0</v>
      </c>
      <c r="R103" s="27">
        <f t="shared" si="27"/>
        <v>0</v>
      </c>
      <c r="S103" s="27">
        <f t="shared" si="27"/>
        <v>0</v>
      </c>
      <c r="X103" s="61"/>
    </row>
    <row r="104" spans="2:24" hidden="1" x14ac:dyDescent="0.2">
      <c r="B104" s="60"/>
      <c r="E104" s="27" t="s">
        <v>566</v>
      </c>
      <c r="X104" s="61"/>
    </row>
    <row r="105" spans="2:24" hidden="1" x14ac:dyDescent="0.2">
      <c r="B105" s="60"/>
      <c r="E105" s="27" t="str">
        <f>SANDBOX!D18</f>
        <v>Otros ingresos</v>
      </c>
      <c r="G105" s="27">
        <f>SB!$I$451</f>
        <v>0.21</v>
      </c>
      <c r="H105" s="27">
        <f>SUM(I105:T105)</f>
        <v>0</v>
      </c>
      <c r="I105" s="27">
        <f>+$G105*SANDBOX!F18</f>
        <v>0</v>
      </c>
      <c r="J105" s="27">
        <f>+$G105*SANDBOX!G18</f>
        <v>0</v>
      </c>
      <c r="K105" s="27">
        <f>+$G105*SANDBOX!H18</f>
        <v>0</v>
      </c>
      <c r="L105" s="27">
        <f>+$G105*SANDBOX!I18</f>
        <v>0</v>
      </c>
      <c r="M105" s="27">
        <f>+$G105*SANDBOX!J18</f>
        <v>0</v>
      </c>
      <c r="N105" s="27">
        <f>+$G105*SANDBOX!K18</f>
        <v>0</v>
      </c>
      <c r="O105" s="27">
        <f>+$G105*SANDBOX!L18</f>
        <v>0</v>
      </c>
      <c r="P105" s="27">
        <f>+$G105*SANDBOX!M18</f>
        <v>0</v>
      </c>
      <c r="Q105" s="27">
        <f>+$G105*SANDBOX!N18</f>
        <v>0</v>
      </c>
      <c r="R105" s="27">
        <f>+$G105*SANDBOX!O18</f>
        <v>0</v>
      </c>
      <c r="S105" s="27">
        <f>+$G105*SANDBOX!P18</f>
        <v>0</v>
      </c>
      <c r="T105" s="27">
        <f>+$G105*SANDBOX!Q18</f>
        <v>0</v>
      </c>
      <c r="X105" s="61"/>
    </row>
    <row r="106" spans="2:24" hidden="1" x14ac:dyDescent="0.2">
      <c r="B106" s="60"/>
      <c r="X106" s="61"/>
    </row>
    <row r="107" spans="2:24" hidden="1" x14ac:dyDescent="0.2">
      <c r="B107" s="60"/>
      <c r="X107" s="61"/>
    </row>
    <row r="108" spans="2:24" hidden="1" x14ac:dyDescent="0.2">
      <c r="B108" s="60"/>
      <c r="E108" s="27" t="s">
        <v>695</v>
      </c>
      <c r="F108" s="27">
        <f>SUM(H108:S108)</f>
        <v>0</v>
      </c>
      <c r="H108" s="27">
        <f>SANDBOX!F17</f>
        <v>0</v>
      </c>
      <c r="I108" s="27">
        <f>SANDBOX!G17</f>
        <v>0</v>
      </c>
      <c r="J108" s="27">
        <f>SANDBOX!H17</f>
        <v>0</v>
      </c>
      <c r="K108" s="27">
        <f>SANDBOX!I17</f>
        <v>0</v>
      </c>
      <c r="L108" s="27">
        <f>SANDBOX!J17</f>
        <v>0</v>
      </c>
      <c r="M108" s="27">
        <f>SANDBOX!K17</f>
        <v>0</v>
      </c>
      <c r="N108" s="27">
        <f>SANDBOX!L17</f>
        <v>0</v>
      </c>
      <c r="O108" s="27">
        <f>SANDBOX!M17</f>
        <v>0</v>
      </c>
      <c r="P108" s="27">
        <f>SANDBOX!N17</f>
        <v>0</v>
      </c>
      <c r="Q108" s="27">
        <f>SANDBOX!O17</f>
        <v>0</v>
      </c>
      <c r="R108" s="27">
        <f>SANDBOX!P17</f>
        <v>0</v>
      </c>
      <c r="S108" s="27">
        <f>SANDBOX!Q17</f>
        <v>0</v>
      </c>
      <c r="X108" s="61"/>
    </row>
    <row r="109" spans="2:24" hidden="1" x14ac:dyDescent="0.2">
      <c r="B109" s="60"/>
      <c r="E109" s="27" t="s">
        <v>713</v>
      </c>
      <c r="F109" s="27">
        <f>SUM(H109:S109)</f>
        <v>0</v>
      </c>
      <c r="G109" s="27">
        <f>IF(F108=0,0,F109/F108)</f>
        <v>0</v>
      </c>
      <c r="H109" s="27">
        <f t="shared" ref="H109:S109" si="28">SUM(I105:I107)</f>
        <v>0</v>
      </c>
      <c r="I109" s="27">
        <f t="shared" si="28"/>
        <v>0</v>
      </c>
      <c r="J109" s="27">
        <f t="shared" si="28"/>
        <v>0</v>
      </c>
      <c r="K109" s="27">
        <f t="shared" si="28"/>
        <v>0</v>
      </c>
      <c r="L109" s="27">
        <f t="shared" si="28"/>
        <v>0</v>
      </c>
      <c r="M109" s="27">
        <f t="shared" si="28"/>
        <v>0</v>
      </c>
      <c r="N109" s="27">
        <f t="shared" si="28"/>
        <v>0</v>
      </c>
      <c r="O109" s="27">
        <f t="shared" si="28"/>
        <v>0</v>
      </c>
      <c r="P109" s="27">
        <f t="shared" si="28"/>
        <v>0</v>
      </c>
      <c r="Q109" s="27">
        <f t="shared" si="28"/>
        <v>0</v>
      </c>
      <c r="R109" s="27">
        <f t="shared" si="28"/>
        <v>0</v>
      </c>
      <c r="S109" s="27">
        <f t="shared" si="28"/>
        <v>0</v>
      </c>
      <c r="X109" s="61"/>
    </row>
    <row r="110" spans="2:24" hidden="1" x14ac:dyDescent="0.2">
      <c r="B110" s="60"/>
      <c r="E110" s="27" t="s">
        <v>1540</v>
      </c>
      <c r="F110" s="27">
        <f>+F108+F109</f>
        <v>0</v>
      </c>
      <c r="H110" s="27">
        <f t="shared" ref="H110:S110" si="29">+H108+H109</f>
        <v>0</v>
      </c>
      <c r="I110" s="27">
        <f t="shared" si="29"/>
        <v>0</v>
      </c>
      <c r="J110" s="27">
        <f t="shared" si="29"/>
        <v>0</v>
      </c>
      <c r="K110" s="27">
        <f t="shared" si="29"/>
        <v>0</v>
      </c>
      <c r="L110" s="27">
        <f t="shared" si="29"/>
        <v>0</v>
      </c>
      <c r="M110" s="27">
        <f t="shared" si="29"/>
        <v>0</v>
      </c>
      <c r="N110" s="27">
        <f t="shared" si="29"/>
        <v>0</v>
      </c>
      <c r="O110" s="27">
        <f t="shared" si="29"/>
        <v>0</v>
      </c>
      <c r="P110" s="27">
        <f t="shared" si="29"/>
        <v>0</v>
      </c>
      <c r="Q110" s="27">
        <f t="shared" si="29"/>
        <v>0</v>
      </c>
      <c r="R110" s="27">
        <f t="shared" si="29"/>
        <v>0</v>
      </c>
      <c r="S110" s="27">
        <f t="shared" si="29"/>
        <v>0</v>
      </c>
      <c r="X110" s="61"/>
    </row>
    <row r="111" spans="2:24" hidden="1" x14ac:dyDescent="0.2">
      <c r="B111" s="65"/>
      <c r="C111" s="66"/>
      <c r="D111" s="66"/>
      <c r="E111" s="66"/>
      <c r="F111" s="66"/>
      <c r="G111" s="66"/>
      <c r="H111" s="66"/>
      <c r="I111" s="66"/>
      <c r="J111" s="66"/>
      <c r="K111" s="66"/>
      <c r="L111" s="66"/>
      <c r="M111" s="66"/>
      <c r="N111" s="66"/>
      <c r="O111" s="66"/>
      <c r="P111" s="66"/>
      <c r="Q111" s="66"/>
      <c r="R111" s="66"/>
      <c r="S111" s="66"/>
      <c r="T111" s="66"/>
      <c r="U111" s="66"/>
      <c r="V111" s="66"/>
      <c r="W111" s="66"/>
      <c r="X111" s="67"/>
    </row>
    <row r="112" spans="2:24" hidden="1" x14ac:dyDescent="0.2">
      <c r="B112" s="62"/>
      <c r="C112" s="63"/>
      <c r="D112" s="63" t="s">
        <v>1202</v>
      </c>
      <c r="E112" s="63" t="s">
        <v>841</v>
      </c>
      <c r="F112" s="63"/>
      <c r="G112" s="63"/>
      <c r="H112" s="63"/>
      <c r="I112" s="63"/>
      <c r="J112" s="63"/>
      <c r="K112" s="63"/>
      <c r="L112" s="63"/>
      <c r="M112" s="63"/>
      <c r="N112" s="63"/>
      <c r="O112" s="63"/>
      <c r="P112" s="63"/>
      <c r="Q112" s="63"/>
      <c r="R112" s="63"/>
      <c r="S112" s="63"/>
      <c r="T112" s="63"/>
      <c r="U112" s="63"/>
      <c r="V112" s="63"/>
      <c r="W112" s="63"/>
      <c r="X112" s="64"/>
    </row>
    <row r="113" spans="2:24" hidden="1" x14ac:dyDescent="0.2">
      <c r="B113" s="60"/>
      <c r="E113" s="27" t="s">
        <v>1544</v>
      </c>
      <c r="H113" s="27" t="s">
        <v>694</v>
      </c>
      <c r="X113" s="61"/>
    </row>
    <row r="114" spans="2:24" hidden="1" x14ac:dyDescent="0.2">
      <c r="B114" s="60"/>
      <c r="D114" s="27">
        <v>1</v>
      </c>
      <c r="E114" s="27" t="s">
        <v>1545</v>
      </c>
      <c r="G114" s="27">
        <f>SB!$I$459</f>
        <v>0.21</v>
      </c>
      <c r="X114" s="61"/>
    </row>
    <row r="115" spans="2:24" hidden="1" x14ac:dyDescent="0.2">
      <c r="B115" s="60"/>
      <c r="E115" s="27" t="s">
        <v>1545</v>
      </c>
      <c r="F115" s="27">
        <f>SUM(G115:S115)</f>
        <v>0</v>
      </c>
      <c r="H115" s="27">
        <f t="shared" ref="H115:S115" si="30">D20</f>
        <v>0</v>
      </c>
      <c r="I115" s="27">
        <f t="shared" si="30"/>
        <v>0</v>
      </c>
      <c r="J115" s="27">
        <f t="shared" si="30"/>
        <v>0</v>
      </c>
      <c r="K115" s="27">
        <f t="shared" si="30"/>
        <v>0</v>
      </c>
      <c r="L115" s="27">
        <f t="shared" si="30"/>
        <v>0</v>
      </c>
      <c r="M115" s="27">
        <f t="shared" si="30"/>
        <v>0</v>
      </c>
      <c r="N115" s="27">
        <f t="shared" si="30"/>
        <v>0</v>
      </c>
      <c r="O115" s="27">
        <f t="shared" si="30"/>
        <v>0</v>
      </c>
      <c r="P115" s="27">
        <f t="shared" si="30"/>
        <v>0</v>
      </c>
      <c r="Q115" s="27">
        <f t="shared" si="30"/>
        <v>0</v>
      </c>
      <c r="R115" s="27">
        <f t="shared" si="30"/>
        <v>0</v>
      </c>
      <c r="S115" s="27">
        <f t="shared" si="30"/>
        <v>0</v>
      </c>
      <c r="X115" s="61"/>
    </row>
    <row r="116" spans="2:24" hidden="1" x14ac:dyDescent="0.2">
      <c r="B116" s="60"/>
      <c r="E116" s="27" t="s">
        <v>958</v>
      </c>
      <c r="F116" s="27">
        <f>SUM(F115:F115)</f>
        <v>0</v>
      </c>
      <c r="G116" s="27">
        <f>SUM(G115:G115)</f>
        <v>0</v>
      </c>
      <c r="H116" s="27">
        <f t="shared" ref="H116:S116" si="31">SUM(H115:H115)</f>
        <v>0</v>
      </c>
      <c r="I116" s="27">
        <f t="shared" si="31"/>
        <v>0</v>
      </c>
      <c r="J116" s="27">
        <f t="shared" si="31"/>
        <v>0</v>
      </c>
      <c r="K116" s="27">
        <f t="shared" si="31"/>
        <v>0</v>
      </c>
      <c r="L116" s="27">
        <f t="shared" si="31"/>
        <v>0</v>
      </c>
      <c r="M116" s="27">
        <f t="shared" si="31"/>
        <v>0</v>
      </c>
      <c r="N116" s="27">
        <f t="shared" si="31"/>
        <v>0</v>
      </c>
      <c r="O116" s="27">
        <f t="shared" si="31"/>
        <v>0</v>
      </c>
      <c r="P116" s="27">
        <f t="shared" si="31"/>
        <v>0</v>
      </c>
      <c r="Q116" s="27">
        <f t="shared" si="31"/>
        <v>0</v>
      </c>
      <c r="R116" s="27">
        <f t="shared" si="31"/>
        <v>0</v>
      </c>
      <c r="S116" s="27">
        <f t="shared" si="31"/>
        <v>0</v>
      </c>
      <c r="X116" s="61"/>
    </row>
    <row r="117" spans="2:24" hidden="1" x14ac:dyDescent="0.2">
      <c r="B117" s="60"/>
      <c r="E117" s="27" t="s">
        <v>1543</v>
      </c>
      <c r="F117" s="27">
        <f>SUM(G117:R117)</f>
        <v>0</v>
      </c>
      <c r="G117" s="27">
        <f>+G116*$G$114</f>
        <v>0</v>
      </c>
      <c r="H117" s="27">
        <f t="shared" ref="H117:S117" si="32">+H116*$G$114</f>
        <v>0</v>
      </c>
      <c r="I117" s="27">
        <f t="shared" si="32"/>
        <v>0</v>
      </c>
      <c r="J117" s="27">
        <f t="shared" si="32"/>
        <v>0</v>
      </c>
      <c r="K117" s="27">
        <f t="shared" si="32"/>
        <v>0</v>
      </c>
      <c r="L117" s="27">
        <f t="shared" si="32"/>
        <v>0</v>
      </c>
      <c r="M117" s="27">
        <f t="shared" si="32"/>
        <v>0</v>
      </c>
      <c r="N117" s="27">
        <f t="shared" si="32"/>
        <v>0</v>
      </c>
      <c r="O117" s="27">
        <f t="shared" si="32"/>
        <v>0</v>
      </c>
      <c r="P117" s="27">
        <f t="shared" si="32"/>
        <v>0</v>
      </c>
      <c r="Q117" s="27">
        <f t="shared" si="32"/>
        <v>0</v>
      </c>
      <c r="R117" s="27">
        <f t="shared" si="32"/>
        <v>0</v>
      </c>
      <c r="S117" s="27">
        <f t="shared" si="32"/>
        <v>0</v>
      </c>
      <c r="X117" s="61"/>
    </row>
    <row r="118" spans="2:24" hidden="1" x14ac:dyDescent="0.2">
      <c r="B118" s="60"/>
      <c r="E118" s="27" t="s">
        <v>1548</v>
      </c>
      <c r="F118" s="27">
        <f>SUM(G118:S118)</f>
        <v>0</v>
      </c>
      <c r="G118" s="27">
        <f>SUM(G116:G117)</f>
        <v>0</v>
      </c>
      <c r="H118" s="27">
        <f>SUM(H116:H117)</f>
        <v>0</v>
      </c>
      <c r="I118" s="27">
        <f t="shared" ref="I118:S118" si="33">SUM(I116:I117)</f>
        <v>0</v>
      </c>
      <c r="J118" s="27">
        <f t="shared" si="33"/>
        <v>0</v>
      </c>
      <c r="K118" s="27">
        <f t="shared" si="33"/>
        <v>0</v>
      </c>
      <c r="L118" s="27">
        <f t="shared" si="33"/>
        <v>0</v>
      </c>
      <c r="M118" s="27">
        <f t="shared" si="33"/>
        <v>0</v>
      </c>
      <c r="N118" s="27">
        <f t="shared" si="33"/>
        <v>0</v>
      </c>
      <c r="O118" s="27">
        <f t="shared" si="33"/>
        <v>0</v>
      </c>
      <c r="P118" s="27">
        <f t="shared" si="33"/>
        <v>0</v>
      </c>
      <c r="Q118" s="27">
        <f t="shared" si="33"/>
        <v>0</v>
      </c>
      <c r="R118" s="27">
        <f t="shared" si="33"/>
        <v>0</v>
      </c>
      <c r="S118" s="27">
        <f t="shared" si="33"/>
        <v>0</v>
      </c>
      <c r="X118" s="61"/>
    </row>
    <row r="119" spans="2:24" hidden="1" x14ac:dyDescent="0.2">
      <c r="B119" s="60"/>
      <c r="D119" s="27">
        <v>2</v>
      </c>
      <c r="E119" s="27" t="s">
        <v>781</v>
      </c>
      <c r="H119" s="27" t="s">
        <v>1532</v>
      </c>
      <c r="I119" s="27" t="s">
        <v>1549</v>
      </c>
      <c r="J119" s="27">
        <f>SUM(F120:F122)</f>
        <v>0</v>
      </c>
      <c r="X119" s="61"/>
    </row>
    <row r="120" spans="2:24" hidden="1" x14ac:dyDescent="0.2">
      <c r="B120" s="60"/>
      <c r="E120" s="27" t="str">
        <f>SANDBOX!D39</f>
        <v xml:space="preserve"> Concepto 1</v>
      </c>
      <c r="F120" s="27">
        <f>SANDBOX!E39</f>
        <v>0</v>
      </c>
      <c r="G120" s="27">
        <f>SB!I462</f>
        <v>0.21</v>
      </c>
      <c r="H120" s="27">
        <f>+F120*G120</f>
        <v>0</v>
      </c>
      <c r="I120" s="27" t="s">
        <v>1533</v>
      </c>
      <c r="J120" s="27">
        <f>SUM(H120:H122)</f>
        <v>0</v>
      </c>
      <c r="K120" s="27" t="s">
        <v>1539</v>
      </c>
      <c r="X120" s="61"/>
    </row>
    <row r="121" spans="2:24" hidden="1" x14ac:dyDescent="0.2">
      <c r="B121" s="60"/>
      <c r="E121" s="27" t="str">
        <f>SANDBOX!D40</f>
        <v>Concepto 2</v>
      </c>
      <c r="F121" s="27">
        <f>SANDBOX!E40</f>
        <v>0</v>
      </c>
      <c r="G121" s="27">
        <f>SB!I463</f>
        <v>0.21</v>
      </c>
      <c r="H121" s="27">
        <f>+F121*G121</f>
        <v>0</v>
      </c>
      <c r="I121" s="27" t="s">
        <v>1534</v>
      </c>
      <c r="J121" s="27">
        <f>+IF(J119=0,0,J120/J119)</f>
        <v>0</v>
      </c>
      <c r="X121" s="61"/>
    </row>
    <row r="122" spans="2:24" hidden="1" x14ac:dyDescent="0.2">
      <c r="B122" s="60"/>
      <c r="E122" s="27" t="str">
        <f>SANDBOX!D41</f>
        <v>Concepto 3</v>
      </c>
      <c r="F122" s="27">
        <f>SANDBOX!E41</f>
        <v>0</v>
      </c>
      <c r="G122" s="27">
        <f>SB!I464</f>
        <v>0.21</v>
      </c>
      <c r="H122" s="27">
        <f>+F122*G122</f>
        <v>0</v>
      </c>
      <c r="X122" s="61"/>
    </row>
    <row r="123" spans="2:24" hidden="1" x14ac:dyDescent="0.2">
      <c r="B123" s="60"/>
      <c r="E123" s="27" t="s">
        <v>1550</v>
      </c>
      <c r="F123" s="27" t="s">
        <v>786</v>
      </c>
      <c r="H123" s="27">
        <v>1</v>
      </c>
      <c r="I123" s="27">
        <v>2</v>
      </c>
      <c r="J123" s="27">
        <v>3</v>
      </c>
      <c r="K123" s="27">
        <v>4</v>
      </c>
      <c r="L123" s="27">
        <v>5</v>
      </c>
      <c r="M123" s="27">
        <v>6</v>
      </c>
      <c r="N123" s="27">
        <v>7</v>
      </c>
      <c r="O123" s="27">
        <v>8</v>
      </c>
      <c r="P123" s="27">
        <v>9</v>
      </c>
      <c r="Q123" s="27">
        <v>10</v>
      </c>
      <c r="R123" s="27">
        <v>11</v>
      </c>
      <c r="S123" s="27">
        <v>12</v>
      </c>
      <c r="X123" s="61"/>
    </row>
    <row r="124" spans="2:24" hidden="1" x14ac:dyDescent="0.2">
      <c r="B124" s="60"/>
      <c r="E124" s="27" t="s">
        <v>1553</v>
      </c>
      <c r="F124" s="27">
        <f>SUM(H124:S124)</f>
        <v>0</v>
      </c>
      <c r="H124" s="27">
        <f>SANDBOX!F38</f>
        <v>0</v>
      </c>
      <c r="I124" s="27">
        <f>SANDBOX!G38</f>
        <v>0</v>
      </c>
      <c r="J124" s="27">
        <f>SANDBOX!H38</f>
        <v>0</v>
      </c>
      <c r="K124" s="27">
        <f>SANDBOX!I38</f>
        <v>0</v>
      </c>
      <c r="L124" s="27">
        <f>SANDBOX!J38</f>
        <v>0</v>
      </c>
      <c r="M124" s="27">
        <f>SANDBOX!K38</f>
        <v>0</v>
      </c>
      <c r="N124" s="27">
        <f>SANDBOX!L38</f>
        <v>0</v>
      </c>
      <c r="O124" s="27">
        <f>SANDBOX!M38</f>
        <v>0</v>
      </c>
      <c r="P124" s="27">
        <f>SANDBOX!N38</f>
        <v>0</v>
      </c>
      <c r="Q124" s="27">
        <f>SANDBOX!O38</f>
        <v>0</v>
      </c>
      <c r="R124" s="27">
        <f>SANDBOX!P38</f>
        <v>0</v>
      </c>
      <c r="S124" s="27">
        <f>SANDBOX!Q38</f>
        <v>0</v>
      </c>
      <c r="X124" s="61"/>
    </row>
    <row r="125" spans="2:24" hidden="1" x14ac:dyDescent="0.2">
      <c r="B125" s="60"/>
      <c r="E125" s="27" t="s">
        <v>1543</v>
      </c>
      <c r="F125" s="27">
        <f>SUM(H125:S125)</f>
        <v>0</v>
      </c>
      <c r="H125" s="27">
        <f t="shared" ref="H125:S125" si="34">+H124*$J$121</f>
        <v>0</v>
      </c>
      <c r="I125" s="27">
        <f t="shared" si="34"/>
        <v>0</v>
      </c>
      <c r="J125" s="27">
        <f t="shared" si="34"/>
        <v>0</v>
      </c>
      <c r="K125" s="27">
        <f t="shared" si="34"/>
        <v>0</v>
      </c>
      <c r="L125" s="27">
        <f t="shared" si="34"/>
        <v>0</v>
      </c>
      <c r="M125" s="27">
        <f t="shared" si="34"/>
        <v>0</v>
      </c>
      <c r="N125" s="27">
        <f t="shared" si="34"/>
        <v>0</v>
      </c>
      <c r="O125" s="27">
        <f t="shared" si="34"/>
        <v>0</v>
      </c>
      <c r="P125" s="27">
        <f t="shared" si="34"/>
        <v>0</v>
      </c>
      <c r="Q125" s="27">
        <f t="shared" si="34"/>
        <v>0</v>
      </c>
      <c r="R125" s="27">
        <f t="shared" si="34"/>
        <v>0</v>
      </c>
      <c r="S125" s="27">
        <f t="shared" si="34"/>
        <v>0</v>
      </c>
      <c r="X125" s="61"/>
    </row>
    <row r="126" spans="2:24" hidden="1" x14ac:dyDescent="0.2">
      <c r="B126" s="60"/>
      <c r="E126" s="27" t="s">
        <v>1548</v>
      </c>
      <c r="F126" s="27">
        <f>SUM(H126:S126)</f>
        <v>0</v>
      </c>
      <c r="H126" s="27">
        <f t="shared" ref="H126:S126" si="35">SUM(H124:H125)</f>
        <v>0</v>
      </c>
      <c r="I126" s="27">
        <f t="shared" si="35"/>
        <v>0</v>
      </c>
      <c r="J126" s="27">
        <f t="shared" si="35"/>
        <v>0</v>
      </c>
      <c r="K126" s="27">
        <f t="shared" si="35"/>
        <v>0</v>
      </c>
      <c r="L126" s="27">
        <f t="shared" si="35"/>
        <v>0</v>
      </c>
      <c r="M126" s="27">
        <f t="shared" si="35"/>
        <v>0</v>
      </c>
      <c r="N126" s="27">
        <f t="shared" si="35"/>
        <v>0</v>
      </c>
      <c r="O126" s="27">
        <f t="shared" si="35"/>
        <v>0</v>
      </c>
      <c r="P126" s="27">
        <f t="shared" si="35"/>
        <v>0</v>
      </c>
      <c r="Q126" s="27">
        <f t="shared" si="35"/>
        <v>0</v>
      </c>
      <c r="R126" s="27">
        <f t="shared" si="35"/>
        <v>0</v>
      </c>
      <c r="S126" s="27">
        <f t="shared" si="35"/>
        <v>0</v>
      </c>
      <c r="X126" s="61"/>
    </row>
    <row r="127" spans="2:24" hidden="1" x14ac:dyDescent="0.2">
      <c r="B127" s="60"/>
      <c r="D127" s="27">
        <v>3</v>
      </c>
      <c r="E127" s="27" t="s">
        <v>1398</v>
      </c>
      <c r="G127" s="27">
        <f>SB!$I$492</f>
        <v>0.21</v>
      </c>
      <c r="X127" s="61"/>
    </row>
    <row r="128" spans="2:24" hidden="1" x14ac:dyDescent="0.2">
      <c r="B128" s="60"/>
      <c r="E128" s="27" t="s">
        <v>1550</v>
      </c>
      <c r="F128" s="27" t="s">
        <v>786</v>
      </c>
      <c r="G128" s="27">
        <v>1</v>
      </c>
      <c r="H128" s="27">
        <v>2</v>
      </c>
      <c r="I128" s="27">
        <v>3</v>
      </c>
      <c r="J128" s="27">
        <v>4</v>
      </c>
      <c r="K128" s="27">
        <v>5</v>
      </c>
      <c r="L128" s="27">
        <v>6</v>
      </c>
      <c r="M128" s="27">
        <v>7</v>
      </c>
      <c r="N128" s="27">
        <v>8</v>
      </c>
      <c r="O128" s="27">
        <v>9</v>
      </c>
      <c r="P128" s="27">
        <v>10</v>
      </c>
      <c r="Q128" s="27">
        <v>11</v>
      </c>
      <c r="R128" s="27">
        <v>12</v>
      </c>
      <c r="X128" s="61"/>
    </row>
    <row r="129" spans="2:24" hidden="1" x14ac:dyDescent="0.2">
      <c r="B129" s="60"/>
      <c r="E129" s="27" t="s">
        <v>1553</v>
      </c>
      <c r="F129" s="27">
        <f>SUM(H129:S129)</f>
        <v>0</v>
      </c>
      <c r="H129" s="27">
        <f>INFORME!G99</f>
        <v>0</v>
      </c>
      <c r="I129" s="27">
        <f>INFORME!H99</f>
        <v>0</v>
      </c>
      <c r="J129" s="27">
        <f>INFORME!I99</f>
        <v>0</v>
      </c>
      <c r="K129" s="27">
        <f>INFORME!J99</f>
        <v>0</v>
      </c>
      <c r="L129" s="27">
        <f>INFORME!K99</f>
        <v>0</v>
      </c>
      <c r="M129" s="27">
        <f>INFORME!L99</f>
        <v>0</v>
      </c>
      <c r="N129" s="27">
        <f>INFORME!M99</f>
        <v>0</v>
      </c>
      <c r="O129" s="27">
        <f>INFORME!N99</f>
        <v>0</v>
      </c>
      <c r="P129" s="27">
        <f>INFORME!O99</f>
        <v>0</v>
      </c>
      <c r="Q129" s="27">
        <f>INFORME!P99</f>
        <v>0</v>
      </c>
      <c r="R129" s="27">
        <f>INFORME!Q99</f>
        <v>0</v>
      </c>
      <c r="S129" s="27">
        <f>INFORME!R99</f>
        <v>0</v>
      </c>
      <c r="X129" s="61"/>
    </row>
    <row r="130" spans="2:24" hidden="1" x14ac:dyDescent="0.2">
      <c r="B130" s="60"/>
      <c r="E130" s="27" t="s">
        <v>1543</v>
      </c>
      <c r="F130" s="27">
        <f>SUM(H130:S130)</f>
        <v>0</v>
      </c>
      <c r="H130" s="27">
        <f t="shared" ref="H130:S130" si="36">+H129*$G$127</f>
        <v>0</v>
      </c>
      <c r="I130" s="27">
        <f t="shared" si="36"/>
        <v>0</v>
      </c>
      <c r="J130" s="27">
        <f t="shared" si="36"/>
        <v>0</v>
      </c>
      <c r="K130" s="27">
        <f t="shared" si="36"/>
        <v>0</v>
      </c>
      <c r="L130" s="27">
        <f t="shared" si="36"/>
        <v>0</v>
      </c>
      <c r="M130" s="27">
        <f t="shared" si="36"/>
        <v>0</v>
      </c>
      <c r="N130" s="27">
        <f t="shared" si="36"/>
        <v>0</v>
      </c>
      <c r="O130" s="27">
        <f t="shared" si="36"/>
        <v>0</v>
      </c>
      <c r="P130" s="27">
        <f t="shared" si="36"/>
        <v>0</v>
      </c>
      <c r="Q130" s="27">
        <f t="shared" si="36"/>
        <v>0</v>
      </c>
      <c r="R130" s="27">
        <f t="shared" si="36"/>
        <v>0</v>
      </c>
      <c r="S130" s="27">
        <f t="shared" si="36"/>
        <v>0</v>
      </c>
      <c r="X130" s="61"/>
    </row>
    <row r="131" spans="2:24" hidden="1" x14ac:dyDescent="0.2">
      <c r="B131" s="60"/>
      <c r="E131" s="27" t="s">
        <v>1548</v>
      </c>
      <c r="F131" s="27">
        <f>SUM(H131:S131)</f>
        <v>0</v>
      </c>
      <c r="H131" s="27">
        <f t="shared" ref="H131:S131" si="37">SUM(H129:H130)</f>
        <v>0</v>
      </c>
      <c r="I131" s="27">
        <f t="shared" si="37"/>
        <v>0</v>
      </c>
      <c r="J131" s="27">
        <f t="shared" si="37"/>
        <v>0</v>
      </c>
      <c r="K131" s="27">
        <f t="shared" si="37"/>
        <v>0</v>
      </c>
      <c r="L131" s="27">
        <f t="shared" si="37"/>
        <v>0</v>
      </c>
      <c r="M131" s="27">
        <f t="shared" si="37"/>
        <v>0</v>
      </c>
      <c r="N131" s="27">
        <f t="shared" si="37"/>
        <v>0</v>
      </c>
      <c r="O131" s="27">
        <f t="shared" si="37"/>
        <v>0</v>
      </c>
      <c r="P131" s="27">
        <f t="shared" si="37"/>
        <v>0</v>
      </c>
      <c r="Q131" s="27">
        <f t="shared" si="37"/>
        <v>0</v>
      </c>
      <c r="R131" s="27">
        <f t="shared" si="37"/>
        <v>0</v>
      </c>
      <c r="S131" s="27">
        <f t="shared" si="37"/>
        <v>0</v>
      </c>
      <c r="X131" s="61"/>
    </row>
    <row r="132" spans="2:24" hidden="1" x14ac:dyDescent="0.2">
      <c r="B132" s="60"/>
      <c r="D132" s="27">
        <v>4</v>
      </c>
      <c r="E132" s="27" t="str">
        <f>SANDBOX!$D$48</f>
        <v xml:space="preserve">Publicidad </v>
      </c>
      <c r="H132" s="27" t="s">
        <v>1532</v>
      </c>
      <c r="I132" s="27" t="s">
        <v>1549</v>
      </c>
      <c r="J132" s="27">
        <f>$F$133</f>
        <v>0</v>
      </c>
      <c r="X132" s="61"/>
    </row>
    <row r="133" spans="2:24" hidden="1" x14ac:dyDescent="0.2">
      <c r="B133" s="60"/>
      <c r="E133" s="27" t="str">
        <f>SANDBOX!D49</f>
        <v xml:space="preserve">Publicidad </v>
      </c>
      <c r="F133" s="27">
        <f>SANDBOX!E49</f>
        <v>0</v>
      </c>
      <c r="G133" s="27">
        <f>SB!I495</f>
        <v>0.21</v>
      </c>
      <c r="H133" s="27">
        <f>+F133*G133</f>
        <v>0</v>
      </c>
      <c r="I133" s="27" t="s">
        <v>1533</v>
      </c>
      <c r="J133" s="27">
        <f>$H$133</f>
        <v>0</v>
      </c>
      <c r="K133" s="27" t="s">
        <v>1539</v>
      </c>
      <c r="M133" s="27" t="s">
        <v>1534</v>
      </c>
      <c r="N133" s="27">
        <f>+IF(J132=0,0,J133/J132)</f>
        <v>0</v>
      </c>
      <c r="X133" s="61"/>
    </row>
    <row r="134" spans="2:24" hidden="1" x14ac:dyDescent="0.2">
      <c r="B134" s="60"/>
      <c r="E134" s="27" t="s">
        <v>1550</v>
      </c>
      <c r="F134" s="27" t="s">
        <v>786</v>
      </c>
      <c r="H134" s="27">
        <v>1</v>
      </c>
      <c r="I134" s="27">
        <v>2</v>
      </c>
      <c r="J134" s="27">
        <v>3</v>
      </c>
      <c r="K134" s="27">
        <v>4</v>
      </c>
      <c r="L134" s="27">
        <v>5</v>
      </c>
      <c r="M134" s="27">
        <v>6</v>
      </c>
      <c r="N134" s="27">
        <v>7</v>
      </c>
      <c r="O134" s="27">
        <v>8</v>
      </c>
      <c r="P134" s="27">
        <v>9</v>
      </c>
      <c r="Q134" s="27">
        <v>10</v>
      </c>
      <c r="R134" s="27">
        <v>11</v>
      </c>
      <c r="S134" s="27">
        <v>12</v>
      </c>
      <c r="X134" s="61"/>
    </row>
    <row r="135" spans="2:24" hidden="1" x14ac:dyDescent="0.2">
      <c r="B135" s="60"/>
      <c r="E135" s="27" t="s">
        <v>1553</v>
      </c>
      <c r="F135" s="27">
        <f>SUM(H135:S135)</f>
        <v>0</v>
      </c>
      <c r="H135" s="27">
        <f>SANDBOX!F48</f>
        <v>0</v>
      </c>
      <c r="I135" s="27">
        <f>SANDBOX!G48</f>
        <v>0</v>
      </c>
      <c r="J135" s="27">
        <f>SANDBOX!H48</f>
        <v>0</v>
      </c>
      <c r="K135" s="27">
        <f>SANDBOX!I48</f>
        <v>0</v>
      </c>
      <c r="L135" s="27">
        <f>SANDBOX!J48</f>
        <v>0</v>
      </c>
      <c r="M135" s="27">
        <f>SANDBOX!K48</f>
        <v>0</v>
      </c>
      <c r="N135" s="27">
        <f>SANDBOX!L48</f>
        <v>0</v>
      </c>
      <c r="O135" s="27">
        <f>SANDBOX!M48</f>
        <v>0</v>
      </c>
      <c r="P135" s="27">
        <f>SANDBOX!N48</f>
        <v>0</v>
      </c>
      <c r="Q135" s="27">
        <f>SANDBOX!O48</f>
        <v>0</v>
      </c>
      <c r="R135" s="27">
        <f>SANDBOX!P48</f>
        <v>0</v>
      </c>
      <c r="S135" s="27">
        <f>SANDBOX!Q48</f>
        <v>0</v>
      </c>
      <c r="X135" s="61"/>
    </row>
    <row r="136" spans="2:24" hidden="1" x14ac:dyDescent="0.2">
      <c r="B136" s="60"/>
      <c r="E136" s="27" t="s">
        <v>1543</v>
      </c>
      <c r="F136" s="27">
        <f>SUM(H136:S136)</f>
        <v>0</v>
      </c>
      <c r="H136" s="27">
        <f t="shared" ref="H136:S136" si="38">+H135*$N$133</f>
        <v>0</v>
      </c>
      <c r="I136" s="27">
        <f t="shared" si="38"/>
        <v>0</v>
      </c>
      <c r="J136" s="27">
        <f t="shared" si="38"/>
        <v>0</v>
      </c>
      <c r="K136" s="27">
        <f t="shared" si="38"/>
        <v>0</v>
      </c>
      <c r="L136" s="27">
        <f t="shared" si="38"/>
        <v>0</v>
      </c>
      <c r="M136" s="27">
        <f t="shared" si="38"/>
        <v>0</v>
      </c>
      <c r="N136" s="27">
        <f t="shared" si="38"/>
        <v>0</v>
      </c>
      <c r="O136" s="27">
        <f t="shared" si="38"/>
        <v>0</v>
      </c>
      <c r="P136" s="27">
        <f t="shared" si="38"/>
        <v>0</v>
      </c>
      <c r="Q136" s="27">
        <f t="shared" si="38"/>
        <v>0</v>
      </c>
      <c r="R136" s="27">
        <f t="shared" si="38"/>
        <v>0</v>
      </c>
      <c r="S136" s="27">
        <f t="shared" si="38"/>
        <v>0</v>
      </c>
      <c r="X136" s="61"/>
    </row>
    <row r="137" spans="2:24" hidden="1" x14ac:dyDescent="0.2">
      <c r="B137" s="60"/>
      <c r="E137" s="27" t="s">
        <v>1548</v>
      </c>
      <c r="F137" s="27">
        <f>SUM(H137:S137)</f>
        <v>0</v>
      </c>
      <c r="H137" s="27">
        <f t="shared" ref="H137:S137" si="39">SUM(H135:H136)</f>
        <v>0</v>
      </c>
      <c r="I137" s="27">
        <f t="shared" si="39"/>
        <v>0</v>
      </c>
      <c r="J137" s="27">
        <f t="shared" si="39"/>
        <v>0</v>
      </c>
      <c r="K137" s="27">
        <f t="shared" si="39"/>
        <v>0</v>
      </c>
      <c r="L137" s="27">
        <f t="shared" si="39"/>
        <v>0</v>
      </c>
      <c r="M137" s="27">
        <f t="shared" si="39"/>
        <v>0</v>
      </c>
      <c r="N137" s="27">
        <f t="shared" si="39"/>
        <v>0</v>
      </c>
      <c r="O137" s="27">
        <f t="shared" si="39"/>
        <v>0</v>
      </c>
      <c r="P137" s="27">
        <f t="shared" si="39"/>
        <v>0</v>
      </c>
      <c r="Q137" s="27">
        <f t="shared" si="39"/>
        <v>0</v>
      </c>
      <c r="R137" s="27">
        <f t="shared" si="39"/>
        <v>0</v>
      </c>
      <c r="S137" s="27">
        <f t="shared" si="39"/>
        <v>0</v>
      </c>
      <c r="X137" s="61"/>
    </row>
    <row r="138" spans="2:24" hidden="1" x14ac:dyDescent="0.2">
      <c r="B138" s="60"/>
      <c r="D138" s="27">
        <v>5</v>
      </c>
      <c r="E138" s="27" t="s">
        <v>567</v>
      </c>
      <c r="H138" s="27" t="s">
        <v>1532</v>
      </c>
      <c r="I138" s="27" t="s">
        <v>1549</v>
      </c>
      <c r="J138" s="27">
        <f>$F$139</f>
        <v>0</v>
      </c>
      <c r="X138" s="61"/>
    </row>
    <row r="139" spans="2:24" hidden="1" x14ac:dyDescent="0.2">
      <c r="B139" s="60"/>
      <c r="E139" s="27" t="str">
        <f>SANDBOX!D52</f>
        <v>Relaciones Púb.</v>
      </c>
      <c r="F139" s="27">
        <f>SANDBOX!E52</f>
        <v>0</v>
      </c>
      <c r="G139" s="27">
        <f>SB!I526</f>
        <v>0.21</v>
      </c>
      <c r="H139" s="27">
        <f>+F139*G139</f>
        <v>0</v>
      </c>
      <c r="I139" s="27" t="s">
        <v>1533</v>
      </c>
      <c r="J139" s="27">
        <f>$H$139</f>
        <v>0</v>
      </c>
      <c r="K139" s="27" t="s">
        <v>1539</v>
      </c>
      <c r="M139" s="27" t="s">
        <v>1534</v>
      </c>
      <c r="N139" s="27">
        <f>+IF(J138=0,0,J139/J138)</f>
        <v>0</v>
      </c>
      <c r="X139" s="61"/>
    </row>
    <row r="140" spans="2:24" hidden="1" x14ac:dyDescent="0.2">
      <c r="B140" s="60"/>
      <c r="E140" s="27" t="s">
        <v>1550</v>
      </c>
      <c r="F140" s="27" t="s">
        <v>786</v>
      </c>
      <c r="H140" s="27">
        <v>1</v>
      </c>
      <c r="I140" s="27">
        <v>2</v>
      </c>
      <c r="J140" s="27">
        <v>3</v>
      </c>
      <c r="K140" s="27">
        <v>4</v>
      </c>
      <c r="L140" s="27">
        <v>5</v>
      </c>
      <c r="M140" s="27">
        <v>6</v>
      </c>
      <c r="N140" s="27">
        <v>7</v>
      </c>
      <c r="O140" s="27">
        <v>8</v>
      </c>
      <c r="P140" s="27">
        <v>9</v>
      </c>
      <c r="Q140" s="27">
        <v>10</v>
      </c>
      <c r="R140" s="27">
        <v>11</v>
      </c>
      <c r="S140" s="27">
        <v>12</v>
      </c>
      <c r="X140" s="61"/>
    </row>
    <row r="141" spans="2:24" hidden="1" x14ac:dyDescent="0.2">
      <c r="B141" s="60"/>
      <c r="E141" s="27" t="s">
        <v>1553</v>
      </c>
      <c r="F141" s="27">
        <f>SUM(H141:S141)</f>
        <v>0</v>
      </c>
      <c r="H141" s="27">
        <f>SANDBOX!F51</f>
        <v>0</v>
      </c>
      <c r="I141" s="27">
        <f>SANDBOX!G51</f>
        <v>0</v>
      </c>
      <c r="J141" s="27">
        <f>SANDBOX!H51</f>
        <v>0</v>
      </c>
      <c r="K141" s="27">
        <f>SANDBOX!I51</f>
        <v>0</v>
      </c>
      <c r="L141" s="27">
        <f>SANDBOX!J51</f>
        <v>0</v>
      </c>
      <c r="M141" s="27">
        <f>SANDBOX!K51</f>
        <v>0</v>
      </c>
      <c r="N141" s="27">
        <f>SANDBOX!L51</f>
        <v>0</v>
      </c>
      <c r="O141" s="27">
        <f>SANDBOX!M51</f>
        <v>0</v>
      </c>
      <c r="P141" s="27">
        <f>SANDBOX!N51</f>
        <v>0</v>
      </c>
      <c r="Q141" s="27">
        <f>SANDBOX!O51</f>
        <v>0</v>
      </c>
      <c r="R141" s="27">
        <f>SANDBOX!P51</f>
        <v>0</v>
      </c>
      <c r="S141" s="27">
        <f>SANDBOX!Q51</f>
        <v>0</v>
      </c>
      <c r="X141" s="61"/>
    </row>
    <row r="142" spans="2:24" hidden="1" x14ac:dyDescent="0.2">
      <c r="B142" s="60"/>
      <c r="E142" s="27" t="s">
        <v>1543</v>
      </c>
      <c r="F142" s="27">
        <f>SUM(H142:S142)</f>
        <v>0</v>
      </c>
      <c r="H142" s="27">
        <f t="shared" ref="H142:S142" si="40">+H141*$N$139</f>
        <v>0</v>
      </c>
      <c r="I142" s="27">
        <f t="shared" si="40"/>
        <v>0</v>
      </c>
      <c r="J142" s="27">
        <f t="shared" si="40"/>
        <v>0</v>
      </c>
      <c r="K142" s="27">
        <f t="shared" si="40"/>
        <v>0</v>
      </c>
      <c r="L142" s="27">
        <f t="shared" si="40"/>
        <v>0</v>
      </c>
      <c r="M142" s="27">
        <f t="shared" si="40"/>
        <v>0</v>
      </c>
      <c r="N142" s="27">
        <f t="shared" si="40"/>
        <v>0</v>
      </c>
      <c r="O142" s="27">
        <f t="shared" si="40"/>
        <v>0</v>
      </c>
      <c r="P142" s="27">
        <f t="shared" si="40"/>
        <v>0</v>
      </c>
      <c r="Q142" s="27">
        <f t="shared" si="40"/>
        <v>0</v>
      </c>
      <c r="R142" s="27">
        <f t="shared" si="40"/>
        <v>0</v>
      </c>
      <c r="S142" s="27">
        <f t="shared" si="40"/>
        <v>0</v>
      </c>
      <c r="X142" s="61"/>
    </row>
    <row r="143" spans="2:24" hidden="1" x14ac:dyDescent="0.2">
      <c r="B143" s="60"/>
      <c r="E143" s="27" t="s">
        <v>1548</v>
      </c>
      <c r="F143" s="27">
        <f>SUM(H143:S143)</f>
        <v>0</v>
      </c>
      <c r="H143" s="27">
        <f t="shared" ref="H143:S143" si="41">SUM(H141:H142)</f>
        <v>0</v>
      </c>
      <c r="I143" s="27">
        <f t="shared" si="41"/>
        <v>0</v>
      </c>
      <c r="J143" s="27">
        <f t="shared" si="41"/>
        <v>0</v>
      </c>
      <c r="K143" s="27">
        <f t="shared" si="41"/>
        <v>0</v>
      </c>
      <c r="L143" s="27">
        <f t="shared" si="41"/>
        <v>0</v>
      </c>
      <c r="M143" s="27">
        <f t="shared" si="41"/>
        <v>0</v>
      </c>
      <c r="N143" s="27">
        <f t="shared" si="41"/>
        <v>0</v>
      </c>
      <c r="O143" s="27">
        <f t="shared" si="41"/>
        <v>0</v>
      </c>
      <c r="P143" s="27">
        <f t="shared" si="41"/>
        <v>0</v>
      </c>
      <c r="Q143" s="27">
        <f t="shared" si="41"/>
        <v>0</v>
      </c>
      <c r="R143" s="27">
        <f t="shared" si="41"/>
        <v>0</v>
      </c>
      <c r="S143" s="27">
        <f t="shared" si="41"/>
        <v>0</v>
      </c>
      <c r="X143" s="61"/>
    </row>
    <row r="144" spans="2:24" hidden="1" x14ac:dyDescent="0.2">
      <c r="B144" s="60"/>
      <c r="D144" s="27">
        <v>6</v>
      </c>
      <c r="E144" s="27" t="s">
        <v>782</v>
      </c>
      <c r="G144" s="27">
        <f>SB!$I$556</f>
        <v>0.21</v>
      </c>
      <c r="X144" s="61"/>
    </row>
    <row r="145" spans="2:24" hidden="1" x14ac:dyDescent="0.2">
      <c r="B145" s="60"/>
      <c r="E145" s="27" t="s">
        <v>1550</v>
      </c>
      <c r="F145" s="27" t="s">
        <v>786</v>
      </c>
      <c r="H145" s="27">
        <v>1</v>
      </c>
      <c r="I145" s="27">
        <v>2</v>
      </c>
      <c r="J145" s="27">
        <v>3</v>
      </c>
      <c r="K145" s="27">
        <v>4</v>
      </c>
      <c r="L145" s="27">
        <v>5</v>
      </c>
      <c r="M145" s="27">
        <v>6</v>
      </c>
      <c r="N145" s="27">
        <v>7</v>
      </c>
      <c r="O145" s="27">
        <v>8</v>
      </c>
      <c r="P145" s="27">
        <v>9</v>
      </c>
      <c r="Q145" s="27">
        <v>10</v>
      </c>
      <c r="R145" s="27">
        <v>11</v>
      </c>
      <c r="S145" s="27">
        <v>12</v>
      </c>
      <c r="X145" s="61"/>
    </row>
    <row r="146" spans="2:24" hidden="1" x14ac:dyDescent="0.2">
      <c r="B146" s="60"/>
      <c r="E146" s="27" t="s">
        <v>1553</v>
      </c>
      <c r="F146" s="27">
        <f>SUM(H146:S146)</f>
        <v>0</v>
      </c>
      <c r="H146" s="27">
        <f>SANDBOX!F58</f>
        <v>0</v>
      </c>
      <c r="I146" s="27">
        <f>SANDBOX!G58</f>
        <v>0</v>
      </c>
      <c r="J146" s="27">
        <f>SANDBOX!H58</f>
        <v>0</v>
      </c>
      <c r="K146" s="27">
        <f>SANDBOX!I58</f>
        <v>0</v>
      </c>
      <c r="L146" s="27">
        <f>SANDBOX!J58</f>
        <v>0</v>
      </c>
      <c r="M146" s="27">
        <f>SANDBOX!K58</f>
        <v>0</v>
      </c>
      <c r="N146" s="27">
        <f>SANDBOX!L58</f>
        <v>0</v>
      </c>
      <c r="O146" s="27">
        <f>SANDBOX!M58</f>
        <v>0</v>
      </c>
      <c r="P146" s="27">
        <f>SANDBOX!N58</f>
        <v>0</v>
      </c>
      <c r="Q146" s="27">
        <f>SANDBOX!O58</f>
        <v>0</v>
      </c>
      <c r="R146" s="27">
        <f>SANDBOX!P58</f>
        <v>0</v>
      </c>
      <c r="S146" s="27">
        <f>SANDBOX!Q58</f>
        <v>0</v>
      </c>
      <c r="X146" s="61"/>
    </row>
    <row r="147" spans="2:24" hidden="1" x14ac:dyDescent="0.2">
      <c r="B147" s="60"/>
      <c r="E147" s="27" t="s">
        <v>1543</v>
      </c>
      <c r="F147" s="27">
        <f>SUM(H147:S147)</f>
        <v>0</v>
      </c>
      <c r="H147" s="27">
        <f t="shared" ref="H147:S147" si="42">+H146*$G144</f>
        <v>0</v>
      </c>
      <c r="I147" s="27">
        <f t="shared" si="42"/>
        <v>0</v>
      </c>
      <c r="J147" s="27">
        <f t="shared" si="42"/>
        <v>0</v>
      </c>
      <c r="K147" s="27">
        <f t="shared" si="42"/>
        <v>0</v>
      </c>
      <c r="L147" s="27">
        <f t="shared" si="42"/>
        <v>0</v>
      </c>
      <c r="M147" s="27">
        <f t="shared" si="42"/>
        <v>0</v>
      </c>
      <c r="N147" s="27">
        <f t="shared" si="42"/>
        <v>0</v>
      </c>
      <c r="O147" s="27">
        <f t="shared" si="42"/>
        <v>0</v>
      </c>
      <c r="P147" s="27">
        <f t="shared" si="42"/>
        <v>0</v>
      </c>
      <c r="Q147" s="27">
        <f t="shared" si="42"/>
        <v>0</v>
      </c>
      <c r="R147" s="27">
        <f t="shared" si="42"/>
        <v>0</v>
      </c>
      <c r="S147" s="27">
        <f t="shared" si="42"/>
        <v>0</v>
      </c>
      <c r="X147" s="61"/>
    </row>
    <row r="148" spans="2:24" hidden="1" x14ac:dyDescent="0.2">
      <c r="B148" s="60"/>
      <c r="E148" s="27" t="s">
        <v>1548</v>
      </c>
      <c r="F148" s="27">
        <f>SUM(H148:S148)</f>
        <v>0</v>
      </c>
      <c r="H148" s="27">
        <f t="shared" ref="H148:S148" si="43">SUM(H146:H147)</f>
        <v>0</v>
      </c>
      <c r="I148" s="27">
        <f t="shared" si="43"/>
        <v>0</v>
      </c>
      <c r="J148" s="27">
        <f t="shared" si="43"/>
        <v>0</v>
      </c>
      <c r="K148" s="27">
        <f t="shared" si="43"/>
        <v>0</v>
      </c>
      <c r="L148" s="27">
        <f t="shared" si="43"/>
        <v>0</v>
      </c>
      <c r="M148" s="27">
        <f t="shared" si="43"/>
        <v>0</v>
      </c>
      <c r="N148" s="27">
        <f t="shared" si="43"/>
        <v>0</v>
      </c>
      <c r="O148" s="27">
        <f t="shared" si="43"/>
        <v>0</v>
      </c>
      <c r="P148" s="27">
        <f t="shared" si="43"/>
        <v>0</v>
      </c>
      <c r="Q148" s="27">
        <f t="shared" si="43"/>
        <v>0</v>
      </c>
      <c r="R148" s="27">
        <f t="shared" si="43"/>
        <v>0</v>
      </c>
      <c r="S148" s="27">
        <f t="shared" si="43"/>
        <v>0</v>
      </c>
      <c r="X148" s="61"/>
    </row>
    <row r="149" spans="2:24" hidden="1" x14ac:dyDescent="0.2">
      <c r="B149" s="60"/>
      <c r="D149" s="27">
        <v>7</v>
      </c>
      <c r="E149" s="27" t="s">
        <v>568</v>
      </c>
      <c r="G149" s="27">
        <f>SB!$I$558</f>
        <v>0.21</v>
      </c>
      <c r="X149" s="61"/>
    </row>
    <row r="150" spans="2:24" hidden="1" x14ac:dyDescent="0.2">
      <c r="B150" s="60"/>
      <c r="E150" s="27" t="s">
        <v>1550</v>
      </c>
      <c r="F150" s="27" t="s">
        <v>786</v>
      </c>
      <c r="H150" s="27">
        <v>1</v>
      </c>
      <c r="I150" s="27">
        <v>2</v>
      </c>
      <c r="J150" s="27">
        <v>3</v>
      </c>
      <c r="K150" s="27">
        <v>4</v>
      </c>
      <c r="L150" s="27">
        <v>5</v>
      </c>
      <c r="M150" s="27">
        <v>6</v>
      </c>
      <c r="N150" s="27">
        <v>7</v>
      </c>
      <c r="O150" s="27">
        <v>8</v>
      </c>
      <c r="P150" s="27">
        <v>9</v>
      </c>
      <c r="Q150" s="27">
        <v>10</v>
      </c>
      <c r="R150" s="27">
        <v>11</v>
      </c>
      <c r="S150" s="27">
        <v>12</v>
      </c>
      <c r="X150" s="61"/>
    </row>
    <row r="151" spans="2:24" hidden="1" x14ac:dyDescent="0.2">
      <c r="B151" s="60"/>
      <c r="E151" s="27" t="s">
        <v>1553</v>
      </c>
      <c r="F151" s="27">
        <f>SUM(H151:S151)</f>
        <v>0</v>
      </c>
      <c r="H151" s="27">
        <f>INFORME!G112</f>
        <v>0</v>
      </c>
      <c r="I151" s="27">
        <f>INFORME!H112</f>
        <v>0</v>
      </c>
      <c r="J151" s="27">
        <f>INFORME!I112</f>
        <v>0</v>
      </c>
      <c r="K151" s="27">
        <f>INFORME!J112</f>
        <v>0</v>
      </c>
      <c r="L151" s="27">
        <f>INFORME!K112</f>
        <v>0</v>
      </c>
      <c r="M151" s="27">
        <f>INFORME!L112</f>
        <v>0</v>
      </c>
      <c r="N151" s="27">
        <f>INFORME!M112</f>
        <v>0</v>
      </c>
      <c r="O151" s="27">
        <f>INFORME!N112</f>
        <v>0</v>
      </c>
      <c r="P151" s="27">
        <f>INFORME!O112</f>
        <v>0</v>
      </c>
      <c r="Q151" s="27">
        <f>INFORME!P112</f>
        <v>0</v>
      </c>
      <c r="R151" s="27">
        <f>INFORME!Q112</f>
        <v>0</v>
      </c>
      <c r="S151" s="27">
        <f>INFORME!R112</f>
        <v>0</v>
      </c>
      <c r="X151" s="61"/>
    </row>
    <row r="152" spans="2:24" hidden="1" x14ac:dyDescent="0.2">
      <c r="B152" s="60"/>
      <c r="E152" s="27" t="s">
        <v>1543</v>
      </c>
      <c r="F152" s="27">
        <f>SUM(H152:S152)</f>
        <v>0</v>
      </c>
      <c r="H152" s="27">
        <f t="shared" ref="H152:S152" si="44">+H151*$G149</f>
        <v>0</v>
      </c>
      <c r="I152" s="27">
        <f t="shared" si="44"/>
        <v>0</v>
      </c>
      <c r="J152" s="27">
        <f t="shared" si="44"/>
        <v>0</v>
      </c>
      <c r="K152" s="27">
        <f t="shared" si="44"/>
        <v>0</v>
      </c>
      <c r="L152" s="27">
        <f t="shared" si="44"/>
        <v>0</v>
      </c>
      <c r="M152" s="27">
        <f t="shared" si="44"/>
        <v>0</v>
      </c>
      <c r="N152" s="27">
        <f t="shared" si="44"/>
        <v>0</v>
      </c>
      <c r="O152" s="27">
        <f t="shared" si="44"/>
        <v>0</v>
      </c>
      <c r="P152" s="27">
        <f t="shared" si="44"/>
        <v>0</v>
      </c>
      <c r="Q152" s="27">
        <f t="shared" si="44"/>
        <v>0</v>
      </c>
      <c r="R152" s="27">
        <f t="shared" si="44"/>
        <v>0</v>
      </c>
      <c r="S152" s="27">
        <f t="shared" si="44"/>
        <v>0</v>
      </c>
      <c r="X152" s="61"/>
    </row>
    <row r="153" spans="2:24" hidden="1" x14ac:dyDescent="0.2">
      <c r="B153" s="60"/>
      <c r="E153" s="27" t="s">
        <v>1548</v>
      </c>
      <c r="F153" s="27">
        <f>SUM(H153:S153)</f>
        <v>0</v>
      </c>
      <c r="H153" s="27">
        <f t="shared" ref="H153:S153" si="45">SUM(H151:H152)</f>
        <v>0</v>
      </c>
      <c r="I153" s="27">
        <f t="shared" si="45"/>
        <v>0</v>
      </c>
      <c r="J153" s="27">
        <f t="shared" si="45"/>
        <v>0</v>
      </c>
      <c r="K153" s="27">
        <f t="shared" si="45"/>
        <v>0</v>
      </c>
      <c r="L153" s="27">
        <f t="shared" si="45"/>
        <v>0</v>
      </c>
      <c r="M153" s="27">
        <f t="shared" si="45"/>
        <v>0</v>
      </c>
      <c r="N153" s="27">
        <f t="shared" si="45"/>
        <v>0</v>
      </c>
      <c r="O153" s="27">
        <f t="shared" si="45"/>
        <v>0</v>
      </c>
      <c r="P153" s="27">
        <f t="shared" si="45"/>
        <v>0</v>
      </c>
      <c r="Q153" s="27">
        <f t="shared" si="45"/>
        <v>0</v>
      </c>
      <c r="R153" s="27">
        <f t="shared" si="45"/>
        <v>0</v>
      </c>
      <c r="S153" s="27">
        <f t="shared" si="45"/>
        <v>0</v>
      </c>
      <c r="X153" s="61"/>
    </row>
    <row r="154" spans="2:24" hidden="1" x14ac:dyDescent="0.2">
      <c r="B154" s="60"/>
      <c r="D154" s="27">
        <v>8</v>
      </c>
      <c r="E154" s="27" t="str">
        <f>SANDBOX!$D$66</f>
        <v>Total</v>
      </c>
      <c r="X154" s="61"/>
    </row>
    <row r="155" spans="2:24" hidden="1" x14ac:dyDescent="0.2">
      <c r="B155" s="60"/>
      <c r="E155" s="27" t="str">
        <f>SB!E561</f>
        <v>Gastos I+D</v>
      </c>
      <c r="H155" s="27">
        <f>SB!$I$561</f>
        <v>0.21</v>
      </c>
      <c r="X155" s="61"/>
    </row>
    <row r="156" spans="2:24" hidden="1" x14ac:dyDescent="0.2">
      <c r="B156" s="60"/>
      <c r="E156" s="27" t="s">
        <v>1553</v>
      </c>
      <c r="F156" s="27">
        <f>SUM(H156:S156)</f>
        <v>0</v>
      </c>
      <c r="H156" s="27">
        <f>SANDBOX!F67</f>
        <v>0</v>
      </c>
      <c r="I156" s="27">
        <f>SANDBOX!G67</f>
        <v>0</v>
      </c>
      <c r="J156" s="27">
        <f>SANDBOX!H67</f>
        <v>0</v>
      </c>
      <c r="K156" s="27">
        <f>SANDBOX!I67</f>
        <v>0</v>
      </c>
      <c r="L156" s="27">
        <f>SANDBOX!J67</f>
        <v>0</v>
      </c>
      <c r="M156" s="27">
        <f>SANDBOX!K67</f>
        <v>0</v>
      </c>
      <c r="N156" s="27">
        <f>SANDBOX!L67</f>
        <v>0</v>
      </c>
      <c r="O156" s="27">
        <f>SANDBOX!M67</f>
        <v>0</v>
      </c>
      <c r="P156" s="27">
        <f>SANDBOX!N67</f>
        <v>0</v>
      </c>
      <c r="Q156" s="27">
        <f>SANDBOX!O67</f>
        <v>0</v>
      </c>
      <c r="R156" s="27">
        <f>SANDBOX!P67</f>
        <v>0</v>
      </c>
      <c r="S156" s="27">
        <f>SANDBOX!Q67</f>
        <v>0</v>
      </c>
      <c r="X156" s="61"/>
    </row>
    <row r="157" spans="2:24" hidden="1" x14ac:dyDescent="0.2">
      <c r="B157" s="60"/>
      <c r="E157" s="27" t="s">
        <v>1543</v>
      </c>
      <c r="F157" s="27">
        <f>SUM(H157:S157)</f>
        <v>0</v>
      </c>
      <c r="H157" s="27">
        <f t="shared" ref="H157:S157" si="46">+H156*$H155</f>
        <v>0</v>
      </c>
      <c r="I157" s="27">
        <f t="shared" si="46"/>
        <v>0</v>
      </c>
      <c r="J157" s="27">
        <f t="shared" si="46"/>
        <v>0</v>
      </c>
      <c r="K157" s="27">
        <f t="shared" si="46"/>
        <v>0</v>
      </c>
      <c r="L157" s="27">
        <f t="shared" si="46"/>
        <v>0</v>
      </c>
      <c r="M157" s="27">
        <f t="shared" si="46"/>
        <v>0</v>
      </c>
      <c r="N157" s="27">
        <f t="shared" si="46"/>
        <v>0</v>
      </c>
      <c r="O157" s="27">
        <f t="shared" si="46"/>
        <v>0</v>
      </c>
      <c r="P157" s="27">
        <f t="shared" si="46"/>
        <v>0</v>
      </c>
      <c r="Q157" s="27">
        <f t="shared" si="46"/>
        <v>0</v>
      </c>
      <c r="R157" s="27">
        <f t="shared" si="46"/>
        <v>0</v>
      </c>
      <c r="S157" s="27">
        <f t="shared" si="46"/>
        <v>0</v>
      </c>
      <c r="X157" s="61"/>
    </row>
    <row r="158" spans="2:24" hidden="1" x14ac:dyDescent="0.2">
      <c r="B158" s="60"/>
      <c r="E158" s="27" t="s">
        <v>1548</v>
      </c>
      <c r="F158" s="27">
        <f>SUM(H158:S158)</f>
        <v>0</v>
      </c>
      <c r="H158" s="27">
        <f t="shared" ref="H158:S158" si="47">SUM(H156:H157)</f>
        <v>0</v>
      </c>
      <c r="I158" s="27">
        <f t="shared" si="47"/>
        <v>0</v>
      </c>
      <c r="J158" s="27">
        <f t="shared" si="47"/>
        <v>0</v>
      </c>
      <c r="K158" s="27">
        <f t="shared" si="47"/>
        <v>0</v>
      </c>
      <c r="L158" s="27">
        <f t="shared" si="47"/>
        <v>0</v>
      </c>
      <c r="M158" s="27">
        <f t="shared" si="47"/>
        <v>0</v>
      </c>
      <c r="N158" s="27">
        <f t="shared" si="47"/>
        <v>0</v>
      </c>
      <c r="O158" s="27">
        <f t="shared" si="47"/>
        <v>0</v>
      </c>
      <c r="P158" s="27">
        <f t="shared" si="47"/>
        <v>0</v>
      </c>
      <c r="Q158" s="27">
        <f t="shared" si="47"/>
        <v>0</v>
      </c>
      <c r="R158" s="27">
        <f t="shared" si="47"/>
        <v>0</v>
      </c>
      <c r="S158" s="27">
        <f t="shared" si="47"/>
        <v>0</v>
      </c>
      <c r="X158" s="61"/>
    </row>
    <row r="159" spans="2:24" hidden="1" x14ac:dyDescent="0.2">
      <c r="B159" s="60"/>
      <c r="E159" s="27" t="str">
        <f>SB!E562</f>
        <v>Arrendamientos</v>
      </c>
      <c r="H159" s="27">
        <f>SB!I562</f>
        <v>0.21</v>
      </c>
      <c r="X159" s="61"/>
    </row>
    <row r="160" spans="2:24" hidden="1" x14ac:dyDescent="0.2">
      <c r="B160" s="60"/>
      <c r="E160" s="27" t="s">
        <v>1553</v>
      </c>
      <c r="F160" s="27">
        <f>SUM(H160:S160)</f>
        <v>0</v>
      </c>
      <c r="H160" s="27">
        <f>SANDBOX!F68</f>
        <v>0</v>
      </c>
      <c r="I160" s="27">
        <f>SANDBOX!G68</f>
        <v>0</v>
      </c>
      <c r="J160" s="27">
        <f>SANDBOX!H68</f>
        <v>0</v>
      </c>
      <c r="K160" s="27">
        <f>SANDBOX!I68</f>
        <v>0</v>
      </c>
      <c r="L160" s="27">
        <f>SANDBOX!J68</f>
        <v>0</v>
      </c>
      <c r="M160" s="27">
        <f>SANDBOX!K68</f>
        <v>0</v>
      </c>
      <c r="N160" s="27">
        <f>SANDBOX!L68</f>
        <v>0</v>
      </c>
      <c r="O160" s="27">
        <f>SANDBOX!M68</f>
        <v>0</v>
      </c>
      <c r="P160" s="27">
        <f>SANDBOX!N68</f>
        <v>0</v>
      </c>
      <c r="Q160" s="27">
        <f>SANDBOX!O68</f>
        <v>0</v>
      </c>
      <c r="R160" s="27">
        <f>SANDBOX!P68</f>
        <v>0</v>
      </c>
      <c r="S160" s="27">
        <f>SANDBOX!Q68</f>
        <v>0</v>
      </c>
      <c r="X160" s="61"/>
    </row>
    <row r="161" spans="2:24" hidden="1" x14ac:dyDescent="0.2">
      <c r="B161" s="60"/>
      <c r="E161" s="27" t="s">
        <v>1543</v>
      </c>
      <c r="F161" s="27">
        <f>SUM(H161:S161)</f>
        <v>0</v>
      </c>
      <c r="H161" s="27">
        <f t="shared" ref="H161:S161" si="48">+H160*$H159</f>
        <v>0</v>
      </c>
      <c r="I161" s="27">
        <f t="shared" si="48"/>
        <v>0</v>
      </c>
      <c r="J161" s="27">
        <f t="shared" si="48"/>
        <v>0</v>
      </c>
      <c r="K161" s="27">
        <f t="shared" si="48"/>
        <v>0</v>
      </c>
      <c r="L161" s="27">
        <f t="shared" si="48"/>
        <v>0</v>
      </c>
      <c r="M161" s="27">
        <f t="shared" si="48"/>
        <v>0</v>
      </c>
      <c r="N161" s="27">
        <f t="shared" si="48"/>
        <v>0</v>
      </c>
      <c r="O161" s="27">
        <f t="shared" si="48"/>
        <v>0</v>
      </c>
      <c r="P161" s="27">
        <f t="shared" si="48"/>
        <v>0</v>
      </c>
      <c r="Q161" s="27">
        <f t="shared" si="48"/>
        <v>0</v>
      </c>
      <c r="R161" s="27">
        <f t="shared" si="48"/>
        <v>0</v>
      </c>
      <c r="S161" s="27">
        <f t="shared" si="48"/>
        <v>0</v>
      </c>
      <c r="X161" s="61"/>
    </row>
    <row r="162" spans="2:24" hidden="1" x14ac:dyDescent="0.2">
      <c r="B162" s="60"/>
      <c r="E162" s="27" t="s">
        <v>1548</v>
      </c>
      <c r="F162" s="27">
        <f>SUM(H162:S162)</f>
        <v>0</v>
      </c>
      <c r="H162" s="27">
        <f t="shared" ref="H162:S162" si="49">SUM(H160:H161)</f>
        <v>0</v>
      </c>
      <c r="I162" s="27">
        <f t="shared" si="49"/>
        <v>0</v>
      </c>
      <c r="J162" s="27">
        <f t="shared" si="49"/>
        <v>0</v>
      </c>
      <c r="K162" s="27">
        <f t="shared" si="49"/>
        <v>0</v>
      </c>
      <c r="L162" s="27">
        <f t="shared" si="49"/>
        <v>0</v>
      </c>
      <c r="M162" s="27">
        <f t="shared" si="49"/>
        <v>0</v>
      </c>
      <c r="N162" s="27">
        <f t="shared" si="49"/>
        <v>0</v>
      </c>
      <c r="O162" s="27">
        <f t="shared" si="49"/>
        <v>0</v>
      </c>
      <c r="P162" s="27">
        <f t="shared" si="49"/>
        <v>0</v>
      </c>
      <c r="Q162" s="27">
        <f t="shared" si="49"/>
        <v>0</v>
      </c>
      <c r="R162" s="27">
        <f t="shared" si="49"/>
        <v>0</v>
      </c>
      <c r="S162" s="27">
        <f t="shared" si="49"/>
        <v>0</v>
      </c>
      <c r="X162" s="61"/>
    </row>
    <row r="163" spans="2:24" hidden="1" x14ac:dyDescent="0.2">
      <c r="B163" s="60"/>
      <c r="E163" s="27" t="str">
        <f>SB!E563</f>
        <v>Conservación</v>
      </c>
      <c r="H163" s="27">
        <f>SB!I563</f>
        <v>0.21</v>
      </c>
      <c r="X163" s="61"/>
    </row>
    <row r="164" spans="2:24" hidden="1" x14ac:dyDescent="0.2">
      <c r="B164" s="60"/>
      <c r="E164" s="27" t="s">
        <v>1553</v>
      </c>
      <c r="F164" s="27">
        <f>SUM(H164:S164)</f>
        <v>0</v>
      </c>
      <c r="H164" s="27">
        <f>SANDBOX!F71</f>
        <v>0</v>
      </c>
      <c r="I164" s="27">
        <f>SANDBOX!G71</f>
        <v>0</v>
      </c>
      <c r="J164" s="27">
        <f>SANDBOX!H71</f>
        <v>0</v>
      </c>
      <c r="K164" s="27">
        <f>SANDBOX!I71</f>
        <v>0</v>
      </c>
      <c r="L164" s="27">
        <f>SANDBOX!J71</f>
        <v>0</v>
      </c>
      <c r="M164" s="27">
        <f>SANDBOX!K71</f>
        <v>0</v>
      </c>
      <c r="N164" s="27">
        <f>SANDBOX!L71</f>
        <v>0</v>
      </c>
      <c r="O164" s="27">
        <f>SANDBOX!M71</f>
        <v>0</v>
      </c>
      <c r="P164" s="27">
        <f>SANDBOX!N71</f>
        <v>0</v>
      </c>
      <c r="Q164" s="27">
        <f>SANDBOX!O71</f>
        <v>0</v>
      </c>
      <c r="R164" s="27">
        <f>SANDBOX!P71</f>
        <v>0</v>
      </c>
      <c r="S164" s="27">
        <f>SANDBOX!Q71</f>
        <v>0</v>
      </c>
      <c r="X164" s="61"/>
    </row>
    <row r="165" spans="2:24" hidden="1" x14ac:dyDescent="0.2">
      <c r="B165" s="60"/>
      <c r="E165" s="27" t="s">
        <v>1543</v>
      </c>
      <c r="F165" s="27">
        <f>SUM(H165:S165)</f>
        <v>0</v>
      </c>
      <c r="H165" s="27">
        <f t="shared" ref="H165:S165" si="50">+H164*$H163</f>
        <v>0</v>
      </c>
      <c r="I165" s="27">
        <f t="shared" si="50"/>
        <v>0</v>
      </c>
      <c r="J165" s="27">
        <f t="shared" si="50"/>
        <v>0</v>
      </c>
      <c r="K165" s="27">
        <f t="shared" si="50"/>
        <v>0</v>
      </c>
      <c r="L165" s="27">
        <f t="shared" si="50"/>
        <v>0</v>
      </c>
      <c r="M165" s="27">
        <f t="shared" si="50"/>
        <v>0</v>
      </c>
      <c r="N165" s="27">
        <f t="shared" si="50"/>
        <v>0</v>
      </c>
      <c r="O165" s="27">
        <f t="shared" si="50"/>
        <v>0</v>
      </c>
      <c r="P165" s="27">
        <f t="shared" si="50"/>
        <v>0</v>
      </c>
      <c r="Q165" s="27">
        <f t="shared" si="50"/>
        <v>0</v>
      </c>
      <c r="R165" s="27">
        <f t="shared" si="50"/>
        <v>0</v>
      </c>
      <c r="S165" s="27">
        <f t="shared" si="50"/>
        <v>0</v>
      </c>
      <c r="X165" s="61"/>
    </row>
    <row r="166" spans="2:24" hidden="1" x14ac:dyDescent="0.2">
      <c r="B166" s="60"/>
      <c r="E166" s="27" t="s">
        <v>1548</v>
      </c>
      <c r="F166" s="27">
        <f>SUM(H166:S166)</f>
        <v>0</v>
      </c>
      <c r="H166" s="27">
        <f t="shared" ref="H166:S166" si="51">SUM(H164:H165)</f>
        <v>0</v>
      </c>
      <c r="I166" s="27">
        <f t="shared" si="51"/>
        <v>0</v>
      </c>
      <c r="J166" s="27">
        <f t="shared" si="51"/>
        <v>0</v>
      </c>
      <c r="K166" s="27">
        <f t="shared" si="51"/>
        <v>0</v>
      </c>
      <c r="L166" s="27">
        <f t="shared" si="51"/>
        <v>0</v>
      </c>
      <c r="M166" s="27">
        <f t="shared" si="51"/>
        <v>0</v>
      </c>
      <c r="N166" s="27">
        <f t="shared" si="51"/>
        <v>0</v>
      </c>
      <c r="O166" s="27">
        <f t="shared" si="51"/>
        <v>0</v>
      </c>
      <c r="P166" s="27">
        <f t="shared" si="51"/>
        <v>0</v>
      </c>
      <c r="Q166" s="27">
        <f t="shared" si="51"/>
        <v>0</v>
      </c>
      <c r="R166" s="27">
        <f t="shared" si="51"/>
        <v>0</v>
      </c>
      <c r="S166" s="27">
        <f t="shared" si="51"/>
        <v>0</v>
      </c>
      <c r="X166" s="61"/>
    </row>
    <row r="167" spans="2:24" hidden="1" x14ac:dyDescent="0.2">
      <c r="B167" s="60"/>
      <c r="E167" s="27" t="str">
        <f>SB!E564</f>
        <v>S. Profesionales</v>
      </c>
      <c r="H167" s="27">
        <f>SB!I564</f>
        <v>0.21</v>
      </c>
      <c r="X167" s="61"/>
    </row>
    <row r="168" spans="2:24" hidden="1" x14ac:dyDescent="0.2">
      <c r="B168" s="60"/>
      <c r="E168" s="27" t="s">
        <v>1553</v>
      </c>
      <c r="F168" s="27">
        <f>SUM(H168:S168)</f>
        <v>0</v>
      </c>
      <c r="H168" s="27">
        <f>SANDBOX!F72</f>
        <v>0</v>
      </c>
      <c r="I168" s="27">
        <f>SANDBOX!G72</f>
        <v>0</v>
      </c>
      <c r="J168" s="27">
        <f>SANDBOX!H72</f>
        <v>0</v>
      </c>
      <c r="K168" s="27">
        <f>SANDBOX!I72</f>
        <v>0</v>
      </c>
      <c r="L168" s="27">
        <f>SANDBOX!J72</f>
        <v>0</v>
      </c>
      <c r="M168" s="27">
        <f>SANDBOX!K72</f>
        <v>0</v>
      </c>
      <c r="N168" s="27">
        <f>SANDBOX!L72</f>
        <v>0</v>
      </c>
      <c r="O168" s="27">
        <f>SANDBOX!M72</f>
        <v>0</v>
      </c>
      <c r="P168" s="27">
        <f>SANDBOX!N72</f>
        <v>0</v>
      </c>
      <c r="Q168" s="27">
        <f>SANDBOX!O72</f>
        <v>0</v>
      </c>
      <c r="R168" s="27">
        <f>SANDBOX!P72</f>
        <v>0</v>
      </c>
      <c r="S168" s="27">
        <f>SANDBOX!Q72</f>
        <v>0</v>
      </c>
      <c r="X168" s="61"/>
    </row>
    <row r="169" spans="2:24" hidden="1" x14ac:dyDescent="0.2">
      <c r="B169" s="60"/>
      <c r="E169" s="27" t="s">
        <v>1543</v>
      </c>
      <c r="F169" s="27">
        <f>SUM(H169:S169)</f>
        <v>0</v>
      </c>
      <c r="H169" s="27">
        <f t="shared" ref="H169:S169" si="52">+H168*$H167</f>
        <v>0</v>
      </c>
      <c r="I169" s="27">
        <f t="shared" si="52"/>
        <v>0</v>
      </c>
      <c r="J169" s="27">
        <f t="shared" si="52"/>
        <v>0</v>
      </c>
      <c r="K169" s="27">
        <f t="shared" si="52"/>
        <v>0</v>
      </c>
      <c r="L169" s="27">
        <f t="shared" si="52"/>
        <v>0</v>
      </c>
      <c r="M169" s="27">
        <f t="shared" si="52"/>
        <v>0</v>
      </c>
      <c r="N169" s="27">
        <f t="shared" si="52"/>
        <v>0</v>
      </c>
      <c r="O169" s="27">
        <f t="shared" si="52"/>
        <v>0</v>
      </c>
      <c r="P169" s="27">
        <f t="shared" si="52"/>
        <v>0</v>
      </c>
      <c r="Q169" s="27">
        <f t="shared" si="52"/>
        <v>0</v>
      </c>
      <c r="R169" s="27">
        <f t="shared" si="52"/>
        <v>0</v>
      </c>
      <c r="S169" s="27">
        <f t="shared" si="52"/>
        <v>0</v>
      </c>
      <c r="X169" s="61"/>
    </row>
    <row r="170" spans="2:24" hidden="1" x14ac:dyDescent="0.2">
      <c r="B170" s="60"/>
      <c r="E170" s="27" t="s">
        <v>1548</v>
      </c>
      <c r="F170" s="27">
        <f>SUM(H170:S170)</f>
        <v>0</v>
      </c>
      <c r="H170" s="27">
        <f t="shared" ref="H170:S170" si="53">SUM(H168:H169)</f>
        <v>0</v>
      </c>
      <c r="I170" s="27">
        <f t="shared" si="53"/>
        <v>0</v>
      </c>
      <c r="J170" s="27">
        <f t="shared" si="53"/>
        <v>0</v>
      </c>
      <c r="K170" s="27">
        <f t="shared" si="53"/>
        <v>0</v>
      </c>
      <c r="L170" s="27">
        <f t="shared" si="53"/>
        <v>0</v>
      </c>
      <c r="M170" s="27">
        <f t="shared" si="53"/>
        <v>0</v>
      </c>
      <c r="N170" s="27">
        <f t="shared" si="53"/>
        <v>0</v>
      </c>
      <c r="O170" s="27">
        <f t="shared" si="53"/>
        <v>0</v>
      </c>
      <c r="P170" s="27">
        <f t="shared" si="53"/>
        <v>0</v>
      </c>
      <c r="Q170" s="27">
        <f t="shared" si="53"/>
        <v>0</v>
      </c>
      <c r="R170" s="27">
        <f t="shared" si="53"/>
        <v>0</v>
      </c>
      <c r="S170" s="27">
        <f t="shared" si="53"/>
        <v>0</v>
      </c>
      <c r="X170" s="61"/>
    </row>
    <row r="171" spans="2:24" hidden="1" x14ac:dyDescent="0.2">
      <c r="B171" s="60"/>
      <c r="E171" s="27" t="str">
        <f>SB!E565</f>
        <v>Seguros</v>
      </c>
      <c r="H171" s="27">
        <f>SB!I565</f>
        <v>0.21</v>
      </c>
      <c r="X171" s="61"/>
    </row>
    <row r="172" spans="2:24" hidden="1" x14ac:dyDescent="0.2">
      <c r="B172" s="60"/>
      <c r="E172" s="27" t="s">
        <v>1553</v>
      </c>
      <c r="F172" s="27">
        <f>SUM(H172:S172)</f>
        <v>0</v>
      </c>
      <c r="H172" s="27">
        <f>SANDBOX!F74</f>
        <v>0</v>
      </c>
      <c r="I172" s="27">
        <f>SANDBOX!G74</f>
        <v>0</v>
      </c>
      <c r="J172" s="27">
        <f>SANDBOX!H74</f>
        <v>0</v>
      </c>
      <c r="K172" s="27">
        <f>SANDBOX!I74</f>
        <v>0</v>
      </c>
      <c r="L172" s="27">
        <f>SANDBOX!J74</f>
        <v>0</v>
      </c>
      <c r="M172" s="27">
        <f>SANDBOX!K74</f>
        <v>0</v>
      </c>
      <c r="N172" s="27">
        <f>SANDBOX!L74</f>
        <v>0</v>
      </c>
      <c r="O172" s="27">
        <f>SANDBOX!M74</f>
        <v>0</v>
      </c>
      <c r="P172" s="27">
        <f>SANDBOX!N74</f>
        <v>0</v>
      </c>
      <c r="Q172" s="27">
        <f>SANDBOX!O74</f>
        <v>0</v>
      </c>
      <c r="R172" s="27">
        <f>SANDBOX!P74</f>
        <v>0</v>
      </c>
      <c r="S172" s="27">
        <f>SANDBOX!Q74</f>
        <v>0</v>
      </c>
      <c r="X172" s="61"/>
    </row>
    <row r="173" spans="2:24" hidden="1" x14ac:dyDescent="0.2">
      <c r="B173" s="60"/>
      <c r="E173" s="27" t="s">
        <v>1543</v>
      </c>
      <c r="F173" s="27">
        <f>SUM(H173:S173)</f>
        <v>0</v>
      </c>
      <c r="H173" s="27">
        <f t="shared" ref="H173:S173" si="54">+H172*$H171</f>
        <v>0</v>
      </c>
      <c r="I173" s="27">
        <f t="shared" si="54"/>
        <v>0</v>
      </c>
      <c r="J173" s="27">
        <f t="shared" si="54"/>
        <v>0</v>
      </c>
      <c r="K173" s="27">
        <f t="shared" si="54"/>
        <v>0</v>
      </c>
      <c r="L173" s="27">
        <f t="shared" si="54"/>
        <v>0</v>
      </c>
      <c r="M173" s="27">
        <f t="shared" si="54"/>
        <v>0</v>
      </c>
      <c r="N173" s="27">
        <f t="shared" si="54"/>
        <v>0</v>
      </c>
      <c r="O173" s="27">
        <f t="shared" si="54"/>
        <v>0</v>
      </c>
      <c r="P173" s="27">
        <f t="shared" si="54"/>
        <v>0</v>
      </c>
      <c r="Q173" s="27">
        <f t="shared" si="54"/>
        <v>0</v>
      </c>
      <c r="R173" s="27">
        <f t="shared" si="54"/>
        <v>0</v>
      </c>
      <c r="S173" s="27">
        <f t="shared" si="54"/>
        <v>0</v>
      </c>
      <c r="X173" s="61"/>
    </row>
    <row r="174" spans="2:24" hidden="1" x14ac:dyDescent="0.2">
      <c r="B174" s="60"/>
      <c r="E174" s="27" t="s">
        <v>1548</v>
      </c>
      <c r="F174" s="27">
        <f>SUM(H174:S174)</f>
        <v>0</v>
      </c>
      <c r="H174" s="27">
        <f t="shared" ref="H174:S174" si="55">SUM(H172:H173)</f>
        <v>0</v>
      </c>
      <c r="I174" s="27">
        <f t="shared" si="55"/>
        <v>0</v>
      </c>
      <c r="J174" s="27">
        <f t="shared" si="55"/>
        <v>0</v>
      </c>
      <c r="K174" s="27">
        <f t="shared" si="55"/>
        <v>0</v>
      </c>
      <c r="L174" s="27">
        <f t="shared" si="55"/>
        <v>0</v>
      </c>
      <c r="M174" s="27">
        <f t="shared" si="55"/>
        <v>0</v>
      </c>
      <c r="N174" s="27">
        <f t="shared" si="55"/>
        <v>0</v>
      </c>
      <c r="O174" s="27">
        <f t="shared" si="55"/>
        <v>0</v>
      </c>
      <c r="P174" s="27">
        <f t="shared" si="55"/>
        <v>0</v>
      </c>
      <c r="Q174" s="27">
        <f t="shared" si="55"/>
        <v>0</v>
      </c>
      <c r="R174" s="27">
        <f t="shared" si="55"/>
        <v>0</v>
      </c>
      <c r="S174" s="27">
        <f t="shared" si="55"/>
        <v>0</v>
      </c>
      <c r="X174" s="61"/>
    </row>
    <row r="175" spans="2:24" hidden="1" x14ac:dyDescent="0.2">
      <c r="B175" s="60"/>
      <c r="E175" s="27" t="str">
        <f>SB!E566</f>
        <v>Otros servicios</v>
      </c>
      <c r="H175" s="27">
        <f>SB!I566</f>
        <v>0.21</v>
      </c>
      <c r="I175" s="27" t="s">
        <v>180</v>
      </c>
      <c r="X175" s="61"/>
    </row>
    <row r="176" spans="2:24" hidden="1" x14ac:dyDescent="0.2">
      <c r="B176" s="60"/>
      <c r="E176" s="27" t="s">
        <v>1553</v>
      </c>
      <c r="F176" s="27">
        <f>SUM(H176:S176)</f>
        <v>0</v>
      </c>
      <c r="H176" s="27">
        <f>SANDBOX!F75</f>
        <v>0</v>
      </c>
      <c r="I176" s="27">
        <f>SANDBOX!G75</f>
        <v>0</v>
      </c>
      <c r="J176" s="27">
        <f>SANDBOX!H75</f>
        <v>0</v>
      </c>
      <c r="K176" s="27">
        <f>SANDBOX!I75</f>
        <v>0</v>
      </c>
      <c r="L176" s="27">
        <f>SANDBOX!J75</f>
        <v>0</v>
      </c>
      <c r="M176" s="27">
        <f>SANDBOX!K75</f>
        <v>0</v>
      </c>
      <c r="N176" s="27">
        <f>SANDBOX!L75</f>
        <v>0</v>
      </c>
      <c r="O176" s="27">
        <f>SANDBOX!M75</f>
        <v>0</v>
      </c>
      <c r="P176" s="27">
        <f>SANDBOX!N75</f>
        <v>0</v>
      </c>
      <c r="Q176" s="27">
        <f>SANDBOX!O75</f>
        <v>0</v>
      </c>
      <c r="R176" s="27">
        <f>SANDBOX!P75</f>
        <v>0</v>
      </c>
      <c r="S176" s="27">
        <f>SANDBOX!Q75</f>
        <v>0</v>
      </c>
      <c r="X176" s="61"/>
    </row>
    <row r="177" spans="2:24" hidden="1" x14ac:dyDescent="0.2">
      <c r="B177" s="60"/>
      <c r="E177" s="27" t="s">
        <v>1543</v>
      </c>
      <c r="F177" s="27">
        <f>SUM(H177:S177)</f>
        <v>0</v>
      </c>
      <c r="H177" s="27">
        <f t="shared" ref="H177:S177" si="56">+H176*$H175</f>
        <v>0</v>
      </c>
      <c r="I177" s="27">
        <f t="shared" si="56"/>
        <v>0</v>
      </c>
      <c r="J177" s="27">
        <f t="shared" si="56"/>
        <v>0</v>
      </c>
      <c r="K177" s="27">
        <f t="shared" si="56"/>
        <v>0</v>
      </c>
      <c r="L177" s="27">
        <f t="shared" si="56"/>
        <v>0</v>
      </c>
      <c r="M177" s="27">
        <f t="shared" si="56"/>
        <v>0</v>
      </c>
      <c r="N177" s="27">
        <f t="shared" si="56"/>
        <v>0</v>
      </c>
      <c r="O177" s="27">
        <f t="shared" si="56"/>
        <v>0</v>
      </c>
      <c r="P177" s="27">
        <f t="shared" si="56"/>
        <v>0</v>
      </c>
      <c r="Q177" s="27">
        <f t="shared" si="56"/>
        <v>0</v>
      </c>
      <c r="R177" s="27">
        <f t="shared" si="56"/>
        <v>0</v>
      </c>
      <c r="S177" s="27">
        <f t="shared" si="56"/>
        <v>0</v>
      </c>
      <c r="X177" s="61"/>
    </row>
    <row r="178" spans="2:24" hidden="1" x14ac:dyDescent="0.2">
      <c r="B178" s="60"/>
      <c r="E178" s="27" t="s">
        <v>1548</v>
      </c>
      <c r="F178" s="27">
        <f>SUM(H178:S178)</f>
        <v>0</v>
      </c>
      <c r="H178" s="27">
        <f t="shared" ref="H178:S178" si="57">SUM(H176:H177)</f>
        <v>0</v>
      </c>
      <c r="I178" s="27">
        <f t="shared" si="57"/>
        <v>0</v>
      </c>
      <c r="J178" s="27">
        <f t="shared" si="57"/>
        <v>0</v>
      </c>
      <c r="K178" s="27">
        <f t="shared" si="57"/>
        <v>0</v>
      </c>
      <c r="L178" s="27">
        <f t="shared" si="57"/>
        <v>0</v>
      </c>
      <c r="M178" s="27">
        <f t="shared" si="57"/>
        <v>0</v>
      </c>
      <c r="N178" s="27">
        <f t="shared" si="57"/>
        <v>0</v>
      </c>
      <c r="O178" s="27">
        <f t="shared" si="57"/>
        <v>0</v>
      </c>
      <c r="P178" s="27">
        <f t="shared" si="57"/>
        <v>0</v>
      </c>
      <c r="Q178" s="27">
        <f t="shared" si="57"/>
        <v>0</v>
      </c>
      <c r="R178" s="27">
        <f t="shared" si="57"/>
        <v>0</v>
      </c>
      <c r="S178" s="27">
        <f t="shared" si="57"/>
        <v>0</v>
      </c>
      <c r="X178" s="61"/>
    </row>
    <row r="179" spans="2:24" hidden="1" x14ac:dyDescent="0.2">
      <c r="B179" s="60"/>
      <c r="E179" s="27" t="str">
        <f>SB!E567</f>
        <v>Suministros</v>
      </c>
      <c r="H179" s="27">
        <f>SB!I567</f>
        <v>0.21</v>
      </c>
      <c r="X179" s="61"/>
    </row>
    <row r="180" spans="2:24" hidden="1" x14ac:dyDescent="0.2">
      <c r="B180" s="60"/>
      <c r="E180" s="27" t="s">
        <v>1553</v>
      </c>
      <c r="F180" s="27">
        <f>SUM(H180:S180)</f>
        <v>0</v>
      </c>
      <c r="H180" s="27">
        <f>SANDBOX!F76</f>
        <v>0</v>
      </c>
      <c r="I180" s="27">
        <f>SANDBOX!G76</f>
        <v>0</v>
      </c>
      <c r="J180" s="27">
        <f>SANDBOX!H76</f>
        <v>0</v>
      </c>
      <c r="K180" s="27">
        <f>SANDBOX!I76</f>
        <v>0</v>
      </c>
      <c r="L180" s="27">
        <f>SANDBOX!J76</f>
        <v>0</v>
      </c>
      <c r="M180" s="27">
        <f>SANDBOX!K76</f>
        <v>0</v>
      </c>
      <c r="N180" s="27">
        <f>SANDBOX!L76</f>
        <v>0</v>
      </c>
      <c r="O180" s="27">
        <f>SANDBOX!M76</f>
        <v>0</v>
      </c>
      <c r="P180" s="27">
        <f>SANDBOX!N76</f>
        <v>0</v>
      </c>
      <c r="Q180" s="27">
        <f>SANDBOX!O76</f>
        <v>0</v>
      </c>
      <c r="R180" s="27">
        <f>SANDBOX!P76</f>
        <v>0</v>
      </c>
      <c r="S180" s="27">
        <f>SANDBOX!Q76</f>
        <v>0</v>
      </c>
      <c r="X180" s="61"/>
    </row>
    <row r="181" spans="2:24" hidden="1" x14ac:dyDescent="0.2">
      <c r="B181" s="60"/>
      <c r="E181" s="27" t="s">
        <v>1543</v>
      </c>
      <c r="F181" s="27">
        <f>SUM(H181:S181)</f>
        <v>0</v>
      </c>
      <c r="H181" s="27">
        <f t="shared" ref="H181:S181" si="58">+H180*$H179</f>
        <v>0</v>
      </c>
      <c r="I181" s="27">
        <f t="shared" si="58"/>
        <v>0</v>
      </c>
      <c r="J181" s="27">
        <f t="shared" si="58"/>
        <v>0</v>
      </c>
      <c r="K181" s="27">
        <f t="shared" si="58"/>
        <v>0</v>
      </c>
      <c r="L181" s="27">
        <f t="shared" si="58"/>
        <v>0</v>
      </c>
      <c r="M181" s="27">
        <f t="shared" si="58"/>
        <v>0</v>
      </c>
      <c r="N181" s="27">
        <f t="shared" si="58"/>
        <v>0</v>
      </c>
      <c r="O181" s="27">
        <f t="shared" si="58"/>
        <v>0</v>
      </c>
      <c r="P181" s="27">
        <f t="shared" si="58"/>
        <v>0</v>
      </c>
      <c r="Q181" s="27">
        <f t="shared" si="58"/>
        <v>0</v>
      </c>
      <c r="R181" s="27">
        <f t="shared" si="58"/>
        <v>0</v>
      </c>
      <c r="S181" s="27">
        <f t="shared" si="58"/>
        <v>0</v>
      </c>
      <c r="X181" s="61"/>
    </row>
    <row r="182" spans="2:24" hidden="1" x14ac:dyDescent="0.2">
      <c r="B182" s="60"/>
      <c r="E182" s="27" t="s">
        <v>1548</v>
      </c>
      <c r="F182" s="27">
        <f>SUM(H182:S182)</f>
        <v>0</v>
      </c>
      <c r="H182" s="27">
        <f t="shared" ref="H182:S182" si="59">SUM(H180:H181)</f>
        <v>0</v>
      </c>
      <c r="I182" s="27">
        <f t="shared" si="59"/>
        <v>0</v>
      </c>
      <c r="J182" s="27">
        <f t="shared" si="59"/>
        <v>0</v>
      </c>
      <c r="K182" s="27">
        <f t="shared" si="59"/>
        <v>0</v>
      </c>
      <c r="L182" s="27">
        <f t="shared" si="59"/>
        <v>0</v>
      </c>
      <c r="M182" s="27">
        <f t="shared" si="59"/>
        <v>0</v>
      </c>
      <c r="N182" s="27">
        <f t="shared" si="59"/>
        <v>0</v>
      </c>
      <c r="O182" s="27">
        <f t="shared" si="59"/>
        <v>0</v>
      </c>
      <c r="P182" s="27">
        <f t="shared" si="59"/>
        <v>0</v>
      </c>
      <c r="Q182" s="27">
        <f t="shared" si="59"/>
        <v>0</v>
      </c>
      <c r="R182" s="27">
        <f t="shared" si="59"/>
        <v>0</v>
      </c>
      <c r="S182" s="27">
        <f t="shared" si="59"/>
        <v>0</v>
      </c>
      <c r="X182" s="61"/>
    </row>
    <row r="183" spans="2:24" hidden="1" x14ac:dyDescent="0.2">
      <c r="B183" s="60"/>
      <c r="E183" s="27" t="str">
        <f>SB!E568</f>
        <v>Viajes, dietas…</v>
      </c>
      <c r="H183" s="27">
        <f>SB!I568</f>
        <v>0.21</v>
      </c>
      <c r="X183" s="61"/>
    </row>
    <row r="184" spans="2:24" hidden="1" x14ac:dyDescent="0.2">
      <c r="B184" s="60"/>
      <c r="E184" s="27" t="s">
        <v>1553</v>
      </c>
      <c r="F184" s="27">
        <f>SUM(H184:S184)</f>
        <v>0</v>
      </c>
      <c r="H184" s="27">
        <f>SANDBOX!F77</f>
        <v>0</v>
      </c>
      <c r="I184" s="27">
        <f>SANDBOX!G77</f>
        <v>0</v>
      </c>
      <c r="J184" s="27">
        <f>SANDBOX!H77</f>
        <v>0</v>
      </c>
      <c r="K184" s="27">
        <f>SANDBOX!I77</f>
        <v>0</v>
      </c>
      <c r="L184" s="27">
        <f>SANDBOX!J77</f>
        <v>0</v>
      </c>
      <c r="M184" s="27">
        <f>SANDBOX!K77</f>
        <v>0</v>
      </c>
      <c r="N184" s="27">
        <f>SANDBOX!L77</f>
        <v>0</v>
      </c>
      <c r="O184" s="27">
        <f>SANDBOX!M77</f>
        <v>0</v>
      </c>
      <c r="P184" s="27">
        <f>SANDBOX!N77</f>
        <v>0</v>
      </c>
      <c r="Q184" s="27">
        <f>SANDBOX!O77</f>
        <v>0</v>
      </c>
      <c r="R184" s="27">
        <f>SANDBOX!P77</f>
        <v>0</v>
      </c>
      <c r="S184" s="27">
        <f>SANDBOX!Q77</f>
        <v>0</v>
      </c>
      <c r="X184" s="61"/>
    </row>
    <row r="185" spans="2:24" hidden="1" x14ac:dyDescent="0.2">
      <c r="B185" s="60"/>
      <c r="E185" s="27" t="s">
        <v>1543</v>
      </c>
      <c r="F185" s="27">
        <f>SUM(H185:S185)</f>
        <v>0</v>
      </c>
      <c r="H185" s="27">
        <f t="shared" ref="H185:S185" si="60">+H184*$H183</f>
        <v>0</v>
      </c>
      <c r="I185" s="27">
        <f t="shared" si="60"/>
        <v>0</v>
      </c>
      <c r="J185" s="27">
        <f t="shared" si="60"/>
        <v>0</v>
      </c>
      <c r="K185" s="27">
        <f t="shared" si="60"/>
        <v>0</v>
      </c>
      <c r="L185" s="27">
        <f t="shared" si="60"/>
        <v>0</v>
      </c>
      <c r="M185" s="27">
        <f t="shared" si="60"/>
        <v>0</v>
      </c>
      <c r="N185" s="27">
        <f t="shared" si="60"/>
        <v>0</v>
      </c>
      <c r="O185" s="27">
        <f t="shared" si="60"/>
        <v>0</v>
      </c>
      <c r="P185" s="27">
        <f t="shared" si="60"/>
        <v>0</v>
      </c>
      <c r="Q185" s="27">
        <f t="shared" si="60"/>
        <v>0</v>
      </c>
      <c r="R185" s="27">
        <f t="shared" si="60"/>
        <v>0</v>
      </c>
      <c r="S185" s="27">
        <f t="shared" si="60"/>
        <v>0</v>
      </c>
      <c r="X185" s="61"/>
    </row>
    <row r="186" spans="2:24" hidden="1" x14ac:dyDescent="0.2">
      <c r="B186" s="60"/>
      <c r="E186" s="27" t="s">
        <v>1548</v>
      </c>
      <c r="F186" s="27">
        <f>SUM(H186:S186)</f>
        <v>0</v>
      </c>
      <c r="H186" s="27">
        <f t="shared" ref="H186:S186" si="61">SUM(H184:H185)</f>
        <v>0</v>
      </c>
      <c r="I186" s="27">
        <f t="shared" si="61"/>
        <v>0</v>
      </c>
      <c r="J186" s="27">
        <f t="shared" si="61"/>
        <v>0</v>
      </c>
      <c r="K186" s="27">
        <f t="shared" si="61"/>
        <v>0</v>
      </c>
      <c r="L186" s="27">
        <f t="shared" si="61"/>
        <v>0</v>
      </c>
      <c r="M186" s="27">
        <f t="shared" si="61"/>
        <v>0</v>
      </c>
      <c r="N186" s="27">
        <f t="shared" si="61"/>
        <v>0</v>
      </c>
      <c r="O186" s="27">
        <f t="shared" si="61"/>
        <v>0</v>
      </c>
      <c r="P186" s="27">
        <f t="shared" si="61"/>
        <v>0</v>
      </c>
      <c r="Q186" s="27">
        <f t="shared" si="61"/>
        <v>0</v>
      </c>
      <c r="R186" s="27">
        <f t="shared" si="61"/>
        <v>0</v>
      </c>
      <c r="S186" s="27">
        <f t="shared" si="61"/>
        <v>0</v>
      </c>
      <c r="X186" s="61"/>
    </row>
    <row r="187" spans="2:24" hidden="1" x14ac:dyDescent="0.2">
      <c r="B187" s="60"/>
      <c r="E187" s="27" t="str">
        <f>SB!E569</f>
        <v>Material Oficina</v>
      </c>
      <c r="H187" s="27">
        <f>SB!I569</f>
        <v>0.21</v>
      </c>
      <c r="X187" s="61"/>
    </row>
    <row r="188" spans="2:24" hidden="1" x14ac:dyDescent="0.2">
      <c r="B188" s="60"/>
      <c r="E188" s="27" t="s">
        <v>1553</v>
      </c>
      <c r="F188" s="27">
        <f>SUM(H188:S188)</f>
        <v>0</v>
      </c>
      <c r="H188" s="27">
        <f>SANDBOX!F78</f>
        <v>0</v>
      </c>
      <c r="I188" s="27">
        <f>SANDBOX!G78</f>
        <v>0</v>
      </c>
      <c r="J188" s="27">
        <f>SANDBOX!H78</f>
        <v>0</v>
      </c>
      <c r="K188" s="27">
        <f>SANDBOX!I78</f>
        <v>0</v>
      </c>
      <c r="L188" s="27">
        <f>SANDBOX!J78</f>
        <v>0</v>
      </c>
      <c r="M188" s="27">
        <f>SANDBOX!K78</f>
        <v>0</v>
      </c>
      <c r="N188" s="27">
        <f>SANDBOX!L78</f>
        <v>0</v>
      </c>
      <c r="O188" s="27">
        <f>SANDBOX!M78</f>
        <v>0</v>
      </c>
      <c r="P188" s="27">
        <f>SANDBOX!N78</f>
        <v>0</v>
      </c>
      <c r="Q188" s="27">
        <f>SANDBOX!O78</f>
        <v>0</v>
      </c>
      <c r="R188" s="27">
        <f>SANDBOX!P78</f>
        <v>0</v>
      </c>
      <c r="S188" s="27">
        <f>SANDBOX!Q78</f>
        <v>0</v>
      </c>
      <c r="X188" s="61"/>
    </row>
    <row r="189" spans="2:24" hidden="1" x14ac:dyDescent="0.2">
      <c r="B189" s="60"/>
      <c r="E189" s="27" t="s">
        <v>1543</v>
      </c>
      <c r="F189" s="27">
        <f>SUM(H189:S189)</f>
        <v>0</v>
      </c>
      <c r="H189" s="27">
        <f t="shared" ref="H189:S189" si="62">+H188*$H187</f>
        <v>0</v>
      </c>
      <c r="I189" s="27">
        <f t="shared" si="62"/>
        <v>0</v>
      </c>
      <c r="J189" s="27">
        <f t="shared" si="62"/>
        <v>0</v>
      </c>
      <c r="K189" s="27">
        <f t="shared" si="62"/>
        <v>0</v>
      </c>
      <c r="L189" s="27">
        <f t="shared" si="62"/>
        <v>0</v>
      </c>
      <c r="M189" s="27">
        <f t="shared" si="62"/>
        <v>0</v>
      </c>
      <c r="N189" s="27">
        <f t="shared" si="62"/>
        <v>0</v>
      </c>
      <c r="O189" s="27">
        <f t="shared" si="62"/>
        <v>0</v>
      </c>
      <c r="P189" s="27">
        <f t="shared" si="62"/>
        <v>0</v>
      </c>
      <c r="Q189" s="27">
        <f t="shared" si="62"/>
        <v>0</v>
      </c>
      <c r="R189" s="27">
        <f t="shared" si="62"/>
        <v>0</v>
      </c>
      <c r="S189" s="27">
        <f t="shared" si="62"/>
        <v>0</v>
      </c>
      <c r="X189" s="61"/>
    </row>
    <row r="190" spans="2:24" hidden="1" x14ac:dyDescent="0.2">
      <c r="B190" s="60"/>
      <c r="E190" s="27" t="s">
        <v>1548</v>
      </c>
      <c r="F190" s="27">
        <f>SUM(H190:S190)</f>
        <v>0</v>
      </c>
      <c r="H190" s="27">
        <f t="shared" ref="H190:S190" si="63">SUM(H188:H189)</f>
        <v>0</v>
      </c>
      <c r="I190" s="27">
        <f t="shared" si="63"/>
        <v>0</v>
      </c>
      <c r="J190" s="27">
        <f t="shared" si="63"/>
        <v>0</v>
      </c>
      <c r="K190" s="27">
        <f t="shared" si="63"/>
        <v>0</v>
      </c>
      <c r="L190" s="27">
        <f t="shared" si="63"/>
        <v>0</v>
      </c>
      <c r="M190" s="27">
        <f t="shared" si="63"/>
        <v>0</v>
      </c>
      <c r="N190" s="27">
        <f t="shared" si="63"/>
        <v>0</v>
      </c>
      <c r="O190" s="27">
        <f t="shared" si="63"/>
        <v>0</v>
      </c>
      <c r="P190" s="27">
        <f t="shared" si="63"/>
        <v>0</v>
      </c>
      <c r="Q190" s="27">
        <f t="shared" si="63"/>
        <v>0</v>
      </c>
      <c r="R190" s="27">
        <f t="shared" si="63"/>
        <v>0</v>
      </c>
      <c r="S190" s="27">
        <f t="shared" si="63"/>
        <v>0</v>
      </c>
      <c r="X190" s="61"/>
    </row>
    <row r="191" spans="2:24" hidden="1" x14ac:dyDescent="0.2">
      <c r="B191" s="60"/>
      <c r="E191" s="27" t="str">
        <f>SB!E570</f>
        <v>Transportes</v>
      </c>
      <c r="H191" s="27">
        <f>SB!I570</f>
        <v>0.21</v>
      </c>
      <c r="X191" s="61"/>
    </row>
    <row r="192" spans="2:24" hidden="1" x14ac:dyDescent="0.2">
      <c r="B192" s="60"/>
      <c r="E192" s="27" t="s">
        <v>1553</v>
      </c>
      <c r="F192" s="27">
        <f>SUM(H192:S192)</f>
        <v>0</v>
      </c>
      <c r="H192" s="27">
        <f>SANDBOX!F79</f>
        <v>0</v>
      </c>
      <c r="I192" s="27">
        <f>SANDBOX!G79</f>
        <v>0</v>
      </c>
      <c r="J192" s="27">
        <f>SANDBOX!H79</f>
        <v>0</v>
      </c>
      <c r="K192" s="27">
        <f>SANDBOX!I79</f>
        <v>0</v>
      </c>
      <c r="L192" s="27">
        <f>SANDBOX!J79</f>
        <v>0</v>
      </c>
      <c r="M192" s="27">
        <f>SANDBOX!K79</f>
        <v>0</v>
      </c>
      <c r="N192" s="27">
        <f>SANDBOX!L79</f>
        <v>0</v>
      </c>
      <c r="O192" s="27">
        <f>SANDBOX!M79</f>
        <v>0</v>
      </c>
      <c r="P192" s="27">
        <f>SANDBOX!N79</f>
        <v>0</v>
      </c>
      <c r="Q192" s="27">
        <f>SANDBOX!O79</f>
        <v>0</v>
      </c>
      <c r="R192" s="27">
        <f>SANDBOX!P79</f>
        <v>0</v>
      </c>
      <c r="S192" s="27">
        <f>SANDBOX!Q79</f>
        <v>0</v>
      </c>
      <c r="X192" s="61"/>
    </row>
    <row r="193" spans="2:24" hidden="1" x14ac:dyDescent="0.2">
      <c r="B193" s="60"/>
      <c r="E193" s="27" t="s">
        <v>1543</v>
      </c>
      <c r="F193" s="27">
        <f>SUM(H193:S193)</f>
        <v>0</v>
      </c>
      <c r="H193" s="27">
        <f t="shared" ref="H193:S193" si="64">+H192*$H191</f>
        <v>0</v>
      </c>
      <c r="I193" s="27">
        <f t="shared" si="64"/>
        <v>0</v>
      </c>
      <c r="J193" s="27">
        <f t="shared" si="64"/>
        <v>0</v>
      </c>
      <c r="K193" s="27">
        <f t="shared" si="64"/>
        <v>0</v>
      </c>
      <c r="L193" s="27">
        <f t="shared" si="64"/>
        <v>0</v>
      </c>
      <c r="M193" s="27">
        <f t="shared" si="64"/>
        <v>0</v>
      </c>
      <c r="N193" s="27">
        <f t="shared" si="64"/>
        <v>0</v>
      </c>
      <c r="O193" s="27">
        <f t="shared" si="64"/>
        <v>0</v>
      </c>
      <c r="P193" s="27">
        <f t="shared" si="64"/>
        <v>0</v>
      </c>
      <c r="Q193" s="27">
        <f t="shared" si="64"/>
        <v>0</v>
      </c>
      <c r="R193" s="27">
        <f t="shared" si="64"/>
        <v>0</v>
      </c>
      <c r="S193" s="27">
        <f t="shared" si="64"/>
        <v>0</v>
      </c>
      <c r="X193" s="61"/>
    </row>
    <row r="194" spans="2:24" hidden="1" x14ac:dyDescent="0.2">
      <c r="B194" s="60"/>
      <c r="E194" s="27" t="s">
        <v>1548</v>
      </c>
      <c r="F194" s="27">
        <f>SUM(H194:S194)</f>
        <v>0</v>
      </c>
      <c r="H194" s="27">
        <f t="shared" ref="H194:S194" si="65">SUM(H192:H193)</f>
        <v>0</v>
      </c>
      <c r="I194" s="27">
        <f t="shared" si="65"/>
        <v>0</v>
      </c>
      <c r="J194" s="27">
        <f t="shared" si="65"/>
        <v>0</v>
      </c>
      <c r="K194" s="27">
        <f t="shared" si="65"/>
        <v>0</v>
      </c>
      <c r="L194" s="27">
        <f t="shared" si="65"/>
        <v>0</v>
      </c>
      <c r="M194" s="27">
        <f t="shared" si="65"/>
        <v>0</v>
      </c>
      <c r="N194" s="27">
        <f t="shared" si="65"/>
        <v>0</v>
      </c>
      <c r="O194" s="27">
        <f t="shared" si="65"/>
        <v>0</v>
      </c>
      <c r="P194" s="27">
        <f t="shared" si="65"/>
        <v>0</v>
      </c>
      <c r="Q194" s="27">
        <f t="shared" si="65"/>
        <v>0</v>
      </c>
      <c r="R194" s="27">
        <f t="shared" si="65"/>
        <v>0</v>
      </c>
      <c r="S194" s="27">
        <f t="shared" si="65"/>
        <v>0</v>
      </c>
      <c r="X194" s="61"/>
    </row>
    <row r="195" spans="2:24" hidden="1" x14ac:dyDescent="0.2">
      <c r="B195" s="60"/>
      <c r="D195" s="27">
        <v>9</v>
      </c>
      <c r="E195" s="27" t="s">
        <v>1388</v>
      </c>
      <c r="H195" s="27">
        <f>SB!$I$573</f>
        <v>0</v>
      </c>
      <c r="X195" s="61"/>
    </row>
    <row r="196" spans="2:24" hidden="1" x14ac:dyDescent="0.2">
      <c r="B196" s="60"/>
      <c r="E196" s="27" t="s">
        <v>1553</v>
      </c>
      <c r="F196" s="27">
        <f>SUM(H196:S196)</f>
        <v>0</v>
      </c>
      <c r="H196" s="27">
        <f>INFORME!G138</f>
        <v>0</v>
      </c>
      <c r="I196" s="27">
        <f>INFORME!H138</f>
        <v>0</v>
      </c>
      <c r="J196" s="27">
        <f>INFORME!I138</f>
        <v>0</v>
      </c>
      <c r="K196" s="27">
        <f>INFORME!J138</f>
        <v>0</v>
      </c>
      <c r="L196" s="27">
        <f>INFORME!K138</f>
        <v>0</v>
      </c>
      <c r="M196" s="27">
        <f>INFORME!L138</f>
        <v>0</v>
      </c>
      <c r="N196" s="27">
        <f>INFORME!M138</f>
        <v>0</v>
      </c>
      <c r="O196" s="27">
        <f>INFORME!N138</f>
        <v>0</v>
      </c>
      <c r="P196" s="27">
        <f>INFORME!O138</f>
        <v>0</v>
      </c>
      <c r="Q196" s="27">
        <f>INFORME!P138</f>
        <v>0</v>
      </c>
      <c r="R196" s="27">
        <f>INFORME!Q138</f>
        <v>0</v>
      </c>
      <c r="S196" s="27">
        <f>INFORME!R138</f>
        <v>0</v>
      </c>
      <c r="X196" s="61"/>
    </row>
    <row r="197" spans="2:24" hidden="1" x14ac:dyDescent="0.2">
      <c r="B197" s="60"/>
      <c r="E197" s="27" t="s">
        <v>1543</v>
      </c>
      <c r="F197" s="27">
        <f>SUM(H197:S197)</f>
        <v>0</v>
      </c>
      <c r="H197" s="27">
        <f t="shared" ref="H197:S197" si="66">+H196*$H195</f>
        <v>0</v>
      </c>
      <c r="I197" s="27">
        <f t="shared" si="66"/>
        <v>0</v>
      </c>
      <c r="J197" s="27">
        <f t="shared" si="66"/>
        <v>0</v>
      </c>
      <c r="K197" s="27">
        <f t="shared" si="66"/>
        <v>0</v>
      </c>
      <c r="L197" s="27">
        <f t="shared" si="66"/>
        <v>0</v>
      </c>
      <c r="M197" s="27">
        <f t="shared" si="66"/>
        <v>0</v>
      </c>
      <c r="N197" s="27">
        <f t="shared" si="66"/>
        <v>0</v>
      </c>
      <c r="O197" s="27">
        <f t="shared" si="66"/>
        <v>0</v>
      </c>
      <c r="P197" s="27">
        <f t="shared" si="66"/>
        <v>0</v>
      </c>
      <c r="Q197" s="27">
        <f t="shared" si="66"/>
        <v>0</v>
      </c>
      <c r="R197" s="27">
        <f t="shared" si="66"/>
        <v>0</v>
      </c>
      <c r="S197" s="27">
        <f t="shared" si="66"/>
        <v>0</v>
      </c>
      <c r="X197" s="61"/>
    </row>
    <row r="198" spans="2:24" hidden="1" x14ac:dyDescent="0.2">
      <c r="B198" s="60"/>
      <c r="E198" s="27" t="s">
        <v>1548</v>
      </c>
      <c r="F198" s="27">
        <f>SUM(H198:S198)</f>
        <v>0</v>
      </c>
      <c r="H198" s="27">
        <f t="shared" ref="H198:S198" si="67">SUM(H196:H197)</f>
        <v>0</v>
      </c>
      <c r="I198" s="27">
        <f t="shared" si="67"/>
        <v>0</v>
      </c>
      <c r="J198" s="27">
        <f t="shared" si="67"/>
        <v>0</v>
      </c>
      <c r="K198" s="27">
        <f t="shared" si="67"/>
        <v>0</v>
      </c>
      <c r="L198" s="27">
        <f t="shared" si="67"/>
        <v>0</v>
      </c>
      <c r="M198" s="27">
        <f t="shared" si="67"/>
        <v>0</v>
      </c>
      <c r="N198" s="27">
        <f t="shared" si="67"/>
        <v>0</v>
      </c>
      <c r="O198" s="27">
        <f t="shared" si="67"/>
        <v>0</v>
      </c>
      <c r="P198" s="27">
        <f t="shared" si="67"/>
        <v>0</v>
      </c>
      <c r="Q198" s="27">
        <f t="shared" si="67"/>
        <v>0</v>
      </c>
      <c r="R198" s="27">
        <f t="shared" si="67"/>
        <v>0</v>
      </c>
      <c r="S198" s="27">
        <f t="shared" si="67"/>
        <v>0</v>
      </c>
      <c r="X198" s="61"/>
    </row>
    <row r="199" spans="2:24" hidden="1" x14ac:dyDescent="0.2">
      <c r="B199" s="60"/>
      <c r="D199" s="27">
        <v>10</v>
      </c>
      <c r="E199" s="27" t="s">
        <v>1389</v>
      </c>
      <c r="H199" s="27">
        <f>SB!$I$577</f>
        <v>0.21</v>
      </c>
      <c r="X199" s="61"/>
    </row>
    <row r="200" spans="2:24" hidden="1" x14ac:dyDescent="0.2">
      <c r="B200" s="60"/>
      <c r="E200" s="27" t="s">
        <v>1553</v>
      </c>
      <c r="F200" s="27">
        <f>SUM(H200:S200)</f>
        <v>0</v>
      </c>
      <c r="H200" s="27">
        <f>SANDBOX!F85</f>
        <v>0</v>
      </c>
      <c r="I200" s="27">
        <f>SANDBOX!G85</f>
        <v>0</v>
      </c>
      <c r="J200" s="27">
        <f>SANDBOX!H85</f>
        <v>0</v>
      </c>
      <c r="K200" s="27">
        <f>SANDBOX!I85</f>
        <v>0</v>
      </c>
      <c r="L200" s="27">
        <f>SANDBOX!J85</f>
        <v>0</v>
      </c>
      <c r="M200" s="27">
        <f>SANDBOX!K85</f>
        <v>0</v>
      </c>
      <c r="N200" s="27">
        <f>SANDBOX!L85</f>
        <v>0</v>
      </c>
      <c r="O200" s="27">
        <f>SANDBOX!M85</f>
        <v>0</v>
      </c>
      <c r="P200" s="27">
        <f>SANDBOX!N85</f>
        <v>0</v>
      </c>
      <c r="Q200" s="27">
        <f>SANDBOX!O85</f>
        <v>0</v>
      </c>
      <c r="R200" s="27">
        <f>SANDBOX!P85</f>
        <v>0</v>
      </c>
      <c r="S200" s="27">
        <f>SANDBOX!Q85</f>
        <v>0</v>
      </c>
      <c r="X200" s="61"/>
    </row>
    <row r="201" spans="2:24" hidden="1" x14ac:dyDescent="0.2">
      <c r="B201" s="60"/>
      <c r="E201" s="27" t="s">
        <v>1543</v>
      </c>
      <c r="F201" s="27">
        <f>SUM(H201:S201)</f>
        <v>0</v>
      </c>
      <c r="H201" s="27">
        <f t="shared" ref="H201:S201" si="68">+H200*$H199</f>
        <v>0</v>
      </c>
      <c r="I201" s="27">
        <f t="shared" si="68"/>
        <v>0</v>
      </c>
      <c r="J201" s="27">
        <f t="shared" si="68"/>
        <v>0</v>
      </c>
      <c r="K201" s="27">
        <f t="shared" si="68"/>
        <v>0</v>
      </c>
      <c r="L201" s="27">
        <f t="shared" si="68"/>
        <v>0</v>
      </c>
      <c r="M201" s="27">
        <f t="shared" si="68"/>
        <v>0</v>
      </c>
      <c r="N201" s="27">
        <f t="shared" si="68"/>
        <v>0</v>
      </c>
      <c r="O201" s="27">
        <f t="shared" si="68"/>
        <v>0</v>
      </c>
      <c r="P201" s="27">
        <f t="shared" si="68"/>
        <v>0</v>
      </c>
      <c r="Q201" s="27">
        <f t="shared" si="68"/>
        <v>0</v>
      </c>
      <c r="R201" s="27">
        <f t="shared" si="68"/>
        <v>0</v>
      </c>
      <c r="S201" s="27">
        <f t="shared" si="68"/>
        <v>0</v>
      </c>
      <c r="X201" s="61"/>
    </row>
    <row r="202" spans="2:24" hidden="1" x14ac:dyDescent="0.2">
      <c r="B202" s="60"/>
      <c r="E202" s="27" t="s">
        <v>1548</v>
      </c>
      <c r="F202" s="27">
        <f>SUM(H202:S202)</f>
        <v>0</v>
      </c>
      <c r="H202" s="27">
        <f t="shared" ref="H202:S202" si="69">SUM(H200:H201)</f>
        <v>0</v>
      </c>
      <c r="I202" s="27">
        <f t="shared" si="69"/>
        <v>0</v>
      </c>
      <c r="J202" s="27">
        <f t="shared" si="69"/>
        <v>0</v>
      </c>
      <c r="K202" s="27">
        <f t="shared" si="69"/>
        <v>0</v>
      </c>
      <c r="L202" s="27">
        <f t="shared" si="69"/>
        <v>0</v>
      </c>
      <c r="M202" s="27">
        <f t="shared" si="69"/>
        <v>0</v>
      </c>
      <c r="N202" s="27">
        <f t="shared" si="69"/>
        <v>0</v>
      </c>
      <c r="O202" s="27">
        <f t="shared" si="69"/>
        <v>0</v>
      </c>
      <c r="P202" s="27">
        <f t="shared" si="69"/>
        <v>0</v>
      </c>
      <c r="Q202" s="27">
        <f t="shared" si="69"/>
        <v>0</v>
      </c>
      <c r="R202" s="27">
        <f t="shared" si="69"/>
        <v>0</v>
      </c>
      <c r="S202" s="27">
        <f t="shared" si="69"/>
        <v>0</v>
      </c>
      <c r="X202" s="61"/>
    </row>
    <row r="203" spans="2:24" hidden="1" x14ac:dyDescent="0.2">
      <c r="B203" s="60"/>
      <c r="E203" s="27" t="s">
        <v>697</v>
      </c>
      <c r="X203" s="61"/>
    </row>
    <row r="204" spans="2:24" hidden="1" x14ac:dyDescent="0.2">
      <c r="B204" s="60"/>
      <c r="E204" s="27" t="s">
        <v>696</v>
      </c>
      <c r="F204" s="27">
        <f t="shared" ref="F204:S204" si="70">+F200+F196+F192+F188+F184+F180+F176+F172+F168+F164+F160+F156+F151+F146+F141+F135+F129+F124+F116</f>
        <v>0</v>
      </c>
      <c r="G204" s="27">
        <f t="shared" si="70"/>
        <v>0</v>
      </c>
      <c r="H204" s="27">
        <f t="shared" si="70"/>
        <v>0</v>
      </c>
      <c r="I204" s="27">
        <f t="shared" si="70"/>
        <v>0</v>
      </c>
      <c r="J204" s="27">
        <f t="shared" si="70"/>
        <v>0</v>
      </c>
      <c r="K204" s="27">
        <f t="shared" si="70"/>
        <v>0</v>
      </c>
      <c r="L204" s="27">
        <f t="shared" si="70"/>
        <v>0</v>
      </c>
      <c r="M204" s="27">
        <f t="shared" si="70"/>
        <v>0</v>
      </c>
      <c r="N204" s="27">
        <f t="shared" si="70"/>
        <v>0</v>
      </c>
      <c r="O204" s="27">
        <f t="shared" si="70"/>
        <v>0</v>
      </c>
      <c r="P204" s="27">
        <f t="shared" si="70"/>
        <v>0</v>
      </c>
      <c r="Q204" s="27">
        <f t="shared" si="70"/>
        <v>0</v>
      </c>
      <c r="R204" s="27">
        <f t="shared" si="70"/>
        <v>0</v>
      </c>
      <c r="S204" s="27">
        <f t="shared" si="70"/>
        <v>0</v>
      </c>
      <c r="X204" s="61"/>
    </row>
    <row r="205" spans="2:24" hidden="1" x14ac:dyDescent="0.2">
      <c r="B205" s="60"/>
      <c r="E205" s="27" t="s">
        <v>1543</v>
      </c>
      <c r="F205" s="27">
        <f t="shared" ref="F205:S205" si="71">+F201+F197+F193+F189+F185+F181+F177+F173+F169+F165+F161+F157+F152+F147+F142+F136+F130+F125+F117</f>
        <v>0</v>
      </c>
      <c r="G205" s="27">
        <f t="shared" si="71"/>
        <v>0</v>
      </c>
      <c r="H205" s="27">
        <f t="shared" si="71"/>
        <v>0</v>
      </c>
      <c r="I205" s="27">
        <f t="shared" si="71"/>
        <v>0</v>
      </c>
      <c r="J205" s="27">
        <f t="shared" si="71"/>
        <v>0</v>
      </c>
      <c r="K205" s="27">
        <f t="shared" si="71"/>
        <v>0</v>
      </c>
      <c r="L205" s="27">
        <f t="shared" si="71"/>
        <v>0</v>
      </c>
      <c r="M205" s="27">
        <f t="shared" si="71"/>
        <v>0</v>
      </c>
      <c r="N205" s="27">
        <f t="shared" si="71"/>
        <v>0</v>
      </c>
      <c r="O205" s="27">
        <f t="shared" si="71"/>
        <v>0</v>
      </c>
      <c r="P205" s="27">
        <f t="shared" si="71"/>
        <v>0</v>
      </c>
      <c r="Q205" s="27">
        <f t="shared" si="71"/>
        <v>0</v>
      </c>
      <c r="R205" s="27">
        <f t="shared" si="71"/>
        <v>0</v>
      </c>
      <c r="S205" s="27">
        <f t="shared" si="71"/>
        <v>0</v>
      </c>
      <c r="X205" s="61"/>
    </row>
    <row r="206" spans="2:24" hidden="1" x14ac:dyDescent="0.2">
      <c r="B206" s="60"/>
      <c r="E206" s="27" t="s">
        <v>1548</v>
      </c>
      <c r="F206" s="27">
        <f t="shared" ref="F206:S206" si="72">+F202+F198+F194+F190+F186+F182+F178+F174+F170+F166+F162+F158+F153+F148+F143+F137+F131+F126+F118</f>
        <v>0</v>
      </c>
      <c r="G206" s="27">
        <f t="shared" si="72"/>
        <v>0</v>
      </c>
      <c r="H206" s="27">
        <f t="shared" si="72"/>
        <v>0</v>
      </c>
      <c r="I206" s="27">
        <f t="shared" si="72"/>
        <v>0</v>
      </c>
      <c r="J206" s="27">
        <f t="shared" si="72"/>
        <v>0</v>
      </c>
      <c r="K206" s="27">
        <f t="shared" si="72"/>
        <v>0</v>
      </c>
      <c r="L206" s="27">
        <f t="shared" si="72"/>
        <v>0</v>
      </c>
      <c r="M206" s="27">
        <f t="shared" si="72"/>
        <v>0</v>
      </c>
      <c r="N206" s="27">
        <f t="shared" si="72"/>
        <v>0</v>
      </c>
      <c r="O206" s="27">
        <f t="shared" si="72"/>
        <v>0</v>
      </c>
      <c r="P206" s="27">
        <f t="shared" si="72"/>
        <v>0</v>
      </c>
      <c r="Q206" s="27">
        <f t="shared" si="72"/>
        <v>0</v>
      </c>
      <c r="R206" s="27">
        <f t="shared" si="72"/>
        <v>0</v>
      </c>
      <c r="S206" s="27">
        <f t="shared" si="72"/>
        <v>0</v>
      </c>
      <c r="X206" s="61"/>
    </row>
    <row r="207" spans="2:24" hidden="1" x14ac:dyDescent="0.2">
      <c r="B207" s="60"/>
      <c r="X207" s="61"/>
    </row>
    <row r="208" spans="2:24" hidden="1" x14ac:dyDescent="0.2">
      <c r="B208" s="60"/>
      <c r="E208" s="27" t="s">
        <v>1451</v>
      </c>
      <c r="G208" s="27" t="s">
        <v>839</v>
      </c>
      <c r="O208" s="27" t="s">
        <v>1367</v>
      </c>
      <c r="P208" s="27" t="str">
        <f>IF(F209=F210,"OK","CUIDADO")</f>
        <v>OK</v>
      </c>
      <c r="Q208" s="27" t="s">
        <v>1392</v>
      </c>
      <c r="R208" s="27" t="str">
        <f>IF(F212=F214,"OK","CUIDADO")</f>
        <v>OK</v>
      </c>
      <c r="X208" s="61"/>
    </row>
    <row r="209" spans="2:24" hidden="1" x14ac:dyDescent="0.2">
      <c r="B209" s="60"/>
      <c r="E209" s="27" t="s">
        <v>977</v>
      </c>
      <c r="F209" s="27">
        <f>SUM(G209:R209)</f>
        <v>0</v>
      </c>
      <c r="G209" s="27">
        <f t="shared" ref="G209:R209" si="73">+H92+H101+H108</f>
        <v>0</v>
      </c>
      <c r="H209" s="27">
        <f t="shared" si="73"/>
        <v>0</v>
      </c>
      <c r="I209" s="27">
        <f t="shared" si="73"/>
        <v>0</v>
      </c>
      <c r="J209" s="27">
        <f t="shared" si="73"/>
        <v>0</v>
      </c>
      <c r="K209" s="27">
        <f t="shared" si="73"/>
        <v>0</v>
      </c>
      <c r="L209" s="27">
        <f t="shared" si="73"/>
        <v>0</v>
      </c>
      <c r="M209" s="27">
        <f t="shared" si="73"/>
        <v>0</v>
      </c>
      <c r="N209" s="27">
        <f t="shared" si="73"/>
        <v>0</v>
      </c>
      <c r="O209" s="27">
        <f t="shared" si="73"/>
        <v>0</v>
      </c>
      <c r="P209" s="27">
        <f t="shared" si="73"/>
        <v>0</v>
      </c>
      <c r="Q209" s="27">
        <f t="shared" si="73"/>
        <v>0</v>
      </c>
      <c r="R209" s="27">
        <f t="shared" si="73"/>
        <v>0</v>
      </c>
      <c r="X209" s="61"/>
    </row>
    <row r="210" spans="2:24" hidden="1" x14ac:dyDescent="0.2">
      <c r="B210" s="60"/>
      <c r="F210" s="27">
        <f>SUM(G210:R210)</f>
        <v>0</v>
      </c>
      <c r="G210" s="27">
        <f>+INFORME!G83+SB!F635+INFORME!G87</f>
        <v>0</v>
      </c>
      <c r="H210" s="27">
        <f>+INFORME!H83+SB!G635+INFORME!H87</f>
        <v>0</v>
      </c>
      <c r="I210" s="27">
        <f>+INFORME!I83+SB!H635+INFORME!I87</f>
        <v>0</v>
      </c>
      <c r="J210" s="27">
        <f>+INFORME!J83+SB!I635+INFORME!J87</f>
        <v>0</v>
      </c>
      <c r="K210" s="27">
        <f>+INFORME!K83+SB!J635+INFORME!K87</f>
        <v>0</v>
      </c>
      <c r="L210" s="27">
        <f>+INFORME!L83+SB!K635+INFORME!L87</f>
        <v>0</v>
      </c>
      <c r="M210" s="27">
        <f>+INFORME!M83+SB!L635+INFORME!M87</f>
        <v>0</v>
      </c>
      <c r="N210" s="27">
        <f>+INFORME!N83+SB!M635+INFORME!N87</f>
        <v>0</v>
      </c>
      <c r="O210" s="27">
        <f>+INFORME!O83+SB!N635+INFORME!O87</f>
        <v>0</v>
      </c>
      <c r="P210" s="27">
        <f>+INFORME!P83+SB!O635+INFORME!P87</f>
        <v>0</v>
      </c>
      <c r="Q210" s="27">
        <f>+INFORME!Q83+SB!P635+INFORME!Q87</f>
        <v>0</v>
      </c>
      <c r="R210" s="27">
        <f>+INFORME!R83+SB!Q635+INFORME!R87</f>
        <v>0</v>
      </c>
      <c r="X210" s="61"/>
    </row>
    <row r="211" spans="2:24" hidden="1" x14ac:dyDescent="0.2">
      <c r="B211" s="60"/>
      <c r="X211" s="61"/>
    </row>
    <row r="212" spans="2:24" hidden="1" x14ac:dyDescent="0.2">
      <c r="B212" s="60"/>
      <c r="E212" s="27" t="s">
        <v>976</v>
      </c>
      <c r="F212" s="27">
        <f>SUM(G212:R212)</f>
        <v>0</v>
      </c>
      <c r="G212" s="27">
        <f t="shared" ref="G212:R212" si="74">+H124+H129+H135+H141+H146+H151+H156+H160+H164+H168+H172+H176+H180+H184+H188+H192+H196+H200+H115</f>
        <v>0</v>
      </c>
      <c r="H212" s="27">
        <f t="shared" si="74"/>
        <v>0</v>
      </c>
      <c r="I212" s="27">
        <f t="shared" si="74"/>
        <v>0</v>
      </c>
      <c r="J212" s="27">
        <f t="shared" si="74"/>
        <v>0</v>
      </c>
      <c r="K212" s="27">
        <f t="shared" si="74"/>
        <v>0</v>
      </c>
      <c r="L212" s="27">
        <f t="shared" si="74"/>
        <v>0</v>
      </c>
      <c r="M212" s="27">
        <f t="shared" si="74"/>
        <v>0</v>
      </c>
      <c r="N212" s="27">
        <f t="shared" si="74"/>
        <v>0</v>
      </c>
      <c r="O212" s="27">
        <f t="shared" si="74"/>
        <v>0</v>
      </c>
      <c r="P212" s="27">
        <f t="shared" si="74"/>
        <v>0</v>
      </c>
      <c r="Q212" s="27">
        <f t="shared" si="74"/>
        <v>0</v>
      </c>
      <c r="R212" s="27">
        <f t="shared" si="74"/>
        <v>0</v>
      </c>
      <c r="X212" s="61"/>
    </row>
    <row r="213" spans="2:24" hidden="1" x14ac:dyDescent="0.2">
      <c r="B213" s="60"/>
      <c r="E213" s="27" t="s">
        <v>1450</v>
      </c>
      <c r="F213" s="27">
        <f>SUM(G213:R213)</f>
        <v>0</v>
      </c>
      <c r="G213" s="27">
        <f>+INFORME!G127+INFORME!G138+INFORME!G114+INFORME!G108+INFORME!G98+INFORME!G95-(SANDBOX!Q106+SANDBOX!Q114+SANDBOX!Q118)</f>
        <v>0</v>
      </c>
      <c r="H213" s="27">
        <f>+INFORME!H127+INFORME!H138+INFORME!H114+INFORME!H108+INFORME!H98+INFORME!H95</f>
        <v>0</v>
      </c>
      <c r="I213" s="27">
        <f>+INFORME!I127+INFORME!I138+INFORME!I114+INFORME!I108+INFORME!I98+INFORME!I95</f>
        <v>0</v>
      </c>
      <c r="J213" s="27">
        <f>+INFORME!J127+INFORME!J138+INFORME!J114+INFORME!J108+INFORME!J98+INFORME!J95</f>
        <v>0</v>
      </c>
      <c r="K213" s="27">
        <f>+INFORME!K127+INFORME!K138+INFORME!K114+INFORME!K108+INFORME!K98+INFORME!K95</f>
        <v>0</v>
      </c>
      <c r="L213" s="27">
        <f>+INFORME!L127+INFORME!L138+INFORME!L114+INFORME!L108+INFORME!L98+INFORME!L95</f>
        <v>0</v>
      </c>
      <c r="M213" s="27">
        <f>+INFORME!M127+INFORME!M138+INFORME!M114+INFORME!M108+INFORME!M98+INFORME!M95</f>
        <v>0</v>
      </c>
      <c r="N213" s="27">
        <f>+INFORME!N127+INFORME!N138+INFORME!N114+INFORME!N108+INFORME!N98+INFORME!N95</f>
        <v>0</v>
      </c>
      <c r="O213" s="27">
        <f>+INFORME!O127+INFORME!O138+INFORME!O114+INFORME!O108+INFORME!O98+INFORME!O95</f>
        <v>0</v>
      </c>
      <c r="P213" s="27">
        <f>+INFORME!P127+INFORME!P138+INFORME!P114+INFORME!P108+INFORME!P98+INFORME!P95</f>
        <v>0</v>
      </c>
      <c r="Q213" s="27">
        <f>+INFORME!Q127+INFORME!Q138+INFORME!Q114+INFORME!Q108+INFORME!Q98+INFORME!Q95</f>
        <v>0</v>
      </c>
      <c r="R213" s="27">
        <f>+INFORME!R127+INFORME!R138+INFORME!R114+INFORME!R108+INFORME!R98+INFORME!R95</f>
        <v>0</v>
      </c>
      <c r="X213" s="61"/>
    </row>
    <row r="214" spans="2:24" hidden="1" x14ac:dyDescent="0.2">
      <c r="B214" s="60"/>
      <c r="E214" s="27" t="s">
        <v>978</v>
      </c>
      <c r="F214" s="27">
        <f>SUM(G214:R214)</f>
        <v>0</v>
      </c>
      <c r="G214" s="27">
        <f>+G213-INFORME!G119</f>
        <v>0</v>
      </c>
      <c r="H214" s="27">
        <f>+H213-INFORME!H119</f>
        <v>0</v>
      </c>
      <c r="I214" s="27">
        <f>+I213-INFORME!I119</f>
        <v>0</v>
      </c>
      <c r="J214" s="27">
        <f>+J213-INFORME!J119</f>
        <v>0</v>
      </c>
      <c r="K214" s="27">
        <f>+K213-INFORME!K119</f>
        <v>0</v>
      </c>
      <c r="L214" s="27">
        <f>+L213-INFORME!L119</f>
        <v>0</v>
      </c>
      <c r="M214" s="27">
        <f>+M213-INFORME!M119</f>
        <v>0</v>
      </c>
      <c r="N214" s="27">
        <f>+N213-INFORME!N119</f>
        <v>0</v>
      </c>
      <c r="O214" s="27">
        <f>+O213-INFORME!O119</f>
        <v>0</v>
      </c>
      <c r="P214" s="27">
        <f>+P213-INFORME!P119</f>
        <v>0</v>
      </c>
      <c r="Q214" s="27">
        <f>+Q213-INFORME!Q119</f>
        <v>0</v>
      </c>
      <c r="R214" s="27">
        <f>+R213-INFORME!R119</f>
        <v>0</v>
      </c>
      <c r="X214" s="61"/>
    </row>
    <row r="215" spans="2:24" hidden="1" x14ac:dyDescent="0.2">
      <c r="B215" s="60"/>
      <c r="X215" s="61"/>
    </row>
    <row r="216" spans="2:24" hidden="1" x14ac:dyDescent="0.2">
      <c r="B216" s="60"/>
      <c r="E216" s="27" t="s">
        <v>842</v>
      </c>
      <c r="G216" s="27" t="str">
        <f>CTesorería!$X$127</f>
        <v>OK</v>
      </c>
      <c r="H216" s="27" t="s">
        <v>843</v>
      </c>
      <c r="X216" s="61"/>
    </row>
    <row r="217" spans="2:24" hidden="1" x14ac:dyDescent="0.2">
      <c r="B217" s="60"/>
      <c r="X217" s="61"/>
    </row>
    <row r="218" spans="2:24" hidden="1" x14ac:dyDescent="0.2">
      <c r="B218" s="60"/>
      <c r="D218" s="27">
        <v>11</v>
      </c>
      <c r="E218" s="27" t="s">
        <v>1201</v>
      </c>
      <c r="N218" s="27" t="str">
        <f>IF(F220=SANDBOX!D31,"OK","ERROR")</f>
        <v>OK</v>
      </c>
      <c r="X218" s="61"/>
    </row>
    <row r="219" spans="2:24" hidden="1" x14ac:dyDescent="0.2">
      <c r="B219" s="60"/>
      <c r="E219" s="27" t="s">
        <v>1546</v>
      </c>
      <c r="H219" s="27">
        <f>SB!$I$459</f>
        <v>0.21</v>
      </c>
      <c r="I219" s="27" t="s">
        <v>844</v>
      </c>
      <c r="X219" s="61"/>
    </row>
    <row r="220" spans="2:24" hidden="1" x14ac:dyDescent="0.2">
      <c r="B220" s="60"/>
      <c r="E220" s="27" t="s">
        <v>1553</v>
      </c>
      <c r="F220" s="27">
        <f>SUM(G220:S220)</f>
        <v>0</v>
      </c>
      <c r="G220" s="27">
        <f>SANDBOX!E31</f>
        <v>0</v>
      </c>
      <c r="H220" s="27">
        <f>SANDBOX!F31</f>
        <v>0</v>
      </c>
      <c r="I220" s="27">
        <f>SANDBOX!G31</f>
        <v>0</v>
      </c>
      <c r="J220" s="27">
        <f>SANDBOX!H31</f>
        <v>0</v>
      </c>
      <c r="K220" s="27">
        <f>SANDBOX!I31</f>
        <v>0</v>
      </c>
      <c r="L220" s="27">
        <f>SANDBOX!J31</f>
        <v>0</v>
      </c>
      <c r="M220" s="27">
        <f>SANDBOX!K31</f>
        <v>0</v>
      </c>
      <c r="N220" s="27">
        <f>SANDBOX!L31</f>
        <v>0</v>
      </c>
      <c r="O220" s="27">
        <f>SANDBOX!M31</f>
        <v>0</v>
      </c>
      <c r="P220" s="27">
        <f>SANDBOX!N31</f>
        <v>0</v>
      </c>
      <c r="Q220" s="27">
        <f>SANDBOX!O31</f>
        <v>0</v>
      </c>
      <c r="R220" s="27">
        <f>SANDBOX!P31</f>
        <v>0</v>
      </c>
      <c r="S220" s="27">
        <f>SANDBOX!Q31</f>
        <v>0</v>
      </c>
      <c r="X220" s="61"/>
    </row>
    <row r="221" spans="2:24" hidden="1" x14ac:dyDescent="0.2">
      <c r="B221" s="60"/>
      <c r="E221" s="27" t="s">
        <v>1543</v>
      </c>
      <c r="F221" s="27">
        <f>SUM(H221:S221)</f>
        <v>0</v>
      </c>
      <c r="G221" s="27">
        <f t="shared" ref="G221:M221" si="75">+G220*$H219</f>
        <v>0</v>
      </c>
      <c r="H221" s="27">
        <f t="shared" si="75"/>
        <v>0</v>
      </c>
      <c r="I221" s="27">
        <f t="shared" si="75"/>
        <v>0</v>
      </c>
      <c r="J221" s="27">
        <f t="shared" si="75"/>
        <v>0</v>
      </c>
      <c r="K221" s="27">
        <f t="shared" si="75"/>
        <v>0</v>
      </c>
      <c r="L221" s="27">
        <f t="shared" si="75"/>
        <v>0</v>
      </c>
      <c r="M221" s="27">
        <f t="shared" si="75"/>
        <v>0</v>
      </c>
      <c r="N221" s="27">
        <f t="shared" ref="N221:S221" si="76">+N220*$H219</f>
        <v>0</v>
      </c>
      <c r="O221" s="27">
        <f t="shared" si="76"/>
        <v>0</v>
      </c>
      <c r="P221" s="27">
        <f t="shared" si="76"/>
        <v>0</v>
      </c>
      <c r="Q221" s="27">
        <f t="shared" si="76"/>
        <v>0</v>
      </c>
      <c r="R221" s="27">
        <f t="shared" si="76"/>
        <v>0</v>
      </c>
      <c r="S221" s="27">
        <f t="shared" si="76"/>
        <v>0</v>
      </c>
      <c r="X221" s="61"/>
    </row>
    <row r="222" spans="2:24" hidden="1" x14ac:dyDescent="0.2">
      <c r="B222" s="60"/>
      <c r="E222" s="27" t="s">
        <v>1548</v>
      </c>
      <c r="F222" s="27">
        <f>SUM(H222:S222)</f>
        <v>0</v>
      </c>
      <c r="G222" s="27">
        <f t="shared" ref="G222:M222" si="77">SUM(G220:G221)</f>
        <v>0</v>
      </c>
      <c r="H222" s="27">
        <f t="shared" si="77"/>
        <v>0</v>
      </c>
      <c r="I222" s="27">
        <f t="shared" si="77"/>
        <v>0</v>
      </c>
      <c r="J222" s="27">
        <f t="shared" si="77"/>
        <v>0</v>
      </c>
      <c r="K222" s="27">
        <f t="shared" si="77"/>
        <v>0</v>
      </c>
      <c r="L222" s="27">
        <f t="shared" si="77"/>
        <v>0</v>
      </c>
      <c r="M222" s="27">
        <f t="shared" si="77"/>
        <v>0</v>
      </c>
      <c r="N222" s="27">
        <f t="shared" ref="N222:S222" si="78">SUM(N220:N221)</f>
        <v>0</v>
      </c>
      <c r="O222" s="27">
        <f t="shared" si="78"/>
        <v>0</v>
      </c>
      <c r="P222" s="27">
        <f t="shared" si="78"/>
        <v>0</v>
      </c>
      <c r="Q222" s="27">
        <f t="shared" si="78"/>
        <v>0</v>
      </c>
      <c r="R222" s="27">
        <f t="shared" si="78"/>
        <v>0</v>
      </c>
      <c r="S222" s="27">
        <f t="shared" si="78"/>
        <v>0</v>
      </c>
      <c r="X222" s="61"/>
    </row>
    <row r="223" spans="2:24" hidden="1" x14ac:dyDescent="0.2">
      <c r="B223" s="60"/>
      <c r="X223" s="61"/>
    </row>
    <row r="224" spans="2:24" hidden="1" x14ac:dyDescent="0.2">
      <c r="B224" s="60"/>
      <c r="E224" s="27" t="s">
        <v>855</v>
      </c>
      <c r="G224" s="27" t="s">
        <v>700</v>
      </c>
      <c r="H224" s="27" t="s">
        <v>1532</v>
      </c>
      <c r="I224" s="27" t="s">
        <v>1548</v>
      </c>
      <c r="K224" s="27" t="s">
        <v>840</v>
      </c>
      <c r="X224" s="61"/>
    </row>
    <row r="225" spans="2:24" hidden="1" x14ac:dyDescent="0.2">
      <c r="B225" s="60"/>
      <c r="E225" s="27" t="str">
        <f>SANDBOX!O106</f>
        <v>Costes de venta</v>
      </c>
      <c r="F225" s="27">
        <f>SANDBOX!Q106</f>
        <v>0</v>
      </c>
      <c r="G225" s="27">
        <f>SB!$I$455</f>
        <v>0.21</v>
      </c>
      <c r="H225" s="27">
        <f>+F225*G225</f>
        <v>0</v>
      </c>
      <c r="I225" s="27">
        <f>+H225+F225</f>
        <v>0</v>
      </c>
      <c r="J225" s="27" t="str">
        <f>IF(F225=SANDBOX!Q106,"OK","ERROR")</f>
        <v>OK</v>
      </c>
      <c r="K225" s="27" t="s">
        <v>490</v>
      </c>
      <c r="X225" s="61"/>
    </row>
    <row r="226" spans="2:24" hidden="1" x14ac:dyDescent="0.2">
      <c r="B226" s="60"/>
      <c r="K226" s="27" t="s">
        <v>857</v>
      </c>
      <c r="X226" s="61"/>
    </row>
    <row r="227" spans="2:24" hidden="1" x14ac:dyDescent="0.2">
      <c r="B227" s="60"/>
      <c r="E227" s="27" t="str">
        <f>SANDBOX!O114</f>
        <v>Marketing y ventas</v>
      </c>
      <c r="F227" s="27">
        <f>SANDBOX!Q114</f>
        <v>0</v>
      </c>
      <c r="G227" s="27">
        <f>+G225</f>
        <v>0.21</v>
      </c>
      <c r="H227" s="27">
        <f>+F227*G227</f>
        <v>0</v>
      </c>
      <c r="I227" s="27">
        <f>+H227+F227</f>
        <v>0</v>
      </c>
      <c r="J227" s="27" t="str">
        <f>IF(F227=SANDBOX!Q114,"OK","ERROR")</f>
        <v>OK</v>
      </c>
      <c r="K227" s="27" t="s">
        <v>856</v>
      </c>
      <c r="X227" s="61"/>
    </row>
    <row r="228" spans="2:24" hidden="1" x14ac:dyDescent="0.2">
      <c r="B228" s="60"/>
      <c r="E228" s="27" t="str">
        <f>SANDBOX!O118</f>
        <v>Generales y adm</v>
      </c>
      <c r="F228" s="27">
        <f>SANDBOX!Q118</f>
        <v>0</v>
      </c>
      <c r="G228" s="27">
        <f>+G227</f>
        <v>0.21</v>
      </c>
      <c r="H228" s="27">
        <f>+F228*G228</f>
        <v>0</v>
      </c>
      <c r="I228" s="27">
        <f>+H228+F228</f>
        <v>0</v>
      </c>
      <c r="J228" s="27" t="str">
        <f>IF(F228=SANDBOX!Q118,"OK","ERROR")</f>
        <v>OK</v>
      </c>
      <c r="K228" s="27" t="s">
        <v>177</v>
      </c>
      <c r="X228" s="61"/>
    </row>
    <row r="229" spans="2:24" hidden="1" x14ac:dyDescent="0.2">
      <c r="B229" s="60"/>
      <c r="E229" s="27" t="s">
        <v>1543</v>
      </c>
      <c r="G229" s="27">
        <f>SUM(H225:H228)</f>
        <v>0</v>
      </c>
      <c r="K229" s="27" t="s">
        <v>178</v>
      </c>
      <c r="X229" s="61"/>
    </row>
    <row r="230" spans="2:24" hidden="1" x14ac:dyDescent="0.2">
      <c r="B230" s="60"/>
      <c r="E230" s="27" t="s">
        <v>1548</v>
      </c>
      <c r="G230" s="27">
        <f>SUM(I225:I228)</f>
        <v>0</v>
      </c>
      <c r="X230" s="61"/>
    </row>
    <row r="231" spans="2:24" hidden="1" x14ac:dyDescent="0.2">
      <c r="B231" s="60"/>
      <c r="X231" s="61"/>
    </row>
    <row r="232" spans="2:24" hidden="1" x14ac:dyDescent="0.2">
      <c r="B232" s="60"/>
      <c r="E232" s="27" t="s">
        <v>1554</v>
      </c>
      <c r="G232" s="27" t="s">
        <v>700</v>
      </c>
      <c r="H232" s="27" t="s">
        <v>1532</v>
      </c>
      <c r="I232" s="27" t="s">
        <v>1549</v>
      </c>
      <c r="J232" s="27">
        <f>SUM(F233:F261)</f>
        <v>0</v>
      </c>
      <c r="X232" s="61"/>
    </row>
    <row r="233" spans="2:24" hidden="1" x14ac:dyDescent="0.2">
      <c r="B233" s="60"/>
      <c r="E233" s="27">
        <f>SANDBOX!D107</f>
        <v>0</v>
      </c>
      <c r="F233" s="27">
        <f>SANDBOX!L107</f>
        <v>0</v>
      </c>
      <c r="G233" s="27">
        <f>SB!I580</f>
        <v>0.21</v>
      </c>
      <c r="H233" s="27">
        <f t="shared" ref="H233:H261" si="79">+F233*G233</f>
        <v>0</v>
      </c>
      <c r="I233" s="27" t="s">
        <v>1533</v>
      </c>
      <c r="J233" s="27">
        <f>SUM(H233:H261)</f>
        <v>0</v>
      </c>
      <c r="K233" s="27" t="s">
        <v>1539</v>
      </c>
      <c r="X233" s="61"/>
    </row>
    <row r="234" spans="2:24" hidden="1" x14ac:dyDescent="0.2">
      <c r="B234" s="60"/>
      <c r="E234" s="27">
        <f>SANDBOX!D108</f>
        <v>0</v>
      </c>
      <c r="F234" s="27">
        <f>SANDBOX!L108</f>
        <v>0</v>
      </c>
      <c r="G234" s="27">
        <f>SB!I581</f>
        <v>0.21</v>
      </c>
      <c r="H234" s="27">
        <f t="shared" si="79"/>
        <v>0</v>
      </c>
      <c r="I234" s="27" t="s">
        <v>1534</v>
      </c>
      <c r="J234" s="27">
        <f>+IF(J232=0,0,J233/J232)</f>
        <v>0</v>
      </c>
      <c r="X234" s="61"/>
    </row>
    <row r="235" spans="2:24" hidden="1" x14ac:dyDescent="0.2">
      <c r="B235" s="60"/>
      <c r="E235" s="27">
        <f>SANDBOX!D109</f>
        <v>0</v>
      </c>
      <c r="F235" s="27">
        <f>SANDBOX!L109</f>
        <v>0</v>
      </c>
      <c r="G235" s="27">
        <f>SB!I582</f>
        <v>0.21</v>
      </c>
      <c r="H235" s="27">
        <f t="shared" si="79"/>
        <v>0</v>
      </c>
      <c r="X235" s="61"/>
    </row>
    <row r="236" spans="2:24" hidden="1" x14ac:dyDescent="0.2">
      <c r="B236" s="60"/>
      <c r="E236" s="27">
        <f>SANDBOX!D110</f>
        <v>0</v>
      </c>
      <c r="F236" s="27">
        <f>SANDBOX!L110</f>
        <v>0</v>
      </c>
      <c r="G236" s="27">
        <f>SB!I583</f>
        <v>0.21</v>
      </c>
      <c r="H236" s="27">
        <f t="shared" si="79"/>
        <v>0</v>
      </c>
      <c r="X236" s="61"/>
    </row>
    <row r="237" spans="2:24" hidden="1" x14ac:dyDescent="0.2">
      <c r="B237" s="60"/>
      <c r="E237" s="27">
        <f>SANDBOX!D111</f>
        <v>0</v>
      </c>
      <c r="F237" s="27">
        <f>SANDBOX!L111</f>
        <v>0</v>
      </c>
      <c r="G237" s="27">
        <f>SB!I584</f>
        <v>0.21</v>
      </c>
      <c r="H237" s="27">
        <f t="shared" si="79"/>
        <v>0</v>
      </c>
      <c r="X237" s="61"/>
    </row>
    <row r="238" spans="2:24" hidden="1" x14ac:dyDescent="0.2">
      <c r="B238" s="60"/>
      <c r="E238" s="27">
        <f>SANDBOX!D112</f>
        <v>0</v>
      </c>
      <c r="F238" s="27">
        <f>SANDBOX!L112</f>
        <v>0</v>
      </c>
      <c r="G238" s="27">
        <f>SB!I585</f>
        <v>0.21</v>
      </c>
      <c r="H238" s="27">
        <f t="shared" si="79"/>
        <v>0</v>
      </c>
      <c r="X238" s="61"/>
    </row>
    <row r="239" spans="2:24" hidden="1" x14ac:dyDescent="0.2">
      <c r="B239" s="60"/>
      <c r="E239" s="27">
        <f>SANDBOX!D113</f>
        <v>0</v>
      </c>
      <c r="F239" s="27">
        <f>SANDBOX!L113</f>
        <v>0</v>
      </c>
      <c r="G239" s="27">
        <f>SB!I586</f>
        <v>0.21</v>
      </c>
      <c r="H239" s="27">
        <f t="shared" si="79"/>
        <v>0</v>
      </c>
      <c r="X239" s="61"/>
    </row>
    <row r="240" spans="2:24" hidden="1" x14ac:dyDescent="0.2">
      <c r="B240" s="60"/>
      <c r="E240" s="27">
        <f>SANDBOX!D114</f>
        <v>0</v>
      </c>
      <c r="F240" s="27">
        <f>SANDBOX!L114</f>
        <v>0</v>
      </c>
      <c r="G240" s="27">
        <f>SB!I587</f>
        <v>0.21</v>
      </c>
      <c r="H240" s="27">
        <f t="shared" si="79"/>
        <v>0</v>
      </c>
      <c r="X240" s="61"/>
    </row>
    <row r="241" spans="2:24" hidden="1" x14ac:dyDescent="0.2">
      <c r="B241" s="60"/>
      <c r="E241" s="27">
        <f>SANDBOX!D115</f>
        <v>0</v>
      </c>
      <c r="F241" s="27">
        <f>SANDBOX!L115</f>
        <v>0</v>
      </c>
      <c r="G241" s="27">
        <f>SB!I588</f>
        <v>0.21</v>
      </c>
      <c r="H241" s="27">
        <f t="shared" si="79"/>
        <v>0</v>
      </c>
      <c r="X241" s="61"/>
    </row>
    <row r="242" spans="2:24" hidden="1" x14ac:dyDescent="0.2">
      <c r="B242" s="60"/>
      <c r="E242" s="27">
        <f>SANDBOX!D116</f>
        <v>0</v>
      </c>
      <c r="F242" s="27">
        <f>SANDBOX!L116</f>
        <v>0</v>
      </c>
      <c r="G242" s="27">
        <f>SB!I589</f>
        <v>0.21</v>
      </c>
      <c r="H242" s="27">
        <f t="shared" si="79"/>
        <v>0</v>
      </c>
      <c r="X242" s="61"/>
    </row>
    <row r="243" spans="2:24" hidden="1" x14ac:dyDescent="0.2">
      <c r="B243" s="60"/>
      <c r="E243" s="27">
        <f>SANDBOX!D117</f>
        <v>0</v>
      </c>
      <c r="F243" s="27">
        <f>SANDBOX!L117</f>
        <v>0</v>
      </c>
      <c r="G243" s="27">
        <f>SB!I590</f>
        <v>0.21</v>
      </c>
      <c r="H243" s="27">
        <f t="shared" si="79"/>
        <v>0</v>
      </c>
      <c r="X243" s="61"/>
    </row>
    <row r="244" spans="2:24" hidden="1" x14ac:dyDescent="0.2">
      <c r="B244" s="60"/>
      <c r="E244" s="27">
        <f>SANDBOX!D118</f>
        <v>0</v>
      </c>
      <c r="F244" s="27">
        <f>SANDBOX!L118</f>
        <v>0</v>
      </c>
      <c r="G244" s="27">
        <f>SB!I591</f>
        <v>0.21</v>
      </c>
      <c r="H244" s="27">
        <f t="shared" si="79"/>
        <v>0</v>
      </c>
      <c r="X244" s="61"/>
    </row>
    <row r="245" spans="2:24" hidden="1" x14ac:dyDescent="0.2">
      <c r="B245" s="60"/>
      <c r="E245" s="27">
        <f>SANDBOX!D119</f>
        <v>0</v>
      </c>
      <c r="F245" s="27">
        <f>SANDBOX!L119</f>
        <v>0</v>
      </c>
      <c r="G245" s="27">
        <f>SB!I592</f>
        <v>0.21</v>
      </c>
      <c r="H245" s="27">
        <f t="shared" si="79"/>
        <v>0</v>
      </c>
      <c r="X245" s="61"/>
    </row>
    <row r="246" spans="2:24" hidden="1" x14ac:dyDescent="0.2">
      <c r="B246" s="60"/>
      <c r="E246" s="27">
        <f>SANDBOX!D120</f>
        <v>0</v>
      </c>
      <c r="F246" s="27">
        <f>SANDBOX!L120</f>
        <v>0</v>
      </c>
      <c r="G246" s="27">
        <f>SB!I593</f>
        <v>0.21</v>
      </c>
      <c r="H246" s="27">
        <f t="shared" si="79"/>
        <v>0</v>
      </c>
      <c r="X246" s="61"/>
    </row>
    <row r="247" spans="2:24" hidden="1" x14ac:dyDescent="0.2">
      <c r="B247" s="60"/>
      <c r="E247" s="27">
        <f>SANDBOX!D121</f>
        <v>0</v>
      </c>
      <c r="F247" s="27">
        <f>SANDBOX!L121</f>
        <v>0</v>
      </c>
      <c r="G247" s="27">
        <f>SB!I594</f>
        <v>0.21</v>
      </c>
      <c r="H247" s="27">
        <f t="shared" si="79"/>
        <v>0</v>
      </c>
      <c r="X247" s="61"/>
    </row>
    <row r="248" spans="2:24" hidden="1" x14ac:dyDescent="0.2">
      <c r="B248" s="60"/>
      <c r="E248" s="27">
        <f>SANDBOX!D122</f>
        <v>0</v>
      </c>
      <c r="F248" s="27">
        <f>SANDBOX!L122</f>
        <v>0</v>
      </c>
      <c r="G248" s="27">
        <f>SB!I595</f>
        <v>0.21</v>
      </c>
      <c r="H248" s="27">
        <f t="shared" si="79"/>
        <v>0</v>
      </c>
      <c r="X248" s="61"/>
    </row>
    <row r="249" spans="2:24" hidden="1" x14ac:dyDescent="0.2">
      <c r="B249" s="60"/>
      <c r="E249" s="27">
        <f>SANDBOX!D123</f>
        <v>0</v>
      </c>
      <c r="F249" s="27">
        <f>SANDBOX!L123</f>
        <v>0</v>
      </c>
      <c r="G249" s="27">
        <f>SB!I596</f>
        <v>0.21</v>
      </c>
      <c r="H249" s="27">
        <f t="shared" si="79"/>
        <v>0</v>
      </c>
      <c r="X249" s="61"/>
    </row>
    <row r="250" spans="2:24" hidden="1" x14ac:dyDescent="0.2">
      <c r="B250" s="60"/>
      <c r="E250" s="27">
        <f>SANDBOX!D124</f>
        <v>0</v>
      </c>
      <c r="F250" s="27">
        <f>SANDBOX!L124</f>
        <v>0</v>
      </c>
      <c r="G250" s="27">
        <f>SB!I597</f>
        <v>0.21</v>
      </c>
      <c r="H250" s="27">
        <f t="shared" si="79"/>
        <v>0</v>
      </c>
      <c r="X250" s="61"/>
    </row>
    <row r="251" spans="2:24" hidden="1" x14ac:dyDescent="0.2">
      <c r="B251" s="60"/>
      <c r="E251" s="27">
        <f>SANDBOX!D125</f>
        <v>0</v>
      </c>
      <c r="F251" s="27">
        <f>SANDBOX!L125</f>
        <v>0</v>
      </c>
      <c r="G251" s="27">
        <f>SB!I598</f>
        <v>0.21</v>
      </c>
      <c r="H251" s="27">
        <f t="shared" si="79"/>
        <v>0</v>
      </c>
      <c r="X251" s="61"/>
    </row>
    <row r="252" spans="2:24" hidden="1" x14ac:dyDescent="0.2">
      <c r="B252" s="60"/>
      <c r="E252" s="27">
        <f>SANDBOX!D126</f>
        <v>0</v>
      </c>
      <c r="F252" s="27">
        <f>SANDBOX!L126</f>
        <v>0</v>
      </c>
      <c r="G252" s="27">
        <f>SB!I599</f>
        <v>0.21</v>
      </c>
      <c r="H252" s="27">
        <f t="shared" si="79"/>
        <v>0</v>
      </c>
      <c r="X252" s="61"/>
    </row>
    <row r="253" spans="2:24" hidden="1" x14ac:dyDescent="0.2">
      <c r="B253" s="60"/>
      <c r="E253" s="27">
        <f>SANDBOX!D127</f>
        <v>0</v>
      </c>
      <c r="F253" s="27">
        <f>SANDBOX!L127</f>
        <v>0</v>
      </c>
      <c r="G253" s="27">
        <f>SB!I600</f>
        <v>0.21</v>
      </c>
      <c r="H253" s="27">
        <f t="shared" si="79"/>
        <v>0</v>
      </c>
      <c r="X253" s="61"/>
    </row>
    <row r="254" spans="2:24" hidden="1" x14ac:dyDescent="0.2">
      <c r="B254" s="60"/>
      <c r="E254" s="27">
        <f>SANDBOX!D128</f>
        <v>0</v>
      </c>
      <c r="F254" s="27">
        <f>SANDBOX!L128</f>
        <v>0</v>
      </c>
      <c r="G254" s="27">
        <f>SB!I601</f>
        <v>0.21</v>
      </c>
      <c r="H254" s="27">
        <f t="shared" si="79"/>
        <v>0</v>
      </c>
      <c r="X254" s="61"/>
    </row>
    <row r="255" spans="2:24" hidden="1" x14ac:dyDescent="0.2">
      <c r="B255" s="60"/>
      <c r="E255" s="27">
        <f>SANDBOX!D129</f>
        <v>0</v>
      </c>
      <c r="F255" s="27">
        <f>SANDBOX!L129</f>
        <v>0</v>
      </c>
      <c r="G255" s="27">
        <f>SB!I602</f>
        <v>0.21</v>
      </c>
      <c r="H255" s="27">
        <f t="shared" si="79"/>
        <v>0</v>
      </c>
      <c r="X255" s="61"/>
    </row>
    <row r="256" spans="2:24" hidden="1" x14ac:dyDescent="0.2">
      <c r="B256" s="60"/>
      <c r="E256" s="27">
        <f>SANDBOX!D130</f>
        <v>0</v>
      </c>
      <c r="F256" s="27">
        <f>SANDBOX!L130</f>
        <v>0</v>
      </c>
      <c r="G256" s="27">
        <f>SB!I603</f>
        <v>0.21</v>
      </c>
      <c r="H256" s="27">
        <f t="shared" si="79"/>
        <v>0</v>
      </c>
      <c r="X256" s="61"/>
    </row>
    <row r="257" spans="2:24" hidden="1" x14ac:dyDescent="0.2">
      <c r="B257" s="60"/>
      <c r="E257" s="27">
        <f>SANDBOX!D131</f>
        <v>0</v>
      </c>
      <c r="F257" s="27">
        <f>SANDBOX!L131</f>
        <v>0</v>
      </c>
      <c r="G257" s="27">
        <f>SB!I604</f>
        <v>0.21</v>
      </c>
      <c r="H257" s="27">
        <f t="shared" si="79"/>
        <v>0</v>
      </c>
      <c r="X257" s="61"/>
    </row>
    <row r="258" spans="2:24" hidden="1" x14ac:dyDescent="0.2">
      <c r="B258" s="60"/>
      <c r="E258" s="27">
        <f>SANDBOX!D132</f>
        <v>0</v>
      </c>
      <c r="F258" s="27">
        <f>SANDBOX!L132</f>
        <v>0</v>
      </c>
      <c r="G258" s="27">
        <f>SB!I605</f>
        <v>0.21</v>
      </c>
      <c r="H258" s="27">
        <f t="shared" si="79"/>
        <v>0</v>
      </c>
      <c r="X258" s="61"/>
    </row>
    <row r="259" spans="2:24" hidden="1" x14ac:dyDescent="0.2">
      <c r="B259" s="60"/>
      <c r="E259" s="27">
        <f>SANDBOX!D133</f>
        <v>0</v>
      </c>
      <c r="F259" s="27">
        <f>SANDBOX!L133</f>
        <v>0</v>
      </c>
      <c r="G259" s="27">
        <f>SB!I606</f>
        <v>0.21</v>
      </c>
      <c r="H259" s="27">
        <f t="shared" si="79"/>
        <v>0</v>
      </c>
      <c r="X259" s="61"/>
    </row>
    <row r="260" spans="2:24" hidden="1" x14ac:dyDescent="0.2">
      <c r="B260" s="60"/>
      <c r="E260" s="27">
        <f>SANDBOX!D134</f>
        <v>0</v>
      </c>
      <c r="F260" s="27">
        <f>SANDBOX!L134</f>
        <v>0</v>
      </c>
      <c r="G260" s="27">
        <f>SB!I607</f>
        <v>0.21</v>
      </c>
      <c r="H260" s="27">
        <f t="shared" si="79"/>
        <v>0</v>
      </c>
      <c r="X260" s="61"/>
    </row>
    <row r="261" spans="2:24" hidden="1" x14ac:dyDescent="0.2">
      <c r="B261" s="60"/>
      <c r="E261" s="27">
        <f>SANDBOX!D135</f>
        <v>0</v>
      </c>
      <c r="F261" s="27">
        <f>SANDBOX!L135</f>
        <v>0</v>
      </c>
      <c r="G261" s="27">
        <f>SB!I608</f>
        <v>0.21</v>
      </c>
      <c r="H261" s="27">
        <f t="shared" si="79"/>
        <v>0</v>
      </c>
      <c r="X261" s="61"/>
    </row>
    <row r="262" spans="2:24" hidden="1" x14ac:dyDescent="0.2">
      <c r="B262" s="60"/>
      <c r="F262" s="27" t="s">
        <v>786</v>
      </c>
      <c r="G262" s="27" t="s">
        <v>1547</v>
      </c>
      <c r="H262" s="27">
        <v>1</v>
      </c>
      <c r="I262" s="27">
        <v>2</v>
      </c>
      <c r="J262" s="27">
        <v>3</v>
      </c>
      <c r="K262" s="27">
        <v>4</v>
      </c>
      <c r="L262" s="27">
        <v>5</v>
      </c>
      <c r="M262" s="27">
        <v>6</v>
      </c>
      <c r="N262" s="27">
        <v>7</v>
      </c>
      <c r="O262" s="27">
        <v>8</v>
      </c>
      <c r="P262" s="27">
        <v>9</v>
      </c>
      <c r="Q262" s="27">
        <v>10</v>
      </c>
      <c r="R262" s="27">
        <v>11</v>
      </c>
      <c r="S262" s="27">
        <v>12</v>
      </c>
      <c r="X262" s="61"/>
    </row>
    <row r="263" spans="2:24" hidden="1" x14ac:dyDescent="0.2">
      <c r="B263" s="60"/>
      <c r="E263" s="27" t="s">
        <v>1553</v>
      </c>
      <c r="F263" s="27">
        <f>SUM(G263:R263)</f>
        <v>0</v>
      </c>
      <c r="G263" s="27">
        <f>SANDBOX!E106</f>
        <v>0</v>
      </c>
      <c r="H263" s="27">
        <f>SANDBOX!F106</f>
        <v>0</v>
      </c>
      <c r="I263" s="27">
        <f>SANDBOX!G106</f>
        <v>0</v>
      </c>
      <c r="J263" s="27">
        <f>SANDBOX!H106</f>
        <v>0</v>
      </c>
      <c r="K263" s="27">
        <f>SANDBOX!I106</f>
        <v>0</v>
      </c>
      <c r="L263" s="27">
        <f>SANDBOX!J106</f>
        <v>0</v>
      </c>
      <c r="M263" s="27">
        <f>SANDBOX!K106</f>
        <v>0</v>
      </c>
      <c r="S263" s="27" t="str">
        <f>IF(F263=SANDBOX!L106,"OK","ERROR")</f>
        <v>OK</v>
      </c>
      <c r="X263" s="61"/>
    </row>
    <row r="264" spans="2:24" hidden="1" x14ac:dyDescent="0.2">
      <c r="B264" s="60"/>
      <c r="E264" s="27" t="s">
        <v>1543</v>
      </c>
      <c r="F264" s="27">
        <f>SUM(G264:R264)</f>
        <v>0</v>
      </c>
      <c r="G264" s="27">
        <f t="shared" ref="G264:M264" si="80">+G263*$J$234</f>
        <v>0</v>
      </c>
      <c r="H264" s="27">
        <f t="shared" si="80"/>
        <v>0</v>
      </c>
      <c r="I264" s="27">
        <f t="shared" si="80"/>
        <v>0</v>
      </c>
      <c r="J264" s="27">
        <f t="shared" si="80"/>
        <v>0</v>
      </c>
      <c r="K264" s="27">
        <f t="shared" si="80"/>
        <v>0</v>
      </c>
      <c r="L264" s="27">
        <f t="shared" si="80"/>
        <v>0</v>
      </c>
      <c r="M264" s="27">
        <f t="shared" si="80"/>
        <v>0</v>
      </c>
      <c r="X264" s="61"/>
    </row>
    <row r="265" spans="2:24" hidden="1" x14ac:dyDescent="0.2">
      <c r="B265" s="60"/>
      <c r="E265" s="27" t="s">
        <v>1548</v>
      </c>
      <c r="F265" s="27">
        <f>SUM(G265:S265)</f>
        <v>0</v>
      </c>
      <c r="G265" s="27">
        <f t="shared" ref="G265:M265" si="81">SUM(G263:G264)</f>
        <v>0</v>
      </c>
      <c r="H265" s="27">
        <f t="shared" si="81"/>
        <v>0</v>
      </c>
      <c r="I265" s="27">
        <f t="shared" si="81"/>
        <v>0</v>
      </c>
      <c r="J265" s="27">
        <f t="shared" si="81"/>
        <v>0</v>
      </c>
      <c r="K265" s="27">
        <f t="shared" si="81"/>
        <v>0</v>
      </c>
      <c r="L265" s="27">
        <f t="shared" si="81"/>
        <v>0</v>
      </c>
      <c r="M265" s="27">
        <f t="shared" si="81"/>
        <v>0</v>
      </c>
      <c r="X265" s="61"/>
    </row>
    <row r="266" spans="2:24" hidden="1" x14ac:dyDescent="0.2">
      <c r="B266" s="60"/>
      <c r="X266" s="61"/>
    </row>
    <row r="267" spans="2:24" hidden="1" x14ac:dyDescent="0.2">
      <c r="B267" s="60"/>
      <c r="D267" s="27">
        <v>12</v>
      </c>
      <c r="E267" s="27" t="s">
        <v>239</v>
      </c>
      <c r="G267" s="27" t="s">
        <v>700</v>
      </c>
      <c r="H267" s="27" t="s">
        <v>240</v>
      </c>
      <c r="X267" s="61"/>
    </row>
    <row r="268" spans="2:24" hidden="1" x14ac:dyDescent="0.2">
      <c r="B268" s="60"/>
      <c r="F268" s="27">
        <f>SB!$I$574</f>
        <v>0</v>
      </c>
      <c r="G268" s="27" t="str">
        <f t="shared" ref="G268:R268" si="82">H77</f>
        <v>Enero</v>
      </c>
      <c r="H268" s="27" t="str">
        <f t="shared" si="82"/>
        <v>Febrero</v>
      </c>
      <c r="I268" s="27" t="str">
        <f t="shared" si="82"/>
        <v>Marzo</v>
      </c>
      <c r="J268" s="27" t="str">
        <f t="shared" si="82"/>
        <v>Abril</v>
      </c>
      <c r="K268" s="27" t="str">
        <f t="shared" si="82"/>
        <v xml:space="preserve">Mayo </v>
      </c>
      <c r="L268" s="27" t="str">
        <f t="shared" si="82"/>
        <v>Junio</v>
      </c>
      <c r="M268" s="27" t="str">
        <f t="shared" si="82"/>
        <v>Julio</v>
      </c>
      <c r="N268" s="27" t="str">
        <f t="shared" si="82"/>
        <v>Agosto</v>
      </c>
      <c r="O268" s="27" t="str">
        <f t="shared" si="82"/>
        <v>Septiembre</v>
      </c>
      <c r="P268" s="27" t="str">
        <f t="shared" si="82"/>
        <v>Octubre</v>
      </c>
      <c r="Q268" s="27" t="str">
        <f t="shared" si="82"/>
        <v>Noviembre</v>
      </c>
      <c r="R268" s="27" t="str">
        <f t="shared" si="82"/>
        <v>Diciembre</v>
      </c>
      <c r="X268" s="61"/>
    </row>
    <row r="269" spans="2:24" hidden="1" x14ac:dyDescent="0.2">
      <c r="B269" s="60"/>
      <c r="E269" s="27" t="s">
        <v>241</v>
      </c>
      <c r="F269" s="27">
        <f t="shared" ref="F269:F276" si="83">SUM(G269:R269)</f>
        <v>0</v>
      </c>
      <c r="G269" s="27">
        <f>Pagoinversiones!E7</f>
        <v>0</v>
      </c>
      <c r="H269" s="27">
        <f>Pagoinversiones!F7</f>
        <v>0</v>
      </c>
      <c r="I269" s="27">
        <f>Pagoinversiones!G7</f>
        <v>0</v>
      </c>
      <c r="J269" s="27">
        <f>Pagoinversiones!H7</f>
        <v>0</v>
      </c>
      <c r="K269" s="27">
        <f>Pagoinversiones!I7</f>
        <v>0</v>
      </c>
      <c r="L269" s="27">
        <f>Pagoinversiones!J7</f>
        <v>0</v>
      </c>
      <c r="M269" s="27">
        <f>Pagoinversiones!K7</f>
        <v>0</v>
      </c>
      <c r="N269" s="27">
        <f>Pagoinversiones!L7</f>
        <v>0</v>
      </c>
      <c r="O269" s="27">
        <f>Pagoinversiones!M7</f>
        <v>0</v>
      </c>
      <c r="P269" s="27">
        <f>Pagoinversiones!N7</f>
        <v>0</v>
      </c>
      <c r="Q269" s="27">
        <f>Pagoinversiones!O7</f>
        <v>0</v>
      </c>
      <c r="R269" s="27">
        <f>Pagoinversiones!P7</f>
        <v>0</v>
      </c>
      <c r="X269" s="61"/>
    </row>
    <row r="270" spans="2:24" hidden="1" x14ac:dyDescent="0.2">
      <c r="B270" s="60"/>
      <c r="E270" s="27" t="s">
        <v>243</v>
      </c>
      <c r="F270" s="27">
        <f t="shared" si="83"/>
        <v>0</v>
      </c>
      <c r="G270" s="27">
        <f t="shared" ref="G270:R270" si="84">+G269*$F268</f>
        <v>0</v>
      </c>
      <c r="H270" s="27">
        <f t="shared" si="84"/>
        <v>0</v>
      </c>
      <c r="I270" s="27">
        <f t="shared" si="84"/>
        <v>0</v>
      </c>
      <c r="J270" s="27">
        <f t="shared" si="84"/>
        <v>0</v>
      </c>
      <c r="K270" s="27">
        <f t="shared" si="84"/>
        <v>0</v>
      </c>
      <c r="L270" s="27">
        <f t="shared" si="84"/>
        <v>0</v>
      </c>
      <c r="M270" s="27">
        <f t="shared" si="84"/>
        <v>0</v>
      </c>
      <c r="N270" s="27">
        <f t="shared" si="84"/>
        <v>0</v>
      </c>
      <c r="O270" s="27">
        <f t="shared" si="84"/>
        <v>0</v>
      </c>
      <c r="P270" s="27">
        <f t="shared" si="84"/>
        <v>0</v>
      </c>
      <c r="Q270" s="27">
        <f t="shared" si="84"/>
        <v>0</v>
      </c>
      <c r="R270" s="27">
        <f t="shared" si="84"/>
        <v>0</v>
      </c>
      <c r="X270" s="61"/>
    </row>
    <row r="271" spans="2:24" hidden="1" x14ac:dyDescent="0.2">
      <c r="B271" s="60"/>
      <c r="E271" s="27" t="s">
        <v>242</v>
      </c>
      <c r="F271" s="27">
        <f t="shared" si="83"/>
        <v>0</v>
      </c>
      <c r="G271" s="27">
        <f>Pagoinversiones!E8</f>
        <v>0</v>
      </c>
      <c r="H271" s="27">
        <f>Pagoinversiones!F8</f>
        <v>0</v>
      </c>
      <c r="I271" s="27">
        <f>Pagoinversiones!G8</f>
        <v>0</v>
      </c>
      <c r="J271" s="27">
        <f>Pagoinversiones!H8</f>
        <v>0</v>
      </c>
      <c r="K271" s="27">
        <f>Pagoinversiones!I8</f>
        <v>0</v>
      </c>
      <c r="L271" s="27">
        <f>Pagoinversiones!J8</f>
        <v>0</v>
      </c>
      <c r="M271" s="27">
        <f>Pagoinversiones!K8</f>
        <v>0</v>
      </c>
      <c r="N271" s="27">
        <f>Pagoinversiones!L8</f>
        <v>0</v>
      </c>
      <c r="O271" s="27">
        <f>Pagoinversiones!M8</f>
        <v>0</v>
      </c>
      <c r="P271" s="27">
        <f>Pagoinversiones!N8</f>
        <v>0</v>
      </c>
      <c r="Q271" s="27">
        <f>Pagoinversiones!O8</f>
        <v>0</v>
      </c>
      <c r="R271" s="27">
        <f>Pagoinversiones!P8</f>
        <v>0</v>
      </c>
      <c r="X271" s="61"/>
    </row>
    <row r="272" spans="2:24" hidden="1" x14ac:dyDescent="0.2">
      <c r="B272" s="60"/>
      <c r="X272" s="61"/>
    </row>
    <row r="273" spans="2:24" hidden="1" x14ac:dyDescent="0.2">
      <c r="B273" s="60"/>
      <c r="E273" s="27" t="s">
        <v>1543</v>
      </c>
      <c r="F273" s="27">
        <f t="shared" si="83"/>
        <v>0</v>
      </c>
      <c r="G273" s="27">
        <f t="shared" ref="G273:R273" si="85">+G272+G270</f>
        <v>0</v>
      </c>
      <c r="H273" s="27">
        <f t="shared" si="85"/>
        <v>0</v>
      </c>
      <c r="I273" s="27">
        <f t="shared" si="85"/>
        <v>0</v>
      </c>
      <c r="J273" s="27">
        <f t="shared" si="85"/>
        <v>0</v>
      </c>
      <c r="K273" s="27">
        <f t="shared" si="85"/>
        <v>0</v>
      </c>
      <c r="L273" s="27">
        <f t="shared" si="85"/>
        <v>0</v>
      </c>
      <c r="M273" s="27">
        <f t="shared" si="85"/>
        <v>0</v>
      </c>
      <c r="N273" s="27">
        <f t="shared" si="85"/>
        <v>0</v>
      </c>
      <c r="O273" s="27">
        <f t="shared" si="85"/>
        <v>0</v>
      </c>
      <c r="P273" s="27">
        <f t="shared" si="85"/>
        <v>0</v>
      </c>
      <c r="Q273" s="27">
        <f t="shared" si="85"/>
        <v>0</v>
      </c>
      <c r="R273" s="27">
        <f t="shared" si="85"/>
        <v>0</v>
      </c>
      <c r="X273" s="61"/>
    </row>
    <row r="274" spans="2:24" hidden="1" x14ac:dyDescent="0.2">
      <c r="B274" s="60"/>
      <c r="E274" s="27" t="s">
        <v>1548</v>
      </c>
      <c r="F274" s="27">
        <f t="shared" si="83"/>
        <v>0</v>
      </c>
      <c r="G274" s="27">
        <f t="shared" ref="G274:R274" si="86">SUM(G269:G272)</f>
        <v>0</v>
      </c>
      <c r="H274" s="27">
        <f t="shared" si="86"/>
        <v>0</v>
      </c>
      <c r="I274" s="27">
        <f t="shared" si="86"/>
        <v>0</v>
      </c>
      <c r="J274" s="27">
        <f t="shared" si="86"/>
        <v>0</v>
      </c>
      <c r="K274" s="27">
        <f t="shared" si="86"/>
        <v>0</v>
      </c>
      <c r="L274" s="27">
        <f t="shared" si="86"/>
        <v>0</v>
      </c>
      <c r="M274" s="27">
        <f t="shared" si="86"/>
        <v>0</v>
      </c>
      <c r="N274" s="27">
        <f t="shared" si="86"/>
        <v>0</v>
      </c>
      <c r="O274" s="27">
        <f t="shared" si="86"/>
        <v>0</v>
      </c>
      <c r="P274" s="27">
        <f t="shared" si="86"/>
        <v>0</v>
      </c>
      <c r="Q274" s="27">
        <f t="shared" si="86"/>
        <v>0</v>
      </c>
      <c r="R274" s="27">
        <f t="shared" si="86"/>
        <v>0</v>
      </c>
      <c r="X274" s="61"/>
    </row>
    <row r="275" spans="2:24" hidden="1" x14ac:dyDescent="0.2">
      <c r="B275" s="60"/>
      <c r="E275" s="27" t="s">
        <v>41</v>
      </c>
      <c r="F275" s="27">
        <f>+F269+F270</f>
        <v>0</v>
      </c>
      <c r="G275" s="27">
        <f t="shared" ref="G275:R275" si="87">+G269+G270</f>
        <v>0</v>
      </c>
      <c r="H275" s="27">
        <f t="shared" si="87"/>
        <v>0</v>
      </c>
      <c r="I275" s="27">
        <f t="shared" si="87"/>
        <v>0</v>
      </c>
      <c r="J275" s="27">
        <f t="shared" si="87"/>
        <v>0</v>
      </c>
      <c r="K275" s="27">
        <f t="shared" si="87"/>
        <v>0</v>
      </c>
      <c r="L275" s="27">
        <f t="shared" si="87"/>
        <v>0</v>
      </c>
      <c r="M275" s="27">
        <f t="shared" si="87"/>
        <v>0</v>
      </c>
      <c r="N275" s="27">
        <f t="shared" si="87"/>
        <v>0</v>
      </c>
      <c r="O275" s="27">
        <f t="shared" si="87"/>
        <v>0</v>
      </c>
      <c r="P275" s="27">
        <f t="shared" si="87"/>
        <v>0</v>
      </c>
      <c r="Q275" s="27">
        <f t="shared" si="87"/>
        <v>0</v>
      </c>
      <c r="R275" s="27">
        <f t="shared" si="87"/>
        <v>0</v>
      </c>
      <c r="X275" s="61"/>
    </row>
    <row r="276" spans="2:24" hidden="1" x14ac:dyDescent="0.2">
      <c r="B276" s="60"/>
      <c r="F276" s="27">
        <f t="shared" si="83"/>
        <v>0</v>
      </c>
      <c r="G276" s="27">
        <f t="shared" ref="G276:R276" si="88">+G269+G271</f>
        <v>0</v>
      </c>
      <c r="H276" s="27">
        <f t="shared" si="88"/>
        <v>0</v>
      </c>
      <c r="I276" s="27">
        <f t="shared" si="88"/>
        <v>0</v>
      </c>
      <c r="J276" s="27">
        <f t="shared" si="88"/>
        <v>0</v>
      </c>
      <c r="K276" s="27">
        <f t="shared" si="88"/>
        <v>0</v>
      </c>
      <c r="L276" s="27">
        <f t="shared" si="88"/>
        <v>0</v>
      </c>
      <c r="M276" s="27">
        <f t="shared" si="88"/>
        <v>0</v>
      </c>
      <c r="N276" s="27">
        <f t="shared" si="88"/>
        <v>0</v>
      </c>
      <c r="O276" s="27">
        <f t="shared" si="88"/>
        <v>0</v>
      </c>
      <c r="P276" s="27">
        <f t="shared" si="88"/>
        <v>0</v>
      </c>
      <c r="Q276" s="27">
        <f t="shared" si="88"/>
        <v>0</v>
      </c>
      <c r="R276" s="27">
        <f t="shared" si="88"/>
        <v>0</v>
      </c>
      <c r="X276" s="61"/>
    </row>
    <row r="277" spans="2:24" hidden="1" x14ac:dyDescent="0.2">
      <c r="B277" s="60"/>
      <c r="E277" s="27" t="s">
        <v>235</v>
      </c>
      <c r="F277" s="27" t="str">
        <f>IF(F276=Pagoinversiones!D9,"OK","ERROR")</f>
        <v>OK</v>
      </c>
      <c r="G277" s="27" t="s">
        <v>868</v>
      </c>
      <c r="X277" s="61"/>
    </row>
    <row r="278" spans="2:24" hidden="1" x14ac:dyDescent="0.2">
      <c r="B278" s="60"/>
      <c r="X278" s="61"/>
    </row>
    <row r="279" spans="2:24" hidden="1" x14ac:dyDescent="0.2">
      <c r="B279" s="60"/>
      <c r="D279" s="27">
        <v>13</v>
      </c>
      <c r="E279" s="27" t="s">
        <v>980</v>
      </c>
      <c r="G279" s="27" t="s">
        <v>700</v>
      </c>
      <c r="H279" s="27" t="s">
        <v>689</v>
      </c>
      <c r="X279" s="61"/>
    </row>
    <row r="280" spans="2:24" hidden="1" x14ac:dyDescent="0.2">
      <c r="B280" s="60"/>
      <c r="E280" s="27" t="s">
        <v>36</v>
      </c>
      <c r="F280" s="27" t="s">
        <v>34</v>
      </c>
      <c r="G280" s="27" t="str">
        <f t="shared" ref="G280:R280" si="89">H77</f>
        <v>Enero</v>
      </c>
      <c r="H280" s="27" t="str">
        <f t="shared" si="89"/>
        <v>Febrero</v>
      </c>
      <c r="I280" s="27" t="str">
        <f t="shared" si="89"/>
        <v>Marzo</v>
      </c>
      <c r="J280" s="27" t="str">
        <f t="shared" si="89"/>
        <v>Abril</v>
      </c>
      <c r="K280" s="27" t="str">
        <f t="shared" si="89"/>
        <v xml:space="preserve">Mayo </v>
      </c>
      <c r="L280" s="27" t="str">
        <f t="shared" si="89"/>
        <v>Junio</v>
      </c>
      <c r="M280" s="27" t="str">
        <f t="shared" si="89"/>
        <v>Julio</v>
      </c>
      <c r="N280" s="27" t="str">
        <f t="shared" si="89"/>
        <v>Agosto</v>
      </c>
      <c r="O280" s="27" t="str">
        <f t="shared" si="89"/>
        <v>Septiembre</v>
      </c>
      <c r="P280" s="27" t="str">
        <f t="shared" si="89"/>
        <v>Octubre</v>
      </c>
      <c r="Q280" s="27" t="str">
        <f t="shared" si="89"/>
        <v>Noviembre</v>
      </c>
      <c r="R280" s="27" t="str">
        <f t="shared" si="89"/>
        <v>Diciembre</v>
      </c>
      <c r="X280" s="61"/>
    </row>
    <row r="281" spans="2:24" hidden="1" x14ac:dyDescent="0.2">
      <c r="B281" s="60"/>
      <c r="E281" s="27" t="str">
        <f>SB!E611</f>
        <v>Terrenos, construcciones y edificaciones</v>
      </c>
      <c r="F281" s="27">
        <f>SB!I611</f>
        <v>0.21</v>
      </c>
      <c r="S281" s="27" t="s">
        <v>691</v>
      </c>
      <c r="X281" s="61"/>
    </row>
    <row r="282" spans="2:24" hidden="1" x14ac:dyDescent="0.2">
      <c r="B282" s="60"/>
      <c r="E282" s="27" t="s">
        <v>690</v>
      </c>
      <c r="F282" s="27">
        <f>SUM(G282:R282)</f>
        <v>0</v>
      </c>
      <c r="G282" s="27">
        <f>Pagoinversiones!U54</f>
        <v>0</v>
      </c>
      <c r="H282" s="27">
        <f>Pagoinversiones!V54</f>
        <v>0</v>
      </c>
      <c r="I282" s="27">
        <f>Pagoinversiones!W54</f>
        <v>0</v>
      </c>
      <c r="J282" s="27">
        <f>Pagoinversiones!X54</f>
        <v>0</v>
      </c>
      <c r="K282" s="27">
        <f>Pagoinversiones!Y54</f>
        <v>0</v>
      </c>
      <c r="L282" s="27">
        <f>Pagoinversiones!Z54</f>
        <v>0</v>
      </c>
      <c r="M282" s="27">
        <f>Pagoinversiones!AA54</f>
        <v>0</v>
      </c>
      <c r="N282" s="27">
        <f>Pagoinversiones!AB54</f>
        <v>0</v>
      </c>
      <c r="O282" s="27">
        <f>Pagoinversiones!AC54</f>
        <v>0</v>
      </c>
      <c r="P282" s="27">
        <f>Pagoinversiones!AD54</f>
        <v>0</v>
      </c>
      <c r="Q282" s="27">
        <f>Pagoinversiones!AE54</f>
        <v>0</v>
      </c>
      <c r="R282" s="27">
        <f>Pagoinversiones!AF54</f>
        <v>0</v>
      </c>
      <c r="X282" s="61"/>
    </row>
    <row r="283" spans="2:24" hidden="1" x14ac:dyDescent="0.2">
      <c r="B283" s="60"/>
      <c r="E283" s="27" t="s">
        <v>1543</v>
      </c>
      <c r="F283" s="27">
        <f>SUM(G283:R283)</f>
        <v>0</v>
      </c>
      <c r="G283" s="27">
        <f t="shared" ref="G283:R283" si="90">+G282*$F$281</f>
        <v>0</v>
      </c>
      <c r="H283" s="27">
        <f t="shared" si="90"/>
        <v>0</v>
      </c>
      <c r="I283" s="27">
        <f t="shared" si="90"/>
        <v>0</v>
      </c>
      <c r="J283" s="27">
        <f t="shared" si="90"/>
        <v>0</v>
      </c>
      <c r="K283" s="27">
        <f t="shared" si="90"/>
        <v>0</v>
      </c>
      <c r="L283" s="27">
        <f t="shared" si="90"/>
        <v>0</v>
      </c>
      <c r="M283" s="27">
        <f t="shared" si="90"/>
        <v>0</v>
      </c>
      <c r="N283" s="27">
        <f t="shared" si="90"/>
        <v>0</v>
      </c>
      <c r="O283" s="27">
        <f t="shared" si="90"/>
        <v>0</v>
      </c>
      <c r="P283" s="27">
        <f t="shared" si="90"/>
        <v>0</v>
      </c>
      <c r="Q283" s="27">
        <f t="shared" si="90"/>
        <v>0</v>
      </c>
      <c r="R283" s="27">
        <f t="shared" si="90"/>
        <v>0</v>
      </c>
      <c r="X283" s="61"/>
    </row>
    <row r="284" spans="2:24" hidden="1" x14ac:dyDescent="0.2">
      <c r="B284" s="60"/>
      <c r="E284" s="27" t="s">
        <v>20</v>
      </c>
      <c r="F284" s="27">
        <f>SUM(G284:R284)</f>
        <v>0</v>
      </c>
      <c r="G284" s="27">
        <f t="shared" ref="G284:R284" si="91">+G283+G282</f>
        <v>0</v>
      </c>
      <c r="H284" s="27">
        <f t="shared" si="91"/>
        <v>0</v>
      </c>
      <c r="I284" s="27">
        <f t="shared" si="91"/>
        <v>0</v>
      </c>
      <c r="J284" s="27">
        <f t="shared" si="91"/>
        <v>0</v>
      </c>
      <c r="K284" s="27">
        <f t="shared" si="91"/>
        <v>0</v>
      </c>
      <c r="L284" s="27">
        <f t="shared" si="91"/>
        <v>0</v>
      </c>
      <c r="M284" s="27">
        <f t="shared" si="91"/>
        <v>0</v>
      </c>
      <c r="N284" s="27">
        <f t="shared" si="91"/>
        <v>0</v>
      </c>
      <c r="O284" s="27">
        <f t="shared" si="91"/>
        <v>0</v>
      </c>
      <c r="P284" s="27">
        <f t="shared" si="91"/>
        <v>0</v>
      </c>
      <c r="Q284" s="27">
        <f t="shared" si="91"/>
        <v>0</v>
      </c>
      <c r="R284" s="27">
        <f t="shared" si="91"/>
        <v>0</v>
      </c>
      <c r="S284" s="27" t="str">
        <f>IF(F284=Pagoinversiones!AG54+(Pagoinversiones!AG54*CResult!F281),"OK","ERROR")</f>
        <v>OK</v>
      </c>
      <c r="X284" s="61"/>
    </row>
    <row r="285" spans="2:24" hidden="1" x14ac:dyDescent="0.2">
      <c r="B285" s="60"/>
      <c r="E285" s="27" t="str">
        <f>SB!E612</f>
        <v>Otras instalaciones</v>
      </c>
      <c r="F285" s="27">
        <f>SB!I612</f>
        <v>0.21</v>
      </c>
      <c r="X285" s="61"/>
    </row>
    <row r="286" spans="2:24" hidden="1" x14ac:dyDescent="0.2">
      <c r="B286" s="60"/>
      <c r="E286" s="27" t="s">
        <v>690</v>
      </c>
      <c r="F286" s="27">
        <f>SUM(G286:R286)</f>
        <v>0</v>
      </c>
      <c r="G286" s="27">
        <f>Pagoinversiones!U61</f>
        <v>0</v>
      </c>
      <c r="H286" s="27">
        <f>Pagoinversiones!V61</f>
        <v>0</v>
      </c>
      <c r="I286" s="27">
        <f>Pagoinversiones!W61</f>
        <v>0</v>
      </c>
      <c r="J286" s="27">
        <f>Pagoinversiones!X61</f>
        <v>0</v>
      </c>
      <c r="K286" s="27">
        <f>Pagoinversiones!Y61</f>
        <v>0</v>
      </c>
      <c r="L286" s="27">
        <f>Pagoinversiones!Z61</f>
        <v>0</v>
      </c>
      <c r="M286" s="27">
        <f>Pagoinversiones!AA61</f>
        <v>0</v>
      </c>
      <c r="N286" s="27">
        <f>Pagoinversiones!AB61</f>
        <v>0</v>
      </c>
      <c r="O286" s="27">
        <f>Pagoinversiones!AC61</f>
        <v>0</v>
      </c>
      <c r="P286" s="27">
        <f>Pagoinversiones!AD61</f>
        <v>0</v>
      </c>
      <c r="Q286" s="27">
        <f>Pagoinversiones!AE61</f>
        <v>0</v>
      </c>
      <c r="R286" s="27">
        <f>Pagoinversiones!AF61</f>
        <v>0</v>
      </c>
      <c r="X286" s="61"/>
    </row>
    <row r="287" spans="2:24" hidden="1" x14ac:dyDescent="0.2">
      <c r="B287" s="60"/>
      <c r="E287" s="27" t="s">
        <v>1543</v>
      </c>
      <c r="F287" s="27">
        <f>SUM(G287:R287)</f>
        <v>0</v>
      </c>
      <c r="G287" s="27">
        <f>+G286*$F$285</f>
        <v>0</v>
      </c>
      <c r="H287" s="27">
        <f t="shared" ref="H287:R287" si="92">+H286*$F$285</f>
        <v>0</v>
      </c>
      <c r="I287" s="27">
        <f t="shared" si="92"/>
        <v>0</v>
      </c>
      <c r="J287" s="27">
        <f t="shared" si="92"/>
        <v>0</v>
      </c>
      <c r="K287" s="27">
        <f t="shared" si="92"/>
        <v>0</v>
      </c>
      <c r="L287" s="27">
        <f t="shared" si="92"/>
        <v>0</v>
      </c>
      <c r="M287" s="27">
        <f t="shared" si="92"/>
        <v>0</v>
      </c>
      <c r="N287" s="27">
        <f t="shared" si="92"/>
        <v>0</v>
      </c>
      <c r="O287" s="27">
        <f t="shared" si="92"/>
        <v>0</v>
      </c>
      <c r="P287" s="27">
        <f t="shared" si="92"/>
        <v>0</v>
      </c>
      <c r="Q287" s="27">
        <f t="shared" si="92"/>
        <v>0</v>
      </c>
      <c r="R287" s="27">
        <f t="shared" si="92"/>
        <v>0</v>
      </c>
      <c r="X287" s="61"/>
    </row>
    <row r="288" spans="2:24" hidden="1" x14ac:dyDescent="0.2">
      <c r="B288" s="60"/>
      <c r="E288" s="27" t="s">
        <v>20</v>
      </c>
      <c r="F288" s="27">
        <f>SUM(G288:R288)</f>
        <v>0</v>
      </c>
      <c r="G288" s="27">
        <f t="shared" ref="G288:R288" si="93">+G287+G286</f>
        <v>0</v>
      </c>
      <c r="H288" s="27">
        <f t="shared" si="93"/>
        <v>0</v>
      </c>
      <c r="I288" s="27">
        <f t="shared" si="93"/>
        <v>0</v>
      </c>
      <c r="J288" s="27">
        <f t="shared" si="93"/>
        <v>0</v>
      </c>
      <c r="K288" s="27">
        <f t="shared" si="93"/>
        <v>0</v>
      </c>
      <c r="L288" s="27">
        <f t="shared" si="93"/>
        <v>0</v>
      </c>
      <c r="M288" s="27">
        <f t="shared" si="93"/>
        <v>0</v>
      </c>
      <c r="N288" s="27">
        <f t="shared" si="93"/>
        <v>0</v>
      </c>
      <c r="O288" s="27">
        <f t="shared" si="93"/>
        <v>0</v>
      </c>
      <c r="P288" s="27">
        <f t="shared" si="93"/>
        <v>0</v>
      </c>
      <c r="Q288" s="27">
        <f t="shared" si="93"/>
        <v>0</v>
      </c>
      <c r="R288" s="27">
        <f t="shared" si="93"/>
        <v>0</v>
      </c>
      <c r="S288" s="27" t="str">
        <f>IF(F288=Pagoinversiones!AG61+(Pagoinversiones!AG61*CResult!F285),"OK","ERROR")</f>
        <v>OK</v>
      </c>
      <c r="X288" s="61"/>
    </row>
    <row r="289" spans="2:24" hidden="1" x14ac:dyDescent="0.2">
      <c r="B289" s="60"/>
      <c r="E289" s="27" t="str">
        <f>SB!E613</f>
        <v>Maquinaria, utillaje y herramientas</v>
      </c>
      <c r="F289" s="27">
        <f>SB!I613</f>
        <v>0.21</v>
      </c>
      <c r="X289" s="61"/>
    </row>
    <row r="290" spans="2:24" hidden="1" x14ac:dyDescent="0.2">
      <c r="B290" s="60"/>
      <c r="E290" s="27" t="s">
        <v>690</v>
      </c>
      <c r="F290" s="27">
        <f>SUM(G290:R290)</f>
        <v>0</v>
      </c>
      <c r="G290" s="27">
        <f>Pagoinversiones!U68</f>
        <v>0</v>
      </c>
      <c r="H290" s="27">
        <f>Pagoinversiones!V68</f>
        <v>0</v>
      </c>
      <c r="I290" s="27">
        <f>Pagoinversiones!W68</f>
        <v>0</v>
      </c>
      <c r="J290" s="27">
        <f>Pagoinversiones!X68</f>
        <v>0</v>
      </c>
      <c r="K290" s="27">
        <f>Pagoinversiones!Y68</f>
        <v>0</v>
      </c>
      <c r="L290" s="27">
        <f>Pagoinversiones!Z68</f>
        <v>0</v>
      </c>
      <c r="M290" s="27">
        <f>Pagoinversiones!AA68</f>
        <v>0</v>
      </c>
      <c r="N290" s="27">
        <f>Pagoinversiones!AB68</f>
        <v>0</v>
      </c>
      <c r="O290" s="27">
        <f>Pagoinversiones!AC68</f>
        <v>0</v>
      </c>
      <c r="P290" s="27">
        <f>Pagoinversiones!AD68</f>
        <v>0</v>
      </c>
      <c r="Q290" s="27">
        <f>Pagoinversiones!AE68</f>
        <v>0</v>
      </c>
      <c r="R290" s="27">
        <f>Pagoinversiones!AF68</f>
        <v>0</v>
      </c>
      <c r="X290" s="61"/>
    </row>
    <row r="291" spans="2:24" hidden="1" x14ac:dyDescent="0.2">
      <c r="B291" s="60"/>
      <c r="E291" s="27" t="s">
        <v>1543</v>
      </c>
      <c r="F291" s="27">
        <f>SUM(G291:R291)</f>
        <v>0</v>
      </c>
      <c r="G291" s="27">
        <f>+G290*$F$289</f>
        <v>0</v>
      </c>
      <c r="H291" s="27">
        <f t="shared" ref="H291:R291" si="94">+H290*$F$289</f>
        <v>0</v>
      </c>
      <c r="I291" s="27">
        <f t="shared" si="94"/>
        <v>0</v>
      </c>
      <c r="J291" s="27">
        <f t="shared" si="94"/>
        <v>0</v>
      </c>
      <c r="K291" s="27">
        <f t="shared" si="94"/>
        <v>0</v>
      </c>
      <c r="L291" s="27">
        <f t="shared" si="94"/>
        <v>0</v>
      </c>
      <c r="M291" s="27">
        <f t="shared" si="94"/>
        <v>0</v>
      </c>
      <c r="N291" s="27">
        <f t="shared" si="94"/>
        <v>0</v>
      </c>
      <c r="O291" s="27">
        <f t="shared" si="94"/>
        <v>0</v>
      </c>
      <c r="P291" s="27">
        <f t="shared" si="94"/>
        <v>0</v>
      </c>
      <c r="Q291" s="27">
        <f t="shared" si="94"/>
        <v>0</v>
      </c>
      <c r="R291" s="27">
        <f t="shared" si="94"/>
        <v>0</v>
      </c>
      <c r="X291" s="61"/>
    </row>
    <row r="292" spans="2:24" hidden="1" x14ac:dyDescent="0.2">
      <c r="B292" s="60"/>
      <c r="E292" s="27" t="s">
        <v>20</v>
      </c>
      <c r="F292" s="27">
        <f>SUM(G292:R292)</f>
        <v>0</v>
      </c>
      <c r="G292" s="27">
        <f t="shared" ref="G292:R292" si="95">+G291+G290</f>
        <v>0</v>
      </c>
      <c r="H292" s="27">
        <f t="shared" si="95"/>
        <v>0</v>
      </c>
      <c r="I292" s="27">
        <f t="shared" si="95"/>
        <v>0</v>
      </c>
      <c r="J292" s="27">
        <f t="shared" si="95"/>
        <v>0</v>
      </c>
      <c r="K292" s="27">
        <f t="shared" si="95"/>
        <v>0</v>
      </c>
      <c r="L292" s="27">
        <f t="shared" si="95"/>
        <v>0</v>
      </c>
      <c r="M292" s="27">
        <f t="shared" si="95"/>
        <v>0</v>
      </c>
      <c r="N292" s="27">
        <f t="shared" si="95"/>
        <v>0</v>
      </c>
      <c r="O292" s="27">
        <f t="shared" si="95"/>
        <v>0</v>
      </c>
      <c r="P292" s="27">
        <f t="shared" si="95"/>
        <v>0</v>
      </c>
      <c r="Q292" s="27">
        <f t="shared" si="95"/>
        <v>0</v>
      </c>
      <c r="R292" s="27">
        <f t="shared" si="95"/>
        <v>0</v>
      </c>
      <c r="S292" s="27" t="str">
        <f>IF(F292=Pagoinversiones!AG68+(Pagoinversiones!AG68*CResult!F289),"OK","ERROR")</f>
        <v>OK</v>
      </c>
      <c r="X292" s="61"/>
    </row>
    <row r="293" spans="2:24" hidden="1" x14ac:dyDescent="0.2">
      <c r="B293" s="60"/>
      <c r="E293" s="27" t="str">
        <f>SB!E614</f>
        <v>Vehículos y elementos de transporte</v>
      </c>
      <c r="F293" s="27">
        <f>SB!I614</f>
        <v>0.21</v>
      </c>
      <c r="X293" s="61"/>
    </row>
    <row r="294" spans="2:24" hidden="1" x14ac:dyDescent="0.2">
      <c r="B294" s="60"/>
      <c r="E294" s="27" t="s">
        <v>690</v>
      </c>
      <c r="F294" s="27">
        <f>SUM(G294:R294)</f>
        <v>0</v>
      </c>
      <c r="G294" s="27">
        <f>Pagoinversiones!U75</f>
        <v>0</v>
      </c>
      <c r="H294" s="27">
        <f>Pagoinversiones!V75</f>
        <v>0</v>
      </c>
      <c r="I294" s="27">
        <f>Pagoinversiones!W75</f>
        <v>0</v>
      </c>
      <c r="J294" s="27">
        <f>Pagoinversiones!X75</f>
        <v>0</v>
      </c>
      <c r="K294" s="27">
        <f>Pagoinversiones!Y75</f>
        <v>0</v>
      </c>
      <c r="L294" s="27">
        <f>Pagoinversiones!Z75</f>
        <v>0</v>
      </c>
      <c r="M294" s="27">
        <f>Pagoinversiones!AA75</f>
        <v>0</v>
      </c>
      <c r="N294" s="27">
        <f>Pagoinversiones!AB75</f>
        <v>0</v>
      </c>
      <c r="O294" s="27">
        <f>Pagoinversiones!AC75</f>
        <v>0</v>
      </c>
      <c r="P294" s="27">
        <f>Pagoinversiones!AD75</f>
        <v>0</v>
      </c>
      <c r="Q294" s="27">
        <f>Pagoinversiones!AE75</f>
        <v>0</v>
      </c>
      <c r="R294" s="27">
        <f>Pagoinversiones!AF75</f>
        <v>0</v>
      </c>
      <c r="X294" s="61"/>
    </row>
    <row r="295" spans="2:24" hidden="1" x14ac:dyDescent="0.2">
      <c r="B295" s="60"/>
      <c r="E295" s="27" t="s">
        <v>1543</v>
      </c>
      <c r="F295" s="27">
        <f>SUM(G295:R295)</f>
        <v>0</v>
      </c>
      <c r="G295" s="27">
        <f>+G294*$F$293</f>
        <v>0</v>
      </c>
      <c r="H295" s="27">
        <f t="shared" ref="H295:R295" si="96">+H294*$F$293</f>
        <v>0</v>
      </c>
      <c r="I295" s="27">
        <f t="shared" si="96"/>
        <v>0</v>
      </c>
      <c r="J295" s="27">
        <f t="shared" si="96"/>
        <v>0</v>
      </c>
      <c r="K295" s="27">
        <f t="shared" si="96"/>
        <v>0</v>
      </c>
      <c r="L295" s="27">
        <f t="shared" si="96"/>
        <v>0</v>
      </c>
      <c r="M295" s="27">
        <f t="shared" si="96"/>
        <v>0</v>
      </c>
      <c r="N295" s="27">
        <f t="shared" si="96"/>
        <v>0</v>
      </c>
      <c r="O295" s="27">
        <f t="shared" si="96"/>
        <v>0</v>
      </c>
      <c r="P295" s="27">
        <f t="shared" si="96"/>
        <v>0</v>
      </c>
      <c r="Q295" s="27">
        <f t="shared" si="96"/>
        <v>0</v>
      </c>
      <c r="R295" s="27">
        <f t="shared" si="96"/>
        <v>0</v>
      </c>
      <c r="X295" s="61"/>
    </row>
    <row r="296" spans="2:24" hidden="1" x14ac:dyDescent="0.2">
      <c r="B296" s="60"/>
      <c r="E296" s="27" t="s">
        <v>20</v>
      </c>
      <c r="F296" s="27">
        <f>SUM(G296:R296)</f>
        <v>0</v>
      </c>
      <c r="G296" s="27">
        <f t="shared" ref="G296:R296" si="97">+G295+G294</f>
        <v>0</v>
      </c>
      <c r="H296" s="27">
        <f t="shared" si="97"/>
        <v>0</v>
      </c>
      <c r="I296" s="27">
        <f t="shared" si="97"/>
        <v>0</v>
      </c>
      <c r="J296" s="27">
        <f t="shared" si="97"/>
        <v>0</v>
      </c>
      <c r="K296" s="27">
        <f t="shared" si="97"/>
        <v>0</v>
      </c>
      <c r="L296" s="27">
        <f t="shared" si="97"/>
        <v>0</v>
      </c>
      <c r="M296" s="27">
        <f t="shared" si="97"/>
        <v>0</v>
      </c>
      <c r="N296" s="27">
        <f t="shared" si="97"/>
        <v>0</v>
      </c>
      <c r="O296" s="27">
        <f t="shared" si="97"/>
        <v>0</v>
      </c>
      <c r="P296" s="27">
        <f t="shared" si="97"/>
        <v>0</v>
      </c>
      <c r="Q296" s="27">
        <f t="shared" si="97"/>
        <v>0</v>
      </c>
      <c r="R296" s="27">
        <f t="shared" si="97"/>
        <v>0</v>
      </c>
      <c r="S296" s="27" t="str">
        <f>IF(F296=Pagoinversiones!AG75+(Pagoinversiones!AG75*CResult!F293),"OK","ERROR")</f>
        <v>OK</v>
      </c>
      <c r="X296" s="61"/>
    </row>
    <row r="297" spans="2:24" hidden="1" x14ac:dyDescent="0.2">
      <c r="B297" s="60"/>
      <c r="E297" s="27" t="str">
        <f>SB!E615</f>
        <v>Mobiliario y equipos oficina</v>
      </c>
      <c r="F297" s="27">
        <f>SB!I615</f>
        <v>0.21</v>
      </c>
      <c r="X297" s="61"/>
    </row>
    <row r="298" spans="2:24" hidden="1" x14ac:dyDescent="0.2">
      <c r="B298" s="60"/>
      <c r="E298" s="27" t="s">
        <v>690</v>
      </c>
      <c r="F298" s="27">
        <f>SUM(G298:R298)</f>
        <v>0</v>
      </c>
      <c r="G298" s="27">
        <f>Pagoinversiones!U82</f>
        <v>0</v>
      </c>
      <c r="H298" s="27">
        <f>Pagoinversiones!V82</f>
        <v>0</v>
      </c>
      <c r="I298" s="27">
        <f>Pagoinversiones!W82</f>
        <v>0</v>
      </c>
      <c r="J298" s="27">
        <f>Pagoinversiones!X82</f>
        <v>0</v>
      </c>
      <c r="K298" s="27">
        <f>Pagoinversiones!Y82</f>
        <v>0</v>
      </c>
      <c r="L298" s="27">
        <f>Pagoinversiones!Z82</f>
        <v>0</v>
      </c>
      <c r="M298" s="27">
        <f>Pagoinversiones!AA82</f>
        <v>0</v>
      </c>
      <c r="N298" s="27">
        <f>Pagoinversiones!AB82</f>
        <v>0</v>
      </c>
      <c r="O298" s="27">
        <f>Pagoinversiones!AC82</f>
        <v>0</v>
      </c>
      <c r="P298" s="27">
        <f>Pagoinversiones!AD82</f>
        <v>0</v>
      </c>
      <c r="Q298" s="27">
        <f>Pagoinversiones!AE82</f>
        <v>0</v>
      </c>
      <c r="R298" s="27">
        <f>Pagoinversiones!AF82</f>
        <v>0</v>
      </c>
      <c r="X298" s="61"/>
    </row>
    <row r="299" spans="2:24" hidden="1" x14ac:dyDescent="0.2">
      <c r="B299" s="60"/>
      <c r="E299" s="27" t="s">
        <v>1543</v>
      </c>
      <c r="F299" s="27">
        <f>SUM(G299:R299)</f>
        <v>0</v>
      </c>
      <c r="G299" s="27">
        <f>+G298*$F$297</f>
        <v>0</v>
      </c>
      <c r="H299" s="27">
        <f t="shared" ref="H299:R299" si="98">+H298*$F$297</f>
        <v>0</v>
      </c>
      <c r="I299" s="27">
        <f t="shared" si="98"/>
        <v>0</v>
      </c>
      <c r="J299" s="27">
        <f t="shared" si="98"/>
        <v>0</v>
      </c>
      <c r="K299" s="27">
        <f t="shared" si="98"/>
        <v>0</v>
      </c>
      <c r="L299" s="27">
        <f t="shared" si="98"/>
        <v>0</v>
      </c>
      <c r="M299" s="27">
        <f t="shared" si="98"/>
        <v>0</v>
      </c>
      <c r="N299" s="27">
        <f t="shared" si="98"/>
        <v>0</v>
      </c>
      <c r="O299" s="27">
        <f t="shared" si="98"/>
        <v>0</v>
      </c>
      <c r="P299" s="27">
        <f t="shared" si="98"/>
        <v>0</v>
      </c>
      <c r="Q299" s="27">
        <f t="shared" si="98"/>
        <v>0</v>
      </c>
      <c r="R299" s="27">
        <f t="shared" si="98"/>
        <v>0</v>
      </c>
      <c r="X299" s="61"/>
    </row>
    <row r="300" spans="2:24" hidden="1" x14ac:dyDescent="0.2">
      <c r="B300" s="60"/>
      <c r="E300" s="27" t="s">
        <v>20</v>
      </c>
      <c r="F300" s="27">
        <f>SUM(G300:R300)</f>
        <v>0</v>
      </c>
      <c r="G300" s="27">
        <f t="shared" ref="G300:R300" si="99">+G299+G298</f>
        <v>0</v>
      </c>
      <c r="H300" s="27">
        <f t="shared" si="99"/>
        <v>0</v>
      </c>
      <c r="I300" s="27">
        <f t="shared" si="99"/>
        <v>0</v>
      </c>
      <c r="J300" s="27">
        <f t="shared" si="99"/>
        <v>0</v>
      </c>
      <c r="K300" s="27">
        <f t="shared" si="99"/>
        <v>0</v>
      </c>
      <c r="L300" s="27">
        <f t="shared" si="99"/>
        <v>0</v>
      </c>
      <c r="M300" s="27">
        <f t="shared" si="99"/>
        <v>0</v>
      </c>
      <c r="N300" s="27">
        <f t="shared" si="99"/>
        <v>0</v>
      </c>
      <c r="O300" s="27">
        <f t="shared" si="99"/>
        <v>0</v>
      </c>
      <c r="P300" s="27">
        <f t="shared" si="99"/>
        <v>0</v>
      </c>
      <c r="Q300" s="27">
        <f t="shared" si="99"/>
        <v>0</v>
      </c>
      <c r="R300" s="27">
        <f t="shared" si="99"/>
        <v>0</v>
      </c>
      <c r="S300" s="27" t="str">
        <f>IF(F300=Pagoinversiones!AG82+(Pagoinversiones!AG82*CResult!F297),"OK","ERROR")</f>
        <v>OK</v>
      </c>
      <c r="X300" s="61"/>
    </row>
    <row r="301" spans="2:24" hidden="1" x14ac:dyDescent="0.2">
      <c r="B301" s="60"/>
      <c r="E301" s="27" t="str">
        <f>SB!E616</f>
        <v>Equipos informáticos</v>
      </c>
      <c r="F301" s="27">
        <f>SB!I616</f>
        <v>0.21</v>
      </c>
      <c r="X301" s="61"/>
    </row>
    <row r="302" spans="2:24" hidden="1" x14ac:dyDescent="0.2">
      <c r="B302" s="60"/>
      <c r="E302" s="27" t="s">
        <v>690</v>
      </c>
      <c r="F302" s="27">
        <f>SUM(G302:R302)</f>
        <v>0</v>
      </c>
      <c r="G302" s="27">
        <f>Pagoinversiones!U89</f>
        <v>0</v>
      </c>
      <c r="H302" s="27">
        <f>Pagoinversiones!V89</f>
        <v>0</v>
      </c>
      <c r="I302" s="27">
        <f>Pagoinversiones!W89</f>
        <v>0</v>
      </c>
      <c r="J302" s="27">
        <f>Pagoinversiones!X89</f>
        <v>0</v>
      </c>
      <c r="K302" s="27">
        <f>Pagoinversiones!Y89</f>
        <v>0</v>
      </c>
      <c r="L302" s="27">
        <f>Pagoinversiones!Z89</f>
        <v>0</v>
      </c>
      <c r="M302" s="27">
        <f>Pagoinversiones!AA89</f>
        <v>0</v>
      </c>
      <c r="N302" s="27">
        <f>Pagoinversiones!AB89</f>
        <v>0</v>
      </c>
      <c r="O302" s="27">
        <f>Pagoinversiones!AC89</f>
        <v>0</v>
      </c>
      <c r="P302" s="27">
        <f>Pagoinversiones!AD89</f>
        <v>0</v>
      </c>
      <c r="Q302" s="27">
        <f>Pagoinversiones!AE89</f>
        <v>0</v>
      </c>
      <c r="R302" s="27">
        <f>Pagoinversiones!AF89</f>
        <v>0</v>
      </c>
      <c r="X302" s="61"/>
    </row>
    <row r="303" spans="2:24" hidden="1" x14ac:dyDescent="0.2">
      <c r="B303" s="60"/>
      <c r="E303" s="27" t="s">
        <v>1543</v>
      </c>
      <c r="F303" s="27">
        <f>SUM(G303:R303)</f>
        <v>0</v>
      </c>
      <c r="G303" s="27">
        <f>+G302*$F$301</f>
        <v>0</v>
      </c>
      <c r="H303" s="27">
        <f>+H302*$F$301</f>
        <v>0</v>
      </c>
      <c r="I303" s="27">
        <f t="shared" ref="I303:R303" si="100">+I302*$F$301</f>
        <v>0</v>
      </c>
      <c r="J303" s="27">
        <f t="shared" si="100"/>
        <v>0</v>
      </c>
      <c r="K303" s="27">
        <f t="shared" si="100"/>
        <v>0</v>
      </c>
      <c r="L303" s="27">
        <f t="shared" si="100"/>
        <v>0</v>
      </c>
      <c r="M303" s="27">
        <f t="shared" si="100"/>
        <v>0</v>
      </c>
      <c r="N303" s="27">
        <f t="shared" si="100"/>
        <v>0</v>
      </c>
      <c r="O303" s="27">
        <f t="shared" si="100"/>
        <v>0</v>
      </c>
      <c r="P303" s="27">
        <f t="shared" si="100"/>
        <v>0</v>
      </c>
      <c r="Q303" s="27">
        <f t="shared" si="100"/>
        <v>0</v>
      </c>
      <c r="R303" s="27">
        <f t="shared" si="100"/>
        <v>0</v>
      </c>
      <c r="X303" s="61"/>
    </row>
    <row r="304" spans="2:24" hidden="1" x14ac:dyDescent="0.2">
      <c r="B304" s="60"/>
      <c r="E304" s="27" t="s">
        <v>20</v>
      </c>
      <c r="F304" s="27">
        <f>SUM(G304:R304)</f>
        <v>0</v>
      </c>
      <c r="G304" s="27">
        <f t="shared" ref="G304:R304" si="101">+G303+G302</f>
        <v>0</v>
      </c>
      <c r="H304" s="27">
        <f t="shared" si="101"/>
        <v>0</v>
      </c>
      <c r="I304" s="27">
        <f t="shared" si="101"/>
        <v>0</v>
      </c>
      <c r="J304" s="27">
        <f t="shared" si="101"/>
        <v>0</v>
      </c>
      <c r="K304" s="27">
        <f t="shared" si="101"/>
        <v>0</v>
      </c>
      <c r="L304" s="27">
        <f t="shared" si="101"/>
        <v>0</v>
      </c>
      <c r="M304" s="27">
        <f t="shared" si="101"/>
        <v>0</v>
      </c>
      <c r="N304" s="27">
        <f t="shared" si="101"/>
        <v>0</v>
      </c>
      <c r="O304" s="27">
        <f t="shared" si="101"/>
        <v>0</v>
      </c>
      <c r="P304" s="27">
        <f t="shared" si="101"/>
        <v>0</v>
      </c>
      <c r="Q304" s="27">
        <f t="shared" si="101"/>
        <v>0</v>
      </c>
      <c r="R304" s="27">
        <f t="shared" si="101"/>
        <v>0</v>
      </c>
      <c r="S304" s="27" t="str">
        <f>IF(F304=Pagoinversiones!AG89+(Pagoinversiones!AG89*CResult!F301),"OK","ERROR")</f>
        <v>OK</v>
      </c>
      <c r="X304" s="61"/>
    </row>
    <row r="305" spans="2:27" s="27" customFormat="1" ht="11.25" hidden="1" x14ac:dyDescent="0.2">
      <c r="B305" s="60"/>
      <c r="E305" s="27" t="str">
        <f>SB!E617</f>
        <v>Activos intangibles amortizables</v>
      </c>
      <c r="F305" s="27">
        <f>SB!I617</f>
        <v>0.21</v>
      </c>
      <c r="X305" s="61"/>
    </row>
    <row r="306" spans="2:27" s="27" customFormat="1" ht="11.25" hidden="1" x14ac:dyDescent="0.2">
      <c r="B306" s="60"/>
      <c r="E306" s="27" t="s">
        <v>690</v>
      </c>
      <c r="F306" s="27">
        <f>SUM(G306:R306)</f>
        <v>0</v>
      </c>
      <c r="G306" s="27">
        <f>Pagoinversiones!U96</f>
        <v>0</v>
      </c>
      <c r="H306" s="27">
        <f>Pagoinversiones!V96</f>
        <v>0</v>
      </c>
      <c r="I306" s="27">
        <f>Pagoinversiones!W96</f>
        <v>0</v>
      </c>
      <c r="J306" s="27">
        <f>Pagoinversiones!X96</f>
        <v>0</v>
      </c>
      <c r="K306" s="27">
        <f>Pagoinversiones!Y96</f>
        <v>0</v>
      </c>
      <c r="L306" s="27">
        <f>Pagoinversiones!Z96</f>
        <v>0</v>
      </c>
      <c r="M306" s="27">
        <f>Pagoinversiones!AA96</f>
        <v>0</v>
      </c>
      <c r="N306" s="27">
        <f>Pagoinversiones!AB96</f>
        <v>0</v>
      </c>
      <c r="O306" s="27">
        <f>Pagoinversiones!AC96</f>
        <v>0</v>
      </c>
      <c r="P306" s="27">
        <f>Pagoinversiones!AD96</f>
        <v>0</v>
      </c>
      <c r="Q306" s="27">
        <f>Pagoinversiones!AE96</f>
        <v>0</v>
      </c>
      <c r="R306" s="27">
        <f>Pagoinversiones!AF96</f>
        <v>0</v>
      </c>
      <c r="X306" s="61"/>
    </row>
    <row r="307" spans="2:27" s="27" customFormat="1" ht="11.25" hidden="1" x14ac:dyDescent="0.2">
      <c r="B307" s="60"/>
      <c r="E307" s="27" t="s">
        <v>1543</v>
      </c>
      <c r="F307" s="27">
        <f>SUM(G307:R307)</f>
        <v>0</v>
      </c>
      <c r="G307" s="27">
        <f>+G306*$F$305</f>
        <v>0</v>
      </c>
      <c r="H307" s="27">
        <f>+H306*$F$305</f>
        <v>0</v>
      </c>
      <c r="I307" s="27">
        <f t="shared" ref="I307:R307" si="102">+I306*$F$305</f>
        <v>0</v>
      </c>
      <c r="J307" s="27">
        <f t="shared" si="102"/>
        <v>0</v>
      </c>
      <c r="K307" s="27">
        <f t="shared" si="102"/>
        <v>0</v>
      </c>
      <c r="L307" s="27">
        <f t="shared" si="102"/>
        <v>0</v>
      </c>
      <c r="M307" s="27">
        <f t="shared" si="102"/>
        <v>0</v>
      </c>
      <c r="N307" s="27">
        <f t="shared" si="102"/>
        <v>0</v>
      </c>
      <c r="O307" s="27">
        <f t="shared" si="102"/>
        <v>0</v>
      </c>
      <c r="P307" s="27">
        <f t="shared" si="102"/>
        <v>0</v>
      </c>
      <c r="Q307" s="27">
        <f t="shared" si="102"/>
        <v>0</v>
      </c>
      <c r="R307" s="27">
        <f t="shared" si="102"/>
        <v>0</v>
      </c>
      <c r="X307" s="61"/>
    </row>
    <row r="308" spans="2:27" s="27" customFormat="1" ht="11.25" hidden="1" x14ac:dyDescent="0.2">
      <c r="B308" s="60"/>
      <c r="E308" s="27" t="s">
        <v>20</v>
      </c>
      <c r="F308" s="27">
        <f>SUM(G308:R308)</f>
        <v>0</v>
      </c>
      <c r="G308" s="27">
        <f t="shared" ref="G308:R308" si="103">+G307+G306</f>
        <v>0</v>
      </c>
      <c r="H308" s="27">
        <f t="shared" si="103"/>
        <v>0</v>
      </c>
      <c r="I308" s="27">
        <f t="shared" si="103"/>
        <v>0</v>
      </c>
      <c r="J308" s="27">
        <f t="shared" si="103"/>
        <v>0</v>
      </c>
      <c r="K308" s="27">
        <f t="shared" si="103"/>
        <v>0</v>
      </c>
      <c r="L308" s="27">
        <f t="shared" si="103"/>
        <v>0</v>
      </c>
      <c r="M308" s="27">
        <f t="shared" si="103"/>
        <v>0</v>
      </c>
      <c r="N308" s="27">
        <f t="shared" si="103"/>
        <v>0</v>
      </c>
      <c r="O308" s="27">
        <f t="shared" si="103"/>
        <v>0</v>
      </c>
      <c r="P308" s="27">
        <f t="shared" si="103"/>
        <v>0</v>
      </c>
      <c r="Q308" s="27">
        <f t="shared" si="103"/>
        <v>0</v>
      </c>
      <c r="R308" s="27">
        <f t="shared" si="103"/>
        <v>0</v>
      </c>
      <c r="S308" s="27" t="str">
        <f>IF(F308=Pagoinversiones!AG96+(Pagoinversiones!AG96*CResult!F305),"OK","ERROR")</f>
        <v>OK</v>
      </c>
      <c r="X308" s="61"/>
    </row>
    <row r="309" spans="2:27" s="27" customFormat="1" ht="11.25" hidden="1" x14ac:dyDescent="0.2">
      <c r="B309" s="60"/>
      <c r="E309" s="27" t="s">
        <v>692</v>
      </c>
      <c r="F309" s="27">
        <f t="shared" ref="F309:R309" si="104">+F307+F303+F299+F295+F291+F287+F283</f>
        <v>0</v>
      </c>
      <c r="G309" s="27">
        <f t="shared" si="104"/>
        <v>0</v>
      </c>
      <c r="H309" s="27">
        <f t="shared" si="104"/>
        <v>0</v>
      </c>
      <c r="I309" s="27">
        <f t="shared" si="104"/>
        <v>0</v>
      </c>
      <c r="J309" s="27">
        <f t="shared" si="104"/>
        <v>0</v>
      </c>
      <c r="K309" s="27">
        <f t="shared" si="104"/>
        <v>0</v>
      </c>
      <c r="L309" s="27">
        <f t="shared" si="104"/>
        <v>0</v>
      </c>
      <c r="M309" s="27">
        <f t="shared" si="104"/>
        <v>0</v>
      </c>
      <c r="N309" s="27">
        <f t="shared" si="104"/>
        <v>0</v>
      </c>
      <c r="O309" s="27">
        <f t="shared" si="104"/>
        <v>0</v>
      </c>
      <c r="P309" s="27">
        <f t="shared" si="104"/>
        <v>0</v>
      </c>
      <c r="Q309" s="27">
        <f t="shared" si="104"/>
        <v>0</v>
      </c>
      <c r="R309" s="27">
        <f t="shared" si="104"/>
        <v>0</v>
      </c>
      <c r="X309" s="61"/>
    </row>
    <row r="310" spans="2:27" s="27" customFormat="1" ht="11.25" hidden="1" x14ac:dyDescent="0.2">
      <c r="B310" s="60"/>
      <c r="E310" s="27" t="s">
        <v>20</v>
      </c>
      <c r="F310" s="27">
        <f t="shared" ref="F310:R310" si="105">+F308+F304+F300+F296+F292+F288+F284</f>
        <v>0</v>
      </c>
      <c r="G310" s="27">
        <f t="shared" si="105"/>
        <v>0</v>
      </c>
      <c r="H310" s="27">
        <f t="shared" si="105"/>
        <v>0</v>
      </c>
      <c r="I310" s="27">
        <f t="shared" si="105"/>
        <v>0</v>
      </c>
      <c r="J310" s="27">
        <f t="shared" si="105"/>
        <v>0</v>
      </c>
      <c r="K310" s="27">
        <f t="shared" si="105"/>
        <v>0</v>
      </c>
      <c r="L310" s="27">
        <f t="shared" si="105"/>
        <v>0</v>
      </c>
      <c r="M310" s="27">
        <f t="shared" si="105"/>
        <v>0</v>
      </c>
      <c r="N310" s="27">
        <f t="shared" si="105"/>
        <v>0</v>
      </c>
      <c r="O310" s="27">
        <f t="shared" si="105"/>
        <v>0</v>
      </c>
      <c r="P310" s="27">
        <f t="shared" si="105"/>
        <v>0</v>
      </c>
      <c r="Q310" s="27">
        <f t="shared" si="105"/>
        <v>0</v>
      </c>
      <c r="R310" s="27">
        <f t="shared" si="105"/>
        <v>0</v>
      </c>
      <c r="X310" s="61"/>
    </row>
    <row r="311" spans="2:27" s="27" customFormat="1" ht="11.25" hidden="1" x14ac:dyDescent="0.2">
      <c r="B311" s="60"/>
      <c r="X311" s="61"/>
    </row>
    <row r="312" spans="2:27" s="27" customFormat="1" ht="11.25" hidden="1" x14ac:dyDescent="0.2">
      <c r="B312" s="60"/>
      <c r="X312" s="61"/>
    </row>
    <row r="313" spans="2:27" s="27" customFormat="1" ht="11.25" hidden="1" x14ac:dyDescent="0.2">
      <c r="B313" s="60"/>
      <c r="X313" s="61"/>
    </row>
    <row r="314" spans="2:27" s="27" customFormat="1" ht="11.25" hidden="1" x14ac:dyDescent="0.2">
      <c r="B314" s="60"/>
      <c r="X314" s="61"/>
    </row>
    <row r="315" spans="2:27" s="27" customFormat="1" ht="11.25" hidden="1" x14ac:dyDescent="0.2">
      <c r="B315" s="60"/>
      <c r="X315" s="61"/>
    </row>
    <row r="316" spans="2:27" s="27" customFormat="1" ht="11.25" hidden="1" x14ac:dyDescent="0.2">
      <c r="B316" s="60"/>
      <c r="X316" s="61"/>
    </row>
    <row r="317" spans="2:27" s="27" customFormat="1" ht="11.25" hidden="1" x14ac:dyDescent="0.2">
      <c r="B317" s="60"/>
      <c r="X317" s="61"/>
    </row>
    <row r="318" spans="2:27" s="27" customFormat="1" ht="11.25" hidden="1" x14ac:dyDescent="0.2">
      <c r="B318" s="60"/>
      <c r="X318" s="61"/>
    </row>
    <row r="319" spans="2:27" s="27" customFormat="1" ht="11.25" hidden="1" x14ac:dyDescent="0.2">
      <c r="B319" s="60"/>
      <c r="X319" s="61"/>
    </row>
    <row r="320" spans="2:27" s="27" customFormat="1" ht="11.25" hidden="1" x14ac:dyDescent="0.2">
      <c r="B320" s="62"/>
      <c r="C320" s="63"/>
      <c r="D320" s="63" t="s">
        <v>1454</v>
      </c>
      <c r="E320" s="63" t="s">
        <v>1203</v>
      </c>
      <c r="F320" s="63"/>
      <c r="G320" s="63"/>
      <c r="H320" s="63"/>
      <c r="I320" s="63"/>
      <c r="J320" s="63"/>
      <c r="K320" s="63"/>
      <c r="L320" s="63"/>
      <c r="M320" s="63"/>
      <c r="N320" s="63"/>
      <c r="O320" s="63"/>
      <c r="P320" s="63"/>
      <c r="Q320" s="63"/>
      <c r="R320" s="63"/>
      <c r="S320" s="63"/>
      <c r="T320" s="63"/>
      <c r="U320" s="63"/>
      <c r="V320" s="63"/>
      <c r="W320" s="63"/>
      <c r="X320" s="63"/>
      <c r="Y320" s="63"/>
      <c r="Z320" s="63"/>
      <c r="AA320" s="64"/>
    </row>
    <row r="321" spans="2:27" s="27" customFormat="1" ht="11.25" hidden="1" x14ac:dyDescent="0.2">
      <c r="B321" s="60"/>
      <c r="E321" s="27" t="s">
        <v>708</v>
      </c>
      <c r="H321" s="27" t="s">
        <v>709</v>
      </c>
      <c r="K321" s="27" t="s">
        <v>181</v>
      </c>
      <c r="AA321" s="61"/>
    </row>
    <row r="322" spans="2:27" s="27" customFormat="1" ht="11.25" hidden="1" x14ac:dyDescent="0.2">
      <c r="B322" s="60"/>
      <c r="AA322" s="61"/>
    </row>
    <row r="323" spans="2:27" s="27" customFormat="1" ht="11.25" hidden="1" x14ac:dyDescent="0.2">
      <c r="B323" s="60"/>
      <c r="E323" s="27" t="s">
        <v>1215</v>
      </c>
      <c r="AA323" s="61"/>
    </row>
    <row r="324" spans="2:27" s="27" customFormat="1" ht="11.25" hidden="1" x14ac:dyDescent="0.2">
      <c r="B324" s="60"/>
      <c r="E324" s="27" t="s">
        <v>1207</v>
      </c>
      <c r="G324" s="27">
        <f>+G341</f>
        <v>0</v>
      </c>
      <c r="H324" s="27">
        <f>+SANDBOX!H788+SANDBOX!H817</f>
        <v>0</v>
      </c>
      <c r="I324" s="27">
        <f>+SANDBOX!I788+SANDBOX!I817</f>
        <v>0</v>
      </c>
      <c r="J324" s="27">
        <f>+SANDBOX!J788+SANDBOX!J817</f>
        <v>0</v>
      </c>
      <c r="K324" s="27">
        <f>+SANDBOX!K788+SANDBOX!K817</f>
        <v>0</v>
      </c>
      <c r="L324" s="27">
        <f>+SANDBOX!L788+SANDBOX!L817</f>
        <v>0</v>
      </c>
      <c r="M324" s="27">
        <f>+SANDBOX!M788+SANDBOX!M817</f>
        <v>0</v>
      </c>
      <c r="N324" s="27">
        <f>+SANDBOX!N788+SANDBOX!N817</f>
        <v>0</v>
      </c>
      <c r="O324" s="27">
        <f>+SANDBOX!O788+SANDBOX!O817</f>
        <v>0</v>
      </c>
      <c r="P324" s="27">
        <f>+SANDBOX!P788+SANDBOX!P817</f>
        <v>0</v>
      </c>
      <c r="Q324" s="27">
        <f>+SANDBOX!Q788+SANDBOX!Q817</f>
        <v>0</v>
      </c>
      <c r="R324" s="27">
        <f>+SANDBOX!R788+SANDBOX!R817</f>
        <v>0</v>
      </c>
      <c r="S324" s="27">
        <f>+SANDBOX!S788+SANDBOX!S817</f>
        <v>0</v>
      </c>
      <c r="T324" s="27">
        <f>SUM(H324:S324)</f>
        <v>0</v>
      </c>
      <c r="AA324" s="61"/>
    </row>
    <row r="325" spans="2:27" s="27" customFormat="1" ht="11.25" hidden="1" x14ac:dyDescent="0.2">
      <c r="B325" s="60"/>
      <c r="E325" s="27" t="s">
        <v>1208</v>
      </c>
      <c r="G325" s="27">
        <f>+G324*$L$338</f>
        <v>0</v>
      </c>
      <c r="H325" s="27">
        <f>+SANDBOX!H786+SANDBOX!H815</f>
        <v>0</v>
      </c>
      <c r="I325" s="27">
        <f>+SANDBOX!I786+SANDBOX!I815</f>
        <v>0</v>
      </c>
      <c r="J325" s="27">
        <f>+SANDBOX!J786+SANDBOX!J815</f>
        <v>0</v>
      </c>
      <c r="K325" s="27">
        <f>+SANDBOX!K786+SANDBOX!K815</f>
        <v>0</v>
      </c>
      <c r="L325" s="27">
        <f>+SANDBOX!L786+SANDBOX!L815</f>
        <v>0</v>
      </c>
      <c r="M325" s="27">
        <f>+SANDBOX!M786+SANDBOX!M815</f>
        <v>0</v>
      </c>
      <c r="N325" s="27">
        <f>+SANDBOX!N786+SANDBOX!N815</f>
        <v>0</v>
      </c>
      <c r="O325" s="27">
        <f>+SANDBOX!O786+SANDBOX!O815</f>
        <v>0</v>
      </c>
      <c r="P325" s="27">
        <f>+SANDBOX!P786+SANDBOX!P815</f>
        <v>0</v>
      </c>
      <c r="Q325" s="27">
        <f>+SANDBOX!Q786+SANDBOX!Q815</f>
        <v>0</v>
      </c>
      <c r="R325" s="27">
        <f>+SANDBOX!R786+SANDBOX!R815</f>
        <v>0</v>
      </c>
      <c r="S325" s="27">
        <f>+SANDBOX!S786+SANDBOX!S815</f>
        <v>0</v>
      </c>
      <c r="T325" s="27">
        <f>SUM(H325:S325)</f>
        <v>0</v>
      </c>
      <c r="AA325" s="61"/>
    </row>
    <row r="326" spans="2:27" s="27" customFormat="1" ht="11.25" hidden="1" x14ac:dyDescent="0.2">
      <c r="B326" s="60"/>
      <c r="E326" s="27" t="s">
        <v>427</v>
      </c>
      <c r="G326" s="27">
        <f>+G324-G325</f>
        <v>0</v>
      </c>
      <c r="H326" s="27">
        <f>+SANDBOX!H787+SANDBOX!H816</f>
        <v>0</v>
      </c>
      <c r="I326" s="27">
        <f>+SANDBOX!I787+SANDBOX!I816</f>
        <v>0</v>
      </c>
      <c r="J326" s="27">
        <f>+SANDBOX!J787+SANDBOX!J816</f>
        <v>0</v>
      </c>
      <c r="K326" s="27">
        <f>+SANDBOX!K787+SANDBOX!K816</f>
        <v>0</v>
      </c>
      <c r="L326" s="27">
        <f>+SANDBOX!L787+SANDBOX!L816</f>
        <v>0</v>
      </c>
      <c r="M326" s="27">
        <f>+SANDBOX!M787+SANDBOX!M816</f>
        <v>0</v>
      </c>
      <c r="N326" s="27">
        <f>+SANDBOX!N787+SANDBOX!N816</f>
        <v>0</v>
      </c>
      <c r="O326" s="27">
        <f>+SANDBOX!O787+SANDBOX!O816</f>
        <v>0</v>
      </c>
      <c r="P326" s="27">
        <f>+SANDBOX!P787+SANDBOX!P816</f>
        <v>0</v>
      </c>
      <c r="Q326" s="27">
        <f>+SANDBOX!Q787+SANDBOX!Q816</f>
        <v>0</v>
      </c>
      <c r="R326" s="27">
        <f>+SANDBOX!R787+SANDBOX!R816</f>
        <v>0</v>
      </c>
      <c r="S326" s="27">
        <f>+SANDBOX!S787+SANDBOX!S816</f>
        <v>0</v>
      </c>
      <c r="AA326" s="61"/>
    </row>
    <row r="327" spans="2:27" s="27" customFormat="1" ht="11.25" hidden="1" x14ac:dyDescent="0.2">
      <c r="B327" s="60"/>
      <c r="E327" s="27" t="s">
        <v>1213</v>
      </c>
      <c r="G327" s="27">
        <f>+G344-G334</f>
        <v>0</v>
      </c>
      <c r="H327" s="27">
        <f>+SANDBOX!H784+SANDBOX!H813</f>
        <v>0</v>
      </c>
      <c r="I327" s="27">
        <f>+SANDBOX!I784+SANDBOX!I813</f>
        <v>0</v>
      </c>
      <c r="J327" s="27">
        <f>+SANDBOX!J784+SANDBOX!J813</f>
        <v>0</v>
      </c>
      <c r="K327" s="27">
        <f>+SANDBOX!K784+SANDBOX!K813</f>
        <v>0</v>
      </c>
      <c r="L327" s="27">
        <f>+SANDBOX!L784+SANDBOX!L813</f>
        <v>0</v>
      </c>
      <c r="M327" s="27">
        <f>+SANDBOX!M784+SANDBOX!M813</f>
        <v>0</v>
      </c>
      <c r="N327" s="27">
        <f>+SANDBOX!N784+SANDBOX!N813</f>
        <v>0</v>
      </c>
      <c r="O327" s="27">
        <f>+SANDBOX!O784+SANDBOX!O813</f>
        <v>0</v>
      </c>
      <c r="P327" s="27">
        <f>+SANDBOX!P784+SANDBOX!P813</f>
        <v>0</v>
      </c>
      <c r="Q327" s="27">
        <f>+SANDBOX!Q784+SANDBOX!Q813</f>
        <v>0</v>
      </c>
      <c r="R327" s="27">
        <f>+SANDBOX!R784+SANDBOX!R813</f>
        <v>0</v>
      </c>
      <c r="S327" s="27">
        <f>+SANDBOX!S784+SANDBOX!S813</f>
        <v>0</v>
      </c>
      <c r="AA327" s="61"/>
    </row>
    <row r="328" spans="2:27" s="27" customFormat="1" ht="11.25" hidden="1" x14ac:dyDescent="0.2">
      <c r="B328" s="60"/>
      <c r="E328" s="27" t="s">
        <v>1214</v>
      </c>
      <c r="G328" s="27">
        <f>+G327-G324</f>
        <v>0</v>
      </c>
      <c r="H328" s="27">
        <f>+SANDBOX!H785+SANDBOX!H814</f>
        <v>0</v>
      </c>
      <c r="I328" s="27">
        <f>+SANDBOX!I785+SANDBOX!I814</f>
        <v>0</v>
      </c>
      <c r="J328" s="27">
        <f>+SANDBOX!J785+SANDBOX!J814</f>
        <v>0</v>
      </c>
      <c r="K328" s="27">
        <f>+SANDBOX!K785+SANDBOX!K814</f>
        <v>0</v>
      </c>
      <c r="L328" s="27">
        <f>+SANDBOX!L785+SANDBOX!L814</f>
        <v>0</v>
      </c>
      <c r="M328" s="27">
        <f>+SANDBOX!M785+SANDBOX!M814</f>
        <v>0</v>
      </c>
      <c r="N328" s="27">
        <f>+SANDBOX!N785+SANDBOX!N814</f>
        <v>0</v>
      </c>
      <c r="O328" s="27">
        <f>+SANDBOX!O785+SANDBOX!O814</f>
        <v>0</v>
      </c>
      <c r="P328" s="27">
        <f>+SANDBOX!P785+SANDBOX!P814</f>
        <v>0</v>
      </c>
      <c r="Q328" s="27">
        <f>+SANDBOX!Q785+SANDBOX!Q814</f>
        <v>0</v>
      </c>
      <c r="R328" s="27">
        <f>+SANDBOX!R785+SANDBOX!R814</f>
        <v>0</v>
      </c>
      <c r="S328" s="27">
        <f>+SANDBOX!S785+SANDBOX!S814</f>
        <v>0</v>
      </c>
      <c r="T328" s="27">
        <f>SUM(H328:S328)</f>
        <v>0</v>
      </c>
      <c r="U328" s="27" t="s">
        <v>412</v>
      </c>
      <c r="AA328" s="61"/>
    </row>
    <row r="329" spans="2:27" s="27" customFormat="1" ht="11.25" hidden="1" x14ac:dyDescent="0.2">
      <c r="B329" s="60"/>
      <c r="AA329" s="61"/>
    </row>
    <row r="330" spans="2:27" s="27" customFormat="1" ht="11.25" hidden="1" x14ac:dyDescent="0.2">
      <c r="B330" s="60"/>
      <c r="E330" s="27" t="s">
        <v>1380</v>
      </c>
      <c r="T330" s="27">
        <f>SUM(T324:T328)</f>
        <v>0</v>
      </c>
      <c r="U330" s="27">
        <f>+IF(T328=0,0,T330/T328)</f>
        <v>0</v>
      </c>
      <c r="V330" s="27" t="e">
        <f>+T330/U330</f>
        <v>#DIV/0!</v>
      </c>
      <c r="AA330" s="61"/>
    </row>
    <row r="331" spans="2:27" s="27" customFormat="1" ht="11.25" hidden="1" x14ac:dyDescent="0.2">
      <c r="B331" s="60"/>
      <c r="E331" s="27" t="s">
        <v>1209</v>
      </c>
      <c r="H331" s="27">
        <f>SANDBOX!H842</f>
        <v>0</v>
      </c>
      <c r="I331" s="27">
        <f>SANDBOX!I842</f>
        <v>0</v>
      </c>
      <c r="J331" s="27">
        <f>SANDBOX!J842</f>
        <v>0</v>
      </c>
      <c r="K331" s="27">
        <f>SANDBOX!K842</f>
        <v>0</v>
      </c>
      <c r="L331" s="27">
        <f>SANDBOX!L842</f>
        <v>0</v>
      </c>
      <c r="M331" s="27">
        <f>SANDBOX!M842</f>
        <v>0</v>
      </c>
      <c r="N331" s="27">
        <f>SANDBOX!N842</f>
        <v>0</v>
      </c>
      <c r="O331" s="27">
        <f>SANDBOX!O842</f>
        <v>0</v>
      </c>
      <c r="P331" s="27">
        <f>SANDBOX!P842</f>
        <v>0</v>
      </c>
      <c r="Q331" s="27">
        <f>SANDBOX!Q842</f>
        <v>0</v>
      </c>
      <c r="R331" s="27">
        <f>SANDBOX!R842</f>
        <v>0</v>
      </c>
      <c r="S331" s="27">
        <f>SANDBOX!S842</f>
        <v>0</v>
      </c>
      <c r="T331" s="27">
        <f>SUM(H331:S331)</f>
        <v>0</v>
      </c>
      <c r="AA331" s="61"/>
    </row>
    <row r="332" spans="2:27" s="27" customFormat="1" ht="11.25" hidden="1" x14ac:dyDescent="0.2">
      <c r="B332" s="60"/>
      <c r="E332" s="27" t="s">
        <v>1210</v>
      </c>
      <c r="G332" s="27">
        <f>+G331*$L$338</f>
        <v>0</v>
      </c>
      <c r="H332" s="27">
        <f>SANDBOX!H840</f>
        <v>0</v>
      </c>
      <c r="I332" s="27">
        <f>SANDBOX!I840</f>
        <v>0</v>
      </c>
      <c r="J332" s="27">
        <f>SANDBOX!J840</f>
        <v>0</v>
      </c>
      <c r="K332" s="27">
        <f>SANDBOX!K840</f>
        <v>0</v>
      </c>
      <c r="L332" s="27">
        <f>SANDBOX!L840</f>
        <v>0</v>
      </c>
      <c r="M332" s="27">
        <f>SANDBOX!M840</f>
        <v>0</v>
      </c>
      <c r="N332" s="27">
        <f>SANDBOX!N840</f>
        <v>0</v>
      </c>
      <c r="O332" s="27">
        <f>SANDBOX!O840</f>
        <v>0</v>
      </c>
      <c r="P332" s="27">
        <f>SANDBOX!P840</f>
        <v>0</v>
      </c>
      <c r="Q332" s="27">
        <f>SANDBOX!Q840</f>
        <v>0</v>
      </c>
      <c r="R332" s="27">
        <f>SANDBOX!R840</f>
        <v>0</v>
      </c>
      <c r="S332" s="27">
        <f>SANDBOX!S840</f>
        <v>0</v>
      </c>
      <c r="T332" s="27">
        <f>SUM(H332:S332)</f>
        <v>0</v>
      </c>
      <c r="U332" s="27">
        <f>+T332+T325</f>
        <v>0</v>
      </c>
      <c r="AA332" s="61"/>
    </row>
    <row r="333" spans="2:27" s="27" customFormat="1" ht="11.25" hidden="1" x14ac:dyDescent="0.2">
      <c r="B333" s="60"/>
      <c r="E333" s="27" t="s">
        <v>1380</v>
      </c>
      <c r="G333" s="27">
        <f>+G331-G332</f>
        <v>0</v>
      </c>
      <c r="H333" s="27">
        <f>SANDBOX!H841</f>
        <v>0</v>
      </c>
      <c r="I333" s="27">
        <f>SANDBOX!I841</f>
        <v>0</v>
      </c>
      <c r="J333" s="27">
        <f>SANDBOX!J841</f>
        <v>0</v>
      </c>
      <c r="K333" s="27">
        <f>SANDBOX!K841</f>
        <v>0</v>
      </c>
      <c r="L333" s="27">
        <f>SANDBOX!L841</f>
        <v>0</v>
      </c>
      <c r="M333" s="27">
        <f>SANDBOX!M841</f>
        <v>0</v>
      </c>
      <c r="N333" s="27">
        <f>SANDBOX!N841</f>
        <v>0</v>
      </c>
      <c r="O333" s="27">
        <f>SANDBOX!O841</f>
        <v>0</v>
      </c>
      <c r="P333" s="27">
        <f>SANDBOX!P841</f>
        <v>0</v>
      </c>
      <c r="Q333" s="27">
        <f>SANDBOX!Q841</f>
        <v>0</v>
      </c>
      <c r="R333" s="27">
        <f>SANDBOX!R841</f>
        <v>0</v>
      </c>
      <c r="S333" s="27">
        <f>SANDBOX!S841</f>
        <v>0</v>
      </c>
      <c r="AA333" s="61"/>
    </row>
    <row r="334" spans="2:27" s="27" customFormat="1" ht="11.25" hidden="1" x14ac:dyDescent="0.2">
      <c r="B334" s="60"/>
      <c r="E334" s="27" t="s">
        <v>1211</v>
      </c>
      <c r="H334" s="27">
        <f>INFORME!G103</f>
        <v>0</v>
      </c>
      <c r="I334" s="27">
        <f>INFORME!H103</f>
        <v>0</v>
      </c>
      <c r="J334" s="27">
        <f>INFORME!I103</f>
        <v>0</v>
      </c>
      <c r="K334" s="27">
        <f>INFORME!J103</f>
        <v>0</v>
      </c>
      <c r="L334" s="27">
        <f>INFORME!K103</f>
        <v>0</v>
      </c>
      <c r="M334" s="27">
        <f>INFORME!L103</f>
        <v>0</v>
      </c>
      <c r="N334" s="27">
        <f>INFORME!M103</f>
        <v>0</v>
      </c>
      <c r="O334" s="27">
        <f>INFORME!N103</f>
        <v>0</v>
      </c>
      <c r="P334" s="27">
        <f>INFORME!O103</f>
        <v>0</v>
      </c>
      <c r="Q334" s="27">
        <f>INFORME!P103</f>
        <v>0</v>
      </c>
      <c r="R334" s="27">
        <f>INFORME!Q103</f>
        <v>0</v>
      </c>
      <c r="S334" s="27">
        <f>INFORME!R103</f>
        <v>0</v>
      </c>
      <c r="AA334" s="61"/>
    </row>
    <row r="335" spans="2:27" s="27" customFormat="1" ht="11.25" hidden="1" x14ac:dyDescent="0.2">
      <c r="B335" s="60"/>
      <c r="E335" s="27" t="s">
        <v>1212</v>
      </c>
      <c r="H335" s="27">
        <f>SANDBOX!H839</f>
        <v>0</v>
      </c>
      <c r="I335" s="27">
        <f>SANDBOX!I839</f>
        <v>0</v>
      </c>
      <c r="J335" s="27">
        <f>SANDBOX!J839</f>
        <v>0</v>
      </c>
      <c r="K335" s="27">
        <f>SANDBOX!K839</f>
        <v>0</v>
      </c>
      <c r="L335" s="27">
        <f>SANDBOX!L839</f>
        <v>0</v>
      </c>
      <c r="M335" s="27">
        <f>SANDBOX!M839</f>
        <v>0</v>
      </c>
      <c r="N335" s="27">
        <f>SANDBOX!N839</f>
        <v>0</v>
      </c>
      <c r="O335" s="27">
        <f>SANDBOX!O839</f>
        <v>0</v>
      </c>
      <c r="P335" s="27">
        <f>SANDBOX!P839</f>
        <v>0</v>
      </c>
      <c r="Q335" s="27">
        <f>SANDBOX!Q839</f>
        <v>0</v>
      </c>
      <c r="R335" s="27">
        <f>SANDBOX!R839</f>
        <v>0</v>
      </c>
      <c r="S335" s="27">
        <f>SANDBOX!S839</f>
        <v>0</v>
      </c>
      <c r="T335" s="27">
        <f>SUM(H335:S335)</f>
        <v>0</v>
      </c>
      <c r="U335" s="27">
        <f>+T335+T328</f>
        <v>0</v>
      </c>
      <c r="AA335" s="61"/>
    </row>
    <row r="336" spans="2:27" s="27" customFormat="1" ht="11.25" hidden="1" x14ac:dyDescent="0.2">
      <c r="B336" s="60"/>
      <c r="U336" s="27" t="s">
        <v>412</v>
      </c>
      <c r="AA336" s="61"/>
    </row>
    <row r="337" spans="2:27" s="27" customFormat="1" ht="11.25" hidden="1" x14ac:dyDescent="0.2">
      <c r="B337" s="60"/>
      <c r="E337" s="27" t="s">
        <v>488</v>
      </c>
      <c r="T337" s="27">
        <f>SUM(T331:T335)</f>
        <v>0</v>
      </c>
      <c r="U337" s="27">
        <f>+IF(T335=0,0,T337/T335)</f>
        <v>0</v>
      </c>
      <c r="V337" s="27" t="e">
        <f>+T337/U337</f>
        <v>#DIV/0!</v>
      </c>
      <c r="AA337" s="61"/>
    </row>
    <row r="338" spans="2:27" s="27" customFormat="1" ht="11.25" hidden="1" x14ac:dyDescent="0.2">
      <c r="B338" s="60"/>
      <c r="E338" s="27" t="s">
        <v>1473</v>
      </c>
      <c r="L338" s="27">
        <f>SANDBOX!$H$922</f>
        <v>0</v>
      </c>
      <c r="AA338" s="61"/>
    </row>
    <row r="339" spans="2:27" s="27" customFormat="1" ht="11.25" hidden="1" x14ac:dyDescent="0.2">
      <c r="B339" s="60"/>
      <c r="AA339" s="61"/>
    </row>
    <row r="340" spans="2:27" s="27" customFormat="1" ht="11.25" hidden="1" x14ac:dyDescent="0.2">
      <c r="B340" s="60"/>
      <c r="E340" s="27" t="s">
        <v>1216</v>
      </c>
      <c r="AA340" s="61"/>
    </row>
    <row r="341" spans="2:27" s="27" customFormat="1" ht="11.25" hidden="1" x14ac:dyDescent="0.2">
      <c r="B341" s="60"/>
      <c r="E341" s="27" t="s">
        <v>1206</v>
      </c>
      <c r="F341" s="27">
        <f>SUM(G341:S341)</f>
        <v>0</v>
      </c>
      <c r="G341" s="27">
        <f>+G344-(G344*L338)</f>
        <v>0</v>
      </c>
      <c r="H341" s="27">
        <f>+H331+H324</f>
        <v>0</v>
      </c>
      <c r="I341" s="27">
        <f t="shared" ref="I341:S341" si="106">+I331+I324</f>
        <v>0</v>
      </c>
      <c r="J341" s="27">
        <f t="shared" si="106"/>
        <v>0</v>
      </c>
      <c r="K341" s="27">
        <f t="shared" si="106"/>
        <v>0</v>
      </c>
      <c r="L341" s="27">
        <f t="shared" si="106"/>
        <v>0</v>
      </c>
      <c r="M341" s="27">
        <f t="shared" si="106"/>
        <v>0</v>
      </c>
      <c r="N341" s="27">
        <f t="shared" si="106"/>
        <v>0</v>
      </c>
      <c r="O341" s="27">
        <f t="shared" si="106"/>
        <v>0</v>
      </c>
      <c r="P341" s="27">
        <f t="shared" si="106"/>
        <v>0</v>
      </c>
      <c r="Q341" s="27">
        <f t="shared" si="106"/>
        <v>0</v>
      </c>
      <c r="R341" s="27">
        <f t="shared" si="106"/>
        <v>0</v>
      </c>
      <c r="S341" s="27">
        <f t="shared" si="106"/>
        <v>0</v>
      </c>
      <c r="AA341" s="61"/>
    </row>
    <row r="342" spans="2:27" s="27" customFormat="1" ht="11.25" hidden="1" x14ac:dyDescent="0.2">
      <c r="B342" s="60"/>
      <c r="E342" s="27" t="s">
        <v>478</v>
      </c>
      <c r="F342" s="27">
        <f>SUM(G342:S342)</f>
        <v>0</v>
      </c>
      <c r="G342" s="27">
        <f>+G341*$L$338</f>
        <v>0</v>
      </c>
      <c r="H342" s="27">
        <f>+H332+H325</f>
        <v>0</v>
      </c>
      <c r="I342" s="27">
        <f t="shared" ref="I342:S342" si="107">+I332+I325</f>
        <v>0</v>
      </c>
      <c r="J342" s="27">
        <f t="shared" si="107"/>
        <v>0</v>
      </c>
      <c r="K342" s="27">
        <f t="shared" si="107"/>
        <v>0</v>
      </c>
      <c r="L342" s="27">
        <f t="shared" si="107"/>
        <v>0</v>
      </c>
      <c r="M342" s="27">
        <f t="shared" si="107"/>
        <v>0</v>
      </c>
      <c r="N342" s="27">
        <f t="shared" si="107"/>
        <v>0</v>
      </c>
      <c r="O342" s="27">
        <f t="shared" si="107"/>
        <v>0</v>
      </c>
      <c r="P342" s="27">
        <f t="shared" si="107"/>
        <v>0</v>
      </c>
      <c r="Q342" s="27">
        <f t="shared" si="107"/>
        <v>0</v>
      </c>
      <c r="R342" s="27">
        <f t="shared" si="107"/>
        <v>0</v>
      </c>
      <c r="S342" s="27">
        <f t="shared" si="107"/>
        <v>0</v>
      </c>
      <c r="AA342" s="61"/>
    </row>
    <row r="343" spans="2:27" s="27" customFormat="1" ht="11.25" hidden="1" x14ac:dyDescent="0.2">
      <c r="B343" s="60"/>
      <c r="E343" s="27" t="s">
        <v>729</v>
      </c>
      <c r="F343" s="27">
        <f>SUM(G343:S343)</f>
        <v>0</v>
      </c>
      <c r="G343" s="27">
        <f>+G341-G342</f>
        <v>0</v>
      </c>
      <c r="H343" s="27">
        <f>+H326+H333</f>
        <v>0</v>
      </c>
      <c r="I343" s="27">
        <f>+I326+I333</f>
        <v>0</v>
      </c>
      <c r="J343" s="27">
        <f t="shared" ref="J343:S343" si="108">+J326+J333</f>
        <v>0</v>
      </c>
      <c r="K343" s="27">
        <f t="shared" si="108"/>
        <v>0</v>
      </c>
      <c r="L343" s="27">
        <f t="shared" si="108"/>
        <v>0</v>
      </c>
      <c r="M343" s="27">
        <f t="shared" si="108"/>
        <v>0</v>
      </c>
      <c r="N343" s="27">
        <f t="shared" si="108"/>
        <v>0</v>
      </c>
      <c r="O343" s="27">
        <f t="shared" si="108"/>
        <v>0</v>
      </c>
      <c r="P343" s="27">
        <f t="shared" si="108"/>
        <v>0</v>
      </c>
      <c r="Q343" s="27">
        <f t="shared" si="108"/>
        <v>0</v>
      </c>
      <c r="R343" s="27">
        <f t="shared" si="108"/>
        <v>0</v>
      </c>
      <c r="S343" s="27">
        <f t="shared" si="108"/>
        <v>0</v>
      </c>
      <c r="AA343" s="61"/>
    </row>
    <row r="344" spans="2:27" s="27" customFormat="1" ht="11.25" hidden="1" x14ac:dyDescent="0.2">
      <c r="B344" s="60"/>
      <c r="E344" s="27" t="s">
        <v>728</v>
      </c>
      <c r="F344" s="27">
        <f>SUM(G344:S344)</f>
        <v>0</v>
      </c>
      <c r="G344" s="27">
        <f>+SANDBOX!Q110</f>
        <v>0</v>
      </c>
      <c r="H344" s="27">
        <f>INFORME!G102-G344</f>
        <v>0</v>
      </c>
      <c r="I344" s="27">
        <f>INFORME!H102</f>
        <v>0</v>
      </c>
      <c r="J344" s="27">
        <f>INFORME!I102</f>
        <v>0</v>
      </c>
      <c r="K344" s="27">
        <f>INFORME!J102</f>
        <v>0</v>
      </c>
      <c r="L344" s="27">
        <f>INFORME!K102</f>
        <v>0</v>
      </c>
      <c r="M344" s="27">
        <f>INFORME!L102</f>
        <v>0</v>
      </c>
      <c r="N344" s="27">
        <f>INFORME!M102</f>
        <v>0</v>
      </c>
      <c r="O344" s="27">
        <f>INFORME!N102</f>
        <v>0</v>
      </c>
      <c r="P344" s="27">
        <f>INFORME!O102</f>
        <v>0</v>
      </c>
      <c r="Q344" s="27">
        <f>INFORME!P102</f>
        <v>0</v>
      </c>
      <c r="R344" s="27">
        <f>INFORME!Q102</f>
        <v>0</v>
      </c>
      <c r="S344" s="27">
        <f>INFORME!R102</f>
        <v>0</v>
      </c>
      <c r="AA344" s="61"/>
    </row>
    <row r="345" spans="2:27" s="27" customFormat="1" ht="11.25" hidden="1" x14ac:dyDescent="0.2">
      <c r="B345" s="60"/>
      <c r="E345" s="27" t="s">
        <v>479</v>
      </c>
      <c r="F345" s="27">
        <f>SUM(G345:S345)</f>
        <v>0</v>
      </c>
      <c r="G345" s="27">
        <f t="shared" ref="G345:S345" si="109">+G344-G341</f>
        <v>0</v>
      </c>
      <c r="H345" s="27">
        <f t="shared" si="109"/>
        <v>0</v>
      </c>
      <c r="I345" s="27">
        <f t="shared" si="109"/>
        <v>0</v>
      </c>
      <c r="J345" s="27">
        <f t="shared" si="109"/>
        <v>0</v>
      </c>
      <c r="K345" s="27">
        <f t="shared" si="109"/>
        <v>0</v>
      </c>
      <c r="L345" s="27">
        <f t="shared" si="109"/>
        <v>0</v>
      </c>
      <c r="M345" s="27">
        <f t="shared" si="109"/>
        <v>0</v>
      </c>
      <c r="N345" s="27">
        <f t="shared" si="109"/>
        <v>0</v>
      </c>
      <c r="O345" s="27">
        <f t="shared" si="109"/>
        <v>0</v>
      </c>
      <c r="P345" s="27">
        <f t="shared" si="109"/>
        <v>0</v>
      </c>
      <c r="Q345" s="27">
        <f t="shared" si="109"/>
        <v>0</v>
      </c>
      <c r="R345" s="27">
        <f t="shared" si="109"/>
        <v>0</v>
      </c>
      <c r="S345" s="27">
        <f t="shared" si="109"/>
        <v>0</v>
      </c>
      <c r="AA345" s="61"/>
    </row>
    <row r="346" spans="2:27" s="27" customFormat="1" ht="11.25" hidden="1" x14ac:dyDescent="0.2">
      <c r="B346" s="60"/>
      <c r="AA346" s="61"/>
    </row>
    <row r="347" spans="2:27" s="27" customFormat="1" ht="11.25" hidden="1" x14ac:dyDescent="0.2">
      <c r="B347" s="60"/>
      <c r="G347" s="27" t="str">
        <f>$S$347</f>
        <v>Diciembre</v>
      </c>
      <c r="H347" s="27" t="str">
        <f t="shared" ref="H347:S347" si="110">G280</f>
        <v>Enero</v>
      </c>
      <c r="I347" s="27" t="str">
        <f t="shared" si="110"/>
        <v>Febrero</v>
      </c>
      <c r="J347" s="27" t="str">
        <f t="shared" si="110"/>
        <v>Marzo</v>
      </c>
      <c r="K347" s="27" t="str">
        <f t="shared" si="110"/>
        <v>Abril</v>
      </c>
      <c r="L347" s="27" t="str">
        <f t="shared" si="110"/>
        <v xml:space="preserve">Mayo </v>
      </c>
      <c r="M347" s="27" t="str">
        <f t="shared" si="110"/>
        <v>Junio</v>
      </c>
      <c r="N347" s="27" t="str">
        <f t="shared" si="110"/>
        <v>Julio</v>
      </c>
      <c r="O347" s="27" t="str">
        <f t="shared" si="110"/>
        <v>Agosto</v>
      </c>
      <c r="P347" s="27" t="str">
        <f t="shared" si="110"/>
        <v>Septiembre</v>
      </c>
      <c r="Q347" s="27" t="str">
        <f t="shared" si="110"/>
        <v>Octubre</v>
      </c>
      <c r="R347" s="27" t="str">
        <f t="shared" si="110"/>
        <v>Noviembre</v>
      </c>
      <c r="S347" s="27" t="str">
        <f t="shared" si="110"/>
        <v>Diciembre</v>
      </c>
      <c r="W347" s="27" t="s">
        <v>238</v>
      </c>
      <c r="AA347" s="61"/>
    </row>
    <row r="348" spans="2:27" s="27" customFormat="1" ht="11.25" hidden="1" x14ac:dyDescent="0.2">
      <c r="B348" s="60"/>
      <c r="E348" s="27" t="s">
        <v>592</v>
      </c>
      <c r="G348" s="27" t="str">
        <f t="shared" ref="G348:S348" si="111">G393</f>
        <v>LIQUIDAR</v>
      </c>
      <c r="H348" s="27" t="b">
        <f t="shared" si="111"/>
        <v>0</v>
      </c>
      <c r="I348" s="27" t="b">
        <f t="shared" si="111"/>
        <v>0</v>
      </c>
      <c r="J348" s="27" t="str">
        <f t="shared" si="111"/>
        <v>LIQUIDAR</v>
      </c>
      <c r="K348" s="27" t="b">
        <f t="shared" si="111"/>
        <v>0</v>
      </c>
      <c r="L348" s="27" t="b">
        <f t="shared" si="111"/>
        <v>0</v>
      </c>
      <c r="M348" s="27" t="str">
        <f t="shared" si="111"/>
        <v>LIQUIDAR</v>
      </c>
      <c r="N348" s="27" t="b">
        <f t="shared" si="111"/>
        <v>0</v>
      </c>
      <c r="O348" s="27" t="b">
        <f t="shared" si="111"/>
        <v>0</v>
      </c>
      <c r="P348" s="27" t="str">
        <f t="shared" si="111"/>
        <v>LIQUIDAR</v>
      </c>
      <c r="Q348" s="27" t="b">
        <f t="shared" si="111"/>
        <v>0</v>
      </c>
      <c r="R348" s="27" t="b">
        <f t="shared" si="111"/>
        <v>0</v>
      </c>
      <c r="S348" s="27" t="str">
        <f t="shared" si="111"/>
        <v>LIQUIDAR</v>
      </c>
      <c r="T348" s="27" t="b">
        <f>$H$348</f>
        <v>0</v>
      </c>
      <c r="AA348" s="61"/>
    </row>
    <row r="349" spans="2:27" s="27" customFormat="1" ht="11.25" hidden="1" x14ac:dyDescent="0.2">
      <c r="B349" s="60"/>
      <c r="F349" s="27" t="s">
        <v>594</v>
      </c>
      <c r="H349" s="27">
        <f t="shared" ref="H349:T349" si="112">+G342</f>
        <v>0</v>
      </c>
      <c r="I349" s="27">
        <f t="shared" si="112"/>
        <v>0</v>
      </c>
      <c r="J349" s="27">
        <f t="shared" si="112"/>
        <v>0</v>
      </c>
      <c r="K349" s="27">
        <f t="shared" si="112"/>
        <v>0</v>
      </c>
      <c r="L349" s="27">
        <f t="shared" si="112"/>
        <v>0</v>
      </c>
      <c r="M349" s="27">
        <f t="shared" si="112"/>
        <v>0</v>
      </c>
      <c r="N349" s="27">
        <f t="shared" si="112"/>
        <v>0</v>
      </c>
      <c r="O349" s="27">
        <f t="shared" si="112"/>
        <v>0</v>
      </c>
      <c r="P349" s="27">
        <f t="shared" si="112"/>
        <v>0</v>
      </c>
      <c r="Q349" s="27">
        <f t="shared" si="112"/>
        <v>0</v>
      </c>
      <c r="R349" s="27">
        <f t="shared" si="112"/>
        <v>0</v>
      </c>
      <c r="S349" s="27">
        <f t="shared" si="112"/>
        <v>0</v>
      </c>
      <c r="T349" s="27">
        <f t="shared" si="112"/>
        <v>0</v>
      </c>
      <c r="V349" s="27">
        <f>SUM(H349:U349)</f>
        <v>0</v>
      </c>
      <c r="W349" s="27" t="str">
        <f>IF(V349=F342,"OK","ERROR")</f>
        <v>OK</v>
      </c>
      <c r="Y349" s="27">
        <f>SUM(H349:S349)</f>
        <v>0</v>
      </c>
      <c r="AA349" s="61"/>
    </row>
    <row r="350" spans="2:27" s="27" customFormat="1" ht="11.25" hidden="1" x14ac:dyDescent="0.2">
      <c r="B350" s="60"/>
      <c r="F350" s="27" t="s">
        <v>593</v>
      </c>
      <c r="H350" s="27">
        <f>IF(G$348=FALSE,0,G$342)</f>
        <v>0</v>
      </c>
      <c r="I350" s="27">
        <f>IF(H$348=FALSE,0,H342+G342)</f>
        <v>0</v>
      </c>
      <c r="J350" s="27">
        <f t="shared" ref="J350:S350" si="113">IF(I348=FALSE,0,I342+H342+G342)</f>
        <v>0</v>
      </c>
      <c r="K350" s="27">
        <f t="shared" si="113"/>
        <v>0</v>
      </c>
      <c r="L350" s="27">
        <f t="shared" si="113"/>
        <v>0</v>
      </c>
      <c r="M350" s="27">
        <f t="shared" si="113"/>
        <v>0</v>
      </c>
      <c r="N350" s="27">
        <f t="shared" si="113"/>
        <v>0</v>
      </c>
      <c r="O350" s="27">
        <f t="shared" si="113"/>
        <v>0</v>
      </c>
      <c r="P350" s="27">
        <f t="shared" si="113"/>
        <v>0</v>
      </c>
      <c r="Q350" s="27">
        <f t="shared" si="113"/>
        <v>0</v>
      </c>
      <c r="R350" s="27">
        <f t="shared" si="113"/>
        <v>0</v>
      </c>
      <c r="S350" s="27">
        <f t="shared" si="113"/>
        <v>0</v>
      </c>
      <c r="V350" s="27">
        <f>SUM(H350:T350)</f>
        <v>0</v>
      </c>
      <c r="Y350" s="27">
        <f>SUM(H350:S350)</f>
        <v>0</v>
      </c>
      <c r="AA350" s="61"/>
    </row>
    <row r="351" spans="2:27" s="27" customFormat="1" ht="11.25" hidden="1" x14ac:dyDescent="0.2">
      <c r="B351" s="60"/>
      <c r="AA351" s="61"/>
    </row>
    <row r="352" spans="2:27" s="27" customFormat="1" ht="11.25" hidden="1" x14ac:dyDescent="0.2">
      <c r="B352" s="60"/>
      <c r="E352" s="27" t="s">
        <v>1338</v>
      </c>
      <c r="H352" s="27">
        <f t="shared" ref="H352:S352" si="114">+G342+H342-H349</f>
        <v>0</v>
      </c>
      <c r="I352" s="27">
        <f t="shared" si="114"/>
        <v>0</v>
      </c>
      <c r="J352" s="27">
        <f t="shared" si="114"/>
        <v>0</v>
      </c>
      <c r="K352" s="27">
        <f t="shared" si="114"/>
        <v>0</v>
      </c>
      <c r="L352" s="27">
        <f t="shared" si="114"/>
        <v>0</v>
      </c>
      <c r="M352" s="27">
        <f t="shared" si="114"/>
        <v>0</v>
      </c>
      <c r="N352" s="27">
        <f t="shared" si="114"/>
        <v>0</v>
      </c>
      <c r="O352" s="27">
        <f t="shared" si="114"/>
        <v>0</v>
      </c>
      <c r="P352" s="27">
        <f t="shared" si="114"/>
        <v>0</v>
      </c>
      <c r="Q352" s="27">
        <f t="shared" si="114"/>
        <v>0</v>
      </c>
      <c r="R352" s="27">
        <f t="shared" si="114"/>
        <v>0</v>
      </c>
      <c r="S352" s="27">
        <f t="shared" si="114"/>
        <v>0</v>
      </c>
      <c r="AA352" s="61"/>
    </row>
    <row r="353" spans="2:27" s="27" customFormat="1" ht="11.25" hidden="1" x14ac:dyDescent="0.2">
      <c r="B353" s="60"/>
      <c r="E353" s="27" t="s">
        <v>1339</v>
      </c>
      <c r="H353" s="27">
        <f>+G342+H342-H350</f>
        <v>0</v>
      </c>
      <c r="I353" s="27">
        <f>+H353+I342-I350</f>
        <v>0</v>
      </c>
      <c r="J353" s="27">
        <f>++I353+J342-J350</f>
        <v>0</v>
      </c>
      <c r="K353" s="27">
        <f>++J353+K342-K350</f>
        <v>0</v>
      </c>
      <c r="L353" s="27">
        <f t="shared" ref="L353:S353" si="115">++K353+L342-L350</f>
        <v>0</v>
      </c>
      <c r="M353" s="27">
        <f t="shared" si="115"/>
        <v>0</v>
      </c>
      <c r="N353" s="27">
        <f t="shared" si="115"/>
        <v>0</v>
      </c>
      <c r="O353" s="27">
        <f t="shared" si="115"/>
        <v>0</v>
      </c>
      <c r="P353" s="27">
        <f t="shared" si="115"/>
        <v>0</v>
      </c>
      <c r="Q353" s="27">
        <f t="shared" si="115"/>
        <v>0</v>
      </c>
      <c r="R353" s="27">
        <f t="shared" si="115"/>
        <v>0</v>
      </c>
      <c r="S353" s="27">
        <f t="shared" si="115"/>
        <v>0</v>
      </c>
      <c r="AA353" s="61"/>
    </row>
    <row r="354" spans="2:27" s="27" customFormat="1" ht="11.25" hidden="1" x14ac:dyDescent="0.2">
      <c r="B354" s="60"/>
      <c r="AA354" s="61"/>
    </row>
    <row r="355" spans="2:27" s="27" customFormat="1" ht="11.25" hidden="1" x14ac:dyDescent="0.2">
      <c r="B355" s="60"/>
      <c r="E355" s="27" t="s">
        <v>596</v>
      </c>
      <c r="AA355" s="61"/>
    </row>
    <row r="356" spans="2:27" s="27" customFormat="1" ht="11.25" hidden="1" x14ac:dyDescent="0.2">
      <c r="B356" s="60"/>
      <c r="E356" s="27" t="s">
        <v>595</v>
      </c>
      <c r="F356" s="27" t="s">
        <v>594</v>
      </c>
      <c r="H356" s="27">
        <f t="shared" ref="H356:T356" si="116">+G345</f>
        <v>0</v>
      </c>
      <c r="I356" s="27">
        <f t="shared" si="116"/>
        <v>0</v>
      </c>
      <c r="J356" s="27">
        <f t="shared" si="116"/>
        <v>0</v>
      </c>
      <c r="K356" s="27">
        <f t="shared" si="116"/>
        <v>0</v>
      </c>
      <c r="L356" s="27">
        <f t="shared" si="116"/>
        <v>0</v>
      </c>
      <c r="M356" s="27">
        <f t="shared" si="116"/>
        <v>0</v>
      </c>
      <c r="N356" s="27">
        <f t="shared" si="116"/>
        <v>0</v>
      </c>
      <c r="O356" s="27">
        <f t="shared" si="116"/>
        <v>0</v>
      </c>
      <c r="P356" s="27">
        <f t="shared" si="116"/>
        <v>0</v>
      </c>
      <c r="Q356" s="27">
        <f t="shared" si="116"/>
        <v>0</v>
      </c>
      <c r="R356" s="27">
        <f t="shared" si="116"/>
        <v>0</v>
      </c>
      <c r="S356" s="27">
        <f t="shared" si="116"/>
        <v>0</v>
      </c>
      <c r="T356" s="27">
        <f t="shared" si="116"/>
        <v>0</v>
      </c>
      <c r="V356" s="27">
        <f>SUM(H356:T356)</f>
        <v>0</v>
      </c>
      <c r="W356" s="27" t="str">
        <f>IF(V356=F345,"OK","ERROR")</f>
        <v>OK</v>
      </c>
      <c r="Y356" s="27">
        <f>SUM(H356:S356)</f>
        <v>0</v>
      </c>
      <c r="AA356" s="61"/>
    </row>
    <row r="357" spans="2:27" s="27" customFormat="1" ht="11.25" hidden="1" x14ac:dyDescent="0.2">
      <c r="B357" s="60"/>
      <c r="F357" s="27" t="s">
        <v>593</v>
      </c>
      <c r="H357" s="27">
        <f>IF(G$348=FALSE,0,G$345)</f>
        <v>0</v>
      </c>
      <c r="I357" s="27">
        <f>IF(H$348=FALSE,0,H345+G345)</f>
        <v>0</v>
      </c>
      <c r="J357" s="27">
        <f>IF(I348=FALSE,0,I345+H345+G345)</f>
        <v>0</v>
      </c>
      <c r="K357" s="27">
        <f>IF(J348=FALSE,0,J345+I345+H345)</f>
        <v>0</v>
      </c>
      <c r="L357" s="27">
        <f t="shared" ref="L357:S357" si="117">IF(K348=FALSE,0,K345+J345+I345)</f>
        <v>0</v>
      </c>
      <c r="M357" s="27">
        <f t="shared" si="117"/>
        <v>0</v>
      </c>
      <c r="N357" s="27">
        <f t="shared" si="117"/>
        <v>0</v>
      </c>
      <c r="O357" s="27">
        <f t="shared" si="117"/>
        <v>0</v>
      </c>
      <c r="P357" s="27">
        <f t="shared" si="117"/>
        <v>0</v>
      </c>
      <c r="Q357" s="27">
        <f t="shared" si="117"/>
        <v>0</v>
      </c>
      <c r="R357" s="27">
        <f t="shared" si="117"/>
        <v>0</v>
      </c>
      <c r="S357" s="27">
        <f t="shared" si="117"/>
        <v>0</v>
      </c>
      <c r="V357" s="27">
        <f>SUM(H357:U357)</f>
        <v>0</v>
      </c>
      <c r="Y357" s="27">
        <f>SUM(H357:S357)</f>
        <v>0</v>
      </c>
      <c r="AA357" s="61"/>
    </row>
    <row r="358" spans="2:27" s="27" customFormat="1" ht="11.25" hidden="1" x14ac:dyDescent="0.2">
      <c r="B358" s="60"/>
      <c r="V358" s="27">
        <f>SUM(H358:T358)</f>
        <v>0</v>
      </c>
      <c r="AA358" s="61"/>
    </row>
    <row r="359" spans="2:27" s="27" customFormat="1" ht="11.25" hidden="1" x14ac:dyDescent="0.2">
      <c r="B359" s="60"/>
      <c r="AA359" s="61"/>
    </row>
    <row r="360" spans="2:27" s="27" customFormat="1" ht="11.25" hidden="1" x14ac:dyDescent="0.2">
      <c r="B360" s="60"/>
      <c r="AA360" s="61"/>
    </row>
    <row r="361" spans="2:27" s="27" customFormat="1" ht="11.25" hidden="1" x14ac:dyDescent="0.2">
      <c r="B361" s="60"/>
      <c r="E361" s="27" t="s">
        <v>1399</v>
      </c>
      <c r="G361" s="27">
        <f>+G343+G265+G230+G222+G206+G384+INFORME!F119</f>
        <v>0</v>
      </c>
      <c r="H361" s="27">
        <f>+H356+H349+H343+G310+G274+H265+H222+H206+H384+INFORME!G119</f>
        <v>0</v>
      </c>
      <c r="I361" s="27">
        <f>+I356+I349+I343+H310+H274+I265+I222+I206+I384+INFORME!H119</f>
        <v>0</v>
      </c>
      <c r="J361" s="27">
        <f>+J356+J349+J343+I310+I274+J265+J222+J206+J384+INFORME!I119</f>
        <v>0</v>
      </c>
      <c r="K361" s="27">
        <f>+K356+K349+K343+J310+J274+K265+K222+K206+K384+INFORME!J119</f>
        <v>0</v>
      </c>
      <c r="L361" s="27">
        <f>+L356+L349+L343+K310+K274+L265+L222+L206+L384+INFORME!K119</f>
        <v>0</v>
      </c>
      <c r="M361" s="27">
        <f>+M356+M349+M343+L310+L274+M265+M222+M206+M384+INFORME!L119</f>
        <v>0</v>
      </c>
      <c r="N361" s="27">
        <f>+N356+N349+N343+M310+M274+N265+N222+N206+N384+INFORME!M119</f>
        <v>0</v>
      </c>
      <c r="O361" s="27">
        <f>+O356+O349+O343+N310+N274+O265+O222+O206+O384+INFORME!N119</f>
        <v>0</v>
      </c>
      <c r="P361" s="27">
        <f>+P356+P349+P343+O310+O274+P265+P222+P206+P384+INFORME!O119</f>
        <v>0</v>
      </c>
      <c r="Q361" s="27">
        <f>+Q356+Q349+Q343+P310+P274+Q265+Q222+Q206+Q384+INFORME!P119</f>
        <v>0</v>
      </c>
      <c r="R361" s="27">
        <f>+R356+R349+R343+Q310+Q274+R265+R222+R206+R384+INFORME!Q119</f>
        <v>0</v>
      </c>
      <c r="S361" s="27">
        <f>+S356+S349+S343+R310+R274+S265+S222+S206+S384+INFORME!R119</f>
        <v>0</v>
      </c>
      <c r="V361" s="27">
        <f>SUM(G361:U361)</f>
        <v>0</v>
      </c>
      <c r="AA361" s="61"/>
    </row>
    <row r="362" spans="2:27" s="27" customFormat="1" ht="11.25" hidden="1" x14ac:dyDescent="0.2">
      <c r="B362" s="60"/>
      <c r="AA362" s="61"/>
    </row>
    <row r="363" spans="2:27" s="27" customFormat="1" ht="11.25" hidden="1" x14ac:dyDescent="0.2">
      <c r="B363" s="60"/>
      <c r="E363" s="27" t="s">
        <v>419</v>
      </c>
      <c r="H363" s="27">
        <f t="shared" ref="H363:S363" si="118">+G345+H345-H356</f>
        <v>0</v>
      </c>
      <c r="I363" s="27">
        <f t="shared" si="118"/>
        <v>0</v>
      </c>
      <c r="J363" s="27">
        <f t="shared" si="118"/>
        <v>0</v>
      </c>
      <c r="K363" s="27">
        <f t="shared" si="118"/>
        <v>0</v>
      </c>
      <c r="L363" s="27">
        <f t="shared" si="118"/>
        <v>0</v>
      </c>
      <c r="M363" s="27">
        <f t="shared" si="118"/>
        <v>0</v>
      </c>
      <c r="N363" s="27">
        <f t="shared" si="118"/>
        <v>0</v>
      </c>
      <c r="O363" s="27">
        <f t="shared" si="118"/>
        <v>0</v>
      </c>
      <c r="P363" s="27">
        <f t="shared" si="118"/>
        <v>0</v>
      </c>
      <c r="Q363" s="27">
        <f t="shared" si="118"/>
        <v>0</v>
      </c>
      <c r="R363" s="27">
        <f t="shared" si="118"/>
        <v>0</v>
      </c>
      <c r="S363" s="27">
        <f t="shared" si="118"/>
        <v>0</v>
      </c>
      <c r="AA363" s="61"/>
    </row>
    <row r="364" spans="2:27" s="27" customFormat="1" ht="11.25" hidden="1" x14ac:dyDescent="0.2">
      <c r="B364" s="60"/>
      <c r="E364" s="27" t="s">
        <v>420</v>
      </c>
      <c r="H364" s="27">
        <f>+G345+H345-H357</f>
        <v>0</v>
      </c>
      <c r="I364" s="27">
        <f>+H364+I345-I357</f>
        <v>0</v>
      </c>
      <c r="J364" s="27">
        <f>+I364+J345-J357</f>
        <v>0</v>
      </c>
      <c r="K364" s="27">
        <f>+J364+K345-K357</f>
        <v>0</v>
      </c>
      <c r="L364" s="27">
        <f t="shared" ref="L364:R364" si="119">+K364+L345-L357</f>
        <v>0</v>
      </c>
      <c r="M364" s="27">
        <f t="shared" si="119"/>
        <v>0</v>
      </c>
      <c r="N364" s="27">
        <f t="shared" si="119"/>
        <v>0</v>
      </c>
      <c r="O364" s="27">
        <f t="shared" si="119"/>
        <v>0</v>
      </c>
      <c r="P364" s="27">
        <f t="shared" si="119"/>
        <v>0</v>
      </c>
      <c r="Q364" s="27">
        <f t="shared" si="119"/>
        <v>0</v>
      </c>
      <c r="R364" s="27">
        <f t="shared" si="119"/>
        <v>0</v>
      </c>
      <c r="S364" s="27">
        <f>+R364+S345-S357</f>
        <v>0</v>
      </c>
      <c r="AA364" s="61"/>
    </row>
    <row r="365" spans="2:27" s="27" customFormat="1" ht="11.25" hidden="1" x14ac:dyDescent="0.2">
      <c r="B365" s="60"/>
      <c r="AA365" s="61"/>
    </row>
    <row r="366" spans="2:27" s="27" customFormat="1" ht="11.25" hidden="1" x14ac:dyDescent="0.2">
      <c r="B366" s="65"/>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7"/>
    </row>
    <row r="367" spans="2:27" s="27" customFormat="1" ht="11.25" hidden="1" x14ac:dyDescent="0.2">
      <c r="B367" s="62"/>
      <c r="C367" s="63"/>
      <c r="D367" s="63"/>
      <c r="E367" s="63"/>
      <c r="F367" s="63"/>
      <c r="G367" s="63"/>
      <c r="H367" s="63"/>
      <c r="I367" s="63"/>
      <c r="J367" s="63"/>
      <c r="K367" s="63"/>
      <c r="L367" s="63"/>
      <c r="M367" s="63"/>
      <c r="N367" s="63"/>
      <c r="O367" s="63"/>
      <c r="P367" s="63"/>
      <c r="Q367" s="63"/>
      <c r="R367" s="63"/>
      <c r="S367" s="63"/>
      <c r="T367" s="63"/>
      <c r="U367" s="63"/>
      <c r="V367" s="63"/>
      <c r="W367" s="63"/>
      <c r="X367" s="63"/>
      <c r="Y367" s="64"/>
    </row>
    <row r="368" spans="2:27" s="27" customFormat="1" ht="11.25" hidden="1" x14ac:dyDescent="0.2">
      <c r="B368" s="60"/>
      <c r="D368" s="27" t="s">
        <v>1458</v>
      </c>
      <c r="E368" s="27" t="s">
        <v>1455</v>
      </c>
      <c r="Y368" s="61"/>
    </row>
    <row r="369" spans="2:26" hidden="1" x14ac:dyDescent="0.2">
      <c r="B369" s="60"/>
      <c r="E369" s="27" t="s">
        <v>1329</v>
      </c>
      <c r="Y369" s="61"/>
    </row>
    <row r="370" spans="2:26" hidden="1" x14ac:dyDescent="0.2">
      <c r="B370" s="60"/>
      <c r="E370" s="27" t="s">
        <v>215</v>
      </c>
      <c r="F370" s="27" t="s">
        <v>1330</v>
      </c>
      <c r="G370" s="27">
        <f>IF(G80&gt;0,G80,0)</f>
        <v>0</v>
      </c>
      <c r="H370" s="27">
        <f>IF(H80&gt;0,H80,0)</f>
        <v>0</v>
      </c>
      <c r="I370" s="27">
        <f>IF(I80&gt;0,I80,0)</f>
        <v>0</v>
      </c>
      <c r="J370" s="27">
        <f>IF(J80&gt;0,J80,0)</f>
        <v>0</v>
      </c>
      <c r="K370" s="27">
        <f t="shared" ref="K370:Q370" si="120">IF(K80&gt;0,K80,0)</f>
        <v>0</v>
      </c>
      <c r="L370" s="27">
        <f t="shared" si="120"/>
        <v>0</v>
      </c>
      <c r="M370" s="27">
        <f t="shared" si="120"/>
        <v>0</v>
      </c>
      <c r="N370" s="27">
        <f t="shared" si="120"/>
        <v>0</v>
      </c>
      <c r="O370" s="27">
        <f t="shared" si="120"/>
        <v>0</v>
      </c>
      <c r="P370" s="27">
        <f t="shared" si="120"/>
        <v>0</v>
      </c>
      <c r="Q370" s="27">
        <f t="shared" si="120"/>
        <v>0</v>
      </c>
      <c r="R370" s="27">
        <f>IF(R80&gt;0,R80,0)</f>
        <v>0</v>
      </c>
      <c r="S370" s="27">
        <f>IF(S80&gt;0,S80,0)</f>
        <v>0</v>
      </c>
      <c r="X370" s="27">
        <f>SUM(G370:W370)</f>
        <v>0</v>
      </c>
      <c r="Y370" s="61"/>
    </row>
    <row r="371" spans="2:26" hidden="1" x14ac:dyDescent="0.2">
      <c r="B371" s="60"/>
      <c r="F371" s="27" t="s">
        <v>1331</v>
      </c>
      <c r="G371" s="27">
        <f>IF(G80&lt;0,-G80,0)</f>
        <v>0</v>
      </c>
      <c r="H371" s="27">
        <f t="shared" ref="H371:Q371" si="121">IF(H80&lt;0,-H80,0)</f>
        <v>0</v>
      </c>
      <c r="I371" s="27">
        <f t="shared" si="121"/>
        <v>0</v>
      </c>
      <c r="J371" s="27">
        <f t="shared" si="121"/>
        <v>0</v>
      </c>
      <c r="K371" s="27">
        <f t="shared" si="121"/>
        <v>0</v>
      </c>
      <c r="L371" s="27">
        <f t="shared" si="121"/>
        <v>0</v>
      </c>
      <c r="M371" s="27">
        <f t="shared" si="121"/>
        <v>0</v>
      </c>
      <c r="N371" s="27">
        <f t="shared" si="121"/>
        <v>0</v>
      </c>
      <c r="O371" s="27">
        <f t="shared" si="121"/>
        <v>0</v>
      </c>
      <c r="P371" s="27">
        <f t="shared" si="121"/>
        <v>0</v>
      </c>
      <c r="Q371" s="27">
        <f t="shared" si="121"/>
        <v>0</v>
      </c>
      <c r="R371" s="27">
        <f>IF(R80&lt;0,-R80,0)</f>
        <v>0</v>
      </c>
      <c r="S371" s="27">
        <f>IF(S80&lt;0,-S80,0)</f>
        <v>0</v>
      </c>
      <c r="X371" s="27">
        <f>SUM(G371:W371)</f>
        <v>0</v>
      </c>
      <c r="Y371" s="61">
        <f>X370-X371</f>
        <v>0</v>
      </c>
      <c r="Z371" s="27" t="str">
        <f>IF(Y371=$V$80,"OK","ERROR")</f>
        <v>OK</v>
      </c>
    </row>
    <row r="372" spans="2:26" hidden="1" x14ac:dyDescent="0.2">
      <c r="B372" s="60"/>
      <c r="G372" s="27" t="str">
        <f>SB!E149</f>
        <v>30 días</v>
      </c>
      <c r="H372" s="27">
        <f>G371</f>
        <v>0</v>
      </c>
      <c r="I372" s="27">
        <f>H371</f>
        <v>0</v>
      </c>
      <c r="J372" s="27">
        <f t="shared" ref="J372:S372" si="122">I371</f>
        <v>0</v>
      </c>
      <c r="K372" s="27">
        <f t="shared" si="122"/>
        <v>0</v>
      </c>
      <c r="L372" s="27">
        <f t="shared" si="122"/>
        <v>0</v>
      </c>
      <c r="M372" s="27">
        <f t="shared" si="122"/>
        <v>0</v>
      </c>
      <c r="N372" s="27">
        <f t="shared" si="122"/>
        <v>0</v>
      </c>
      <c r="O372" s="27">
        <f t="shared" si="122"/>
        <v>0</v>
      </c>
      <c r="P372" s="27">
        <f t="shared" si="122"/>
        <v>0</v>
      </c>
      <c r="Q372" s="27">
        <f t="shared" si="122"/>
        <v>0</v>
      </c>
      <c r="R372" s="27">
        <f t="shared" si="122"/>
        <v>0</v>
      </c>
      <c r="S372" s="27">
        <f t="shared" si="122"/>
        <v>0</v>
      </c>
      <c r="T372" s="27">
        <f>S371</f>
        <v>0</v>
      </c>
      <c r="X372" s="27">
        <f>SUM(H372:W372)</f>
        <v>0</v>
      </c>
      <c r="Y372" s="61" t="str">
        <f>IF(X372=$X$371,"OK","ERROR")</f>
        <v>OK</v>
      </c>
    </row>
    <row r="373" spans="2:26" hidden="1" x14ac:dyDescent="0.2">
      <c r="B373" s="60"/>
      <c r="G373" s="27" t="str">
        <f>SB!E150</f>
        <v>60 días</v>
      </c>
      <c r="I373" s="27">
        <f>G371</f>
        <v>0</v>
      </c>
      <c r="J373" s="27">
        <f>H371</f>
        <v>0</v>
      </c>
      <c r="K373" s="27">
        <f t="shared" ref="K373:U373" si="123">I371</f>
        <v>0</v>
      </c>
      <c r="L373" s="27">
        <f t="shared" si="123"/>
        <v>0</v>
      </c>
      <c r="M373" s="27">
        <f t="shared" si="123"/>
        <v>0</v>
      </c>
      <c r="N373" s="27">
        <f t="shared" si="123"/>
        <v>0</v>
      </c>
      <c r="O373" s="27">
        <f t="shared" si="123"/>
        <v>0</v>
      </c>
      <c r="P373" s="27">
        <f t="shared" si="123"/>
        <v>0</v>
      </c>
      <c r="Q373" s="27">
        <f t="shared" si="123"/>
        <v>0</v>
      </c>
      <c r="R373" s="27">
        <f t="shared" si="123"/>
        <v>0</v>
      </c>
      <c r="S373" s="27">
        <f t="shared" si="123"/>
        <v>0</v>
      </c>
      <c r="T373" s="27">
        <f t="shared" si="123"/>
        <v>0</v>
      </c>
      <c r="U373" s="27">
        <f t="shared" si="123"/>
        <v>0</v>
      </c>
      <c r="X373" s="27">
        <f>SUM(H373:W373)</f>
        <v>0</v>
      </c>
      <c r="Y373" s="61" t="str">
        <f>IF(X373=$X$371,"OK","ERROR")</f>
        <v>OK</v>
      </c>
    </row>
    <row r="374" spans="2:26" hidden="1" x14ac:dyDescent="0.2">
      <c r="B374" s="60"/>
      <c r="G374" s="27" t="str">
        <f>SB!E151</f>
        <v>90 días</v>
      </c>
      <c r="J374" s="27">
        <f>G371</f>
        <v>0</v>
      </c>
      <c r="K374" s="27">
        <f>H371</f>
        <v>0</v>
      </c>
      <c r="L374" s="27">
        <f t="shared" ref="L374:V374" si="124">I371</f>
        <v>0</v>
      </c>
      <c r="M374" s="27">
        <f t="shared" si="124"/>
        <v>0</v>
      </c>
      <c r="N374" s="27">
        <f t="shared" si="124"/>
        <v>0</v>
      </c>
      <c r="O374" s="27">
        <f t="shared" si="124"/>
        <v>0</v>
      </c>
      <c r="P374" s="27">
        <f t="shared" si="124"/>
        <v>0</v>
      </c>
      <c r="Q374" s="27">
        <f t="shared" si="124"/>
        <v>0</v>
      </c>
      <c r="R374" s="27">
        <f t="shared" si="124"/>
        <v>0</v>
      </c>
      <c r="S374" s="27">
        <f t="shared" si="124"/>
        <v>0</v>
      </c>
      <c r="T374" s="27">
        <f t="shared" si="124"/>
        <v>0</v>
      </c>
      <c r="U374" s="27">
        <f t="shared" si="124"/>
        <v>0</v>
      </c>
      <c r="V374" s="27">
        <f t="shared" si="124"/>
        <v>0</v>
      </c>
      <c r="X374" s="27">
        <f>SUM(H374:W374)</f>
        <v>0</v>
      </c>
      <c r="Y374" s="61" t="str">
        <f>IF(X374=$X$371,"OK","ERROR")</f>
        <v>OK</v>
      </c>
    </row>
    <row r="375" spans="2:26" hidden="1" x14ac:dyDescent="0.2">
      <c r="B375" s="60"/>
      <c r="G375" s="27" t="str">
        <f>SB!E152</f>
        <v>120 días</v>
      </c>
      <c r="K375" s="27">
        <f>G371</f>
        <v>0</v>
      </c>
      <c r="L375" s="27">
        <f>H371</f>
        <v>0</v>
      </c>
      <c r="M375" s="27">
        <f t="shared" ref="M375:W375" si="125">I371</f>
        <v>0</v>
      </c>
      <c r="N375" s="27">
        <f t="shared" si="125"/>
        <v>0</v>
      </c>
      <c r="O375" s="27">
        <f t="shared" si="125"/>
        <v>0</v>
      </c>
      <c r="P375" s="27">
        <f t="shared" si="125"/>
        <v>0</v>
      </c>
      <c r="Q375" s="27">
        <f t="shared" si="125"/>
        <v>0</v>
      </c>
      <c r="R375" s="27">
        <f t="shared" si="125"/>
        <v>0</v>
      </c>
      <c r="S375" s="27">
        <f t="shared" si="125"/>
        <v>0</v>
      </c>
      <c r="T375" s="27">
        <f t="shared" si="125"/>
        <v>0</v>
      </c>
      <c r="U375" s="27">
        <f t="shared" si="125"/>
        <v>0</v>
      </c>
      <c r="V375" s="27">
        <f t="shared" si="125"/>
        <v>0</v>
      </c>
      <c r="W375" s="27">
        <f t="shared" si="125"/>
        <v>0</v>
      </c>
      <c r="X375" s="27">
        <f>SUM(H375:W375)</f>
        <v>0</v>
      </c>
      <c r="Y375" s="61" t="str">
        <f>IF(X375=$X$371,"OK","ERROR")</f>
        <v>OK</v>
      </c>
    </row>
    <row r="376" spans="2:26" hidden="1" x14ac:dyDescent="0.2">
      <c r="B376" s="60"/>
      <c r="E376" s="27" t="s">
        <v>211</v>
      </c>
      <c r="Y376" s="61"/>
    </row>
    <row r="377" spans="2:26" hidden="1" x14ac:dyDescent="0.2">
      <c r="B377" s="60"/>
      <c r="E377" s="27" t="s">
        <v>222</v>
      </c>
      <c r="F377" s="27" t="s">
        <v>1332</v>
      </c>
      <c r="G377" s="27" t="str">
        <f>SB!$G$649</f>
        <v>30 días</v>
      </c>
      <c r="H377" s="27">
        <f>IF($G377=$G372,H372,IF($G377=$G373,H373,IF($G377=$G374,H374,IF($G377=$G375,H375))))</f>
        <v>0</v>
      </c>
      <c r="I377" s="27">
        <f t="shared" ref="I377:P377" si="126">IF($G377=$G372,I372,IF($G377=$G373,I373,IF($G377=$G374,I374,IF($G377=$G375,I375))))</f>
        <v>0</v>
      </c>
      <c r="J377" s="27">
        <f t="shared" si="126"/>
        <v>0</v>
      </c>
      <c r="K377" s="27">
        <f t="shared" si="126"/>
        <v>0</v>
      </c>
      <c r="L377" s="27">
        <f t="shared" si="126"/>
        <v>0</v>
      </c>
      <c r="M377" s="27">
        <f t="shared" si="126"/>
        <v>0</v>
      </c>
      <c r="N377" s="27">
        <f t="shared" si="126"/>
        <v>0</v>
      </c>
      <c r="O377" s="27">
        <f t="shared" si="126"/>
        <v>0</v>
      </c>
      <c r="P377" s="27">
        <f t="shared" si="126"/>
        <v>0</v>
      </c>
      <c r="Q377" s="27">
        <f t="shared" ref="Q377:W377" si="127">IF($G377=$G372,Q372,IF($G377=$G373,Q373,IF($G377=$G374,Q374,IF($G377=$G375,Q375))))</f>
        <v>0</v>
      </c>
      <c r="R377" s="27">
        <f t="shared" si="127"/>
        <v>0</v>
      </c>
      <c r="S377" s="27">
        <f t="shared" si="127"/>
        <v>0</v>
      </c>
      <c r="T377" s="27">
        <f t="shared" si="127"/>
        <v>0</v>
      </c>
      <c r="U377" s="27">
        <f t="shared" si="127"/>
        <v>0</v>
      </c>
      <c r="V377" s="27">
        <f t="shared" si="127"/>
        <v>0</v>
      </c>
      <c r="W377" s="27">
        <f t="shared" si="127"/>
        <v>0</v>
      </c>
      <c r="X377" s="27">
        <f>SUM(H377:W377)</f>
        <v>0</v>
      </c>
      <c r="Y377" s="61" t="str">
        <f>IF(X377=$X$371,"OK","ERROR")</f>
        <v>OK</v>
      </c>
    </row>
    <row r="378" spans="2:26" hidden="1" x14ac:dyDescent="0.2">
      <c r="B378" s="60"/>
      <c r="F378" s="27" t="s">
        <v>220</v>
      </c>
      <c r="G378" s="27">
        <f>G371</f>
        <v>0</v>
      </c>
      <c r="H378" s="27">
        <f t="shared" ref="H378:T378" si="128">H371+G378-H377</f>
        <v>0</v>
      </c>
      <c r="I378" s="27">
        <f t="shared" si="128"/>
        <v>0</v>
      </c>
      <c r="J378" s="27">
        <f t="shared" si="128"/>
        <v>0</v>
      </c>
      <c r="K378" s="27">
        <f t="shared" si="128"/>
        <v>0</v>
      </c>
      <c r="L378" s="27">
        <f t="shared" si="128"/>
        <v>0</v>
      </c>
      <c r="M378" s="27">
        <f t="shared" si="128"/>
        <v>0</v>
      </c>
      <c r="N378" s="27">
        <f t="shared" si="128"/>
        <v>0</v>
      </c>
      <c r="O378" s="27">
        <f t="shared" si="128"/>
        <v>0</v>
      </c>
      <c r="P378" s="27">
        <f t="shared" si="128"/>
        <v>0</v>
      </c>
      <c r="Q378" s="27">
        <f t="shared" si="128"/>
        <v>0</v>
      </c>
      <c r="R378" s="27">
        <f t="shared" si="128"/>
        <v>0</v>
      </c>
      <c r="S378" s="27">
        <f t="shared" si="128"/>
        <v>0</v>
      </c>
      <c r="T378" s="27">
        <f t="shared" si="128"/>
        <v>0</v>
      </c>
      <c r="Y378" s="61"/>
    </row>
    <row r="379" spans="2:26" hidden="1" x14ac:dyDescent="0.2">
      <c r="B379" s="60"/>
      <c r="E379" s="27" t="s">
        <v>223</v>
      </c>
      <c r="H379" s="27">
        <f>G370</f>
        <v>0</v>
      </c>
      <c r="I379" s="27">
        <f>H370</f>
        <v>0</v>
      </c>
      <c r="J379" s="27">
        <f t="shared" ref="J379:R379" si="129">I370</f>
        <v>0</v>
      </c>
      <c r="K379" s="27">
        <f t="shared" si="129"/>
        <v>0</v>
      </c>
      <c r="L379" s="27">
        <f t="shared" si="129"/>
        <v>0</v>
      </c>
      <c r="M379" s="27">
        <f t="shared" si="129"/>
        <v>0</v>
      </c>
      <c r="N379" s="27">
        <f t="shared" si="129"/>
        <v>0</v>
      </c>
      <c r="O379" s="27">
        <f t="shared" si="129"/>
        <v>0</v>
      </c>
      <c r="P379" s="27">
        <f t="shared" si="129"/>
        <v>0</v>
      </c>
      <c r="Q379" s="27">
        <f t="shared" si="129"/>
        <v>0</v>
      </c>
      <c r="R379" s="27">
        <f t="shared" si="129"/>
        <v>0</v>
      </c>
      <c r="S379" s="27">
        <f>R370</f>
        <v>0</v>
      </c>
      <c r="T379" s="27">
        <f>S370</f>
        <v>0</v>
      </c>
      <c r="X379" s="27">
        <f>SUM(H379:W379)</f>
        <v>0</v>
      </c>
      <c r="Y379" s="61"/>
    </row>
    <row r="380" spans="2:26" hidden="1" x14ac:dyDescent="0.2">
      <c r="B380" s="60"/>
      <c r="F380" s="27" t="s">
        <v>221</v>
      </c>
      <c r="H380" s="27">
        <f>H370</f>
        <v>0</v>
      </c>
      <c r="I380" s="27">
        <f t="shared" ref="I380:T380" si="130">H380+I370-I379</f>
        <v>0</v>
      </c>
      <c r="J380" s="27">
        <f t="shared" si="130"/>
        <v>0</v>
      </c>
      <c r="K380" s="27">
        <f t="shared" si="130"/>
        <v>0</v>
      </c>
      <c r="L380" s="27">
        <f t="shared" si="130"/>
        <v>0</v>
      </c>
      <c r="M380" s="27">
        <f t="shared" si="130"/>
        <v>0</v>
      </c>
      <c r="N380" s="27">
        <f t="shared" si="130"/>
        <v>0</v>
      </c>
      <c r="O380" s="27">
        <f t="shared" si="130"/>
        <v>0</v>
      </c>
      <c r="P380" s="27">
        <f t="shared" si="130"/>
        <v>0</v>
      </c>
      <c r="Q380" s="27">
        <f t="shared" si="130"/>
        <v>0</v>
      </c>
      <c r="R380" s="27">
        <f t="shared" si="130"/>
        <v>0</v>
      </c>
      <c r="S380" s="27">
        <f t="shared" si="130"/>
        <v>0</v>
      </c>
      <c r="T380" s="27">
        <f t="shared" si="130"/>
        <v>0</v>
      </c>
      <c r="Y380" s="61"/>
    </row>
    <row r="381" spans="2:26" ht="5.25" hidden="1" customHeight="1" x14ac:dyDescent="0.2">
      <c r="B381" s="60"/>
      <c r="Y381" s="61"/>
    </row>
    <row r="382" spans="2:26" hidden="1" x14ac:dyDescent="0.2">
      <c r="B382" s="60"/>
      <c r="E382" s="27" t="s">
        <v>1334</v>
      </c>
      <c r="Y382" s="61"/>
    </row>
    <row r="383" spans="2:26" hidden="1" x14ac:dyDescent="0.2">
      <c r="B383" s="60"/>
      <c r="E383" s="27" t="s">
        <v>217</v>
      </c>
      <c r="G383" s="27">
        <f>+G80</f>
        <v>0</v>
      </c>
      <c r="H383" s="27">
        <f t="shared" ref="H383:S383" si="131">(G383+H80)-H384</f>
        <v>0</v>
      </c>
      <c r="I383" s="27">
        <f t="shared" si="131"/>
        <v>0</v>
      </c>
      <c r="J383" s="27">
        <f t="shared" si="131"/>
        <v>0</v>
      </c>
      <c r="K383" s="27">
        <f t="shared" si="131"/>
        <v>0</v>
      </c>
      <c r="L383" s="27">
        <f t="shared" si="131"/>
        <v>0</v>
      </c>
      <c r="M383" s="27">
        <f t="shared" si="131"/>
        <v>0</v>
      </c>
      <c r="N383" s="27">
        <f t="shared" si="131"/>
        <v>0</v>
      </c>
      <c r="O383" s="27">
        <f t="shared" si="131"/>
        <v>0</v>
      </c>
      <c r="P383" s="27">
        <f t="shared" si="131"/>
        <v>0</v>
      </c>
      <c r="Q383" s="27">
        <f t="shared" si="131"/>
        <v>0</v>
      </c>
      <c r="R383" s="27">
        <f t="shared" si="131"/>
        <v>0</v>
      </c>
      <c r="S383" s="27">
        <f t="shared" si="131"/>
        <v>0</v>
      </c>
      <c r="X383" s="27">
        <f>SUM(G383:U383)</f>
        <v>0</v>
      </c>
      <c r="Y383" s="61"/>
    </row>
    <row r="384" spans="2:26" hidden="1" x14ac:dyDescent="0.2">
      <c r="B384" s="60"/>
      <c r="E384" s="27" t="s">
        <v>223</v>
      </c>
      <c r="H384" s="27">
        <f t="shared" ref="H384:T384" si="132">IF(G383&gt;0,G383,0)</f>
        <v>0</v>
      </c>
      <c r="I384" s="27">
        <f t="shared" si="132"/>
        <v>0</v>
      </c>
      <c r="J384" s="27">
        <f t="shared" si="132"/>
        <v>0</v>
      </c>
      <c r="K384" s="27">
        <f t="shared" si="132"/>
        <v>0</v>
      </c>
      <c r="L384" s="27">
        <f t="shared" si="132"/>
        <v>0</v>
      </c>
      <c r="M384" s="27">
        <f t="shared" si="132"/>
        <v>0</v>
      </c>
      <c r="N384" s="27">
        <f t="shared" si="132"/>
        <v>0</v>
      </c>
      <c r="O384" s="27">
        <f t="shared" si="132"/>
        <v>0</v>
      </c>
      <c r="P384" s="27">
        <f t="shared" si="132"/>
        <v>0</v>
      </c>
      <c r="Q384" s="27">
        <f t="shared" si="132"/>
        <v>0</v>
      </c>
      <c r="R384" s="27">
        <f t="shared" si="132"/>
        <v>0</v>
      </c>
      <c r="S384" s="27">
        <f t="shared" si="132"/>
        <v>0</v>
      </c>
      <c r="T384" s="27">
        <f t="shared" si="132"/>
        <v>0</v>
      </c>
      <c r="X384" s="27">
        <f>SUM(H384:U384)</f>
        <v>0</v>
      </c>
      <c r="Y384" s="61"/>
    </row>
    <row r="385" spans="2:25" hidden="1" x14ac:dyDescent="0.2">
      <c r="B385" s="60"/>
      <c r="F385" s="27" t="s">
        <v>220</v>
      </c>
      <c r="H385" s="27">
        <f>IF(H383&lt;0,-H383,0)</f>
        <v>0</v>
      </c>
      <c r="I385" s="27">
        <f t="shared" ref="I385:T385" si="133">IF(I383&lt;0,-I383,0)</f>
        <v>0</v>
      </c>
      <c r="J385" s="27">
        <f t="shared" si="133"/>
        <v>0</v>
      </c>
      <c r="K385" s="27">
        <f t="shared" si="133"/>
        <v>0</v>
      </c>
      <c r="L385" s="27">
        <f t="shared" si="133"/>
        <v>0</v>
      </c>
      <c r="M385" s="27">
        <f t="shared" si="133"/>
        <v>0</v>
      </c>
      <c r="N385" s="27">
        <f t="shared" si="133"/>
        <v>0</v>
      </c>
      <c r="O385" s="27">
        <f t="shared" si="133"/>
        <v>0</v>
      </c>
      <c r="P385" s="27">
        <f t="shared" si="133"/>
        <v>0</v>
      </c>
      <c r="Q385" s="27">
        <f t="shared" si="133"/>
        <v>0</v>
      </c>
      <c r="R385" s="27">
        <f t="shared" si="133"/>
        <v>0</v>
      </c>
      <c r="S385" s="27">
        <f t="shared" si="133"/>
        <v>0</v>
      </c>
      <c r="T385" s="27">
        <f t="shared" si="133"/>
        <v>0</v>
      </c>
      <c r="Y385" s="61"/>
    </row>
    <row r="386" spans="2:25" hidden="1" x14ac:dyDescent="0.2">
      <c r="B386" s="60"/>
      <c r="F386" s="27" t="s">
        <v>221</v>
      </c>
      <c r="H386" s="27">
        <f>IF(H383&gt;0,H383,0)</f>
        <v>0</v>
      </c>
      <c r="I386" s="27">
        <f t="shared" ref="I386:S386" si="134">IF(I383&gt;0,I383,0)</f>
        <v>0</v>
      </c>
      <c r="J386" s="27">
        <f t="shared" si="134"/>
        <v>0</v>
      </c>
      <c r="K386" s="27">
        <f t="shared" si="134"/>
        <v>0</v>
      </c>
      <c r="L386" s="27">
        <f t="shared" si="134"/>
        <v>0</v>
      </c>
      <c r="M386" s="27">
        <f t="shared" si="134"/>
        <v>0</v>
      </c>
      <c r="N386" s="27">
        <f t="shared" si="134"/>
        <v>0</v>
      </c>
      <c r="O386" s="27">
        <f t="shared" si="134"/>
        <v>0</v>
      </c>
      <c r="P386" s="27">
        <f t="shared" si="134"/>
        <v>0</v>
      </c>
      <c r="Q386" s="27">
        <f t="shared" si="134"/>
        <v>0</v>
      </c>
      <c r="R386" s="27">
        <f t="shared" si="134"/>
        <v>0</v>
      </c>
      <c r="S386" s="27">
        <f t="shared" si="134"/>
        <v>0</v>
      </c>
      <c r="T386" s="27">
        <f>IF(T383&gt;0,T383,0)</f>
        <v>0</v>
      </c>
      <c r="Y386" s="61"/>
    </row>
    <row r="387" spans="2:25" hidden="1" x14ac:dyDescent="0.2">
      <c r="B387" s="60"/>
      <c r="T387" s="27" t="s">
        <v>224</v>
      </c>
      <c r="Y387" s="61"/>
    </row>
    <row r="388" spans="2:25" hidden="1" x14ac:dyDescent="0.2">
      <c r="B388" s="60"/>
      <c r="E388" s="27" t="s">
        <v>219</v>
      </c>
      <c r="F388" s="27" t="str">
        <f>D!$J$25</f>
        <v>SI</v>
      </c>
      <c r="G388" s="27" t="s">
        <v>222</v>
      </c>
      <c r="H388" s="27">
        <f t="shared" ref="H388:T388" si="135">IF($F$388="si",H377,0)</f>
        <v>0</v>
      </c>
      <c r="I388" s="27">
        <f t="shared" si="135"/>
        <v>0</v>
      </c>
      <c r="J388" s="27">
        <f t="shared" si="135"/>
        <v>0</v>
      </c>
      <c r="K388" s="27">
        <f t="shared" si="135"/>
        <v>0</v>
      </c>
      <c r="L388" s="27">
        <f t="shared" si="135"/>
        <v>0</v>
      </c>
      <c r="M388" s="27">
        <f t="shared" si="135"/>
        <v>0</v>
      </c>
      <c r="N388" s="27">
        <f t="shared" si="135"/>
        <v>0</v>
      </c>
      <c r="O388" s="27">
        <f t="shared" si="135"/>
        <v>0</v>
      </c>
      <c r="P388" s="27">
        <f t="shared" si="135"/>
        <v>0</v>
      </c>
      <c r="Q388" s="27">
        <f t="shared" si="135"/>
        <v>0</v>
      </c>
      <c r="R388" s="27">
        <f t="shared" si="135"/>
        <v>0</v>
      </c>
      <c r="S388" s="27">
        <f t="shared" si="135"/>
        <v>0</v>
      </c>
      <c r="T388" s="27">
        <f t="shared" si="135"/>
        <v>0</v>
      </c>
      <c r="Y388" s="61"/>
    </row>
    <row r="389" spans="2:25" hidden="1" x14ac:dyDescent="0.2">
      <c r="B389" s="60"/>
      <c r="G389" s="27" t="s">
        <v>225</v>
      </c>
      <c r="H389" s="27">
        <f t="shared" ref="H389:T389" si="136">IF($F$388="si",H379,H384)</f>
        <v>0</v>
      </c>
      <c r="I389" s="27">
        <f t="shared" si="136"/>
        <v>0</v>
      </c>
      <c r="J389" s="27">
        <f t="shared" si="136"/>
        <v>0</v>
      </c>
      <c r="K389" s="27">
        <f t="shared" si="136"/>
        <v>0</v>
      </c>
      <c r="L389" s="27">
        <f t="shared" si="136"/>
        <v>0</v>
      </c>
      <c r="M389" s="27">
        <f t="shared" si="136"/>
        <v>0</v>
      </c>
      <c r="N389" s="27">
        <f t="shared" si="136"/>
        <v>0</v>
      </c>
      <c r="O389" s="27">
        <f t="shared" si="136"/>
        <v>0</v>
      </c>
      <c r="P389" s="27">
        <f t="shared" si="136"/>
        <v>0</v>
      </c>
      <c r="Q389" s="27">
        <f t="shared" si="136"/>
        <v>0</v>
      </c>
      <c r="R389" s="27">
        <f t="shared" si="136"/>
        <v>0</v>
      </c>
      <c r="S389" s="27">
        <f t="shared" si="136"/>
        <v>0</v>
      </c>
      <c r="T389" s="27">
        <f t="shared" si="136"/>
        <v>0</v>
      </c>
      <c r="Y389" s="61"/>
    </row>
    <row r="390" spans="2:25" hidden="1" x14ac:dyDescent="0.2">
      <c r="B390" s="60"/>
      <c r="G390" s="27" t="s">
        <v>220</v>
      </c>
      <c r="H390" s="27">
        <f t="shared" ref="H390:S390" si="137">IF($F$388="SI",H378,H385)</f>
        <v>0</v>
      </c>
      <c r="I390" s="27">
        <f t="shared" si="137"/>
        <v>0</v>
      </c>
      <c r="J390" s="27">
        <f t="shared" si="137"/>
        <v>0</v>
      </c>
      <c r="K390" s="27">
        <f t="shared" si="137"/>
        <v>0</v>
      </c>
      <c r="L390" s="27">
        <f t="shared" si="137"/>
        <v>0</v>
      </c>
      <c r="M390" s="27">
        <f t="shared" si="137"/>
        <v>0</v>
      </c>
      <c r="N390" s="27">
        <f t="shared" si="137"/>
        <v>0</v>
      </c>
      <c r="O390" s="27">
        <f t="shared" si="137"/>
        <v>0</v>
      </c>
      <c r="P390" s="27">
        <f t="shared" si="137"/>
        <v>0</v>
      </c>
      <c r="Q390" s="27">
        <f t="shared" si="137"/>
        <v>0</v>
      </c>
      <c r="R390" s="27">
        <f t="shared" si="137"/>
        <v>0</v>
      </c>
      <c r="S390" s="27">
        <f t="shared" si="137"/>
        <v>0</v>
      </c>
      <c r="Y390" s="61"/>
    </row>
    <row r="391" spans="2:25" hidden="1" x14ac:dyDescent="0.2">
      <c r="B391" s="60"/>
      <c r="G391" s="27" t="s">
        <v>221</v>
      </c>
      <c r="H391" s="27">
        <f t="shared" ref="H391:S391" si="138">IF($F$388="SI",H380,H386)</f>
        <v>0</v>
      </c>
      <c r="I391" s="27">
        <f t="shared" si="138"/>
        <v>0</v>
      </c>
      <c r="J391" s="27">
        <f t="shared" si="138"/>
        <v>0</v>
      </c>
      <c r="K391" s="27">
        <f t="shared" si="138"/>
        <v>0</v>
      </c>
      <c r="L391" s="27">
        <f t="shared" si="138"/>
        <v>0</v>
      </c>
      <c r="M391" s="27">
        <f t="shared" si="138"/>
        <v>0</v>
      </c>
      <c r="N391" s="27">
        <f t="shared" si="138"/>
        <v>0</v>
      </c>
      <c r="O391" s="27">
        <f t="shared" si="138"/>
        <v>0</v>
      </c>
      <c r="P391" s="27">
        <f t="shared" si="138"/>
        <v>0</v>
      </c>
      <c r="Q391" s="27">
        <f t="shared" si="138"/>
        <v>0</v>
      </c>
      <c r="R391" s="27">
        <f t="shared" si="138"/>
        <v>0</v>
      </c>
      <c r="S391" s="27">
        <f t="shared" si="138"/>
        <v>0</v>
      </c>
      <c r="Y391" s="61"/>
    </row>
    <row r="392" spans="2:25" hidden="1" x14ac:dyDescent="0.2">
      <c r="B392" s="60"/>
      <c r="E392" s="27" t="s">
        <v>212</v>
      </c>
      <c r="Y392" s="61"/>
    </row>
    <row r="393" spans="2:25" hidden="1" x14ac:dyDescent="0.2">
      <c r="B393" s="60"/>
      <c r="F393" s="27" t="s">
        <v>214</v>
      </c>
      <c r="G393" s="27" t="str">
        <f>$J$393</f>
        <v>LIQUIDAR</v>
      </c>
      <c r="H393" s="27" t="b">
        <f>IF(H77=SB!$B$15,"LIQUIDAR",IF(H77=SB!$B$18,"LIQUIDAR",IF(H77=SB!$B$21,"LIQUIDAR",IF(H77=SB!$B$24,"LIQUIDAR"))))</f>
        <v>0</v>
      </c>
      <c r="I393" s="27" t="b">
        <f>IF(I77=SB!$B$15,"LIQUIDAR",IF(I77=SB!$B$18,"LIQUIDAR",IF(I77=SB!$B$21,"LIQUIDAR",IF(I77=SB!$B$24,"LIQUIDAR"))))</f>
        <v>0</v>
      </c>
      <c r="J393" s="27" t="str">
        <f>IF(J77=SB!$B$15,"LIQUIDAR",IF(J77=SB!$B$18,"LIQUIDAR",IF(J77=SB!$B$21,"LIQUIDAR",IF(J77=SB!$B$24,"LIQUIDAR"))))</f>
        <v>LIQUIDAR</v>
      </c>
      <c r="K393" s="27" t="b">
        <f>IF(K77=SB!$B$15,"LIQUIDAR",IF(K77=SB!$B$18,"LIQUIDAR",IF(K77=SB!$B$21,"LIQUIDAR",IF(K77=SB!$B$24,"LIQUIDAR"))))</f>
        <v>0</v>
      </c>
      <c r="L393" s="27" t="b">
        <f>IF(L77=SB!$B$15,"LIQUIDAR",IF(L77=SB!$B$18,"LIQUIDAR",IF(L77=SB!$B$21,"LIQUIDAR",IF(L77=SB!$B$24,"LIQUIDAR"))))</f>
        <v>0</v>
      </c>
      <c r="M393" s="27" t="str">
        <f>IF(M77=SB!$B$15,"LIQUIDAR",IF(M77=SB!$B$18,"LIQUIDAR",IF(M77=SB!$B$21,"LIQUIDAR",IF(M77=SB!$B$24,"LIQUIDAR"))))</f>
        <v>LIQUIDAR</v>
      </c>
      <c r="N393" s="27" t="b">
        <f>IF(N77=SB!$B$15,"LIQUIDAR",IF(N77=SB!$B$18,"LIQUIDAR",IF(N77=SB!$B$21,"LIQUIDAR",IF(N77=SB!$B$24,"LIQUIDAR"))))</f>
        <v>0</v>
      </c>
      <c r="O393" s="27" t="b">
        <f>IF(O77=SB!$B$15,"LIQUIDAR",IF(O77=SB!$B$18,"LIQUIDAR",IF(O77=SB!$B$21,"LIQUIDAR",IF(O77=SB!$B$24,"LIQUIDAR"))))</f>
        <v>0</v>
      </c>
      <c r="P393" s="27" t="str">
        <f>IF(P77=SB!$B$15,"LIQUIDAR",IF(P77=SB!$B$18,"LIQUIDAR",IF(P77=SB!$B$21,"LIQUIDAR",IF(P77=SB!$B$24,"LIQUIDAR"))))</f>
        <v>LIQUIDAR</v>
      </c>
      <c r="Q393" s="27" t="b">
        <f>IF(Q77=SB!$B$15,"LIQUIDAR",IF(Q77=SB!$B$18,"LIQUIDAR",IF(Q77=SB!$B$21,"LIQUIDAR",IF(Q77=SB!$B$24,"LIQUIDAR"))))</f>
        <v>0</v>
      </c>
      <c r="R393" s="27" t="b">
        <f>IF(R77=SB!$B$15,"LIQUIDAR",IF(R77=SB!$B$18,"LIQUIDAR",IF(R77=SB!$B$21,"LIQUIDAR",IF(R77=SB!$B$24,"LIQUIDAR"))))</f>
        <v>0</v>
      </c>
      <c r="S393" s="27" t="str">
        <f>IF(S77=SB!$B$15,"LIQUIDAR",IF(S77=SB!$B$18,"LIQUIDAR",IF(S77=SB!$B$21,"LIQUIDAR",IF(S77=SB!$B$24,"LIQUIDAR"))))</f>
        <v>LIQUIDAR</v>
      </c>
      <c r="Y393" s="61"/>
    </row>
    <row r="394" spans="2:25" hidden="1" x14ac:dyDescent="0.2">
      <c r="B394" s="60"/>
      <c r="F394" s="27" t="s">
        <v>213</v>
      </c>
      <c r="G394" s="27">
        <f>IF(G393=FALSE,0,G80+F80)</f>
        <v>0</v>
      </c>
      <c r="H394" s="27">
        <f>IF(H393=FALSE,0,H80+G80)</f>
        <v>0</v>
      </c>
      <c r="I394" s="27">
        <f t="shared" ref="I394:S394" si="139">IF(I393=FALSE,0,I80+H80+G80-H394)</f>
        <v>0</v>
      </c>
      <c r="J394" s="27">
        <f t="shared" si="139"/>
        <v>0</v>
      </c>
      <c r="K394" s="27">
        <f t="shared" si="139"/>
        <v>0</v>
      </c>
      <c r="L394" s="27">
        <f t="shared" si="139"/>
        <v>0</v>
      </c>
      <c r="M394" s="27">
        <f t="shared" si="139"/>
        <v>0</v>
      </c>
      <c r="N394" s="27">
        <f t="shared" si="139"/>
        <v>0</v>
      </c>
      <c r="O394" s="27">
        <f t="shared" si="139"/>
        <v>0</v>
      </c>
      <c r="P394" s="27">
        <f t="shared" si="139"/>
        <v>0</v>
      </c>
      <c r="Q394" s="27">
        <f t="shared" si="139"/>
        <v>0</v>
      </c>
      <c r="R394" s="27">
        <f t="shared" si="139"/>
        <v>0</v>
      </c>
      <c r="S394" s="27">
        <f t="shared" si="139"/>
        <v>0</v>
      </c>
      <c r="X394" s="27">
        <f>SUM(H394:W394)</f>
        <v>0</v>
      </c>
      <c r="Y394" s="61"/>
    </row>
    <row r="395" spans="2:25" hidden="1" x14ac:dyDescent="0.2">
      <c r="B395" s="60"/>
      <c r="F395" s="27" t="s">
        <v>425</v>
      </c>
      <c r="G395" s="27">
        <f>G80-G394</f>
        <v>0</v>
      </c>
      <c r="H395" s="27">
        <f t="shared" ref="H395:S395" si="140">H80+G395-H394</f>
        <v>0</v>
      </c>
      <c r="I395" s="27">
        <f t="shared" si="140"/>
        <v>0</v>
      </c>
      <c r="J395" s="27">
        <f t="shared" si="140"/>
        <v>0</v>
      </c>
      <c r="K395" s="27">
        <f t="shared" si="140"/>
        <v>0</v>
      </c>
      <c r="L395" s="27">
        <f t="shared" si="140"/>
        <v>0</v>
      </c>
      <c r="M395" s="27">
        <f t="shared" si="140"/>
        <v>0</v>
      </c>
      <c r="N395" s="27">
        <f t="shared" si="140"/>
        <v>0</v>
      </c>
      <c r="O395" s="27">
        <f t="shared" si="140"/>
        <v>0</v>
      </c>
      <c r="P395" s="27">
        <f t="shared" si="140"/>
        <v>0</v>
      </c>
      <c r="Q395" s="27">
        <f t="shared" si="140"/>
        <v>0</v>
      </c>
      <c r="R395" s="27">
        <f t="shared" si="140"/>
        <v>0</v>
      </c>
      <c r="S395" s="27">
        <f t="shared" si="140"/>
        <v>0</v>
      </c>
      <c r="Y395" s="61"/>
    </row>
    <row r="396" spans="2:25" hidden="1" x14ac:dyDescent="0.2">
      <c r="B396" s="60"/>
      <c r="Y396" s="61"/>
    </row>
    <row r="397" spans="2:25" hidden="1" x14ac:dyDescent="0.2">
      <c r="B397" s="60"/>
      <c r="E397" s="27" t="s">
        <v>218</v>
      </c>
      <c r="F397" s="27" t="s">
        <v>1330</v>
      </c>
      <c r="G397" s="27">
        <f>IF(G394&gt;0,G394,0)</f>
        <v>0</v>
      </c>
      <c r="H397" s="27">
        <f>IF(H394&gt;0,H394,0)</f>
        <v>0</v>
      </c>
      <c r="I397" s="27">
        <f t="shared" ref="I397:S397" si="141">IF(I394&gt;0,I394,0)</f>
        <v>0</v>
      </c>
      <c r="J397" s="27">
        <f t="shared" si="141"/>
        <v>0</v>
      </c>
      <c r="K397" s="27">
        <f t="shared" si="141"/>
        <v>0</v>
      </c>
      <c r="L397" s="27">
        <f t="shared" si="141"/>
        <v>0</v>
      </c>
      <c r="M397" s="27">
        <f t="shared" si="141"/>
        <v>0</v>
      </c>
      <c r="N397" s="27">
        <f t="shared" si="141"/>
        <v>0</v>
      </c>
      <c r="O397" s="27">
        <f t="shared" si="141"/>
        <v>0</v>
      </c>
      <c r="P397" s="27">
        <f t="shared" si="141"/>
        <v>0</v>
      </c>
      <c r="Q397" s="27">
        <f t="shared" si="141"/>
        <v>0</v>
      </c>
      <c r="R397" s="27">
        <f t="shared" si="141"/>
        <v>0</v>
      </c>
      <c r="S397" s="27">
        <f t="shared" si="141"/>
        <v>0</v>
      </c>
      <c r="X397" s="27">
        <f t="shared" ref="X397:X402" si="142">SUM(H397:W397)</f>
        <v>0</v>
      </c>
      <c r="Y397" s="61" t="str">
        <f>IF(X397=$X$394,"OK","ERROR")</f>
        <v>OK</v>
      </c>
    </row>
    <row r="398" spans="2:25" hidden="1" x14ac:dyDescent="0.2">
      <c r="B398" s="60"/>
      <c r="F398" s="27" t="s">
        <v>1331</v>
      </c>
      <c r="G398" s="27">
        <f>IF(G394&lt;0,-G394,0)</f>
        <v>0</v>
      </c>
      <c r="H398" s="27">
        <f>IF(H394&lt;0,-H394,0)</f>
        <v>0</v>
      </c>
      <c r="I398" s="27">
        <f t="shared" ref="I398:S398" si="143">IF(I394&lt;0,-I394,0)</f>
        <v>0</v>
      </c>
      <c r="J398" s="27">
        <f>IF(J394&lt;0,-J394,0)</f>
        <v>0</v>
      </c>
      <c r="K398" s="27">
        <f t="shared" si="143"/>
        <v>0</v>
      </c>
      <c r="L398" s="27">
        <f t="shared" si="143"/>
        <v>0</v>
      </c>
      <c r="M398" s="27">
        <f t="shared" si="143"/>
        <v>0</v>
      </c>
      <c r="N398" s="27">
        <f t="shared" si="143"/>
        <v>0</v>
      </c>
      <c r="O398" s="27">
        <f t="shared" si="143"/>
        <v>0</v>
      </c>
      <c r="P398" s="27">
        <f t="shared" si="143"/>
        <v>0</v>
      </c>
      <c r="Q398" s="27">
        <f t="shared" si="143"/>
        <v>0</v>
      </c>
      <c r="R398" s="27">
        <f t="shared" si="143"/>
        <v>0</v>
      </c>
      <c r="S398" s="27">
        <f t="shared" si="143"/>
        <v>0</v>
      </c>
      <c r="X398" s="27">
        <f>SUM(G398:W398)</f>
        <v>0</v>
      </c>
      <c r="Y398" s="61"/>
    </row>
    <row r="399" spans="2:25" hidden="1" x14ac:dyDescent="0.2">
      <c r="B399" s="60"/>
      <c r="G399" s="27" t="str">
        <f>G372</f>
        <v>30 días</v>
      </c>
      <c r="H399" s="27">
        <f t="shared" ref="H399:T399" si="144">G398</f>
        <v>0</v>
      </c>
      <c r="I399" s="27">
        <f t="shared" si="144"/>
        <v>0</v>
      </c>
      <c r="J399" s="27">
        <f t="shared" si="144"/>
        <v>0</v>
      </c>
      <c r="K399" s="27">
        <f t="shared" si="144"/>
        <v>0</v>
      </c>
      <c r="L399" s="27">
        <f t="shared" si="144"/>
        <v>0</v>
      </c>
      <c r="M399" s="27">
        <f t="shared" si="144"/>
        <v>0</v>
      </c>
      <c r="N399" s="27">
        <f t="shared" si="144"/>
        <v>0</v>
      </c>
      <c r="O399" s="27">
        <f t="shared" si="144"/>
        <v>0</v>
      </c>
      <c r="P399" s="27">
        <f t="shared" si="144"/>
        <v>0</v>
      </c>
      <c r="Q399" s="27">
        <f t="shared" si="144"/>
        <v>0</v>
      </c>
      <c r="R399" s="27">
        <f t="shared" si="144"/>
        <v>0</v>
      </c>
      <c r="S399" s="27">
        <f t="shared" si="144"/>
        <v>0</v>
      </c>
      <c r="T399" s="27">
        <f t="shared" si="144"/>
        <v>0</v>
      </c>
      <c r="X399" s="27">
        <f t="shared" si="142"/>
        <v>0</v>
      </c>
      <c r="Y399" s="61" t="str">
        <f>IF(X399=$X$398,"OK","ERROR")</f>
        <v>OK</v>
      </c>
    </row>
    <row r="400" spans="2:25" hidden="1" x14ac:dyDescent="0.2">
      <c r="B400" s="60"/>
      <c r="G400" s="27" t="str">
        <f>G373</f>
        <v>60 días</v>
      </c>
      <c r="I400" s="27">
        <f t="shared" ref="I400:U400" si="145">G398</f>
        <v>0</v>
      </c>
      <c r="J400" s="27">
        <f t="shared" si="145"/>
        <v>0</v>
      </c>
      <c r="K400" s="27">
        <f t="shared" si="145"/>
        <v>0</v>
      </c>
      <c r="L400" s="27">
        <f t="shared" si="145"/>
        <v>0</v>
      </c>
      <c r="M400" s="27">
        <f t="shared" si="145"/>
        <v>0</v>
      </c>
      <c r="N400" s="27">
        <f t="shared" si="145"/>
        <v>0</v>
      </c>
      <c r="O400" s="27">
        <f t="shared" si="145"/>
        <v>0</v>
      </c>
      <c r="P400" s="27">
        <f t="shared" si="145"/>
        <v>0</v>
      </c>
      <c r="Q400" s="27">
        <f t="shared" si="145"/>
        <v>0</v>
      </c>
      <c r="R400" s="27">
        <f t="shared" si="145"/>
        <v>0</v>
      </c>
      <c r="S400" s="27">
        <f t="shared" si="145"/>
        <v>0</v>
      </c>
      <c r="T400" s="27">
        <f t="shared" si="145"/>
        <v>0</v>
      </c>
      <c r="U400" s="27">
        <f t="shared" si="145"/>
        <v>0</v>
      </c>
      <c r="X400" s="27">
        <f t="shared" si="142"/>
        <v>0</v>
      </c>
      <c r="Y400" s="61" t="str">
        <f>IF(X400=$X$398,"OK","ERROR")</f>
        <v>OK</v>
      </c>
    </row>
    <row r="401" spans="2:25" hidden="1" x14ac:dyDescent="0.2">
      <c r="B401" s="60"/>
      <c r="G401" s="27" t="str">
        <f>G374</f>
        <v>90 días</v>
      </c>
      <c r="J401" s="27">
        <f t="shared" ref="J401:V401" si="146">G398</f>
        <v>0</v>
      </c>
      <c r="K401" s="27">
        <f t="shared" si="146"/>
        <v>0</v>
      </c>
      <c r="L401" s="27">
        <f t="shared" si="146"/>
        <v>0</v>
      </c>
      <c r="M401" s="27">
        <f t="shared" si="146"/>
        <v>0</v>
      </c>
      <c r="N401" s="27">
        <f t="shared" si="146"/>
        <v>0</v>
      </c>
      <c r="O401" s="27">
        <f t="shared" si="146"/>
        <v>0</v>
      </c>
      <c r="P401" s="27">
        <f t="shared" si="146"/>
        <v>0</v>
      </c>
      <c r="Q401" s="27">
        <f t="shared" si="146"/>
        <v>0</v>
      </c>
      <c r="R401" s="27">
        <f t="shared" si="146"/>
        <v>0</v>
      </c>
      <c r="S401" s="27">
        <f t="shared" si="146"/>
        <v>0</v>
      </c>
      <c r="T401" s="27">
        <f t="shared" si="146"/>
        <v>0</v>
      </c>
      <c r="U401" s="27">
        <f t="shared" si="146"/>
        <v>0</v>
      </c>
      <c r="V401" s="27">
        <f t="shared" si="146"/>
        <v>0</v>
      </c>
      <c r="X401" s="27">
        <f t="shared" si="142"/>
        <v>0</v>
      </c>
      <c r="Y401" s="61" t="str">
        <f>IF(X401=$X$398,"OK","ERROR")</f>
        <v>OK</v>
      </c>
    </row>
    <row r="402" spans="2:25" hidden="1" x14ac:dyDescent="0.2">
      <c r="B402" s="60"/>
      <c r="G402" s="27" t="str">
        <f>G375</f>
        <v>120 días</v>
      </c>
      <c r="K402" s="27">
        <f t="shared" ref="K402:W402" si="147">G398</f>
        <v>0</v>
      </c>
      <c r="L402" s="27">
        <f t="shared" si="147"/>
        <v>0</v>
      </c>
      <c r="M402" s="27">
        <f t="shared" si="147"/>
        <v>0</v>
      </c>
      <c r="N402" s="27">
        <f t="shared" si="147"/>
        <v>0</v>
      </c>
      <c r="O402" s="27">
        <f t="shared" si="147"/>
        <v>0</v>
      </c>
      <c r="P402" s="27">
        <f t="shared" si="147"/>
        <v>0</v>
      </c>
      <c r="Q402" s="27">
        <f t="shared" si="147"/>
        <v>0</v>
      </c>
      <c r="R402" s="27">
        <f t="shared" si="147"/>
        <v>0</v>
      </c>
      <c r="S402" s="27">
        <f t="shared" si="147"/>
        <v>0</v>
      </c>
      <c r="T402" s="27">
        <f t="shared" si="147"/>
        <v>0</v>
      </c>
      <c r="U402" s="27">
        <f t="shared" si="147"/>
        <v>0</v>
      </c>
      <c r="V402" s="27">
        <f t="shared" si="147"/>
        <v>0</v>
      </c>
      <c r="W402" s="27">
        <f t="shared" si="147"/>
        <v>0</v>
      </c>
      <c r="X402" s="27">
        <f t="shared" si="142"/>
        <v>0</v>
      </c>
      <c r="Y402" s="61" t="str">
        <f>IF(X402=$X$398,"OK","ERROR")</f>
        <v>OK</v>
      </c>
    </row>
    <row r="403" spans="2:25" hidden="1" x14ac:dyDescent="0.2">
      <c r="B403" s="60"/>
      <c r="E403" s="27" t="s">
        <v>211</v>
      </c>
      <c r="Y403" s="61"/>
    </row>
    <row r="404" spans="2:25" hidden="1" x14ac:dyDescent="0.2">
      <c r="B404" s="60"/>
      <c r="E404" s="27" t="s">
        <v>222</v>
      </c>
      <c r="F404" s="27" t="s">
        <v>1332</v>
      </c>
      <c r="G404" s="27" t="str">
        <f>SB!$G$649</f>
        <v>30 días</v>
      </c>
      <c r="H404" s="27">
        <f>IF($G404=$G399,H399,IF($G404=$G400,H400,IF($G404=$G401,H401,IF($G404=$G402,H402))))</f>
        <v>0</v>
      </c>
      <c r="I404" s="27">
        <f t="shared" ref="I404:P404" si="148">IF($G404=$G399,I399,IF($G404=$G400,I400,IF($G404=$G401,I401,IF($G404=$G402,I402))))</f>
        <v>0</v>
      </c>
      <c r="J404" s="27">
        <f t="shared" si="148"/>
        <v>0</v>
      </c>
      <c r="K404" s="27">
        <f t="shared" si="148"/>
        <v>0</v>
      </c>
      <c r="L404" s="27">
        <f>IF($G404=$G399,L399,IF($G404=$G400,L400,IF($G404=$G401,L401,IF($G404=$G402,L402))))</f>
        <v>0</v>
      </c>
      <c r="M404" s="27">
        <f t="shared" si="148"/>
        <v>0</v>
      </c>
      <c r="N404" s="27">
        <f t="shared" si="148"/>
        <v>0</v>
      </c>
      <c r="O404" s="27">
        <f t="shared" si="148"/>
        <v>0</v>
      </c>
      <c r="P404" s="27">
        <f t="shared" si="148"/>
        <v>0</v>
      </c>
      <c r="Q404" s="27">
        <f>IF($G404=$G399,Q399,IF($G404=$G400,Q400,IF($G404=$G401,Q401,IF($G404=$G402,Q402))))</f>
        <v>0</v>
      </c>
      <c r="R404" s="27">
        <f t="shared" ref="R404:W404" si="149">IF($G404=$G399,R399,IF($G404=$G400,R400,IF($G404=$G401,R401,IF($G404=$G402,R402))))</f>
        <v>0</v>
      </c>
      <c r="S404" s="27">
        <f t="shared" si="149"/>
        <v>0</v>
      </c>
      <c r="T404" s="27">
        <f t="shared" si="149"/>
        <v>0</v>
      </c>
      <c r="U404" s="27">
        <f t="shared" si="149"/>
        <v>0</v>
      </c>
      <c r="V404" s="27">
        <f t="shared" si="149"/>
        <v>0</v>
      </c>
      <c r="W404" s="27">
        <f t="shared" si="149"/>
        <v>0</v>
      </c>
      <c r="X404" s="27">
        <f>SUM(H404:W404)</f>
        <v>0</v>
      </c>
      <c r="Y404" s="61" t="str">
        <f>IF(X404=$X$398,"OK","ERROR")</f>
        <v>OK</v>
      </c>
    </row>
    <row r="405" spans="2:25" hidden="1" x14ac:dyDescent="0.2">
      <c r="B405" s="60"/>
      <c r="E405" s="27" t="s">
        <v>216</v>
      </c>
      <c r="H405" s="27">
        <f>G397</f>
        <v>0</v>
      </c>
      <c r="I405" s="27">
        <f>H397</f>
        <v>0</v>
      </c>
      <c r="J405" s="27">
        <f t="shared" ref="J405:T405" si="150">I397</f>
        <v>0</v>
      </c>
      <c r="K405" s="27">
        <f>J397</f>
        <v>0</v>
      </c>
      <c r="L405" s="27">
        <f t="shared" si="150"/>
        <v>0</v>
      </c>
      <c r="M405" s="27">
        <f t="shared" si="150"/>
        <v>0</v>
      </c>
      <c r="N405" s="27">
        <f t="shared" si="150"/>
        <v>0</v>
      </c>
      <c r="O405" s="27">
        <f t="shared" si="150"/>
        <v>0</v>
      </c>
      <c r="P405" s="27">
        <f t="shared" si="150"/>
        <v>0</v>
      </c>
      <c r="Q405" s="27">
        <f t="shared" si="150"/>
        <v>0</v>
      </c>
      <c r="R405" s="27">
        <f t="shared" si="150"/>
        <v>0</v>
      </c>
      <c r="S405" s="27">
        <f t="shared" si="150"/>
        <v>0</v>
      </c>
      <c r="T405" s="27">
        <f t="shared" si="150"/>
        <v>0</v>
      </c>
      <c r="X405" s="27">
        <f>SUM(H405:W405)</f>
        <v>0</v>
      </c>
      <c r="Y405" s="61" t="str">
        <f>IF(X405=$X$397,"OK","ERROR")</f>
        <v>OK</v>
      </c>
    </row>
    <row r="406" spans="2:25" ht="6" hidden="1" customHeight="1" x14ac:dyDescent="0.2">
      <c r="B406" s="60"/>
      <c r="Y406" s="61"/>
    </row>
    <row r="407" spans="2:25" hidden="1" x14ac:dyDescent="0.2">
      <c r="B407" s="60"/>
      <c r="E407" s="27" t="s">
        <v>1334</v>
      </c>
      <c r="Y407" s="61"/>
    </row>
    <row r="408" spans="2:25" hidden="1" x14ac:dyDescent="0.2">
      <c r="B408" s="60"/>
      <c r="E408" s="27" t="s">
        <v>217</v>
      </c>
      <c r="G408" s="27">
        <f>+G80</f>
        <v>0</v>
      </c>
      <c r="H408" s="27">
        <f>(G408+H80)-G409</f>
        <v>0</v>
      </c>
      <c r="I408" s="27">
        <f t="shared" ref="I408:T408" si="151">(H408+I80)-I409</f>
        <v>0</v>
      </c>
      <c r="J408" s="27">
        <f t="shared" si="151"/>
        <v>0</v>
      </c>
      <c r="K408" s="27">
        <f t="shared" si="151"/>
        <v>0</v>
      </c>
      <c r="L408" s="27">
        <f t="shared" si="151"/>
        <v>0</v>
      </c>
      <c r="M408" s="27">
        <f t="shared" si="151"/>
        <v>0</v>
      </c>
      <c r="N408" s="27">
        <f t="shared" si="151"/>
        <v>0</v>
      </c>
      <c r="O408" s="27">
        <f t="shared" si="151"/>
        <v>0</v>
      </c>
      <c r="P408" s="27">
        <f t="shared" si="151"/>
        <v>0</v>
      </c>
      <c r="Q408" s="27">
        <f t="shared" si="151"/>
        <v>0</v>
      </c>
      <c r="R408" s="27">
        <f t="shared" si="151"/>
        <v>0</v>
      </c>
      <c r="S408" s="27">
        <f t="shared" si="151"/>
        <v>0</v>
      </c>
      <c r="T408" s="27">
        <f t="shared" si="151"/>
        <v>0</v>
      </c>
      <c r="Y408" s="61"/>
    </row>
    <row r="409" spans="2:25" hidden="1" x14ac:dyDescent="0.2">
      <c r="B409" s="60"/>
      <c r="E409" s="27" t="s">
        <v>216</v>
      </c>
      <c r="H409" s="27">
        <f>IF(G408&lt;0,0,IF(G393=FALSE,0,G408))</f>
        <v>0</v>
      </c>
      <c r="I409" s="27">
        <f>IF(G408&lt;0,0,IF(H393=FALSE,0,G408))</f>
        <v>0</v>
      </c>
      <c r="J409" s="27">
        <f t="shared" ref="J409:T409" si="152">IF(I408&lt;0,0,IF(I393=FALSE,0,I408))</f>
        <v>0</v>
      </c>
      <c r="K409" s="27">
        <f t="shared" si="152"/>
        <v>0</v>
      </c>
      <c r="L409" s="27">
        <f t="shared" si="152"/>
        <v>0</v>
      </c>
      <c r="M409" s="27">
        <f t="shared" si="152"/>
        <v>0</v>
      </c>
      <c r="N409" s="27">
        <f t="shared" si="152"/>
        <v>0</v>
      </c>
      <c r="O409" s="27">
        <f t="shared" si="152"/>
        <v>0</v>
      </c>
      <c r="P409" s="27">
        <f t="shared" si="152"/>
        <v>0</v>
      </c>
      <c r="Q409" s="27">
        <f t="shared" si="152"/>
        <v>0</v>
      </c>
      <c r="R409" s="27">
        <f t="shared" si="152"/>
        <v>0</v>
      </c>
      <c r="S409" s="27">
        <f t="shared" si="152"/>
        <v>0</v>
      </c>
      <c r="T409" s="27">
        <f t="shared" si="152"/>
        <v>0</v>
      </c>
      <c r="Y409" s="61"/>
    </row>
    <row r="410" spans="2:25" hidden="1" x14ac:dyDescent="0.2">
      <c r="B410" s="60"/>
      <c r="Y410" s="61"/>
    </row>
    <row r="411" spans="2:25" hidden="1" x14ac:dyDescent="0.2">
      <c r="B411" s="60"/>
      <c r="G411" s="27" t="s">
        <v>222</v>
      </c>
      <c r="H411" s="27">
        <f>IF($F$412="si",H404,0)</f>
        <v>0</v>
      </c>
      <c r="I411" s="27">
        <f t="shared" ref="I411:S411" si="153">IF($F$412="si",I404,0)</f>
        <v>0</v>
      </c>
      <c r="J411" s="27">
        <f t="shared" si="153"/>
        <v>0</v>
      </c>
      <c r="K411" s="27">
        <f t="shared" si="153"/>
        <v>0</v>
      </c>
      <c r="L411" s="27">
        <f>IF($F$412="si",L404,0)</f>
        <v>0</v>
      </c>
      <c r="M411" s="27">
        <f t="shared" si="153"/>
        <v>0</v>
      </c>
      <c r="N411" s="27">
        <f t="shared" si="153"/>
        <v>0</v>
      </c>
      <c r="O411" s="27">
        <f t="shared" si="153"/>
        <v>0</v>
      </c>
      <c r="P411" s="27">
        <f t="shared" si="153"/>
        <v>0</v>
      </c>
      <c r="Q411" s="27">
        <f t="shared" si="153"/>
        <v>0</v>
      </c>
      <c r="R411" s="27">
        <f t="shared" si="153"/>
        <v>0</v>
      </c>
      <c r="S411" s="27">
        <f t="shared" si="153"/>
        <v>0</v>
      </c>
      <c r="T411" s="27">
        <f>IF($F$412="si",T404,0)</f>
        <v>0</v>
      </c>
      <c r="U411" s="27">
        <f>IF($F$412="si",U404,0)</f>
        <v>0</v>
      </c>
      <c r="V411" s="27">
        <f>IF($F$412="si",V404,0)</f>
        <v>0</v>
      </c>
      <c r="W411" s="27">
        <f>IF($F$412="si",W404,0)</f>
        <v>0</v>
      </c>
      <c r="Y411" s="61"/>
    </row>
    <row r="412" spans="2:25" hidden="1" x14ac:dyDescent="0.2">
      <c r="B412" s="60"/>
      <c r="E412" s="27" t="s">
        <v>219</v>
      </c>
      <c r="F412" s="27" t="str">
        <f>D!$J$25</f>
        <v>SI</v>
      </c>
      <c r="G412" s="27" t="s">
        <v>225</v>
      </c>
      <c r="H412" s="27">
        <f>IF($F$412="si",H405,H409)</f>
        <v>0</v>
      </c>
      <c r="I412" s="27">
        <f t="shared" ref="I412:S412" si="154">IF($F$412="si",I405,I409)</f>
        <v>0</v>
      </c>
      <c r="J412" s="27">
        <f t="shared" si="154"/>
        <v>0</v>
      </c>
      <c r="K412" s="27">
        <f t="shared" si="154"/>
        <v>0</v>
      </c>
      <c r="L412" s="27">
        <f t="shared" si="154"/>
        <v>0</v>
      </c>
      <c r="M412" s="27">
        <f t="shared" si="154"/>
        <v>0</v>
      </c>
      <c r="N412" s="27">
        <f t="shared" si="154"/>
        <v>0</v>
      </c>
      <c r="O412" s="27">
        <f t="shared" si="154"/>
        <v>0</v>
      </c>
      <c r="P412" s="27">
        <f t="shared" si="154"/>
        <v>0</v>
      </c>
      <c r="Q412" s="27">
        <f t="shared" si="154"/>
        <v>0</v>
      </c>
      <c r="R412" s="27">
        <f t="shared" si="154"/>
        <v>0</v>
      </c>
      <c r="S412" s="27">
        <f t="shared" si="154"/>
        <v>0</v>
      </c>
      <c r="Y412" s="61"/>
    </row>
    <row r="413" spans="2:25" hidden="1" x14ac:dyDescent="0.2">
      <c r="B413" s="60"/>
      <c r="G413" s="27">
        <f>G408</f>
        <v>0</v>
      </c>
      <c r="H413" s="27">
        <f t="shared" ref="H413:S413" si="155">G413+H80+H411-H412</f>
        <v>0</v>
      </c>
      <c r="I413" s="27">
        <f t="shared" si="155"/>
        <v>0</v>
      </c>
      <c r="J413" s="27">
        <f t="shared" si="155"/>
        <v>0</v>
      </c>
      <c r="K413" s="27">
        <f t="shared" si="155"/>
        <v>0</v>
      </c>
      <c r="L413" s="27">
        <f t="shared" si="155"/>
        <v>0</v>
      </c>
      <c r="M413" s="27">
        <f t="shared" si="155"/>
        <v>0</v>
      </c>
      <c r="N413" s="27">
        <f t="shared" si="155"/>
        <v>0</v>
      </c>
      <c r="O413" s="27">
        <f t="shared" si="155"/>
        <v>0</v>
      </c>
      <c r="P413" s="27">
        <f t="shared" si="155"/>
        <v>0</v>
      </c>
      <c r="Q413" s="27">
        <f t="shared" si="155"/>
        <v>0</v>
      </c>
      <c r="R413" s="27">
        <f t="shared" si="155"/>
        <v>0</v>
      </c>
      <c r="S413" s="27">
        <f t="shared" si="155"/>
        <v>0</v>
      </c>
      <c r="Y413" s="61"/>
    </row>
    <row r="414" spans="2:25" hidden="1" x14ac:dyDescent="0.2">
      <c r="B414" s="60"/>
      <c r="G414" s="27" t="s">
        <v>220</v>
      </c>
      <c r="H414" s="27">
        <f>IF(H413&lt;0,-H413,0)</f>
        <v>0</v>
      </c>
      <c r="I414" s="27">
        <f t="shared" ref="I414:S414" si="156">IF(I413&lt;0,-I413,0)</f>
        <v>0</v>
      </c>
      <c r="J414" s="27">
        <f t="shared" si="156"/>
        <v>0</v>
      </c>
      <c r="K414" s="27">
        <f t="shared" si="156"/>
        <v>0</v>
      </c>
      <c r="L414" s="27">
        <f t="shared" si="156"/>
        <v>0</v>
      </c>
      <c r="M414" s="27">
        <f t="shared" si="156"/>
        <v>0</v>
      </c>
      <c r="N414" s="27">
        <f t="shared" si="156"/>
        <v>0</v>
      </c>
      <c r="O414" s="27">
        <f t="shared" si="156"/>
        <v>0</v>
      </c>
      <c r="P414" s="27">
        <f t="shared" si="156"/>
        <v>0</v>
      </c>
      <c r="Q414" s="27">
        <f t="shared" si="156"/>
        <v>0</v>
      </c>
      <c r="R414" s="27">
        <f t="shared" si="156"/>
        <v>0</v>
      </c>
      <c r="S414" s="27">
        <f t="shared" si="156"/>
        <v>0</v>
      </c>
      <c r="Y414" s="61"/>
    </row>
    <row r="415" spans="2:25" hidden="1" x14ac:dyDescent="0.2">
      <c r="B415" s="60"/>
      <c r="G415" s="27" t="s">
        <v>221</v>
      </c>
      <c r="H415" s="27">
        <f>IF(H413&gt;0,H413,0)</f>
        <v>0</v>
      </c>
      <c r="I415" s="27">
        <f t="shared" ref="I415:S415" si="157">IF(I413&gt;0,I413,0)</f>
        <v>0</v>
      </c>
      <c r="J415" s="27">
        <f t="shared" si="157"/>
        <v>0</v>
      </c>
      <c r="K415" s="27">
        <f t="shared" si="157"/>
        <v>0</v>
      </c>
      <c r="L415" s="27">
        <f t="shared" si="157"/>
        <v>0</v>
      </c>
      <c r="M415" s="27">
        <f t="shared" si="157"/>
        <v>0</v>
      </c>
      <c r="N415" s="27">
        <f t="shared" si="157"/>
        <v>0</v>
      </c>
      <c r="O415" s="27">
        <f t="shared" si="157"/>
        <v>0</v>
      </c>
      <c r="P415" s="27">
        <f t="shared" si="157"/>
        <v>0</v>
      </c>
      <c r="Q415" s="27">
        <f t="shared" si="157"/>
        <v>0</v>
      </c>
      <c r="R415" s="27">
        <f t="shared" si="157"/>
        <v>0</v>
      </c>
      <c r="S415" s="27">
        <f t="shared" si="157"/>
        <v>0</v>
      </c>
      <c r="Y415" s="61"/>
    </row>
    <row r="416" spans="2:25" hidden="1" x14ac:dyDescent="0.2">
      <c r="B416" s="60"/>
      <c r="Y416" s="61"/>
    </row>
    <row r="417" spans="2:25" hidden="1" x14ac:dyDescent="0.2">
      <c r="B417" s="60"/>
      <c r="H417" s="27" t="str">
        <f t="shared" ref="H417:S417" si="158">G280</f>
        <v>Enero</v>
      </c>
      <c r="I417" s="27" t="str">
        <f t="shared" si="158"/>
        <v>Febrero</v>
      </c>
      <c r="J417" s="27" t="str">
        <f t="shared" si="158"/>
        <v>Marzo</v>
      </c>
      <c r="K417" s="27" t="str">
        <f t="shared" si="158"/>
        <v>Abril</v>
      </c>
      <c r="L417" s="27" t="str">
        <f t="shared" si="158"/>
        <v xml:space="preserve">Mayo </v>
      </c>
      <c r="M417" s="27" t="str">
        <f t="shared" si="158"/>
        <v>Junio</v>
      </c>
      <c r="N417" s="27" t="str">
        <f t="shared" si="158"/>
        <v>Julio</v>
      </c>
      <c r="O417" s="27" t="str">
        <f t="shared" si="158"/>
        <v>Agosto</v>
      </c>
      <c r="P417" s="27" t="str">
        <f t="shared" si="158"/>
        <v>Septiembre</v>
      </c>
      <c r="Q417" s="27" t="str">
        <f t="shared" si="158"/>
        <v>Octubre</v>
      </c>
      <c r="R417" s="27" t="str">
        <f t="shared" si="158"/>
        <v>Noviembre</v>
      </c>
      <c r="S417" s="27" t="str">
        <f t="shared" si="158"/>
        <v>Diciembre</v>
      </c>
      <c r="Y417" s="61"/>
    </row>
    <row r="418" spans="2:25" hidden="1" x14ac:dyDescent="0.2">
      <c r="B418" s="60"/>
      <c r="F418" s="27" t="s">
        <v>195</v>
      </c>
      <c r="H418" s="27">
        <f>INFORME!G93+INFORME!G98</f>
        <v>0</v>
      </c>
      <c r="I418" s="27">
        <f>INFORME!H93+INFORME!H98</f>
        <v>0</v>
      </c>
      <c r="J418" s="27">
        <f>INFORME!I93+INFORME!I98</f>
        <v>0</v>
      </c>
      <c r="K418" s="27">
        <f>INFORME!J93+INFORME!J98</f>
        <v>0</v>
      </c>
      <c r="L418" s="27">
        <f>INFORME!K93+INFORME!K98</f>
        <v>0</v>
      </c>
      <c r="M418" s="27">
        <f>INFORME!L93+INFORME!L98</f>
        <v>0</v>
      </c>
      <c r="N418" s="27">
        <f>INFORME!M93+INFORME!M98</f>
        <v>0</v>
      </c>
      <c r="O418" s="27">
        <f>INFORME!N93+INFORME!N98</f>
        <v>0</v>
      </c>
      <c r="P418" s="27">
        <f>INFORME!O93+INFORME!O98</f>
        <v>0</v>
      </c>
      <c r="Q418" s="27">
        <f>INFORME!P93+INFORME!P98</f>
        <v>0</v>
      </c>
      <c r="R418" s="27">
        <f>INFORME!Q93+INFORME!Q98</f>
        <v>0</v>
      </c>
      <c r="S418" s="27">
        <f>INFORME!R93+INFORME!R98</f>
        <v>0</v>
      </c>
      <c r="T418" s="27">
        <f>SUM(H418:S418)</f>
        <v>0</v>
      </c>
      <c r="Y418" s="61"/>
    </row>
    <row r="419" spans="2:25" hidden="1" x14ac:dyDescent="0.2">
      <c r="B419" s="60"/>
      <c r="H419" s="27">
        <f>'5'!G74</f>
        <v>0</v>
      </c>
      <c r="I419" s="27">
        <f>'5'!H74</f>
        <v>0</v>
      </c>
      <c r="J419" s="27">
        <f>'5'!I74</f>
        <v>0</v>
      </c>
      <c r="K419" s="27">
        <f>'5'!J74</f>
        <v>0</v>
      </c>
      <c r="L419" s="27">
        <f>'5'!K74</f>
        <v>0</v>
      </c>
      <c r="M419" s="27">
        <f>'5'!L74</f>
        <v>0</v>
      </c>
      <c r="N419" s="27">
        <f>'5'!M74</f>
        <v>0</v>
      </c>
      <c r="O419" s="27">
        <f>'5'!N74</f>
        <v>0</v>
      </c>
      <c r="P419" s="27">
        <f>'5'!O74</f>
        <v>0</v>
      </c>
      <c r="Q419" s="27">
        <f>'5'!P74</f>
        <v>0</v>
      </c>
      <c r="R419" s="27">
        <f>'5'!Q74</f>
        <v>0</v>
      </c>
      <c r="S419" s="27">
        <f>'5'!R74</f>
        <v>0</v>
      </c>
      <c r="T419" s="27">
        <f>SUM(H419:S419)</f>
        <v>0</v>
      </c>
      <c r="Y419" s="61"/>
    </row>
    <row r="420" spans="2:25" hidden="1" x14ac:dyDescent="0.2">
      <c r="B420" s="60"/>
      <c r="H420" s="27">
        <f>H419-H418</f>
        <v>0</v>
      </c>
      <c r="I420" s="27">
        <f t="shared" ref="I420:S420" si="159">I419-I418</f>
        <v>0</v>
      </c>
      <c r="J420" s="27">
        <f t="shared" si="159"/>
        <v>0</v>
      </c>
      <c r="K420" s="27">
        <f t="shared" si="159"/>
        <v>0</v>
      </c>
      <c r="L420" s="27">
        <f t="shared" si="159"/>
        <v>0</v>
      </c>
      <c r="M420" s="27">
        <f t="shared" si="159"/>
        <v>0</v>
      </c>
      <c r="N420" s="27">
        <f t="shared" si="159"/>
        <v>0</v>
      </c>
      <c r="O420" s="27">
        <f t="shared" si="159"/>
        <v>0</v>
      </c>
      <c r="P420" s="27">
        <f t="shared" si="159"/>
        <v>0</v>
      </c>
      <c r="Q420" s="27">
        <f t="shared" si="159"/>
        <v>0</v>
      </c>
      <c r="R420" s="27">
        <f t="shared" si="159"/>
        <v>0</v>
      </c>
      <c r="S420" s="27">
        <f t="shared" si="159"/>
        <v>0</v>
      </c>
      <c r="T420" s="27">
        <f>SUM(H420:S420)</f>
        <v>0</v>
      </c>
      <c r="Y420" s="61"/>
    </row>
    <row r="421" spans="2:25" hidden="1" x14ac:dyDescent="0.2">
      <c r="B421" s="65"/>
      <c r="C421" s="66"/>
      <c r="D421" s="66"/>
      <c r="E421" s="66"/>
      <c r="F421" s="66"/>
      <c r="G421" s="66"/>
      <c r="H421" s="66"/>
      <c r="I421" s="66"/>
      <c r="J421" s="66"/>
      <c r="K421" s="66"/>
      <c r="L421" s="66"/>
      <c r="M421" s="66"/>
      <c r="N421" s="66"/>
      <c r="O421" s="66"/>
      <c r="P421" s="66"/>
      <c r="Q421" s="66"/>
      <c r="R421" s="66"/>
      <c r="S421" s="66"/>
      <c r="T421" s="66"/>
      <c r="U421" s="66"/>
      <c r="V421" s="66"/>
      <c r="W421" s="66"/>
      <c r="X421" s="66"/>
      <c r="Y421" s="67"/>
    </row>
    <row r="422" spans="2:25" hidden="1" x14ac:dyDescent="0.2"/>
    <row r="423" spans="2:25" hidden="1" x14ac:dyDescent="0.2">
      <c r="B423" s="62"/>
      <c r="C423" s="63"/>
      <c r="D423" s="63" t="s">
        <v>724</v>
      </c>
      <c r="E423" s="63"/>
      <c r="F423" s="63"/>
      <c r="G423" s="63"/>
      <c r="H423" s="63"/>
      <c r="I423" s="63"/>
      <c r="J423" s="63"/>
      <c r="K423" s="63"/>
      <c r="L423" s="63"/>
      <c r="M423" s="63"/>
      <c r="N423" s="63"/>
      <c r="O423" s="63"/>
      <c r="P423" s="63"/>
      <c r="Q423" s="64"/>
    </row>
    <row r="424" spans="2:25" hidden="1" x14ac:dyDescent="0.2">
      <c r="B424" s="60"/>
      <c r="Q424" s="61"/>
    </row>
    <row r="425" spans="2:25" hidden="1" x14ac:dyDescent="0.2">
      <c r="B425" s="60"/>
      <c r="Q425" s="61"/>
    </row>
    <row r="426" spans="2:25" hidden="1" x14ac:dyDescent="0.2">
      <c r="B426" s="60"/>
      <c r="C426" s="27" t="s">
        <v>725</v>
      </c>
      <c r="D426" s="27">
        <f t="shared" ref="D426:O426" si="160">IF(D508&gt;0,D508,0)</f>
        <v>0</v>
      </c>
      <c r="E426" s="27">
        <f t="shared" si="160"/>
        <v>0</v>
      </c>
      <c r="F426" s="27">
        <f t="shared" si="160"/>
        <v>0</v>
      </c>
      <c r="G426" s="27">
        <f t="shared" si="160"/>
        <v>0</v>
      </c>
      <c r="H426" s="27">
        <f t="shared" si="160"/>
        <v>0</v>
      </c>
      <c r="I426" s="27">
        <f t="shared" si="160"/>
        <v>0</v>
      </c>
      <c r="J426" s="27">
        <f t="shared" si="160"/>
        <v>0</v>
      </c>
      <c r="K426" s="27">
        <f t="shared" si="160"/>
        <v>0</v>
      </c>
      <c r="L426" s="27">
        <f t="shared" si="160"/>
        <v>0</v>
      </c>
      <c r="M426" s="27">
        <f t="shared" si="160"/>
        <v>0</v>
      </c>
      <c r="N426" s="27">
        <f t="shared" si="160"/>
        <v>0</v>
      </c>
      <c r="O426" s="27">
        <f t="shared" si="160"/>
        <v>0</v>
      </c>
      <c r="Q426" s="61"/>
    </row>
    <row r="427" spans="2:25" hidden="1" x14ac:dyDescent="0.2">
      <c r="B427" s="60"/>
      <c r="C427" s="27" t="s">
        <v>726</v>
      </c>
      <c r="D427" s="27">
        <f t="shared" ref="D427:O427" si="161">IF(D508&lt;0,-D508,0)</f>
        <v>0</v>
      </c>
      <c r="E427" s="27">
        <f t="shared" si="161"/>
        <v>0</v>
      </c>
      <c r="F427" s="27">
        <f t="shared" si="161"/>
        <v>0</v>
      </c>
      <c r="G427" s="27">
        <f t="shared" si="161"/>
        <v>0</v>
      </c>
      <c r="H427" s="27">
        <f t="shared" si="161"/>
        <v>0</v>
      </c>
      <c r="I427" s="27">
        <f t="shared" si="161"/>
        <v>0</v>
      </c>
      <c r="J427" s="27">
        <f t="shared" si="161"/>
        <v>0</v>
      </c>
      <c r="K427" s="27">
        <f t="shared" si="161"/>
        <v>0</v>
      </c>
      <c r="L427" s="27">
        <f t="shared" si="161"/>
        <v>0</v>
      </c>
      <c r="M427" s="27">
        <f t="shared" si="161"/>
        <v>0</v>
      </c>
      <c r="N427" s="27">
        <f t="shared" si="161"/>
        <v>0</v>
      </c>
      <c r="O427" s="27">
        <f t="shared" si="161"/>
        <v>0</v>
      </c>
      <c r="Q427" s="61"/>
    </row>
    <row r="428" spans="2:25" hidden="1" x14ac:dyDescent="0.2">
      <c r="B428" s="60"/>
      <c r="C428" s="27" t="s">
        <v>554</v>
      </c>
      <c r="Q428" s="61"/>
    </row>
    <row r="429" spans="2:25" hidden="1" x14ac:dyDescent="0.2">
      <c r="B429" s="60"/>
      <c r="Q429" s="61"/>
    </row>
    <row r="430" spans="2:25" hidden="1" x14ac:dyDescent="0.2">
      <c r="B430" s="60"/>
      <c r="Q430" s="61"/>
    </row>
    <row r="431" spans="2:25" hidden="1" x14ac:dyDescent="0.2">
      <c r="B431" s="60"/>
      <c r="F431" s="27" t="s">
        <v>556</v>
      </c>
      <c r="K431" s="27">
        <f>D!$N$6</f>
        <v>2013</v>
      </c>
      <c r="Q431" s="61"/>
    </row>
    <row r="432" spans="2:25" hidden="1" x14ac:dyDescent="0.2">
      <c r="B432" s="60"/>
      <c r="Q432" s="61"/>
    </row>
    <row r="433" spans="2:17" hidden="1" x14ac:dyDescent="0.2">
      <c r="B433" s="60"/>
      <c r="C433" s="27" t="s">
        <v>59</v>
      </c>
      <c r="D433" s="27" t="str">
        <f>SANDBOX!F46</f>
        <v>Enero</v>
      </c>
      <c r="E433" s="27" t="str">
        <f>SANDBOX!G46</f>
        <v>Febrero</v>
      </c>
      <c r="F433" s="27" t="str">
        <f>SANDBOX!H46</f>
        <v>Marzo</v>
      </c>
      <c r="G433" s="27" t="str">
        <f>SANDBOX!I46</f>
        <v>Abril</v>
      </c>
      <c r="H433" s="27" t="str">
        <f>SANDBOX!J46</f>
        <v xml:space="preserve">Mayo </v>
      </c>
      <c r="I433" s="27" t="str">
        <f>SANDBOX!K46</f>
        <v>Junio</v>
      </c>
      <c r="J433" s="27" t="str">
        <f>SANDBOX!L46</f>
        <v>Julio</v>
      </c>
      <c r="K433" s="27" t="str">
        <f>SANDBOX!M46</f>
        <v>Agosto</v>
      </c>
      <c r="L433" s="27" t="str">
        <f>SANDBOX!N46</f>
        <v>Septiembre</v>
      </c>
      <c r="M433" s="27" t="str">
        <f>SANDBOX!O46</f>
        <v>Octubre</v>
      </c>
      <c r="N433" s="27" t="str">
        <f>SANDBOX!P46</f>
        <v>Noviembre</v>
      </c>
      <c r="O433" s="27" t="str">
        <f>SANDBOX!Q46</f>
        <v>Diciembre</v>
      </c>
      <c r="P433" s="27" t="s">
        <v>820</v>
      </c>
      <c r="Q433" s="61"/>
    </row>
    <row r="434" spans="2:17" hidden="1" x14ac:dyDescent="0.2">
      <c r="B434" s="60"/>
      <c r="C434" s="27" t="s">
        <v>900</v>
      </c>
      <c r="D434" s="27">
        <f t="shared" ref="D434:O434" si="162">+D440+D435+D448</f>
        <v>0</v>
      </c>
      <c r="E434" s="27">
        <f t="shared" si="162"/>
        <v>0</v>
      </c>
      <c r="F434" s="27">
        <f t="shared" si="162"/>
        <v>0</v>
      </c>
      <c r="G434" s="27">
        <f t="shared" si="162"/>
        <v>0</v>
      </c>
      <c r="H434" s="27">
        <f t="shared" si="162"/>
        <v>0</v>
      </c>
      <c r="I434" s="27">
        <f t="shared" si="162"/>
        <v>0</v>
      </c>
      <c r="J434" s="27">
        <f t="shared" si="162"/>
        <v>0</v>
      </c>
      <c r="K434" s="27">
        <f t="shared" si="162"/>
        <v>0</v>
      </c>
      <c r="L434" s="27">
        <f t="shared" si="162"/>
        <v>0</v>
      </c>
      <c r="M434" s="27">
        <f t="shared" si="162"/>
        <v>0</v>
      </c>
      <c r="N434" s="27">
        <f t="shared" si="162"/>
        <v>0</v>
      </c>
      <c r="O434" s="27">
        <f t="shared" si="162"/>
        <v>0</v>
      </c>
      <c r="P434" s="27">
        <f>IF(O$463=0,0,O434/O$463)</f>
        <v>0</v>
      </c>
      <c r="Q434" s="61"/>
    </row>
    <row r="435" spans="2:17" hidden="1" x14ac:dyDescent="0.2">
      <c r="B435" s="60"/>
      <c r="C435" s="27" t="s">
        <v>557</v>
      </c>
      <c r="D435" s="27">
        <f t="shared" ref="D435:O435" si="163">+D438+D436+D437+D439</f>
        <v>0</v>
      </c>
      <c r="E435" s="27">
        <f t="shared" si="163"/>
        <v>0</v>
      </c>
      <c r="F435" s="27">
        <f t="shared" si="163"/>
        <v>0</v>
      </c>
      <c r="G435" s="27">
        <f t="shared" si="163"/>
        <v>0</v>
      </c>
      <c r="H435" s="27">
        <f t="shared" si="163"/>
        <v>0</v>
      </c>
      <c r="I435" s="27">
        <f t="shared" si="163"/>
        <v>0</v>
      </c>
      <c r="J435" s="27">
        <f t="shared" si="163"/>
        <v>0</v>
      </c>
      <c r="K435" s="27">
        <f t="shared" si="163"/>
        <v>0</v>
      </c>
      <c r="L435" s="27">
        <f t="shared" si="163"/>
        <v>0</v>
      </c>
      <c r="M435" s="27">
        <f t="shared" si="163"/>
        <v>0</v>
      </c>
      <c r="N435" s="27">
        <f t="shared" si="163"/>
        <v>0</v>
      </c>
      <c r="O435" s="27">
        <f t="shared" si="163"/>
        <v>0</v>
      </c>
      <c r="P435" s="27">
        <f>IF(O$434=0,0,O435/O$434)</f>
        <v>0</v>
      </c>
      <c r="Q435" s="61"/>
    </row>
    <row r="436" spans="2:17" hidden="1" x14ac:dyDescent="0.2">
      <c r="B436" s="60"/>
      <c r="C436" s="27" t="s">
        <v>68</v>
      </c>
      <c r="D436" s="27">
        <f>Pagoinversiones!E96</f>
        <v>0</v>
      </c>
      <c r="E436" s="27">
        <f>+D436+Pagoinversiones!F96</f>
        <v>0</v>
      </c>
      <c r="F436" s="27">
        <f>+E436+Pagoinversiones!G96</f>
        <v>0</v>
      </c>
      <c r="G436" s="27">
        <f>+F436+Pagoinversiones!H96</f>
        <v>0</v>
      </c>
      <c r="H436" s="27">
        <f>+G436+Pagoinversiones!I96</f>
        <v>0</v>
      </c>
      <c r="I436" s="27">
        <f>+H436+Pagoinversiones!J96</f>
        <v>0</v>
      </c>
      <c r="J436" s="27">
        <f>+I436+Pagoinversiones!K96</f>
        <v>0</v>
      </c>
      <c r="K436" s="27">
        <f>+J436+Pagoinversiones!L96</f>
        <v>0</v>
      </c>
      <c r="L436" s="27">
        <f>+K436+Pagoinversiones!M96</f>
        <v>0</v>
      </c>
      <c r="M436" s="27">
        <f>+L436+Pagoinversiones!N96</f>
        <v>0</v>
      </c>
      <c r="N436" s="27">
        <f>+M436+Pagoinversiones!O96</f>
        <v>0</v>
      </c>
      <c r="O436" s="27">
        <f>+N436+Pagoinversiones!P96</f>
        <v>0</v>
      </c>
      <c r="P436" s="27">
        <f>IF(O$435=0,0,O436/O$435)</f>
        <v>0</v>
      </c>
      <c r="Q436" s="61"/>
    </row>
    <row r="437" spans="2:17" hidden="1" x14ac:dyDescent="0.2">
      <c r="B437" s="60"/>
      <c r="C437" s="27" t="s">
        <v>901</v>
      </c>
      <c r="D437" s="27">
        <f>SANDBOX!$G$137</f>
        <v>0</v>
      </c>
      <c r="E437" s="27">
        <f t="shared" ref="E437:O437" si="164">+D437</f>
        <v>0</v>
      </c>
      <c r="F437" s="27">
        <f t="shared" si="164"/>
        <v>0</v>
      </c>
      <c r="G437" s="27">
        <f t="shared" si="164"/>
        <v>0</v>
      </c>
      <c r="H437" s="27">
        <f t="shared" si="164"/>
        <v>0</v>
      </c>
      <c r="I437" s="27">
        <f t="shared" si="164"/>
        <v>0</v>
      </c>
      <c r="J437" s="27">
        <f t="shared" si="164"/>
        <v>0</v>
      </c>
      <c r="K437" s="27">
        <f t="shared" si="164"/>
        <v>0</v>
      </c>
      <c r="L437" s="27">
        <f t="shared" si="164"/>
        <v>0</v>
      </c>
      <c r="M437" s="27">
        <f t="shared" si="164"/>
        <v>0</v>
      </c>
      <c r="N437" s="27">
        <f t="shared" si="164"/>
        <v>0</v>
      </c>
      <c r="O437" s="27">
        <f t="shared" si="164"/>
        <v>0</v>
      </c>
      <c r="P437" s="27">
        <f>IF(O$435=0,0,O437/O$435)</f>
        <v>0</v>
      </c>
      <c r="Q437" s="61"/>
    </row>
    <row r="438" spans="2:17" hidden="1" x14ac:dyDescent="0.2">
      <c r="B438" s="60"/>
      <c r="C438" s="27" t="s">
        <v>1394</v>
      </c>
      <c r="D438" s="27">
        <f>Pagoinversiones!E10</f>
        <v>0</v>
      </c>
      <c r="E438" s="27">
        <f>Pagoinversiones!F10</f>
        <v>0</v>
      </c>
      <c r="F438" s="27">
        <f>Pagoinversiones!G10</f>
        <v>0</v>
      </c>
      <c r="G438" s="27">
        <f>Pagoinversiones!H10</f>
        <v>0</v>
      </c>
      <c r="H438" s="27">
        <f>Pagoinversiones!I10</f>
        <v>0</v>
      </c>
      <c r="I438" s="27">
        <f>Pagoinversiones!J10</f>
        <v>0</v>
      </c>
      <c r="J438" s="27">
        <f>Pagoinversiones!K10</f>
        <v>0</v>
      </c>
      <c r="K438" s="27">
        <f>Pagoinversiones!L10</f>
        <v>0</v>
      </c>
      <c r="L438" s="27">
        <f>Pagoinversiones!M10</f>
        <v>0</v>
      </c>
      <c r="M438" s="27">
        <f>Pagoinversiones!N10</f>
        <v>0</v>
      </c>
      <c r="N438" s="27">
        <f>Pagoinversiones!O10</f>
        <v>0</v>
      </c>
      <c r="O438" s="27">
        <f>Pagoinversiones!P10</f>
        <v>0</v>
      </c>
      <c r="P438" s="27">
        <f>IF(O$435=0,0,O438/O$435)</f>
        <v>0</v>
      </c>
      <c r="Q438" s="61"/>
    </row>
    <row r="439" spans="2:17" hidden="1" x14ac:dyDescent="0.2">
      <c r="B439" s="60"/>
      <c r="C439" s="27" t="s">
        <v>1393</v>
      </c>
      <c r="D439" s="27">
        <f>-Amortizaciones!D18</f>
        <v>0</v>
      </c>
      <c r="E439" s="27">
        <f>-Amortizaciones!E18</f>
        <v>0</v>
      </c>
      <c r="F439" s="27">
        <f>-Amortizaciones!F18</f>
        <v>0</v>
      </c>
      <c r="G439" s="27">
        <f>-Amortizaciones!G18</f>
        <v>0</v>
      </c>
      <c r="H439" s="27">
        <f>-Amortizaciones!H18</f>
        <v>0</v>
      </c>
      <c r="I439" s="27">
        <f>-Amortizaciones!I18</f>
        <v>0</v>
      </c>
      <c r="J439" s="27">
        <f>-Amortizaciones!J18</f>
        <v>0</v>
      </c>
      <c r="K439" s="27">
        <f>-Amortizaciones!K18</f>
        <v>0</v>
      </c>
      <c r="L439" s="27">
        <f>-Amortizaciones!L18</f>
        <v>0</v>
      </c>
      <c r="M439" s="27">
        <f>-Amortizaciones!M18</f>
        <v>0</v>
      </c>
      <c r="N439" s="27">
        <f>-Amortizaciones!N18</f>
        <v>0</v>
      </c>
      <c r="O439" s="27">
        <f>-Amortizaciones!O18</f>
        <v>0</v>
      </c>
      <c r="P439" s="27">
        <f>IF(O$435=0,0,O439/O$435)</f>
        <v>0</v>
      </c>
      <c r="Q439" s="61"/>
    </row>
    <row r="440" spans="2:17" hidden="1" x14ac:dyDescent="0.2">
      <c r="B440" s="60"/>
      <c r="C440" s="27" t="s">
        <v>558</v>
      </c>
      <c r="D440" s="27">
        <f t="shared" ref="D440:O440" si="165">+D441+D442+D443+D444+D445+D446+D447</f>
        <v>0</v>
      </c>
      <c r="E440" s="27">
        <f t="shared" si="165"/>
        <v>0</v>
      </c>
      <c r="F440" s="27">
        <f t="shared" si="165"/>
        <v>0</v>
      </c>
      <c r="G440" s="27">
        <f t="shared" si="165"/>
        <v>0</v>
      </c>
      <c r="H440" s="27">
        <f t="shared" si="165"/>
        <v>0</v>
      </c>
      <c r="I440" s="27">
        <f t="shared" si="165"/>
        <v>0</v>
      </c>
      <c r="J440" s="27">
        <f t="shared" si="165"/>
        <v>0</v>
      </c>
      <c r="K440" s="27">
        <f t="shared" si="165"/>
        <v>0</v>
      </c>
      <c r="L440" s="27">
        <f t="shared" si="165"/>
        <v>0</v>
      </c>
      <c r="M440" s="27">
        <f t="shared" si="165"/>
        <v>0</v>
      </c>
      <c r="N440" s="27">
        <f t="shared" si="165"/>
        <v>0</v>
      </c>
      <c r="O440" s="27">
        <f t="shared" si="165"/>
        <v>0</v>
      </c>
      <c r="P440" s="27">
        <f>IF(O$434=0,0,O440/O$434)</f>
        <v>0</v>
      </c>
      <c r="Q440" s="61"/>
    </row>
    <row r="441" spans="2:17" hidden="1" x14ac:dyDescent="0.2">
      <c r="B441" s="60"/>
      <c r="C441" s="27" t="str">
        <f>SB!X192</f>
        <v>Terrenos, construcciones y edificaciones</v>
      </c>
      <c r="D441" s="27">
        <f>Pagoinversiones!E54</f>
        <v>0</v>
      </c>
      <c r="E441" s="27">
        <f>Pagoinversiones!F54+D441</f>
        <v>0</v>
      </c>
      <c r="F441" s="27">
        <f>Pagoinversiones!G54+E441</f>
        <v>0</v>
      </c>
      <c r="G441" s="27">
        <f>Pagoinversiones!H54+F441</f>
        <v>0</v>
      </c>
      <c r="H441" s="27">
        <f>Pagoinversiones!I54+G441</f>
        <v>0</v>
      </c>
      <c r="I441" s="27">
        <f>Pagoinversiones!J54+H441</f>
        <v>0</v>
      </c>
      <c r="J441" s="27">
        <f>Pagoinversiones!K54+I441</f>
        <v>0</v>
      </c>
      <c r="K441" s="27">
        <f>Pagoinversiones!L54+J441</f>
        <v>0</v>
      </c>
      <c r="L441" s="27">
        <f>Pagoinversiones!M54+K441</f>
        <v>0</v>
      </c>
      <c r="M441" s="27">
        <f>Pagoinversiones!N54+L441</f>
        <v>0</v>
      </c>
      <c r="N441" s="27">
        <f>Pagoinversiones!O54+M441</f>
        <v>0</v>
      </c>
      <c r="O441" s="27">
        <f>Pagoinversiones!P54+N441</f>
        <v>0</v>
      </c>
      <c r="P441" s="27">
        <f t="shared" ref="P441:P447" si="166">IF(O$440=0,0,O441/O$440)</f>
        <v>0</v>
      </c>
      <c r="Q441" s="61"/>
    </row>
    <row r="442" spans="2:17" hidden="1" x14ac:dyDescent="0.2">
      <c r="B442" s="60"/>
      <c r="C442" s="27" t="str">
        <f>SB!X193</f>
        <v>Otras instalaciones</v>
      </c>
      <c r="D442" s="27">
        <f>Pagoinversiones!E61</f>
        <v>0</v>
      </c>
      <c r="E442" s="27">
        <f>Pagoinversiones!F61+D442</f>
        <v>0</v>
      </c>
      <c r="F442" s="27">
        <f>Pagoinversiones!G61+E442</f>
        <v>0</v>
      </c>
      <c r="G442" s="27">
        <f>Pagoinversiones!H61+F442</f>
        <v>0</v>
      </c>
      <c r="H442" s="27">
        <f>Pagoinversiones!I61+G442</f>
        <v>0</v>
      </c>
      <c r="I442" s="27">
        <f>Pagoinversiones!J61+H442</f>
        <v>0</v>
      </c>
      <c r="J442" s="27">
        <f>Pagoinversiones!K61+I442</f>
        <v>0</v>
      </c>
      <c r="K442" s="27">
        <f>Pagoinversiones!L61+J442</f>
        <v>0</v>
      </c>
      <c r="L442" s="27">
        <f>Pagoinversiones!M61+K442</f>
        <v>0</v>
      </c>
      <c r="M442" s="27">
        <f>Pagoinversiones!N61+L442</f>
        <v>0</v>
      </c>
      <c r="N442" s="27">
        <f>Pagoinversiones!O61+M442</f>
        <v>0</v>
      </c>
      <c r="O442" s="27">
        <f>Pagoinversiones!P61+N442</f>
        <v>0</v>
      </c>
      <c r="P442" s="27">
        <f t="shared" si="166"/>
        <v>0</v>
      </c>
      <c r="Q442" s="61"/>
    </row>
    <row r="443" spans="2:17" hidden="1" x14ac:dyDescent="0.2">
      <c r="B443" s="60"/>
      <c r="C443" s="27" t="str">
        <f>SB!X194</f>
        <v>Maquinaria, utillaje y herramientas</v>
      </c>
      <c r="D443" s="27">
        <f>Pagoinversiones!E68</f>
        <v>0</v>
      </c>
      <c r="E443" s="27">
        <f>+D443+Pagoinversiones!F68</f>
        <v>0</v>
      </c>
      <c r="F443" s="27">
        <f>+E443+Pagoinversiones!G68</f>
        <v>0</v>
      </c>
      <c r="G443" s="27">
        <f>+F443+Pagoinversiones!H68</f>
        <v>0</v>
      </c>
      <c r="H443" s="27">
        <f>+G443+Pagoinversiones!I68</f>
        <v>0</v>
      </c>
      <c r="I443" s="27">
        <f>+H443+Pagoinversiones!J68</f>
        <v>0</v>
      </c>
      <c r="J443" s="27">
        <f>+I443+Pagoinversiones!K68</f>
        <v>0</v>
      </c>
      <c r="K443" s="27">
        <f>+J443+Pagoinversiones!L68</f>
        <v>0</v>
      </c>
      <c r="L443" s="27">
        <f>+K443+Pagoinversiones!M68</f>
        <v>0</v>
      </c>
      <c r="M443" s="27">
        <f>+L443+Pagoinversiones!N68</f>
        <v>0</v>
      </c>
      <c r="N443" s="27">
        <f>+M443+Pagoinversiones!O68</f>
        <v>0</v>
      </c>
      <c r="O443" s="27">
        <f>+N443+Pagoinversiones!P68</f>
        <v>0</v>
      </c>
      <c r="P443" s="27">
        <f t="shared" si="166"/>
        <v>0</v>
      </c>
      <c r="Q443" s="61"/>
    </row>
    <row r="444" spans="2:17" hidden="1" x14ac:dyDescent="0.2">
      <c r="B444" s="60"/>
      <c r="C444" s="27" t="str">
        <f>SB!X195</f>
        <v>Vehículos y elementos de transporte</v>
      </c>
      <c r="D444" s="27">
        <f>Pagoinversiones!E75</f>
        <v>0</v>
      </c>
      <c r="E444" s="27">
        <f>+D444+Pagoinversiones!F75</f>
        <v>0</v>
      </c>
      <c r="F444" s="27">
        <f>+E444+Pagoinversiones!G75</f>
        <v>0</v>
      </c>
      <c r="G444" s="27">
        <f>+F444+Pagoinversiones!H75</f>
        <v>0</v>
      </c>
      <c r="H444" s="27">
        <f>+G444+Pagoinversiones!I75</f>
        <v>0</v>
      </c>
      <c r="I444" s="27">
        <f>+H444+Pagoinversiones!J75</f>
        <v>0</v>
      </c>
      <c r="J444" s="27">
        <f>+I444+Pagoinversiones!K75</f>
        <v>0</v>
      </c>
      <c r="K444" s="27">
        <f>+J444+Pagoinversiones!L75</f>
        <v>0</v>
      </c>
      <c r="L444" s="27">
        <f>+K444+Pagoinversiones!M75</f>
        <v>0</v>
      </c>
      <c r="M444" s="27">
        <f>+L444+Pagoinversiones!N75</f>
        <v>0</v>
      </c>
      <c r="N444" s="27">
        <f>+M444+Pagoinversiones!O75</f>
        <v>0</v>
      </c>
      <c r="O444" s="27">
        <f>+N444+Pagoinversiones!P75</f>
        <v>0</v>
      </c>
      <c r="P444" s="27">
        <f t="shared" si="166"/>
        <v>0</v>
      </c>
      <c r="Q444" s="61"/>
    </row>
    <row r="445" spans="2:17" hidden="1" x14ac:dyDescent="0.2">
      <c r="B445" s="60"/>
      <c r="C445" s="27" t="str">
        <f>SB!X196</f>
        <v>Mobiliario y equipos oficina</v>
      </c>
      <c r="D445" s="27">
        <f>Pagoinversiones!E82</f>
        <v>0</v>
      </c>
      <c r="E445" s="27">
        <f>+D445+Pagoinversiones!F82</f>
        <v>0</v>
      </c>
      <c r="F445" s="27">
        <f>+E445+Pagoinversiones!G82</f>
        <v>0</v>
      </c>
      <c r="G445" s="27">
        <f>+F445+Pagoinversiones!H82</f>
        <v>0</v>
      </c>
      <c r="H445" s="27">
        <f>+G445+Pagoinversiones!I82</f>
        <v>0</v>
      </c>
      <c r="I445" s="27">
        <f>+H445+Pagoinversiones!J82</f>
        <v>0</v>
      </c>
      <c r="J445" s="27">
        <f>+I445+Pagoinversiones!K82</f>
        <v>0</v>
      </c>
      <c r="K445" s="27">
        <f>+J445+Pagoinversiones!L82</f>
        <v>0</v>
      </c>
      <c r="L445" s="27">
        <f>+K445+Pagoinversiones!M82</f>
        <v>0</v>
      </c>
      <c r="M445" s="27">
        <f>+L445+Pagoinversiones!N82</f>
        <v>0</v>
      </c>
      <c r="N445" s="27">
        <f>+M445+Pagoinversiones!O82</f>
        <v>0</v>
      </c>
      <c r="O445" s="27">
        <f>+N445+Pagoinversiones!P82</f>
        <v>0</v>
      </c>
      <c r="P445" s="27">
        <f t="shared" si="166"/>
        <v>0</v>
      </c>
      <c r="Q445" s="61"/>
    </row>
    <row r="446" spans="2:17" hidden="1" x14ac:dyDescent="0.2">
      <c r="B446" s="60"/>
      <c r="C446" s="27" t="str">
        <f>SB!X197</f>
        <v>Equipos informáticos</v>
      </c>
      <c r="D446" s="27">
        <f>Pagoinversiones!E89</f>
        <v>0</v>
      </c>
      <c r="E446" s="27">
        <f>+D446+Pagoinversiones!F89</f>
        <v>0</v>
      </c>
      <c r="F446" s="27">
        <f>+E446+Pagoinversiones!G89</f>
        <v>0</v>
      </c>
      <c r="G446" s="27">
        <f>+F446+Pagoinversiones!H89</f>
        <v>0</v>
      </c>
      <c r="H446" s="27">
        <f>+G446+Pagoinversiones!I89</f>
        <v>0</v>
      </c>
      <c r="I446" s="27">
        <f>+H446+Pagoinversiones!J89</f>
        <v>0</v>
      </c>
      <c r="J446" s="27">
        <f>+I446+Pagoinversiones!K89</f>
        <v>0</v>
      </c>
      <c r="K446" s="27">
        <f>+J446+Pagoinversiones!L89</f>
        <v>0</v>
      </c>
      <c r="L446" s="27">
        <f>+K446+Pagoinversiones!M89</f>
        <v>0</v>
      </c>
      <c r="M446" s="27">
        <f>+L446+Pagoinversiones!N89</f>
        <v>0</v>
      </c>
      <c r="N446" s="27">
        <f>+M446+Pagoinversiones!O89</f>
        <v>0</v>
      </c>
      <c r="O446" s="27">
        <f>+N446+Pagoinversiones!P89</f>
        <v>0</v>
      </c>
      <c r="P446" s="27">
        <f t="shared" si="166"/>
        <v>0</v>
      </c>
      <c r="Q446" s="61"/>
    </row>
    <row r="447" spans="2:17" hidden="1" x14ac:dyDescent="0.2">
      <c r="B447" s="60"/>
      <c r="C447" s="27" t="s">
        <v>80</v>
      </c>
      <c r="D447" s="27">
        <f>-Amortizaciones!D17</f>
        <v>0</v>
      </c>
      <c r="E447" s="27">
        <f>-Amortizaciones!E17</f>
        <v>0</v>
      </c>
      <c r="F447" s="27">
        <f>-Amortizaciones!F17</f>
        <v>0</v>
      </c>
      <c r="G447" s="27">
        <f>-Amortizaciones!G17</f>
        <v>0</v>
      </c>
      <c r="H447" s="27">
        <f>-Amortizaciones!H17</f>
        <v>0</v>
      </c>
      <c r="I447" s="27">
        <f>-Amortizaciones!I17</f>
        <v>0</v>
      </c>
      <c r="J447" s="27">
        <f>-Amortizaciones!J17</f>
        <v>0</v>
      </c>
      <c r="K447" s="27">
        <f>-Amortizaciones!K17</f>
        <v>0</v>
      </c>
      <c r="L447" s="27">
        <f>-Amortizaciones!L17</f>
        <v>0</v>
      </c>
      <c r="M447" s="27">
        <f>-Amortizaciones!M17</f>
        <v>0</v>
      </c>
      <c r="N447" s="27">
        <f>-Amortizaciones!N17</f>
        <v>0</v>
      </c>
      <c r="O447" s="27">
        <f>-Amortizaciones!O17</f>
        <v>0</v>
      </c>
      <c r="P447" s="27">
        <f t="shared" si="166"/>
        <v>0</v>
      </c>
      <c r="Q447" s="61"/>
    </row>
    <row r="448" spans="2:17" hidden="1" x14ac:dyDescent="0.2">
      <c r="B448" s="60"/>
      <c r="C448" s="27" t="s">
        <v>559</v>
      </c>
      <c r="D448" s="27">
        <f t="shared" ref="D448:O448" si="167">+D449</f>
        <v>0</v>
      </c>
      <c r="E448" s="27">
        <f t="shared" si="167"/>
        <v>0</v>
      </c>
      <c r="F448" s="27">
        <f t="shared" si="167"/>
        <v>0</v>
      </c>
      <c r="G448" s="27">
        <f t="shared" si="167"/>
        <v>0</v>
      </c>
      <c r="H448" s="27">
        <f t="shared" si="167"/>
        <v>0</v>
      </c>
      <c r="I448" s="27">
        <f t="shared" si="167"/>
        <v>0</v>
      </c>
      <c r="J448" s="27">
        <f t="shared" si="167"/>
        <v>0</v>
      </c>
      <c r="K448" s="27">
        <f t="shared" si="167"/>
        <v>0</v>
      </c>
      <c r="L448" s="27">
        <f t="shared" si="167"/>
        <v>0</v>
      </c>
      <c r="M448" s="27">
        <f t="shared" si="167"/>
        <v>0</v>
      </c>
      <c r="N448" s="27">
        <f t="shared" si="167"/>
        <v>0</v>
      </c>
      <c r="O448" s="27">
        <f t="shared" si="167"/>
        <v>0</v>
      </c>
      <c r="P448" s="27">
        <f>IF(O$434=0,0,O448/O$434)</f>
        <v>0</v>
      </c>
      <c r="Q448" s="61"/>
    </row>
    <row r="449" spans="2:17" hidden="1" x14ac:dyDescent="0.2">
      <c r="B449" s="60"/>
      <c r="C449" s="27" t="s">
        <v>903</v>
      </c>
      <c r="D449" s="27">
        <f>SANDBOX!$L$143</f>
        <v>0</v>
      </c>
      <c r="E449" s="27">
        <f t="shared" ref="E449:O449" si="168">+D449</f>
        <v>0</v>
      </c>
      <c r="F449" s="27">
        <f t="shared" si="168"/>
        <v>0</v>
      </c>
      <c r="G449" s="27">
        <f t="shared" si="168"/>
        <v>0</v>
      </c>
      <c r="H449" s="27">
        <f t="shared" si="168"/>
        <v>0</v>
      </c>
      <c r="I449" s="27">
        <f t="shared" si="168"/>
        <v>0</v>
      </c>
      <c r="J449" s="27">
        <f t="shared" si="168"/>
        <v>0</v>
      </c>
      <c r="K449" s="27">
        <f t="shared" si="168"/>
        <v>0</v>
      </c>
      <c r="L449" s="27">
        <f t="shared" si="168"/>
        <v>0</v>
      </c>
      <c r="M449" s="27">
        <f t="shared" si="168"/>
        <v>0</v>
      </c>
      <c r="N449" s="27">
        <f t="shared" si="168"/>
        <v>0</v>
      </c>
      <c r="O449" s="27">
        <f t="shared" si="168"/>
        <v>0</v>
      </c>
      <c r="Q449" s="61"/>
    </row>
    <row r="450" spans="2:17" hidden="1" x14ac:dyDescent="0.2">
      <c r="B450" s="60"/>
      <c r="C450" s="27" t="s">
        <v>905</v>
      </c>
      <c r="D450" s="27">
        <f t="shared" ref="D450:O450" si="169">+D451+D453+D461</f>
        <v>0</v>
      </c>
      <c r="E450" s="27">
        <f t="shared" si="169"/>
        <v>0</v>
      </c>
      <c r="F450" s="27">
        <f t="shared" si="169"/>
        <v>0</v>
      </c>
      <c r="G450" s="27">
        <f t="shared" si="169"/>
        <v>0</v>
      </c>
      <c r="H450" s="27">
        <f t="shared" si="169"/>
        <v>0</v>
      </c>
      <c r="I450" s="27">
        <f t="shared" si="169"/>
        <v>0</v>
      </c>
      <c r="J450" s="27">
        <f t="shared" si="169"/>
        <v>0</v>
      </c>
      <c r="K450" s="27">
        <f t="shared" si="169"/>
        <v>0</v>
      </c>
      <c r="L450" s="27">
        <f t="shared" si="169"/>
        <v>0</v>
      </c>
      <c r="M450" s="27">
        <f t="shared" si="169"/>
        <v>0</v>
      </c>
      <c r="N450" s="27">
        <f t="shared" si="169"/>
        <v>0</v>
      </c>
      <c r="O450" s="27">
        <f t="shared" si="169"/>
        <v>0</v>
      </c>
      <c r="P450" s="27">
        <f>IF(O$463=0,0,O450/O$463)</f>
        <v>0</v>
      </c>
      <c r="Q450" s="61"/>
    </row>
    <row r="451" spans="2:17" hidden="1" x14ac:dyDescent="0.2">
      <c r="B451" s="60"/>
      <c r="C451" s="27" t="s">
        <v>819</v>
      </c>
      <c r="D451" s="27">
        <f t="shared" ref="D451:O451" si="170">+D452</f>
        <v>0</v>
      </c>
      <c r="E451" s="27">
        <f t="shared" si="170"/>
        <v>0</v>
      </c>
      <c r="F451" s="27">
        <f t="shared" si="170"/>
        <v>0</v>
      </c>
      <c r="G451" s="27">
        <f t="shared" si="170"/>
        <v>0</v>
      </c>
      <c r="H451" s="27">
        <f t="shared" si="170"/>
        <v>0</v>
      </c>
      <c r="I451" s="27">
        <f t="shared" si="170"/>
        <v>0</v>
      </c>
      <c r="J451" s="27">
        <f t="shared" si="170"/>
        <v>0</v>
      </c>
      <c r="K451" s="27">
        <f t="shared" si="170"/>
        <v>0</v>
      </c>
      <c r="L451" s="27">
        <f t="shared" si="170"/>
        <v>0</v>
      </c>
      <c r="M451" s="27">
        <f t="shared" si="170"/>
        <v>0</v>
      </c>
      <c r="N451" s="27">
        <f t="shared" si="170"/>
        <v>0</v>
      </c>
      <c r="O451" s="27">
        <f t="shared" si="170"/>
        <v>0</v>
      </c>
      <c r="P451" s="27">
        <f>IF(O$450=0,0,O451/O$450)</f>
        <v>0</v>
      </c>
      <c r="Q451" s="61"/>
    </row>
    <row r="452" spans="2:17" hidden="1" x14ac:dyDescent="0.2">
      <c r="B452" s="60"/>
      <c r="C452" s="27" t="s">
        <v>329</v>
      </c>
      <c r="D452" s="27">
        <f>CResult!D21</f>
        <v>0</v>
      </c>
      <c r="E452" s="27">
        <f>CResult!E21</f>
        <v>0</v>
      </c>
      <c r="F452" s="27">
        <f>CResult!F21</f>
        <v>0</v>
      </c>
      <c r="G452" s="27">
        <f>CResult!G21</f>
        <v>0</v>
      </c>
      <c r="H452" s="27">
        <f>CResult!H21</f>
        <v>0</v>
      </c>
      <c r="I452" s="27">
        <f>CResult!I21</f>
        <v>0</v>
      </c>
      <c r="J452" s="27">
        <f>CResult!J21</f>
        <v>0</v>
      </c>
      <c r="K452" s="27">
        <f>CResult!K21</f>
        <v>0</v>
      </c>
      <c r="L452" s="27">
        <f>CResult!L21</f>
        <v>0</v>
      </c>
      <c r="M452" s="27">
        <f>CResult!M21</f>
        <v>0</v>
      </c>
      <c r="N452" s="27">
        <f>CResult!N21</f>
        <v>0</v>
      </c>
      <c r="O452" s="27">
        <f>CResult!O21</f>
        <v>0</v>
      </c>
      <c r="P452" s="27">
        <f>CResult!P21</f>
        <v>0</v>
      </c>
      <c r="Q452" s="61"/>
    </row>
    <row r="453" spans="2:17" hidden="1" x14ac:dyDescent="0.2">
      <c r="B453" s="60"/>
      <c r="C453" s="27" t="s">
        <v>904</v>
      </c>
      <c r="D453" s="27">
        <f t="shared" ref="D453:O453" si="171">+D454+D457+D460</f>
        <v>0</v>
      </c>
      <c r="E453" s="27">
        <f t="shared" si="171"/>
        <v>0</v>
      </c>
      <c r="F453" s="27">
        <f t="shared" si="171"/>
        <v>0</v>
      </c>
      <c r="G453" s="27">
        <f t="shared" si="171"/>
        <v>0</v>
      </c>
      <c r="H453" s="27">
        <f t="shared" si="171"/>
        <v>0</v>
      </c>
      <c r="I453" s="27">
        <f t="shared" si="171"/>
        <v>0</v>
      </c>
      <c r="J453" s="27">
        <f t="shared" si="171"/>
        <v>0</v>
      </c>
      <c r="K453" s="27">
        <f t="shared" si="171"/>
        <v>0</v>
      </c>
      <c r="L453" s="27">
        <f t="shared" si="171"/>
        <v>0</v>
      </c>
      <c r="M453" s="27">
        <f t="shared" si="171"/>
        <v>0</v>
      </c>
      <c r="N453" s="27">
        <f t="shared" si="171"/>
        <v>0</v>
      </c>
      <c r="O453" s="27">
        <f t="shared" si="171"/>
        <v>0</v>
      </c>
      <c r="P453" s="27">
        <f>IF(O$450=0,0,O453/O$450)</f>
        <v>0</v>
      </c>
      <c r="Q453" s="61"/>
    </row>
    <row r="454" spans="2:17" hidden="1" x14ac:dyDescent="0.2">
      <c r="B454" s="60"/>
      <c r="C454" s="27" t="s">
        <v>453</v>
      </c>
      <c r="D454" s="27">
        <f t="shared" ref="D454:O454" si="172">SUM(D455:D456)</f>
        <v>0</v>
      </c>
      <c r="E454" s="27">
        <f t="shared" si="172"/>
        <v>0</v>
      </c>
      <c r="F454" s="27">
        <f t="shared" si="172"/>
        <v>0</v>
      </c>
      <c r="G454" s="27">
        <f t="shared" si="172"/>
        <v>0</v>
      </c>
      <c r="H454" s="27">
        <f t="shared" si="172"/>
        <v>0</v>
      </c>
      <c r="I454" s="27">
        <f t="shared" si="172"/>
        <v>0</v>
      </c>
      <c r="J454" s="27">
        <f t="shared" si="172"/>
        <v>0</v>
      </c>
      <c r="K454" s="27">
        <f t="shared" si="172"/>
        <v>0</v>
      </c>
      <c r="L454" s="27">
        <f t="shared" si="172"/>
        <v>0</v>
      </c>
      <c r="M454" s="27">
        <f t="shared" si="172"/>
        <v>0</v>
      </c>
      <c r="N454" s="27">
        <f t="shared" si="172"/>
        <v>0</v>
      </c>
      <c r="O454" s="27">
        <f t="shared" si="172"/>
        <v>0</v>
      </c>
      <c r="P454" s="27">
        <f t="shared" ref="P454:P460" si="173">IF(O$453=0,0,O454/O$453)</f>
        <v>0</v>
      </c>
      <c r="Q454" s="61"/>
    </row>
    <row r="455" spans="2:17" hidden="1" x14ac:dyDescent="0.2">
      <c r="B455" s="60"/>
      <c r="C455" s="27" t="s">
        <v>454</v>
      </c>
      <c r="D455" s="27">
        <f>CTesorería!E34+CTesorería!E165</f>
        <v>0</v>
      </c>
      <c r="E455" s="27">
        <f>CTesorería!F34+CTesorería!F165</f>
        <v>0</v>
      </c>
      <c r="F455" s="27">
        <f>CTesorería!G34+CTesorería!G165</f>
        <v>0</v>
      </c>
      <c r="G455" s="27">
        <f>CTesorería!H34+CTesorería!H165</f>
        <v>0</v>
      </c>
      <c r="H455" s="27">
        <f>CTesorería!I34+CTesorería!I165</f>
        <v>0</v>
      </c>
      <c r="I455" s="27">
        <f>CTesorería!J34+CTesorería!J165</f>
        <v>0</v>
      </c>
      <c r="J455" s="27">
        <f>CTesorería!K34+CTesorería!K165</f>
        <v>0</v>
      </c>
      <c r="K455" s="27">
        <f>CTesorería!L34+CTesorería!L165</f>
        <v>0</v>
      </c>
      <c r="L455" s="27">
        <f>CTesorería!M34+CTesorería!M165</f>
        <v>0</v>
      </c>
      <c r="M455" s="27">
        <f>CTesorería!N34+CTesorería!N165</f>
        <v>0</v>
      </c>
      <c r="N455" s="27">
        <f>CTesorería!O34+CTesorería!O165</f>
        <v>0</v>
      </c>
      <c r="O455" s="27">
        <f>CTesorería!P34+CTesorería!P165</f>
        <v>0</v>
      </c>
      <c r="P455" s="27">
        <f t="shared" si="173"/>
        <v>0</v>
      </c>
      <c r="Q455" s="61"/>
    </row>
    <row r="456" spans="2:17" hidden="1" x14ac:dyDescent="0.2">
      <c r="B456" s="60"/>
      <c r="C456" s="27" t="s">
        <v>275</v>
      </c>
      <c r="D456" s="27">
        <f>CTesorería!E32</f>
        <v>0</v>
      </c>
      <c r="E456" s="27">
        <f>CTesorería!F32</f>
        <v>0</v>
      </c>
      <c r="F456" s="27">
        <f>CTesorería!G32</f>
        <v>0</v>
      </c>
      <c r="G456" s="27">
        <f>CTesorería!H32</f>
        <v>0</v>
      </c>
      <c r="H456" s="27">
        <f>CTesorería!I32</f>
        <v>0</v>
      </c>
      <c r="I456" s="27">
        <f>CTesorería!J32</f>
        <v>0</v>
      </c>
      <c r="J456" s="27">
        <f>CTesorería!K32</f>
        <v>0</v>
      </c>
      <c r="K456" s="27">
        <f>CTesorería!L32</f>
        <v>0</v>
      </c>
      <c r="L456" s="27">
        <f>CTesorería!M32</f>
        <v>0</v>
      </c>
      <c r="M456" s="27">
        <f>CTesorería!N32</f>
        <v>0</v>
      </c>
      <c r="N456" s="27">
        <f>CTesorería!O32</f>
        <v>0</v>
      </c>
      <c r="O456" s="27">
        <f>CTesorería!P32</f>
        <v>0</v>
      </c>
      <c r="P456" s="27">
        <f t="shared" si="173"/>
        <v>0</v>
      </c>
      <c r="Q456" s="61"/>
    </row>
    <row r="457" spans="2:17" hidden="1" x14ac:dyDescent="0.2">
      <c r="B457" s="60"/>
      <c r="C457" s="27" t="s">
        <v>74</v>
      </c>
      <c r="D457" s="27">
        <f t="shared" ref="D457:O457" si="174">SUM(D458:D459)</f>
        <v>0</v>
      </c>
      <c r="E457" s="27">
        <f t="shared" si="174"/>
        <v>0</v>
      </c>
      <c r="F457" s="27">
        <f t="shared" si="174"/>
        <v>0</v>
      </c>
      <c r="G457" s="27">
        <f t="shared" si="174"/>
        <v>0</v>
      </c>
      <c r="H457" s="27">
        <f t="shared" si="174"/>
        <v>0</v>
      </c>
      <c r="I457" s="27">
        <f t="shared" si="174"/>
        <v>0</v>
      </c>
      <c r="J457" s="27">
        <f t="shared" si="174"/>
        <v>0</v>
      </c>
      <c r="K457" s="27">
        <f t="shared" si="174"/>
        <v>0</v>
      </c>
      <c r="L457" s="27">
        <f t="shared" si="174"/>
        <v>0</v>
      </c>
      <c r="M457" s="27">
        <f t="shared" si="174"/>
        <v>0</v>
      </c>
      <c r="N457" s="27">
        <f t="shared" si="174"/>
        <v>0</v>
      </c>
      <c r="O457" s="27">
        <f t="shared" si="174"/>
        <v>0</v>
      </c>
      <c r="P457" s="27">
        <f t="shared" si="173"/>
        <v>0</v>
      </c>
      <c r="Q457" s="61"/>
    </row>
    <row r="458" spans="2:17" hidden="1" x14ac:dyDescent="0.2">
      <c r="B458" s="60"/>
      <c r="C458" s="27" t="s">
        <v>424</v>
      </c>
      <c r="D458" s="27">
        <f>CResult!H85</f>
        <v>0</v>
      </c>
      <c r="E458" s="27">
        <f>CResult!I85</f>
        <v>0</v>
      </c>
      <c r="F458" s="27">
        <f>CResult!J85</f>
        <v>0</v>
      </c>
      <c r="G458" s="27">
        <f>CResult!K85</f>
        <v>0</v>
      </c>
      <c r="H458" s="27">
        <f>CResult!L85</f>
        <v>0</v>
      </c>
      <c r="I458" s="27">
        <f>CResult!M85</f>
        <v>0</v>
      </c>
      <c r="J458" s="27">
        <f>CResult!N85</f>
        <v>0</v>
      </c>
      <c r="K458" s="27">
        <f>CResult!O85</f>
        <v>0</v>
      </c>
      <c r="L458" s="27">
        <f>CResult!P85</f>
        <v>0</v>
      </c>
      <c r="M458" s="27">
        <f>CResult!Q85</f>
        <v>0</v>
      </c>
      <c r="N458" s="27">
        <f>CResult!R85</f>
        <v>0</v>
      </c>
      <c r="O458" s="27">
        <f>CResult!S85</f>
        <v>0</v>
      </c>
      <c r="P458" s="27">
        <f t="shared" si="173"/>
        <v>0</v>
      </c>
      <c r="Q458" s="61"/>
    </row>
    <row r="459" spans="2:17" hidden="1" x14ac:dyDescent="0.2">
      <c r="B459" s="60"/>
      <c r="C459" s="27" t="s">
        <v>1569</v>
      </c>
      <c r="D459" s="27">
        <f t="shared" ref="D459:O459" si="175">D428</f>
        <v>0</v>
      </c>
      <c r="E459" s="27">
        <f t="shared" si="175"/>
        <v>0</v>
      </c>
      <c r="F459" s="27">
        <f t="shared" si="175"/>
        <v>0</v>
      </c>
      <c r="G459" s="27">
        <f t="shared" si="175"/>
        <v>0</v>
      </c>
      <c r="H459" s="27">
        <f t="shared" si="175"/>
        <v>0</v>
      </c>
      <c r="I459" s="27">
        <f t="shared" si="175"/>
        <v>0</v>
      </c>
      <c r="J459" s="27">
        <f t="shared" si="175"/>
        <v>0</v>
      </c>
      <c r="K459" s="27">
        <f t="shared" si="175"/>
        <v>0</v>
      </c>
      <c r="L459" s="27">
        <f t="shared" si="175"/>
        <v>0</v>
      </c>
      <c r="M459" s="27">
        <f t="shared" si="175"/>
        <v>0</v>
      </c>
      <c r="N459" s="27">
        <f t="shared" si="175"/>
        <v>0</v>
      </c>
      <c r="O459" s="27">
        <f t="shared" si="175"/>
        <v>0</v>
      </c>
      <c r="P459" s="27">
        <f t="shared" si="173"/>
        <v>0</v>
      </c>
      <c r="Q459" s="61"/>
    </row>
    <row r="460" spans="2:17" hidden="1" x14ac:dyDescent="0.2">
      <c r="B460" s="60"/>
      <c r="C460" s="27" t="s">
        <v>1538</v>
      </c>
      <c r="D460" s="27">
        <f>CTesorería!E55</f>
        <v>0</v>
      </c>
      <c r="E460" s="27">
        <f>CTesorería!F55</f>
        <v>0</v>
      </c>
      <c r="F460" s="27">
        <f>CTesorería!G55</f>
        <v>0</v>
      </c>
      <c r="G460" s="27">
        <f>CTesorería!H55</f>
        <v>0</v>
      </c>
      <c r="H460" s="27">
        <f>CTesorería!I55</f>
        <v>0</v>
      </c>
      <c r="I460" s="27">
        <f>CTesorería!J55</f>
        <v>0</v>
      </c>
      <c r="J460" s="27">
        <f>CTesorería!K55</f>
        <v>0</v>
      </c>
      <c r="K460" s="27">
        <f>CTesorería!L55</f>
        <v>0</v>
      </c>
      <c r="L460" s="27">
        <f>CTesorería!M55</f>
        <v>0</v>
      </c>
      <c r="M460" s="27">
        <f>CTesorería!N55</f>
        <v>0</v>
      </c>
      <c r="N460" s="27">
        <f>CTesorería!O55</f>
        <v>0</v>
      </c>
      <c r="O460" s="27">
        <f>CTesorería!P55</f>
        <v>0</v>
      </c>
      <c r="P460" s="27">
        <f t="shared" si="173"/>
        <v>0</v>
      </c>
      <c r="Q460" s="61"/>
    </row>
    <row r="461" spans="2:17" hidden="1" x14ac:dyDescent="0.2">
      <c r="B461" s="60"/>
      <c r="C461" s="27" t="s">
        <v>0</v>
      </c>
      <c r="D461" s="27">
        <f t="shared" ref="D461:O461" si="176">+D462</f>
        <v>0</v>
      </c>
      <c r="E461" s="27">
        <f t="shared" si="176"/>
        <v>0</v>
      </c>
      <c r="F461" s="27">
        <f t="shared" si="176"/>
        <v>0</v>
      </c>
      <c r="G461" s="27">
        <f t="shared" si="176"/>
        <v>0</v>
      </c>
      <c r="H461" s="27">
        <f t="shared" si="176"/>
        <v>0</v>
      </c>
      <c r="I461" s="27">
        <f t="shared" si="176"/>
        <v>0</v>
      </c>
      <c r="J461" s="27">
        <f t="shared" si="176"/>
        <v>0</v>
      </c>
      <c r="K461" s="27">
        <f t="shared" si="176"/>
        <v>0</v>
      </c>
      <c r="L461" s="27">
        <f t="shared" si="176"/>
        <v>0</v>
      </c>
      <c r="M461" s="27">
        <f t="shared" si="176"/>
        <v>0</v>
      </c>
      <c r="N461" s="27">
        <f t="shared" si="176"/>
        <v>0</v>
      </c>
      <c r="O461" s="27">
        <f t="shared" si="176"/>
        <v>0</v>
      </c>
      <c r="P461" s="27">
        <f>IF(O$450=0,0,O461/O$450)</f>
        <v>0</v>
      </c>
      <c r="Q461" s="61"/>
    </row>
    <row r="462" spans="2:17" hidden="1" x14ac:dyDescent="0.2">
      <c r="B462" s="60"/>
      <c r="C462" s="27" t="s">
        <v>75</v>
      </c>
      <c r="D462" s="27">
        <f>INFORME!G287</f>
        <v>0</v>
      </c>
      <c r="E462" s="27">
        <f>INFORME!H287</f>
        <v>0</v>
      </c>
      <c r="F462" s="27">
        <f>INFORME!I287</f>
        <v>0</v>
      </c>
      <c r="G462" s="27">
        <f>INFORME!J287</f>
        <v>0</v>
      </c>
      <c r="H462" s="27">
        <f>INFORME!K287</f>
        <v>0</v>
      </c>
      <c r="I462" s="27">
        <f>INFORME!L287</f>
        <v>0</v>
      </c>
      <c r="J462" s="27">
        <f>INFORME!M287</f>
        <v>0</v>
      </c>
      <c r="K462" s="27">
        <f>INFORME!N287</f>
        <v>0</v>
      </c>
      <c r="L462" s="27">
        <f>INFORME!O287</f>
        <v>0</v>
      </c>
      <c r="M462" s="27">
        <f>INFORME!P287</f>
        <v>0</v>
      </c>
      <c r="N462" s="27">
        <f>INFORME!Q287</f>
        <v>0</v>
      </c>
      <c r="O462" s="27">
        <f>INFORME!R287</f>
        <v>0</v>
      </c>
      <c r="Q462" s="61"/>
    </row>
    <row r="463" spans="2:17" hidden="1" x14ac:dyDescent="0.2">
      <c r="B463" s="60"/>
      <c r="C463" s="27" t="s">
        <v>62</v>
      </c>
      <c r="D463" s="27">
        <f t="shared" ref="D463:O463" si="177">D450+D434</f>
        <v>0</v>
      </c>
      <c r="E463" s="27">
        <f t="shared" si="177"/>
        <v>0</v>
      </c>
      <c r="F463" s="27">
        <f t="shared" si="177"/>
        <v>0</v>
      </c>
      <c r="G463" s="27">
        <f t="shared" si="177"/>
        <v>0</v>
      </c>
      <c r="H463" s="27">
        <f t="shared" si="177"/>
        <v>0</v>
      </c>
      <c r="I463" s="27">
        <f t="shared" si="177"/>
        <v>0</v>
      </c>
      <c r="J463" s="27">
        <f t="shared" si="177"/>
        <v>0</v>
      </c>
      <c r="K463" s="27">
        <f t="shared" si="177"/>
        <v>0</v>
      </c>
      <c r="L463" s="27">
        <f t="shared" si="177"/>
        <v>0</v>
      </c>
      <c r="M463" s="27">
        <f t="shared" si="177"/>
        <v>0</v>
      </c>
      <c r="N463" s="27">
        <f t="shared" si="177"/>
        <v>0</v>
      </c>
      <c r="O463" s="27">
        <f t="shared" si="177"/>
        <v>0</v>
      </c>
      <c r="Q463" s="61"/>
    </row>
    <row r="464" spans="2:17" hidden="1" x14ac:dyDescent="0.2">
      <c r="B464" s="60"/>
      <c r="Q464" s="61"/>
    </row>
    <row r="465" spans="2:17" hidden="1" x14ac:dyDescent="0.2">
      <c r="B465" s="60"/>
      <c r="C465" s="27" t="s">
        <v>1510</v>
      </c>
      <c r="D465" s="27" t="str">
        <f t="shared" ref="D465:O465" si="178">D433</f>
        <v>Enero</v>
      </c>
      <c r="E465" s="27" t="str">
        <f t="shared" si="178"/>
        <v>Febrero</v>
      </c>
      <c r="F465" s="27" t="str">
        <f t="shared" si="178"/>
        <v>Marzo</v>
      </c>
      <c r="G465" s="27" t="str">
        <f t="shared" si="178"/>
        <v>Abril</v>
      </c>
      <c r="H465" s="27" t="str">
        <f t="shared" si="178"/>
        <v xml:space="preserve">Mayo </v>
      </c>
      <c r="I465" s="27" t="str">
        <f t="shared" si="178"/>
        <v>Junio</v>
      </c>
      <c r="J465" s="27" t="str">
        <f t="shared" si="178"/>
        <v>Julio</v>
      </c>
      <c r="K465" s="27" t="str">
        <f t="shared" si="178"/>
        <v>Agosto</v>
      </c>
      <c r="L465" s="27" t="str">
        <f t="shared" si="178"/>
        <v>Septiembre</v>
      </c>
      <c r="M465" s="27" t="str">
        <f t="shared" si="178"/>
        <v>Octubre</v>
      </c>
      <c r="N465" s="27" t="str">
        <f t="shared" si="178"/>
        <v>Noviembre</v>
      </c>
      <c r="O465" s="27" t="str">
        <f t="shared" si="178"/>
        <v>Diciembre</v>
      </c>
      <c r="P465" s="27" t="s">
        <v>820</v>
      </c>
      <c r="Q465" s="61"/>
    </row>
    <row r="466" spans="2:17" hidden="1" x14ac:dyDescent="0.2">
      <c r="B466" s="60"/>
      <c r="C466" s="27" t="s">
        <v>906</v>
      </c>
      <c r="D466" s="27">
        <f t="shared" ref="D466:O466" si="179">+D467+D472</f>
        <v>0</v>
      </c>
      <c r="E466" s="27">
        <f t="shared" si="179"/>
        <v>0</v>
      </c>
      <c r="F466" s="27">
        <f t="shared" si="179"/>
        <v>0</v>
      </c>
      <c r="G466" s="27">
        <f t="shared" si="179"/>
        <v>0</v>
      </c>
      <c r="H466" s="27">
        <f t="shared" si="179"/>
        <v>0</v>
      </c>
      <c r="I466" s="27">
        <f t="shared" si="179"/>
        <v>0</v>
      </c>
      <c r="J466" s="27">
        <f t="shared" si="179"/>
        <v>0</v>
      </c>
      <c r="K466" s="27">
        <f t="shared" si="179"/>
        <v>0</v>
      </c>
      <c r="L466" s="27">
        <f t="shared" si="179"/>
        <v>0</v>
      </c>
      <c r="M466" s="27">
        <f t="shared" si="179"/>
        <v>0</v>
      </c>
      <c r="N466" s="27">
        <f t="shared" si="179"/>
        <v>0</v>
      </c>
      <c r="O466" s="27">
        <f t="shared" si="179"/>
        <v>0</v>
      </c>
      <c r="P466" s="27">
        <f>IF(O$500=0,0,O466/O$500)</f>
        <v>0</v>
      </c>
      <c r="Q466" s="61"/>
    </row>
    <row r="467" spans="2:17" hidden="1" x14ac:dyDescent="0.2">
      <c r="B467" s="60"/>
      <c r="C467" s="27" t="s">
        <v>845</v>
      </c>
      <c r="D467" s="27">
        <f t="shared" ref="D467:O467" si="180">+D468+D470</f>
        <v>0</v>
      </c>
      <c r="E467" s="27">
        <f t="shared" si="180"/>
        <v>0</v>
      </c>
      <c r="F467" s="27">
        <f t="shared" si="180"/>
        <v>0</v>
      </c>
      <c r="G467" s="27">
        <f t="shared" si="180"/>
        <v>0</v>
      </c>
      <c r="H467" s="27">
        <f t="shared" si="180"/>
        <v>0</v>
      </c>
      <c r="I467" s="27">
        <f t="shared" si="180"/>
        <v>0</v>
      </c>
      <c r="J467" s="27">
        <f t="shared" si="180"/>
        <v>0</v>
      </c>
      <c r="K467" s="27">
        <f t="shared" si="180"/>
        <v>0</v>
      </c>
      <c r="L467" s="27">
        <f t="shared" si="180"/>
        <v>0</v>
      </c>
      <c r="M467" s="27">
        <f t="shared" si="180"/>
        <v>0</v>
      </c>
      <c r="N467" s="27">
        <f t="shared" si="180"/>
        <v>0</v>
      </c>
      <c r="O467" s="27">
        <f t="shared" si="180"/>
        <v>0</v>
      </c>
      <c r="P467" s="27">
        <f>IF(O$466=0,0,O467/O$466)</f>
        <v>0</v>
      </c>
      <c r="Q467" s="61"/>
    </row>
    <row r="468" spans="2:17" hidden="1" x14ac:dyDescent="0.2">
      <c r="B468" s="60"/>
      <c r="C468" s="27" t="s">
        <v>64</v>
      </c>
      <c r="D468" s="27">
        <f t="shared" ref="D468:O468" si="181">SUM(D469:D469)</f>
        <v>0</v>
      </c>
      <c r="E468" s="27">
        <f t="shared" si="181"/>
        <v>0</v>
      </c>
      <c r="F468" s="27">
        <f t="shared" si="181"/>
        <v>0</v>
      </c>
      <c r="G468" s="27">
        <f t="shared" si="181"/>
        <v>0</v>
      </c>
      <c r="H468" s="27">
        <f t="shared" si="181"/>
        <v>0</v>
      </c>
      <c r="I468" s="27">
        <f t="shared" si="181"/>
        <v>0</v>
      </c>
      <c r="J468" s="27">
        <f t="shared" si="181"/>
        <v>0</v>
      </c>
      <c r="K468" s="27">
        <f t="shared" si="181"/>
        <v>0</v>
      </c>
      <c r="L468" s="27">
        <f t="shared" si="181"/>
        <v>0</v>
      </c>
      <c r="M468" s="27">
        <f t="shared" si="181"/>
        <v>0</v>
      </c>
      <c r="N468" s="27">
        <f t="shared" si="181"/>
        <v>0</v>
      </c>
      <c r="O468" s="27">
        <f t="shared" si="181"/>
        <v>0</v>
      </c>
      <c r="P468" s="27">
        <f>IF(O$467=0,0,O468/O$467)</f>
        <v>0</v>
      </c>
      <c r="Q468" s="61"/>
    </row>
    <row r="469" spans="2:17" hidden="1" x14ac:dyDescent="0.2">
      <c r="B469" s="60"/>
      <c r="C469" s="27" t="s">
        <v>1584</v>
      </c>
      <c r="D469" s="27">
        <f>'2'!$H$14</f>
        <v>0</v>
      </c>
      <c r="E469" s="27">
        <f t="shared" ref="E469:O469" si="182">+D469</f>
        <v>0</v>
      </c>
      <c r="F469" s="27">
        <f t="shared" si="182"/>
        <v>0</v>
      </c>
      <c r="G469" s="27">
        <f t="shared" si="182"/>
        <v>0</v>
      </c>
      <c r="H469" s="27">
        <f t="shared" si="182"/>
        <v>0</v>
      </c>
      <c r="I469" s="27">
        <f t="shared" si="182"/>
        <v>0</v>
      </c>
      <c r="J469" s="27">
        <f t="shared" si="182"/>
        <v>0</v>
      </c>
      <c r="K469" s="27">
        <f t="shared" si="182"/>
        <v>0</v>
      </c>
      <c r="L469" s="27">
        <f t="shared" si="182"/>
        <v>0</v>
      </c>
      <c r="M469" s="27">
        <f t="shared" si="182"/>
        <v>0</v>
      </c>
      <c r="N469" s="27">
        <f t="shared" si="182"/>
        <v>0</v>
      </c>
      <c r="O469" s="27">
        <f t="shared" si="182"/>
        <v>0</v>
      </c>
      <c r="Q469" s="61"/>
    </row>
    <row r="470" spans="2:17" hidden="1" x14ac:dyDescent="0.2">
      <c r="B470" s="60"/>
      <c r="C470" s="27" t="s">
        <v>965</v>
      </c>
      <c r="D470" s="27">
        <f t="shared" ref="D470:O470" si="183">+D471</f>
        <v>0</v>
      </c>
      <c r="E470" s="27">
        <f t="shared" si="183"/>
        <v>0</v>
      </c>
      <c r="F470" s="27">
        <f t="shared" si="183"/>
        <v>0</v>
      </c>
      <c r="G470" s="27">
        <f t="shared" si="183"/>
        <v>0</v>
      </c>
      <c r="H470" s="27">
        <f t="shared" si="183"/>
        <v>0</v>
      </c>
      <c r="I470" s="27">
        <f t="shared" si="183"/>
        <v>0</v>
      </c>
      <c r="J470" s="27">
        <f t="shared" si="183"/>
        <v>0</v>
      </c>
      <c r="K470" s="27">
        <f t="shared" si="183"/>
        <v>0</v>
      </c>
      <c r="L470" s="27">
        <f t="shared" si="183"/>
        <v>0</v>
      </c>
      <c r="M470" s="27">
        <f t="shared" si="183"/>
        <v>0</v>
      </c>
      <c r="N470" s="27">
        <f t="shared" si="183"/>
        <v>0</v>
      </c>
      <c r="O470" s="27">
        <f t="shared" si="183"/>
        <v>0</v>
      </c>
      <c r="P470" s="27">
        <f>IF(O$467=0,0,O470/O$467)</f>
        <v>0</v>
      </c>
      <c r="Q470" s="61"/>
    </row>
    <row r="471" spans="2:17" hidden="1" x14ac:dyDescent="0.2">
      <c r="B471" s="60"/>
      <c r="C471" s="27" t="s">
        <v>585</v>
      </c>
      <c r="D471" s="27">
        <f>INFORME!G148</f>
        <v>0</v>
      </c>
      <c r="E471" s="27">
        <f>INFORME!H148</f>
        <v>0</v>
      </c>
      <c r="F471" s="27">
        <f>INFORME!I148</f>
        <v>0</v>
      </c>
      <c r="G471" s="27">
        <f>INFORME!J148</f>
        <v>0</v>
      </c>
      <c r="H471" s="27">
        <f>INFORME!K148</f>
        <v>0</v>
      </c>
      <c r="I471" s="27">
        <f>INFORME!L148</f>
        <v>0</v>
      </c>
      <c r="J471" s="27">
        <f>INFORME!M148</f>
        <v>0</v>
      </c>
      <c r="K471" s="27">
        <f>INFORME!N148</f>
        <v>0</v>
      </c>
      <c r="L471" s="27">
        <f>INFORME!O148</f>
        <v>0</v>
      </c>
      <c r="M471" s="27">
        <f>INFORME!P148</f>
        <v>0</v>
      </c>
      <c r="N471" s="27">
        <f>INFORME!Q148</f>
        <v>0</v>
      </c>
      <c r="O471" s="27">
        <f>INFORME!R148</f>
        <v>0</v>
      </c>
      <c r="Q471" s="61"/>
    </row>
    <row r="472" spans="2:17" hidden="1" x14ac:dyDescent="0.2">
      <c r="B472" s="60"/>
      <c r="C472" s="27" t="s">
        <v>1425</v>
      </c>
      <c r="D472" s="27">
        <f t="shared" ref="D472:O472" si="184">+D473</f>
        <v>0</v>
      </c>
      <c r="E472" s="27">
        <f t="shared" si="184"/>
        <v>0</v>
      </c>
      <c r="F472" s="27">
        <f t="shared" si="184"/>
        <v>0</v>
      </c>
      <c r="G472" s="27">
        <f t="shared" si="184"/>
        <v>0</v>
      </c>
      <c r="H472" s="27">
        <f t="shared" si="184"/>
        <v>0</v>
      </c>
      <c r="I472" s="27">
        <f t="shared" si="184"/>
        <v>0</v>
      </c>
      <c r="J472" s="27">
        <f t="shared" si="184"/>
        <v>0</v>
      </c>
      <c r="K472" s="27">
        <f t="shared" si="184"/>
        <v>0</v>
      </c>
      <c r="L472" s="27">
        <f t="shared" si="184"/>
        <v>0</v>
      </c>
      <c r="M472" s="27">
        <f t="shared" si="184"/>
        <v>0</v>
      </c>
      <c r="N472" s="27">
        <f t="shared" si="184"/>
        <v>0</v>
      </c>
      <c r="O472" s="27">
        <f t="shared" si="184"/>
        <v>0</v>
      </c>
      <c r="P472" s="27">
        <f>IF(O$466=0,0,O472/O$466)</f>
        <v>0</v>
      </c>
      <c r="Q472" s="61"/>
    </row>
    <row r="473" spans="2:17" hidden="1" x14ac:dyDescent="0.2">
      <c r="B473" s="60"/>
      <c r="C473" s="27" t="s">
        <v>966</v>
      </c>
      <c r="D473" s="27">
        <f>INFORME!G249</f>
        <v>0</v>
      </c>
      <c r="E473" s="27">
        <f>INFORME!H249+D473</f>
        <v>0</v>
      </c>
      <c r="F473" s="27">
        <f>INFORME!I249+E473</f>
        <v>0</v>
      </c>
      <c r="G473" s="27">
        <f>INFORME!J249+F473</f>
        <v>0</v>
      </c>
      <c r="H473" s="27">
        <f>INFORME!K249+G473</f>
        <v>0</v>
      </c>
      <c r="I473" s="27">
        <f>INFORME!L249+H473</f>
        <v>0</v>
      </c>
      <c r="J473" s="27">
        <f>INFORME!M249+I473</f>
        <v>0</v>
      </c>
      <c r="K473" s="27">
        <f>INFORME!N249+J473</f>
        <v>0</v>
      </c>
      <c r="L473" s="27">
        <f>INFORME!O249+K473</f>
        <v>0</v>
      </c>
      <c r="M473" s="27">
        <f>INFORME!P249+L473</f>
        <v>0</v>
      </c>
      <c r="N473" s="27">
        <f>INFORME!Q249+M473</f>
        <v>0</v>
      </c>
      <c r="O473" s="27">
        <f>INFORME!R249+N473</f>
        <v>0</v>
      </c>
      <c r="Q473" s="61"/>
    </row>
    <row r="474" spans="2:17" hidden="1" x14ac:dyDescent="0.2">
      <c r="B474" s="60"/>
      <c r="C474" s="27" t="s">
        <v>63</v>
      </c>
      <c r="D474" s="27">
        <f t="shared" ref="D474:O474" si="185">+D475+D482</f>
        <v>0</v>
      </c>
      <c r="E474" s="27">
        <f t="shared" si="185"/>
        <v>0</v>
      </c>
      <c r="F474" s="27">
        <f t="shared" si="185"/>
        <v>0</v>
      </c>
      <c r="G474" s="27">
        <f t="shared" si="185"/>
        <v>0</v>
      </c>
      <c r="H474" s="27">
        <f t="shared" si="185"/>
        <v>0</v>
      </c>
      <c r="I474" s="27">
        <f t="shared" si="185"/>
        <v>0</v>
      </c>
      <c r="J474" s="27">
        <f t="shared" si="185"/>
        <v>0</v>
      </c>
      <c r="K474" s="27">
        <f t="shared" si="185"/>
        <v>0</v>
      </c>
      <c r="L474" s="27">
        <f t="shared" si="185"/>
        <v>0</v>
      </c>
      <c r="M474" s="27">
        <f t="shared" si="185"/>
        <v>0</v>
      </c>
      <c r="N474" s="27">
        <f t="shared" si="185"/>
        <v>0</v>
      </c>
      <c r="O474" s="27">
        <f t="shared" si="185"/>
        <v>0</v>
      </c>
      <c r="P474" s="27">
        <f>IF(O$500=0,0,O474/O$500)</f>
        <v>0</v>
      </c>
      <c r="Q474" s="61"/>
    </row>
    <row r="475" spans="2:17" hidden="1" x14ac:dyDescent="0.2">
      <c r="B475" s="60"/>
      <c r="C475" s="27" t="s">
        <v>900</v>
      </c>
      <c r="D475" s="27">
        <f t="shared" ref="D475:O475" si="186">+D476</f>
        <v>0</v>
      </c>
      <c r="E475" s="27">
        <f t="shared" si="186"/>
        <v>0</v>
      </c>
      <c r="F475" s="27">
        <f t="shared" si="186"/>
        <v>0</v>
      </c>
      <c r="G475" s="27">
        <f t="shared" si="186"/>
        <v>0</v>
      </c>
      <c r="H475" s="27">
        <f t="shared" si="186"/>
        <v>0</v>
      </c>
      <c r="I475" s="27">
        <f t="shared" si="186"/>
        <v>0</v>
      </c>
      <c r="J475" s="27">
        <f t="shared" si="186"/>
        <v>0</v>
      </c>
      <c r="K475" s="27">
        <f t="shared" si="186"/>
        <v>0</v>
      </c>
      <c r="L475" s="27">
        <f t="shared" si="186"/>
        <v>0</v>
      </c>
      <c r="M475" s="27">
        <f t="shared" si="186"/>
        <v>0</v>
      </c>
      <c r="N475" s="27">
        <f t="shared" si="186"/>
        <v>0</v>
      </c>
      <c r="O475" s="27">
        <f t="shared" si="186"/>
        <v>0</v>
      </c>
      <c r="P475" s="27">
        <f>IF(O$474=0,0,O475/O$474)</f>
        <v>0</v>
      </c>
      <c r="Q475" s="61"/>
    </row>
    <row r="476" spans="2:17" hidden="1" x14ac:dyDescent="0.2">
      <c r="B476" s="60"/>
      <c r="C476" s="27" t="s">
        <v>81</v>
      </c>
      <c r="D476" s="27">
        <f t="shared" ref="D476:O476" si="187">+D477+D480</f>
        <v>0</v>
      </c>
      <c r="E476" s="27">
        <f t="shared" si="187"/>
        <v>0</v>
      </c>
      <c r="F476" s="27">
        <f t="shared" si="187"/>
        <v>0</v>
      </c>
      <c r="G476" s="27">
        <f t="shared" si="187"/>
        <v>0</v>
      </c>
      <c r="H476" s="27">
        <f t="shared" si="187"/>
        <v>0</v>
      </c>
      <c r="I476" s="27">
        <f t="shared" si="187"/>
        <v>0</v>
      </c>
      <c r="J476" s="27">
        <f t="shared" si="187"/>
        <v>0</v>
      </c>
      <c r="K476" s="27">
        <f t="shared" si="187"/>
        <v>0</v>
      </c>
      <c r="L476" s="27">
        <f t="shared" si="187"/>
        <v>0</v>
      </c>
      <c r="M476" s="27">
        <f t="shared" si="187"/>
        <v>0</v>
      </c>
      <c r="N476" s="27">
        <f t="shared" si="187"/>
        <v>0</v>
      </c>
      <c r="O476" s="27">
        <f t="shared" si="187"/>
        <v>0</v>
      </c>
      <c r="P476" s="27">
        <f t="shared" ref="P476:P481" si="188">IF(O$475=0,0,O476/O$475)</f>
        <v>0</v>
      </c>
      <c r="Q476" s="61"/>
    </row>
    <row r="477" spans="2:17" hidden="1" x14ac:dyDescent="0.2">
      <c r="B477" s="60"/>
      <c r="C477" s="27" t="s">
        <v>1415</v>
      </c>
      <c r="D477" s="27">
        <f t="shared" ref="D477:O477" si="189">SUM(D478:D479)</f>
        <v>0</v>
      </c>
      <c r="E477" s="27">
        <f t="shared" si="189"/>
        <v>0</v>
      </c>
      <c r="F477" s="27">
        <f t="shared" si="189"/>
        <v>0</v>
      </c>
      <c r="G477" s="27">
        <f t="shared" si="189"/>
        <v>0</v>
      </c>
      <c r="H477" s="27">
        <f t="shared" si="189"/>
        <v>0</v>
      </c>
      <c r="I477" s="27">
        <f t="shared" si="189"/>
        <v>0</v>
      </c>
      <c r="J477" s="27">
        <f t="shared" si="189"/>
        <v>0</v>
      </c>
      <c r="K477" s="27">
        <f t="shared" si="189"/>
        <v>0</v>
      </c>
      <c r="L477" s="27">
        <f t="shared" si="189"/>
        <v>0</v>
      </c>
      <c r="M477" s="27">
        <f t="shared" si="189"/>
        <v>0</v>
      </c>
      <c r="N477" s="27">
        <f t="shared" si="189"/>
        <v>0</v>
      </c>
      <c r="O477" s="27">
        <f t="shared" si="189"/>
        <v>0</v>
      </c>
      <c r="P477" s="27">
        <f t="shared" si="188"/>
        <v>0</v>
      </c>
      <c r="Q477" s="61"/>
    </row>
    <row r="478" spans="2:17" hidden="1" x14ac:dyDescent="0.2">
      <c r="B478" s="60"/>
      <c r="C478" s="27" t="s">
        <v>76</v>
      </c>
      <c r="D478" s="27">
        <f>prestamos!D26</f>
        <v>0</v>
      </c>
      <c r="E478" s="27">
        <f>prestamos!E26</f>
        <v>0</v>
      </c>
      <c r="F478" s="27">
        <f>prestamos!F26</f>
        <v>0</v>
      </c>
      <c r="G478" s="27">
        <f>prestamos!G26</f>
        <v>0</v>
      </c>
      <c r="H478" s="27">
        <f>prestamos!H26</f>
        <v>0</v>
      </c>
      <c r="I478" s="27">
        <f>prestamos!I26</f>
        <v>0</v>
      </c>
      <c r="J478" s="27">
        <f>prestamos!J26</f>
        <v>0</v>
      </c>
      <c r="K478" s="27">
        <f>prestamos!K26</f>
        <v>0</v>
      </c>
      <c r="L478" s="27">
        <f>prestamos!L26</f>
        <v>0</v>
      </c>
      <c r="M478" s="27">
        <f>prestamos!M26</f>
        <v>0</v>
      </c>
      <c r="N478" s="27">
        <f>prestamos!N26</f>
        <v>0</v>
      </c>
      <c r="O478" s="27">
        <f>prestamos!O26</f>
        <v>0</v>
      </c>
      <c r="P478" s="27">
        <f t="shared" si="188"/>
        <v>0</v>
      </c>
      <c r="Q478" s="61"/>
    </row>
    <row r="479" spans="2:17" hidden="1" x14ac:dyDescent="0.2">
      <c r="B479" s="60"/>
      <c r="C479" s="27" t="s">
        <v>1194</v>
      </c>
      <c r="D479" s="27">
        <f>prestamos!D27</f>
        <v>0</v>
      </c>
      <c r="E479" s="27">
        <f>prestamos!E27</f>
        <v>0</v>
      </c>
      <c r="F479" s="27">
        <f>prestamos!F27</f>
        <v>0</v>
      </c>
      <c r="G479" s="27">
        <f>prestamos!G27</f>
        <v>0</v>
      </c>
      <c r="H479" s="27">
        <f>prestamos!H27</f>
        <v>0</v>
      </c>
      <c r="I479" s="27">
        <f>prestamos!I27</f>
        <v>0</v>
      </c>
      <c r="J479" s="27">
        <f>prestamos!J27</f>
        <v>0</v>
      </c>
      <c r="K479" s="27">
        <f>prestamos!K27</f>
        <v>0</v>
      </c>
      <c r="L479" s="27">
        <f>prestamos!L27</f>
        <v>0</v>
      </c>
      <c r="M479" s="27">
        <f>prestamos!M27</f>
        <v>0</v>
      </c>
      <c r="N479" s="27">
        <f>prestamos!N27</f>
        <v>0</v>
      </c>
      <c r="O479" s="27">
        <f>prestamos!O27</f>
        <v>0</v>
      </c>
      <c r="P479" s="27">
        <f t="shared" si="188"/>
        <v>0</v>
      </c>
      <c r="Q479" s="61"/>
    </row>
    <row r="480" spans="2:17" hidden="1" x14ac:dyDescent="0.2">
      <c r="B480" s="60"/>
      <c r="C480" s="27" t="s">
        <v>560</v>
      </c>
      <c r="D480" s="27">
        <f t="shared" ref="D480:O480" si="190">SUM(D481:D481)</f>
        <v>0</v>
      </c>
      <c r="E480" s="27">
        <f t="shared" si="190"/>
        <v>0</v>
      </c>
      <c r="F480" s="27">
        <f t="shared" si="190"/>
        <v>0</v>
      </c>
      <c r="G480" s="27">
        <f t="shared" si="190"/>
        <v>0</v>
      </c>
      <c r="H480" s="27">
        <f t="shared" si="190"/>
        <v>0</v>
      </c>
      <c r="I480" s="27">
        <f t="shared" si="190"/>
        <v>0</v>
      </c>
      <c r="J480" s="27">
        <f t="shared" si="190"/>
        <v>0</v>
      </c>
      <c r="K480" s="27">
        <f t="shared" si="190"/>
        <v>0</v>
      </c>
      <c r="L480" s="27">
        <f t="shared" si="190"/>
        <v>0</v>
      </c>
      <c r="M480" s="27">
        <f t="shared" si="190"/>
        <v>0</v>
      </c>
      <c r="N480" s="27">
        <f t="shared" si="190"/>
        <v>0</v>
      </c>
      <c r="O480" s="27">
        <f t="shared" si="190"/>
        <v>0</v>
      </c>
      <c r="P480" s="27">
        <f t="shared" si="188"/>
        <v>0</v>
      </c>
      <c r="Q480" s="61"/>
    </row>
    <row r="481" spans="2:17" hidden="1" x14ac:dyDescent="0.2">
      <c r="B481" s="60"/>
      <c r="C481" s="27" t="s">
        <v>1417</v>
      </c>
      <c r="D481" s="27">
        <f>Pagoinversiones!E11</f>
        <v>0</v>
      </c>
      <c r="E481" s="27">
        <f>Pagoinversiones!F11</f>
        <v>0</v>
      </c>
      <c r="F481" s="27">
        <f>Pagoinversiones!G11</f>
        <v>0</v>
      </c>
      <c r="G481" s="27">
        <f>Pagoinversiones!H11</f>
        <v>0</v>
      </c>
      <c r="H481" s="27">
        <f>Pagoinversiones!I11</f>
        <v>0</v>
      </c>
      <c r="I481" s="27">
        <f>Pagoinversiones!J11</f>
        <v>0</v>
      </c>
      <c r="J481" s="27">
        <f>Pagoinversiones!K11</f>
        <v>0</v>
      </c>
      <c r="K481" s="27">
        <f>Pagoinversiones!L11</f>
        <v>0</v>
      </c>
      <c r="L481" s="27">
        <f>Pagoinversiones!M11</f>
        <v>0</v>
      </c>
      <c r="M481" s="27">
        <f>Pagoinversiones!N11</f>
        <v>0</v>
      </c>
      <c r="N481" s="27">
        <f>Pagoinversiones!O11</f>
        <v>0</v>
      </c>
      <c r="O481" s="27">
        <f>Pagoinversiones!P11</f>
        <v>0</v>
      </c>
      <c r="P481" s="27">
        <f t="shared" si="188"/>
        <v>0</v>
      </c>
      <c r="Q481" s="61"/>
    </row>
    <row r="482" spans="2:17" hidden="1" x14ac:dyDescent="0.2">
      <c r="B482" s="60"/>
      <c r="C482" s="27" t="s">
        <v>905</v>
      </c>
      <c r="D482" s="27">
        <f t="shared" ref="D482:O482" si="191">+D488+D485+D494+D483</f>
        <v>0</v>
      </c>
      <c r="E482" s="27">
        <f t="shared" si="191"/>
        <v>0</v>
      </c>
      <c r="F482" s="27">
        <f t="shared" si="191"/>
        <v>0</v>
      </c>
      <c r="G482" s="27">
        <f t="shared" si="191"/>
        <v>0</v>
      </c>
      <c r="H482" s="27">
        <f t="shared" si="191"/>
        <v>0</v>
      </c>
      <c r="I482" s="27">
        <f t="shared" si="191"/>
        <v>0</v>
      </c>
      <c r="J482" s="27">
        <f t="shared" si="191"/>
        <v>0</v>
      </c>
      <c r="K482" s="27">
        <f t="shared" si="191"/>
        <v>0</v>
      </c>
      <c r="L482" s="27">
        <f t="shared" si="191"/>
        <v>0</v>
      </c>
      <c r="M482" s="27">
        <f t="shared" si="191"/>
        <v>0</v>
      </c>
      <c r="N482" s="27">
        <f t="shared" si="191"/>
        <v>0</v>
      </c>
      <c r="O482" s="27">
        <f t="shared" si="191"/>
        <v>0</v>
      </c>
      <c r="P482" s="27">
        <f>IF(O$474=0,0,O482/O$474)</f>
        <v>0</v>
      </c>
      <c r="Q482" s="61"/>
    </row>
    <row r="483" spans="2:17" hidden="1" x14ac:dyDescent="0.2">
      <c r="B483" s="60"/>
      <c r="C483" s="27" t="s">
        <v>77</v>
      </c>
      <c r="D483" s="27">
        <f t="shared" ref="D483:O483" si="192">SUM(D484:D484)</f>
        <v>0</v>
      </c>
      <c r="E483" s="27">
        <f t="shared" si="192"/>
        <v>0</v>
      </c>
      <c r="F483" s="27">
        <f t="shared" si="192"/>
        <v>0</v>
      </c>
      <c r="G483" s="27">
        <f t="shared" si="192"/>
        <v>0</v>
      </c>
      <c r="H483" s="27">
        <f t="shared" si="192"/>
        <v>0</v>
      </c>
      <c r="I483" s="27">
        <f t="shared" si="192"/>
        <v>0</v>
      </c>
      <c r="J483" s="27">
        <f t="shared" si="192"/>
        <v>0</v>
      </c>
      <c r="K483" s="27">
        <f t="shared" si="192"/>
        <v>0</v>
      </c>
      <c r="L483" s="27">
        <f t="shared" si="192"/>
        <v>0</v>
      </c>
      <c r="M483" s="27">
        <f t="shared" si="192"/>
        <v>0</v>
      </c>
      <c r="N483" s="27">
        <f t="shared" si="192"/>
        <v>0</v>
      </c>
      <c r="O483" s="27">
        <f t="shared" si="192"/>
        <v>0</v>
      </c>
      <c r="P483" s="27">
        <f t="shared" ref="P483:P499" si="193">IF(O$482=0,0,O483/O$482)</f>
        <v>0</v>
      </c>
      <c r="Q483" s="61"/>
    </row>
    <row r="484" spans="2:17" hidden="1" x14ac:dyDescent="0.2">
      <c r="B484" s="60"/>
      <c r="C484" s="27" t="s">
        <v>276</v>
      </c>
      <c r="D484" s="27">
        <f>CTesorería!E29</f>
        <v>0</v>
      </c>
      <c r="E484" s="27">
        <f>CTesorería!F29+D484</f>
        <v>0</v>
      </c>
      <c r="F484" s="27">
        <f>CTesorería!G29+E484</f>
        <v>0</v>
      </c>
      <c r="G484" s="27">
        <f>CTesorería!H29+F484</f>
        <v>0</v>
      </c>
      <c r="H484" s="27">
        <f>CTesorería!I29+G484</f>
        <v>0</v>
      </c>
      <c r="I484" s="27">
        <f>CTesorería!J29+H484</f>
        <v>0</v>
      </c>
      <c r="J484" s="27">
        <f>CTesorería!K29+I484</f>
        <v>0</v>
      </c>
      <c r="K484" s="27">
        <f>CTesorería!L29+J484</f>
        <v>0</v>
      </c>
      <c r="L484" s="27">
        <f>CTesorería!M29+K484</f>
        <v>0</v>
      </c>
      <c r="M484" s="27">
        <f>CTesorería!N29+L484</f>
        <v>0</v>
      </c>
      <c r="N484" s="27">
        <f>CTesorería!O29+M484</f>
        <v>0</v>
      </c>
      <c r="O484" s="27">
        <f>CTesorería!P29+N484</f>
        <v>0</v>
      </c>
      <c r="P484" s="27">
        <f t="shared" si="193"/>
        <v>0</v>
      </c>
      <c r="Q484" s="61"/>
    </row>
    <row r="485" spans="2:17" hidden="1" x14ac:dyDescent="0.2">
      <c r="B485" s="60"/>
      <c r="C485" s="27" t="s">
        <v>1340</v>
      </c>
      <c r="D485" s="27">
        <f t="shared" ref="D485:O485" si="194">SUM(D486:D487)</f>
        <v>0</v>
      </c>
      <c r="E485" s="27">
        <f t="shared" si="194"/>
        <v>0</v>
      </c>
      <c r="F485" s="27">
        <f t="shared" si="194"/>
        <v>0</v>
      </c>
      <c r="G485" s="27">
        <f t="shared" si="194"/>
        <v>0</v>
      </c>
      <c r="H485" s="27">
        <f t="shared" si="194"/>
        <v>0</v>
      </c>
      <c r="I485" s="27">
        <f t="shared" si="194"/>
        <v>0</v>
      </c>
      <c r="J485" s="27">
        <f t="shared" si="194"/>
        <v>0</v>
      </c>
      <c r="K485" s="27">
        <f t="shared" si="194"/>
        <v>0</v>
      </c>
      <c r="L485" s="27">
        <f t="shared" si="194"/>
        <v>0</v>
      </c>
      <c r="M485" s="27">
        <f t="shared" si="194"/>
        <v>0</v>
      </c>
      <c r="N485" s="27">
        <f t="shared" si="194"/>
        <v>0</v>
      </c>
      <c r="O485" s="27">
        <f t="shared" si="194"/>
        <v>0</v>
      </c>
      <c r="P485" s="27">
        <f t="shared" si="193"/>
        <v>0</v>
      </c>
      <c r="Q485" s="61"/>
    </row>
    <row r="486" spans="2:17" hidden="1" x14ac:dyDescent="0.2">
      <c r="B486" s="60"/>
      <c r="C486" s="27" t="s">
        <v>1434</v>
      </c>
      <c r="D486" s="27">
        <f>prestamos!D25</f>
        <v>0</v>
      </c>
      <c r="E486" s="27">
        <f>prestamos!E25</f>
        <v>0</v>
      </c>
      <c r="F486" s="27">
        <f>prestamos!F25</f>
        <v>0</v>
      </c>
      <c r="G486" s="27">
        <f>prestamos!G25</f>
        <v>0</v>
      </c>
      <c r="H486" s="27">
        <f>prestamos!H25</f>
        <v>0</v>
      </c>
      <c r="I486" s="27">
        <f>prestamos!I25</f>
        <v>0</v>
      </c>
      <c r="J486" s="27">
        <f>prestamos!J25</f>
        <v>0</v>
      </c>
      <c r="K486" s="27">
        <f>prestamos!K25</f>
        <v>0</v>
      </c>
      <c r="L486" s="27">
        <f>prestamos!L25</f>
        <v>0</v>
      </c>
      <c r="M486" s="27">
        <f>prestamos!M25</f>
        <v>0</v>
      </c>
      <c r="N486" s="27">
        <f>prestamos!N25</f>
        <v>0</v>
      </c>
      <c r="O486" s="27">
        <f>prestamos!O25</f>
        <v>0</v>
      </c>
      <c r="P486" s="27">
        <f t="shared" si="193"/>
        <v>0</v>
      </c>
      <c r="Q486" s="61"/>
    </row>
    <row r="487" spans="2:17" hidden="1" x14ac:dyDescent="0.2">
      <c r="B487" s="60"/>
      <c r="C487" s="27" t="s">
        <v>56</v>
      </c>
      <c r="D487" s="27">
        <f>prestamos!D58</f>
        <v>0</v>
      </c>
      <c r="E487" s="27">
        <f>prestamos!E58</f>
        <v>0</v>
      </c>
      <c r="F487" s="27">
        <f>prestamos!F58</f>
        <v>0</v>
      </c>
      <c r="G487" s="27">
        <f>prestamos!G58</f>
        <v>0</v>
      </c>
      <c r="H487" s="27">
        <f>prestamos!H58</f>
        <v>0</v>
      </c>
      <c r="I487" s="27">
        <f>prestamos!I58</f>
        <v>0</v>
      </c>
      <c r="J487" s="27">
        <f>prestamos!J58</f>
        <v>0</v>
      </c>
      <c r="K487" s="27">
        <f>prestamos!K58</f>
        <v>0</v>
      </c>
      <c r="L487" s="27">
        <f>prestamos!L58</f>
        <v>0</v>
      </c>
      <c r="M487" s="27">
        <f>prestamos!M58</f>
        <v>0</v>
      </c>
      <c r="N487" s="27">
        <f>prestamos!N58</f>
        <v>0</v>
      </c>
      <c r="O487" s="27">
        <f>prestamos!O58</f>
        <v>0</v>
      </c>
      <c r="P487" s="27">
        <f t="shared" si="193"/>
        <v>0</v>
      </c>
      <c r="Q487" s="61"/>
    </row>
    <row r="488" spans="2:17" hidden="1" x14ac:dyDescent="0.2">
      <c r="B488" s="60"/>
      <c r="C488" s="27" t="s">
        <v>967</v>
      </c>
      <c r="D488" s="27">
        <f t="shared" ref="D488:O488" si="195">SUM(D489:D493)</f>
        <v>0</v>
      </c>
      <c r="E488" s="27">
        <f t="shared" si="195"/>
        <v>0</v>
      </c>
      <c r="F488" s="27">
        <f t="shared" si="195"/>
        <v>0</v>
      </c>
      <c r="G488" s="27">
        <f t="shared" si="195"/>
        <v>0</v>
      </c>
      <c r="H488" s="27">
        <f t="shared" si="195"/>
        <v>0</v>
      </c>
      <c r="I488" s="27">
        <f t="shared" si="195"/>
        <v>0</v>
      </c>
      <c r="J488" s="27">
        <f t="shared" si="195"/>
        <v>0</v>
      </c>
      <c r="K488" s="27">
        <f t="shared" si="195"/>
        <v>0</v>
      </c>
      <c r="L488" s="27">
        <f t="shared" si="195"/>
        <v>0</v>
      </c>
      <c r="M488" s="27">
        <f t="shared" si="195"/>
        <v>0</v>
      </c>
      <c r="N488" s="27">
        <f t="shared" si="195"/>
        <v>0</v>
      </c>
      <c r="O488" s="27">
        <f t="shared" si="195"/>
        <v>0</v>
      </c>
      <c r="P488" s="27">
        <f t="shared" si="193"/>
        <v>0</v>
      </c>
      <c r="Q488" s="61"/>
    </row>
    <row r="489" spans="2:17" hidden="1" x14ac:dyDescent="0.2">
      <c r="B489" s="60"/>
      <c r="C489" s="27" t="s">
        <v>78</v>
      </c>
      <c r="D489" s="27">
        <f>CTesorería!E129</f>
        <v>0</v>
      </c>
      <c r="E489" s="27">
        <f>CTesorería!F129</f>
        <v>0</v>
      </c>
      <c r="F489" s="27">
        <f>CTesorería!G129</f>
        <v>0</v>
      </c>
      <c r="G489" s="27">
        <f>CTesorería!H129</f>
        <v>0</v>
      </c>
      <c r="H489" s="27">
        <f>CTesorería!I129</f>
        <v>0</v>
      </c>
      <c r="I489" s="27">
        <f>CTesorería!J129</f>
        <v>0</v>
      </c>
      <c r="J489" s="27">
        <f>CTesorería!K129</f>
        <v>0</v>
      </c>
      <c r="K489" s="27">
        <f>CTesorería!L129</f>
        <v>0</v>
      </c>
      <c r="L489" s="27">
        <f>CTesorería!M129</f>
        <v>0</v>
      </c>
      <c r="M489" s="27">
        <f>CTesorería!N129</f>
        <v>0</v>
      </c>
      <c r="N489" s="27">
        <f>CTesorería!O129</f>
        <v>0</v>
      </c>
      <c r="O489" s="27">
        <f>CTesorería!P129</f>
        <v>0</v>
      </c>
      <c r="P489" s="27">
        <f t="shared" si="193"/>
        <v>0</v>
      </c>
      <c r="Q489" s="61"/>
    </row>
    <row r="490" spans="2:17" hidden="1" x14ac:dyDescent="0.2">
      <c r="B490" s="60"/>
      <c r="C490" s="27" t="s">
        <v>1479</v>
      </c>
      <c r="D490" s="27">
        <f>Pagoinversiones!J102</f>
        <v>0</v>
      </c>
      <c r="E490" s="27">
        <f>Pagoinversiones!K102</f>
        <v>0</v>
      </c>
      <c r="F490" s="27">
        <f>Pagoinversiones!L102</f>
        <v>0</v>
      </c>
      <c r="G490" s="27">
        <f>Pagoinversiones!M102</f>
        <v>0</v>
      </c>
      <c r="H490" s="27">
        <f>Pagoinversiones!N102</f>
        <v>0</v>
      </c>
      <c r="I490" s="27">
        <f>Pagoinversiones!O102</f>
        <v>0</v>
      </c>
      <c r="J490" s="27">
        <f>Pagoinversiones!P102</f>
        <v>0</v>
      </c>
      <c r="K490" s="27">
        <f>Pagoinversiones!Q102</f>
        <v>0</v>
      </c>
      <c r="L490" s="27">
        <f>Pagoinversiones!R102</f>
        <v>0</v>
      </c>
      <c r="M490" s="27">
        <f>Pagoinversiones!S102</f>
        <v>0</v>
      </c>
      <c r="N490" s="27">
        <f>Pagoinversiones!T102</f>
        <v>0</v>
      </c>
      <c r="O490" s="27">
        <f>Pagoinversiones!U102</f>
        <v>0</v>
      </c>
      <c r="P490" s="27">
        <f t="shared" si="193"/>
        <v>0</v>
      </c>
      <c r="Q490" s="61"/>
    </row>
    <row r="491" spans="2:17" hidden="1" x14ac:dyDescent="0.2">
      <c r="B491" s="60"/>
      <c r="C491" s="27" t="str">
        <f>Pagoinversiones!$C$103</f>
        <v>Stock Inicial</v>
      </c>
      <c r="D491" s="27">
        <f>Pagoinversiones!J103</f>
        <v>0</v>
      </c>
      <c r="E491" s="27">
        <f>Pagoinversiones!K103</f>
        <v>0</v>
      </c>
      <c r="F491" s="27">
        <f>Pagoinversiones!L103</f>
        <v>0</v>
      </c>
      <c r="G491" s="27">
        <f>Pagoinversiones!M103</f>
        <v>0</v>
      </c>
      <c r="H491" s="27">
        <f>Pagoinversiones!N103</f>
        <v>0</v>
      </c>
      <c r="I491" s="27">
        <f>Pagoinversiones!O103</f>
        <v>0</v>
      </c>
      <c r="J491" s="27">
        <f>Pagoinversiones!P103</f>
        <v>0</v>
      </c>
      <c r="K491" s="27">
        <f>Pagoinversiones!Q103</f>
        <v>0</v>
      </c>
      <c r="L491" s="27">
        <f>Pagoinversiones!R103</f>
        <v>0</v>
      </c>
      <c r="M491" s="27">
        <f>Pagoinversiones!S103</f>
        <v>0</v>
      </c>
      <c r="N491" s="27">
        <f>Pagoinversiones!T103</f>
        <v>0</v>
      </c>
      <c r="O491" s="27">
        <f>Pagoinversiones!U103</f>
        <v>0</v>
      </c>
      <c r="P491" s="27">
        <f t="shared" si="193"/>
        <v>0</v>
      </c>
      <c r="Q491" s="61"/>
    </row>
    <row r="492" spans="2:17" hidden="1" x14ac:dyDescent="0.2">
      <c r="B492" s="60"/>
      <c r="C492" s="27" t="s">
        <v>901</v>
      </c>
      <c r="D492" s="27">
        <f>Pagoinversiones!J104</f>
        <v>0</v>
      </c>
      <c r="E492" s="27">
        <f>Pagoinversiones!K104</f>
        <v>0</v>
      </c>
      <c r="F492" s="27">
        <f>Pagoinversiones!L104</f>
        <v>0</v>
      </c>
      <c r="G492" s="27">
        <f>Pagoinversiones!M104</f>
        <v>0</v>
      </c>
      <c r="H492" s="27">
        <f>Pagoinversiones!N104</f>
        <v>0</v>
      </c>
      <c r="I492" s="27">
        <f>Pagoinversiones!O104</f>
        <v>0</v>
      </c>
      <c r="J492" s="27">
        <f t="shared" ref="J492:O493" si="196">+I492</f>
        <v>0</v>
      </c>
      <c r="K492" s="27">
        <f t="shared" si="196"/>
        <v>0</v>
      </c>
      <c r="L492" s="27">
        <f t="shared" si="196"/>
        <v>0</v>
      </c>
      <c r="M492" s="27">
        <f t="shared" si="196"/>
        <v>0</v>
      </c>
      <c r="N492" s="27">
        <f t="shared" si="196"/>
        <v>0</v>
      </c>
      <c r="O492" s="27">
        <f t="shared" si="196"/>
        <v>0</v>
      </c>
      <c r="P492" s="27">
        <f t="shared" si="193"/>
        <v>0</v>
      </c>
      <c r="Q492" s="61"/>
    </row>
    <row r="493" spans="2:17" hidden="1" x14ac:dyDescent="0.2">
      <c r="B493" s="60"/>
      <c r="C493" s="27" t="s">
        <v>320</v>
      </c>
      <c r="D493" s="27">
        <f>Pagoinversiones!J105</f>
        <v>0</v>
      </c>
      <c r="E493" s="27">
        <f>Pagoinversiones!K105</f>
        <v>0</v>
      </c>
      <c r="F493" s="27">
        <f>Pagoinversiones!L105</f>
        <v>0</v>
      </c>
      <c r="G493" s="27">
        <f>Pagoinversiones!M105</f>
        <v>0</v>
      </c>
      <c r="H493" s="27">
        <f>Pagoinversiones!N105</f>
        <v>0</v>
      </c>
      <c r="I493" s="27">
        <f>Pagoinversiones!O105</f>
        <v>0</v>
      </c>
      <c r="J493" s="27">
        <f t="shared" si="196"/>
        <v>0</v>
      </c>
      <c r="K493" s="27">
        <f t="shared" si="196"/>
        <v>0</v>
      </c>
      <c r="L493" s="27">
        <f t="shared" si="196"/>
        <v>0</v>
      </c>
      <c r="M493" s="27">
        <f t="shared" si="196"/>
        <v>0</v>
      </c>
      <c r="N493" s="27">
        <f t="shared" si="196"/>
        <v>0</v>
      </c>
      <c r="O493" s="27">
        <f t="shared" si="196"/>
        <v>0</v>
      </c>
      <c r="P493" s="27">
        <f t="shared" si="193"/>
        <v>0</v>
      </c>
      <c r="Q493" s="61"/>
    </row>
    <row r="494" spans="2:17" hidden="1" x14ac:dyDescent="0.2">
      <c r="B494" s="60"/>
      <c r="C494" s="27" t="s">
        <v>968</v>
      </c>
      <c r="D494" s="27">
        <f t="shared" ref="D494:O494" si="197">SUM(D495:D499)</f>
        <v>0</v>
      </c>
      <c r="E494" s="27">
        <f t="shared" si="197"/>
        <v>0</v>
      </c>
      <c r="F494" s="27">
        <f t="shared" si="197"/>
        <v>0</v>
      </c>
      <c r="G494" s="27">
        <f t="shared" si="197"/>
        <v>0</v>
      </c>
      <c r="H494" s="27">
        <f t="shared" si="197"/>
        <v>0</v>
      </c>
      <c r="I494" s="27">
        <f t="shared" si="197"/>
        <v>0</v>
      </c>
      <c r="J494" s="27">
        <f t="shared" si="197"/>
        <v>0</v>
      </c>
      <c r="K494" s="27">
        <f t="shared" si="197"/>
        <v>0</v>
      </c>
      <c r="L494" s="27">
        <f t="shared" si="197"/>
        <v>0</v>
      </c>
      <c r="M494" s="27">
        <f t="shared" si="197"/>
        <v>0</v>
      </c>
      <c r="N494" s="27">
        <f t="shared" si="197"/>
        <v>0</v>
      </c>
      <c r="O494" s="27">
        <f t="shared" si="197"/>
        <v>0</v>
      </c>
      <c r="P494" s="27">
        <f t="shared" si="193"/>
        <v>0</v>
      </c>
      <c r="Q494" s="61"/>
    </row>
    <row r="495" spans="2:17" hidden="1" x14ac:dyDescent="0.2">
      <c r="B495" s="60"/>
      <c r="C495" s="27" t="s">
        <v>79</v>
      </c>
      <c r="D495" s="27">
        <f>CTesorería!E130</f>
        <v>0</v>
      </c>
      <c r="E495" s="27">
        <f>CTesorería!F130</f>
        <v>0</v>
      </c>
      <c r="F495" s="27">
        <f>CTesorería!G130</f>
        <v>0</v>
      </c>
      <c r="G495" s="27">
        <f>CTesorería!H130</f>
        <v>0</v>
      </c>
      <c r="H495" s="27">
        <f>CTesorería!I130</f>
        <v>0</v>
      </c>
      <c r="I495" s="27">
        <f>CTesorería!J130</f>
        <v>0</v>
      </c>
      <c r="J495" s="27">
        <f>CTesorería!K130</f>
        <v>0</v>
      </c>
      <c r="K495" s="27">
        <f>CTesorería!L130</f>
        <v>0</v>
      </c>
      <c r="L495" s="27">
        <f>CTesorería!M130</f>
        <v>0</v>
      </c>
      <c r="M495" s="27">
        <f>CTesorería!N130</f>
        <v>0</v>
      </c>
      <c r="N495" s="27">
        <f>CTesorería!O130</f>
        <v>0</v>
      </c>
      <c r="O495" s="27">
        <f>CTesorería!P130</f>
        <v>0</v>
      </c>
      <c r="P495" s="27">
        <f t="shared" si="193"/>
        <v>0</v>
      </c>
      <c r="Q495" s="61"/>
    </row>
    <row r="496" spans="2:17" hidden="1" x14ac:dyDescent="0.2">
      <c r="B496" s="60"/>
      <c r="C496" s="27" t="s">
        <v>421</v>
      </c>
      <c r="D496" s="27">
        <f>IF('6'!$F$22=SB!$C$171,CResult!H353,CResult!H352)</f>
        <v>0</v>
      </c>
      <c r="E496" s="27">
        <f>IF('6'!$F$22=SB!$C$171,CResult!I353,CResult!I352)</f>
        <v>0</v>
      </c>
      <c r="F496" s="27">
        <f>IF('6'!$F$22=SB!$C$171,CResult!J353,CResult!J352)</f>
        <v>0</v>
      </c>
      <c r="G496" s="27">
        <f>IF('6'!$F$22=SB!$C$171,CResult!K353,CResult!K352)</f>
        <v>0</v>
      </c>
      <c r="H496" s="27">
        <f>IF('6'!$F$22=SB!$C$171,CResult!L353,CResult!L352)</f>
        <v>0</v>
      </c>
      <c r="I496" s="27">
        <f>IF('6'!$F$22=SB!$C$171,CResult!M353,CResult!M352)</f>
        <v>0</v>
      </c>
      <c r="J496" s="27">
        <f>IF('6'!$F$22=SB!$C$171,CResult!N353,CResult!N352)</f>
        <v>0</v>
      </c>
      <c r="K496" s="27">
        <f>IF('6'!$F$22=SB!$C$171,CResult!O353,CResult!O352)</f>
        <v>0</v>
      </c>
      <c r="L496" s="27">
        <f>IF('6'!$F$22=SB!$C$171,CResult!P353,CResult!P352)</f>
        <v>0</v>
      </c>
      <c r="M496" s="27">
        <f>IF('6'!$F$22=SB!$C$171,CResult!Q353,CResult!Q352)</f>
        <v>0</v>
      </c>
      <c r="N496" s="27">
        <f>IF('6'!$F$22=SB!$C$171,CResult!R353,CResult!R352)</f>
        <v>0</v>
      </c>
      <c r="O496" s="27">
        <f>IF('6'!$F$22=SB!$C$171,CResult!S353,CResult!S352)</f>
        <v>0</v>
      </c>
      <c r="P496" s="27">
        <f t="shared" si="193"/>
        <v>0</v>
      </c>
      <c r="Q496" s="61"/>
    </row>
    <row r="497" spans="2:17" hidden="1" x14ac:dyDescent="0.2">
      <c r="B497" s="60"/>
      <c r="C497" s="27" t="s">
        <v>422</v>
      </c>
      <c r="D497" s="27">
        <f>IF('6'!$F$21=SB!$C$171,CResult!H364,CResult!H363)</f>
        <v>0</v>
      </c>
      <c r="E497" s="27">
        <f>IF('6'!$F$21=SB!$C$171,CResult!I364,CResult!I363)</f>
        <v>0</v>
      </c>
      <c r="F497" s="27">
        <f>IF('6'!$F$21=SB!$C$171,CResult!J364,CResult!J363)</f>
        <v>0</v>
      </c>
      <c r="G497" s="27">
        <f>IF('6'!$F$21=SB!$C$171,CResult!K364,CResult!K363)</f>
        <v>0</v>
      </c>
      <c r="H497" s="27">
        <f>IF('6'!$F$21=SB!$C$171,CResult!L364,CResult!L363)</f>
        <v>0</v>
      </c>
      <c r="I497" s="27">
        <f>IF('6'!$F$21=SB!$C$171,CResult!M364,CResult!M363)</f>
        <v>0</v>
      </c>
      <c r="J497" s="27">
        <f>IF('6'!$F$21=SB!$C$171,CResult!N364,CResult!N363)</f>
        <v>0</v>
      </c>
      <c r="K497" s="27">
        <f>IF('6'!$F$21=SB!$C$171,CResult!O364,CResult!O363)</f>
        <v>0</v>
      </c>
      <c r="L497" s="27">
        <f>IF('6'!$F$21=SB!$C$171,CResult!P364,CResult!P363)</f>
        <v>0</v>
      </c>
      <c r="M497" s="27">
        <f>IF('6'!$F$21=SB!$C$171,CResult!Q364,CResult!Q363)</f>
        <v>0</v>
      </c>
      <c r="N497" s="27">
        <f>IF('6'!$F$21=SB!$C$171,CResult!R364,CResult!R363)</f>
        <v>0</v>
      </c>
      <c r="O497" s="27">
        <f>IF('6'!$F$21=SB!$C$171,CResult!S364,CResult!S363)</f>
        <v>0</v>
      </c>
      <c r="P497" s="27">
        <f t="shared" si="193"/>
        <v>0</v>
      </c>
      <c r="Q497" s="61"/>
    </row>
    <row r="498" spans="2:17" hidden="1" x14ac:dyDescent="0.2">
      <c r="B498" s="60"/>
      <c r="C498" s="27" t="s">
        <v>423</v>
      </c>
      <c r="D498" s="27">
        <f>CResult!H86</f>
        <v>0</v>
      </c>
      <c r="E498" s="27">
        <f>CResult!I86</f>
        <v>0</v>
      </c>
      <c r="F498" s="27">
        <f>CResult!J86</f>
        <v>0</v>
      </c>
      <c r="G498" s="27">
        <f>CResult!K86</f>
        <v>0</v>
      </c>
      <c r="H498" s="27">
        <f>CResult!L86</f>
        <v>0</v>
      </c>
      <c r="I498" s="27">
        <f>CResult!M86</f>
        <v>0</v>
      </c>
      <c r="J498" s="27">
        <f>CResult!N86</f>
        <v>0</v>
      </c>
      <c r="K498" s="27">
        <f>CResult!O86</f>
        <v>0</v>
      </c>
      <c r="L498" s="27">
        <f>CResult!P86</f>
        <v>0</v>
      </c>
      <c r="M498" s="27">
        <f>CResult!Q86</f>
        <v>0</v>
      </c>
      <c r="N498" s="27">
        <f>CResult!R86</f>
        <v>0</v>
      </c>
      <c r="O498" s="27">
        <f>CResult!S86</f>
        <v>0</v>
      </c>
      <c r="P498" s="27">
        <f t="shared" si="193"/>
        <v>0</v>
      </c>
      <c r="Q498" s="61"/>
    </row>
    <row r="499" spans="2:17" hidden="1" x14ac:dyDescent="0.2">
      <c r="B499" s="60"/>
      <c r="C499" s="27" t="s">
        <v>1481</v>
      </c>
      <c r="D499" s="27">
        <f>+-INFORME!G145</f>
        <v>0</v>
      </c>
      <c r="E499" s="27">
        <f>+-INFORME!H145+D499</f>
        <v>0</v>
      </c>
      <c r="F499" s="27">
        <f>+-INFORME!I145+E499</f>
        <v>0</v>
      </c>
      <c r="G499" s="27">
        <f>+-INFORME!J145+F499</f>
        <v>0</v>
      </c>
      <c r="H499" s="27">
        <f>+-INFORME!K145+G499</f>
        <v>0</v>
      </c>
      <c r="I499" s="27">
        <f>+-INFORME!L145+H499</f>
        <v>0</v>
      </c>
      <c r="J499" s="27">
        <f>+-INFORME!M145+I499</f>
        <v>0</v>
      </c>
      <c r="K499" s="27">
        <f>+-INFORME!N145+J499</f>
        <v>0</v>
      </c>
      <c r="L499" s="27">
        <f>+-INFORME!O145+K499</f>
        <v>0</v>
      </c>
      <c r="M499" s="27">
        <f>+-INFORME!P145+L499</f>
        <v>0</v>
      </c>
      <c r="N499" s="27">
        <f>+-INFORME!Q145+M499</f>
        <v>0</v>
      </c>
      <c r="O499" s="27">
        <f>+-INFORME!R145+N499</f>
        <v>0</v>
      </c>
      <c r="P499" s="27">
        <f t="shared" si="193"/>
        <v>0</v>
      </c>
      <c r="Q499" s="61"/>
    </row>
    <row r="500" spans="2:17" hidden="1" x14ac:dyDescent="0.2">
      <c r="B500" s="60"/>
      <c r="C500" s="27" t="s">
        <v>969</v>
      </c>
      <c r="D500" s="27">
        <f t="shared" ref="D500:O500" si="198">+D474+D466</f>
        <v>0</v>
      </c>
      <c r="E500" s="27">
        <f t="shared" si="198"/>
        <v>0</v>
      </c>
      <c r="F500" s="27">
        <f t="shared" si="198"/>
        <v>0</v>
      </c>
      <c r="G500" s="27">
        <f t="shared" si="198"/>
        <v>0</v>
      </c>
      <c r="H500" s="27">
        <f t="shared" si="198"/>
        <v>0</v>
      </c>
      <c r="I500" s="27">
        <f t="shared" si="198"/>
        <v>0</v>
      </c>
      <c r="J500" s="27">
        <f t="shared" si="198"/>
        <v>0</v>
      </c>
      <c r="K500" s="27">
        <f t="shared" si="198"/>
        <v>0</v>
      </c>
      <c r="L500" s="27">
        <f t="shared" si="198"/>
        <v>0</v>
      </c>
      <c r="M500" s="27">
        <f t="shared" si="198"/>
        <v>0</v>
      </c>
      <c r="N500" s="27">
        <f t="shared" si="198"/>
        <v>0</v>
      </c>
      <c r="O500" s="27">
        <f t="shared" si="198"/>
        <v>0</v>
      </c>
      <c r="Q500" s="61"/>
    </row>
    <row r="501" spans="2:17" hidden="1" x14ac:dyDescent="0.2">
      <c r="B501" s="60"/>
      <c r="Q501" s="61"/>
    </row>
    <row r="502" spans="2:17" hidden="1" x14ac:dyDescent="0.2">
      <c r="B502" s="60"/>
      <c r="C502" s="27" t="s">
        <v>970</v>
      </c>
      <c r="D502" s="27">
        <f t="shared" ref="D502:O502" si="199">+D450-D482</f>
        <v>0</v>
      </c>
      <c r="E502" s="27">
        <f t="shared" si="199"/>
        <v>0</v>
      </c>
      <c r="F502" s="27">
        <f t="shared" si="199"/>
        <v>0</v>
      </c>
      <c r="G502" s="27">
        <f t="shared" si="199"/>
        <v>0</v>
      </c>
      <c r="H502" s="27">
        <f t="shared" si="199"/>
        <v>0</v>
      </c>
      <c r="I502" s="27">
        <f t="shared" si="199"/>
        <v>0</v>
      </c>
      <c r="J502" s="27">
        <f t="shared" si="199"/>
        <v>0</v>
      </c>
      <c r="K502" s="27">
        <f t="shared" si="199"/>
        <v>0</v>
      </c>
      <c r="L502" s="27">
        <f t="shared" si="199"/>
        <v>0</v>
      </c>
      <c r="M502" s="27">
        <f t="shared" si="199"/>
        <v>0</v>
      </c>
      <c r="N502" s="27">
        <f t="shared" si="199"/>
        <v>0</v>
      </c>
      <c r="O502" s="27">
        <f t="shared" si="199"/>
        <v>0</v>
      </c>
      <c r="P502" s="27">
        <f>IF(O$500=0,0,O502/O$500)</f>
        <v>0</v>
      </c>
      <c r="Q502" s="61"/>
    </row>
    <row r="503" spans="2:17" hidden="1" x14ac:dyDescent="0.2">
      <c r="B503" s="60"/>
      <c r="Q503" s="61"/>
    </row>
    <row r="504" spans="2:17" hidden="1" x14ac:dyDescent="0.2">
      <c r="B504" s="60"/>
      <c r="Q504" s="61"/>
    </row>
    <row r="505" spans="2:17" hidden="1" x14ac:dyDescent="0.2">
      <c r="B505" s="60"/>
      <c r="Q505" s="61"/>
    </row>
    <row r="506" spans="2:17" hidden="1" x14ac:dyDescent="0.2">
      <c r="B506" s="60"/>
      <c r="Q506" s="61"/>
    </row>
    <row r="507" spans="2:17" hidden="1" x14ac:dyDescent="0.2">
      <c r="B507" s="60"/>
      <c r="C507" s="27" t="s">
        <v>70</v>
      </c>
      <c r="Q507" s="61"/>
    </row>
    <row r="508" spans="2:17" hidden="1" x14ac:dyDescent="0.2">
      <c r="B508" s="60"/>
      <c r="C508" s="27" t="s">
        <v>1570</v>
      </c>
      <c r="D508" s="27">
        <f t="shared" ref="D508:O508" si="200">+D463-D500</f>
        <v>0</v>
      </c>
      <c r="E508" s="27">
        <f t="shared" si="200"/>
        <v>0</v>
      </c>
      <c r="F508" s="27">
        <f t="shared" si="200"/>
        <v>0</v>
      </c>
      <c r="G508" s="27">
        <f t="shared" si="200"/>
        <v>0</v>
      </c>
      <c r="H508" s="27">
        <f t="shared" si="200"/>
        <v>0</v>
      </c>
      <c r="I508" s="27">
        <f t="shared" si="200"/>
        <v>0</v>
      </c>
      <c r="J508" s="27">
        <f t="shared" si="200"/>
        <v>0</v>
      </c>
      <c r="K508" s="27">
        <f t="shared" si="200"/>
        <v>0</v>
      </c>
      <c r="L508" s="27">
        <f t="shared" si="200"/>
        <v>0</v>
      </c>
      <c r="M508" s="27">
        <f t="shared" si="200"/>
        <v>0</v>
      </c>
      <c r="N508" s="27">
        <f t="shared" si="200"/>
        <v>0</v>
      </c>
      <c r="O508" s="27">
        <f t="shared" si="200"/>
        <v>0</v>
      </c>
      <c r="Q508" s="61"/>
    </row>
    <row r="509" spans="2:17" hidden="1" x14ac:dyDescent="0.2">
      <c r="B509" s="60"/>
      <c r="C509" s="27">
        <f>COUNTIF(D502:O502,"&lt;0")</f>
        <v>0</v>
      </c>
      <c r="Q509" s="61"/>
    </row>
    <row r="510" spans="2:17" hidden="1" x14ac:dyDescent="0.2">
      <c r="B510" s="65"/>
      <c r="C510" s="66" t="s">
        <v>563</v>
      </c>
      <c r="D510" s="66"/>
      <c r="E510" s="66"/>
      <c r="F510" s="66"/>
      <c r="G510" s="66"/>
      <c r="H510" s="66"/>
      <c r="I510" s="66"/>
      <c r="J510" s="66"/>
      <c r="K510" s="66"/>
      <c r="L510" s="66"/>
      <c r="M510" s="66"/>
      <c r="N510" s="66"/>
      <c r="O510" s="66"/>
      <c r="P510" s="66"/>
      <c r="Q510" s="67"/>
    </row>
    <row r="511" spans="2:17" hidden="1" x14ac:dyDescent="0.2">
      <c r="B511" s="65"/>
      <c r="C511" s="66"/>
      <c r="D511" s="66"/>
      <c r="E511" s="66"/>
      <c r="F511" s="66"/>
      <c r="G511" s="66"/>
      <c r="H511" s="66"/>
      <c r="I511" s="66"/>
      <c r="J511" s="66"/>
      <c r="K511" s="66"/>
      <c r="L511" s="66"/>
      <c r="M511" s="66"/>
      <c r="N511" s="66"/>
      <c r="O511" s="66"/>
      <c r="P511" s="66"/>
      <c r="Q511" s="67"/>
    </row>
    <row r="512" spans="2:17" hidden="1" x14ac:dyDescent="0.2"/>
    <row r="513" spans="2:19" hidden="1" x14ac:dyDescent="0.2"/>
    <row r="514" spans="2:19" hidden="1" x14ac:dyDescent="0.2"/>
    <row r="515" spans="2:19" hidden="1" x14ac:dyDescent="0.2">
      <c r="B515" s="62"/>
      <c r="C515" s="63"/>
      <c r="D515" s="63" t="s">
        <v>1246</v>
      </c>
      <c r="E515" s="63"/>
      <c r="F515" s="63"/>
      <c r="G515" s="63"/>
      <c r="H515" s="63"/>
      <c r="I515" s="63"/>
      <c r="J515" s="63"/>
      <c r="K515" s="63"/>
      <c r="L515" s="63"/>
      <c r="M515" s="63"/>
      <c r="N515" s="63"/>
      <c r="O515" s="63"/>
      <c r="P515" s="63"/>
      <c r="Q515" s="63"/>
      <c r="R515" s="63"/>
      <c r="S515" s="64"/>
    </row>
    <row r="516" spans="2:19" hidden="1" x14ac:dyDescent="0.2">
      <c r="B516" s="60"/>
      <c r="D516" s="27" t="str">
        <f>'3'!G16</f>
        <v>Enero</v>
      </c>
      <c r="E516" s="27" t="str">
        <f>'3'!H16</f>
        <v>Febrero</v>
      </c>
      <c r="F516" s="27" t="str">
        <f>'3'!I16</f>
        <v>Marzo</v>
      </c>
      <c r="G516" s="27" t="str">
        <f>'3'!J16</f>
        <v>Abril</v>
      </c>
      <c r="H516" s="27" t="str">
        <f>'3'!K16</f>
        <v xml:space="preserve">Mayo </v>
      </c>
      <c r="I516" s="27" t="str">
        <f>'3'!L16</f>
        <v>Junio</v>
      </c>
      <c r="J516" s="27" t="str">
        <f>'3'!M16</f>
        <v>Julio</v>
      </c>
      <c r="K516" s="27" t="str">
        <f>'3'!N16</f>
        <v>Agosto</v>
      </c>
      <c r="L516" s="27" t="str">
        <f>'3'!O16</f>
        <v>Septiembre</v>
      </c>
      <c r="M516" s="27" t="str">
        <f>'3'!P16</f>
        <v>Octubre</v>
      </c>
      <c r="N516" s="27" t="str">
        <f>'3'!Q16</f>
        <v>Noviembre</v>
      </c>
      <c r="O516" s="27" t="str">
        <f>'3'!R16</f>
        <v>Diciembre</v>
      </c>
      <c r="S516" s="61"/>
    </row>
    <row r="517" spans="2:19" hidden="1" x14ac:dyDescent="0.2">
      <c r="B517" s="60"/>
      <c r="C517" s="27" t="s">
        <v>1387</v>
      </c>
      <c r="D517" s="27">
        <f>INFORME!G89</f>
        <v>0</v>
      </c>
      <c r="E517" s="27">
        <f>INFORME!H89</f>
        <v>0</v>
      </c>
      <c r="F517" s="27">
        <f>INFORME!I89</f>
        <v>0</v>
      </c>
      <c r="G517" s="27">
        <f>INFORME!J89</f>
        <v>0</v>
      </c>
      <c r="H517" s="27">
        <f>INFORME!K89</f>
        <v>0</v>
      </c>
      <c r="I517" s="27">
        <f>INFORME!L89</f>
        <v>0</v>
      </c>
      <c r="J517" s="27">
        <f>INFORME!M89</f>
        <v>0</v>
      </c>
      <c r="K517" s="27">
        <f>INFORME!N89</f>
        <v>0</v>
      </c>
      <c r="L517" s="27">
        <f>INFORME!O89</f>
        <v>0</v>
      </c>
      <c r="M517" s="27">
        <f>INFORME!P89</f>
        <v>0</v>
      </c>
      <c r="N517" s="27">
        <f>INFORME!Q89</f>
        <v>0</v>
      </c>
      <c r="O517" s="27">
        <f>INFORME!R89</f>
        <v>0</v>
      </c>
      <c r="P517" s="27">
        <f>SUM(D517:O517)</f>
        <v>0</v>
      </c>
      <c r="Q517" s="27" t="s">
        <v>1251</v>
      </c>
      <c r="R517" s="27" t="s">
        <v>1252</v>
      </c>
      <c r="S517" s="61" t="s">
        <v>1253</v>
      </c>
    </row>
    <row r="518" spans="2:19" hidden="1" x14ac:dyDescent="0.2">
      <c r="B518" s="60"/>
      <c r="C518" s="27" t="s">
        <v>1247</v>
      </c>
      <c r="D518" s="27">
        <f>INFORME!G197</f>
        <v>0</v>
      </c>
      <c r="E518" s="27">
        <f>INFORME!H197</f>
        <v>0</v>
      </c>
      <c r="F518" s="27">
        <f>INFORME!I197</f>
        <v>0</v>
      </c>
      <c r="G518" s="27">
        <f>INFORME!J197</f>
        <v>0</v>
      </c>
      <c r="H518" s="27">
        <f>INFORME!K197</f>
        <v>0</v>
      </c>
      <c r="I518" s="27">
        <f>INFORME!L197</f>
        <v>0</v>
      </c>
      <c r="J518" s="27">
        <f>INFORME!M197</f>
        <v>0</v>
      </c>
      <c r="K518" s="27">
        <f>INFORME!N197</f>
        <v>0</v>
      </c>
      <c r="L518" s="27">
        <f>INFORME!O197</f>
        <v>0</v>
      </c>
      <c r="M518" s="27">
        <f>INFORME!P197</f>
        <v>0</v>
      </c>
      <c r="N518" s="27">
        <f>INFORME!Q197</f>
        <v>0</v>
      </c>
      <c r="O518" s="27">
        <f>INFORME!R197</f>
        <v>0</v>
      </c>
      <c r="S518" s="61"/>
    </row>
    <row r="519" spans="2:19" hidden="1" x14ac:dyDescent="0.2">
      <c r="B519" s="60"/>
      <c r="C519" s="27" t="s">
        <v>344</v>
      </c>
      <c r="D519" s="27">
        <f>INFORME!G199</f>
        <v>0</v>
      </c>
      <c r="E519" s="27">
        <f>INFORME!H199</f>
        <v>0</v>
      </c>
      <c r="F519" s="27">
        <f>INFORME!I199</f>
        <v>0</v>
      </c>
      <c r="G519" s="27">
        <f>INFORME!J199</f>
        <v>0</v>
      </c>
      <c r="H519" s="27">
        <f>INFORME!K199</f>
        <v>0</v>
      </c>
      <c r="I519" s="27">
        <f>INFORME!L199</f>
        <v>0</v>
      </c>
      <c r="J519" s="27">
        <f>INFORME!M199</f>
        <v>0</v>
      </c>
      <c r="K519" s="27">
        <f>INFORME!N199</f>
        <v>0</v>
      </c>
      <c r="L519" s="27">
        <f>INFORME!O199</f>
        <v>0</v>
      </c>
      <c r="M519" s="27">
        <f>INFORME!P199</f>
        <v>0</v>
      </c>
      <c r="N519" s="27">
        <f>INFORME!Q199</f>
        <v>0</v>
      </c>
      <c r="O519" s="27">
        <f>INFORME!R199</f>
        <v>0</v>
      </c>
      <c r="S519" s="61"/>
    </row>
    <row r="520" spans="2:19" hidden="1" x14ac:dyDescent="0.2">
      <c r="B520" s="60"/>
      <c r="C520" s="27" t="s">
        <v>1382</v>
      </c>
      <c r="D520" s="27">
        <f>INFORME!G131+INFORME!G133+INFORME!G138</f>
        <v>0</v>
      </c>
      <c r="E520" s="27">
        <f>INFORME!H131+INFORME!H133+INFORME!H138</f>
        <v>0</v>
      </c>
      <c r="F520" s="27">
        <f>INFORME!I131+INFORME!I133+INFORME!I138</f>
        <v>0</v>
      </c>
      <c r="G520" s="27">
        <f>INFORME!J131+INFORME!J133+INFORME!J138</f>
        <v>0</v>
      </c>
      <c r="H520" s="27">
        <f>INFORME!K131+INFORME!K133+INFORME!K138</f>
        <v>0</v>
      </c>
      <c r="I520" s="27">
        <f>INFORME!L131+INFORME!L133+INFORME!L138</f>
        <v>0</v>
      </c>
      <c r="J520" s="27">
        <f>INFORME!M131+INFORME!M133+INFORME!M138</f>
        <v>0</v>
      </c>
      <c r="K520" s="27">
        <f>INFORME!N131+INFORME!N133+INFORME!N138</f>
        <v>0</v>
      </c>
      <c r="L520" s="27">
        <f>INFORME!O131+INFORME!O133+INFORME!O138</f>
        <v>0</v>
      </c>
      <c r="M520" s="27">
        <f>INFORME!P131+INFORME!P133+INFORME!P138</f>
        <v>0</v>
      </c>
      <c r="N520" s="27">
        <f>INFORME!Q131+INFORME!Q133+INFORME!Q138</f>
        <v>0</v>
      </c>
      <c r="O520" s="27">
        <f>INFORME!R131+INFORME!R133+INFORME!R138</f>
        <v>0</v>
      </c>
      <c r="P520" s="27">
        <f>SUM(D520:O520)</f>
        <v>0</v>
      </c>
      <c r="S520" s="61"/>
    </row>
    <row r="521" spans="2:19" hidden="1" x14ac:dyDescent="0.2">
      <c r="B521" s="60"/>
      <c r="C521" s="27" t="s">
        <v>1249</v>
      </c>
      <c r="D521" s="27">
        <f>INFORME!G144</f>
        <v>0</v>
      </c>
      <c r="E521" s="27">
        <f>INFORME!H144</f>
        <v>0</v>
      </c>
      <c r="F521" s="27">
        <f>INFORME!I144</f>
        <v>0</v>
      </c>
      <c r="G521" s="27">
        <f>INFORME!J144</f>
        <v>0</v>
      </c>
      <c r="H521" s="27">
        <f>INFORME!K144</f>
        <v>0</v>
      </c>
      <c r="I521" s="27">
        <f>INFORME!L144</f>
        <v>0</v>
      </c>
      <c r="J521" s="27">
        <f>INFORME!M144</f>
        <v>0</v>
      </c>
      <c r="K521" s="27">
        <f>INFORME!N144</f>
        <v>0</v>
      </c>
      <c r="L521" s="27">
        <f>INFORME!O144</f>
        <v>0</v>
      </c>
      <c r="M521" s="27">
        <f>INFORME!P144</f>
        <v>0</v>
      </c>
      <c r="N521" s="27">
        <f>INFORME!Q144</f>
        <v>0</v>
      </c>
      <c r="O521" s="27">
        <f>INFORME!R144</f>
        <v>0</v>
      </c>
      <c r="P521" s="27">
        <f>SUM(D521:O521)</f>
        <v>0</v>
      </c>
      <c r="S521" s="61"/>
    </row>
    <row r="522" spans="2:19" hidden="1" x14ac:dyDescent="0.2">
      <c r="B522" s="60"/>
      <c r="S522" s="61"/>
    </row>
    <row r="523" spans="2:19" hidden="1" x14ac:dyDescent="0.2">
      <c r="B523" s="60"/>
      <c r="S523" s="61"/>
    </row>
    <row r="524" spans="2:19" hidden="1" x14ac:dyDescent="0.2">
      <c r="B524" s="60"/>
      <c r="S524" s="61"/>
    </row>
    <row r="525" spans="2:19" hidden="1" x14ac:dyDescent="0.2">
      <c r="B525" s="60"/>
      <c r="C525" s="27" t="s">
        <v>1250</v>
      </c>
      <c r="S525" s="61"/>
    </row>
    <row r="526" spans="2:19" hidden="1" x14ac:dyDescent="0.2">
      <c r="B526" s="60"/>
      <c r="C526" s="27" t="s">
        <v>946</v>
      </c>
      <c r="S526" s="61"/>
    </row>
    <row r="527" spans="2:19" hidden="1" x14ac:dyDescent="0.2">
      <c r="B527" s="60"/>
      <c r="C527" s="27" t="s">
        <v>1248</v>
      </c>
      <c r="S527" s="61"/>
    </row>
    <row r="528" spans="2:19" hidden="1" x14ac:dyDescent="0.2">
      <c r="B528" s="65"/>
      <c r="C528" s="66"/>
      <c r="D528" s="66"/>
      <c r="E528" s="66"/>
      <c r="F528" s="66"/>
      <c r="G528" s="66"/>
      <c r="H528" s="66"/>
      <c r="I528" s="66"/>
      <c r="J528" s="66"/>
      <c r="K528" s="66"/>
      <c r="L528" s="66"/>
      <c r="M528" s="66"/>
      <c r="N528" s="66"/>
      <c r="O528" s="66"/>
      <c r="P528" s="66"/>
      <c r="Q528" s="66"/>
      <c r="R528" s="66"/>
      <c r="S528" s="67"/>
    </row>
    <row r="529" spans="2:26" x14ac:dyDescent="0.2">
      <c r="B529" s="139"/>
      <c r="C529" s="139"/>
      <c r="D529" s="286"/>
      <c r="E529" s="286"/>
      <c r="F529" s="286"/>
      <c r="G529" s="286"/>
      <c r="H529" s="286"/>
      <c r="I529" s="286"/>
      <c r="J529" s="286"/>
      <c r="K529" s="286"/>
      <c r="L529" s="286"/>
      <c r="M529" s="286"/>
      <c r="N529" s="286"/>
      <c r="O529" s="286"/>
      <c r="P529" s="286"/>
      <c r="Q529" s="139"/>
      <c r="R529" s="139"/>
      <c r="S529" s="139"/>
      <c r="T529" s="139"/>
      <c r="U529" s="139"/>
      <c r="V529" s="139"/>
      <c r="W529" s="139"/>
      <c r="X529" s="139"/>
      <c r="Y529" s="139"/>
      <c r="Z529" s="139"/>
    </row>
    <row r="530" spans="2:26" x14ac:dyDescent="0.2">
      <c r="B530" s="139"/>
      <c r="C530" s="139"/>
      <c r="D530" s="286"/>
      <c r="E530" s="286"/>
      <c r="F530" s="286"/>
      <c r="G530" s="286"/>
      <c r="H530" s="286"/>
      <c r="I530" s="286"/>
      <c r="J530" s="286"/>
      <c r="K530" s="286"/>
      <c r="L530" s="286"/>
      <c r="M530" s="286"/>
      <c r="N530" s="286"/>
      <c r="O530" s="286"/>
      <c r="P530" s="286"/>
      <c r="Q530" s="139"/>
      <c r="R530" s="139"/>
      <c r="S530" s="139"/>
      <c r="T530" s="139"/>
      <c r="U530" s="139"/>
      <c r="V530" s="139"/>
      <c r="W530" s="139"/>
      <c r="X530" s="139"/>
      <c r="Y530" s="139"/>
      <c r="Z530" s="139"/>
    </row>
    <row r="531" spans="2:26" x14ac:dyDescent="0.2">
      <c r="B531" s="139"/>
      <c r="C531" s="139"/>
      <c r="D531" s="286"/>
      <c r="E531" s="286"/>
      <c r="F531" s="286"/>
      <c r="G531" s="286"/>
      <c r="H531" s="286"/>
      <c r="I531" s="286"/>
      <c r="J531" s="286"/>
      <c r="K531" s="286"/>
      <c r="L531" s="286"/>
      <c r="M531" s="286"/>
      <c r="N531" s="286"/>
      <c r="O531" s="286"/>
      <c r="P531" s="286"/>
      <c r="Q531" s="139"/>
      <c r="R531" s="139"/>
      <c r="S531" s="139"/>
      <c r="T531" s="139"/>
      <c r="U531" s="139"/>
      <c r="V531" s="139"/>
      <c r="W531" s="139"/>
      <c r="X531" s="139"/>
      <c r="Y531" s="139"/>
      <c r="Z531" s="139"/>
    </row>
    <row r="532" spans="2:26" x14ac:dyDescent="0.2">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2:26" x14ac:dyDescent="0.2">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2:26" x14ac:dyDescent="0.2">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2:26" x14ac:dyDescent="0.2">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2:26" x14ac:dyDescent="0.2">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2:26" x14ac:dyDescent="0.2">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2:26" x14ac:dyDescent="0.2">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2:26" x14ac:dyDescent="0.2">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2:26" x14ac:dyDescent="0.2">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2:26" x14ac:dyDescent="0.2">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2:26" x14ac:dyDescent="0.2">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2:26" x14ac:dyDescent="0.2">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2:26" x14ac:dyDescent="0.2">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2:26" x14ac:dyDescent="0.2">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2:26" x14ac:dyDescent="0.2">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2:26" x14ac:dyDescent="0.2">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2:26" x14ac:dyDescent="0.2">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2:26" x14ac:dyDescent="0.2">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2:26" x14ac:dyDescent="0.2">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2:26" x14ac:dyDescent="0.2">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2:26" x14ac:dyDescent="0.2">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2:26" x14ac:dyDescent="0.2">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2:26" x14ac:dyDescent="0.2">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2:26" x14ac:dyDescent="0.2">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2:26" x14ac:dyDescent="0.2">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2:26" x14ac:dyDescent="0.2">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2:26" x14ac:dyDescent="0.2">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2:26" x14ac:dyDescent="0.2">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2:26" x14ac:dyDescent="0.2">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2:26" x14ac:dyDescent="0.2">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2:26" x14ac:dyDescent="0.2">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2:26" x14ac:dyDescent="0.2">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2:26" x14ac:dyDescent="0.2">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2:26" x14ac:dyDescent="0.2">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2:26" x14ac:dyDescent="0.2">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2:26" x14ac:dyDescent="0.2">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2:26" x14ac:dyDescent="0.2">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2:26" x14ac:dyDescent="0.2">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2:26" x14ac:dyDescent="0.2">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2:26" x14ac:dyDescent="0.2">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2:26" x14ac:dyDescent="0.2">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2:26" x14ac:dyDescent="0.2">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2:26" x14ac:dyDescent="0.2">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2:26" x14ac:dyDescent="0.2">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2:26" x14ac:dyDescent="0.2">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2:26" x14ac:dyDescent="0.2">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2:26" x14ac:dyDescent="0.2">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2:26" x14ac:dyDescent="0.2">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2:26" x14ac:dyDescent="0.2">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2:26" x14ac:dyDescent="0.2">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2:26" x14ac:dyDescent="0.2">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2:26" x14ac:dyDescent="0.2">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2:26" x14ac:dyDescent="0.2">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2:26" x14ac:dyDescent="0.2">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2:26" x14ac:dyDescent="0.2">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2:26" x14ac:dyDescent="0.2">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2:26" x14ac:dyDescent="0.2">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2:26" x14ac:dyDescent="0.2">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2:26" x14ac:dyDescent="0.2">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2:26" x14ac:dyDescent="0.2">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2:26" x14ac:dyDescent="0.2">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sheetData>
  <sheetProtection password="E65B" sheet="1" objects="1" scenarios="1"/>
  <phoneticPr fontId="2" type="noConversion"/>
  <pageMargins left="0.75" right="0.75" top="1" bottom="1" header="0" footer="0"/>
  <pageSetup paperSize="9" orientation="portrait" horizontalDpi="4294967292"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tabColor indexed="23"/>
  </sheetPr>
  <dimension ref="A1:CO543"/>
  <sheetViews>
    <sheetView showGridLines="0" showOutlineSymbols="0" workbookViewId="0">
      <pane xSplit="2" ySplit="2" topLeftCell="C93" activePane="bottomRight" state="frozen"/>
      <selection activeCell="B1" sqref="B1"/>
      <selection pane="topRight" activeCell="C1" sqref="C1"/>
      <selection pane="bottomLeft" activeCell="B3" sqref="B3"/>
      <selection pane="bottomRight" activeCell="K132" sqref="K132"/>
    </sheetView>
  </sheetViews>
  <sheetFormatPr baseColWidth="10" defaultRowHeight="12.75" x14ac:dyDescent="0.2"/>
  <cols>
    <col min="1" max="1" width="11.42578125" hidden="1" customWidth="1"/>
    <col min="2" max="2" width="8.7109375" style="23" customWidth="1"/>
    <col min="3" max="3" width="20.42578125" style="23" customWidth="1"/>
    <col min="4" max="4" width="11.28515625" style="23" customWidth="1"/>
    <col min="5" max="10" width="8.7109375" style="23" customWidth="1"/>
    <col min="11" max="11" width="9" style="23" customWidth="1"/>
    <col min="12" max="12" width="10.7109375" style="23" customWidth="1"/>
    <col min="13" max="13" width="16.28515625" style="23" customWidth="1"/>
    <col min="14" max="15" width="8.7109375" style="23" customWidth="1"/>
    <col min="16" max="16" width="11.140625" style="23" customWidth="1"/>
    <col min="17" max="26" width="8.7109375" style="23" customWidth="1"/>
    <col min="27" max="43" width="8.7109375" style="15" customWidth="1"/>
    <col min="44" max="44" width="10.85546875" style="15" customWidth="1"/>
    <col min="45" max="45" width="11.7109375" style="15" customWidth="1"/>
    <col min="46" max="46" width="10.5703125" style="15" customWidth="1"/>
    <col min="47" max="54" width="8.7109375" style="15" customWidth="1"/>
    <col min="55" max="93" width="11.42578125" style="15"/>
  </cols>
  <sheetData>
    <row r="1" spans="2:18" s="27" customFormat="1" ht="11.25" x14ac:dyDescent="0.2"/>
    <row r="2" spans="2:18" s="27" customFormat="1" ht="14.25" customHeight="1" x14ac:dyDescent="0.2">
      <c r="C2" s="1347" t="s">
        <v>1506</v>
      </c>
    </row>
    <row r="3" spans="2:18" s="27" customFormat="1" ht="11.25" hidden="1" x14ac:dyDescent="0.2">
      <c r="B3" s="62"/>
      <c r="C3" s="63"/>
      <c r="D3" s="63"/>
      <c r="E3" s="63"/>
      <c r="F3" s="63"/>
      <c r="G3" s="63"/>
      <c r="H3" s="63"/>
      <c r="I3" s="63"/>
      <c r="J3" s="63"/>
      <c r="K3" s="63"/>
      <c r="L3" s="63"/>
      <c r="M3" s="63"/>
      <c r="N3" s="63"/>
      <c r="O3" s="63"/>
      <c r="P3" s="63"/>
      <c r="Q3" s="63"/>
      <c r="R3" s="64"/>
    </row>
    <row r="4" spans="2:18" s="27" customFormat="1" ht="11.25" hidden="1" x14ac:dyDescent="0.2">
      <c r="B4" s="60" t="s">
        <v>169</v>
      </c>
      <c r="R4" s="61"/>
    </row>
    <row r="5" spans="2:18" s="27" customFormat="1" ht="11.25" hidden="1" x14ac:dyDescent="0.2">
      <c r="B5" s="60"/>
      <c r="C5" s="27" t="s">
        <v>955</v>
      </c>
      <c r="D5" s="27">
        <f t="shared" ref="D5:O5" si="0">R59</f>
        <v>1</v>
      </c>
      <c r="E5" s="27">
        <f t="shared" si="0"/>
        <v>2</v>
      </c>
      <c r="F5" s="27">
        <f t="shared" si="0"/>
        <v>3</v>
      </c>
      <c r="G5" s="27">
        <f t="shared" si="0"/>
        <v>4</v>
      </c>
      <c r="H5" s="27">
        <f t="shared" si="0"/>
        <v>5</v>
      </c>
      <c r="I5" s="27">
        <f t="shared" si="0"/>
        <v>6</v>
      </c>
      <c r="J5" s="27">
        <f t="shared" si="0"/>
        <v>7</v>
      </c>
      <c r="K5" s="27">
        <f t="shared" si="0"/>
        <v>8</v>
      </c>
      <c r="L5" s="27">
        <f t="shared" si="0"/>
        <v>9</v>
      </c>
      <c r="M5" s="27">
        <f t="shared" si="0"/>
        <v>10</v>
      </c>
      <c r="N5" s="27">
        <f t="shared" si="0"/>
        <v>11</v>
      </c>
      <c r="O5" s="27">
        <f t="shared" si="0"/>
        <v>12</v>
      </c>
      <c r="P5" s="27" t="s">
        <v>1308</v>
      </c>
      <c r="R5" s="61"/>
    </row>
    <row r="6" spans="2:18" s="27" customFormat="1" ht="11.25" hidden="1" x14ac:dyDescent="0.2">
      <c r="B6" s="60"/>
      <c r="C6" s="27" t="s">
        <v>871</v>
      </c>
      <c r="D6" s="27">
        <f>R102</f>
        <v>0</v>
      </c>
      <c r="E6" s="27">
        <f>S102</f>
        <v>0</v>
      </c>
      <c r="F6" s="27">
        <f>T102</f>
        <v>0</v>
      </c>
      <c r="G6" s="27">
        <f t="shared" ref="G6:O6" si="1">U102</f>
        <v>0</v>
      </c>
      <c r="H6" s="27">
        <f t="shared" si="1"/>
        <v>0</v>
      </c>
      <c r="I6" s="27">
        <f t="shared" si="1"/>
        <v>0</v>
      </c>
      <c r="J6" s="27">
        <f t="shared" si="1"/>
        <v>0</v>
      </c>
      <c r="K6" s="27">
        <f t="shared" si="1"/>
        <v>0</v>
      </c>
      <c r="L6" s="27">
        <f t="shared" si="1"/>
        <v>0</v>
      </c>
      <c r="M6" s="27">
        <f t="shared" si="1"/>
        <v>0</v>
      </c>
      <c r="N6" s="27">
        <f t="shared" si="1"/>
        <v>0</v>
      </c>
      <c r="O6" s="27">
        <f t="shared" si="1"/>
        <v>0</v>
      </c>
      <c r="P6" s="27">
        <f>AD102+E46</f>
        <v>0</v>
      </c>
      <c r="R6" s="61"/>
    </row>
    <row r="7" spans="2:18" s="27" customFormat="1" ht="11.25" hidden="1" x14ac:dyDescent="0.2">
      <c r="B7" s="60"/>
      <c r="C7" s="27" t="s">
        <v>1184</v>
      </c>
      <c r="D7" s="27">
        <f>+D6</f>
        <v>0</v>
      </c>
      <c r="E7" s="27">
        <f t="shared" ref="E7:O7" si="2">+E6</f>
        <v>0</v>
      </c>
      <c r="F7" s="27">
        <f t="shared" si="2"/>
        <v>0</v>
      </c>
      <c r="G7" s="27">
        <f t="shared" si="2"/>
        <v>0</v>
      </c>
      <c r="H7" s="27">
        <f t="shared" si="2"/>
        <v>0</v>
      </c>
      <c r="I7" s="27">
        <f t="shared" si="2"/>
        <v>0</v>
      </c>
      <c r="J7" s="27">
        <f t="shared" si="2"/>
        <v>0</v>
      </c>
      <c r="K7" s="27">
        <f t="shared" si="2"/>
        <v>0</v>
      </c>
      <c r="L7" s="27">
        <f t="shared" si="2"/>
        <v>0</v>
      </c>
      <c r="M7" s="27">
        <f t="shared" si="2"/>
        <v>0</v>
      </c>
      <c r="N7" s="27">
        <f t="shared" si="2"/>
        <v>0</v>
      </c>
      <c r="O7" s="27">
        <f t="shared" si="2"/>
        <v>0</v>
      </c>
      <c r="P7" s="27">
        <f>SUM(D7:O7)</f>
        <v>0</v>
      </c>
      <c r="R7" s="61"/>
    </row>
    <row r="8" spans="2:18" s="27" customFormat="1" ht="11.25" hidden="1" x14ac:dyDescent="0.2">
      <c r="B8" s="60"/>
      <c r="C8" s="27" t="s">
        <v>1185</v>
      </c>
      <c r="D8" s="27">
        <f>R103+($E46/12)+D49</f>
        <v>0</v>
      </c>
      <c r="E8" s="27">
        <f t="shared" ref="E8:O8" si="3">S103+($E46/12)+E49</f>
        <v>0</v>
      </c>
      <c r="F8" s="27">
        <f t="shared" si="3"/>
        <v>0</v>
      </c>
      <c r="G8" s="27">
        <f t="shared" si="3"/>
        <v>0</v>
      </c>
      <c r="H8" s="27">
        <f t="shared" si="3"/>
        <v>0</v>
      </c>
      <c r="I8" s="27">
        <f t="shared" si="3"/>
        <v>0</v>
      </c>
      <c r="J8" s="27">
        <f t="shared" si="3"/>
        <v>0</v>
      </c>
      <c r="K8" s="27">
        <f t="shared" si="3"/>
        <v>0</v>
      </c>
      <c r="L8" s="27">
        <f t="shared" si="3"/>
        <v>0</v>
      </c>
      <c r="M8" s="27">
        <f t="shared" si="3"/>
        <v>0</v>
      </c>
      <c r="N8" s="27">
        <f t="shared" si="3"/>
        <v>0</v>
      </c>
      <c r="O8" s="27">
        <f t="shared" si="3"/>
        <v>0</v>
      </c>
      <c r="P8" s="27">
        <f>AD103+E46</f>
        <v>0</v>
      </c>
      <c r="R8" s="61"/>
    </row>
    <row r="9" spans="2:18" s="27" customFormat="1" ht="11.25" hidden="1" x14ac:dyDescent="0.2">
      <c r="B9" s="60"/>
      <c r="C9" s="27" t="s">
        <v>873</v>
      </c>
      <c r="D9" s="27">
        <f>+D8+D7</f>
        <v>0</v>
      </c>
      <c r="E9" s="27">
        <f t="shared" ref="E9:P9" si="4">+E8+E7</f>
        <v>0</v>
      </c>
      <c r="F9" s="27">
        <f t="shared" si="4"/>
        <v>0</v>
      </c>
      <c r="G9" s="27">
        <f t="shared" si="4"/>
        <v>0</v>
      </c>
      <c r="H9" s="27">
        <f t="shared" si="4"/>
        <v>0</v>
      </c>
      <c r="I9" s="27">
        <f t="shared" si="4"/>
        <v>0</v>
      </c>
      <c r="J9" s="27">
        <f t="shared" si="4"/>
        <v>0</v>
      </c>
      <c r="K9" s="27">
        <f t="shared" si="4"/>
        <v>0</v>
      </c>
      <c r="L9" s="27">
        <f t="shared" si="4"/>
        <v>0</v>
      </c>
      <c r="M9" s="27">
        <f t="shared" si="4"/>
        <v>0</v>
      </c>
      <c r="N9" s="27">
        <f t="shared" si="4"/>
        <v>0</v>
      </c>
      <c r="O9" s="27">
        <f t="shared" si="4"/>
        <v>0</v>
      </c>
      <c r="P9" s="27">
        <f t="shared" si="4"/>
        <v>0</v>
      </c>
      <c r="R9" s="61"/>
    </row>
    <row r="10" spans="2:18" s="27" customFormat="1" ht="11.25" hidden="1" x14ac:dyDescent="0.2">
      <c r="B10" s="60"/>
      <c r="C10" s="27" t="s">
        <v>1565</v>
      </c>
      <c r="R10" s="61"/>
    </row>
    <row r="11" spans="2:18" s="27" customFormat="1" ht="11.25" hidden="1" x14ac:dyDescent="0.2">
      <c r="B11" s="60"/>
      <c r="C11" s="27" t="s">
        <v>1184</v>
      </c>
      <c r="D11" s="27">
        <f>SB!G441</f>
        <v>0</v>
      </c>
      <c r="E11" s="27">
        <f>SB!H441</f>
        <v>0</v>
      </c>
      <c r="F11" s="27">
        <f>SB!I441</f>
        <v>0</v>
      </c>
      <c r="G11" s="27">
        <f>SB!J441</f>
        <v>0</v>
      </c>
      <c r="H11" s="27">
        <f>SB!K441</f>
        <v>0</v>
      </c>
      <c r="I11" s="27">
        <f>SB!L441</f>
        <v>0</v>
      </c>
      <c r="J11" s="27">
        <f>SB!M441</f>
        <v>0</v>
      </c>
      <c r="K11" s="27">
        <f>SB!N441</f>
        <v>0</v>
      </c>
      <c r="L11" s="27">
        <f>SB!O441</f>
        <v>0</v>
      </c>
      <c r="M11" s="27">
        <f>SB!P441</f>
        <v>0</v>
      </c>
      <c r="N11" s="27">
        <f>SB!Q441</f>
        <v>0</v>
      </c>
      <c r="O11" s="27">
        <f>SB!R441</f>
        <v>0</v>
      </c>
      <c r="P11" s="27">
        <f>SUM(D11:O11)</f>
        <v>0</v>
      </c>
      <c r="R11" s="61"/>
    </row>
    <row r="12" spans="2:18" s="27" customFormat="1" ht="11.25" hidden="1" x14ac:dyDescent="0.2">
      <c r="B12" s="60"/>
      <c r="C12" s="27" t="s">
        <v>1185</v>
      </c>
      <c r="D12" s="27">
        <f>SB!G442</f>
        <v>0</v>
      </c>
      <c r="E12" s="27">
        <f>SB!H442</f>
        <v>0</v>
      </c>
      <c r="F12" s="27">
        <f>SB!I442</f>
        <v>0</v>
      </c>
      <c r="G12" s="27">
        <f>SB!J442</f>
        <v>0</v>
      </c>
      <c r="H12" s="27">
        <f>SB!K442</f>
        <v>0</v>
      </c>
      <c r="I12" s="27">
        <f>SB!L442</f>
        <v>0</v>
      </c>
      <c r="J12" s="27">
        <f>SB!M442</f>
        <v>0</v>
      </c>
      <c r="K12" s="27">
        <f>SB!N442</f>
        <v>0</v>
      </c>
      <c r="L12" s="27">
        <f>SB!O442</f>
        <v>0</v>
      </c>
      <c r="M12" s="27">
        <f>SB!P442</f>
        <v>0</v>
      </c>
      <c r="N12" s="27">
        <f>SB!Q442</f>
        <v>0</v>
      </c>
      <c r="O12" s="27">
        <f>SB!R442</f>
        <v>0</v>
      </c>
      <c r="P12" s="27">
        <f>AD107+E51</f>
        <v>0</v>
      </c>
      <c r="R12" s="61"/>
    </row>
    <row r="13" spans="2:18" s="27" customFormat="1" ht="11.25" hidden="1" x14ac:dyDescent="0.2">
      <c r="B13" s="60"/>
      <c r="C13" s="27" t="s">
        <v>1564</v>
      </c>
      <c r="D13" s="27" t="s">
        <v>1566</v>
      </c>
      <c r="R13" s="61"/>
    </row>
    <row r="14" spans="2:18" s="27" customFormat="1" ht="11.25" hidden="1" x14ac:dyDescent="0.2">
      <c r="B14" s="60"/>
      <c r="C14" s="27" t="s">
        <v>1184</v>
      </c>
      <c r="D14" s="27">
        <f>IF(D11=0,D7,D11)</f>
        <v>0</v>
      </c>
      <c r="E14" s="27">
        <f t="shared" ref="E14:P14" si="5">IF(E11=0,E7,E11)</f>
        <v>0</v>
      </c>
      <c r="F14" s="27">
        <f t="shared" si="5"/>
        <v>0</v>
      </c>
      <c r="G14" s="27">
        <f t="shared" si="5"/>
        <v>0</v>
      </c>
      <c r="H14" s="27">
        <f t="shared" si="5"/>
        <v>0</v>
      </c>
      <c r="I14" s="27">
        <f t="shared" si="5"/>
        <v>0</v>
      </c>
      <c r="J14" s="27">
        <f t="shared" si="5"/>
        <v>0</v>
      </c>
      <c r="K14" s="27">
        <f t="shared" si="5"/>
        <v>0</v>
      </c>
      <c r="L14" s="27">
        <f t="shared" si="5"/>
        <v>0</v>
      </c>
      <c r="M14" s="27">
        <f t="shared" si="5"/>
        <v>0</v>
      </c>
      <c r="N14" s="27">
        <f t="shared" si="5"/>
        <v>0</v>
      </c>
      <c r="O14" s="27">
        <f t="shared" si="5"/>
        <v>0</v>
      </c>
      <c r="P14" s="27">
        <f t="shared" si="5"/>
        <v>0</v>
      </c>
      <c r="R14" s="61"/>
    </row>
    <row r="15" spans="2:18" s="27" customFormat="1" ht="11.25" hidden="1" x14ac:dyDescent="0.2">
      <c r="B15" s="60"/>
      <c r="C15" s="27" t="s">
        <v>1185</v>
      </c>
      <c r="D15" s="27">
        <f>IF(D12=0,D8,D12)</f>
        <v>0</v>
      </c>
      <c r="E15" s="27">
        <f t="shared" ref="E15:P15" si="6">IF(E12=0,E8,E12)</f>
        <v>0</v>
      </c>
      <c r="F15" s="27">
        <f t="shared" si="6"/>
        <v>0</v>
      </c>
      <c r="G15" s="27">
        <f t="shared" si="6"/>
        <v>0</v>
      </c>
      <c r="H15" s="27">
        <f t="shared" si="6"/>
        <v>0</v>
      </c>
      <c r="I15" s="27">
        <f t="shared" si="6"/>
        <v>0</v>
      </c>
      <c r="J15" s="27">
        <f t="shared" si="6"/>
        <v>0</v>
      </c>
      <c r="K15" s="27">
        <f t="shared" si="6"/>
        <v>0</v>
      </c>
      <c r="L15" s="27">
        <f t="shared" si="6"/>
        <v>0</v>
      </c>
      <c r="M15" s="27">
        <f t="shared" si="6"/>
        <v>0</v>
      </c>
      <c r="N15" s="27">
        <f t="shared" si="6"/>
        <v>0</v>
      </c>
      <c r="O15" s="27">
        <f t="shared" si="6"/>
        <v>0</v>
      </c>
      <c r="P15" s="27">
        <f t="shared" si="6"/>
        <v>0</v>
      </c>
      <c r="R15" s="61"/>
    </row>
    <row r="16" spans="2:18" s="27" customFormat="1" ht="11.25" hidden="1" x14ac:dyDescent="0.2">
      <c r="B16" s="60" t="s">
        <v>1181</v>
      </c>
      <c r="C16" s="27" t="s">
        <v>1180</v>
      </c>
      <c r="D16" s="27">
        <f>+D15+D14</f>
        <v>0</v>
      </c>
      <c r="E16" s="27">
        <f>+E15+E14</f>
        <v>0</v>
      </c>
      <c r="F16" s="27">
        <f t="shared" ref="F16:P16" si="7">+F15+F14</f>
        <v>0</v>
      </c>
      <c r="G16" s="27">
        <f t="shared" si="7"/>
        <v>0</v>
      </c>
      <c r="H16" s="27">
        <f t="shared" si="7"/>
        <v>0</v>
      </c>
      <c r="I16" s="27">
        <f t="shared" si="7"/>
        <v>0</v>
      </c>
      <c r="J16" s="27">
        <f t="shared" si="7"/>
        <v>0</v>
      </c>
      <c r="K16" s="27">
        <f t="shared" si="7"/>
        <v>0</v>
      </c>
      <c r="L16" s="27">
        <f t="shared" si="7"/>
        <v>0</v>
      </c>
      <c r="M16" s="27">
        <f t="shared" si="7"/>
        <v>0</v>
      </c>
      <c r="N16" s="27">
        <f t="shared" si="7"/>
        <v>0</v>
      </c>
      <c r="O16" s="27">
        <f t="shared" si="7"/>
        <v>0</v>
      </c>
      <c r="P16" s="27">
        <f t="shared" si="7"/>
        <v>0</v>
      </c>
      <c r="R16" s="61"/>
    </row>
    <row r="17" spans="2:18" s="27" customFormat="1" ht="11.25" hidden="1" x14ac:dyDescent="0.2">
      <c r="B17" s="60" t="s">
        <v>1568</v>
      </c>
      <c r="C17" s="27" t="s">
        <v>1184</v>
      </c>
      <c r="D17" s="27">
        <f>+D14</f>
        <v>0</v>
      </c>
      <c r="E17" s="27">
        <f t="shared" ref="E17:O17" si="8">+E14+D17</f>
        <v>0</v>
      </c>
      <c r="F17" s="27">
        <f t="shared" si="8"/>
        <v>0</v>
      </c>
      <c r="G17" s="27">
        <f t="shared" si="8"/>
        <v>0</v>
      </c>
      <c r="H17" s="27">
        <f t="shared" si="8"/>
        <v>0</v>
      </c>
      <c r="I17" s="27">
        <f t="shared" si="8"/>
        <v>0</v>
      </c>
      <c r="J17" s="27">
        <f t="shared" si="8"/>
        <v>0</v>
      </c>
      <c r="K17" s="27">
        <f t="shared" si="8"/>
        <v>0</v>
      </c>
      <c r="L17" s="27">
        <f t="shared" si="8"/>
        <v>0</v>
      </c>
      <c r="M17" s="27">
        <f t="shared" si="8"/>
        <v>0</v>
      </c>
      <c r="N17" s="27">
        <f t="shared" si="8"/>
        <v>0</v>
      </c>
      <c r="O17" s="27">
        <f t="shared" si="8"/>
        <v>0</v>
      </c>
      <c r="P17" s="27" t="str">
        <f>IF(O17=P14,"OK","ERROR")</f>
        <v>OK</v>
      </c>
      <c r="R17" s="61"/>
    </row>
    <row r="18" spans="2:18" s="27" customFormat="1" ht="11.25" hidden="1" x14ac:dyDescent="0.2">
      <c r="B18" s="60" t="s">
        <v>1568</v>
      </c>
      <c r="C18" s="27" t="s">
        <v>1185</v>
      </c>
      <c r="D18" s="27">
        <f>+D15</f>
        <v>0</v>
      </c>
      <c r="E18" s="27">
        <f t="shared" ref="E18:O18" si="9">+E15+D18</f>
        <v>0</v>
      </c>
      <c r="F18" s="27">
        <f t="shared" si="9"/>
        <v>0</v>
      </c>
      <c r="G18" s="27">
        <f t="shared" si="9"/>
        <v>0</v>
      </c>
      <c r="H18" s="27">
        <f t="shared" si="9"/>
        <v>0</v>
      </c>
      <c r="I18" s="27">
        <f t="shared" si="9"/>
        <v>0</v>
      </c>
      <c r="J18" s="27">
        <f t="shared" si="9"/>
        <v>0</v>
      </c>
      <c r="K18" s="27">
        <f t="shared" si="9"/>
        <v>0</v>
      </c>
      <c r="L18" s="27">
        <f t="shared" si="9"/>
        <v>0</v>
      </c>
      <c r="M18" s="27">
        <f t="shared" si="9"/>
        <v>0</v>
      </c>
      <c r="N18" s="27">
        <f t="shared" si="9"/>
        <v>0</v>
      </c>
      <c r="O18" s="27">
        <f t="shared" si="9"/>
        <v>0</v>
      </c>
      <c r="P18" s="27" t="str">
        <f>IF(O18=P15,"OK","ERROR")</f>
        <v>OK</v>
      </c>
      <c r="R18" s="61"/>
    </row>
    <row r="19" spans="2:18" s="27" customFormat="1" ht="11.25" hidden="1" x14ac:dyDescent="0.2">
      <c r="B19" s="65"/>
      <c r="C19" s="66"/>
      <c r="D19" s="66"/>
      <c r="E19" s="66"/>
      <c r="F19" s="66"/>
      <c r="G19" s="66"/>
      <c r="H19" s="66"/>
      <c r="I19" s="66"/>
      <c r="J19" s="66"/>
      <c r="K19" s="66"/>
      <c r="L19" s="66"/>
      <c r="M19" s="66"/>
      <c r="N19" s="66"/>
      <c r="O19" s="66"/>
      <c r="P19" s="66"/>
      <c r="Q19" s="66"/>
      <c r="R19" s="67"/>
    </row>
    <row r="20" spans="2:18" s="27" customFormat="1" ht="11.25" hidden="1" x14ac:dyDescent="0.2">
      <c r="B20" s="62" t="s">
        <v>1567</v>
      </c>
      <c r="C20" s="63"/>
      <c r="D20" s="63"/>
      <c r="E20" s="63"/>
      <c r="F20" s="63"/>
      <c r="G20" s="63"/>
      <c r="H20" s="63"/>
      <c r="I20" s="63"/>
      <c r="J20" s="63"/>
      <c r="K20" s="63"/>
      <c r="L20" s="63"/>
      <c r="M20" s="63"/>
      <c r="N20" s="63"/>
      <c r="O20" s="63"/>
      <c r="P20" s="63"/>
      <c r="Q20" s="63"/>
      <c r="R20" s="64"/>
    </row>
    <row r="21" spans="2:18" s="27" customFormat="1" ht="11.25" hidden="1" x14ac:dyDescent="0.2">
      <c r="B21" s="60"/>
      <c r="C21" s="27" t="s">
        <v>678</v>
      </c>
      <c r="D21" s="27">
        <v>1</v>
      </c>
      <c r="E21" s="27">
        <v>2</v>
      </c>
      <c r="F21" s="27">
        <v>3</v>
      </c>
      <c r="G21" s="27">
        <v>4</v>
      </c>
      <c r="H21" s="27">
        <v>5</v>
      </c>
      <c r="I21" s="27" t="s">
        <v>628</v>
      </c>
      <c r="R21" s="61"/>
    </row>
    <row r="22" spans="2:18" s="27" customFormat="1" ht="11.25" hidden="1" x14ac:dyDescent="0.2">
      <c r="B22" s="60"/>
      <c r="D22" s="27">
        <f>SUM(D6:O6)</f>
        <v>0</v>
      </c>
      <c r="E22" s="27">
        <f>+AG102+E41</f>
        <v>0</v>
      </c>
      <c r="F22" s="27">
        <f>+AI102+F41</f>
        <v>0</v>
      </c>
      <c r="G22" s="27">
        <f>+AK102+G41</f>
        <v>0</v>
      </c>
      <c r="H22" s="27">
        <f>+AM102+H41</f>
        <v>0</v>
      </c>
      <c r="I22" s="27">
        <f>+AN102</f>
        <v>0</v>
      </c>
      <c r="R22" s="61"/>
    </row>
    <row r="23" spans="2:18" s="27" customFormat="1" ht="11.25" hidden="1" x14ac:dyDescent="0.2">
      <c r="B23" s="60"/>
      <c r="C23" s="27" t="s">
        <v>1184</v>
      </c>
      <c r="D23" s="27">
        <f t="shared" ref="D23:I23" si="10">+D22</f>
        <v>0</v>
      </c>
      <c r="E23" s="27">
        <f t="shared" si="10"/>
        <v>0</v>
      </c>
      <c r="F23" s="27">
        <f t="shared" si="10"/>
        <v>0</v>
      </c>
      <c r="G23" s="27">
        <f t="shared" si="10"/>
        <v>0</v>
      </c>
      <c r="H23" s="27">
        <f t="shared" si="10"/>
        <v>0</v>
      </c>
      <c r="I23" s="27">
        <f t="shared" si="10"/>
        <v>0</v>
      </c>
      <c r="R23" s="61"/>
    </row>
    <row r="24" spans="2:18" s="27" customFormat="1" ht="11.25" hidden="1" x14ac:dyDescent="0.2">
      <c r="B24" s="60"/>
      <c r="C24" s="27" t="s">
        <v>1185</v>
      </c>
      <c r="D24" s="27">
        <f>SUM(D8:O8)</f>
        <v>0</v>
      </c>
      <c r="E24" s="27">
        <f>+AG103+F46+E50+E42</f>
        <v>0</v>
      </c>
      <c r="F24" s="27">
        <f>+AI103+G46+F50+F42</f>
        <v>0</v>
      </c>
      <c r="G24" s="27">
        <f>+AK103+H46+G50+G42</f>
        <v>0</v>
      </c>
      <c r="H24" s="27">
        <f>+AM103+I46+H50+H42</f>
        <v>0</v>
      </c>
      <c r="I24" s="27">
        <f>+AN103+J47+I50</f>
        <v>0</v>
      </c>
      <c r="K24" s="27">
        <f>SUM(D24:I24)</f>
        <v>0</v>
      </c>
      <c r="R24" s="61"/>
    </row>
    <row r="25" spans="2:18" s="27" customFormat="1" ht="11.25" hidden="1" x14ac:dyDescent="0.2">
      <c r="B25" s="60"/>
      <c r="C25" s="27" t="s">
        <v>873</v>
      </c>
      <c r="D25" s="27">
        <f t="shared" ref="D25:I25" si="11">+D23+D24</f>
        <v>0</v>
      </c>
      <c r="E25" s="27">
        <f t="shared" si="11"/>
        <v>0</v>
      </c>
      <c r="F25" s="27">
        <f t="shared" si="11"/>
        <v>0</v>
      </c>
      <c r="G25" s="27">
        <f t="shared" si="11"/>
        <v>0</v>
      </c>
      <c r="H25" s="27">
        <f t="shared" si="11"/>
        <v>0</v>
      </c>
      <c r="I25" s="27">
        <f t="shared" si="11"/>
        <v>0</v>
      </c>
      <c r="R25" s="61"/>
    </row>
    <row r="26" spans="2:18" s="27" customFormat="1" ht="11.25" hidden="1" x14ac:dyDescent="0.2">
      <c r="B26" s="60"/>
      <c r="C26" s="27" t="s">
        <v>1565</v>
      </c>
      <c r="R26" s="61"/>
    </row>
    <row r="27" spans="2:18" s="27" customFormat="1" ht="11.25" hidden="1" x14ac:dyDescent="0.2">
      <c r="B27" s="60"/>
      <c r="C27" s="27" t="s">
        <v>1184</v>
      </c>
      <c r="D27" s="27">
        <f>SB!G431</f>
        <v>0</v>
      </c>
      <c r="E27" s="27">
        <f>SB!H431</f>
        <v>0</v>
      </c>
      <c r="F27" s="27">
        <f>SB!I431</f>
        <v>0</v>
      </c>
      <c r="G27" s="27">
        <f>SB!J431</f>
        <v>0</v>
      </c>
      <c r="H27" s="27">
        <f>SB!K431</f>
        <v>0</v>
      </c>
      <c r="R27" s="61"/>
    </row>
    <row r="28" spans="2:18" s="27" customFormat="1" ht="11.25" hidden="1" x14ac:dyDescent="0.2">
      <c r="B28" s="60"/>
      <c r="C28" s="27" t="s">
        <v>1185</v>
      </c>
      <c r="D28" s="27">
        <f>SB!G432</f>
        <v>0</v>
      </c>
      <c r="E28" s="27">
        <f>SB!H432</f>
        <v>0</v>
      </c>
      <c r="F28" s="27">
        <f>SB!I432</f>
        <v>0</v>
      </c>
      <c r="G28" s="27">
        <f>SB!J432</f>
        <v>0</v>
      </c>
      <c r="H28" s="27">
        <f>SB!K432</f>
        <v>0</v>
      </c>
      <c r="R28" s="61"/>
    </row>
    <row r="29" spans="2:18" s="27" customFormat="1" ht="11.25" hidden="1" x14ac:dyDescent="0.2">
      <c r="B29" s="60"/>
      <c r="C29" s="27" t="s">
        <v>1564</v>
      </c>
      <c r="D29" s="27" t="s">
        <v>1566</v>
      </c>
      <c r="R29" s="61"/>
    </row>
    <row r="30" spans="2:18" s="27" customFormat="1" ht="11.25" hidden="1" x14ac:dyDescent="0.2">
      <c r="B30" s="60"/>
      <c r="C30" s="27" t="s">
        <v>1184</v>
      </c>
      <c r="D30" s="27">
        <f t="shared" ref="D30:H31" si="12">IF(D27=0,D23,D27)</f>
        <v>0</v>
      </c>
      <c r="E30" s="27">
        <f t="shared" si="12"/>
        <v>0</v>
      </c>
      <c r="F30" s="27">
        <f t="shared" si="12"/>
        <v>0</v>
      </c>
      <c r="G30" s="27">
        <f t="shared" si="12"/>
        <v>0</v>
      </c>
      <c r="H30" s="27">
        <f t="shared" si="12"/>
        <v>0</v>
      </c>
      <c r="R30" s="61"/>
    </row>
    <row r="31" spans="2:18" s="27" customFormat="1" ht="11.25" hidden="1" x14ac:dyDescent="0.2">
      <c r="B31" s="60"/>
      <c r="C31" s="27" t="s">
        <v>1185</v>
      </c>
      <c r="D31" s="27">
        <f t="shared" si="12"/>
        <v>0</v>
      </c>
      <c r="E31" s="27">
        <f t="shared" si="12"/>
        <v>0</v>
      </c>
      <c r="F31" s="27">
        <f t="shared" si="12"/>
        <v>0</v>
      </c>
      <c r="G31" s="27">
        <f t="shared" si="12"/>
        <v>0</v>
      </c>
      <c r="H31" s="27">
        <f t="shared" si="12"/>
        <v>0</v>
      </c>
      <c r="R31" s="61"/>
    </row>
    <row r="32" spans="2:18" s="27" customFormat="1" ht="11.25" hidden="1" x14ac:dyDescent="0.2">
      <c r="B32" s="60" t="s">
        <v>1181</v>
      </c>
      <c r="C32" s="27" t="s">
        <v>1180</v>
      </c>
      <c r="D32" s="27">
        <f>+D31+D30</f>
        <v>0</v>
      </c>
      <c r="E32" s="27">
        <f>+E31+E30</f>
        <v>0</v>
      </c>
      <c r="F32" s="27">
        <f>+F31+F30</f>
        <v>0</v>
      </c>
      <c r="G32" s="27">
        <f>+G31+G30</f>
        <v>0</v>
      </c>
      <c r="H32" s="27">
        <f>+H31+H30</f>
        <v>0</v>
      </c>
      <c r="R32" s="61"/>
    </row>
    <row r="33" spans="2:18" s="27" customFormat="1" ht="11.25" hidden="1" x14ac:dyDescent="0.2">
      <c r="B33" s="60" t="s">
        <v>1568</v>
      </c>
      <c r="C33" s="27" t="s">
        <v>1184</v>
      </c>
      <c r="D33" s="27">
        <f>+D30</f>
        <v>0</v>
      </c>
      <c r="E33" s="27">
        <f t="shared" ref="E33:H34" si="13">+E30+D33</f>
        <v>0</v>
      </c>
      <c r="F33" s="27">
        <f t="shared" si="13"/>
        <v>0</v>
      </c>
      <c r="G33" s="27">
        <f t="shared" si="13"/>
        <v>0</v>
      </c>
      <c r="H33" s="27">
        <f t="shared" si="13"/>
        <v>0</v>
      </c>
      <c r="R33" s="61"/>
    </row>
    <row r="34" spans="2:18" s="27" customFormat="1" ht="11.25" hidden="1" x14ac:dyDescent="0.2">
      <c r="B34" s="60" t="s">
        <v>1568</v>
      </c>
      <c r="C34" s="27" t="s">
        <v>1185</v>
      </c>
      <c r="D34" s="27">
        <f>+D31</f>
        <v>0</v>
      </c>
      <c r="E34" s="27">
        <f t="shared" si="13"/>
        <v>0</v>
      </c>
      <c r="F34" s="27">
        <f t="shared" si="13"/>
        <v>0</v>
      </c>
      <c r="G34" s="27">
        <f t="shared" si="13"/>
        <v>0</v>
      </c>
      <c r="H34" s="27">
        <f t="shared" si="13"/>
        <v>0</v>
      </c>
      <c r="R34" s="61"/>
    </row>
    <row r="35" spans="2:18" s="27" customFormat="1" ht="11.25" hidden="1" x14ac:dyDescent="0.2">
      <c r="B35" s="60"/>
      <c r="R35" s="61"/>
    </row>
    <row r="36" spans="2:18" s="27" customFormat="1" ht="11.25" hidden="1" x14ac:dyDescent="0.2">
      <c r="B36" s="60"/>
      <c r="R36" s="61"/>
    </row>
    <row r="37" spans="2:18" s="27" customFormat="1" ht="11.25" hidden="1" x14ac:dyDescent="0.2">
      <c r="B37" s="60"/>
      <c r="R37" s="61"/>
    </row>
    <row r="38" spans="2:18" s="27" customFormat="1" ht="11.25" hidden="1" x14ac:dyDescent="0.2">
      <c r="B38" s="65"/>
      <c r="C38" s="66"/>
      <c r="D38" s="66"/>
      <c r="E38" s="66"/>
      <c r="F38" s="66"/>
      <c r="G38" s="66"/>
      <c r="H38" s="66"/>
      <c r="I38" s="66"/>
      <c r="J38" s="66"/>
      <c r="K38" s="66"/>
      <c r="L38" s="66"/>
      <c r="M38" s="66"/>
      <c r="N38" s="66"/>
      <c r="O38" s="66"/>
      <c r="P38" s="66"/>
      <c r="Q38" s="66"/>
      <c r="R38" s="67"/>
    </row>
    <row r="39" spans="2:18" s="27" customFormat="1" ht="11.25" hidden="1" x14ac:dyDescent="0.2">
      <c r="B39" s="62" t="s">
        <v>487</v>
      </c>
      <c r="C39" s="63"/>
      <c r="D39" s="63"/>
      <c r="E39" s="63">
        <v>2</v>
      </c>
      <c r="F39" s="63">
        <v>3</v>
      </c>
      <c r="G39" s="63">
        <v>4</v>
      </c>
      <c r="H39" s="63">
        <v>5</v>
      </c>
      <c r="I39" s="63"/>
      <c r="J39" s="63"/>
      <c r="K39" s="63"/>
      <c r="L39" s="63"/>
      <c r="M39" s="63"/>
      <c r="N39" s="63"/>
      <c r="O39" s="63"/>
      <c r="P39" s="63"/>
      <c r="Q39" s="63"/>
      <c r="R39" s="64"/>
    </row>
    <row r="40" spans="2:18" s="27" customFormat="1" ht="11.25" hidden="1" x14ac:dyDescent="0.2">
      <c r="B40" s="60"/>
      <c r="C40" s="27">
        <f>Pagoinversiones!F762</f>
        <v>0</v>
      </c>
      <c r="E40" s="27">
        <f>Pagoinversiones!G762</f>
        <v>0</v>
      </c>
      <c r="F40" s="27">
        <f>Pagoinversiones!I762</f>
        <v>0</v>
      </c>
      <c r="G40" s="27">
        <f>Pagoinversiones!K762</f>
        <v>0</v>
      </c>
      <c r="H40" s="27">
        <f>Pagoinversiones!M762</f>
        <v>0</v>
      </c>
      <c r="R40" s="61"/>
    </row>
    <row r="41" spans="2:18" s="27" customFormat="1" ht="11.25" hidden="1" x14ac:dyDescent="0.2">
      <c r="B41" s="60"/>
      <c r="C41" s="27">
        <f>Pagoinversiones!F763</f>
        <v>0</v>
      </c>
      <c r="E41" s="27">
        <f>Pagoinversiones!G763</f>
        <v>0</v>
      </c>
      <c r="F41" s="27">
        <f>Pagoinversiones!I763</f>
        <v>0</v>
      </c>
      <c r="G41" s="27">
        <f>Pagoinversiones!K763</f>
        <v>0</v>
      </c>
      <c r="H41" s="27">
        <f>Pagoinversiones!M763</f>
        <v>0</v>
      </c>
      <c r="R41" s="61"/>
    </row>
    <row r="42" spans="2:18" s="27" customFormat="1" ht="11.25" hidden="1" x14ac:dyDescent="0.2">
      <c r="B42" s="60"/>
      <c r="C42" s="27">
        <f>Pagoinversiones!F764</f>
        <v>0</v>
      </c>
      <c r="E42" s="27">
        <f>Pagoinversiones!G764</f>
        <v>0</v>
      </c>
      <c r="F42" s="27">
        <f>Pagoinversiones!I764</f>
        <v>0</v>
      </c>
      <c r="G42" s="27">
        <f>Pagoinversiones!K764</f>
        <v>0</v>
      </c>
      <c r="H42" s="27">
        <f>Pagoinversiones!M764</f>
        <v>0</v>
      </c>
      <c r="R42" s="61"/>
    </row>
    <row r="43" spans="2:18" s="27" customFormat="1" ht="11.25" hidden="1" x14ac:dyDescent="0.2">
      <c r="B43" s="60"/>
      <c r="C43" s="27" t="s">
        <v>867</v>
      </c>
      <c r="E43" s="27">
        <f>IF(Pagoinversiones!B33=Pagoinversiones!E3,0,Pagoinversiones!G818)</f>
        <v>0</v>
      </c>
      <c r="F43" s="27">
        <f>IF(Pagoinversiones!B33=Pagoinversiones!E3,0,Pagoinversiones!I818)</f>
        <v>0</v>
      </c>
      <c r="G43" s="27">
        <f>IF(Pagoinversiones!B33=Pagoinversiones!E3,0,Pagoinversiones!K818)</f>
        <v>0</v>
      </c>
      <c r="H43" s="27">
        <f>IF(Pagoinversiones!B33=Pagoinversiones!E3,0,Pagoinversiones!M818)</f>
        <v>0</v>
      </c>
      <c r="R43" s="61"/>
    </row>
    <row r="44" spans="2:18" s="27" customFormat="1" ht="11.25" hidden="1" x14ac:dyDescent="0.2">
      <c r="B44" s="60"/>
      <c r="C44" s="27" t="s">
        <v>468</v>
      </c>
      <c r="R44" s="61"/>
    </row>
    <row r="45" spans="2:18" s="27" customFormat="1" ht="11.25" hidden="1" x14ac:dyDescent="0.2">
      <c r="B45" s="60"/>
      <c r="E45" s="27">
        <v>1</v>
      </c>
      <c r="F45" s="27">
        <v>2</v>
      </c>
      <c r="G45" s="27">
        <v>3</v>
      </c>
      <c r="H45" s="27">
        <v>4</v>
      </c>
      <c r="I45" s="27">
        <v>5</v>
      </c>
      <c r="R45" s="61"/>
    </row>
    <row r="46" spans="2:18" s="27" customFormat="1" ht="11.25" hidden="1" x14ac:dyDescent="0.2">
      <c r="B46" s="60" t="s">
        <v>159</v>
      </c>
      <c r="D46" s="27">
        <f>SANDBOX!$L$106</f>
        <v>0</v>
      </c>
      <c r="E46" s="27">
        <f>IF(D47=0,0,D46/D47)</f>
        <v>0</v>
      </c>
      <c r="F46" s="27">
        <f>IF(E47&gt;0,E46,0)</f>
        <v>0</v>
      </c>
      <c r="G46" s="27">
        <f>IF(F47&gt;0,F46,0)</f>
        <v>0</v>
      </c>
      <c r="H46" s="27">
        <f>IF(G47&gt;0,G46,0)</f>
        <v>0</v>
      </c>
      <c r="I46" s="27">
        <f>IF(H47&gt;0,H46,0)</f>
        <v>0</v>
      </c>
      <c r="R46" s="61"/>
    </row>
    <row r="47" spans="2:18" s="27" customFormat="1" ht="11.25" hidden="1" x14ac:dyDescent="0.2">
      <c r="B47" s="60"/>
      <c r="C47" s="27" t="s">
        <v>486</v>
      </c>
      <c r="D47" s="27">
        <f>SANDBOX!$K$137</f>
        <v>0</v>
      </c>
      <c r="E47" s="27">
        <f>+D46-E46</f>
        <v>0</v>
      </c>
      <c r="F47" s="27">
        <f>+E47-F46</f>
        <v>0</v>
      </c>
      <c r="G47" s="27">
        <f>+F47-G46</f>
        <v>0</v>
      </c>
      <c r="H47" s="27">
        <f>+G47-H46</f>
        <v>0</v>
      </c>
      <c r="I47" s="27">
        <f>+H47-I46</f>
        <v>0</v>
      </c>
      <c r="J47" s="27">
        <f>+I47-J46</f>
        <v>0</v>
      </c>
      <c r="R47" s="61"/>
    </row>
    <row r="48" spans="2:18" s="27" customFormat="1" ht="11.25" hidden="1" x14ac:dyDescent="0.2">
      <c r="B48" s="60"/>
      <c r="D48" s="27">
        <v>1</v>
      </c>
      <c r="E48" s="27">
        <v>2</v>
      </c>
      <c r="F48" s="27">
        <v>3</v>
      </c>
      <c r="G48" s="27">
        <v>4</v>
      </c>
      <c r="H48" s="27">
        <v>5</v>
      </c>
      <c r="I48" s="27">
        <v>6</v>
      </c>
      <c r="J48" s="27">
        <v>7</v>
      </c>
      <c r="K48" s="27">
        <v>8</v>
      </c>
      <c r="L48" s="27">
        <v>9</v>
      </c>
      <c r="M48" s="27">
        <v>10</v>
      </c>
      <c r="N48" s="27">
        <v>11</v>
      </c>
      <c r="O48" s="27">
        <v>12</v>
      </c>
      <c r="P48" s="27" t="s">
        <v>958</v>
      </c>
      <c r="R48" s="61"/>
    </row>
    <row r="49" spans="2:71" s="27" customFormat="1" ht="11.25" hidden="1" x14ac:dyDescent="0.2">
      <c r="B49" s="60"/>
      <c r="C49" s="27" t="s">
        <v>872</v>
      </c>
      <c r="D49" s="27">
        <f t="shared" ref="D49:P49" si="14">AT102</f>
        <v>0</v>
      </c>
      <c r="E49" s="27">
        <f t="shared" si="14"/>
        <v>0</v>
      </c>
      <c r="F49" s="27">
        <f t="shared" si="14"/>
        <v>0</v>
      </c>
      <c r="G49" s="27">
        <f t="shared" si="14"/>
        <v>0</v>
      </c>
      <c r="H49" s="27">
        <f t="shared" si="14"/>
        <v>0</v>
      </c>
      <c r="I49" s="27">
        <f t="shared" si="14"/>
        <v>0</v>
      </c>
      <c r="J49" s="27">
        <f t="shared" si="14"/>
        <v>0</v>
      </c>
      <c r="K49" s="27">
        <f t="shared" si="14"/>
        <v>0</v>
      </c>
      <c r="L49" s="27">
        <f t="shared" si="14"/>
        <v>0</v>
      </c>
      <c r="M49" s="27">
        <f t="shared" si="14"/>
        <v>0</v>
      </c>
      <c r="N49" s="27">
        <f t="shared" si="14"/>
        <v>0</v>
      </c>
      <c r="O49" s="27">
        <f t="shared" si="14"/>
        <v>0</v>
      </c>
      <c r="P49" s="27">
        <f t="shared" si="14"/>
        <v>0</v>
      </c>
      <c r="R49" s="61"/>
    </row>
    <row r="50" spans="2:71" s="27" customFormat="1" ht="11.25" hidden="1" x14ac:dyDescent="0.2">
      <c r="B50" s="60"/>
      <c r="C50" s="27" t="s">
        <v>867</v>
      </c>
      <c r="D50" s="27">
        <f>SUM(D49:O49)</f>
        <v>0</v>
      </c>
      <c r="E50" s="27">
        <f>+BI102+E43</f>
        <v>0</v>
      </c>
      <c r="F50" s="27">
        <f>+BK102+F43</f>
        <v>0</v>
      </c>
      <c r="G50" s="27">
        <f>+BM102+G43</f>
        <v>0</v>
      </c>
      <c r="H50" s="27">
        <f>+BO102+H43</f>
        <v>0</v>
      </c>
      <c r="I50" s="27">
        <f>+BP102</f>
        <v>0</v>
      </c>
      <c r="R50" s="61">
        <f>SUM(D50:H50)</f>
        <v>0</v>
      </c>
    </row>
    <row r="51" spans="2:71" s="27" customFormat="1" ht="11.25" hidden="1" x14ac:dyDescent="0.2">
      <c r="B51" s="60"/>
      <c r="R51" s="61"/>
    </row>
    <row r="52" spans="2:71" s="27" customFormat="1" ht="11.25" hidden="1" x14ac:dyDescent="0.2">
      <c r="B52" s="60"/>
      <c r="R52" s="61"/>
    </row>
    <row r="53" spans="2:71" s="27" customFormat="1" ht="11.25" hidden="1" x14ac:dyDescent="0.2">
      <c r="B53" s="60"/>
      <c r="R53" s="61"/>
    </row>
    <row r="54" spans="2:71" s="27" customFormat="1" ht="11.25" hidden="1" x14ac:dyDescent="0.2">
      <c r="B54" s="60"/>
      <c r="R54" s="61"/>
    </row>
    <row r="55" spans="2:71" s="27" customFormat="1" ht="11.25" hidden="1" x14ac:dyDescent="0.2">
      <c r="B55" s="62"/>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4"/>
    </row>
    <row r="56" spans="2:71" s="27" customFormat="1" ht="17.25" hidden="1" customHeight="1" x14ac:dyDescent="0.2">
      <c r="B56" s="60"/>
      <c r="C56" s="27" t="s">
        <v>925</v>
      </c>
      <c r="F56" s="27" t="s">
        <v>456</v>
      </c>
      <c r="BS56" s="61"/>
    </row>
    <row r="57" spans="2:71" s="27" customFormat="1" ht="11.25" hidden="1" x14ac:dyDescent="0.2">
      <c r="B57" s="60"/>
      <c r="C57" s="27" t="s">
        <v>890</v>
      </c>
      <c r="G57" s="27" t="s">
        <v>1266</v>
      </c>
      <c r="K57" s="27" t="str">
        <f>+SB!$C$156</f>
        <v>CASH</v>
      </c>
      <c r="L57" s="27" t="str">
        <f>+SB!$C$157</f>
        <v>LEASING</v>
      </c>
      <c r="P57" s="27" t="s">
        <v>889</v>
      </c>
      <c r="AG57" s="27" t="s">
        <v>229</v>
      </c>
      <c r="AI57" s="27" t="s">
        <v>229</v>
      </c>
      <c r="AK57" s="27" t="s">
        <v>229</v>
      </c>
      <c r="AM57" s="27" t="s">
        <v>229</v>
      </c>
      <c r="AR57" s="27" t="s">
        <v>963</v>
      </c>
      <c r="AU57" s="27" t="s">
        <v>189</v>
      </c>
      <c r="BS57" s="61"/>
    </row>
    <row r="58" spans="2:71" s="27" customFormat="1" ht="11.25" hidden="1" x14ac:dyDescent="0.2">
      <c r="B58" s="60"/>
      <c r="C58" s="27" t="s">
        <v>1528</v>
      </c>
      <c r="E58" s="27" t="s">
        <v>1302</v>
      </c>
      <c r="G58" s="27" t="s">
        <v>1531</v>
      </c>
      <c r="I58" s="27" t="s">
        <v>958</v>
      </c>
      <c r="P58" s="27" t="s">
        <v>620</v>
      </c>
      <c r="Q58" s="27" t="s">
        <v>962</v>
      </c>
      <c r="R58" s="27" t="s">
        <v>617</v>
      </c>
      <c r="AG58" s="27">
        <v>2</v>
      </c>
      <c r="AI58" s="27">
        <f>+AG58+1</f>
        <v>3</v>
      </c>
      <c r="AK58" s="27">
        <f>+AI58+1</f>
        <v>4</v>
      </c>
      <c r="AM58" s="27">
        <f>+AK58+1</f>
        <v>5</v>
      </c>
      <c r="AR58" s="27" t="s">
        <v>861</v>
      </c>
      <c r="AS58" s="27" t="str">
        <f>+L57</f>
        <v>LEASING</v>
      </c>
      <c r="AT58" s="27" t="s">
        <v>617</v>
      </c>
      <c r="AU58" s="27" t="str">
        <f>SB!$G$637</f>
        <v>ARRENDAMIENTO</v>
      </c>
      <c r="BI58" s="27">
        <v>2</v>
      </c>
      <c r="BK58" s="27">
        <f>+BI58+1</f>
        <v>3</v>
      </c>
      <c r="BM58" s="27">
        <f>+BK58+1</f>
        <v>4</v>
      </c>
      <c r="BO58" s="27">
        <f>+BM58+1</f>
        <v>5</v>
      </c>
      <c r="BS58" s="61"/>
    </row>
    <row r="59" spans="2:71" s="27" customFormat="1" ht="11.25" hidden="1" x14ac:dyDescent="0.2">
      <c r="B59" s="60"/>
      <c r="C59" s="27" t="s">
        <v>1526</v>
      </c>
      <c r="D59" s="27" t="s">
        <v>1527</v>
      </c>
      <c r="E59" s="27" t="s">
        <v>860</v>
      </c>
      <c r="F59" s="27" t="s">
        <v>1530</v>
      </c>
      <c r="G59" s="27" t="s">
        <v>962</v>
      </c>
      <c r="H59" s="27" t="s">
        <v>963</v>
      </c>
      <c r="I59" s="27">
        <f>SUM(I60:I101)</f>
        <v>0</v>
      </c>
      <c r="J59" s="27" t="s">
        <v>618</v>
      </c>
      <c r="K59" s="27" t="s">
        <v>619</v>
      </c>
      <c r="L59" s="27" t="s">
        <v>626</v>
      </c>
      <c r="P59" s="27" t="s">
        <v>962</v>
      </c>
      <c r="Q59" s="27" t="s">
        <v>616</v>
      </c>
      <c r="R59" s="27">
        <f>Pagoinversiones!E46</f>
        <v>1</v>
      </c>
      <c r="S59" s="27">
        <f>Pagoinversiones!F46</f>
        <v>2</v>
      </c>
      <c r="T59" s="27">
        <f>Pagoinversiones!G46</f>
        <v>3</v>
      </c>
      <c r="U59" s="27">
        <f>Pagoinversiones!H46</f>
        <v>4</v>
      </c>
      <c r="V59" s="27">
        <f>Pagoinversiones!I46</f>
        <v>5</v>
      </c>
      <c r="W59" s="27">
        <f>Pagoinversiones!J46</f>
        <v>6</v>
      </c>
      <c r="X59" s="27">
        <f>Pagoinversiones!K46</f>
        <v>7</v>
      </c>
      <c r="Y59" s="27">
        <f>Pagoinversiones!L46</f>
        <v>8</v>
      </c>
      <c r="Z59" s="27">
        <f>Pagoinversiones!M46</f>
        <v>9</v>
      </c>
      <c r="AA59" s="27">
        <f>Pagoinversiones!N46</f>
        <v>10</v>
      </c>
      <c r="AB59" s="27">
        <f>Pagoinversiones!O46</f>
        <v>11</v>
      </c>
      <c r="AC59" s="27">
        <f>Pagoinversiones!P46</f>
        <v>12</v>
      </c>
      <c r="AD59" s="27" t="s">
        <v>958</v>
      </c>
      <c r="AE59" s="27" t="s">
        <v>622</v>
      </c>
      <c r="AF59" s="27" t="s">
        <v>1446</v>
      </c>
      <c r="AG59" s="27" t="s">
        <v>621</v>
      </c>
      <c r="AH59" s="27" t="s">
        <v>622</v>
      </c>
      <c r="AI59" s="27" t="s">
        <v>621</v>
      </c>
      <c r="AJ59" s="27" t="s">
        <v>622</v>
      </c>
      <c r="AK59" s="27" t="s">
        <v>621</v>
      </c>
      <c r="AL59" s="27" t="s">
        <v>622</v>
      </c>
      <c r="AM59" s="27" t="s">
        <v>621</v>
      </c>
      <c r="AN59" s="27" t="s">
        <v>622</v>
      </c>
      <c r="AO59" s="27" t="s">
        <v>625</v>
      </c>
      <c r="AP59" s="27" t="s">
        <v>627</v>
      </c>
      <c r="AR59" s="27" t="s">
        <v>862</v>
      </c>
      <c r="AS59" s="27" t="s">
        <v>616</v>
      </c>
      <c r="AT59" s="27">
        <f t="shared" ref="AT59:BF59" si="15">R59</f>
        <v>1</v>
      </c>
      <c r="AU59" s="27">
        <f t="shared" si="15"/>
        <v>2</v>
      </c>
      <c r="AV59" s="27">
        <f t="shared" si="15"/>
        <v>3</v>
      </c>
      <c r="AW59" s="27">
        <f t="shared" si="15"/>
        <v>4</v>
      </c>
      <c r="AX59" s="27">
        <f t="shared" si="15"/>
        <v>5</v>
      </c>
      <c r="AY59" s="27">
        <f t="shared" si="15"/>
        <v>6</v>
      </c>
      <c r="AZ59" s="27">
        <f t="shared" si="15"/>
        <v>7</v>
      </c>
      <c r="BA59" s="27">
        <f t="shared" si="15"/>
        <v>8</v>
      </c>
      <c r="BB59" s="27">
        <f t="shared" si="15"/>
        <v>9</v>
      </c>
      <c r="BC59" s="27">
        <f t="shared" si="15"/>
        <v>10</v>
      </c>
      <c r="BD59" s="27">
        <f t="shared" si="15"/>
        <v>11</v>
      </c>
      <c r="BE59" s="27">
        <f t="shared" si="15"/>
        <v>12</v>
      </c>
      <c r="BF59" s="27" t="str">
        <f t="shared" si="15"/>
        <v>TOTAL</v>
      </c>
      <c r="BG59" s="27" t="s">
        <v>622</v>
      </c>
      <c r="BH59" s="27" t="s">
        <v>1446</v>
      </c>
      <c r="BI59" s="27" t="s">
        <v>621</v>
      </c>
      <c r="BJ59" s="27" t="s">
        <v>622</v>
      </c>
      <c r="BK59" s="27" t="s">
        <v>621</v>
      </c>
      <c r="BL59" s="27" t="s">
        <v>622</v>
      </c>
      <c r="BM59" s="27" t="s">
        <v>621</v>
      </c>
      <c r="BN59" s="27" t="s">
        <v>622</v>
      </c>
      <c r="BO59" s="27" t="s">
        <v>621</v>
      </c>
      <c r="BP59" s="27" t="s">
        <v>622</v>
      </c>
      <c r="BQ59" s="27" t="s">
        <v>625</v>
      </c>
      <c r="BR59" s="27" t="s">
        <v>627</v>
      </c>
      <c r="BS59" s="61"/>
    </row>
    <row r="60" spans="2:71" s="27" customFormat="1" ht="11.25" hidden="1" x14ac:dyDescent="0.2">
      <c r="B60" s="60"/>
      <c r="C60" s="27">
        <f>SANDBOX!D151</f>
        <v>0</v>
      </c>
      <c r="D60" s="27">
        <f>SANDBOX!F151</f>
        <v>0</v>
      </c>
      <c r="E60" s="27">
        <f>Pagoinversiones!H111</f>
        <v>0</v>
      </c>
      <c r="F60" s="27" t="str">
        <f>SANDBOX!G151</f>
        <v>CASH</v>
      </c>
      <c r="G60" s="27">
        <f>+SUMIF(F60:F65,SB!$C$156,D60:D65)</f>
        <v>0</v>
      </c>
      <c r="H60" s="27">
        <f>+SUMIF(F60:F65,SB!$C$157,D60:D65)</f>
        <v>0</v>
      </c>
      <c r="I60" s="27">
        <f>SUM(G60:H60)</f>
        <v>0</v>
      </c>
      <c r="J60" s="27">
        <f t="shared" ref="J60:J65" si="16">+IF(F60=$G$59,O$108,O$116)</f>
        <v>20</v>
      </c>
      <c r="K60" s="27">
        <f>+J60*12</f>
        <v>240</v>
      </c>
      <c r="L60" s="27">
        <f t="shared" ref="L60:L65" si="17">+IF(F60=$G$59,(D60*P$108),(E60*P$116))</f>
        <v>0</v>
      </c>
      <c r="P60" s="27">
        <f t="shared" ref="P60:P101" si="18">IF(F60=$K$57,D60-L60,0)</f>
        <v>0</v>
      </c>
      <c r="Q60" s="27">
        <f>IF($K60=0,P60/12,P60/$K60)</f>
        <v>0</v>
      </c>
      <c r="R60" s="27">
        <f>IF(Pagoinversiones!E48&gt;0,$Q60,0)</f>
        <v>0</v>
      </c>
      <c r="S60" s="27">
        <f>IF(Pagoinversiones!F48&gt;0,$Q60,R60)</f>
        <v>0</v>
      </c>
      <c r="T60" s="27">
        <f>IF(Pagoinversiones!G48&gt;0,$Q60,S60)</f>
        <v>0</v>
      </c>
      <c r="U60" s="27">
        <f>IF(Pagoinversiones!H48&gt;0,$Q60,T60)</f>
        <v>0</v>
      </c>
      <c r="V60" s="27">
        <f>IF(Pagoinversiones!I48&gt;0,$Q60,U60)</f>
        <v>0</v>
      </c>
      <c r="W60" s="27">
        <f>IF(Pagoinversiones!J48&gt;0,$Q60,V60)</f>
        <v>0</v>
      </c>
      <c r="X60" s="27">
        <f>IF(Pagoinversiones!K48&gt;0,$Q60,W60)</f>
        <v>0</v>
      </c>
      <c r="Y60" s="27">
        <f>IF(Pagoinversiones!L48&gt;0,$Q60,X60)</f>
        <v>0</v>
      </c>
      <c r="Z60" s="27">
        <f>IF(Pagoinversiones!M48&gt;0,$Q60,Y60)</f>
        <v>0</v>
      </c>
      <c r="AA60" s="27">
        <f>IF(Pagoinversiones!N48&gt;0,$Q60,Z60)</f>
        <v>0</v>
      </c>
      <c r="AB60" s="27">
        <f>IF(Pagoinversiones!O48&gt;0,$Q60,AA60)</f>
        <v>0</v>
      </c>
      <c r="AC60" s="27">
        <f>IF(Pagoinversiones!P48&gt;0,$Q60,AB60)</f>
        <v>0</v>
      </c>
      <c r="AD60" s="27">
        <f>SUM(R60:AC60)</f>
        <v>0</v>
      </c>
      <c r="AE60" s="27">
        <f>+P60-AD60</f>
        <v>0</v>
      </c>
      <c r="AF60" s="27">
        <f>+Q60*12</f>
        <v>0</v>
      </c>
      <c r="AG60" s="27">
        <f>IF(AF60&lt;AE60,AF60,AE60)</f>
        <v>0</v>
      </c>
      <c r="AH60" s="27">
        <f>+AE60-AG60</f>
        <v>0</v>
      </c>
      <c r="AI60" s="27">
        <f>IF($AF60&lt;AH60,$AF60,AH60)</f>
        <v>0</v>
      </c>
      <c r="AJ60" s="27">
        <f>+AH60-AI60</f>
        <v>0</v>
      </c>
      <c r="AK60" s="27">
        <f>IF($AF60&lt;AJ60,$AF60,AJ60)</f>
        <v>0</v>
      </c>
      <c r="AL60" s="27">
        <f>+AJ60-AK60</f>
        <v>0</v>
      </c>
      <c r="AM60" s="27">
        <f t="shared" ref="AM60:AM101" si="19">IF($AF60&lt;AL60,$AF60,AL60)</f>
        <v>0</v>
      </c>
      <c r="AN60" s="27">
        <f>+AL60-AM60</f>
        <v>0</v>
      </c>
      <c r="AO60" s="27">
        <f>+AM60+AK60+AI60+AG60+AD60+AN60</f>
        <v>0</v>
      </c>
      <c r="AP60" s="27">
        <f>+IF(P60=0,0,+(P60+L60)-P60)</f>
        <v>0</v>
      </c>
      <c r="AR60" s="27">
        <f>IF(F60=$L$57,D60-L60,0)</f>
        <v>0</v>
      </c>
      <c r="AS60" s="27">
        <f>IF($K60=0,AR60/12,AR60/$K60)</f>
        <v>0</v>
      </c>
      <c r="AT60" s="27">
        <f>IF(Pagoinversiones!I111&gt;0,$AS60,0)</f>
        <v>0</v>
      </c>
      <c r="AU60" s="27">
        <f>IF(Pagoinversiones!J111&gt;0,$AS60,AT60)</f>
        <v>0</v>
      </c>
      <c r="AV60" s="27">
        <f>IF(Pagoinversiones!K111&gt;0,$AS60,AU60)</f>
        <v>0</v>
      </c>
      <c r="AW60" s="27">
        <f>IF(Pagoinversiones!L111&gt;0,$AS60,AV60)</f>
        <v>0</v>
      </c>
      <c r="AX60" s="27">
        <f>IF(Pagoinversiones!M111&gt;0,$AS60,AW60)</f>
        <v>0</v>
      </c>
      <c r="AY60" s="27">
        <f>IF(Pagoinversiones!N111&gt;0,$AS60,AX60)</f>
        <v>0</v>
      </c>
      <c r="AZ60" s="27">
        <f>IF(Pagoinversiones!O111&gt;0,$AS60,AY60)</f>
        <v>0</v>
      </c>
      <c r="BA60" s="27">
        <f>IF(Pagoinversiones!P111&gt;0,$AS60,AZ60)</f>
        <v>0</v>
      </c>
      <c r="BB60" s="27">
        <f>IF(Pagoinversiones!Q111&gt;0,$AS60,BA60)</f>
        <v>0</v>
      </c>
      <c r="BC60" s="27">
        <f>IF(Pagoinversiones!R111&gt;0,$AS60,BB60)</f>
        <v>0</v>
      </c>
      <c r="BD60" s="27">
        <f>IF(Pagoinversiones!S111&gt;0,$AS60,BC60)</f>
        <v>0</v>
      </c>
      <c r="BE60" s="27">
        <f>IF(Pagoinversiones!T111&gt;0,$AS60,BD60)</f>
        <v>0</v>
      </c>
      <c r="BF60" s="27">
        <f>SUM(AT60:BE60)</f>
        <v>0</v>
      </c>
      <c r="BG60" s="27">
        <f>+AR60-BF60</f>
        <v>0</v>
      </c>
      <c r="BH60" s="27">
        <f>+AS60*12</f>
        <v>0</v>
      </c>
      <c r="BI60" s="27">
        <f>IF(BH60&lt;BG60,BH60,BG60)</f>
        <v>0</v>
      </c>
      <c r="BJ60" s="27">
        <f>+BG60-BI60</f>
        <v>0</v>
      </c>
      <c r="BK60" s="27">
        <f>IF($BH60&lt;BJ60,$BH60,BJ60)</f>
        <v>0</v>
      </c>
      <c r="BL60" s="27">
        <f>+BJ60-BK60</f>
        <v>0</v>
      </c>
      <c r="BM60" s="27">
        <f>IF($BH60&lt;BL60,$BH60,BL60)</f>
        <v>0</v>
      </c>
      <c r="BN60" s="27">
        <f>+BL60-BM60</f>
        <v>0</v>
      </c>
      <c r="BO60" s="27">
        <f t="shared" ref="BO60:BO101" si="20">IF($BH60&lt;BN60,$BH60,BN60)</f>
        <v>0</v>
      </c>
      <c r="BP60" s="27">
        <f>+BN60-BO60</f>
        <v>0</v>
      </c>
      <c r="BQ60" s="27">
        <f>+BO60+BM60+BK60+BI60+BF60+BP60</f>
        <v>0</v>
      </c>
      <c r="BR60" s="27">
        <f>+IF(AR60=0,0,(AR60+L60)-AR60)</f>
        <v>0</v>
      </c>
      <c r="BS60" s="61"/>
    </row>
    <row r="61" spans="2:71" s="27" customFormat="1" ht="11.25" hidden="1" x14ac:dyDescent="0.2">
      <c r="B61" s="60"/>
      <c r="C61" s="27">
        <f>SANDBOX!D152</f>
        <v>0</v>
      </c>
      <c r="D61" s="27">
        <f>SANDBOX!F152</f>
        <v>0</v>
      </c>
      <c r="E61" s="27">
        <f>Pagoinversiones!H112</f>
        <v>0</v>
      </c>
      <c r="F61" s="27" t="str">
        <f>SANDBOX!G152</f>
        <v>CASH</v>
      </c>
      <c r="J61" s="27">
        <f t="shared" si="16"/>
        <v>20</v>
      </c>
      <c r="K61" s="27">
        <f t="shared" ref="K61:K101" si="21">+J61*12</f>
        <v>240</v>
      </c>
      <c r="L61" s="27">
        <f t="shared" si="17"/>
        <v>0</v>
      </c>
      <c r="P61" s="27">
        <f t="shared" si="18"/>
        <v>0</v>
      </c>
      <c r="Q61" s="27">
        <f t="shared" ref="Q61:Q101" si="22">IF(K61=0,P61/12,P61/K61)</f>
        <v>0</v>
      </c>
      <c r="R61" s="27">
        <f>IF(Pagoinversiones!E49&gt;0,$Q61,0)</f>
        <v>0</v>
      </c>
      <c r="S61" s="27">
        <f>IF(Pagoinversiones!F49&gt;0,$Q61,R61)</f>
        <v>0</v>
      </c>
      <c r="T61" s="27">
        <f>IF(Pagoinversiones!G49&gt;0,$Q61,S61)</f>
        <v>0</v>
      </c>
      <c r="U61" s="27">
        <f>IF(Pagoinversiones!H49&gt;0,$Q61,T61)</f>
        <v>0</v>
      </c>
      <c r="V61" s="27">
        <f>IF(Pagoinversiones!I49&gt;0,$Q61,U61)</f>
        <v>0</v>
      </c>
      <c r="W61" s="27">
        <f>IF(Pagoinversiones!J49&gt;0,$Q61,V61)</f>
        <v>0</v>
      </c>
      <c r="X61" s="27">
        <f>IF(Pagoinversiones!K49&gt;0,$Q61,W61)</f>
        <v>0</v>
      </c>
      <c r="Y61" s="27">
        <f>IF(Pagoinversiones!L49&gt;0,$Q61,X61)</f>
        <v>0</v>
      </c>
      <c r="Z61" s="27">
        <f>IF(Pagoinversiones!M49&gt;0,$Q61,Y61)</f>
        <v>0</v>
      </c>
      <c r="AA61" s="27">
        <f>IF(Pagoinversiones!N49&gt;0,$Q61,Z61)</f>
        <v>0</v>
      </c>
      <c r="AB61" s="27">
        <f>IF(Pagoinversiones!O49&gt;0,$Q61,AA61)</f>
        <v>0</v>
      </c>
      <c r="AC61" s="27">
        <f>IF(Pagoinversiones!P49&gt;0,$Q61,AB61)</f>
        <v>0</v>
      </c>
      <c r="AD61" s="27">
        <f t="shared" ref="AD61:AD101" si="23">SUM(R61:AC61)</f>
        <v>0</v>
      </c>
      <c r="AE61" s="27">
        <f t="shared" ref="AE61:AE101" si="24">+P61-AD61</f>
        <v>0</v>
      </c>
      <c r="AF61" s="27">
        <f t="shared" ref="AF61:AF101" si="25">+Q61*12</f>
        <v>0</v>
      </c>
      <c r="AG61" s="27">
        <f t="shared" ref="AG61:AG101" si="26">IF(AF61&lt;AE61,AF61,AE61)</f>
        <v>0</v>
      </c>
      <c r="AH61" s="27">
        <f t="shared" ref="AH61:AH101" si="27">+AE61-AG61</f>
        <v>0</v>
      </c>
      <c r="AI61" s="27">
        <f t="shared" ref="AI61:AK101" si="28">IF($AF61&lt;AH61,$AF61,AH61)</f>
        <v>0</v>
      </c>
      <c r="AJ61" s="27">
        <f t="shared" ref="AJ61:AJ101" si="29">+AH61-AI61</f>
        <v>0</v>
      </c>
      <c r="AK61" s="27">
        <f t="shared" si="28"/>
        <v>0</v>
      </c>
      <c r="AL61" s="27">
        <f t="shared" ref="AL61:AL101" si="30">+AJ61-AK61</f>
        <v>0</v>
      </c>
      <c r="AM61" s="27">
        <f t="shared" si="19"/>
        <v>0</v>
      </c>
      <c r="AN61" s="27">
        <f t="shared" ref="AN61:AN101" si="31">+AL61-AM61</f>
        <v>0</v>
      </c>
      <c r="AO61" s="27">
        <f t="shared" ref="AO61:AO101" si="32">+AM61+AK61+AI61+AG61+AD61+AN61</f>
        <v>0</v>
      </c>
      <c r="AP61" s="27">
        <f t="shared" ref="AP61:AP101" si="33">+IF(P61=0,0,+(P61+L61)-P61)</f>
        <v>0</v>
      </c>
      <c r="AR61" s="27">
        <f t="shared" ref="AR61:AR101" si="34">IF(F61=$L$57,D61-L61,0)</f>
        <v>0</v>
      </c>
      <c r="AS61" s="27">
        <f>IF($K61=0,AR61/12,AR61/$K61)</f>
        <v>0</v>
      </c>
      <c r="AT61" s="27">
        <f>IF(Pagoinversiones!I112&gt;0,$AS61,0)</f>
        <v>0</v>
      </c>
      <c r="AU61" s="27">
        <f>IF(Pagoinversiones!J112&gt;0,$AS61,AT61)</f>
        <v>0</v>
      </c>
      <c r="AV61" s="27">
        <f>IF(Pagoinversiones!K112&gt;0,$AS61,AU61)</f>
        <v>0</v>
      </c>
      <c r="AW61" s="27">
        <f>IF(Pagoinversiones!L112&gt;0,$AS61,AV61)</f>
        <v>0</v>
      </c>
      <c r="AX61" s="27">
        <f>IF(Pagoinversiones!M112&gt;0,$AS61,AW61)</f>
        <v>0</v>
      </c>
      <c r="AY61" s="27">
        <f>IF(Pagoinversiones!N112&gt;0,$AS61,AX61)</f>
        <v>0</v>
      </c>
      <c r="AZ61" s="27">
        <f>IF(Pagoinversiones!O112&gt;0,$AS61,AY61)</f>
        <v>0</v>
      </c>
      <c r="BA61" s="27">
        <f>IF(Pagoinversiones!P112&gt;0,$AS61,AZ61)</f>
        <v>0</v>
      </c>
      <c r="BB61" s="27">
        <f>IF(Pagoinversiones!Q112&gt;0,$AS61,BA61)</f>
        <v>0</v>
      </c>
      <c r="BC61" s="27">
        <f>IF(Pagoinversiones!R112&gt;0,$AS61,BB61)</f>
        <v>0</v>
      </c>
      <c r="BD61" s="27">
        <f>IF(Pagoinversiones!S112&gt;0,$AS61,BC61)</f>
        <v>0</v>
      </c>
      <c r="BE61" s="27">
        <f>IF(Pagoinversiones!T112&gt;0,$AS61,BD61)</f>
        <v>0</v>
      </c>
      <c r="BF61" s="27">
        <f t="shared" ref="BF61:BF101" si="35">SUM(AT61:BE61)</f>
        <v>0</v>
      </c>
      <c r="BG61" s="27">
        <f>+AR61-BF61</f>
        <v>0</v>
      </c>
      <c r="BH61" s="27">
        <f>+AS61*12</f>
        <v>0</v>
      </c>
      <c r="BI61" s="27">
        <f>IF(BH61&lt;BG61,BH61,BG61)</f>
        <v>0</v>
      </c>
      <c r="BJ61" s="27">
        <f>+BG61-BI61</f>
        <v>0</v>
      </c>
      <c r="BK61" s="27">
        <f t="shared" ref="BK61:BM101" si="36">IF($BH61&lt;BJ61,$BH61,BJ61)</f>
        <v>0</v>
      </c>
      <c r="BL61" s="27">
        <f>+BJ61-BK61</f>
        <v>0</v>
      </c>
      <c r="BM61" s="27">
        <f t="shared" si="36"/>
        <v>0</v>
      </c>
      <c r="BN61" s="27">
        <f t="shared" ref="BN61:BN101" si="37">+BL61-BM61</f>
        <v>0</v>
      </c>
      <c r="BO61" s="27">
        <f t="shared" si="20"/>
        <v>0</v>
      </c>
      <c r="BP61" s="27">
        <f t="shared" ref="BP61:BP101" si="38">+BN61-BO61</f>
        <v>0</v>
      </c>
      <c r="BQ61" s="27">
        <f t="shared" ref="BQ61:BQ101" si="39">+BO61+BM61+BK61+BI61+BF61+BP61</f>
        <v>0</v>
      </c>
      <c r="BR61" s="27">
        <f t="shared" ref="BR61:BR101" si="40">+IF(AR61=0,0,(AR61+L61)-AR61)</f>
        <v>0</v>
      </c>
      <c r="BS61" s="61"/>
    </row>
    <row r="62" spans="2:71" s="27" customFormat="1" ht="11.25" hidden="1" x14ac:dyDescent="0.2">
      <c r="B62" s="60"/>
      <c r="C62" s="27">
        <f>SANDBOX!D153</f>
        <v>0</v>
      </c>
      <c r="D62" s="27">
        <f>SANDBOX!F153</f>
        <v>0</v>
      </c>
      <c r="E62" s="27">
        <f>Pagoinversiones!H113</f>
        <v>0</v>
      </c>
      <c r="F62" s="27" t="str">
        <f>SANDBOX!G153</f>
        <v>CASH</v>
      </c>
      <c r="J62" s="27">
        <f t="shared" si="16"/>
        <v>20</v>
      </c>
      <c r="K62" s="27">
        <f t="shared" si="21"/>
        <v>240</v>
      </c>
      <c r="L62" s="27">
        <f t="shared" si="17"/>
        <v>0</v>
      </c>
      <c r="P62" s="27">
        <f t="shared" si="18"/>
        <v>0</v>
      </c>
      <c r="Q62" s="27">
        <f t="shared" si="22"/>
        <v>0</v>
      </c>
      <c r="R62" s="27">
        <f>IF(Pagoinversiones!E50&gt;0,$Q62,0)</f>
        <v>0</v>
      </c>
      <c r="S62" s="27">
        <f>IF(Pagoinversiones!F50&gt;0,$Q62,R62)</f>
        <v>0</v>
      </c>
      <c r="T62" s="27">
        <f>IF(Pagoinversiones!G50&gt;0,$Q62,S62)</f>
        <v>0</v>
      </c>
      <c r="U62" s="27">
        <f>IF(Pagoinversiones!H50&gt;0,$Q62,T62)</f>
        <v>0</v>
      </c>
      <c r="V62" s="27">
        <f>IF(Pagoinversiones!I50&gt;0,$Q62,U62)</f>
        <v>0</v>
      </c>
      <c r="W62" s="27">
        <f>IF(Pagoinversiones!J50&gt;0,$Q62,V62)</f>
        <v>0</v>
      </c>
      <c r="X62" s="27">
        <f>IF(Pagoinversiones!K50&gt;0,$Q62,W62)</f>
        <v>0</v>
      </c>
      <c r="Y62" s="27">
        <f>IF(Pagoinversiones!L50&gt;0,$Q62,X62)</f>
        <v>0</v>
      </c>
      <c r="Z62" s="27">
        <f>IF(Pagoinversiones!M50&gt;0,$Q62,Y62)</f>
        <v>0</v>
      </c>
      <c r="AA62" s="27">
        <f>IF(Pagoinversiones!N50&gt;0,$Q62,Z62)</f>
        <v>0</v>
      </c>
      <c r="AB62" s="27">
        <f>IF(Pagoinversiones!O50&gt;0,$Q62,AA62)</f>
        <v>0</v>
      </c>
      <c r="AC62" s="27">
        <f>IF(Pagoinversiones!P50&gt;0,$Q62,AB62)</f>
        <v>0</v>
      </c>
      <c r="AD62" s="27">
        <f t="shared" si="23"/>
        <v>0</v>
      </c>
      <c r="AE62" s="27">
        <f t="shared" si="24"/>
        <v>0</v>
      </c>
      <c r="AF62" s="27">
        <f t="shared" si="25"/>
        <v>0</v>
      </c>
      <c r="AG62" s="27">
        <f t="shared" si="26"/>
        <v>0</v>
      </c>
      <c r="AH62" s="27">
        <f t="shared" si="27"/>
        <v>0</v>
      </c>
      <c r="AI62" s="27">
        <f t="shared" si="28"/>
        <v>0</v>
      </c>
      <c r="AJ62" s="27">
        <f t="shared" si="29"/>
        <v>0</v>
      </c>
      <c r="AK62" s="27">
        <f t="shared" si="28"/>
        <v>0</v>
      </c>
      <c r="AL62" s="27">
        <f t="shared" si="30"/>
        <v>0</v>
      </c>
      <c r="AM62" s="27">
        <f t="shared" si="19"/>
        <v>0</v>
      </c>
      <c r="AN62" s="27">
        <f t="shared" si="31"/>
        <v>0</v>
      </c>
      <c r="AO62" s="27">
        <f t="shared" si="32"/>
        <v>0</v>
      </c>
      <c r="AP62" s="27">
        <f t="shared" si="33"/>
        <v>0</v>
      </c>
      <c r="AR62" s="27">
        <f t="shared" si="34"/>
        <v>0</v>
      </c>
      <c r="AS62" s="27">
        <f t="shared" ref="AS62:AS101" si="41">IF($K62=0,AR62/12,AR62/$K62)</f>
        <v>0</v>
      </c>
      <c r="AT62" s="27">
        <f>IF(Pagoinversiones!I113&gt;0,$AS62,0)</f>
        <v>0</v>
      </c>
      <c r="AU62" s="27">
        <f>IF(Pagoinversiones!J113&gt;0,$AS62,AT62)</f>
        <v>0</v>
      </c>
      <c r="AV62" s="27">
        <f>IF(Pagoinversiones!K113&gt;0,$AS62,AU62)</f>
        <v>0</v>
      </c>
      <c r="AW62" s="27">
        <f>IF(Pagoinversiones!L113&gt;0,$AS62,AV62)</f>
        <v>0</v>
      </c>
      <c r="AX62" s="27">
        <f>IF(Pagoinversiones!M113&gt;0,$AS62,AW62)</f>
        <v>0</v>
      </c>
      <c r="AY62" s="27">
        <f>IF(Pagoinversiones!N113&gt;0,$AS62,AX62)</f>
        <v>0</v>
      </c>
      <c r="AZ62" s="27">
        <f>IF(Pagoinversiones!O113&gt;0,$AS62,AY62)</f>
        <v>0</v>
      </c>
      <c r="BA62" s="27">
        <f>IF(Pagoinversiones!P113&gt;0,$AS62,AZ62)</f>
        <v>0</v>
      </c>
      <c r="BB62" s="27">
        <f>IF(Pagoinversiones!Q113&gt;0,$AS62,BA62)</f>
        <v>0</v>
      </c>
      <c r="BC62" s="27">
        <f>IF(Pagoinversiones!R113&gt;0,$AS62,BB62)</f>
        <v>0</v>
      </c>
      <c r="BD62" s="27">
        <f>IF(Pagoinversiones!S113&gt;0,$AS62,BC62)</f>
        <v>0</v>
      </c>
      <c r="BE62" s="27">
        <f>IF(Pagoinversiones!T113&gt;0,$AS62,BD62)</f>
        <v>0</v>
      </c>
      <c r="BF62" s="27">
        <f t="shared" si="35"/>
        <v>0</v>
      </c>
      <c r="BG62" s="27">
        <f t="shared" ref="BG62:BG100" si="42">+AR62-BF62</f>
        <v>0</v>
      </c>
      <c r="BH62" s="27">
        <f t="shared" ref="BH62:BH101" si="43">+AS62*12</f>
        <v>0</v>
      </c>
      <c r="BI62" s="27">
        <f t="shared" ref="BI62:BI101" si="44">IF(BH62&lt;BG62,BH62,BG62)</f>
        <v>0</v>
      </c>
      <c r="BJ62" s="27">
        <f t="shared" ref="BJ62:BJ101" si="45">+BG62-BI62</f>
        <v>0</v>
      </c>
      <c r="BK62" s="27">
        <f t="shared" si="36"/>
        <v>0</v>
      </c>
      <c r="BL62" s="27">
        <f t="shared" ref="BL62:BL101" si="46">+BJ62-BK62</f>
        <v>0</v>
      </c>
      <c r="BM62" s="27">
        <f t="shared" si="36"/>
        <v>0</v>
      </c>
      <c r="BN62" s="27">
        <f t="shared" si="37"/>
        <v>0</v>
      </c>
      <c r="BO62" s="27">
        <f t="shared" si="20"/>
        <v>0</v>
      </c>
      <c r="BP62" s="27">
        <f t="shared" si="38"/>
        <v>0</v>
      </c>
      <c r="BQ62" s="27">
        <f t="shared" si="39"/>
        <v>0</v>
      </c>
      <c r="BR62" s="27">
        <f t="shared" si="40"/>
        <v>0</v>
      </c>
      <c r="BS62" s="61"/>
    </row>
    <row r="63" spans="2:71" s="27" customFormat="1" ht="11.25" hidden="1" x14ac:dyDescent="0.2">
      <c r="B63" s="60"/>
      <c r="C63" s="27">
        <f>SANDBOX!D154</f>
        <v>0</v>
      </c>
      <c r="D63" s="27">
        <f>SANDBOX!F154</f>
        <v>0</v>
      </c>
      <c r="E63" s="27">
        <f>Pagoinversiones!H114</f>
        <v>0</v>
      </c>
      <c r="F63" s="27" t="str">
        <f>SANDBOX!G154</f>
        <v>CASH</v>
      </c>
      <c r="J63" s="27">
        <f t="shared" si="16"/>
        <v>20</v>
      </c>
      <c r="K63" s="27">
        <f t="shared" si="21"/>
        <v>240</v>
      </c>
      <c r="L63" s="27">
        <f t="shared" si="17"/>
        <v>0</v>
      </c>
      <c r="P63" s="27">
        <f t="shared" si="18"/>
        <v>0</v>
      </c>
      <c r="Q63" s="27">
        <f t="shared" si="22"/>
        <v>0</v>
      </c>
      <c r="R63" s="27">
        <f>IF(Pagoinversiones!E51&gt;0,$Q63,0)</f>
        <v>0</v>
      </c>
      <c r="S63" s="27">
        <f>IF(Pagoinversiones!F51&gt;0,$Q63,R63)</f>
        <v>0</v>
      </c>
      <c r="T63" s="27">
        <f>IF(Pagoinversiones!G51&gt;0,$Q63,S63)</f>
        <v>0</v>
      </c>
      <c r="U63" s="27">
        <f>IF(Pagoinversiones!H51&gt;0,$Q63,T63)</f>
        <v>0</v>
      </c>
      <c r="V63" s="27">
        <f>IF(Pagoinversiones!I51&gt;0,$Q63,U63)</f>
        <v>0</v>
      </c>
      <c r="W63" s="27">
        <f>IF(Pagoinversiones!J51&gt;0,$Q63,V63)</f>
        <v>0</v>
      </c>
      <c r="X63" s="27">
        <f>IF(Pagoinversiones!K51&gt;0,$Q63,W63)</f>
        <v>0</v>
      </c>
      <c r="Y63" s="27">
        <f>IF(Pagoinversiones!L51&gt;0,$Q63,X63)</f>
        <v>0</v>
      </c>
      <c r="Z63" s="27">
        <f>IF(Pagoinversiones!M51&gt;0,$Q63,Y63)</f>
        <v>0</v>
      </c>
      <c r="AA63" s="27">
        <f>IF(Pagoinversiones!N51&gt;0,$Q63,Z63)</f>
        <v>0</v>
      </c>
      <c r="AB63" s="27">
        <f>IF(Pagoinversiones!O51&gt;0,$Q63,AA63)</f>
        <v>0</v>
      </c>
      <c r="AC63" s="27">
        <f>IF(Pagoinversiones!P51&gt;0,$Q63,AB63)</f>
        <v>0</v>
      </c>
      <c r="AD63" s="27">
        <f t="shared" si="23"/>
        <v>0</v>
      </c>
      <c r="AE63" s="27">
        <f t="shared" si="24"/>
        <v>0</v>
      </c>
      <c r="AF63" s="27">
        <f t="shared" si="25"/>
        <v>0</v>
      </c>
      <c r="AG63" s="27">
        <f t="shared" si="26"/>
        <v>0</v>
      </c>
      <c r="AH63" s="27">
        <f t="shared" si="27"/>
        <v>0</v>
      </c>
      <c r="AI63" s="27">
        <f t="shared" si="28"/>
        <v>0</v>
      </c>
      <c r="AJ63" s="27">
        <f t="shared" si="29"/>
        <v>0</v>
      </c>
      <c r="AK63" s="27">
        <f t="shared" si="28"/>
        <v>0</v>
      </c>
      <c r="AL63" s="27">
        <f t="shared" si="30"/>
        <v>0</v>
      </c>
      <c r="AM63" s="27">
        <f t="shared" si="19"/>
        <v>0</v>
      </c>
      <c r="AN63" s="27">
        <f t="shared" si="31"/>
        <v>0</v>
      </c>
      <c r="AO63" s="27">
        <f t="shared" si="32"/>
        <v>0</v>
      </c>
      <c r="AP63" s="27">
        <f t="shared" si="33"/>
        <v>0</v>
      </c>
      <c r="AR63" s="27">
        <f t="shared" si="34"/>
        <v>0</v>
      </c>
      <c r="AS63" s="27">
        <f t="shared" si="41"/>
        <v>0</v>
      </c>
      <c r="AT63" s="27">
        <f>IF(Pagoinversiones!I114&gt;0,$AS63,0)</f>
        <v>0</v>
      </c>
      <c r="AU63" s="27">
        <f>IF(Pagoinversiones!J114&gt;0,$AS63,AT63)</f>
        <v>0</v>
      </c>
      <c r="AV63" s="27">
        <f>IF(Pagoinversiones!K114&gt;0,$AS63,AU63)</f>
        <v>0</v>
      </c>
      <c r="AW63" s="27">
        <f>IF(Pagoinversiones!L114&gt;0,$AS63,AV63)</f>
        <v>0</v>
      </c>
      <c r="AX63" s="27">
        <f>IF(Pagoinversiones!M114&gt;0,$AS63,AW63)</f>
        <v>0</v>
      </c>
      <c r="AY63" s="27">
        <f>IF(Pagoinversiones!N114&gt;0,$AS63,AX63)</f>
        <v>0</v>
      </c>
      <c r="AZ63" s="27">
        <f>IF(Pagoinversiones!O114&gt;0,$AS63,AY63)</f>
        <v>0</v>
      </c>
      <c r="BA63" s="27">
        <f>IF(Pagoinversiones!P114&gt;0,$AS63,AZ63)</f>
        <v>0</v>
      </c>
      <c r="BB63" s="27">
        <f>IF(Pagoinversiones!Q114&gt;0,$AS63,BA63)</f>
        <v>0</v>
      </c>
      <c r="BC63" s="27">
        <f>IF(Pagoinversiones!R114&gt;0,$AS63,BB63)</f>
        <v>0</v>
      </c>
      <c r="BD63" s="27">
        <f>IF(Pagoinversiones!S114&gt;0,$AS63,BC63)</f>
        <v>0</v>
      </c>
      <c r="BE63" s="27">
        <f>IF(Pagoinversiones!T114&gt;0,$AS63,BD63)</f>
        <v>0</v>
      </c>
      <c r="BF63" s="27">
        <f t="shared" si="35"/>
        <v>0</v>
      </c>
      <c r="BG63" s="27">
        <f t="shared" si="42"/>
        <v>0</v>
      </c>
      <c r="BH63" s="27">
        <f t="shared" si="43"/>
        <v>0</v>
      </c>
      <c r="BI63" s="27">
        <f t="shared" si="44"/>
        <v>0</v>
      </c>
      <c r="BJ63" s="27">
        <f t="shared" si="45"/>
        <v>0</v>
      </c>
      <c r="BK63" s="27">
        <f t="shared" si="36"/>
        <v>0</v>
      </c>
      <c r="BL63" s="27">
        <f t="shared" si="46"/>
        <v>0</v>
      </c>
      <c r="BM63" s="27">
        <f t="shared" si="36"/>
        <v>0</v>
      </c>
      <c r="BN63" s="27">
        <f t="shared" si="37"/>
        <v>0</v>
      </c>
      <c r="BO63" s="27">
        <f t="shared" si="20"/>
        <v>0</v>
      </c>
      <c r="BP63" s="27">
        <f t="shared" si="38"/>
        <v>0</v>
      </c>
      <c r="BQ63" s="27">
        <f t="shared" si="39"/>
        <v>0</v>
      </c>
      <c r="BR63" s="27">
        <f t="shared" si="40"/>
        <v>0</v>
      </c>
      <c r="BS63" s="61"/>
    </row>
    <row r="64" spans="2:71" s="27" customFormat="1" ht="11.25" hidden="1" x14ac:dyDescent="0.2">
      <c r="B64" s="60"/>
      <c r="C64" s="27">
        <f>SANDBOX!D155</f>
        <v>0</v>
      </c>
      <c r="D64" s="27">
        <f>SANDBOX!F155</f>
        <v>0</v>
      </c>
      <c r="E64" s="27">
        <f>Pagoinversiones!H115</f>
        <v>0</v>
      </c>
      <c r="F64" s="27" t="str">
        <f>SANDBOX!G155</f>
        <v>CASH</v>
      </c>
      <c r="J64" s="27">
        <f t="shared" si="16"/>
        <v>20</v>
      </c>
      <c r="K64" s="27">
        <f t="shared" si="21"/>
        <v>240</v>
      </c>
      <c r="L64" s="27">
        <f t="shared" si="17"/>
        <v>0</v>
      </c>
      <c r="P64" s="27">
        <f t="shared" si="18"/>
        <v>0</v>
      </c>
      <c r="Q64" s="27">
        <f t="shared" si="22"/>
        <v>0</v>
      </c>
      <c r="R64" s="27">
        <f>IF(Pagoinversiones!E52&gt;0,$Q64,0)</f>
        <v>0</v>
      </c>
      <c r="S64" s="27">
        <f>IF(Pagoinversiones!F52&gt;0,$Q64,R64)</f>
        <v>0</v>
      </c>
      <c r="T64" s="27">
        <f>IF(Pagoinversiones!G52&gt;0,$Q64,S64)</f>
        <v>0</v>
      </c>
      <c r="U64" s="27">
        <f>IF(Pagoinversiones!H52&gt;0,$Q64,T64)</f>
        <v>0</v>
      </c>
      <c r="V64" s="27">
        <f>IF(Pagoinversiones!I52&gt;0,$Q64,U64)</f>
        <v>0</v>
      </c>
      <c r="W64" s="27">
        <f>IF(Pagoinversiones!J52&gt;0,$Q64,V64)</f>
        <v>0</v>
      </c>
      <c r="X64" s="27">
        <f>IF(Pagoinversiones!K52&gt;0,$Q64,W64)</f>
        <v>0</v>
      </c>
      <c r="Y64" s="27">
        <f>IF(Pagoinversiones!L52&gt;0,$Q64,X64)</f>
        <v>0</v>
      </c>
      <c r="Z64" s="27">
        <f>IF(Pagoinversiones!M52&gt;0,$Q64,Y64)</f>
        <v>0</v>
      </c>
      <c r="AA64" s="27">
        <f>IF(Pagoinversiones!N52&gt;0,$Q64,Z64)</f>
        <v>0</v>
      </c>
      <c r="AB64" s="27">
        <f>IF(Pagoinversiones!O52&gt;0,$Q64,AA64)</f>
        <v>0</v>
      </c>
      <c r="AC64" s="27">
        <f>IF(Pagoinversiones!P52&gt;0,$Q64,AB64)</f>
        <v>0</v>
      </c>
      <c r="AD64" s="27">
        <f t="shared" si="23"/>
        <v>0</v>
      </c>
      <c r="AE64" s="27">
        <f t="shared" si="24"/>
        <v>0</v>
      </c>
      <c r="AF64" s="27">
        <f t="shared" si="25"/>
        <v>0</v>
      </c>
      <c r="AG64" s="27">
        <f t="shared" si="26"/>
        <v>0</v>
      </c>
      <c r="AH64" s="27">
        <f t="shared" si="27"/>
        <v>0</v>
      </c>
      <c r="AI64" s="27">
        <f t="shared" si="28"/>
        <v>0</v>
      </c>
      <c r="AJ64" s="27">
        <f t="shared" si="29"/>
        <v>0</v>
      </c>
      <c r="AK64" s="27">
        <f t="shared" si="28"/>
        <v>0</v>
      </c>
      <c r="AL64" s="27">
        <f t="shared" si="30"/>
        <v>0</v>
      </c>
      <c r="AM64" s="27">
        <f t="shared" si="19"/>
        <v>0</v>
      </c>
      <c r="AN64" s="27">
        <f t="shared" si="31"/>
        <v>0</v>
      </c>
      <c r="AO64" s="27">
        <f t="shared" si="32"/>
        <v>0</v>
      </c>
      <c r="AP64" s="27">
        <f t="shared" si="33"/>
        <v>0</v>
      </c>
      <c r="AR64" s="27">
        <f t="shared" si="34"/>
        <v>0</v>
      </c>
      <c r="AS64" s="27">
        <f t="shared" si="41"/>
        <v>0</v>
      </c>
      <c r="AT64" s="27">
        <f>IF(Pagoinversiones!I115&gt;0,$AS64,0)</f>
        <v>0</v>
      </c>
      <c r="AU64" s="27">
        <f>IF(Pagoinversiones!J115&gt;0,$AS64,AT64)</f>
        <v>0</v>
      </c>
      <c r="AV64" s="27">
        <f>IF(Pagoinversiones!K115&gt;0,$AS64,AU64)</f>
        <v>0</v>
      </c>
      <c r="AW64" s="27">
        <f>IF(Pagoinversiones!L115&gt;0,$AS64,AV64)</f>
        <v>0</v>
      </c>
      <c r="AX64" s="27">
        <f>IF(Pagoinversiones!M115&gt;0,$AS64,AW64)</f>
        <v>0</v>
      </c>
      <c r="AY64" s="27">
        <f>IF(Pagoinversiones!N115&gt;0,$AS64,AX64)</f>
        <v>0</v>
      </c>
      <c r="AZ64" s="27">
        <f>IF(Pagoinversiones!O115&gt;0,$AS64,AY64)</f>
        <v>0</v>
      </c>
      <c r="BA64" s="27">
        <f>IF(Pagoinversiones!P115&gt;0,$AS64,AZ64)</f>
        <v>0</v>
      </c>
      <c r="BB64" s="27">
        <f>IF(Pagoinversiones!Q115&gt;0,$AS64,BA64)</f>
        <v>0</v>
      </c>
      <c r="BC64" s="27">
        <f>IF(Pagoinversiones!R115&gt;0,$AS64,BB64)</f>
        <v>0</v>
      </c>
      <c r="BD64" s="27">
        <f>IF(Pagoinversiones!S115&gt;0,$AS64,BC64)</f>
        <v>0</v>
      </c>
      <c r="BE64" s="27">
        <f>IF(Pagoinversiones!T115&gt;0,$AS64,BD64)</f>
        <v>0</v>
      </c>
      <c r="BF64" s="27">
        <f t="shared" si="35"/>
        <v>0</v>
      </c>
      <c r="BG64" s="27">
        <f t="shared" si="42"/>
        <v>0</v>
      </c>
      <c r="BH64" s="27">
        <f t="shared" si="43"/>
        <v>0</v>
      </c>
      <c r="BI64" s="27">
        <f t="shared" si="44"/>
        <v>0</v>
      </c>
      <c r="BJ64" s="27">
        <f t="shared" si="45"/>
        <v>0</v>
      </c>
      <c r="BK64" s="27">
        <f t="shared" si="36"/>
        <v>0</v>
      </c>
      <c r="BL64" s="27">
        <f t="shared" si="46"/>
        <v>0</v>
      </c>
      <c r="BM64" s="27">
        <f t="shared" si="36"/>
        <v>0</v>
      </c>
      <c r="BN64" s="27">
        <f t="shared" si="37"/>
        <v>0</v>
      </c>
      <c r="BO64" s="27">
        <f t="shared" si="20"/>
        <v>0</v>
      </c>
      <c r="BP64" s="27">
        <f t="shared" si="38"/>
        <v>0</v>
      </c>
      <c r="BQ64" s="27">
        <f t="shared" si="39"/>
        <v>0</v>
      </c>
      <c r="BR64" s="27">
        <f t="shared" si="40"/>
        <v>0</v>
      </c>
      <c r="BS64" s="61"/>
    </row>
    <row r="65" spans="2:71" s="27" customFormat="1" ht="11.25" hidden="1" x14ac:dyDescent="0.2">
      <c r="B65" s="60"/>
      <c r="C65" s="27">
        <f>SANDBOX!D156</f>
        <v>0</v>
      </c>
      <c r="D65" s="27">
        <f>SANDBOX!F156</f>
        <v>0</v>
      </c>
      <c r="E65" s="27">
        <f>Pagoinversiones!H116</f>
        <v>0</v>
      </c>
      <c r="F65" s="27" t="str">
        <f>SANDBOX!G156</f>
        <v>CASH</v>
      </c>
      <c r="J65" s="27">
        <f t="shared" si="16"/>
        <v>20</v>
      </c>
      <c r="K65" s="27">
        <f t="shared" si="21"/>
        <v>240</v>
      </c>
      <c r="L65" s="27">
        <f t="shared" si="17"/>
        <v>0</v>
      </c>
      <c r="P65" s="27">
        <f t="shared" si="18"/>
        <v>0</v>
      </c>
      <c r="Q65" s="27">
        <f t="shared" si="22"/>
        <v>0</v>
      </c>
      <c r="R65" s="27">
        <f>IF(Pagoinversiones!E53&gt;0,$Q65,0)</f>
        <v>0</v>
      </c>
      <c r="S65" s="27">
        <f>IF(Pagoinversiones!F53&gt;0,$Q65,R65)</f>
        <v>0</v>
      </c>
      <c r="T65" s="27">
        <f>IF(Pagoinversiones!G53&gt;0,$Q65,S65)</f>
        <v>0</v>
      </c>
      <c r="U65" s="27">
        <f>IF(Pagoinversiones!H53&gt;0,$Q65,T65)</f>
        <v>0</v>
      </c>
      <c r="V65" s="27">
        <f>IF(Pagoinversiones!I53&gt;0,$Q65,U65)</f>
        <v>0</v>
      </c>
      <c r="W65" s="27">
        <f>IF(Pagoinversiones!J53&gt;0,$Q65,V65)</f>
        <v>0</v>
      </c>
      <c r="X65" s="27">
        <f>IF(Pagoinversiones!K53&gt;0,$Q65,W65)</f>
        <v>0</v>
      </c>
      <c r="Y65" s="27">
        <f>IF(Pagoinversiones!L53&gt;0,$Q65,X65)</f>
        <v>0</v>
      </c>
      <c r="Z65" s="27">
        <f>IF(Pagoinversiones!M53&gt;0,$Q65,Y65)</f>
        <v>0</v>
      </c>
      <c r="AA65" s="27">
        <f>IF(Pagoinversiones!N53&gt;0,$Q65,Z65)</f>
        <v>0</v>
      </c>
      <c r="AB65" s="27">
        <f>IF(Pagoinversiones!O53&gt;0,$Q65,AA65)</f>
        <v>0</v>
      </c>
      <c r="AC65" s="27">
        <f>IF(Pagoinversiones!P53&gt;0,$Q65,AB65)</f>
        <v>0</v>
      </c>
      <c r="AD65" s="27">
        <f t="shared" si="23"/>
        <v>0</v>
      </c>
      <c r="AE65" s="27">
        <f t="shared" si="24"/>
        <v>0</v>
      </c>
      <c r="AF65" s="27">
        <f t="shared" si="25"/>
        <v>0</v>
      </c>
      <c r="AG65" s="27">
        <f t="shared" si="26"/>
        <v>0</v>
      </c>
      <c r="AH65" s="27">
        <f t="shared" si="27"/>
        <v>0</v>
      </c>
      <c r="AI65" s="27">
        <f t="shared" si="28"/>
        <v>0</v>
      </c>
      <c r="AJ65" s="27">
        <f t="shared" si="29"/>
        <v>0</v>
      </c>
      <c r="AK65" s="27">
        <f t="shared" si="28"/>
        <v>0</v>
      </c>
      <c r="AL65" s="27">
        <f t="shared" si="30"/>
        <v>0</v>
      </c>
      <c r="AM65" s="27">
        <f t="shared" si="19"/>
        <v>0</v>
      </c>
      <c r="AN65" s="27">
        <f t="shared" si="31"/>
        <v>0</v>
      </c>
      <c r="AO65" s="27">
        <f t="shared" si="32"/>
        <v>0</v>
      </c>
      <c r="AP65" s="27">
        <f t="shared" si="33"/>
        <v>0</v>
      </c>
      <c r="AR65" s="27">
        <f t="shared" si="34"/>
        <v>0</v>
      </c>
      <c r="AS65" s="27">
        <f t="shared" si="41"/>
        <v>0</v>
      </c>
      <c r="AT65" s="27">
        <f>IF(Pagoinversiones!I116&gt;0,$AS65,0)</f>
        <v>0</v>
      </c>
      <c r="AU65" s="27">
        <f>IF(Pagoinversiones!J116&gt;0,$AS65,AT65)</f>
        <v>0</v>
      </c>
      <c r="AV65" s="27">
        <f>IF(Pagoinversiones!K116&gt;0,$AS65,AU65)</f>
        <v>0</v>
      </c>
      <c r="AW65" s="27">
        <f>IF(Pagoinversiones!L116&gt;0,$AS65,AV65)</f>
        <v>0</v>
      </c>
      <c r="AX65" s="27">
        <f>IF(Pagoinversiones!M116&gt;0,$AS65,AW65)</f>
        <v>0</v>
      </c>
      <c r="AY65" s="27">
        <f>IF(Pagoinversiones!N116&gt;0,$AS65,AX65)</f>
        <v>0</v>
      </c>
      <c r="AZ65" s="27">
        <f>IF(Pagoinversiones!O116&gt;0,$AS65,AY65)</f>
        <v>0</v>
      </c>
      <c r="BA65" s="27">
        <f>IF(Pagoinversiones!P116&gt;0,$AS65,AZ65)</f>
        <v>0</v>
      </c>
      <c r="BB65" s="27">
        <f>IF(Pagoinversiones!Q116&gt;0,$AS65,BA65)</f>
        <v>0</v>
      </c>
      <c r="BC65" s="27">
        <f>IF(Pagoinversiones!R116&gt;0,$AS65,BB65)</f>
        <v>0</v>
      </c>
      <c r="BD65" s="27">
        <f>IF(Pagoinversiones!S116&gt;0,$AS65,BC65)</f>
        <v>0</v>
      </c>
      <c r="BE65" s="27">
        <f>IF(Pagoinversiones!T116&gt;0,$AS65,BD65)</f>
        <v>0</v>
      </c>
      <c r="BF65" s="27">
        <f t="shared" si="35"/>
        <v>0</v>
      </c>
      <c r="BG65" s="27">
        <f t="shared" si="42"/>
        <v>0</v>
      </c>
      <c r="BH65" s="27">
        <f t="shared" si="43"/>
        <v>0</v>
      </c>
      <c r="BI65" s="27">
        <f t="shared" si="44"/>
        <v>0</v>
      </c>
      <c r="BJ65" s="27">
        <f t="shared" si="45"/>
        <v>0</v>
      </c>
      <c r="BK65" s="27">
        <f t="shared" si="36"/>
        <v>0</v>
      </c>
      <c r="BL65" s="27">
        <f t="shared" si="46"/>
        <v>0</v>
      </c>
      <c r="BM65" s="27">
        <f t="shared" si="36"/>
        <v>0</v>
      </c>
      <c r="BN65" s="27">
        <f t="shared" si="37"/>
        <v>0</v>
      </c>
      <c r="BO65" s="27">
        <f t="shared" si="20"/>
        <v>0</v>
      </c>
      <c r="BP65" s="27">
        <f t="shared" si="38"/>
        <v>0</v>
      </c>
      <c r="BQ65" s="27">
        <f t="shared" si="39"/>
        <v>0</v>
      </c>
      <c r="BR65" s="27">
        <f t="shared" si="40"/>
        <v>0</v>
      </c>
      <c r="BS65" s="61"/>
    </row>
    <row r="66" spans="2:71" s="27" customFormat="1" ht="11.25" hidden="1" x14ac:dyDescent="0.2">
      <c r="B66" s="60"/>
      <c r="C66" s="27">
        <f>SANDBOX!D158</f>
        <v>0</v>
      </c>
      <c r="D66" s="27">
        <f>SANDBOX!F158</f>
        <v>0</v>
      </c>
      <c r="E66" s="27">
        <f>Pagoinversiones!H117</f>
        <v>0</v>
      </c>
      <c r="F66" s="27" t="str">
        <f>SANDBOX!G158</f>
        <v>CASH</v>
      </c>
      <c r="G66" s="27">
        <f>+SUMIF(Amortizaciones!F66:F71,SB!$C$156,Amortizaciones!D66:D71)</f>
        <v>0</v>
      </c>
      <c r="H66" s="27">
        <f>+SUMIF(F66:F71,SB!$C$157,D66:D71)</f>
        <v>0</v>
      </c>
      <c r="I66" s="27">
        <f>SUM(G66:H66)</f>
        <v>0</v>
      </c>
      <c r="J66" s="27">
        <f t="shared" ref="J66:J71" si="47">+IF(F66=$G$59,O$109,O$117)</f>
        <v>10</v>
      </c>
      <c r="K66" s="27">
        <f t="shared" si="21"/>
        <v>120</v>
      </c>
      <c r="L66" s="27">
        <f t="shared" ref="L66:L71" si="48">+IF(F66=$G$59,(D66*P$109),(E66*P$117))</f>
        <v>0</v>
      </c>
      <c r="P66" s="27">
        <f t="shared" si="18"/>
        <v>0</v>
      </c>
      <c r="Q66" s="27">
        <f t="shared" si="22"/>
        <v>0</v>
      </c>
      <c r="R66" s="27">
        <f>IF(Pagoinversiones!E55&gt;0,$Q66,0)</f>
        <v>0</v>
      </c>
      <c r="S66" s="27">
        <f>IF(Pagoinversiones!F55&gt;0,$Q66,R66)</f>
        <v>0</v>
      </c>
      <c r="T66" s="27">
        <f>IF(Pagoinversiones!G55&gt;0,$Q66,S66)</f>
        <v>0</v>
      </c>
      <c r="U66" s="27">
        <f>IF(Pagoinversiones!H55&gt;0,$Q66,T66)</f>
        <v>0</v>
      </c>
      <c r="V66" s="27">
        <f>IF(Pagoinversiones!I55&gt;0,$Q66,U66)</f>
        <v>0</v>
      </c>
      <c r="W66" s="27">
        <f>IF(Pagoinversiones!J55&gt;0,$Q66,V66)</f>
        <v>0</v>
      </c>
      <c r="X66" s="27">
        <f>IF(Pagoinversiones!K55&gt;0,$Q66,W66)</f>
        <v>0</v>
      </c>
      <c r="Y66" s="27">
        <f>IF(Pagoinversiones!L55&gt;0,$Q66,X66)</f>
        <v>0</v>
      </c>
      <c r="Z66" s="27">
        <f>IF(Pagoinversiones!M55&gt;0,$Q66,Y66)</f>
        <v>0</v>
      </c>
      <c r="AA66" s="27">
        <f>IF(Pagoinversiones!N55&gt;0,$Q66,Z66)</f>
        <v>0</v>
      </c>
      <c r="AB66" s="27">
        <f>IF(Pagoinversiones!O55&gt;0,$Q66,AA66)</f>
        <v>0</v>
      </c>
      <c r="AC66" s="27">
        <f>IF(Pagoinversiones!P55&gt;0,$Q66,AB66)</f>
        <v>0</v>
      </c>
      <c r="AD66" s="27">
        <f t="shared" si="23"/>
        <v>0</v>
      </c>
      <c r="AE66" s="27">
        <f t="shared" si="24"/>
        <v>0</v>
      </c>
      <c r="AF66" s="27">
        <f t="shared" si="25"/>
        <v>0</v>
      </c>
      <c r="AG66" s="27">
        <f t="shared" si="26"/>
        <v>0</v>
      </c>
      <c r="AH66" s="27">
        <f t="shared" si="27"/>
        <v>0</v>
      </c>
      <c r="AI66" s="27">
        <f t="shared" si="28"/>
        <v>0</v>
      </c>
      <c r="AJ66" s="27">
        <f t="shared" si="29"/>
        <v>0</v>
      </c>
      <c r="AK66" s="27">
        <f t="shared" si="28"/>
        <v>0</v>
      </c>
      <c r="AL66" s="27">
        <f t="shared" si="30"/>
        <v>0</v>
      </c>
      <c r="AM66" s="27">
        <f t="shared" si="19"/>
        <v>0</v>
      </c>
      <c r="AN66" s="27">
        <f t="shared" si="31"/>
        <v>0</v>
      </c>
      <c r="AO66" s="27">
        <f t="shared" si="32"/>
        <v>0</v>
      </c>
      <c r="AP66" s="27">
        <f t="shared" si="33"/>
        <v>0</v>
      </c>
      <c r="AR66" s="27">
        <f t="shared" si="34"/>
        <v>0</v>
      </c>
      <c r="AS66" s="27">
        <f t="shared" si="41"/>
        <v>0</v>
      </c>
      <c r="AT66" s="27">
        <f>IF(Pagoinversiones!I117&gt;0,$AS66,0)</f>
        <v>0</v>
      </c>
      <c r="AU66" s="27">
        <f>IF(Pagoinversiones!J117&gt;0,$AS66,AT66)</f>
        <v>0</v>
      </c>
      <c r="AV66" s="27">
        <f>IF(Pagoinversiones!K117&gt;0,$AS66,AU66)</f>
        <v>0</v>
      </c>
      <c r="AW66" s="27">
        <f>IF(Pagoinversiones!L117&gt;0,$AS66,AV66)</f>
        <v>0</v>
      </c>
      <c r="AX66" s="27">
        <f>IF(Pagoinversiones!M117&gt;0,$AS66,AW66)</f>
        <v>0</v>
      </c>
      <c r="AY66" s="27">
        <f>IF(Pagoinversiones!N117&gt;0,$AS66,AX66)</f>
        <v>0</v>
      </c>
      <c r="AZ66" s="27">
        <f>IF(Pagoinversiones!O117&gt;0,$AS66,AY66)</f>
        <v>0</v>
      </c>
      <c r="BA66" s="27">
        <f>IF(Pagoinversiones!P117&gt;0,$AS66,AZ66)</f>
        <v>0</v>
      </c>
      <c r="BB66" s="27">
        <f>IF(Pagoinversiones!Q117&gt;0,$AS66,BA66)</f>
        <v>0</v>
      </c>
      <c r="BC66" s="27">
        <f>IF(Pagoinversiones!R117&gt;0,$AS66,BB66)</f>
        <v>0</v>
      </c>
      <c r="BD66" s="27">
        <f>IF(Pagoinversiones!S117&gt;0,$AS66,BC66)</f>
        <v>0</v>
      </c>
      <c r="BE66" s="27">
        <f>IF(Pagoinversiones!T117&gt;0,$AS66,BD66)</f>
        <v>0</v>
      </c>
      <c r="BF66" s="27">
        <f t="shared" si="35"/>
        <v>0</v>
      </c>
      <c r="BG66" s="27">
        <f t="shared" si="42"/>
        <v>0</v>
      </c>
      <c r="BH66" s="27">
        <f t="shared" si="43"/>
        <v>0</v>
      </c>
      <c r="BI66" s="27">
        <f t="shared" si="44"/>
        <v>0</v>
      </c>
      <c r="BJ66" s="27">
        <f t="shared" si="45"/>
        <v>0</v>
      </c>
      <c r="BK66" s="27">
        <f t="shared" si="36"/>
        <v>0</v>
      </c>
      <c r="BL66" s="27">
        <f t="shared" si="46"/>
        <v>0</v>
      </c>
      <c r="BM66" s="27">
        <f t="shared" si="36"/>
        <v>0</v>
      </c>
      <c r="BN66" s="27">
        <f t="shared" si="37"/>
        <v>0</v>
      </c>
      <c r="BO66" s="27">
        <f t="shared" si="20"/>
        <v>0</v>
      </c>
      <c r="BP66" s="27">
        <f t="shared" si="38"/>
        <v>0</v>
      </c>
      <c r="BQ66" s="27">
        <f t="shared" si="39"/>
        <v>0</v>
      </c>
      <c r="BR66" s="27">
        <f t="shared" si="40"/>
        <v>0</v>
      </c>
      <c r="BS66" s="61"/>
    </row>
    <row r="67" spans="2:71" s="27" customFormat="1" ht="11.25" hidden="1" x14ac:dyDescent="0.2">
      <c r="B67" s="60"/>
      <c r="C67" s="27">
        <f>SANDBOX!D159</f>
        <v>0</v>
      </c>
      <c r="D67" s="27">
        <f>SANDBOX!F159</f>
        <v>0</v>
      </c>
      <c r="E67" s="27">
        <f>Pagoinversiones!H118</f>
        <v>0</v>
      </c>
      <c r="F67" s="27" t="str">
        <f>SANDBOX!G159</f>
        <v>CASH</v>
      </c>
      <c r="J67" s="27">
        <f t="shared" si="47"/>
        <v>10</v>
      </c>
      <c r="K67" s="27">
        <f t="shared" si="21"/>
        <v>120</v>
      </c>
      <c r="L67" s="27">
        <f t="shared" si="48"/>
        <v>0</v>
      </c>
      <c r="P67" s="27">
        <f t="shared" si="18"/>
        <v>0</v>
      </c>
      <c r="Q67" s="27">
        <f t="shared" si="22"/>
        <v>0</v>
      </c>
      <c r="R67" s="27">
        <f>IF(Pagoinversiones!E56&gt;0,$Q67,0)</f>
        <v>0</v>
      </c>
      <c r="S67" s="27">
        <f>IF(Pagoinversiones!F56&gt;0,$Q67,R67)</f>
        <v>0</v>
      </c>
      <c r="T67" s="27">
        <f>IF(Pagoinversiones!G56&gt;0,$Q67,S67)</f>
        <v>0</v>
      </c>
      <c r="U67" s="27">
        <f>IF(Pagoinversiones!H56&gt;0,$Q67,T67)</f>
        <v>0</v>
      </c>
      <c r="V67" s="27">
        <f>IF(Pagoinversiones!I56&gt;0,$Q67,U67)</f>
        <v>0</v>
      </c>
      <c r="W67" s="27">
        <f>IF(Pagoinversiones!J56&gt;0,$Q67,V67)</f>
        <v>0</v>
      </c>
      <c r="X67" s="27">
        <f>IF(Pagoinversiones!K56&gt;0,$Q67,W67)</f>
        <v>0</v>
      </c>
      <c r="Y67" s="27">
        <f>IF(Pagoinversiones!L56&gt;0,$Q67,X67)</f>
        <v>0</v>
      </c>
      <c r="Z67" s="27">
        <f>IF(Pagoinversiones!M56&gt;0,$Q67,Y67)</f>
        <v>0</v>
      </c>
      <c r="AA67" s="27">
        <f>IF(Pagoinversiones!N56&gt;0,$Q67,Z67)</f>
        <v>0</v>
      </c>
      <c r="AB67" s="27">
        <f>IF(Pagoinversiones!O56&gt;0,$Q67,AA67)</f>
        <v>0</v>
      </c>
      <c r="AC67" s="27">
        <f>IF(Pagoinversiones!P56&gt;0,$Q67,AB67)</f>
        <v>0</v>
      </c>
      <c r="AD67" s="27">
        <f t="shared" si="23"/>
        <v>0</v>
      </c>
      <c r="AE67" s="27">
        <f t="shared" si="24"/>
        <v>0</v>
      </c>
      <c r="AF67" s="27">
        <f t="shared" si="25"/>
        <v>0</v>
      </c>
      <c r="AG67" s="27">
        <f t="shared" si="26"/>
        <v>0</v>
      </c>
      <c r="AH67" s="27">
        <f t="shared" si="27"/>
        <v>0</v>
      </c>
      <c r="AI67" s="27">
        <f t="shared" si="28"/>
        <v>0</v>
      </c>
      <c r="AJ67" s="27">
        <f t="shared" si="29"/>
        <v>0</v>
      </c>
      <c r="AK67" s="27">
        <f t="shared" si="28"/>
        <v>0</v>
      </c>
      <c r="AL67" s="27">
        <f t="shared" si="30"/>
        <v>0</v>
      </c>
      <c r="AM67" s="27">
        <f t="shared" si="19"/>
        <v>0</v>
      </c>
      <c r="AN67" s="27">
        <f t="shared" si="31"/>
        <v>0</v>
      </c>
      <c r="AO67" s="27">
        <f t="shared" si="32"/>
        <v>0</v>
      </c>
      <c r="AP67" s="27">
        <f t="shared" si="33"/>
        <v>0</v>
      </c>
      <c r="AR67" s="27">
        <f t="shared" si="34"/>
        <v>0</v>
      </c>
      <c r="AS67" s="27">
        <f t="shared" si="41"/>
        <v>0</v>
      </c>
      <c r="AT67" s="27">
        <f>IF(Pagoinversiones!I118&gt;0,$AS67,0)</f>
        <v>0</v>
      </c>
      <c r="AU67" s="27">
        <f>IF(Pagoinversiones!J118&gt;0,$AS67,AT67)</f>
        <v>0</v>
      </c>
      <c r="AV67" s="27">
        <f>IF(Pagoinversiones!K118&gt;0,$AS67,AU67)</f>
        <v>0</v>
      </c>
      <c r="AW67" s="27">
        <f>IF(Pagoinversiones!L118&gt;0,$AS67,AV67)</f>
        <v>0</v>
      </c>
      <c r="AX67" s="27">
        <f>IF(Pagoinversiones!M118&gt;0,$AS67,AW67)</f>
        <v>0</v>
      </c>
      <c r="AY67" s="27">
        <f>IF(Pagoinversiones!N118&gt;0,$AS67,AX67)</f>
        <v>0</v>
      </c>
      <c r="AZ67" s="27">
        <f>IF(Pagoinversiones!O118&gt;0,$AS67,AY67)</f>
        <v>0</v>
      </c>
      <c r="BA67" s="27">
        <f>IF(Pagoinversiones!P118&gt;0,$AS67,AZ67)</f>
        <v>0</v>
      </c>
      <c r="BB67" s="27">
        <f>IF(Pagoinversiones!Q118&gt;0,$AS67,BA67)</f>
        <v>0</v>
      </c>
      <c r="BC67" s="27">
        <f>IF(Pagoinversiones!R118&gt;0,$AS67,BB67)</f>
        <v>0</v>
      </c>
      <c r="BD67" s="27">
        <f>IF(Pagoinversiones!S118&gt;0,$AS67,BC67)</f>
        <v>0</v>
      </c>
      <c r="BE67" s="27">
        <f>IF(Pagoinversiones!T118&gt;0,$AS67,BD67)</f>
        <v>0</v>
      </c>
      <c r="BF67" s="27">
        <f t="shared" si="35"/>
        <v>0</v>
      </c>
      <c r="BG67" s="27">
        <f t="shared" si="42"/>
        <v>0</v>
      </c>
      <c r="BH67" s="27">
        <f t="shared" si="43"/>
        <v>0</v>
      </c>
      <c r="BI67" s="27">
        <f t="shared" si="44"/>
        <v>0</v>
      </c>
      <c r="BJ67" s="27">
        <f t="shared" si="45"/>
        <v>0</v>
      </c>
      <c r="BK67" s="27">
        <f t="shared" si="36"/>
        <v>0</v>
      </c>
      <c r="BL67" s="27">
        <f t="shared" si="46"/>
        <v>0</v>
      </c>
      <c r="BM67" s="27">
        <f t="shared" si="36"/>
        <v>0</v>
      </c>
      <c r="BN67" s="27">
        <f t="shared" si="37"/>
        <v>0</v>
      </c>
      <c r="BO67" s="27">
        <f t="shared" si="20"/>
        <v>0</v>
      </c>
      <c r="BP67" s="27">
        <f t="shared" si="38"/>
        <v>0</v>
      </c>
      <c r="BQ67" s="27">
        <f t="shared" si="39"/>
        <v>0</v>
      </c>
      <c r="BR67" s="27">
        <f t="shared" si="40"/>
        <v>0</v>
      </c>
      <c r="BS67" s="61"/>
    </row>
    <row r="68" spans="2:71" s="27" customFormat="1" ht="11.25" hidden="1" x14ac:dyDescent="0.2">
      <c r="B68" s="60"/>
      <c r="C68" s="27">
        <f>SANDBOX!D160</f>
        <v>0</v>
      </c>
      <c r="D68" s="27">
        <f>SANDBOX!F160</f>
        <v>0</v>
      </c>
      <c r="E68" s="27">
        <f>Pagoinversiones!H119</f>
        <v>0</v>
      </c>
      <c r="F68" s="27" t="str">
        <f>SANDBOX!G160</f>
        <v>CASH</v>
      </c>
      <c r="J68" s="27">
        <f t="shared" si="47"/>
        <v>10</v>
      </c>
      <c r="K68" s="27">
        <f t="shared" si="21"/>
        <v>120</v>
      </c>
      <c r="L68" s="27">
        <f t="shared" si="48"/>
        <v>0</v>
      </c>
      <c r="P68" s="27">
        <f t="shared" si="18"/>
        <v>0</v>
      </c>
      <c r="Q68" s="27">
        <f t="shared" si="22"/>
        <v>0</v>
      </c>
      <c r="R68" s="27">
        <f>IF(Pagoinversiones!E57&gt;0,$Q68,0)</f>
        <v>0</v>
      </c>
      <c r="S68" s="27">
        <f>IF(Pagoinversiones!F57&gt;0,$Q68,R68)</f>
        <v>0</v>
      </c>
      <c r="T68" s="27">
        <f>IF(Pagoinversiones!G57&gt;0,$Q68,S68)</f>
        <v>0</v>
      </c>
      <c r="U68" s="27">
        <f>IF(Pagoinversiones!H57&gt;0,$Q68,T68)</f>
        <v>0</v>
      </c>
      <c r="V68" s="27">
        <f>IF(Pagoinversiones!I57&gt;0,$Q68,U68)</f>
        <v>0</v>
      </c>
      <c r="W68" s="27">
        <f>IF(Pagoinversiones!J57&gt;0,$Q68,V68)</f>
        <v>0</v>
      </c>
      <c r="X68" s="27">
        <f>IF(Pagoinversiones!K57&gt;0,$Q68,W68)</f>
        <v>0</v>
      </c>
      <c r="Y68" s="27">
        <f>IF(Pagoinversiones!L57&gt;0,$Q68,X68)</f>
        <v>0</v>
      </c>
      <c r="Z68" s="27">
        <f>IF(Pagoinversiones!M57&gt;0,$Q68,Y68)</f>
        <v>0</v>
      </c>
      <c r="AA68" s="27">
        <f>IF(Pagoinversiones!N57&gt;0,$Q68,Z68)</f>
        <v>0</v>
      </c>
      <c r="AB68" s="27">
        <f>IF(Pagoinversiones!O57&gt;0,$Q68,AA68)</f>
        <v>0</v>
      </c>
      <c r="AC68" s="27">
        <f>IF(Pagoinversiones!P57&gt;0,$Q68,AB68)</f>
        <v>0</v>
      </c>
      <c r="AD68" s="27">
        <f t="shared" si="23"/>
        <v>0</v>
      </c>
      <c r="AE68" s="27">
        <f t="shared" si="24"/>
        <v>0</v>
      </c>
      <c r="AF68" s="27">
        <f t="shared" si="25"/>
        <v>0</v>
      </c>
      <c r="AG68" s="27">
        <f t="shared" si="26"/>
        <v>0</v>
      </c>
      <c r="AH68" s="27">
        <f t="shared" si="27"/>
        <v>0</v>
      </c>
      <c r="AI68" s="27">
        <f t="shared" si="28"/>
        <v>0</v>
      </c>
      <c r="AJ68" s="27">
        <f t="shared" si="29"/>
        <v>0</v>
      </c>
      <c r="AK68" s="27">
        <f t="shared" si="28"/>
        <v>0</v>
      </c>
      <c r="AL68" s="27">
        <f t="shared" si="30"/>
        <v>0</v>
      </c>
      <c r="AM68" s="27">
        <f t="shared" si="19"/>
        <v>0</v>
      </c>
      <c r="AN68" s="27">
        <f t="shared" si="31"/>
        <v>0</v>
      </c>
      <c r="AO68" s="27">
        <f t="shared" si="32"/>
        <v>0</v>
      </c>
      <c r="AP68" s="27">
        <f t="shared" si="33"/>
        <v>0</v>
      </c>
      <c r="AR68" s="27">
        <f t="shared" si="34"/>
        <v>0</v>
      </c>
      <c r="AS68" s="27">
        <f t="shared" si="41"/>
        <v>0</v>
      </c>
      <c r="AT68" s="27">
        <f>IF(Pagoinversiones!I119&gt;0,$AS68,0)</f>
        <v>0</v>
      </c>
      <c r="AU68" s="27">
        <f>IF(Pagoinversiones!J119&gt;0,$AS68,AT68)</f>
        <v>0</v>
      </c>
      <c r="AV68" s="27">
        <f>IF(Pagoinversiones!K119&gt;0,$AS68,AU68)</f>
        <v>0</v>
      </c>
      <c r="AW68" s="27">
        <f>IF(Pagoinversiones!L119&gt;0,$AS68,AV68)</f>
        <v>0</v>
      </c>
      <c r="AX68" s="27">
        <f>IF(Pagoinversiones!M119&gt;0,$AS68,AW68)</f>
        <v>0</v>
      </c>
      <c r="AY68" s="27">
        <f>IF(Pagoinversiones!N119&gt;0,$AS68,AX68)</f>
        <v>0</v>
      </c>
      <c r="AZ68" s="27">
        <f>IF(Pagoinversiones!O119&gt;0,$AS68,AY68)</f>
        <v>0</v>
      </c>
      <c r="BA68" s="27">
        <f>IF(Pagoinversiones!P119&gt;0,$AS68,AZ68)</f>
        <v>0</v>
      </c>
      <c r="BB68" s="27">
        <f>IF(Pagoinversiones!Q119&gt;0,$AS68,BA68)</f>
        <v>0</v>
      </c>
      <c r="BC68" s="27">
        <f>IF(Pagoinversiones!R119&gt;0,$AS68,BB68)</f>
        <v>0</v>
      </c>
      <c r="BD68" s="27">
        <f>IF(Pagoinversiones!S119&gt;0,$AS68,BC68)</f>
        <v>0</v>
      </c>
      <c r="BE68" s="27">
        <f>IF(Pagoinversiones!T119&gt;0,$AS68,BD68)</f>
        <v>0</v>
      </c>
      <c r="BF68" s="27">
        <f t="shared" si="35"/>
        <v>0</v>
      </c>
      <c r="BG68" s="27">
        <f t="shared" si="42"/>
        <v>0</v>
      </c>
      <c r="BH68" s="27">
        <f t="shared" si="43"/>
        <v>0</v>
      </c>
      <c r="BI68" s="27">
        <f t="shared" si="44"/>
        <v>0</v>
      </c>
      <c r="BJ68" s="27">
        <f t="shared" si="45"/>
        <v>0</v>
      </c>
      <c r="BK68" s="27">
        <f t="shared" si="36"/>
        <v>0</v>
      </c>
      <c r="BL68" s="27">
        <f t="shared" si="46"/>
        <v>0</v>
      </c>
      <c r="BM68" s="27">
        <f t="shared" si="36"/>
        <v>0</v>
      </c>
      <c r="BN68" s="27">
        <f t="shared" si="37"/>
        <v>0</v>
      </c>
      <c r="BO68" s="27">
        <f t="shared" si="20"/>
        <v>0</v>
      </c>
      <c r="BP68" s="27">
        <f t="shared" si="38"/>
        <v>0</v>
      </c>
      <c r="BQ68" s="27">
        <f t="shared" si="39"/>
        <v>0</v>
      </c>
      <c r="BR68" s="27">
        <f t="shared" si="40"/>
        <v>0</v>
      </c>
      <c r="BS68" s="61"/>
    </row>
    <row r="69" spans="2:71" s="27" customFormat="1" ht="11.25" hidden="1" x14ac:dyDescent="0.2">
      <c r="B69" s="60"/>
      <c r="C69" s="27">
        <f>SANDBOX!D161</f>
        <v>0</v>
      </c>
      <c r="D69" s="27">
        <f>SANDBOX!F161</f>
        <v>0</v>
      </c>
      <c r="E69" s="27">
        <f>Pagoinversiones!H120</f>
        <v>0</v>
      </c>
      <c r="F69" s="27" t="str">
        <f>SANDBOX!G161</f>
        <v>CASH</v>
      </c>
      <c r="J69" s="27">
        <f t="shared" si="47"/>
        <v>10</v>
      </c>
      <c r="K69" s="27">
        <f t="shared" si="21"/>
        <v>120</v>
      </c>
      <c r="L69" s="27">
        <f t="shared" si="48"/>
        <v>0</v>
      </c>
      <c r="P69" s="27">
        <f t="shared" si="18"/>
        <v>0</v>
      </c>
      <c r="Q69" s="27">
        <f t="shared" si="22"/>
        <v>0</v>
      </c>
      <c r="R69" s="27">
        <f>IF(Pagoinversiones!E58&gt;0,$Q69,0)</f>
        <v>0</v>
      </c>
      <c r="S69" s="27">
        <f>IF(Pagoinversiones!F58&gt;0,$Q69,R69)</f>
        <v>0</v>
      </c>
      <c r="T69" s="27">
        <f>IF(Pagoinversiones!G58&gt;0,$Q69,S69)</f>
        <v>0</v>
      </c>
      <c r="U69" s="27">
        <f>IF(Pagoinversiones!H58&gt;0,$Q69,T69)</f>
        <v>0</v>
      </c>
      <c r="V69" s="27">
        <f>IF(Pagoinversiones!I58&gt;0,$Q69,U69)</f>
        <v>0</v>
      </c>
      <c r="W69" s="27">
        <f>IF(Pagoinversiones!J58&gt;0,$Q69,V69)</f>
        <v>0</v>
      </c>
      <c r="X69" s="27">
        <f>IF(Pagoinversiones!K58&gt;0,$Q69,W69)</f>
        <v>0</v>
      </c>
      <c r="Y69" s="27">
        <f>IF(Pagoinversiones!L58&gt;0,$Q69,X69)</f>
        <v>0</v>
      </c>
      <c r="Z69" s="27">
        <f>IF(Pagoinversiones!M58&gt;0,$Q69,Y69)</f>
        <v>0</v>
      </c>
      <c r="AA69" s="27">
        <f>IF(Pagoinversiones!N58&gt;0,$Q69,Z69)</f>
        <v>0</v>
      </c>
      <c r="AB69" s="27">
        <f>IF(Pagoinversiones!O58&gt;0,$Q69,AA69)</f>
        <v>0</v>
      </c>
      <c r="AC69" s="27">
        <f>IF(Pagoinversiones!P58&gt;0,$Q69,AB69)</f>
        <v>0</v>
      </c>
      <c r="AD69" s="27">
        <f t="shared" si="23"/>
        <v>0</v>
      </c>
      <c r="AE69" s="27">
        <f t="shared" si="24"/>
        <v>0</v>
      </c>
      <c r="AF69" s="27">
        <f t="shared" si="25"/>
        <v>0</v>
      </c>
      <c r="AG69" s="27">
        <f t="shared" si="26"/>
        <v>0</v>
      </c>
      <c r="AH69" s="27">
        <f t="shared" si="27"/>
        <v>0</v>
      </c>
      <c r="AI69" s="27">
        <f t="shared" si="28"/>
        <v>0</v>
      </c>
      <c r="AJ69" s="27">
        <f t="shared" si="29"/>
        <v>0</v>
      </c>
      <c r="AK69" s="27">
        <f t="shared" si="28"/>
        <v>0</v>
      </c>
      <c r="AL69" s="27">
        <f t="shared" si="30"/>
        <v>0</v>
      </c>
      <c r="AM69" s="27">
        <f t="shared" si="19"/>
        <v>0</v>
      </c>
      <c r="AN69" s="27">
        <f t="shared" si="31"/>
        <v>0</v>
      </c>
      <c r="AO69" s="27">
        <f t="shared" si="32"/>
        <v>0</v>
      </c>
      <c r="AP69" s="27">
        <f t="shared" si="33"/>
        <v>0</v>
      </c>
      <c r="AR69" s="27">
        <f t="shared" si="34"/>
        <v>0</v>
      </c>
      <c r="AS69" s="27">
        <f t="shared" si="41"/>
        <v>0</v>
      </c>
      <c r="AT69" s="27">
        <f>IF(Pagoinversiones!I120&gt;0,$AS69,0)</f>
        <v>0</v>
      </c>
      <c r="AU69" s="27">
        <f>IF(Pagoinversiones!J120&gt;0,$AS69,AT69)</f>
        <v>0</v>
      </c>
      <c r="AV69" s="27">
        <f>IF(Pagoinversiones!K120&gt;0,$AS69,AU69)</f>
        <v>0</v>
      </c>
      <c r="AW69" s="27">
        <f>IF(Pagoinversiones!L120&gt;0,$AS69,AV69)</f>
        <v>0</v>
      </c>
      <c r="AX69" s="27">
        <f>IF(Pagoinversiones!M120&gt;0,$AS69,AW69)</f>
        <v>0</v>
      </c>
      <c r="AY69" s="27">
        <f>IF(Pagoinversiones!N120&gt;0,$AS69,AX69)</f>
        <v>0</v>
      </c>
      <c r="AZ69" s="27">
        <f>IF(Pagoinversiones!O120&gt;0,$AS69,AY69)</f>
        <v>0</v>
      </c>
      <c r="BA69" s="27">
        <f>IF(Pagoinversiones!P120&gt;0,$AS69,AZ69)</f>
        <v>0</v>
      </c>
      <c r="BB69" s="27">
        <f>IF(Pagoinversiones!Q120&gt;0,$AS69,BA69)</f>
        <v>0</v>
      </c>
      <c r="BC69" s="27">
        <f>IF(Pagoinversiones!R120&gt;0,$AS69,BB69)</f>
        <v>0</v>
      </c>
      <c r="BD69" s="27">
        <f>IF(Pagoinversiones!S120&gt;0,$AS69,BC69)</f>
        <v>0</v>
      </c>
      <c r="BE69" s="27">
        <f>IF(Pagoinversiones!T120&gt;0,$AS69,BD69)</f>
        <v>0</v>
      </c>
      <c r="BF69" s="27">
        <f t="shared" si="35"/>
        <v>0</v>
      </c>
      <c r="BG69" s="27">
        <f t="shared" si="42"/>
        <v>0</v>
      </c>
      <c r="BH69" s="27">
        <f t="shared" si="43"/>
        <v>0</v>
      </c>
      <c r="BI69" s="27">
        <f t="shared" si="44"/>
        <v>0</v>
      </c>
      <c r="BJ69" s="27">
        <f t="shared" si="45"/>
        <v>0</v>
      </c>
      <c r="BK69" s="27">
        <f t="shared" si="36"/>
        <v>0</v>
      </c>
      <c r="BL69" s="27">
        <f t="shared" si="46"/>
        <v>0</v>
      </c>
      <c r="BM69" s="27">
        <f t="shared" si="36"/>
        <v>0</v>
      </c>
      <c r="BN69" s="27">
        <f t="shared" si="37"/>
        <v>0</v>
      </c>
      <c r="BO69" s="27">
        <f t="shared" si="20"/>
        <v>0</v>
      </c>
      <c r="BP69" s="27">
        <f t="shared" si="38"/>
        <v>0</v>
      </c>
      <c r="BQ69" s="27">
        <f t="shared" si="39"/>
        <v>0</v>
      </c>
      <c r="BR69" s="27">
        <f t="shared" si="40"/>
        <v>0</v>
      </c>
      <c r="BS69" s="61"/>
    </row>
    <row r="70" spans="2:71" s="27" customFormat="1" ht="11.25" hidden="1" x14ac:dyDescent="0.2">
      <c r="B70" s="60"/>
      <c r="C70" s="27">
        <f>SANDBOX!D162</f>
        <v>0</v>
      </c>
      <c r="D70" s="27">
        <f>SANDBOX!F162</f>
        <v>0</v>
      </c>
      <c r="E70" s="27">
        <f>Pagoinversiones!H121</f>
        <v>0</v>
      </c>
      <c r="F70" s="27" t="str">
        <f>SANDBOX!G162</f>
        <v>CASH</v>
      </c>
      <c r="J70" s="27">
        <f t="shared" si="47"/>
        <v>10</v>
      </c>
      <c r="K70" s="27">
        <f t="shared" si="21"/>
        <v>120</v>
      </c>
      <c r="L70" s="27">
        <f t="shared" si="48"/>
        <v>0</v>
      </c>
      <c r="P70" s="27">
        <f t="shared" si="18"/>
        <v>0</v>
      </c>
      <c r="Q70" s="27">
        <f t="shared" si="22"/>
        <v>0</v>
      </c>
      <c r="R70" s="27">
        <f>IF(Pagoinversiones!E59&gt;0,$Q70,0)</f>
        <v>0</v>
      </c>
      <c r="S70" s="27">
        <f>IF(Pagoinversiones!F59&gt;0,$Q70,R70)</f>
        <v>0</v>
      </c>
      <c r="T70" s="27">
        <f>IF(Pagoinversiones!G59&gt;0,$Q70,S70)</f>
        <v>0</v>
      </c>
      <c r="U70" s="27">
        <f>IF(Pagoinversiones!H59&gt;0,$Q70,T70)</f>
        <v>0</v>
      </c>
      <c r="V70" s="27">
        <f>IF(Pagoinversiones!I59&gt;0,$Q70,U70)</f>
        <v>0</v>
      </c>
      <c r="W70" s="27">
        <f>IF(Pagoinversiones!J59&gt;0,$Q70,V70)</f>
        <v>0</v>
      </c>
      <c r="X70" s="27">
        <f>IF(Pagoinversiones!K59&gt;0,$Q70,W70)</f>
        <v>0</v>
      </c>
      <c r="Y70" s="27">
        <f>IF(Pagoinversiones!L59&gt;0,$Q70,X70)</f>
        <v>0</v>
      </c>
      <c r="Z70" s="27">
        <f>IF(Pagoinversiones!M59&gt;0,$Q70,Y70)</f>
        <v>0</v>
      </c>
      <c r="AA70" s="27">
        <f>IF(Pagoinversiones!N59&gt;0,$Q70,Z70)</f>
        <v>0</v>
      </c>
      <c r="AB70" s="27">
        <f>IF(Pagoinversiones!O59&gt;0,$Q70,AA70)</f>
        <v>0</v>
      </c>
      <c r="AC70" s="27">
        <f>IF(Pagoinversiones!P59&gt;0,$Q70,AB70)</f>
        <v>0</v>
      </c>
      <c r="AD70" s="27">
        <f t="shared" si="23"/>
        <v>0</v>
      </c>
      <c r="AE70" s="27">
        <f t="shared" si="24"/>
        <v>0</v>
      </c>
      <c r="AF70" s="27">
        <f t="shared" si="25"/>
        <v>0</v>
      </c>
      <c r="AG70" s="27">
        <f t="shared" si="26"/>
        <v>0</v>
      </c>
      <c r="AH70" s="27">
        <f t="shared" si="27"/>
        <v>0</v>
      </c>
      <c r="AI70" s="27">
        <f t="shared" si="28"/>
        <v>0</v>
      </c>
      <c r="AJ70" s="27">
        <f t="shared" si="29"/>
        <v>0</v>
      </c>
      <c r="AK70" s="27">
        <f t="shared" si="28"/>
        <v>0</v>
      </c>
      <c r="AL70" s="27">
        <f t="shared" si="30"/>
        <v>0</v>
      </c>
      <c r="AM70" s="27">
        <f t="shared" si="19"/>
        <v>0</v>
      </c>
      <c r="AN70" s="27">
        <f t="shared" si="31"/>
        <v>0</v>
      </c>
      <c r="AO70" s="27">
        <f t="shared" si="32"/>
        <v>0</v>
      </c>
      <c r="AP70" s="27">
        <f t="shared" si="33"/>
        <v>0</v>
      </c>
      <c r="AR70" s="27">
        <f t="shared" si="34"/>
        <v>0</v>
      </c>
      <c r="AS70" s="27">
        <f t="shared" si="41"/>
        <v>0</v>
      </c>
      <c r="AT70" s="27">
        <f>IF(Pagoinversiones!I121&gt;0,$AS70,0)</f>
        <v>0</v>
      </c>
      <c r="AU70" s="27">
        <f>IF(Pagoinversiones!J121&gt;0,$AS70,AT70)</f>
        <v>0</v>
      </c>
      <c r="AV70" s="27">
        <f>IF(Pagoinversiones!K121&gt;0,$AS70,AU70)</f>
        <v>0</v>
      </c>
      <c r="AW70" s="27">
        <f>IF(Pagoinversiones!L121&gt;0,$AS70,AV70)</f>
        <v>0</v>
      </c>
      <c r="AX70" s="27">
        <f>IF(Pagoinversiones!M121&gt;0,$AS70,AW70)</f>
        <v>0</v>
      </c>
      <c r="AY70" s="27">
        <f>IF(Pagoinversiones!N121&gt;0,$AS70,AX70)</f>
        <v>0</v>
      </c>
      <c r="AZ70" s="27">
        <f>IF(Pagoinversiones!O121&gt;0,$AS70,AY70)</f>
        <v>0</v>
      </c>
      <c r="BA70" s="27">
        <f>IF(Pagoinversiones!P121&gt;0,$AS70,AZ70)</f>
        <v>0</v>
      </c>
      <c r="BB70" s="27">
        <f>IF(Pagoinversiones!Q121&gt;0,$AS70,BA70)</f>
        <v>0</v>
      </c>
      <c r="BC70" s="27">
        <f>IF(Pagoinversiones!R121&gt;0,$AS70,BB70)</f>
        <v>0</v>
      </c>
      <c r="BD70" s="27">
        <f>IF(Pagoinversiones!S121&gt;0,$AS70,BC70)</f>
        <v>0</v>
      </c>
      <c r="BE70" s="27">
        <f>IF(Pagoinversiones!T121&gt;0,$AS70,BD70)</f>
        <v>0</v>
      </c>
      <c r="BF70" s="27">
        <f t="shared" si="35"/>
        <v>0</v>
      </c>
      <c r="BG70" s="27">
        <f t="shared" si="42"/>
        <v>0</v>
      </c>
      <c r="BH70" s="27">
        <f t="shared" si="43"/>
        <v>0</v>
      </c>
      <c r="BI70" s="27">
        <f t="shared" si="44"/>
        <v>0</v>
      </c>
      <c r="BJ70" s="27">
        <f t="shared" si="45"/>
        <v>0</v>
      </c>
      <c r="BK70" s="27">
        <f t="shared" si="36"/>
        <v>0</v>
      </c>
      <c r="BL70" s="27">
        <f t="shared" si="46"/>
        <v>0</v>
      </c>
      <c r="BM70" s="27">
        <f t="shared" si="36"/>
        <v>0</v>
      </c>
      <c r="BN70" s="27">
        <f t="shared" si="37"/>
        <v>0</v>
      </c>
      <c r="BO70" s="27">
        <f t="shared" si="20"/>
        <v>0</v>
      </c>
      <c r="BP70" s="27">
        <f t="shared" si="38"/>
        <v>0</v>
      </c>
      <c r="BQ70" s="27">
        <f t="shared" si="39"/>
        <v>0</v>
      </c>
      <c r="BR70" s="27">
        <f t="shared" si="40"/>
        <v>0</v>
      </c>
      <c r="BS70" s="61"/>
    </row>
    <row r="71" spans="2:71" s="27" customFormat="1" ht="11.25" hidden="1" x14ac:dyDescent="0.2">
      <c r="B71" s="60"/>
      <c r="C71" s="27">
        <f>SANDBOX!D163</f>
        <v>0</v>
      </c>
      <c r="D71" s="27">
        <f>SANDBOX!F163</f>
        <v>0</v>
      </c>
      <c r="E71" s="27">
        <f>Pagoinversiones!H122</f>
        <v>0</v>
      </c>
      <c r="F71" s="27" t="str">
        <f>SANDBOX!G163</f>
        <v>CASH</v>
      </c>
      <c r="J71" s="27">
        <f t="shared" si="47"/>
        <v>10</v>
      </c>
      <c r="K71" s="27">
        <f t="shared" si="21"/>
        <v>120</v>
      </c>
      <c r="L71" s="27">
        <f t="shared" si="48"/>
        <v>0</v>
      </c>
      <c r="P71" s="27">
        <f t="shared" si="18"/>
        <v>0</v>
      </c>
      <c r="Q71" s="27">
        <f t="shared" si="22"/>
        <v>0</v>
      </c>
      <c r="R71" s="27">
        <f>IF(Pagoinversiones!E60&gt;0,$Q71,0)</f>
        <v>0</v>
      </c>
      <c r="S71" s="27">
        <f>IF(Pagoinversiones!F60&gt;0,$Q71,R71)</f>
        <v>0</v>
      </c>
      <c r="T71" s="27">
        <f>IF(Pagoinversiones!G60&gt;0,$Q71,S71)</f>
        <v>0</v>
      </c>
      <c r="U71" s="27">
        <f>IF(Pagoinversiones!H60&gt;0,$Q71,T71)</f>
        <v>0</v>
      </c>
      <c r="V71" s="27">
        <f>IF(Pagoinversiones!I60&gt;0,$Q71,U71)</f>
        <v>0</v>
      </c>
      <c r="W71" s="27">
        <f>IF(Pagoinversiones!J60&gt;0,$Q71,V71)</f>
        <v>0</v>
      </c>
      <c r="X71" s="27">
        <f>IF(Pagoinversiones!K60&gt;0,$Q71,W71)</f>
        <v>0</v>
      </c>
      <c r="Y71" s="27">
        <f>IF(Pagoinversiones!L60&gt;0,$Q71,X71)</f>
        <v>0</v>
      </c>
      <c r="Z71" s="27">
        <f>IF(Pagoinversiones!M60&gt;0,$Q71,Y71)</f>
        <v>0</v>
      </c>
      <c r="AA71" s="27">
        <f>IF(Pagoinversiones!N60&gt;0,$Q71,Z71)</f>
        <v>0</v>
      </c>
      <c r="AB71" s="27">
        <f>IF(Pagoinversiones!O60&gt;0,$Q71,AA71)</f>
        <v>0</v>
      </c>
      <c r="AC71" s="27">
        <f>IF(Pagoinversiones!P60&gt;0,$Q71,AB71)</f>
        <v>0</v>
      </c>
      <c r="AD71" s="27">
        <f t="shared" si="23"/>
        <v>0</v>
      </c>
      <c r="AE71" s="27">
        <f t="shared" si="24"/>
        <v>0</v>
      </c>
      <c r="AF71" s="27">
        <f t="shared" si="25"/>
        <v>0</v>
      </c>
      <c r="AG71" s="27">
        <f t="shared" si="26"/>
        <v>0</v>
      </c>
      <c r="AH71" s="27">
        <f t="shared" si="27"/>
        <v>0</v>
      </c>
      <c r="AI71" s="27">
        <f t="shared" si="28"/>
        <v>0</v>
      </c>
      <c r="AJ71" s="27">
        <f t="shared" si="29"/>
        <v>0</v>
      </c>
      <c r="AK71" s="27">
        <f t="shared" si="28"/>
        <v>0</v>
      </c>
      <c r="AL71" s="27">
        <f t="shared" si="30"/>
        <v>0</v>
      </c>
      <c r="AM71" s="27">
        <f t="shared" si="19"/>
        <v>0</v>
      </c>
      <c r="AN71" s="27">
        <f t="shared" si="31"/>
        <v>0</v>
      </c>
      <c r="AO71" s="27">
        <f t="shared" si="32"/>
        <v>0</v>
      </c>
      <c r="AP71" s="27">
        <f t="shared" si="33"/>
        <v>0</v>
      </c>
      <c r="AR71" s="27">
        <f t="shared" si="34"/>
        <v>0</v>
      </c>
      <c r="AS71" s="27">
        <f t="shared" si="41"/>
        <v>0</v>
      </c>
      <c r="AT71" s="27">
        <f>IF(Pagoinversiones!I122&gt;0,$AS71,0)</f>
        <v>0</v>
      </c>
      <c r="AU71" s="27">
        <f>IF(Pagoinversiones!J122&gt;0,$AS71,AT71)</f>
        <v>0</v>
      </c>
      <c r="AV71" s="27">
        <f>IF(Pagoinversiones!K122&gt;0,$AS71,AU71)</f>
        <v>0</v>
      </c>
      <c r="AW71" s="27">
        <f>IF(Pagoinversiones!L122&gt;0,$AS71,AV71)</f>
        <v>0</v>
      </c>
      <c r="AX71" s="27">
        <f>IF(Pagoinversiones!M122&gt;0,$AS71,AW71)</f>
        <v>0</v>
      </c>
      <c r="AY71" s="27">
        <f>IF(Pagoinversiones!N122&gt;0,$AS71,AX71)</f>
        <v>0</v>
      </c>
      <c r="AZ71" s="27">
        <f>IF(Pagoinversiones!O122&gt;0,$AS71,AY71)</f>
        <v>0</v>
      </c>
      <c r="BA71" s="27">
        <f>IF(Pagoinversiones!P122&gt;0,$AS71,AZ71)</f>
        <v>0</v>
      </c>
      <c r="BB71" s="27">
        <f>IF(Pagoinversiones!Q122&gt;0,$AS71,BA71)</f>
        <v>0</v>
      </c>
      <c r="BC71" s="27">
        <f>IF(Pagoinversiones!R122&gt;0,$AS71,BB71)</f>
        <v>0</v>
      </c>
      <c r="BD71" s="27">
        <f>IF(Pagoinversiones!S122&gt;0,$AS71,BC71)</f>
        <v>0</v>
      </c>
      <c r="BE71" s="27">
        <f>IF(Pagoinversiones!T122&gt;0,$AS71,BD71)</f>
        <v>0</v>
      </c>
      <c r="BF71" s="27">
        <f t="shared" si="35"/>
        <v>0</v>
      </c>
      <c r="BG71" s="27">
        <f t="shared" si="42"/>
        <v>0</v>
      </c>
      <c r="BH71" s="27">
        <f t="shared" si="43"/>
        <v>0</v>
      </c>
      <c r="BI71" s="27">
        <f t="shared" si="44"/>
        <v>0</v>
      </c>
      <c r="BJ71" s="27">
        <f t="shared" si="45"/>
        <v>0</v>
      </c>
      <c r="BK71" s="27">
        <f t="shared" si="36"/>
        <v>0</v>
      </c>
      <c r="BL71" s="27">
        <f t="shared" si="46"/>
        <v>0</v>
      </c>
      <c r="BM71" s="27">
        <f t="shared" si="36"/>
        <v>0</v>
      </c>
      <c r="BN71" s="27">
        <f t="shared" si="37"/>
        <v>0</v>
      </c>
      <c r="BO71" s="27">
        <f t="shared" si="20"/>
        <v>0</v>
      </c>
      <c r="BP71" s="27">
        <f t="shared" si="38"/>
        <v>0</v>
      </c>
      <c r="BQ71" s="27">
        <f t="shared" si="39"/>
        <v>0</v>
      </c>
      <c r="BR71" s="27">
        <f t="shared" si="40"/>
        <v>0</v>
      </c>
      <c r="BS71" s="61"/>
    </row>
    <row r="72" spans="2:71" s="27" customFormat="1" ht="11.25" hidden="1" x14ac:dyDescent="0.2">
      <c r="B72" s="60"/>
      <c r="C72" s="27">
        <f>SANDBOX!D165</f>
        <v>0</v>
      </c>
      <c r="D72" s="27">
        <f>SANDBOX!F165</f>
        <v>0</v>
      </c>
      <c r="E72" s="27">
        <f>Pagoinversiones!H123</f>
        <v>0</v>
      </c>
      <c r="F72" s="27" t="str">
        <f>SANDBOX!G165</f>
        <v>CASH</v>
      </c>
      <c r="G72" s="27">
        <f>+SUMIF(Amortizaciones!F72:F77,SB!$C$156,Amortizaciones!D72:D77)</f>
        <v>0</v>
      </c>
      <c r="H72" s="27">
        <f>+SUMIF(F72:F77,SB!$C$157,D72:D77)</f>
        <v>0</v>
      </c>
      <c r="I72" s="27">
        <f>SUM(G72:H72)</f>
        <v>0</v>
      </c>
      <c r="J72" s="27">
        <f t="shared" ref="J72:J77" si="49">+IF(F72=$G$59,O$110,O$118)</f>
        <v>5</v>
      </c>
      <c r="K72" s="27">
        <f t="shared" si="21"/>
        <v>60</v>
      </c>
      <c r="L72" s="27">
        <f t="shared" ref="L72:L77" si="50">+IF(F72=$G$59,(D72*P$110),(E72*P$118))</f>
        <v>0</v>
      </c>
      <c r="P72" s="27">
        <f t="shared" si="18"/>
        <v>0</v>
      </c>
      <c r="Q72" s="27">
        <f t="shared" si="22"/>
        <v>0</v>
      </c>
      <c r="R72" s="27">
        <f>IF(Pagoinversiones!E62&gt;0,$Q72,0)</f>
        <v>0</v>
      </c>
      <c r="S72" s="27">
        <f>IF(Pagoinversiones!F62&gt;0,$Q72,R72)</f>
        <v>0</v>
      </c>
      <c r="T72" s="27">
        <f>IF(Pagoinversiones!G62&gt;0,$Q72,S72)</f>
        <v>0</v>
      </c>
      <c r="U72" s="27">
        <f>IF(Pagoinversiones!H62&gt;0,$Q72,T72)</f>
        <v>0</v>
      </c>
      <c r="V72" s="27">
        <f>IF(Pagoinversiones!I62&gt;0,$Q72,U72)</f>
        <v>0</v>
      </c>
      <c r="W72" s="27">
        <f>IF(Pagoinversiones!J62&gt;0,$Q72,V72)</f>
        <v>0</v>
      </c>
      <c r="X72" s="27">
        <f>IF(Pagoinversiones!K62&gt;0,$Q72,W72)</f>
        <v>0</v>
      </c>
      <c r="Y72" s="27">
        <f>IF(Pagoinversiones!L62&gt;0,$Q72,X72)</f>
        <v>0</v>
      </c>
      <c r="Z72" s="27">
        <f>IF(Pagoinversiones!M62&gt;0,$Q72,Y72)</f>
        <v>0</v>
      </c>
      <c r="AA72" s="27">
        <f>IF(Pagoinversiones!N62&gt;0,$Q72,Z72)</f>
        <v>0</v>
      </c>
      <c r="AB72" s="27">
        <f>IF(Pagoinversiones!O62&gt;0,$Q72,AA72)</f>
        <v>0</v>
      </c>
      <c r="AC72" s="27">
        <f>IF(Pagoinversiones!P62&gt;0,$Q72,AB72)</f>
        <v>0</v>
      </c>
      <c r="AD72" s="27">
        <f t="shared" si="23"/>
        <v>0</v>
      </c>
      <c r="AE72" s="27">
        <f t="shared" si="24"/>
        <v>0</v>
      </c>
      <c r="AF72" s="27">
        <f t="shared" si="25"/>
        <v>0</v>
      </c>
      <c r="AG72" s="27">
        <f t="shared" si="26"/>
        <v>0</v>
      </c>
      <c r="AH72" s="27">
        <f t="shared" si="27"/>
        <v>0</v>
      </c>
      <c r="AI72" s="27">
        <f t="shared" si="28"/>
        <v>0</v>
      </c>
      <c r="AJ72" s="27">
        <f t="shared" si="29"/>
        <v>0</v>
      </c>
      <c r="AK72" s="27">
        <f t="shared" si="28"/>
        <v>0</v>
      </c>
      <c r="AL72" s="27">
        <f t="shared" si="30"/>
        <v>0</v>
      </c>
      <c r="AM72" s="27">
        <f t="shared" si="19"/>
        <v>0</v>
      </c>
      <c r="AN72" s="27">
        <f t="shared" si="31"/>
        <v>0</v>
      </c>
      <c r="AO72" s="27">
        <f t="shared" si="32"/>
        <v>0</v>
      </c>
      <c r="AP72" s="27">
        <f t="shared" si="33"/>
        <v>0</v>
      </c>
      <c r="AR72" s="27">
        <f t="shared" si="34"/>
        <v>0</v>
      </c>
      <c r="AS72" s="27">
        <f t="shared" si="41"/>
        <v>0</v>
      </c>
      <c r="AT72" s="27">
        <f>IF(Pagoinversiones!I123&gt;0,$AS72,0)</f>
        <v>0</v>
      </c>
      <c r="AU72" s="27">
        <f>IF(Pagoinversiones!J123&gt;0,$AS72,AT72)</f>
        <v>0</v>
      </c>
      <c r="AV72" s="27">
        <f>IF(Pagoinversiones!K123&gt;0,$AS72,AU72)</f>
        <v>0</v>
      </c>
      <c r="AW72" s="27">
        <f>IF(Pagoinversiones!L123&gt;0,$AS72,AV72)</f>
        <v>0</v>
      </c>
      <c r="AX72" s="27">
        <f>IF(Pagoinversiones!M123&gt;0,$AS72,AW72)</f>
        <v>0</v>
      </c>
      <c r="AY72" s="27">
        <f>IF(Pagoinversiones!N123&gt;0,$AS72,AX72)</f>
        <v>0</v>
      </c>
      <c r="AZ72" s="27">
        <f>IF(Pagoinversiones!O123&gt;0,$AS72,AY72)</f>
        <v>0</v>
      </c>
      <c r="BA72" s="27">
        <f>IF(Pagoinversiones!P123&gt;0,$AS72,AZ72)</f>
        <v>0</v>
      </c>
      <c r="BB72" s="27">
        <f>IF(Pagoinversiones!Q123&gt;0,$AS72,BA72)</f>
        <v>0</v>
      </c>
      <c r="BC72" s="27">
        <f>IF(Pagoinversiones!R123&gt;0,$AS72,BB72)</f>
        <v>0</v>
      </c>
      <c r="BD72" s="27">
        <f>IF(Pagoinversiones!S123&gt;0,$AS72,BC72)</f>
        <v>0</v>
      </c>
      <c r="BE72" s="27">
        <f>IF(Pagoinversiones!T123&gt;0,$AS72,BD72)</f>
        <v>0</v>
      </c>
      <c r="BF72" s="27">
        <f t="shared" si="35"/>
        <v>0</v>
      </c>
      <c r="BG72" s="27">
        <f t="shared" si="42"/>
        <v>0</v>
      </c>
      <c r="BH72" s="27">
        <f t="shared" si="43"/>
        <v>0</v>
      </c>
      <c r="BI72" s="27">
        <f t="shared" si="44"/>
        <v>0</v>
      </c>
      <c r="BJ72" s="27">
        <f t="shared" si="45"/>
        <v>0</v>
      </c>
      <c r="BK72" s="27">
        <f t="shared" si="36"/>
        <v>0</v>
      </c>
      <c r="BL72" s="27">
        <f t="shared" si="46"/>
        <v>0</v>
      </c>
      <c r="BM72" s="27">
        <f t="shared" si="36"/>
        <v>0</v>
      </c>
      <c r="BN72" s="27">
        <f t="shared" si="37"/>
        <v>0</v>
      </c>
      <c r="BO72" s="27">
        <f t="shared" si="20"/>
        <v>0</v>
      </c>
      <c r="BP72" s="27">
        <f t="shared" si="38"/>
        <v>0</v>
      </c>
      <c r="BQ72" s="27">
        <f t="shared" si="39"/>
        <v>0</v>
      </c>
      <c r="BR72" s="27">
        <f t="shared" si="40"/>
        <v>0</v>
      </c>
      <c r="BS72" s="61"/>
    </row>
    <row r="73" spans="2:71" s="27" customFormat="1" ht="11.25" hidden="1" x14ac:dyDescent="0.2">
      <c r="B73" s="60"/>
      <c r="C73" s="27">
        <f>SANDBOX!D166</f>
        <v>0</v>
      </c>
      <c r="D73" s="27">
        <f>SANDBOX!F166</f>
        <v>0</v>
      </c>
      <c r="E73" s="27">
        <f>Pagoinversiones!H124</f>
        <v>0</v>
      </c>
      <c r="F73" s="27" t="str">
        <f>SANDBOX!G166</f>
        <v>CASH</v>
      </c>
      <c r="J73" s="27">
        <f t="shared" si="49"/>
        <v>5</v>
      </c>
      <c r="K73" s="27">
        <f t="shared" si="21"/>
        <v>60</v>
      </c>
      <c r="L73" s="27">
        <f t="shared" si="50"/>
        <v>0</v>
      </c>
      <c r="P73" s="27">
        <f t="shared" si="18"/>
        <v>0</v>
      </c>
      <c r="Q73" s="27">
        <f t="shared" si="22"/>
        <v>0</v>
      </c>
      <c r="R73" s="27">
        <f>IF(Pagoinversiones!E63&gt;0,$Q73,0)</f>
        <v>0</v>
      </c>
      <c r="S73" s="27">
        <f>IF(Pagoinversiones!F63&gt;0,$Q73,R73)</f>
        <v>0</v>
      </c>
      <c r="T73" s="27">
        <f>IF(Pagoinversiones!G63&gt;0,$Q73,S73)</f>
        <v>0</v>
      </c>
      <c r="U73" s="27">
        <f>IF(Pagoinversiones!H63&gt;0,$Q73,T73)</f>
        <v>0</v>
      </c>
      <c r="V73" s="27">
        <f>IF(Pagoinversiones!I63&gt;0,$Q73,U73)</f>
        <v>0</v>
      </c>
      <c r="W73" s="27">
        <f>IF(Pagoinversiones!J63&gt;0,$Q73,V73)</f>
        <v>0</v>
      </c>
      <c r="X73" s="27">
        <f>IF(Pagoinversiones!K63&gt;0,$Q73,W73)</f>
        <v>0</v>
      </c>
      <c r="Y73" s="27">
        <f>IF(Pagoinversiones!L63&gt;0,$Q73,X73)</f>
        <v>0</v>
      </c>
      <c r="Z73" s="27">
        <f>IF(Pagoinversiones!M63&gt;0,$Q73,Y73)</f>
        <v>0</v>
      </c>
      <c r="AA73" s="27">
        <f>IF(Pagoinversiones!N63&gt;0,$Q73,Z73)</f>
        <v>0</v>
      </c>
      <c r="AB73" s="27">
        <f>IF(Pagoinversiones!O63&gt;0,$Q73,AA73)</f>
        <v>0</v>
      </c>
      <c r="AC73" s="27">
        <f>IF(Pagoinversiones!P63&gt;0,$Q73,AB73)</f>
        <v>0</v>
      </c>
      <c r="AD73" s="27">
        <f t="shared" si="23"/>
        <v>0</v>
      </c>
      <c r="AE73" s="27">
        <f t="shared" si="24"/>
        <v>0</v>
      </c>
      <c r="AF73" s="27">
        <f t="shared" si="25"/>
        <v>0</v>
      </c>
      <c r="AG73" s="27">
        <f t="shared" si="26"/>
        <v>0</v>
      </c>
      <c r="AH73" s="27">
        <f t="shared" si="27"/>
        <v>0</v>
      </c>
      <c r="AI73" s="27">
        <f t="shared" si="28"/>
        <v>0</v>
      </c>
      <c r="AJ73" s="27">
        <f t="shared" si="29"/>
        <v>0</v>
      </c>
      <c r="AK73" s="27">
        <f t="shared" si="28"/>
        <v>0</v>
      </c>
      <c r="AL73" s="27">
        <f t="shared" si="30"/>
        <v>0</v>
      </c>
      <c r="AM73" s="27">
        <f t="shared" si="19"/>
        <v>0</v>
      </c>
      <c r="AN73" s="27">
        <f t="shared" si="31"/>
        <v>0</v>
      </c>
      <c r="AO73" s="27">
        <f t="shared" si="32"/>
        <v>0</v>
      </c>
      <c r="AP73" s="27">
        <f t="shared" si="33"/>
        <v>0</v>
      </c>
      <c r="AR73" s="27">
        <f t="shared" si="34"/>
        <v>0</v>
      </c>
      <c r="AS73" s="27">
        <f t="shared" si="41"/>
        <v>0</v>
      </c>
      <c r="AT73" s="27">
        <f>IF(Pagoinversiones!I124&gt;0,$AS73,0)</f>
        <v>0</v>
      </c>
      <c r="AU73" s="27">
        <f>IF(Pagoinversiones!J124&gt;0,$AS73,AT73)</f>
        <v>0</v>
      </c>
      <c r="AV73" s="27">
        <f>IF(Pagoinversiones!K124&gt;0,$AS73,AU73)</f>
        <v>0</v>
      </c>
      <c r="AW73" s="27">
        <f>IF(Pagoinversiones!L124&gt;0,$AS73,AV73)</f>
        <v>0</v>
      </c>
      <c r="AX73" s="27">
        <f>IF(Pagoinversiones!M124&gt;0,$AS73,AW73)</f>
        <v>0</v>
      </c>
      <c r="AY73" s="27">
        <f>IF(Pagoinversiones!N124&gt;0,$AS73,AX73)</f>
        <v>0</v>
      </c>
      <c r="AZ73" s="27">
        <f>IF(Pagoinversiones!O124&gt;0,$AS73,AY73)</f>
        <v>0</v>
      </c>
      <c r="BA73" s="27">
        <f>IF(Pagoinversiones!P124&gt;0,$AS73,AZ73)</f>
        <v>0</v>
      </c>
      <c r="BB73" s="27">
        <f>IF(Pagoinversiones!Q124&gt;0,$AS73,BA73)</f>
        <v>0</v>
      </c>
      <c r="BC73" s="27">
        <f>IF(Pagoinversiones!R124&gt;0,$AS73,BB73)</f>
        <v>0</v>
      </c>
      <c r="BD73" s="27">
        <f>IF(Pagoinversiones!S124&gt;0,$AS73,BC73)</f>
        <v>0</v>
      </c>
      <c r="BE73" s="27">
        <f>IF(Pagoinversiones!T124&gt;0,$AS73,BD73)</f>
        <v>0</v>
      </c>
      <c r="BF73" s="27">
        <f t="shared" si="35"/>
        <v>0</v>
      </c>
      <c r="BG73" s="27">
        <f t="shared" si="42"/>
        <v>0</v>
      </c>
      <c r="BH73" s="27">
        <f t="shared" si="43"/>
        <v>0</v>
      </c>
      <c r="BI73" s="27">
        <f t="shared" si="44"/>
        <v>0</v>
      </c>
      <c r="BJ73" s="27">
        <f t="shared" si="45"/>
        <v>0</v>
      </c>
      <c r="BK73" s="27">
        <f t="shared" si="36"/>
        <v>0</v>
      </c>
      <c r="BL73" s="27">
        <f t="shared" si="46"/>
        <v>0</v>
      </c>
      <c r="BM73" s="27">
        <f t="shared" si="36"/>
        <v>0</v>
      </c>
      <c r="BN73" s="27">
        <f t="shared" si="37"/>
        <v>0</v>
      </c>
      <c r="BO73" s="27">
        <f t="shared" si="20"/>
        <v>0</v>
      </c>
      <c r="BP73" s="27">
        <f t="shared" si="38"/>
        <v>0</v>
      </c>
      <c r="BQ73" s="27">
        <f t="shared" si="39"/>
        <v>0</v>
      </c>
      <c r="BR73" s="27">
        <f t="shared" si="40"/>
        <v>0</v>
      </c>
      <c r="BS73" s="61"/>
    </row>
    <row r="74" spans="2:71" s="27" customFormat="1" ht="11.25" hidden="1" x14ac:dyDescent="0.2">
      <c r="B74" s="60"/>
      <c r="C74" s="27">
        <f>SANDBOX!D167</f>
        <v>0</v>
      </c>
      <c r="D74" s="27">
        <f>SANDBOX!F167</f>
        <v>0</v>
      </c>
      <c r="E74" s="27">
        <f>Pagoinversiones!H125</f>
        <v>0</v>
      </c>
      <c r="F74" s="27" t="str">
        <f>SANDBOX!G167</f>
        <v>CASH</v>
      </c>
      <c r="J74" s="27">
        <f t="shared" si="49"/>
        <v>5</v>
      </c>
      <c r="K74" s="27">
        <f t="shared" si="21"/>
        <v>60</v>
      </c>
      <c r="L74" s="27">
        <f t="shared" si="50"/>
        <v>0</v>
      </c>
      <c r="P74" s="27">
        <f t="shared" si="18"/>
        <v>0</v>
      </c>
      <c r="Q74" s="27">
        <f t="shared" si="22"/>
        <v>0</v>
      </c>
      <c r="R74" s="27">
        <f>IF(Pagoinversiones!E64&gt;0,$Q74,0)</f>
        <v>0</v>
      </c>
      <c r="S74" s="27">
        <f>IF(Pagoinversiones!F64&gt;0,$Q74,R74)</f>
        <v>0</v>
      </c>
      <c r="T74" s="27">
        <f>IF(Pagoinversiones!G64&gt;0,$Q74,S74)</f>
        <v>0</v>
      </c>
      <c r="U74" s="27">
        <f>IF(Pagoinversiones!H64&gt;0,$Q74,T74)</f>
        <v>0</v>
      </c>
      <c r="V74" s="27">
        <f>IF(Pagoinversiones!I64&gt;0,$Q74,U74)</f>
        <v>0</v>
      </c>
      <c r="W74" s="27">
        <f>IF(Pagoinversiones!J64&gt;0,$Q74,V74)</f>
        <v>0</v>
      </c>
      <c r="X74" s="27">
        <f>IF(Pagoinversiones!K64&gt;0,$Q74,W74)</f>
        <v>0</v>
      </c>
      <c r="Y74" s="27">
        <f>IF(Pagoinversiones!L64&gt;0,$Q74,X74)</f>
        <v>0</v>
      </c>
      <c r="Z74" s="27">
        <f>IF(Pagoinversiones!M64&gt;0,$Q74,Y74)</f>
        <v>0</v>
      </c>
      <c r="AA74" s="27">
        <f>IF(Pagoinversiones!N64&gt;0,$Q74,Z74)</f>
        <v>0</v>
      </c>
      <c r="AB74" s="27">
        <f>IF(Pagoinversiones!O64&gt;0,$Q74,AA74)</f>
        <v>0</v>
      </c>
      <c r="AC74" s="27">
        <f>IF(Pagoinversiones!P64&gt;0,$Q74,AB74)</f>
        <v>0</v>
      </c>
      <c r="AD74" s="27">
        <f t="shared" si="23"/>
        <v>0</v>
      </c>
      <c r="AE74" s="27">
        <f t="shared" si="24"/>
        <v>0</v>
      </c>
      <c r="AF74" s="27">
        <f t="shared" si="25"/>
        <v>0</v>
      </c>
      <c r="AG74" s="27">
        <f t="shared" si="26"/>
        <v>0</v>
      </c>
      <c r="AH74" s="27">
        <f t="shared" si="27"/>
        <v>0</v>
      </c>
      <c r="AI74" s="27">
        <f t="shared" si="28"/>
        <v>0</v>
      </c>
      <c r="AJ74" s="27">
        <f t="shared" si="29"/>
        <v>0</v>
      </c>
      <c r="AK74" s="27">
        <f t="shared" si="28"/>
        <v>0</v>
      </c>
      <c r="AL74" s="27">
        <f t="shared" si="30"/>
        <v>0</v>
      </c>
      <c r="AM74" s="27">
        <f t="shared" si="19"/>
        <v>0</v>
      </c>
      <c r="AN74" s="27">
        <f t="shared" si="31"/>
        <v>0</v>
      </c>
      <c r="AO74" s="27">
        <f t="shared" si="32"/>
        <v>0</v>
      </c>
      <c r="AP74" s="27">
        <f t="shared" si="33"/>
        <v>0</v>
      </c>
      <c r="AR74" s="27">
        <f t="shared" si="34"/>
        <v>0</v>
      </c>
      <c r="AS74" s="27">
        <f t="shared" si="41"/>
        <v>0</v>
      </c>
      <c r="AT74" s="27">
        <f>IF(Pagoinversiones!I125&gt;0,$AS74,0)</f>
        <v>0</v>
      </c>
      <c r="AU74" s="27">
        <f>IF(Pagoinversiones!J125&gt;0,$AS74,AT74)</f>
        <v>0</v>
      </c>
      <c r="AV74" s="27">
        <f>IF(Pagoinversiones!K125&gt;0,$AS74,AU74)</f>
        <v>0</v>
      </c>
      <c r="AW74" s="27">
        <f>IF(Pagoinversiones!L125&gt;0,$AS74,AV74)</f>
        <v>0</v>
      </c>
      <c r="AX74" s="27">
        <f>IF(Pagoinversiones!M125&gt;0,$AS74,AW74)</f>
        <v>0</v>
      </c>
      <c r="AY74" s="27">
        <f>IF(Pagoinversiones!N125&gt;0,$AS74,AX74)</f>
        <v>0</v>
      </c>
      <c r="AZ74" s="27">
        <f>IF(Pagoinversiones!O125&gt;0,$AS74,AY74)</f>
        <v>0</v>
      </c>
      <c r="BA74" s="27">
        <f>IF(Pagoinversiones!P125&gt;0,$AS74,AZ74)</f>
        <v>0</v>
      </c>
      <c r="BB74" s="27">
        <f>IF(Pagoinversiones!Q125&gt;0,$AS74,BA74)</f>
        <v>0</v>
      </c>
      <c r="BC74" s="27">
        <f>IF(Pagoinversiones!R125&gt;0,$AS74,BB74)</f>
        <v>0</v>
      </c>
      <c r="BD74" s="27">
        <f>IF(Pagoinversiones!S125&gt;0,$AS74,BC74)</f>
        <v>0</v>
      </c>
      <c r="BE74" s="27">
        <f>IF(Pagoinversiones!T125&gt;0,$AS74,BD74)</f>
        <v>0</v>
      </c>
      <c r="BF74" s="27">
        <f t="shared" si="35"/>
        <v>0</v>
      </c>
      <c r="BG74" s="27">
        <f t="shared" si="42"/>
        <v>0</v>
      </c>
      <c r="BH74" s="27">
        <f t="shared" si="43"/>
        <v>0</v>
      </c>
      <c r="BI74" s="27">
        <f t="shared" si="44"/>
        <v>0</v>
      </c>
      <c r="BJ74" s="27">
        <f t="shared" si="45"/>
        <v>0</v>
      </c>
      <c r="BK74" s="27">
        <f t="shared" si="36"/>
        <v>0</v>
      </c>
      <c r="BL74" s="27">
        <f t="shared" si="46"/>
        <v>0</v>
      </c>
      <c r="BM74" s="27">
        <f t="shared" si="36"/>
        <v>0</v>
      </c>
      <c r="BN74" s="27">
        <f t="shared" si="37"/>
        <v>0</v>
      </c>
      <c r="BO74" s="27">
        <f t="shared" si="20"/>
        <v>0</v>
      </c>
      <c r="BP74" s="27">
        <f t="shared" si="38"/>
        <v>0</v>
      </c>
      <c r="BQ74" s="27">
        <f t="shared" si="39"/>
        <v>0</v>
      </c>
      <c r="BR74" s="27">
        <f t="shared" si="40"/>
        <v>0</v>
      </c>
      <c r="BS74" s="61"/>
    </row>
    <row r="75" spans="2:71" s="27" customFormat="1" ht="11.25" hidden="1" x14ac:dyDescent="0.2">
      <c r="B75" s="60"/>
      <c r="C75" s="27">
        <f>SANDBOX!D168</f>
        <v>0</v>
      </c>
      <c r="D75" s="27">
        <f>SANDBOX!F168</f>
        <v>0</v>
      </c>
      <c r="E75" s="27">
        <f>Pagoinversiones!H126</f>
        <v>0</v>
      </c>
      <c r="F75" s="27" t="str">
        <f>SANDBOX!G168</f>
        <v>CASH</v>
      </c>
      <c r="J75" s="27">
        <f t="shared" si="49"/>
        <v>5</v>
      </c>
      <c r="K75" s="27">
        <f t="shared" si="21"/>
        <v>60</v>
      </c>
      <c r="L75" s="27">
        <f t="shared" si="50"/>
        <v>0</v>
      </c>
      <c r="P75" s="27">
        <f t="shared" si="18"/>
        <v>0</v>
      </c>
      <c r="Q75" s="27">
        <f t="shared" si="22"/>
        <v>0</v>
      </c>
      <c r="R75" s="27">
        <f>IF(Pagoinversiones!E65&gt;0,$Q75,0)</f>
        <v>0</v>
      </c>
      <c r="S75" s="27">
        <f>IF(Pagoinversiones!F65&gt;0,$Q75,R75)</f>
        <v>0</v>
      </c>
      <c r="T75" s="27">
        <f>IF(Pagoinversiones!G65&gt;0,$Q75,S75)</f>
        <v>0</v>
      </c>
      <c r="U75" s="27">
        <f>IF(Pagoinversiones!H65&gt;0,$Q75,T75)</f>
        <v>0</v>
      </c>
      <c r="V75" s="27">
        <f>IF(Pagoinversiones!I65&gt;0,$Q75,U75)</f>
        <v>0</v>
      </c>
      <c r="W75" s="27">
        <f>IF(Pagoinversiones!J65&gt;0,$Q75,V75)</f>
        <v>0</v>
      </c>
      <c r="X75" s="27">
        <f>IF(Pagoinversiones!K65&gt;0,$Q75,W75)</f>
        <v>0</v>
      </c>
      <c r="Y75" s="27">
        <f>IF(Pagoinversiones!L65&gt;0,$Q75,X75)</f>
        <v>0</v>
      </c>
      <c r="Z75" s="27">
        <f>IF(Pagoinversiones!M65&gt;0,$Q75,Y75)</f>
        <v>0</v>
      </c>
      <c r="AA75" s="27">
        <f>IF(Pagoinversiones!N65&gt;0,$Q75,Z75)</f>
        <v>0</v>
      </c>
      <c r="AB75" s="27">
        <f>IF(Pagoinversiones!O65&gt;0,$Q75,AA75)</f>
        <v>0</v>
      </c>
      <c r="AC75" s="27">
        <f>IF(Pagoinversiones!P65&gt;0,$Q75,AB75)</f>
        <v>0</v>
      </c>
      <c r="AD75" s="27">
        <f t="shared" si="23"/>
        <v>0</v>
      </c>
      <c r="AE75" s="27">
        <f t="shared" si="24"/>
        <v>0</v>
      </c>
      <c r="AF75" s="27">
        <f t="shared" si="25"/>
        <v>0</v>
      </c>
      <c r="AG75" s="27">
        <f t="shared" si="26"/>
        <v>0</v>
      </c>
      <c r="AH75" s="27">
        <f t="shared" si="27"/>
        <v>0</v>
      </c>
      <c r="AI75" s="27">
        <f t="shared" si="28"/>
        <v>0</v>
      </c>
      <c r="AJ75" s="27">
        <f t="shared" si="29"/>
        <v>0</v>
      </c>
      <c r="AK75" s="27">
        <f t="shared" si="28"/>
        <v>0</v>
      </c>
      <c r="AL75" s="27">
        <f t="shared" si="30"/>
        <v>0</v>
      </c>
      <c r="AM75" s="27">
        <f t="shared" si="19"/>
        <v>0</v>
      </c>
      <c r="AN75" s="27">
        <f t="shared" si="31"/>
        <v>0</v>
      </c>
      <c r="AO75" s="27">
        <f t="shared" si="32"/>
        <v>0</v>
      </c>
      <c r="AP75" s="27">
        <f t="shared" si="33"/>
        <v>0</v>
      </c>
      <c r="AR75" s="27">
        <f t="shared" si="34"/>
        <v>0</v>
      </c>
      <c r="AS75" s="27">
        <f t="shared" si="41"/>
        <v>0</v>
      </c>
      <c r="AT75" s="27">
        <f>IF(Pagoinversiones!I126&gt;0,$AS75,0)</f>
        <v>0</v>
      </c>
      <c r="AU75" s="27">
        <f>IF(Pagoinversiones!J126&gt;0,$AS75,AT75)</f>
        <v>0</v>
      </c>
      <c r="AV75" s="27">
        <f>IF(Pagoinversiones!K126&gt;0,$AS75,AU75)</f>
        <v>0</v>
      </c>
      <c r="AW75" s="27">
        <f>IF(Pagoinversiones!L126&gt;0,$AS75,AV75)</f>
        <v>0</v>
      </c>
      <c r="AX75" s="27">
        <f>IF(Pagoinversiones!M126&gt;0,$AS75,AW75)</f>
        <v>0</v>
      </c>
      <c r="AY75" s="27">
        <f>IF(Pagoinversiones!N126&gt;0,$AS75,AX75)</f>
        <v>0</v>
      </c>
      <c r="AZ75" s="27">
        <f>IF(Pagoinversiones!O126&gt;0,$AS75,AY75)</f>
        <v>0</v>
      </c>
      <c r="BA75" s="27">
        <f>IF(Pagoinversiones!P126&gt;0,$AS75,AZ75)</f>
        <v>0</v>
      </c>
      <c r="BB75" s="27">
        <f>IF(Pagoinversiones!Q126&gt;0,$AS75,BA75)</f>
        <v>0</v>
      </c>
      <c r="BC75" s="27">
        <f>IF(Pagoinversiones!R126&gt;0,$AS75,BB75)</f>
        <v>0</v>
      </c>
      <c r="BD75" s="27">
        <f>IF(Pagoinversiones!S126&gt;0,$AS75,BC75)</f>
        <v>0</v>
      </c>
      <c r="BE75" s="27">
        <f>IF(Pagoinversiones!T126&gt;0,$AS75,BD75)</f>
        <v>0</v>
      </c>
      <c r="BF75" s="27">
        <f t="shared" si="35"/>
        <v>0</v>
      </c>
      <c r="BG75" s="27">
        <f t="shared" si="42"/>
        <v>0</v>
      </c>
      <c r="BH75" s="27">
        <f t="shared" si="43"/>
        <v>0</v>
      </c>
      <c r="BI75" s="27">
        <f t="shared" si="44"/>
        <v>0</v>
      </c>
      <c r="BJ75" s="27">
        <f t="shared" si="45"/>
        <v>0</v>
      </c>
      <c r="BK75" s="27">
        <f t="shared" si="36"/>
        <v>0</v>
      </c>
      <c r="BL75" s="27">
        <f t="shared" si="46"/>
        <v>0</v>
      </c>
      <c r="BM75" s="27">
        <f t="shared" si="36"/>
        <v>0</v>
      </c>
      <c r="BN75" s="27">
        <f t="shared" si="37"/>
        <v>0</v>
      </c>
      <c r="BO75" s="27">
        <f t="shared" si="20"/>
        <v>0</v>
      </c>
      <c r="BP75" s="27">
        <f t="shared" si="38"/>
        <v>0</v>
      </c>
      <c r="BQ75" s="27">
        <f t="shared" si="39"/>
        <v>0</v>
      </c>
      <c r="BR75" s="27">
        <f t="shared" si="40"/>
        <v>0</v>
      </c>
      <c r="BS75" s="61"/>
    </row>
    <row r="76" spans="2:71" s="27" customFormat="1" ht="11.25" hidden="1" x14ac:dyDescent="0.2">
      <c r="B76" s="60"/>
      <c r="C76" s="27">
        <f>SANDBOX!D169</f>
        <v>0</v>
      </c>
      <c r="D76" s="27">
        <f>SANDBOX!F169</f>
        <v>0</v>
      </c>
      <c r="E76" s="27">
        <f>Pagoinversiones!H127</f>
        <v>0</v>
      </c>
      <c r="F76" s="27" t="str">
        <f>SANDBOX!G169</f>
        <v>CASH</v>
      </c>
      <c r="J76" s="27">
        <f t="shared" si="49"/>
        <v>5</v>
      </c>
      <c r="K76" s="27">
        <f t="shared" si="21"/>
        <v>60</v>
      </c>
      <c r="L76" s="27">
        <f t="shared" si="50"/>
        <v>0</v>
      </c>
      <c r="P76" s="27">
        <f t="shared" si="18"/>
        <v>0</v>
      </c>
      <c r="Q76" s="27">
        <f t="shared" si="22"/>
        <v>0</v>
      </c>
      <c r="R76" s="27">
        <f>IF(Pagoinversiones!E66&gt;0,$Q76,0)</f>
        <v>0</v>
      </c>
      <c r="S76" s="27">
        <f>IF(Pagoinversiones!F66&gt;0,$Q76,R76)</f>
        <v>0</v>
      </c>
      <c r="T76" s="27">
        <f>IF(Pagoinversiones!G66&gt;0,$Q76,S76)</f>
        <v>0</v>
      </c>
      <c r="U76" s="27">
        <f>IF(Pagoinversiones!H66&gt;0,$Q76,T76)</f>
        <v>0</v>
      </c>
      <c r="V76" s="27">
        <f>IF(Pagoinversiones!I66&gt;0,$Q76,U76)</f>
        <v>0</v>
      </c>
      <c r="W76" s="27">
        <f>IF(Pagoinversiones!J66&gt;0,$Q76,V76)</f>
        <v>0</v>
      </c>
      <c r="X76" s="27">
        <f>IF(Pagoinversiones!K66&gt;0,$Q76,W76)</f>
        <v>0</v>
      </c>
      <c r="Y76" s="27">
        <f>IF(Pagoinversiones!L66&gt;0,$Q76,X76)</f>
        <v>0</v>
      </c>
      <c r="Z76" s="27">
        <f>IF(Pagoinversiones!M66&gt;0,$Q76,Y76)</f>
        <v>0</v>
      </c>
      <c r="AA76" s="27">
        <f>IF(Pagoinversiones!N66&gt;0,$Q76,Z76)</f>
        <v>0</v>
      </c>
      <c r="AB76" s="27">
        <f>IF(Pagoinversiones!O66&gt;0,$Q76,AA76)</f>
        <v>0</v>
      </c>
      <c r="AC76" s="27">
        <f>IF(Pagoinversiones!P66&gt;0,$Q76,AB76)</f>
        <v>0</v>
      </c>
      <c r="AD76" s="27">
        <f t="shared" si="23"/>
        <v>0</v>
      </c>
      <c r="AE76" s="27">
        <f t="shared" si="24"/>
        <v>0</v>
      </c>
      <c r="AF76" s="27">
        <f t="shared" si="25"/>
        <v>0</v>
      </c>
      <c r="AG76" s="27">
        <f t="shared" si="26"/>
        <v>0</v>
      </c>
      <c r="AH76" s="27">
        <f t="shared" si="27"/>
        <v>0</v>
      </c>
      <c r="AI76" s="27">
        <f t="shared" si="28"/>
        <v>0</v>
      </c>
      <c r="AJ76" s="27">
        <f t="shared" si="29"/>
        <v>0</v>
      </c>
      <c r="AK76" s="27">
        <f t="shared" si="28"/>
        <v>0</v>
      </c>
      <c r="AL76" s="27">
        <f t="shared" si="30"/>
        <v>0</v>
      </c>
      <c r="AM76" s="27">
        <f t="shared" si="19"/>
        <v>0</v>
      </c>
      <c r="AN76" s="27">
        <f t="shared" si="31"/>
        <v>0</v>
      </c>
      <c r="AO76" s="27">
        <f t="shared" si="32"/>
        <v>0</v>
      </c>
      <c r="AP76" s="27">
        <f t="shared" si="33"/>
        <v>0</v>
      </c>
      <c r="AR76" s="27">
        <f t="shared" si="34"/>
        <v>0</v>
      </c>
      <c r="AS76" s="27">
        <f t="shared" si="41"/>
        <v>0</v>
      </c>
      <c r="AT76" s="27">
        <f>IF(Pagoinversiones!I127&gt;0,$AS76,0)</f>
        <v>0</v>
      </c>
      <c r="AU76" s="27">
        <f>IF(Pagoinversiones!J127&gt;0,$AS76,AT76)</f>
        <v>0</v>
      </c>
      <c r="AV76" s="27">
        <f>IF(Pagoinversiones!K127&gt;0,$AS76,AU76)</f>
        <v>0</v>
      </c>
      <c r="AW76" s="27">
        <f>IF(Pagoinversiones!L127&gt;0,$AS76,AV76)</f>
        <v>0</v>
      </c>
      <c r="AX76" s="27">
        <f>IF(Pagoinversiones!M127&gt;0,$AS76,AW76)</f>
        <v>0</v>
      </c>
      <c r="AY76" s="27">
        <f>IF(Pagoinversiones!N127&gt;0,$AS76,AX76)</f>
        <v>0</v>
      </c>
      <c r="AZ76" s="27">
        <f>IF(Pagoinversiones!O127&gt;0,$AS76,AY76)</f>
        <v>0</v>
      </c>
      <c r="BA76" s="27">
        <f>IF(Pagoinversiones!P127&gt;0,$AS76,AZ76)</f>
        <v>0</v>
      </c>
      <c r="BB76" s="27">
        <f>IF(Pagoinversiones!Q127&gt;0,$AS76,BA76)</f>
        <v>0</v>
      </c>
      <c r="BC76" s="27">
        <f>IF(Pagoinversiones!R127&gt;0,$AS76,BB76)</f>
        <v>0</v>
      </c>
      <c r="BD76" s="27">
        <f>IF(Pagoinversiones!S127&gt;0,$AS76,BC76)</f>
        <v>0</v>
      </c>
      <c r="BE76" s="27">
        <f>IF(Pagoinversiones!T127&gt;0,$AS76,BD76)</f>
        <v>0</v>
      </c>
      <c r="BF76" s="27">
        <f t="shared" si="35"/>
        <v>0</v>
      </c>
      <c r="BG76" s="27">
        <f t="shared" si="42"/>
        <v>0</v>
      </c>
      <c r="BH76" s="27">
        <f t="shared" si="43"/>
        <v>0</v>
      </c>
      <c r="BI76" s="27">
        <f t="shared" si="44"/>
        <v>0</v>
      </c>
      <c r="BJ76" s="27">
        <f t="shared" si="45"/>
        <v>0</v>
      </c>
      <c r="BK76" s="27">
        <f t="shared" si="36"/>
        <v>0</v>
      </c>
      <c r="BL76" s="27">
        <f t="shared" si="46"/>
        <v>0</v>
      </c>
      <c r="BM76" s="27">
        <f t="shared" si="36"/>
        <v>0</v>
      </c>
      <c r="BN76" s="27">
        <f t="shared" si="37"/>
        <v>0</v>
      </c>
      <c r="BO76" s="27">
        <f t="shared" si="20"/>
        <v>0</v>
      </c>
      <c r="BP76" s="27">
        <f t="shared" si="38"/>
        <v>0</v>
      </c>
      <c r="BQ76" s="27">
        <f t="shared" si="39"/>
        <v>0</v>
      </c>
      <c r="BR76" s="27">
        <f t="shared" si="40"/>
        <v>0</v>
      </c>
      <c r="BS76" s="61"/>
    </row>
    <row r="77" spans="2:71" s="27" customFormat="1" ht="11.25" hidden="1" x14ac:dyDescent="0.2">
      <c r="B77" s="60"/>
      <c r="C77" s="27">
        <f>SANDBOX!D170</f>
        <v>0</v>
      </c>
      <c r="D77" s="27">
        <f>SANDBOX!F170</f>
        <v>0</v>
      </c>
      <c r="E77" s="27">
        <f>Pagoinversiones!H128</f>
        <v>0</v>
      </c>
      <c r="F77" s="27" t="str">
        <f>SANDBOX!G170</f>
        <v>CASH</v>
      </c>
      <c r="J77" s="27">
        <f t="shared" si="49"/>
        <v>5</v>
      </c>
      <c r="K77" s="27">
        <f t="shared" si="21"/>
        <v>60</v>
      </c>
      <c r="L77" s="27">
        <f t="shared" si="50"/>
        <v>0</v>
      </c>
      <c r="P77" s="27">
        <f t="shared" si="18"/>
        <v>0</v>
      </c>
      <c r="Q77" s="27">
        <f t="shared" si="22"/>
        <v>0</v>
      </c>
      <c r="R77" s="27">
        <f>IF(Pagoinversiones!E67&gt;0,$Q77,0)</f>
        <v>0</v>
      </c>
      <c r="S77" s="27">
        <f>IF(Pagoinversiones!F67&gt;0,$Q77,R77)</f>
        <v>0</v>
      </c>
      <c r="T77" s="27">
        <f>IF(Pagoinversiones!G67&gt;0,$Q77,S77)</f>
        <v>0</v>
      </c>
      <c r="U77" s="27">
        <f>IF(Pagoinversiones!H67&gt;0,$Q77,T77)</f>
        <v>0</v>
      </c>
      <c r="V77" s="27">
        <f>IF(Pagoinversiones!I67&gt;0,$Q77,U77)</f>
        <v>0</v>
      </c>
      <c r="W77" s="27">
        <f>IF(Pagoinversiones!J67&gt;0,$Q77,V77)</f>
        <v>0</v>
      </c>
      <c r="X77" s="27">
        <f>IF(Pagoinversiones!K67&gt;0,$Q77,W77)</f>
        <v>0</v>
      </c>
      <c r="Y77" s="27">
        <f>IF(Pagoinversiones!L67&gt;0,$Q77,X77)</f>
        <v>0</v>
      </c>
      <c r="Z77" s="27">
        <f>IF(Pagoinversiones!M67&gt;0,$Q77,Y77)</f>
        <v>0</v>
      </c>
      <c r="AA77" s="27">
        <f>IF(Pagoinversiones!N67&gt;0,$Q77,Z77)</f>
        <v>0</v>
      </c>
      <c r="AB77" s="27">
        <f>IF(Pagoinversiones!O67&gt;0,$Q77,AA77)</f>
        <v>0</v>
      </c>
      <c r="AC77" s="27">
        <f>IF(Pagoinversiones!P67&gt;0,$Q77,AB77)</f>
        <v>0</v>
      </c>
      <c r="AD77" s="27">
        <f t="shared" si="23"/>
        <v>0</v>
      </c>
      <c r="AE77" s="27">
        <f t="shared" si="24"/>
        <v>0</v>
      </c>
      <c r="AF77" s="27">
        <f t="shared" si="25"/>
        <v>0</v>
      </c>
      <c r="AG77" s="27">
        <f t="shared" si="26"/>
        <v>0</v>
      </c>
      <c r="AH77" s="27">
        <f t="shared" si="27"/>
        <v>0</v>
      </c>
      <c r="AI77" s="27">
        <f t="shared" si="28"/>
        <v>0</v>
      </c>
      <c r="AJ77" s="27">
        <f t="shared" si="29"/>
        <v>0</v>
      </c>
      <c r="AK77" s="27">
        <f t="shared" si="28"/>
        <v>0</v>
      </c>
      <c r="AL77" s="27">
        <f t="shared" si="30"/>
        <v>0</v>
      </c>
      <c r="AM77" s="27">
        <f t="shared" si="19"/>
        <v>0</v>
      </c>
      <c r="AN77" s="27">
        <f t="shared" si="31"/>
        <v>0</v>
      </c>
      <c r="AO77" s="27">
        <f t="shared" si="32"/>
        <v>0</v>
      </c>
      <c r="AP77" s="27">
        <f t="shared" si="33"/>
        <v>0</v>
      </c>
      <c r="AR77" s="27">
        <f t="shared" si="34"/>
        <v>0</v>
      </c>
      <c r="AS77" s="27">
        <f t="shared" si="41"/>
        <v>0</v>
      </c>
      <c r="AT77" s="27">
        <f>IF(Pagoinversiones!I128&gt;0,$AS77,0)</f>
        <v>0</v>
      </c>
      <c r="AU77" s="27">
        <f>IF(Pagoinversiones!J128&gt;0,$AS77,AT77)</f>
        <v>0</v>
      </c>
      <c r="AV77" s="27">
        <f>IF(Pagoinversiones!K128&gt;0,$AS77,AU77)</f>
        <v>0</v>
      </c>
      <c r="AW77" s="27">
        <f>IF(Pagoinversiones!L128&gt;0,$AS77,AV77)</f>
        <v>0</v>
      </c>
      <c r="AX77" s="27">
        <f>IF(Pagoinversiones!M128&gt;0,$AS77,AW77)</f>
        <v>0</v>
      </c>
      <c r="AY77" s="27">
        <f>IF(Pagoinversiones!N128&gt;0,$AS77,AX77)</f>
        <v>0</v>
      </c>
      <c r="AZ77" s="27">
        <f>IF(Pagoinversiones!O128&gt;0,$AS77,AY77)</f>
        <v>0</v>
      </c>
      <c r="BA77" s="27">
        <f>IF(Pagoinversiones!P128&gt;0,$AS77,AZ77)</f>
        <v>0</v>
      </c>
      <c r="BB77" s="27">
        <f>IF(Pagoinversiones!Q128&gt;0,$AS77,BA77)</f>
        <v>0</v>
      </c>
      <c r="BC77" s="27">
        <f>IF(Pagoinversiones!R128&gt;0,$AS77,BB77)</f>
        <v>0</v>
      </c>
      <c r="BD77" s="27">
        <f>IF(Pagoinversiones!S128&gt;0,$AS77,BC77)</f>
        <v>0</v>
      </c>
      <c r="BE77" s="27">
        <f>IF(Pagoinversiones!T128&gt;0,$AS77,BD77)</f>
        <v>0</v>
      </c>
      <c r="BF77" s="27">
        <f t="shared" si="35"/>
        <v>0</v>
      </c>
      <c r="BG77" s="27">
        <f t="shared" si="42"/>
        <v>0</v>
      </c>
      <c r="BH77" s="27">
        <f t="shared" si="43"/>
        <v>0</v>
      </c>
      <c r="BI77" s="27">
        <f t="shared" si="44"/>
        <v>0</v>
      </c>
      <c r="BJ77" s="27">
        <f t="shared" si="45"/>
        <v>0</v>
      </c>
      <c r="BK77" s="27">
        <f t="shared" si="36"/>
        <v>0</v>
      </c>
      <c r="BL77" s="27">
        <f t="shared" si="46"/>
        <v>0</v>
      </c>
      <c r="BM77" s="27">
        <f t="shared" si="36"/>
        <v>0</v>
      </c>
      <c r="BN77" s="27">
        <f t="shared" si="37"/>
        <v>0</v>
      </c>
      <c r="BO77" s="27">
        <f t="shared" si="20"/>
        <v>0</v>
      </c>
      <c r="BP77" s="27">
        <f t="shared" si="38"/>
        <v>0</v>
      </c>
      <c r="BQ77" s="27">
        <f t="shared" si="39"/>
        <v>0</v>
      </c>
      <c r="BR77" s="27">
        <f t="shared" si="40"/>
        <v>0</v>
      </c>
      <c r="BS77" s="61"/>
    </row>
    <row r="78" spans="2:71" s="27" customFormat="1" ht="11.25" hidden="1" x14ac:dyDescent="0.2">
      <c r="B78" s="60"/>
      <c r="C78" s="27">
        <f>SANDBOX!D172</f>
        <v>0</v>
      </c>
      <c r="D78" s="27">
        <f>SANDBOX!F172</f>
        <v>0</v>
      </c>
      <c r="E78" s="27">
        <f>Pagoinversiones!H129</f>
        <v>0</v>
      </c>
      <c r="F78" s="27" t="str">
        <f>SANDBOX!G172</f>
        <v>CASH</v>
      </c>
      <c r="G78" s="27">
        <f>+SUMIF(Amortizaciones!F78:F83,SB!$C$156,Amortizaciones!D78:D83)</f>
        <v>0</v>
      </c>
      <c r="H78" s="27">
        <f>+SUMIF(F78:F83,SB!$C$157,D78:D83)</f>
        <v>0</v>
      </c>
      <c r="I78" s="27">
        <f>SUM(G78:H78)</f>
        <v>0</v>
      </c>
      <c r="J78" s="27">
        <f t="shared" ref="J78:J83" si="51">+IF(F78=$G$59,O$111,O$119)</f>
        <v>5</v>
      </c>
      <c r="K78" s="27">
        <f t="shared" si="21"/>
        <v>60</v>
      </c>
      <c r="L78" s="27">
        <f t="shared" ref="L78:L83" si="52">+IF(F78=$G$59,(D78*P$111),(E78*P$119))</f>
        <v>0</v>
      </c>
      <c r="P78" s="27">
        <f t="shared" si="18"/>
        <v>0</v>
      </c>
      <c r="Q78" s="27">
        <f t="shared" si="22"/>
        <v>0</v>
      </c>
      <c r="R78" s="27">
        <f>IF(Pagoinversiones!E69&gt;0,$Q78,0)</f>
        <v>0</v>
      </c>
      <c r="S78" s="27">
        <f>IF(Pagoinversiones!F69&gt;0,$Q78,R78)</f>
        <v>0</v>
      </c>
      <c r="T78" s="27">
        <f>IF(Pagoinversiones!G69&gt;0,$Q78,S78)</f>
        <v>0</v>
      </c>
      <c r="U78" s="27">
        <f>IF(Pagoinversiones!H69&gt;0,$Q78,T78)</f>
        <v>0</v>
      </c>
      <c r="V78" s="27">
        <f>IF(Pagoinversiones!I69&gt;0,$Q78,U78)</f>
        <v>0</v>
      </c>
      <c r="W78" s="27">
        <f>IF(Pagoinversiones!J69&gt;0,$Q78,V78)</f>
        <v>0</v>
      </c>
      <c r="X78" s="27">
        <f>IF(Pagoinversiones!K69&gt;0,$Q78,W78)</f>
        <v>0</v>
      </c>
      <c r="Y78" s="27">
        <f>IF(Pagoinversiones!L69&gt;0,$Q78,X78)</f>
        <v>0</v>
      </c>
      <c r="Z78" s="27">
        <f>IF(Pagoinversiones!M69&gt;0,$Q78,Y78)</f>
        <v>0</v>
      </c>
      <c r="AA78" s="27">
        <f>IF(Pagoinversiones!N69&gt;0,$Q78,Z78)</f>
        <v>0</v>
      </c>
      <c r="AB78" s="27">
        <f>IF(Pagoinversiones!O69&gt;0,$Q78,AA78)</f>
        <v>0</v>
      </c>
      <c r="AC78" s="27">
        <f>IF(Pagoinversiones!P69&gt;0,$Q78,AB78)</f>
        <v>0</v>
      </c>
      <c r="AD78" s="27">
        <f t="shared" si="23"/>
        <v>0</v>
      </c>
      <c r="AE78" s="27">
        <f t="shared" si="24"/>
        <v>0</v>
      </c>
      <c r="AF78" s="27">
        <f t="shared" si="25"/>
        <v>0</v>
      </c>
      <c r="AG78" s="27">
        <f t="shared" si="26"/>
        <v>0</v>
      </c>
      <c r="AH78" s="27">
        <f t="shared" si="27"/>
        <v>0</v>
      </c>
      <c r="AI78" s="27">
        <f t="shared" si="28"/>
        <v>0</v>
      </c>
      <c r="AJ78" s="27">
        <f t="shared" si="29"/>
        <v>0</v>
      </c>
      <c r="AK78" s="27">
        <f t="shared" si="28"/>
        <v>0</v>
      </c>
      <c r="AL78" s="27">
        <f t="shared" si="30"/>
        <v>0</v>
      </c>
      <c r="AM78" s="27">
        <f t="shared" si="19"/>
        <v>0</v>
      </c>
      <c r="AN78" s="27">
        <f t="shared" si="31"/>
        <v>0</v>
      </c>
      <c r="AO78" s="27">
        <f t="shared" si="32"/>
        <v>0</v>
      </c>
      <c r="AP78" s="27">
        <f t="shared" si="33"/>
        <v>0</v>
      </c>
      <c r="AR78" s="27">
        <f t="shared" si="34"/>
        <v>0</v>
      </c>
      <c r="AS78" s="27">
        <f t="shared" si="41"/>
        <v>0</v>
      </c>
      <c r="AT78" s="27">
        <f>IF(Pagoinversiones!I129&gt;0,$AS78,0)</f>
        <v>0</v>
      </c>
      <c r="AU78" s="27">
        <f>IF(Pagoinversiones!J129&gt;0,$AS78,AT78)</f>
        <v>0</v>
      </c>
      <c r="AV78" s="27">
        <f>IF(Pagoinversiones!K129&gt;0,$AS78,AU78)</f>
        <v>0</v>
      </c>
      <c r="AW78" s="27">
        <f>IF(Pagoinversiones!L129&gt;0,$AS78,AV78)</f>
        <v>0</v>
      </c>
      <c r="AX78" s="27">
        <f>IF(Pagoinversiones!M129&gt;0,$AS78,AW78)</f>
        <v>0</v>
      </c>
      <c r="AY78" s="27">
        <f>IF(Pagoinversiones!N129&gt;0,$AS78,AX78)</f>
        <v>0</v>
      </c>
      <c r="AZ78" s="27">
        <f>IF(Pagoinversiones!O129&gt;0,$AS78,AY78)</f>
        <v>0</v>
      </c>
      <c r="BA78" s="27">
        <f>IF(Pagoinversiones!P129&gt;0,$AS78,AZ78)</f>
        <v>0</v>
      </c>
      <c r="BB78" s="27">
        <f>IF(Pagoinversiones!Q129&gt;0,$AS78,BA78)</f>
        <v>0</v>
      </c>
      <c r="BC78" s="27">
        <f>IF(Pagoinversiones!R129&gt;0,$AS78,BB78)</f>
        <v>0</v>
      </c>
      <c r="BD78" s="27">
        <f>IF(Pagoinversiones!S129&gt;0,$AS78,BC78)</f>
        <v>0</v>
      </c>
      <c r="BE78" s="27">
        <f>IF(Pagoinversiones!T129&gt;0,$AS78,BD78)</f>
        <v>0</v>
      </c>
      <c r="BF78" s="27">
        <f t="shared" si="35"/>
        <v>0</v>
      </c>
      <c r="BG78" s="27">
        <f t="shared" si="42"/>
        <v>0</v>
      </c>
      <c r="BH78" s="27">
        <f t="shared" si="43"/>
        <v>0</v>
      </c>
      <c r="BI78" s="27">
        <f t="shared" si="44"/>
        <v>0</v>
      </c>
      <c r="BJ78" s="27">
        <f t="shared" si="45"/>
        <v>0</v>
      </c>
      <c r="BK78" s="27">
        <f t="shared" si="36"/>
        <v>0</v>
      </c>
      <c r="BL78" s="27">
        <f t="shared" si="46"/>
        <v>0</v>
      </c>
      <c r="BM78" s="27">
        <f t="shared" si="36"/>
        <v>0</v>
      </c>
      <c r="BN78" s="27">
        <f t="shared" si="37"/>
        <v>0</v>
      </c>
      <c r="BO78" s="27">
        <f t="shared" si="20"/>
        <v>0</v>
      </c>
      <c r="BP78" s="27">
        <f t="shared" si="38"/>
        <v>0</v>
      </c>
      <c r="BQ78" s="27">
        <f t="shared" si="39"/>
        <v>0</v>
      </c>
      <c r="BR78" s="27">
        <f t="shared" si="40"/>
        <v>0</v>
      </c>
      <c r="BS78" s="61"/>
    </row>
    <row r="79" spans="2:71" s="27" customFormat="1" ht="11.25" hidden="1" x14ac:dyDescent="0.2">
      <c r="B79" s="60"/>
      <c r="C79" s="27">
        <f>SANDBOX!D173</f>
        <v>0</v>
      </c>
      <c r="D79" s="27">
        <f>SANDBOX!F173</f>
        <v>0</v>
      </c>
      <c r="E79" s="27">
        <f>Pagoinversiones!H130</f>
        <v>0</v>
      </c>
      <c r="F79" s="27" t="str">
        <f>SANDBOX!G173</f>
        <v>CASH</v>
      </c>
      <c r="J79" s="27">
        <f t="shared" si="51"/>
        <v>5</v>
      </c>
      <c r="K79" s="27">
        <f t="shared" si="21"/>
        <v>60</v>
      </c>
      <c r="L79" s="27">
        <f t="shared" si="52"/>
        <v>0</v>
      </c>
      <c r="P79" s="27">
        <f t="shared" si="18"/>
        <v>0</v>
      </c>
      <c r="Q79" s="27">
        <f t="shared" si="22"/>
        <v>0</v>
      </c>
      <c r="R79" s="27">
        <f>IF(Pagoinversiones!E70&gt;0,$Q79,0)</f>
        <v>0</v>
      </c>
      <c r="S79" s="27">
        <f>IF(Pagoinversiones!F70&gt;0,$Q79,R79)</f>
        <v>0</v>
      </c>
      <c r="T79" s="27">
        <f>IF(Pagoinversiones!G70&gt;0,$Q79,S79)</f>
        <v>0</v>
      </c>
      <c r="U79" s="27">
        <f>IF(Pagoinversiones!H70&gt;0,$Q79,T79)</f>
        <v>0</v>
      </c>
      <c r="V79" s="27">
        <f>IF(Pagoinversiones!I70&gt;0,$Q79,U79)</f>
        <v>0</v>
      </c>
      <c r="W79" s="27">
        <f>IF(Pagoinversiones!J70&gt;0,$Q79,V79)</f>
        <v>0</v>
      </c>
      <c r="X79" s="27">
        <f>IF(Pagoinversiones!K70&gt;0,$Q79,W79)</f>
        <v>0</v>
      </c>
      <c r="Y79" s="27">
        <f>IF(Pagoinversiones!L70&gt;0,$Q79,X79)</f>
        <v>0</v>
      </c>
      <c r="Z79" s="27">
        <f>IF(Pagoinversiones!M70&gt;0,$Q79,Y79)</f>
        <v>0</v>
      </c>
      <c r="AA79" s="27">
        <f>IF(Pagoinversiones!N70&gt;0,$Q79,Z79)</f>
        <v>0</v>
      </c>
      <c r="AB79" s="27">
        <f>IF(Pagoinversiones!O70&gt;0,$Q79,AA79)</f>
        <v>0</v>
      </c>
      <c r="AC79" s="27">
        <f>IF(Pagoinversiones!P70&gt;0,$Q79,AB79)</f>
        <v>0</v>
      </c>
      <c r="AD79" s="27">
        <f t="shared" si="23"/>
        <v>0</v>
      </c>
      <c r="AE79" s="27">
        <f t="shared" si="24"/>
        <v>0</v>
      </c>
      <c r="AF79" s="27">
        <f t="shared" si="25"/>
        <v>0</v>
      </c>
      <c r="AG79" s="27">
        <f t="shared" si="26"/>
        <v>0</v>
      </c>
      <c r="AH79" s="27">
        <f t="shared" si="27"/>
        <v>0</v>
      </c>
      <c r="AI79" s="27">
        <f t="shared" si="28"/>
        <v>0</v>
      </c>
      <c r="AJ79" s="27">
        <f t="shared" si="29"/>
        <v>0</v>
      </c>
      <c r="AK79" s="27">
        <f t="shared" si="28"/>
        <v>0</v>
      </c>
      <c r="AL79" s="27">
        <f t="shared" si="30"/>
        <v>0</v>
      </c>
      <c r="AM79" s="27">
        <f t="shared" si="19"/>
        <v>0</v>
      </c>
      <c r="AN79" s="27">
        <f t="shared" si="31"/>
        <v>0</v>
      </c>
      <c r="AO79" s="27">
        <f t="shared" si="32"/>
        <v>0</v>
      </c>
      <c r="AP79" s="27">
        <f t="shared" si="33"/>
        <v>0</v>
      </c>
      <c r="AR79" s="27">
        <f t="shared" si="34"/>
        <v>0</v>
      </c>
      <c r="AS79" s="27">
        <f t="shared" si="41"/>
        <v>0</v>
      </c>
      <c r="AT79" s="27">
        <f>IF(Pagoinversiones!I130&gt;0,$AS79,0)</f>
        <v>0</v>
      </c>
      <c r="AU79" s="27">
        <f>IF(Pagoinversiones!J130&gt;0,$AS79,AT79)</f>
        <v>0</v>
      </c>
      <c r="AV79" s="27">
        <f>IF(Pagoinversiones!K130&gt;0,$AS79,AU79)</f>
        <v>0</v>
      </c>
      <c r="AW79" s="27">
        <f>IF(Pagoinversiones!L130&gt;0,$AS79,AV79)</f>
        <v>0</v>
      </c>
      <c r="AX79" s="27">
        <f>IF(Pagoinversiones!M130&gt;0,$AS79,AW79)</f>
        <v>0</v>
      </c>
      <c r="AY79" s="27">
        <f>IF(Pagoinversiones!N130&gt;0,$AS79,AX79)</f>
        <v>0</v>
      </c>
      <c r="AZ79" s="27">
        <f>IF(Pagoinversiones!O130&gt;0,$AS79,AY79)</f>
        <v>0</v>
      </c>
      <c r="BA79" s="27">
        <f>IF(Pagoinversiones!P130&gt;0,$AS79,AZ79)</f>
        <v>0</v>
      </c>
      <c r="BB79" s="27">
        <f>IF(Pagoinversiones!Q130&gt;0,$AS79,BA79)</f>
        <v>0</v>
      </c>
      <c r="BC79" s="27">
        <f>IF(Pagoinversiones!R130&gt;0,$AS79,BB79)</f>
        <v>0</v>
      </c>
      <c r="BD79" s="27">
        <f>IF(Pagoinversiones!S130&gt;0,$AS79,BC79)</f>
        <v>0</v>
      </c>
      <c r="BE79" s="27">
        <f>IF(Pagoinversiones!T130&gt;0,$AS79,BD79)</f>
        <v>0</v>
      </c>
      <c r="BF79" s="27">
        <f t="shared" si="35"/>
        <v>0</v>
      </c>
      <c r="BG79" s="27">
        <f t="shared" si="42"/>
        <v>0</v>
      </c>
      <c r="BH79" s="27">
        <f t="shared" si="43"/>
        <v>0</v>
      </c>
      <c r="BI79" s="27">
        <f t="shared" si="44"/>
        <v>0</v>
      </c>
      <c r="BJ79" s="27">
        <f t="shared" si="45"/>
        <v>0</v>
      </c>
      <c r="BK79" s="27">
        <f t="shared" si="36"/>
        <v>0</v>
      </c>
      <c r="BL79" s="27">
        <f t="shared" si="46"/>
        <v>0</v>
      </c>
      <c r="BM79" s="27">
        <f t="shared" si="36"/>
        <v>0</v>
      </c>
      <c r="BN79" s="27">
        <f t="shared" si="37"/>
        <v>0</v>
      </c>
      <c r="BO79" s="27">
        <f t="shared" si="20"/>
        <v>0</v>
      </c>
      <c r="BP79" s="27">
        <f t="shared" si="38"/>
        <v>0</v>
      </c>
      <c r="BQ79" s="27">
        <f t="shared" si="39"/>
        <v>0</v>
      </c>
      <c r="BR79" s="27">
        <f t="shared" si="40"/>
        <v>0</v>
      </c>
      <c r="BS79" s="61"/>
    </row>
    <row r="80" spans="2:71" s="27" customFormat="1" ht="11.25" hidden="1" x14ac:dyDescent="0.2">
      <c r="B80" s="60"/>
      <c r="C80" s="27">
        <f>SANDBOX!D174</f>
        <v>0</v>
      </c>
      <c r="D80" s="27">
        <f>SANDBOX!F174</f>
        <v>0</v>
      </c>
      <c r="E80" s="27">
        <f>Pagoinversiones!H131</f>
        <v>0</v>
      </c>
      <c r="F80" s="27" t="str">
        <f>SANDBOX!G174</f>
        <v>CASH</v>
      </c>
      <c r="J80" s="27">
        <f t="shared" si="51"/>
        <v>5</v>
      </c>
      <c r="K80" s="27">
        <f t="shared" si="21"/>
        <v>60</v>
      </c>
      <c r="L80" s="27">
        <f t="shared" si="52"/>
        <v>0</v>
      </c>
      <c r="P80" s="27">
        <f t="shared" si="18"/>
        <v>0</v>
      </c>
      <c r="Q80" s="27">
        <f t="shared" si="22"/>
        <v>0</v>
      </c>
      <c r="R80" s="27">
        <f>IF(Pagoinversiones!E71&gt;0,$Q80,0)</f>
        <v>0</v>
      </c>
      <c r="S80" s="27">
        <f>IF(Pagoinversiones!F71&gt;0,$Q80,R80)</f>
        <v>0</v>
      </c>
      <c r="T80" s="27">
        <f>IF(Pagoinversiones!G71&gt;0,$Q80,S80)</f>
        <v>0</v>
      </c>
      <c r="U80" s="27">
        <f>IF(Pagoinversiones!H71&gt;0,$Q80,T80)</f>
        <v>0</v>
      </c>
      <c r="V80" s="27">
        <f>IF(Pagoinversiones!I71&gt;0,$Q80,U80)</f>
        <v>0</v>
      </c>
      <c r="W80" s="27">
        <f>IF(Pagoinversiones!J71&gt;0,$Q80,V80)</f>
        <v>0</v>
      </c>
      <c r="X80" s="27">
        <f>IF(Pagoinversiones!K71&gt;0,$Q80,W80)</f>
        <v>0</v>
      </c>
      <c r="Y80" s="27">
        <f>IF(Pagoinversiones!L71&gt;0,$Q80,X80)</f>
        <v>0</v>
      </c>
      <c r="Z80" s="27">
        <f>IF(Pagoinversiones!M71&gt;0,$Q80,Y80)</f>
        <v>0</v>
      </c>
      <c r="AA80" s="27">
        <f>IF(Pagoinversiones!N71&gt;0,$Q80,Z80)</f>
        <v>0</v>
      </c>
      <c r="AB80" s="27">
        <f>IF(Pagoinversiones!O71&gt;0,$Q80,AA80)</f>
        <v>0</v>
      </c>
      <c r="AC80" s="27">
        <f>IF(Pagoinversiones!P71&gt;0,$Q80,AB80)</f>
        <v>0</v>
      </c>
      <c r="AD80" s="27">
        <f t="shared" si="23"/>
        <v>0</v>
      </c>
      <c r="AE80" s="27">
        <f t="shared" si="24"/>
        <v>0</v>
      </c>
      <c r="AF80" s="27">
        <f t="shared" si="25"/>
        <v>0</v>
      </c>
      <c r="AG80" s="27">
        <f t="shared" si="26"/>
        <v>0</v>
      </c>
      <c r="AH80" s="27">
        <f t="shared" si="27"/>
        <v>0</v>
      </c>
      <c r="AI80" s="27">
        <f t="shared" si="28"/>
        <v>0</v>
      </c>
      <c r="AJ80" s="27">
        <f t="shared" si="29"/>
        <v>0</v>
      </c>
      <c r="AK80" s="27">
        <f t="shared" si="28"/>
        <v>0</v>
      </c>
      <c r="AL80" s="27">
        <f t="shared" si="30"/>
        <v>0</v>
      </c>
      <c r="AM80" s="27">
        <f t="shared" si="19"/>
        <v>0</v>
      </c>
      <c r="AN80" s="27">
        <f t="shared" si="31"/>
        <v>0</v>
      </c>
      <c r="AO80" s="27">
        <f t="shared" si="32"/>
        <v>0</v>
      </c>
      <c r="AP80" s="27">
        <f t="shared" si="33"/>
        <v>0</v>
      </c>
      <c r="AR80" s="27">
        <f t="shared" si="34"/>
        <v>0</v>
      </c>
      <c r="AS80" s="27">
        <f t="shared" si="41"/>
        <v>0</v>
      </c>
      <c r="AT80" s="27">
        <f>IF(Pagoinversiones!I131&gt;0,$AS80,0)</f>
        <v>0</v>
      </c>
      <c r="AU80" s="27">
        <f>IF(Pagoinversiones!J131&gt;0,$AS80,AT80)</f>
        <v>0</v>
      </c>
      <c r="AV80" s="27">
        <f>IF(Pagoinversiones!K131&gt;0,$AS80,AU80)</f>
        <v>0</v>
      </c>
      <c r="AW80" s="27">
        <f>IF(Pagoinversiones!L131&gt;0,$AS80,AV80)</f>
        <v>0</v>
      </c>
      <c r="AX80" s="27">
        <f>IF(Pagoinversiones!M131&gt;0,$AS80,AW80)</f>
        <v>0</v>
      </c>
      <c r="AY80" s="27">
        <f>IF(Pagoinversiones!N131&gt;0,$AS80,AX80)</f>
        <v>0</v>
      </c>
      <c r="AZ80" s="27">
        <f>IF(Pagoinversiones!O131&gt;0,$AS80,AY80)</f>
        <v>0</v>
      </c>
      <c r="BA80" s="27">
        <f>IF(Pagoinversiones!P131&gt;0,$AS80,AZ80)</f>
        <v>0</v>
      </c>
      <c r="BB80" s="27">
        <f>IF(Pagoinversiones!Q131&gt;0,$AS80,BA80)</f>
        <v>0</v>
      </c>
      <c r="BC80" s="27">
        <f>IF(Pagoinversiones!R131&gt;0,$AS80,BB80)</f>
        <v>0</v>
      </c>
      <c r="BD80" s="27">
        <f>IF(Pagoinversiones!S131&gt;0,$AS80,BC80)</f>
        <v>0</v>
      </c>
      <c r="BE80" s="27">
        <f>IF(Pagoinversiones!T131&gt;0,$AS80,BD80)</f>
        <v>0</v>
      </c>
      <c r="BF80" s="27">
        <f t="shared" si="35"/>
        <v>0</v>
      </c>
      <c r="BG80" s="27">
        <f t="shared" si="42"/>
        <v>0</v>
      </c>
      <c r="BH80" s="27">
        <f t="shared" si="43"/>
        <v>0</v>
      </c>
      <c r="BI80" s="27">
        <f t="shared" si="44"/>
        <v>0</v>
      </c>
      <c r="BJ80" s="27">
        <f t="shared" si="45"/>
        <v>0</v>
      </c>
      <c r="BK80" s="27">
        <f t="shared" si="36"/>
        <v>0</v>
      </c>
      <c r="BL80" s="27">
        <f t="shared" si="46"/>
        <v>0</v>
      </c>
      <c r="BM80" s="27">
        <f t="shared" si="36"/>
        <v>0</v>
      </c>
      <c r="BN80" s="27">
        <f t="shared" si="37"/>
        <v>0</v>
      </c>
      <c r="BO80" s="27">
        <f t="shared" si="20"/>
        <v>0</v>
      </c>
      <c r="BP80" s="27">
        <f t="shared" si="38"/>
        <v>0</v>
      </c>
      <c r="BQ80" s="27">
        <f t="shared" si="39"/>
        <v>0</v>
      </c>
      <c r="BR80" s="27">
        <f t="shared" si="40"/>
        <v>0</v>
      </c>
      <c r="BS80" s="61"/>
    </row>
    <row r="81" spans="2:71" s="27" customFormat="1" ht="11.25" hidden="1" x14ac:dyDescent="0.2">
      <c r="B81" s="60"/>
      <c r="C81" s="27">
        <f>SANDBOX!D175</f>
        <v>0</v>
      </c>
      <c r="D81" s="27">
        <f>SANDBOX!F175</f>
        <v>0</v>
      </c>
      <c r="E81" s="27">
        <f>Pagoinversiones!H132</f>
        <v>0</v>
      </c>
      <c r="F81" s="27" t="str">
        <f>SANDBOX!G175</f>
        <v>CASH</v>
      </c>
      <c r="J81" s="27">
        <f t="shared" si="51"/>
        <v>5</v>
      </c>
      <c r="K81" s="27">
        <f t="shared" si="21"/>
        <v>60</v>
      </c>
      <c r="L81" s="27">
        <f t="shared" si="52"/>
        <v>0</v>
      </c>
      <c r="P81" s="27">
        <f t="shared" si="18"/>
        <v>0</v>
      </c>
      <c r="Q81" s="27">
        <f t="shared" si="22"/>
        <v>0</v>
      </c>
      <c r="R81" s="27">
        <f>IF(Pagoinversiones!E72&gt;0,$Q81,0)</f>
        <v>0</v>
      </c>
      <c r="S81" s="27">
        <f>IF(Pagoinversiones!F72&gt;0,$Q81,R81)</f>
        <v>0</v>
      </c>
      <c r="T81" s="27">
        <f>IF(Pagoinversiones!G72&gt;0,$Q81,S81)</f>
        <v>0</v>
      </c>
      <c r="U81" s="27">
        <f>IF(Pagoinversiones!H72&gt;0,$Q81,T81)</f>
        <v>0</v>
      </c>
      <c r="V81" s="27">
        <f>IF(Pagoinversiones!I72&gt;0,$Q81,U81)</f>
        <v>0</v>
      </c>
      <c r="W81" s="27">
        <f>IF(Pagoinversiones!J72&gt;0,$Q81,V81)</f>
        <v>0</v>
      </c>
      <c r="X81" s="27">
        <f>IF(Pagoinversiones!K72&gt;0,$Q81,W81)</f>
        <v>0</v>
      </c>
      <c r="Y81" s="27">
        <f>IF(Pagoinversiones!L72&gt;0,$Q81,X81)</f>
        <v>0</v>
      </c>
      <c r="Z81" s="27">
        <f>IF(Pagoinversiones!M72&gt;0,$Q81,Y81)</f>
        <v>0</v>
      </c>
      <c r="AA81" s="27">
        <f>IF(Pagoinversiones!N72&gt;0,$Q81,Z81)</f>
        <v>0</v>
      </c>
      <c r="AB81" s="27">
        <f>IF(Pagoinversiones!O72&gt;0,$Q81,AA81)</f>
        <v>0</v>
      </c>
      <c r="AC81" s="27">
        <f>IF(Pagoinversiones!P72&gt;0,$Q81,AB81)</f>
        <v>0</v>
      </c>
      <c r="AD81" s="27">
        <f t="shared" si="23"/>
        <v>0</v>
      </c>
      <c r="AE81" s="27">
        <f t="shared" si="24"/>
        <v>0</v>
      </c>
      <c r="AF81" s="27">
        <f t="shared" si="25"/>
        <v>0</v>
      </c>
      <c r="AG81" s="27">
        <f t="shared" si="26"/>
        <v>0</v>
      </c>
      <c r="AH81" s="27">
        <f t="shared" si="27"/>
        <v>0</v>
      </c>
      <c r="AI81" s="27">
        <f t="shared" si="28"/>
        <v>0</v>
      </c>
      <c r="AJ81" s="27">
        <f t="shared" si="29"/>
        <v>0</v>
      </c>
      <c r="AK81" s="27">
        <f t="shared" si="28"/>
        <v>0</v>
      </c>
      <c r="AL81" s="27">
        <f t="shared" si="30"/>
        <v>0</v>
      </c>
      <c r="AM81" s="27">
        <f t="shared" si="19"/>
        <v>0</v>
      </c>
      <c r="AN81" s="27">
        <f t="shared" si="31"/>
        <v>0</v>
      </c>
      <c r="AO81" s="27">
        <f t="shared" si="32"/>
        <v>0</v>
      </c>
      <c r="AP81" s="27">
        <f t="shared" si="33"/>
        <v>0</v>
      </c>
      <c r="AR81" s="27">
        <f t="shared" si="34"/>
        <v>0</v>
      </c>
      <c r="AS81" s="27">
        <f t="shared" si="41"/>
        <v>0</v>
      </c>
      <c r="AT81" s="27">
        <f>IF(Pagoinversiones!I132&gt;0,$AS81,0)</f>
        <v>0</v>
      </c>
      <c r="AU81" s="27">
        <f>IF(Pagoinversiones!J132&gt;0,$AS81,AT81)</f>
        <v>0</v>
      </c>
      <c r="AV81" s="27">
        <f>IF(Pagoinversiones!K132&gt;0,$AS81,AU81)</f>
        <v>0</v>
      </c>
      <c r="AW81" s="27">
        <f>IF(Pagoinversiones!L132&gt;0,$AS81,AV81)</f>
        <v>0</v>
      </c>
      <c r="AX81" s="27">
        <f>IF(Pagoinversiones!M132&gt;0,$AS81,AW81)</f>
        <v>0</v>
      </c>
      <c r="AY81" s="27">
        <f>IF(Pagoinversiones!N132&gt;0,$AS81,AX81)</f>
        <v>0</v>
      </c>
      <c r="AZ81" s="27">
        <f>IF(Pagoinversiones!O132&gt;0,$AS81,AY81)</f>
        <v>0</v>
      </c>
      <c r="BA81" s="27">
        <f>IF(Pagoinversiones!P132&gt;0,$AS81,AZ81)</f>
        <v>0</v>
      </c>
      <c r="BB81" s="27">
        <f>IF(Pagoinversiones!Q132&gt;0,$AS81,BA81)</f>
        <v>0</v>
      </c>
      <c r="BC81" s="27">
        <f>IF(Pagoinversiones!R132&gt;0,$AS81,BB81)</f>
        <v>0</v>
      </c>
      <c r="BD81" s="27">
        <f>IF(Pagoinversiones!S132&gt;0,$AS81,BC81)</f>
        <v>0</v>
      </c>
      <c r="BE81" s="27">
        <f>IF(Pagoinversiones!T132&gt;0,$AS81,BD81)</f>
        <v>0</v>
      </c>
      <c r="BF81" s="27">
        <f t="shared" si="35"/>
        <v>0</v>
      </c>
      <c r="BG81" s="27">
        <f t="shared" si="42"/>
        <v>0</v>
      </c>
      <c r="BH81" s="27">
        <f t="shared" si="43"/>
        <v>0</v>
      </c>
      <c r="BI81" s="27">
        <f t="shared" si="44"/>
        <v>0</v>
      </c>
      <c r="BJ81" s="27">
        <f t="shared" si="45"/>
        <v>0</v>
      </c>
      <c r="BK81" s="27">
        <f t="shared" si="36"/>
        <v>0</v>
      </c>
      <c r="BL81" s="27">
        <f t="shared" si="46"/>
        <v>0</v>
      </c>
      <c r="BM81" s="27">
        <f t="shared" si="36"/>
        <v>0</v>
      </c>
      <c r="BN81" s="27">
        <f t="shared" si="37"/>
        <v>0</v>
      </c>
      <c r="BO81" s="27">
        <f t="shared" si="20"/>
        <v>0</v>
      </c>
      <c r="BP81" s="27">
        <f t="shared" si="38"/>
        <v>0</v>
      </c>
      <c r="BQ81" s="27">
        <f t="shared" si="39"/>
        <v>0</v>
      </c>
      <c r="BR81" s="27">
        <f t="shared" si="40"/>
        <v>0</v>
      </c>
      <c r="BS81" s="61"/>
    </row>
    <row r="82" spans="2:71" s="27" customFormat="1" ht="11.25" hidden="1" x14ac:dyDescent="0.2">
      <c r="B82" s="60"/>
      <c r="C82" s="27">
        <f>SANDBOX!D176</f>
        <v>0</v>
      </c>
      <c r="D82" s="27">
        <f>SANDBOX!F176</f>
        <v>0</v>
      </c>
      <c r="E82" s="27">
        <f>Pagoinversiones!H133</f>
        <v>0</v>
      </c>
      <c r="F82" s="27" t="str">
        <f>SANDBOX!G176</f>
        <v>CASH</v>
      </c>
      <c r="J82" s="27">
        <f t="shared" si="51"/>
        <v>5</v>
      </c>
      <c r="K82" s="27">
        <f t="shared" si="21"/>
        <v>60</v>
      </c>
      <c r="L82" s="27">
        <f t="shared" si="52"/>
        <v>0</v>
      </c>
      <c r="P82" s="27">
        <f t="shared" si="18"/>
        <v>0</v>
      </c>
      <c r="Q82" s="27">
        <f t="shared" si="22"/>
        <v>0</v>
      </c>
      <c r="R82" s="27">
        <f>IF(Pagoinversiones!E73&gt;0,$Q82,0)</f>
        <v>0</v>
      </c>
      <c r="S82" s="27">
        <f>IF(Pagoinversiones!F73&gt;0,$Q82,R82)</f>
        <v>0</v>
      </c>
      <c r="T82" s="27">
        <f>IF(Pagoinversiones!G73&gt;0,$Q82,S82)</f>
        <v>0</v>
      </c>
      <c r="U82" s="27">
        <f>IF(Pagoinversiones!H73&gt;0,$Q82,T82)</f>
        <v>0</v>
      </c>
      <c r="V82" s="27">
        <f>IF(Pagoinversiones!I73&gt;0,$Q82,U82)</f>
        <v>0</v>
      </c>
      <c r="W82" s="27">
        <f>IF(Pagoinversiones!J73&gt;0,$Q82,V82)</f>
        <v>0</v>
      </c>
      <c r="X82" s="27">
        <f>IF(Pagoinversiones!K73&gt;0,$Q82,W82)</f>
        <v>0</v>
      </c>
      <c r="Y82" s="27">
        <f>IF(Pagoinversiones!L73&gt;0,$Q82,X82)</f>
        <v>0</v>
      </c>
      <c r="Z82" s="27">
        <f>IF(Pagoinversiones!M73&gt;0,$Q82,Y82)</f>
        <v>0</v>
      </c>
      <c r="AA82" s="27">
        <f>IF(Pagoinversiones!N73&gt;0,$Q82,Z82)</f>
        <v>0</v>
      </c>
      <c r="AB82" s="27">
        <f>IF(Pagoinversiones!O73&gt;0,$Q82,AA82)</f>
        <v>0</v>
      </c>
      <c r="AC82" s="27">
        <f>IF(Pagoinversiones!P73&gt;0,$Q82,AB82)</f>
        <v>0</v>
      </c>
      <c r="AD82" s="27">
        <f t="shared" si="23"/>
        <v>0</v>
      </c>
      <c r="AE82" s="27">
        <f t="shared" si="24"/>
        <v>0</v>
      </c>
      <c r="AF82" s="27">
        <f t="shared" si="25"/>
        <v>0</v>
      </c>
      <c r="AG82" s="27">
        <f t="shared" si="26"/>
        <v>0</v>
      </c>
      <c r="AH82" s="27">
        <f t="shared" si="27"/>
        <v>0</v>
      </c>
      <c r="AI82" s="27">
        <f t="shared" si="28"/>
        <v>0</v>
      </c>
      <c r="AJ82" s="27">
        <f t="shared" si="29"/>
        <v>0</v>
      </c>
      <c r="AK82" s="27">
        <f t="shared" si="28"/>
        <v>0</v>
      </c>
      <c r="AL82" s="27">
        <f t="shared" si="30"/>
        <v>0</v>
      </c>
      <c r="AM82" s="27">
        <f t="shared" si="19"/>
        <v>0</v>
      </c>
      <c r="AN82" s="27">
        <f t="shared" si="31"/>
        <v>0</v>
      </c>
      <c r="AO82" s="27">
        <f t="shared" si="32"/>
        <v>0</v>
      </c>
      <c r="AP82" s="27">
        <f t="shared" si="33"/>
        <v>0</v>
      </c>
      <c r="AR82" s="27">
        <f t="shared" si="34"/>
        <v>0</v>
      </c>
      <c r="AS82" s="27">
        <f t="shared" si="41"/>
        <v>0</v>
      </c>
      <c r="AT82" s="27">
        <f>IF(Pagoinversiones!I133&gt;0,$AS82,0)</f>
        <v>0</v>
      </c>
      <c r="AU82" s="27">
        <f>IF(Pagoinversiones!J133&gt;0,$AS82,AT82)</f>
        <v>0</v>
      </c>
      <c r="AV82" s="27">
        <f>IF(Pagoinversiones!K133&gt;0,$AS82,AU82)</f>
        <v>0</v>
      </c>
      <c r="AW82" s="27">
        <f>IF(Pagoinversiones!L133&gt;0,$AS82,AV82)</f>
        <v>0</v>
      </c>
      <c r="AX82" s="27">
        <f>IF(Pagoinversiones!M133&gt;0,$AS82,AW82)</f>
        <v>0</v>
      </c>
      <c r="AY82" s="27">
        <f>IF(Pagoinversiones!N133&gt;0,$AS82,AX82)</f>
        <v>0</v>
      </c>
      <c r="AZ82" s="27">
        <f>IF(Pagoinversiones!O133&gt;0,$AS82,AY82)</f>
        <v>0</v>
      </c>
      <c r="BA82" s="27">
        <f>IF(Pagoinversiones!P133&gt;0,$AS82,AZ82)</f>
        <v>0</v>
      </c>
      <c r="BB82" s="27">
        <f>IF(Pagoinversiones!Q133&gt;0,$AS82,BA82)</f>
        <v>0</v>
      </c>
      <c r="BC82" s="27">
        <f>IF(Pagoinversiones!R133&gt;0,$AS82,BB82)</f>
        <v>0</v>
      </c>
      <c r="BD82" s="27">
        <f>IF(Pagoinversiones!S133&gt;0,$AS82,BC82)</f>
        <v>0</v>
      </c>
      <c r="BE82" s="27">
        <f>IF(Pagoinversiones!T133&gt;0,$AS82,BD82)</f>
        <v>0</v>
      </c>
      <c r="BF82" s="27">
        <f t="shared" si="35"/>
        <v>0</v>
      </c>
      <c r="BG82" s="27">
        <f t="shared" si="42"/>
        <v>0</v>
      </c>
      <c r="BH82" s="27">
        <f t="shared" si="43"/>
        <v>0</v>
      </c>
      <c r="BI82" s="27">
        <f t="shared" si="44"/>
        <v>0</v>
      </c>
      <c r="BJ82" s="27">
        <f t="shared" si="45"/>
        <v>0</v>
      </c>
      <c r="BK82" s="27">
        <f t="shared" si="36"/>
        <v>0</v>
      </c>
      <c r="BL82" s="27">
        <f t="shared" si="46"/>
        <v>0</v>
      </c>
      <c r="BM82" s="27">
        <f t="shared" si="36"/>
        <v>0</v>
      </c>
      <c r="BN82" s="27">
        <f t="shared" si="37"/>
        <v>0</v>
      </c>
      <c r="BO82" s="27">
        <f t="shared" si="20"/>
        <v>0</v>
      </c>
      <c r="BP82" s="27">
        <f t="shared" si="38"/>
        <v>0</v>
      </c>
      <c r="BQ82" s="27">
        <f t="shared" si="39"/>
        <v>0</v>
      </c>
      <c r="BR82" s="27">
        <f t="shared" si="40"/>
        <v>0</v>
      </c>
      <c r="BS82" s="61"/>
    </row>
    <row r="83" spans="2:71" s="27" customFormat="1" ht="11.25" hidden="1" x14ac:dyDescent="0.2">
      <c r="B83" s="60"/>
      <c r="C83" s="27">
        <f>SANDBOX!D177</f>
        <v>0</v>
      </c>
      <c r="D83" s="27">
        <f>SANDBOX!F177</f>
        <v>0</v>
      </c>
      <c r="E83" s="27">
        <f>Pagoinversiones!H134</f>
        <v>0</v>
      </c>
      <c r="F83" s="27" t="str">
        <f>SANDBOX!G177</f>
        <v>CASH</v>
      </c>
      <c r="J83" s="27">
        <f t="shared" si="51"/>
        <v>5</v>
      </c>
      <c r="K83" s="27">
        <f t="shared" si="21"/>
        <v>60</v>
      </c>
      <c r="L83" s="27">
        <f t="shared" si="52"/>
        <v>0</v>
      </c>
      <c r="P83" s="27">
        <f t="shared" si="18"/>
        <v>0</v>
      </c>
      <c r="Q83" s="27">
        <f t="shared" si="22"/>
        <v>0</v>
      </c>
      <c r="R83" s="27">
        <f>IF(Pagoinversiones!E74&gt;0,$Q83,0)</f>
        <v>0</v>
      </c>
      <c r="S83" s="27">
        <f>IF(Pagoinversiones!F74&gt;0,$Q83,R83)</f>
        <v>0</v>
      </c>
      <c r="T83" s="27">
        <f>IF(Pagoinversiones!G74&gt;0,$Q83,S83)</f>
        <v>0</v>
      </c>
      <c r="U83" s="27">
        <f>IF(Pagoinversiones!H74&gt;0,$Q83,T83)</f>
        <v>0</v>
      </c>
      <c r="V83" s="27">
        <f>IF(Pagoinversiones!I74&gt;0,$Q83,U83)</f>
        <v>0</v>
      </c>
      <c r="W83" s="27">
        <f>IF(Pagoinversiones!J74&gt;0,$Q83,V83)</f>
        <v>0</v>
      </c>
      <c r="X83" s="27">
        <f>IF(Pagoinversiones!K74&gt;0,$Q83,W83)</f>
        <v>0</v>
      </c>
      <c r="Y83" s="27">
        <f>IF(Pagoinversiones!L74&gt;0,$Q83,X83)</f>
        <v>0</v>
      </c>
      <c r="Z83" s="27">
        <f>IF(Pagoinversiones!M74&gt;0,$Q83,Y83)</f>
        <v>0</v>
      </c>
      <c r="AA83" s="27">
        <f>IF(Pagoinversiones!N74&gt;0,$Q83,Z83)</f>
        <v>0</v>
      </c>
      <c r="AB83" s="27">
        <f>IF(Pagoinversiones!O74&gt;0,$Q83,AA83)</f>
        <v>0</v>
      </c>
      <c r="AC83" s="27">
        <f>IF(Pagoinversiones!P74&gt;0,$Q83,AB83)</f>
        <v>0</v>
      </c>
      <c r="AD83" s="27">
        <f t="shared" si="23"/>
        <v>0</v>
      </c>
      <c r="AE83" s="27">
        <f t="shared" si="24"/>
        <v>0</v>
      </c>
      <c r="AF83" s="27">
        <f t="shared" si="25"/>
        <v>0</v>
      </c>
      <c r="AG83" s="27">
        <f t="shared" si="26"/>
        <v>0</v>
      </c>
      <c r="AH83" s="27">
        <f t="shared" si="27"/>
        <v>0</v>
      </c>
      <c r="AI83" s="27">
        <f t="shared" si="28"/>
        <v>0</v>
      </c>
      <c r="AJ83" s="27">
        <f t="shared" si="29"/>
        <v>0</v>
      </c>
      <c r="AK83" s="27">
        <f t="shared" si="28"/>
        <v>0</v>
      </c>
      <c r="AL83" s="27">
        <f t="shared" si="30"/>
        <v>0</v>
      </c>
      <c r="AM83" s="27">
        <f t="shared" si="19"/>
        <v>0</v>
      </c>
      <c r="AN83" s="27">
        <f t="shared" si="31"/>
        <v>0</v>
      </c>
      <c r="AO83" s="27">
        <f t="shared" si="32"/>
        <v>0</v>
      </c>
      <c r="AP83" s="27">
        <f t="shared" si="33"/>
        <v>0</v>
      </c>
      <c r="AR83" s="27">
        <f t="shared" si="34"/>
        <v>0</v>
      </c>
      <c r="AS83" s="27">
        <f t="shared" si="41"/>
        <v>0</v>
      </c>
      <c r="AT83" s="27">
        <f>IF(Pagoinversiones!I134&gt;0,$AS83,0)</f>
        <v>0</v>
      </c>
      <c r="AU83" s="27">
        <f>IF(Pagoinversiones!J134&gt;0,$AS83,AT83)</f>
        <v>0</v>
      </c>
      <c r="AV83" s="27">
        <f>IF(Pagoinversiones!K134&gt;0,$AS83,AU83)</f>
        <v>0</v>
      </c>
      <c r="AW83" s="27">
        <f>IF(Pagoinversiones!L134&gt;0,$AS83,AV83)</f>
        <v>0</v>
      </c>
      <c r="AX83" s="27">
        <f>IF(Pagoinversiones!M134&gt;0,$AS83,AW83)</f>
        <v>0</v>
      </c>
      <c r="AY83" s="27">
        <f>IF(Pagoinversiones!N134&gt;0,$AS83,AX83)</f>
        <v>0</v>
      </c>
      <c r="AZ83" s="27">
        <f>IF(Pagoinversiones!O134&gt;0,$AS83,AY83)</f>
        <v>0</v>
      </c>
      <c r="BA83" s="27">
        <f>IF(Pagoinversiones!P134&gt;0,$AS83,AZ83)</f>
        <v>0</v>
      </c>
      <c r="BB83" s="27">
        <f>IF(Pagoinversiones!Q134&gt;0,$AS83,BA83)</f>
        <v>0</v>
      </c>
      <c r="BC83" s="27">
        <f>IF(Pagoinversiones!R134&gt;0,$AS83,BB83)</f>
        <v>0</v>
      </c>
      <c r="BD83" s="27">
        <f>IF(Pagoinversiones!S134&gt;0,$AS83,BC83)</f>
        <v>0</v>
      </c>
      <c r="BE83" s="27">
        <f>IF(Pagoinversiones!T134&gt;0,$AS83,BD83)</f>
        <v>0</v>
      </c>
      <c r="BF83" s="27">
        <f t="shared" si="35"/>
        <v>0</v>
      </c>
      <c r="BG83" s="27">
        <f t="shared" si="42"/>
        <v>0</v>
      </c>
      <c r="BH83" s="27">
        <f t="shared" si="43"/>
        <v>0</v>
      </c>
      <c r="BI83" s="27">
        <f t="shared" si="44"/>
        <v>0</v>
      </c>
      <c r="BJ83" s="27">
        <f t="shared" si="45"/>
        <v>0</v>
      </c>
      <c r="BK83" s="27">
        <f t="shared" si="36"/>
        <v>0</v>
      </c>
      <c r="BL83" s="27">
        <f t="shared" si="46"/>
        <v>0</v>
      </c>
      <c r="BM83" s="27">
        <f t="shared" si="36"/>
        <v>0</v>
      </c>
      <c r="BN83" s="27">
        <f t="shared" si="37"/>
        <v>0</v>
      </c>
      <c r="BO83" s="27">
        <f t="shared" si="20"/>
        <v>0</v>
      </c>
      <c r="BP83" s="27">
        <f t="shared" si="38"/>
        <v>0</v>
      </c>
      <c r="BQ83" s="27">
        <f t="shared" si="39"/>
        <v>0</v>
      </c>
      <c r="BR83" s="27">
        <f t="shared" si="40"/>
        <v>0</v>
      </c>
      <c r="BS83" s="61"/>
    </row>
    <row r="84" spans="2:71" s="27" customFormat="1" ht="11.25" hidden="1" x14ac:dyDescent="0.2">
      <c r="B84" s="60"/>
      <c r="C84" s="27">
        <f>SANDBOX!D179</f>
        <v>0</v>
      </c>
      <c r="D84" s="27">
        <f>SANDBOX!F179</f>
        <v>0</v>
      </c>
      <c r="E84" s="27">
        <f>Pagoinversiones!H135</f>
        <v>0</v>
      </c>
      <c r="F84" s="27" t="str">
        <f>SANDBOX!G179</f>
        <v>CASH</v>
      </c>
      <c r="G84" s="27">
        <f>+SUMIF(Amortizaciones!F84:F89,SB!$C$156,Amortizaciones!D84:D89)</f>
        <v>0</v>
      </c>
      <c r="H84" s="27">
        <f>+SUMIF(F84:F89,SB!$C$157,D84:D89)</f>
        <v>0</v>
      </c>
      <c r="I84" s="27">
        <f>SUM(G84:H84)</f>
        <v>0</v>
      </c>
      <c r="J84" s="27">
        <f t="shared" ref="J84:J89" si="53">+IF(F84=$G$59,O$112,O$120)</f>
        <v>10</v>
      </c>
      <c r="K84" s="27">
        <f t="shared" si="21"/>
        <v>120</v>
      </c>
      <c r="L84" s="27">
        <f t="shared" ref="L84:L89" si="54">+IF(F84=$G$59,(D84*P$112),(E84*P$120))</f>
        <v>0</v>
      </c>
      <c r="P84" s="27">
        <f t="shared" si="18"/>
        <v>0</v>
      </c>
      <c r="Q84" s="27">
        <f t="shared" si="22"/>
        <v>0</v>
      </c>
      <c r="R84" s="27">
        <f>IF(Pagoinversiones!E76&gt;0,$Q84,0)</f>
        <v>0</v>
      </c>
      <c r="S84" s="27">
        <f>IF(Pagoinversiones!F76&gt;0,$Q84,R84)</f>
        <v>0</v>
      </c>
      <c r="T84" s="27">
        <f>IF(Pagoinversiones!G76&gt;0,$Q84,S84)</f>
        <v>0</v>
      </c>
      <c r="U84" s="27">
        <f>IF(Pagoinversiones!H76&gt;0,$Q84,T84)</f>
        <v>0</v>
      </c>
      <c r="V84" s="27">
        <f>IF(Pagoinversiones!I76&gt;0,$Q84,U84)</f>
        <v>0</v>
      </c>
      <c r="W84" s="27">
        <f>IF(Pagoinversiones!J76&gt;0,$Q84,V84)</f>
        <v>0</v>
      </c>
      <c r="X84" s="27">
        <f>IF(Pagoinversiones!K76&gt;0,$Q84,W84)</f>
        <v>0</v>
      </c>
      <c r="Y84" s="27">
        <f>IF(Pagoinversiones!L76&gt;0,$Q84,X84)</f>
        <v>0</v>
      </c>
      <c r="Z84" s="27">
        <f>IF(Pagoinversiones!M76&gt;0,$Q84,Y84)</f>
        <v>0</v>
      </c>
      <c r="AA84" s="27">
        <f>IF(Pagoinversiones!N76&gt;0,$Q84,Z84)</f>
        <v>0</v>
      </c>
      <c r="AB84" s="27">
        <f>IF(Pagoinversiones!O76&gt;0,$Q84,AA84)</f>
        <v>0</v>
      </c>
      <c r="AC84" s="27">
        <f>IF(Pagoinversiones!P76&gt;0,$Q84,AB84)</f>
        <v>0</v>
      </c>
      <c r="AD84" s="27">
        <f t="shared" si="23"/>
        <v>0</v>
      </c>
      <c r="AE84" s="27">
        <f t="shared" si="24"/>
        <v>0</v>
      </c>
      <c r="AF84" s="27">
        <f t="shared" si="25"/>
        <v>0</v>
      </c>
      <c r="AG84" s="27">
        <f t="shared" si="26"/>
        <v>0</v>
      </c>
      <c r="AH84" s="27">
        <f t="shared" si="27"/>
        <v>0</v>
      </c>
      <c r="AI84" s="27">
        <f t="shared" si="28"/>
        <v>0</v>
      </c>
      <c r="AJ84" s="27">
        <f t="shared" si="29"/>
        <v>0</v>
      </c>
      <c r="AK84" s="27">
        <f t="shared" si="28"/>
        <v>0</v>
      </c>
      <c r="AL84" s="27">
        <f t="shared" si="30"/>
        <v>0</v>
      </c>
      <c r="AM84" s="27">
        <f t="shared" si="19"/>
        <v>0</v>
      </c>
      <c r="AN84" s="27">
        <f t="shared" si="31"/>
        <v>0</v>
      </c>
      <c r="AO84" s="27">
        <f t="shared" si="32"/>
        <v>0</v>
      </c>
      <c r="AP84" s="27">
        <f t="shared" si="33"/>
        <v>0</v>
      </c>
      <c r="AR84" s="27">
        <f t="shared" si="34"/>
        <v>0</v>
      </c>
      <c r="AS84" s="27">
        <f t="shared" si="41"/>
        <v>0</v>
      </c>
      <c r="AT84" s="27">
        <f>IF(Pagoinversiones!I135&gt;0,$AS84,0)</f>
        <v>0</v>
      </c>
      <c r="AU84" s="27">
        <f>IF(Pagoinversiones!J135&gt;0,$AS84,AT84)</f>
        <v>0</v>
      </c>
      <c r="AV84" s="27">
        <f>IF(Pagoinversiones!K135&gt;0,$AS84,AU84)</f>
        <v>0</v>
      </c>
      <c r="AW84" s="27">
        <f>IF(Pagoinversiones!L135&gt;0,$AS84,AV84)</f>
        <v>0</v>
      </c>
      <c r="AX84" s="27">
        <f>IF(Pagoinversiones!M135&gt;0,$AS84,AW84)</f>
        <v>0</v>
      </c>
      <c r="AY84" s="27">
        <f>IF(Pagoinversiones!N135&gt;0,$AS84,AX84)</f>
        <v>0</v>
      </c>
      <c r="AZ84" s="27">
        <f>IF(Pagoinversiones!O135&gt;0,$AS84,AY84)</f>
        <v>0</v>
      </c>
      <c r="BA84" s="27">
        <f>IF(Pagoinversiones!P135&gt;0,$AS84,AZ84)</f>
        <v>0</v>
      </c>
      <c r="BB84" s="27">
        <f>IF(Pagoinversiones!Q135&gt;0,$AS84,BA84)</f>
        <v>0</v>
      </c>
      <c r="BC84" s="27">
        <f>IF(Pagoinversiones!R135&gt;0,$AS84,BB84)</f>
        <v>0</v>
      </c>
      <c r="BD84" s="27">
        <f>IF(Pagoinversiones!S135&gt;0,$AS84,BC84)</f>
        <v>0</v>
      </c>
      <c r="BE84" s="27">
        <f>IF(Pagoinversiones!T135&gt;0,$AS84,BD84)</f>
        <v>0</v>
      </c>
      <c r="BF84" s="27">
        <f t="shared" si="35"/>
        <v>0</v>
      </c>
      <c r="BG84" s="27">
        <f t="shared" si="42"/>
        <v>0</v>
      </c>
      <c r="BH84" s="27">
        <f t="shared" si="43"/>
        <v>0</v>
      </c>
      <c r="BI84" s="27">
        <f t="shared" si="44"/>
        <v>0</v>
      </c>
      <c r="BJ84" s="27">
        <f t="shared" si="45"/>
        <v>0</v>
      </c>
      <c r="BK84" s="27">
        <f t="shared" si="36"/>
        <v>0</v>
      </c>
      <c r="BL84" s="27">
        <f t="shared" si="46"/>
        <v>0</v>
      </c>
      <c r="BM84" s="27">
        <f t="shared" si="36"/>
        <v>0</v>
      </c>
      <c r="BN84" s="27">
        <f t="shared" si="37"/>
        <v>0</v>
      </c>
      <c r="BO84" s="27">
        <f t="shared" si="20"/>
        <v>0</v>
      </c>
      <c r="BP84" s="27">
        <f t="shared" si="38"/>
        <v>0</v>
      </c>
      <c r="BQ84" s="27">
        <f t="shared" si="39"/>
        <v>0</v>
      </c>
      <c r="BR84" s="27">
        <f t="shared" si="40"/>
        <v>0</v>
      </c>
      <c r="BS84" s="61"/>
    </row>
    <row r="85" spans="2:71" s="27" customFormat="1" ht="11.25" hidden="1" x14ac:dyDescent="0.2">
      <c r="B85" s="60"/>
      <c r="C85" s="27">
        <f>SANDBOX!D180</f>
        <v>0</v>
      </c>
      <c r="D85" s="27">
        <f>SANDBOX!F180</f>
        <v>0</v>
      </c>
      <c r="E85" s="27">
        <f>Pagoinversiones!H136</f>
        <v>0</v>
      </c>
      <c r="F85" s="27" t="str">
        <f>SANDBOX!G180</f>
        <v>CASH</v>
      </c>
      <c r="J85" s="27">
        <f t="shared" si="53"/>
        <v>10</v>
      </c>
      <c r="K85" s="27">
        <f t="shared" si="21"/>
        <v>120</v>
      </c>
      <c r="L85" s="27">
        <f t="shared" si="54"/>
        <v>0</v>
      </c>
      <c r="P85" s="27">
        <f t="shared" si="18"/>
        <v>0</v>
      </c>
      <c r="Q85" s="27">
        <f t="shared" si="22"/>
        <v>0</v>
      </c>
      <c r="R85" s="27">
        <f>IF(Pagoinversiones!E77&gt;0,$Q85,0)</f>
        <v>0</v>
      </c>
      <c r="S85" s="27">
        <f>IF(Pagoinversiones!F77&gt;0,$Q85,R85)</f>
        <v>0</v>
      </c>
      <c r="T85" s="27">
        <f>IF(Pagoinversiones!G77&gt;0,$Q85,S85)</f>
        <v>0</v>
      </c>
      <c r="U85" s="27">
        <f>IF(Pagoinversiones!H77&gt;0,$Q85,T85)</f>
        <v>0</v>
      </c>
      <c r="V85" s="27">
        <f>IF(Pagoinversiones!I77&gt;0,$Q85,U85)</f>
        <v>0</v>
      </c>
      <c r="W85" s="27">
        <f>IF(Pagoinversiones!J77&gt;0,$Q85,V85)</f>
        <v>0</v>
      </c>
      <c r="X85" s="27">
        <f>IF(Pagoinversiones!K77&gt;0,$Q85,W85)</f>
        <v>0</v>
      </c>
      <c r="Y85" s="27">
        <f>IF(Pagoinversiones!L77&gt;0,$Q85,X85)</f>
        <v>0</v>
      </c>
      <c r="Z85" s="27">
        <f>IF(Pagoinversiones!M77&gt;0,$Q85,Y85)</f>
        <v>0</v>
      </c>
      <c r="AA85" s="27">
        <f>IF(Pagoinversiones!N77&gt;0,$Q85,Z85)</f>
        <v>0</v>
      </c>
      <c r="AB85" s="27">
        <f>IF(Pagoinversiones!O77&gt;0,$Q85,AA85)</f>
        <v>0</v>
      </c>
      <c r="AC85" s="27">
        <f>IF(Pagoinversiones!P77&gt;0,$Q85,AB85)</f>
        <v>0</v>
      </c>
      <c r="AD85" s="27">
        <f t="shared" si="23"/>
        <v>0</v>
      </c>
      <c r="AE85" s="27">
        <f t="shared" si="24"/>
        <v>0</v>
      </c>
      <c r="AF85" s="27">
        <f t="shared" si="25"/>
        <v>0</v>
      </c>
      <c r="AG85" s="27">
        <f t="shared" si="26"/>
        <v>0</v>
      </c>
      <c r="AH85" s="27">
        <f t="shared" si="27"/>
        <v>0</v>
      </c>
      <c r="AI85" s="27">
        <f t="shared" si="28"/>
        <v>0</v>
      </c>
      <c r="AJ85" s="27">
        <f t="shared" si="29"/>
        <v>0</v>
      </c>
      <c r="AK85" s="27">
        <f t="shared" si="28"/>
        <v>0</v>
      </c>
      <c r="AL85" s="27">
        <f t="shared" si="30"/>
        <v>0</v>
      </c>
      <c r="AM85" s="27">
        <f t="shared" si="19"/>
        <v>0</v>
      </c>
      <c r="AN85" s="27">
        <f t="shared" si="31"/>
        <v>0</v>
      </c>
      <c r="AO85" s="27">
        <f t="shared" si="32"/>
        <v>0</v>
      </c>
      <c r="AP85" s="27">
        <f t="shared" si="33"/>
        <v>0</v>
      </c>
      <c r="AR85" s="27">
        <f t="shared" si="34"/>
        <v>0</v>
      </c>
      <c r="AS85" s="27">
        <f t="shared" si="41"/>
        <v>0</v>
      </c>
      <c r="AT85" s="27">
        <f>IF(Pagoinversiones!I136&gt;0,$AS85,0)</f>
        <v>0</v>
      </c>
      <c r="AU85" s="27">
        <f>IF(Pagoinversiones!J136&gt;0,$AS85,AT85)</f>
        <v>0</v>
      </c>
      <c r="AV85" s="27">
        <f>IF(Pagoinversiones!K136&gt;0,$AS85,AU85)</f>
        <v>0</v>
      </c>
      <c r="AW85" s="27">
        <f>IF(Pagoinversiones!L136&gt;0,$AS85,AV85)</f>
        <v>0</v>
      </c>
      <c r="AX85" s="27">
        <f>IF(Pagoinversiones!M136&gt;0,$AS85,AW85)</f>
        <v>0</v>
      </c>
      <c r="AY85" s="27">
        <f>IF(Pagoinversiones!N136&gt;0,$AS85,AX85)</f>
        <v>0</v>
      </c>
      <c r="AZ85" s="27">
        <f>IF(Pagoinversiones!O136&gt;0,$AS85,AY85)</f>
        <v>0</v>
      </c>
      <c r="BA85" s="27">
        <f>IF(Pagoinversiones!P136&gt;0,$AS85,AZ85)</f>
        <v>0</v>
      </c>
      <c r="BB85" s="27">
        <f>IF(Pagoinversiones!Q136&gt;0,$AS85,BA85)</f>
        <v>0</v>
      </c>
      <c r="BC85" s="27">
        <f>IF(Pagoinversiones!R136&gt;0,$AS85,BB85)</f>
        <v>0</v>
      </c>
      <c r="BD85" s="27">
        <f>IF(Pagoinversiones!S136&gt;0,$AS85,BC85)</f>
        <v>0</v>
      </c>
      <c r="BE85" s="27">
        <f>IF(Pagoinversiones!T136&gt;0,$AS85,BD85)</f>
        <v>0</v>
      </c>
      <c r="BF85" s="27">
        <f t="shared" si="35"/>
        <v>0</v>
      </c>
      <c r="BG85" s="27">
        <f t="shared" si="42"/>
        <v>0</v>
      </c>
      <c r="BH85" s="27">
        <f t="shared" si="43"/>
        <v>0</v>
      </c>
      <c r="BI85" s="27">
        <f t="shared" si="44"/>
        <v>0</v>
      </c>
      <c r="BJ85" s="27">
        <f t="shared" si="45"/>
        <v>0</v>
      </c>
      <c r="BK85" s="27">
        <f t="shared" si="36"/>
        <v>0</v>
      </c>
      <c r="BL85" s="27">
        <f t="shared" si="46"/>
        <v>0</v>
      </c>
      <c r="BM85" s="27">
        <f t="shared" si="36"/>
        <v>0</v>
      </c>
      <c r="BN85" s="27">
        <f t="shared" si="37"/>
        <v>0</v>
      </c>
      <c r="BO85" s="27">
        <f t="shared" si="20"/>
        <v>0</v>
      </c>
      <c r="BP85" s="27">
        <f t="shared" si="38"/>
        <v>0</v>
      </c>
      <c r="BQ85" s="27">
        <f t="shared" si="39"/>
        <v>0</v>
      </c>
      <c r="BR85" s="27">
        <f t="shared" si="40"/>
        <v>0</v>
      </c>
      <c r="BS85" s="61"/>
    </row>
    <row r="86" spans="2:71" s="27" customFormat="1" ht="11.25" hidden="1" x14ac:dyDescent="0.2">
      <c r="B86" s="60"/>
      <c r="C86" s="27">
        <f>SANDBOX!D181</f>
        <v>0</v>
      </c>
      <c r="D86" s="27">
        <f>SANDBOX!F181</f>
        <v>0</v>
      </c>
      <c r="E86" s="27">
        <f>Pagoinversiones!H137</f>
        <v>0</v>
      </c>
      <c r="F86" s="27" t="str">
        <f>SANDBOX!G181</f>
        <v>CASH</v>
      </c>
      <c r="J86" s="27">
        <f t="shared" si="53"/>
        <v>10</v>
      </c>
      <c r="K86" s="27">
        <f t="shared" si="21"/>
        <v>120</v>
      </c>
      <c r="L86" s="27">
        <f t="shared" si="54"/>
        <v>0</v>
      </c>
      <c r="P86" s="27">
        <f t="shared" si="18"/>
        <v>0</v>
      </c>
      <c r="Q86" s="27">
        <f t="shared" si="22"/>
        <v>0</v>
      </c>
      <c r="R86" s="27">
        <f>IF(Pagoinversiones!E78&gt;0,$Q86,0)</f>
        <v>0</v>
      </c>
      <c r="S86" s="27">
        <f>IF(Pagoinversiones!F78&gt;0,$Q86,R86)</f>
        <v>0</v>
      </c>
      <c r="T86" s="27">
        <f>IF(Pagoinversiones!G78&gt;0,$Q86,S86)</f>
        <v>0</v>
      </c>
      <c r="U86" s="27">
        <f>IF(Pagoinversiones!H78&gt;0,$Q86,T86)</f>
        <v>0</v>
      </c>
      <c r="V86" s="27">
        <f>IF(Pagoinversiones!I78&gt;0,$Q86,U86)</f>
        <v>0</v>
      </c>
      <c r="W86" s="27">
        <f>IF(Pagoinversiones!J78&gt;0,$Q86,V86)</f>
        <v>0</v>
      </c>
      <c r="X86" s="27">
        <f>IF(Pagoinversiones!K78&gt;0,$Q86,W86)</f>
        <v>0</v>
      </c>
      <c r="Y86" s="27">
        <f>IF(Pagoinversiones!L78&gt;0,$Q86,X86)</f>
        <v>0</v>
      </c>
      <c r="Z86" s="27">
        <f>IF(Pagoinversiones!M78&gt;0,$Q86,Y86)</f>
        <v>0</v>
      </c>
      <c r="AA86" s="27">
        <f>IF(Pagoinversiones!N78&gt;0,$Q86,Z86)</f>
        <v>0</v>
      </c>
      <c r="AB86" s="27">
        <f>IF(Pagoinversiones!O78&gt;0,$Q86,AA86)</f>
        <v>0</v>
      </c>
      <c r="AC86" s="27">
        <f>IF(Pagoinversiones!P78&gt;0,$Q86,AB86)</f>
        <v>0</v>
      </c>
      <c r="AD86" s="27">
        <f t="shared" si="23"/>
        <v>0</v>
      </c>
      <c r="AE86" s="27">
        <f t="shared" si="24"/>
        <v>0</v>
      </c>
      <c r="AF86" s="27">
        <f t="shared" si="25"/>
        <v>0</v>
      </c>
      <c r="AG86" s="27">
        <f t="shared" si="26"/>
        <v>0</v>
      </c>
      <c r="AH86" s="27">
        <f t="shared" si="27"/>
        <v>0</v>
      </c>
      <c r="AI86" s="27">
        <f t="shared" si="28"/>
        <v>0</v>
      </c>
      <c r="AJ86" s="27">
        <f t="shared" si="29"/>
        <v>0</v>
      </c>
      <c r="AK86" s="27">
        <f t="shared" si="28"/>
        <v>0</v>
      </c>
      <c r="AL86" s="27">
        <f t="shared" si="30"/>
        <v>0</v>
      </c>
      <c r="AM86" s="27">
        <f t="shared" si="19"/>
        <v>0</v>
      </c>
      <c r="AN86" s="27">
        <f t="shared" si="31"/>
        <v>0</v>
      </c>
      <c r="AO86" s="27">
        <f t="shared" si="32"/>
        <v>0</v>
      </c>
      <c r="AP86" s="27">
        <f t="shared" si="33"/>
        <v>0</v>
      </c>
      <c r="AR86" s="27">
        <f t="shared" si="34"/>
        <v>0</v>
      </c>
      <c r="AS86" s="27">
        <f t="shared" si="41"/>
        <v>0</v>
      </c>
      <c r="AT86" s="27">
        <f>IF(Pagoinversiones!I137&gt;0,$AS86,0)</f>
        <v>0</v>
      </c>
      <c r="AU86" s="27">
        <f>IF(Pagoinversiones!J137&gt;0,$AS86,AT86)</f>
        <v>0</v>
      </c>
      <c r="AV86" s="27">
        <f>IF(Pagoinversiones!K137&gt;0,$AS86,AU86)</f>
        <v>0</v>
      </c>
      <c r="AW86" s="27">
        <f>IF(Pagoinversiones!L137&gt;0,$AS86,AV86)</f>
        <v>0</v>
      </c>
      <c r="AX86" s="27">
        <f>IF(Pagoinversiones!M137&gt;0,$AS86,AW86)</f>
        <v>0</v>
      </c>
      <c r="AY86" s="27">
        <f>IF(Pagoinversiones!N137&gt;0,$AS86,AX86)</f>
        <v>0</v>
      </c>
      <c r="AZ86" s="27">
        <f>IF(Pagoinversiones!O137&gt;0,$AS86,AY86)</f>
        <v>0</v>
      </c>
      <c r="BA86" s="27">
        <f>IF(Pagoinversiones!P137&gt;0,$AS86,AZ86)</f>
        <v>0</v>
      </c>
      <c r="BB86" s="27">
        <f>IF(Pagoinversiones!Q137&gt;0,$AS86,BA86)</f>
        <v>0</v>
      </c>
      <c r="BC86" s="27">
        <f>IF(Pagoinversiones!R137&gt;0,$AS86,BB86)</f>
        <v>0</v>
      </c>
      <c r="BD86" s="27">
        <f>IF(Pagoinversiones!S137&gt;0,$AS86,BC86)</f>
        <v>0</v>
      </c>
      <c r="BE86" s="27">
        <f>IF(Pagoinversiones!T137&gt;0,$AS86,BD86)</f>
        <v>0</v>
      </c>
      <c r="BF86" s="27">
        <f t="shared" si="35"/>
        <v>0</v>
      </c>
      <c r="BG86" s="27">
        <f t="shared" si="42"/>
        <v>0</v>
      </c>
      <c r="BH86" s="27">
        <f t="shared" si="43"/>
        <v>0</v>
      </c>
      <c r="BI86" s="27">
        <f t="shared" si="44"/>
        <v>0</v>
      </c>
      <c r="BJ86" s="27">
        <f t="shared" si="45"/>
        <v>0</v>
      </c>
      <c r="BK86" s="27">
        <f t="shared" si="36"/>
        <v>0</v>
      </c>
      <c r="BL86" s="27">
        <f t="shared" si="46"/>
        <v>0</v>
      </c>
      <c r="BM86" s="27">
        <f t="shared" si="36"/>
        <v>0</v>
      </c>
      <c r="BN86" s="27">
        <f t="shared" si="37"/>
        <v>0</v>
      </c>
      <c r="BO86" s="27">
        <f t="shared" si="20"/>
        <v>0</v>
      </c>
      <c r="BP86" s="27">
        <f t="shared" si="38"/>
        <v>0</v>
      </c>
      <c r="BQ86" s="27">
        <f t="shared" si="39"/>
        <v>0</v>
      </c>
      <c r="BR86" s="27">
        <f t="shared" si="40"/>
        <v>0</v>
      </c>
      <c r="BS86" s="61"/>
    </row>
    <row r="87" spans="2:71" s="27" customFormat="1" ht="11.25" hidden="1" x14ac:dyDescent="0.2">
      <c r="B87" s="60"/>
      <c r="C87" s="27">
        <f>SANDBOX!D182</f>
        <v>0</v>
      </c>
      <c r="D87" s="27">
        <f>SANDBOX!F182</f>
        <v>0</v>
      </c>
      <c r="E87" s="27">
        <f>Pagoinversiones!H138</f>
        <v>0</v>
      </c>
      <c r="F87" s="27" t="str">
        <f>SANDBOX!G182</f>
        <v>CASH</v>
      </c>
      <c r="J87" s="27">
        <f t="shared" si="53"/>
        <v>10</v>
      </c>
      <c r="K87" s="27">
        <f t="shared" si="21"/>
        <v>120</v>
      </c>
      <c r="L87" s="27">
        <f t="shared" si="54"/>
        <v>0</v>
      </c>
      <c r="P87" s="27">
        <f t="shared" si="18"/>
        <v>0</v>
      </c>
      <c r="Q87" s="27">
        <f t="shared" si="22"/>
        <v>0</v>
      </c>
      <c r="R87" s="27">
        <f>IF(Pagoinversiones!E79&gt;0,$Q87,0)</f>
        <v>0</v>
      </c>
      <c r="S87" s="27">
        <f>IF(Pagoinversiones!F79&gt;0,$Q87,R87)</f>
        <v>0</v>
      </c>
      <c r="T87" s="27">
        <f>IF(Pagoinversiones!G79&gt;0,$Q87,S87)</f>
        <v>0</v>
      </c>
      <c r="U87" s="27">
        <f>IF(Pagoinversiones!H79&gt;0,$Q87,T87)</f>
        <v>0</v>
      </c>
      <c r="V87" s="27">
        <f>IF(Pagoinversiones!I79&gt;0,$Q87,U87)</f>
        <v>0</v>
      </c>
      <c r="W87" s="27">
        <f>IF(Pagoinversiones!J79&gt;0,$Q87,V87)</f>
        <v>0</v>
      </c>
      <c r="X87" s="27">
        <f>IF(Pagoinversiones!K79&gt;0,$Q87,W87)</f>
        <v>0</v>
      </c>
      <c r="Y87" s="27">
        <f>IF(Pagoinversiones!L79&gt;0,$Q87,X87)</f>
        <v>0</v>
      </c>
      <c r="Z87" s="27">
        <f>IF(Pagoinversiones!M79&gt;0,$Q87,Y87)</f>
        <v>0</v>
      </c>
      <c r="AA87" s="27">
        <f>IF(Pagoinversiones!N79&gt;0,$Q87,Z87)</f>
        <v>0</v>
      </c>
      <c r="AB87" s="27">
        <f>IF(Pagoinversiones!O79&gt;0,$Q87,AA87)</f>
        <v>0</v>
      </c>
      <c r="AC87" s="27">
        <f>IF(Pagoinversiones!P79&gt;0,$Q87,AB87)</f>
        <v>0</v>
      </c>
      <c r="AD87" s="27">
        <f t="shared" si="23"/>
        <v>0</v>
      </c>
      <c r="AE87" s="27">
        <f t="shared" si="24"/>
        <v>0</v>
      </c>
      <c r="AF87" s="27">
        <f t="shared" si="25"/>
        <v>0</v>
      </c>
      <c r="AG87" s="27">
        <f t="shared" si="26"/>
        <v>0</v>
      </c>
      <c r="AH87" s="27">
        <f t="shared" si="27"/>
        <v>0</v>
      </c>
      <c r="AI87" s="27">
        <f t="shared" si="28"/>
        <v>0</v>
      </c>
      <c r="AJ87" s="27">
        <f t="shared" si="29"/>
        <v>0</v>
      </c>
      <c r="AK87" s="27">
        <f t="shared" si="28"/>
        <v>0</v>
      </c>
      <c r="AL87" s="27">
        <f t="shared" si="30"/>
        <v>0</v>
      </c>
      <c r="AM87" s="27">
        <f t="shared" si="19"/>
        <v>0</v>
      </c>
      <c r="AN87" s="27">
        <f t="shared" si="31"/>
        <v>0</v>
      </c>
      <c r="AO87" s="27">
        <f t="shared" si="32"/>
        <v>0</v>
      </c>
      <c r="AP87" s="27">
        <f t="shared" si="33"/>
        <v>0</v>
      </c>
      <c r="AR87" s="27">
        <f t="shared" si="34"/>
        <v>0</v>
      </c>
      <c r="AS87" s="27">
        <f t="shared" si="41"/>
        <v>0</v>
      </c>
      <c r="AT87" s="27">
        <f>IF(Pagoinversiones!I138&gt;0,$AS87,0)</f>
        <v>0</v>
      </c>
      <c r="AU87" s="27">
        <f>IF(Pagoinversiones!J138&gt;0,$AS87,AT87)</f>
        <v>0</v>
      </c>
      <c r="AV87" s="27">
        <f>IF(Pagoinversiones!K138&gt;0,$AS87,AU87)</f>
        <v>0</v>
      </c>
      <c r="AW87" s="27">
        <f>IF(Pagoinversiones!L138&gt;0,$AS87,AV87)</f>
        <v>0</v>
      </c>
      <c r="AX87" s="27">
        <f>IF(Pagoinversiones!M138&gt;0,$AS87,AW87)</f>
        <v>0</v>
      </c>
      <c r="AY87" s="27">
        <f>IF(Pagoinversiones!N138&gt;0,$AS87,AX87)</f>
        <v>0</v>
      </c>
      <c r="AZ87" s="27">
        <f>IF(Pagoinversiones!O138&gt;0,$AS87,AY87)</f>
        <v>0</v>
      </c>
      <c r="BA87" s="27">
        <f>IF(Pagoinversiones!P138&gt;0,$AS87,AZ87)</f>
        <v>0</v>
      </c>
      <c r="BB87" s="27">
        <f>IF(Pagoinversiones!Q138&gt;0,$AS87,BA87)</f>
        <v>0</v>
      </c>
      <c r="BC87" s="27">
        <f>IF(Pagoinversiones!R138&gt;0,$AS87,BB87)</f>
        <v>0</v>
      </c>
      <c r="BD87" s="27">
        <f>IF(Pagoinversiones!S138&gt;0,$AS87,BC87)</f>
        <v>0</v>
      </c>
      <c r="BE87" s="27">
        <f>IF(Pagoinversiones!T138&gt;0,$AS87,BD87)</f>
        <v>0</v>
      </c>
      <c r="BF87" s="27">
        <f t="shared" si="35"/>
        <v>0</v>
      </c>
      <c r="BG87" s="27">
        <f t="shared" si="42"/>
        <v>0</v>
      </c>
      <c r="BH87" s="27">
        <f t="shared" si="43"/>
        <v>0</v>
      </c>
      <c r="BI87" s="27">
        <f t="shared" si="44"/>
        <v>0</v>
      </c>
      <c r="BJ87" s="27">
        <f t="shared" si="45"/>
        <v>0</v>
      </c>
      <c r="BK87" s="27">
        <f t="shared" si="36"/>
        <v>0</v>
      </c>
      <c r="BL87" s="27">
        <f t="shared" si="46"/>
        <v>0</v>
      </c>
      <c r="BM87" s="27">
        <f t="shared" si="36"/>
        <v>0</v>
      </c>
      <c r="BN87" s="27">
        <f t="shared" si="37"/>
        <v>0</v>
      </c>
      <c r="BO87" s="27">
        <f t="shared" si="20"/>
        <v>0</v>
      </c>
      <c r="BP87" s="27">
        <f t="shared" si="38"/>
        <v>0</v>
      </c>
      <c r="BQ87" s="27">
        <f t="shared" si="39"/>
        <v>0</v>
      </c>
      <c r="BR87" s="27">
        <f t="shared" si="40"/>
        <v>0</v>
      </c>
      <c r="BS87" s="61"/>
    </row>
    <row r="88" spans="2:71" s="27" customFormat="1" ht="11.25" hidden="1" x14ac:dyDescent="0.2">
      <c r="B88" s="60"/>
      <c r="C88" s="27">
        <f>SANDBOX!D183</f>
        <v>0</v>
      </c>
      <c r="D88" s="27">
        <f>SANDBOX!F183</f>
        <v>0</v>
      </c>
      <c r="E88" s="27">
        <f>Pagoinversiones!H139</f>
        <v>0</v>
      </c>
      <c r="F88" s="27" t="str">
        <f>SANDBOX!G183</f>
        <v>CASH</v>
      </c>
      <c r="J88" s="27">
        <f t="shared" si="53"/>
        <v>10</v>
      </c>
      <c r="K88" s="27">
        <f t="shared" si="21"/>
        <v>120</v>
      </c>
      <c r="L88" s="27">
        <f t="shared" si="54"/>
        <v>0</v>
      </c>
      <c r="P88" s="27">
        <f t="shared" si="18"/>
        <v>0</v>
      </c>
      <c r="Q88" s="27">
        <f t="shared" si="22"/>
        <v>0</v>
      </c>
      <c r="R88" s="27">
        <f>IF(Pagoinversiones!E80&gt;0,$Q88,0)</f>
        <v>0</v>
      </c>
      <c r="S88" s="27">
        <f>IF(Pagoinversiones!F80&gt;0,$Q88,R88)</f>
        <v>0</v>
      </c>
      <c r="T88" s="27">
        <f>IF(Pagoinversiones!G80&gt;0,$Q88,S88)</f>
        <v>0</v>
      </c>
      <c r="U88" s="27">
        <f>IF(Pagoinversiones!H80&gt;0,$Q88,T88)</f>
        <v>0</v>
      </c>
      <c r="V88" s="27">
        <f>IF(Pagoinversiones!I80&gt;0,$Q88,U88)</f>
        <v>0</v>
      </c>
      <c r="W88" s="27">
        <f>IF(Pagoinversiones!J80&gt;0,$Q88,V88)</f>
        <v>0</v>
      </c>
      <c r="X88" s="27">
        <f>IF(Pagoinversiones!K80&gt;0,$Q88,W88)</f>
        <v>0</v>
      </c>
      <c r="Y88" s="27">
        <f>IF(Pagoinversiones!L80&gt;0,$Q88,X88)</f>
        <v>0</v>
      </c>
      <c r="Z88" s="27">
        <f>IF(Pagoinversiones!M80&gt;0,$Q88,Y88)</f>
        <v>0</v>
      </c>
      <c r="AA88" s="27">
        <f>IF(Pagoinversiones!N80&gt;0,$Q88,Z88)</f>
        <v>0</v>
      </c>
      <c r="AB88" s="27">
        <f>IF(Pagoinversiones!O80&gt;0,$Q88,AA88)</f>
        <v>0</v>
      </c>
      <c r="AC88" s="27">
        <f>IF(Pagoinversiones!P80&gt;0,$Q88,AB88)</f>
        <v>0</v>
      </c>
      <c r="AD88" s="27">
        <f t="shared" si="23"/>
        <v>0</v>
      </c>
      <c r="AE88" s="27">
        <f t="shared" si="24"/>
        <v>0</v>
      </c>
      <c r="AF88" s="27">
        <f t="shared" si="25"/>
        <v>0</v>
      </c>
      <c r="AG88" s="27">
        <f t="shared" si="26"/>
        <v>0</v>
      </c>
      <c r="AH88" s="27">
        <f t="shared" si="27"/>
        <v>0</v>
      </c>
      <c r="AI88" s="27">
        <f t="shared" si="28"/>
        <v>0</v>
      </c>
      <c r="AJ88" s="27">
        <f t="shared" si="29"/>
        <v>0</v>
      </c>
      <c r="AK88" s="27">
        <f t="shared" si="28"/>
        <v>0</v>
      </c>
      <c r="AL88" s="27">
        <f t="shared" si="30"/>
        <v>0</v>
      </c>
      <c r="AM88" s="27">
        <f t="shared" si="19"/>
        <v>0</v>
      </c>
      <c r="AN88" s="27">
        <f t="shared" si="31"/>
        <v>0</v>
      </c>
      <c r="AO88" s="27">
        <f t="shared" si="32"/>
        <v>0</v>
      </c>
      <c r="AP88" s="27">
        <f t="shared" si="33"/>
        <v>0</v>
      </c>
      <c r="AR88" s="27">
        <f t="shared" si="34"/>
        <v>0</v>
      </c>
      <c r="AS88" s="27">
        <f t="shared" si="41"/>
        <v>0</v>
      </c>
      <c r="AT88" s="27">
        <f>IF(Pagoinversiones!I139&gt;0,$AS88,0)</f>
        <v>0</v>
      </c>
      <c r="AU88" s="27">
        <f>IF(Pagoinversiones!J139&gt;0,$AS88,AT88)</f>
        <v>0</v>
      </c>
      <c r="AV88" s="27">
        <f>IF(Pagoinversiones!K139&gt;0,$AS88,AU88)</f>
        <v>0</v>
      </c>
      <c r="AW88" s="27">
        <f>IF(Pagoinversiones!L139&gt;0,$AS88,AV88)</f>
        <v>0</v>
      </c>
      <c r="AX88" s="27">
        <f>IF(Pagoinversiones!M139&gt;0,$AS88,AW88)</f>
        <v>0</v>
      </c>
      <c r="AY88" s="27">
        <f>IF(Pagoinversiones!N139&gt;0,$AS88,AX88)</f>
        <v>0</v>
      </c>
      <c r="AZ88" s="27">
        <f>IF(Pagoinversiones!O139&gt;0,$AS88,AY88)</f>
        <v>0</v>
      </c>
      <c r="BA88" s="27">
        <f>IF(Pagoinversiones!P139&gt;0,$AS88,AZ88)</f>
        <v>0</v>
      </c>
      <c r="BB88" s="27">
        <f>IF(Pagoinversiones!Q139&gt;0,$AS88,BA88)</f>
        <v>0</v>
      </c>
      <c r="BC88" s="27">
        <f>IF(Pagoinversiones!R139&gt;0,$AS88,BB88)</f>
        <v>0</v>
      </c>
      <c r="BD88" s="27">
        <f>IF(Pagoinversiones!S139&gt;0,$AS88,BC88)</f>
        <v>0</v>
      </c>
      <c r="BE88" s="27">
        <f>IF(Pagoinversiones!T139&gt;0,$AS88,BD88)</f>
        <v>0</v>
      </c>
      <c r="BF88" s="27">
        <f t="shared" si="35"/>
        <v>0</v>
      </c>
      <c r="BG88" s="27">
        <f t="shared" si="42"/>
        <v>0</v>
      </c>
      <c r="BH88" s="27">
        <f t="shared" si="43"/>
        <v>0</v>
      </c>
      <c r="BI88" s="27">
        <f t="shared" si="44"/>
        <v>0</v>
      </c>
      <c r="BJ88" s="27">
        <f t="shared" si="45"/>
        <v>0</v>
      </c>
      <c r="BK88" s="27">
        <f t="shared" si="36"/>
        <v>0</v>
      </c>
      <c r="BL88" s="27">
        <f t="shared" si="46"/>
        <v>0</v>
      </c>
      <c r="BM88" s="27">
        <f t="shared" si="36"/>
        <v>0</v>
      </c>
      <c r="BN88" s="27">
        <f t="shared" si="37"/>
        <v>0</v>
      </c>
      <c r="BO88" s="27">
        <f t="shared" si="20"/>
        <v>0</v>
      </c>
      <c r="BP88" s="27">
        <f t="shared" si="38"/>
        <v>0</v>
      </c>
      <c r="BQ88" s="27">
        <f t="shared" si="39"/>
        <v>0</v>
      </c>
      <c r="BR88" s="27">
        <f t="shared" si="40"/>
        <v>0</v>
      </c>
      <c r="BS88" s="61"/>
    </row>
    <row r="89" spans="2:71" s="27" customFormat="1" ht="11.25" hidden="1" x14ac:dyDescent="0.2">
      <c r="B89" s="60"/>
      <c r="C89" s="27">
        <f>SANDBOX!D184</f>
        <v>0</v>
      </c>
      <c r="D89" s="27">
        <f>SANDBOX!F184</f>
        <v>0</v>
      </c>
      <c r="E89" s="27">
        <f>Pagoinversiones!H140</f>
        <v>0</v>
      </c>
      <c r="F89" s="27" t="str">
        <f>SANDBOX!G184</f>
        <v>CASH</v>
      </c>
      <c r="J89" s="27">
        <f t="shared" si="53"/>
        <v>10</v>
      </c>
      <c r="K89" s="27">
        <f t="shared" si="21"/>
        <v>120</v>
      </c>
      <c r="L89" s="27">
        <f t="shared" si="54"/>
        <v>0</v>
      </c>
      <c r="P89" s="27">
        <f t="shared" si="18"/>
        <v>0</v>
      </c>
      <c r="Q89" s="27">
        <f t="shared" si="22"/>
        <v>0</v>
      </c>
      <c r="R89" s="27">
        <f>IF(Pagoinversiones!E81&gt;0,$Q89,0)</f>
        <v>0</v>
      </c>
      <c r="S89" s="27">
        <f>IF(Pagoinversiones!F81&gt;0,$Q89,R89)</f>
        <v>0</v>
      </c>
      <c r="T89" s="27">
        <f>IF(Pagoinversiones!G81&gt;0,$Q89,S89)</f>
        <v>0</v>
      </c>
      <c r="U89" s="27">
        <f>IF(Pagoinversiones!H81&gt;0,$Q89,T89)</f>
        <v>0</v>
      </c>
      <c r="V89" s="27">
        <f>IF(Pagoinversiones!I81&gt;0,$Q89,U89)</f>
        <v>0</v>
      </c>
      <c r="W89" s="27">
        <f>IF(Pagoinversiones!J81&gt;0,$Q89,V89)</f>
        <v>0</v>
      </c>
      <c r="X89" s="27">
        <f>IF(Pagoinversiones!K81&gt;0,$Q89,W89)</f>
        <v>0</v>
      </c>
      <c r="Y89" s="27">
        <f>IF(Pagoinversiones!L81&gt;0,$Q89,X89)</f>
        <v>0</v>
      </c>
      <c r="Z89" s="27">
        <f>IF(Pagoinversiones!M81&gt;0,$Q89,Y89)</f>
        <v>0</v>
      </c>
      <c r="AA89" s="27">
        <f>IF(Pagoinversiones!N81&gt;0,$Q89,Z89)</f>
        <v>0</v>
      </c>
      <c r="AB89" s="27">
        <f>IF(Pagoinversiones!O81&gt;0,$Q89,AA89)</f>
        <v>0</v>
      </c>
      <c r="AC89" s="27">
        <f>IF(Pagoinversiones!P81&gt;0,$Q89,AB89)</f>
        <v>0</v>
      </c>
      <c r="AD89" s="27">
        <f t="shared" si="23"/>
        <v>0</v>
      </c>
      <c r="AE89" s="27">
        <f t="shared" si="24"/>
        <v>0</v>
      </c>
      <c r="AF89" s="27">
        <f t="shared" si="25"/>
        <v>0</v>
      </c>
      <c r="AG89" s="27">
        <f t="shared" si="26"/>
        <v>0</v>
      </c>
      <c r="AH89" s="27">
        <f t="shared" si="27"/>
        <v>0</v>
      </c>
      <c r="AI89" s="27">
        <f t="shared" si="28"/>
        <v>0</v>
      </c>
      <c r="AJ89" s="27">
        <f t="shared" si="29"/>
        <v>0</v>
      </c>
      <c r="AK89" s="27">
        <f t="shared" si="28"/>
        <v>0</v>
      </c>
      <c r="AL89" s="27">
        <f t="shared" si="30"/>
        <v>0</v>
      </c>
      <c r="AM89" s="27">
        <f t="shared" si="19"/>
        <v>0</v>
      </c>
      <c r="AN89" s="27">
        <f t="shared" si="31"/>
        <v>0</v>
      </c>
      <c r="AO89" s="27">
        <f t="shared" si="32"/>
        <v>0</v>
      </c>
      <c r="AP89" s="27">
        <f t="shared" si="33"/>
        <v>0</v>
      </c>
      <c r="AR89" s="27">
        <f t="shared" si="34"/>
        <v>0</v>
      </c>
      <c r="AS89" s="27">
        <f t="shared" si="41"/>
        <v>0</v>
      </c>
      <c r="AT89" s="27">
        <f>IF(Pagoinversiones!I140&gt;0,$AS89,0)</f>
        <v>0</v>
      </c>
      <c r="AU89" s="27">
        <f>IF(Pagoinversiones!J140&gt;0,$AS89,AT89)</f>
        <v>0</v>
      </c>
      <c r="AV89" s="27">
        <f>IF(Pagoinversiones!K140&gt;0,$AS89,AU89)</f>
        <v>0</v>
      </c>
      <c r="AW89" s="27">
        <f>IF(Pagoinversiones!L140&gt;0,$AS89,AV89)</f>
        <v>0</v>
      </c>
      <c r="AX89" s="27">
        <f>IF(Pagoinversiones!M140&gt;0,$AS89,AW89)</f>
        <v>0</v>
      </c>
      <c r="AY89" s="27">
        <f>IF(Pagoinversiones!N140&gt;0,$AS89,AX89)</f>
        <v>0</v>
      </c>
      <c r="AZ89" s="27">
        <f>IF(Pagoinversiones!O140&gt;0,$AS89,AY89)</f>
        <v>0</v>
      </c>
      <c r="BA89" s="27">
        <f>IF(Pagoinversiones!P140&gt;0,$AS89,AZ89)</f>
        <v>0</v>
      </c>
      <c r="BB89" s="27">
        <f>IF(Pagoinversiones!Q140&gt;0,$AS89,BA89)</f>
        <v>0</v>
      </c>
      <c r="BC89" s="27">
        <f>IF(Pagoinversiones!R140&gt;0,$AS89,BB89)</f>
        <v>0</v>
      </c>
      <c r="BD89" s="27">
        <f>IF(Pagoinversiones!S140&gt;0,$AS89,BC89)</f>
        <v>0</v>
      </c>
      <c r="BE89" s="27">
        <f>IF(Pagoinversiones!T140&gt;0,$AS89,BD89)</f>
        <v>0</v>
      </c>
      <c r="BF89" s="27">
        <f t="shared" si="35"/>
        <v>0</v>
      </c>
      <c r="BG89" s="27">
        <f t="shared" si="42"/>
        <v>0</v>
      </c>
      <c r="BH89" s="27">
        <f t="shared" si="43"/>
        <v>0</v>
      </c>
      <c r="BI89" s="27">
        <f t="shared" si="44"/>
        <v>0</v>
      </c>
      <c r="BJ89" s="27">
        <f t="shared" si="45"/>
        <v>0</v>
      </c>
      <c r="BK89" s="27">
        <f t="shared" si="36"/>
        <v>0</v>
      </c>
      <c r="BL89" s="27">
        <f t="shared" si="46"/>
        <v>0</v>
      </c>
      <c r="BM89" s="27">
        <f t="shared" si="36"/>
        <v>0</v>
      </c>
      <c r="BN89" s="27">
        <f t="shared" si="37"/>
        <v>0</v>
      </c>
      <c r="BO89" s="27">
        <f t="shared" si="20"/>
        <v>0</v>
      </c>
      <c r="BP89" s="27">
        <f t="shared" si="38"/>
        <v>0</v>
      </c>
      <c r="BQ89" s="27">
        <f t="shared" si="39"/>
        <v>0</v>
      </c>
      <c r="BR89" s="27">
        <f t="shared" si="40"/>
        <v>0</v>
      </c>
      <c r="BS89" s="61"/>
    </row>
    <row r="90" spans="2:71" s="27" customFormat="1" ht="11.25" hidden="1" x14ac:dyDescent="0.2">
      <c r="B90" s="60"/>
      <c r="C90" s="27">
        <f>SANDBOX!D186</f>
        <v>0</v>
      </c>
      <c r="D90" s="27">
        <f>SANDBOX!F186</f>
        <v>0</v>
      </c>
      <c r="E90" s="27">
        <f>Pagoinversiones!H141</f>
        <v>0</v>
      </c>
      <c r="F90" s="27" t="str">
        <f>SANDBOX!G186</f>
        <v>CASH</v>
      </c>
      <c r="G90" s="27">
        <f>+SUMIF(Amortizaciones!F90:F95,SB!$C$156,Amortizaciones!D90:D95)</f>
        <v>0</v>
      </c>
      <c r="H90" s="27">
        <f>+SUMIF(F90:F95,SB!$C$157,D90:D95)</f>
        <v>0</v>
      </c>
      <c r="I90" s="27">
        <f>SUM(G90:H90)</f>
        <v>0</v>
      </c>
      <c r="J90" s="27">
        <f t="shared" ref="J90:J95" si="55">+IF(F90=$G$59,O$113,O$121)</f>
        <v>5</v>
      </c>
      <c r="K90" s="27">
        <f t="shared" si="21"/>
        <v>60</v>
      </c>
      <c r="L90" s="27">
        <f t="shared" ref="L90:L95" si="56">+IF(F90=$G$59,(D90*P$113),(E90*P$121))</f>
        <v>0</v>
      </c>
      <c r="P90" s="27">
        <f t="shared" si="18"/>
        <v>0</v>
      </c>
      <c r="Q90" s="27">
        <f t="shared" si="22"/>
        <v>0</v>
      </c>
      <c r="R90" s="27">
        <f>IF(Pagoinversiones!E83&gt;0,$Q90,0)</f>
        <v>0</v>
      </c>
      <c r="S90" s="27">
        <f>IF(Pagoinversiones!F83&gt;0,$Q90,R90)</f>
        <v>0</v>
      </c>
      <c r="T90" s="27">
        <f>IF(Pagoinversiones!G83&gt;0,$Q90,S90)</f>
        <v>0</v>
      </c>
      <c r="U90" s="27">
        <f>IF(Pagoinversiones!H83&gt;0,$Q90,T90)</f>
        <v>0</v>
      </c>
      <c r="V90" s="27">
        <f>IF(Pagoinversiones!I83&gt;0,$Q90,U90)</f>
        <v>0</v>
      </c>
      <c r="W90" s="27">
        <f>IF(Pagoinversiones!J83&gt;0,$Q90,V90)</f>
        <v>0</v>
      </c>
      <c r="X90" s="27">
        <f>IF(Pagoinversiones!K83&gt;0,$Q90,W90)</f>
        <v>0</v>
      </c>
      <c r="Y90" s="27">
        <f>IF(Pagoinversiones!L83&gt;0,$Q90,X90)</f>
        <v>0</v>
      </c>
      <c r="Z90" s="27">
        <f>IF(Pagoinversiones!M83&gt;0,$Q90,Y90)</f>
        <v>0</v>
      </c>
      <c r="AA90" s="27">
        <f>IF(Pagoinversiones!N83&gt;0,$Q90,Z90)</f>
        <v>0</v>
      </c>
      <c r="AB90" s="27">
        <f>IF(Pagoinversiones!O83&gt;0,$Q90,AA90)</f>
        <v>0</v>
      </c>
      <c r="AC90" s="27">
        <f>IF(Pagoinversiones!P83&gt;0,$Q90,AB90)</f>
        <v>0</v>
      </c>
      <c r="AD90" s="27">
        <f t="shared" si="23"/>
        <v>0</v>
      </c>
      <c r="AE90" s="27">
        <f t="shared" si="24"/>
        <v>0</v>
      </c>
      <c r="AF90" s="27">
        <f t="shared" si="25"/>
        <v>0</v>
      </c>
      <c r="AG90" s="27">
        <f t="shared" si="26"/>
        <v>0</v>
      </c>
      <c r="AH90" s="27">
        <f t="shared" si="27"/>
        <v>0</v>
      </c>
      <c r="AI90" s="27">
        <f t="shared" si="28"/>
        <v>0</v>
      </c>
      <c r="AJ90" s="27">
        <f t="shared" si="29"/>
        <v>0</v>
      </c>
      <c r="AK90" s="27">
        <f t="shared" si="28"/>
        <v>0</v>
      </c>
      <c r="AL90" s="27">
        <f t="shared" si="30"/>
        <v>0</v>
      </c>
      <c r="AM90" s="27">
        <f t="shared" si="19"/>
        <v>0</v>
      </c>
      <c r="AN90" s="27">
        <f t="shared" si="31"/>
        <v>0</v>
      </c>
      <c r="AO90" s="27">
        <f t="shared" si="32"/>
        <v>0</v>
      </c>
      <c r="AP90" s="27">
        <f t="shared" si="33"/>
        <v>0</v>
      </c>
      <c r="AR90" s="27">
        <f t="shared" si="34"/>
        <v>0</v>
      </c>
      <c r="AS90" s="27">
        <f t="shared" si="41"/>
        <v>0</v>
      </c>
      <c r="AT90" s="27">
        <f>IF(Pagoinversiones!I141&gt;0,$AS90,0)</f>
        <v>0</v>
      </c>
      <c r="AU90" s="27">
        <f>IF(Pagoinversiones!J141&gt;0,$AS90,AT90)</f>
        <v>0</v>
      </c>
      <c r="AV90" s="27">
        <f>IF(Pagoinversiones!K141&gt;0,$AS90,AU90)</f>
        <v>0</v>
      </c>
      <c r="AW90" s="27">
        <f>IF(Pagoinversiones!L141&gt;0,$AS90,AV90)</f>
        <v>0</v>
      </c>
      <c r="AX90" s="27">
        <f>IF(Pagoinversiones!M141&gt;0,$AS90,AW90)</f>
        <v>0</v>
      </c>
      <c r="AY90" s="27">
        <f>IF(Pagoinversiones!N141&gt;0,$AS90,AX90)</f>
        <v>0</v>
      </c>
      <c r="AZ90" s="27">
        <f>IF(Pagoinversiones!O141&gt;0,$AS90,AY90)</f>
        <v>0</v>
      </c>
      <c r="BA90" s="27">
        <f>IF(Pagoinversiones!P141&gt;0,$AS90,AZ90)</f>
        <v>0</v>
      </c>
      <c r="BB90" s="27">
        <f>IF(Pagoinversiones!Q141&gt;0,$AS90,BA90)</f>
        <v>0</v>
      </c>
      <c r="BC90" s="27">
        <f>IF(Pagoinversiones!R141&gt;0,$AS90,BB90)</f>
        <v>0</v>
      </c>
      <c r="BD90" s="27">
        <f>IF(Pagoinversiones!S141&gt;0,$AS90,BC90)</f>
        <v>0</v>
      </c>
      <c r="BE90" s="27">
        <f>IF(Pagoinversiones!T141&gt;0,$AS90,BD90)</f>
        <v>0</v>
      </c>
      <c r="BF90" s="27">
        <f t="shared" si="35"/>
        <v>0</v>
      </c>
      <c r="BG90" s="27">
        <f t="shared" si="42"/>
        <v>0</v>
      </c>
      <c r="BH90" s="27">
        <f t="shared" si="43"/>
        <v>0</v>
      </c>
      <c r="BI90" s="27">
        <f t="shared" si="44"/>
        <v>0</v>
      </c>
      <c r="BJ90" s="27">
        <f t="shared" si="45"/>
        <v>0</v>
      </c>
      <c r="BK90" s="27">
        <f t="shared" si="36"/>
        <v>0</v>
      </c>
      <c r="BL90" s="27">
        <f t="shared" si="46"/>
        <v>0</v>
      </c>
      <c r="BM90" s="27">
        <f t="shared" si="36"/>
        <v>0</v>
      </c>
      <c r="BN90" s="27">
        <f t="shared" si="37"/>
        <v>0</v>
      </c>
      <c r="BO90" s="27">
        <f t="shared" si="20"/>
        <v>0</v>
      </c>
      <c r="BP90" s="27">
        <f t="shared" si="38"/>
        <v>0</v>
      </c>
      <c r="BQ90" s="27">
        <f t="shared" si="39"/>
        <v>0</v>
      </c>
      <c r="BR90" s="27">
        <f t="shared" si="40"/>
        <v>0</v>
      </c>
      <c r="BS90" s="61"/>
    </row>
    <row r="91" spans="2:71" s="27" customFormat="1" ht="11.25" hidden="1" x14ac:dyDescent="0.2">
      <c r="B91" s="60"/>
      <c r="C91" s="27">
        <f>SANDBOX!D187</f>
        <v>0</v>
      </c>
      <c r="D91" s="27">
        <f>SANDBOX!F187</f>
        <v>0</v>
      </c>
      <c r="E91" s="27">
        <f>Pagoinversiones!H142</f>
        <v>0</v>
      </c>
      <c r="F91" s="27" t="str">
        <f>SANDBOX!G187</f>
        <v>CASH</v>
      </c>
      <c r="J91" s="27">
        <f t="shared" si="55"/>
        <v>5</v>
      </c>
      <c r="K91" s="27">
        <f t="shared" si="21"/>
        <v>60</v>
      </c>
      <c r="L91" s="27">
        <f t="shared" si="56"/>
        <v>0</v>
      </c>
      <c r="P91" s="27">
        <f t="shared" si="18"/>
        <v>0</v>
      </c>
      <c r="Q91" s="27">
        <f t="shared" si="22"/>
        <v>0</v>
      </c>
      <c r="R91" s="27">
        <f>IF(Pagoinversiones!E84&gt;0,$Q91,0)</f>
        <v>0</v>
      </c>
      <c r="S91" s="27">
        <f>IF(Pagoinversiones!F84&gt;0,$Q91,R91)</f>
        <v>0</v>
      </c>
      <c r="T91" s="27">
        <f>IF(Pagoinversiones!G84&gt;0,$Q91,S91)</f>
        <v>0</v>
      </c>
      <c r="U91" s="27">
        <f>IF(Pagoinversiones!H84&gt;0,$Q91,T91)</f>
        <v>0</v>
      </c>
      <c r="V91" s="27">
        <f>IF(Pagoinversiones!I84&gt;0,$Q91,U91)</f>
        <v>0</v>
      </c>
      <c r="W91" s="27">
        <f>IF(Pagoinversiones!J84&gt;0,$Q91,V91)</f>
        <v>0</v>
      </c>
      <c r="X91" s="27">
        <f>IF(Pagoinversiones!K84&gt;0,$Q91,W91)</f>
        <v>0</v>
      </c>
      <c r="Y91" s="27">
        <f>IF(Pagoinversiones!L84&gt;0,$Q91,X91)</f>
        <v>0</v>
      </c>
      <c r="Z91" s="27">
        <f>IF(Pagoinversiones!M84&gt;0,$Q91,Y91)</f>
        <v>0</v>
      </c>
      <c r="AA91" s="27">
        <f>IF(Pagoinversiones!N84&gt;0,$Q91,Z91)</f>
        <v>0</v>
      </c>
      <c r="AB91" s="27">
        <f>IF(Pagoinversiones!O84&gt;0,$Q91,AA91)</f>
        <v>0</v>
      </c>
      <c r="AC91" s="27">
        <f>IF(Pagoinversiones!P84&gt;0,$Q91,AB91)</f>
        <v>0</v>
      </c>
      <c r="AD91" s="27">
        <f t="shared" si="23"/>
        <v>0</v>
      </c>
      <c r="AE91" s="27">
        <f t="shared" si="24"/>
        <v>0</v>
      </c>
      <c r="AF91" s="27">
        <f t="shared" si="25"/>
        <v>0</v>
      </c>
      <c r="AG91" s="27">
        <f t="shared" si="26"/>
        <v>0</v>
      </c>
      <c r="AH91" s="27">
        <f t="shared" si="27"/>
        <v>0</v>
      </c>
      <c r="AI91" s="27">
        <f t="shared" si="28"/>
        <v>0</v>
      </c>
      <c r="AJ91" s="27">
        <f t="shared" si="29"/>
        <v>0</v>
      </c>
      <c r="AK91" s="27">
        <f t="shared" si="28"/>
        <v>0</v>
      </c>
      <c r="AL91" s="27">
        <f t="shared" si="30"/>
        <v>0</v>
      </c>
      <c r="AM91" s="27">
        <f t="shared" si="19"/>
        <v>0</v>
      </c>
      <c r="AN91" s="27">
        <f t="shared" si="31"/>
        <v>0</v>
      </c>
      <c r="AO91" s="27">
        <f t="shared" si="32"/>
        <v>0</v>
      </c>
      <c r="AP91" s="27">
        <f t="shared" si="33"/>
        <v>0</v>
      </c>
      <c r="AR91" s="27">
        <f t="shared" si="34"/>
        <v>0</v>
      </c>
      <c r="AS91" s="27">
        <f t="shared" si="41"/>
        <v>0</v>
      </c>
      <c r="AT91" s="27">
        <f>IF(Pagoinversiones!I142&gt;0,$AS91,0)</f>
        <v>0</v>
      </c>
      <c r="AU91" s="27">
        <f>IF(Pagoinversiones!J142&gt;0,$AS91,AT91)</f>
        <v>0</v>
      </c>
      <c r="AV91" s="27">
        <f>IF(Pagoinversiones!K142&gt;0,$AS91,AU91)</f>
        <v>0</v>
      </c>
      <c r="AW91" s="27">
        <f>IF(Pagoinversiones!L142&gt;0,$AS91,AV91)</f>
        <v>0</v>
      </c>
      <c r="AX91" s="27">
        <f>IF(Pagoinversiones!M142&gt;0,$AS91,AW91)</f>
        <v>0</v>
      </c>
      <c r="AY91" s="27">
        <f>IF(Pagoinversiones!N142&gt;0,$AS91,AX91)</f>
        <v>0</v>
      </c>
      <c r="AZ91" s="27">
        <f>IF(Pagoinversiones!O142&gt;0,$AS91,AY91)</f>
        <v>0</v>
      </c>
      <c r="BA91" s="27">
        <f>IF(Pagoinversiones!P142&gt;0,$AS91,AZ91)</f>
        <v>0</v>
      </c>
      <c r="BB91" s="27">
        <f>IF(Pagoinversiones!Q142&gt;0,$AS91,BA91)</f>
        <v>0</v>
      </c>
      <c r="BC91" s="27">
        <f>IF(Pagoinversiones!R142&gt;0,$AS91,BB91)</f>
        <v>0</v>
      </c>
      <c r="BD91" s="27">
        <f>IF(Pagoinversiones!S142&gt;0,$AS91,BC91)</f>
        <v>0</v>
      </c>
      <c r="BE91" s="27">
        <f>IF(Pagoinversiones!T142&gt;0,$AS91,BD91)</f>
        <v>0</v>
      </c>
      <c r="BF91" s="27">
        <f t="shared" si="35"/>
        <v>0</v>
      </c>
      <c r="BG91" s="27">
        <f t="shared" si="42"/>
        <v>0</v>
      </c>
      <c r="BH91" s="27">
        <f t="shared" si="43"/>
        <v>0</v>
      </c>
      <c r="BI91" s="27">
        <f t="shared" si="44"/>
        <v>0</v>
      </c>
      <c r="BJ91" s="27">
        <f t="shared" si="45"/>
        <v>0</v>
      </c>
      <c r="BK91" s="27">
        <f t="shared" si="36"/>
        <v>0</v>
      </c>
      <c r="BL91" s="27">
        <f t="shared" si="46"/>
        <v>0</v>
      </c>
      <c r="BM91" s="27">
        <f t="shared" si="36"/>
        <v>0</v>
      </c>
      <c r="BN91" s="27">
        <f t="shared" si="37"/>
        <v>0</v>
      </c>
      <c r="BO91" s="27">
        <f t="shared" si="20"/>
        <v>0</v>
      </c>
      <c r="BP91" s="27">
        <f t="shared" si="38"/>
        <v>0</v>
      </c>
      <c r="BQ91" s="27">
        <f t="shared" si="39"/>
        <v>0</v>
      </c>
      <c r="BR91" s="27">
        <f t="shared" si="40"/>
        <v>0</v>
      </c>
      <c r="BS91" s="61"/>
    </row>
    <row r="92" spans="2:71" s="27" customFormat="1" ht="11.25" hidden="1" x14ac:dyDescent="0.2">
      <c r="B92" s="60"/>
      <c r="C92" s="27">
        <f>SANDBOX!D188</f>
        <v>0</v>
      </c>
      <c r="D92" s="27">
        <f>SANDBOX!F188</f>
        <v>0</v>
      </c>
      <c r="E92" s="27">
        <f>Pagoinversiones!H143</f>
        <v>0</v>
      </c>
      <c r="F92" s="27" t="str">
        <f>SANDBOX!G188</f>
        <v>CASH</v>
      </c>
      <c r="J92" s="27">
        <f t="shared" si="55"/>
        <v>5</v>
      </c>
      <c r="K92" s="27">
        <f t="shared" si="21"/>
        <v>60</v>
      </c>
      <c r="L92" s="27">
        <f t="shared" si="56"/>
        <v>0</v>
      </c>
      <c r="P92" s="27">
        <f t="shared" si="18"/>
        <v>0</v>
      </c>
      <c r="Q92" s="27">
        <f t="shared" si="22"/>
        <v>0</v>
      </c>
      <c r="R92" s="27">
        <f>IF(Pagoinversiones!E85&gt;0,$Q92,0)</f>
        <v>0</v>
      </c>
      <c r="S92" s="27">
        <f>IF(Pagoinversiones!F85&gt;0,$Q92,R92)</f>
        <v>0</v>
      </c>
      <c r="T92" s="27">
        <f>IF(Pagoinversiones!G85&gt;0,$Q92,S92)</f>
        <v>0</v>
      </c>
      <c r="U92" s="27">
        <f>IF(Pagoinversiones!H85&gt;0,$Q92,T92)</f>
        <v>0</v>
      </c>
      <c r="V92" s="27">
        <f>IF(Pagoinversiones!I85&gt;0,$Q92,U92)</f>
        <v>0</v>
      </c>
      <c r="W92" s="27">
        <f>IF(Pagoinversiones!J85&gt;0,$Q92,V92)</f>
        <v>0</v>
      </c>
      <c r="X92" s="27">
        <f>IF(Pagoinversiones!K85&gt;0,$Q92,W92)</f>
        <v>0</v>
      </c>
      <c r="Y92" s="27">
        <f>IF(Pagoinversiones!L85&gt;0,$Q92,X92)</f>
        <v>0</v>
      </c>
      <c r="Z92" s="27">
        <f>IF(Pagoinversiones!M85&gt;0,$Q92,Y92)</f>
        <v>0</v>
      </c>
      <c r="AA92" s="27">
        <f>IF(Pagoinversiones!N85&gt;0,$Q92,Z92)</f>
        <v>0</v>
      </c>
      <c r="AB92" s="27">
        <f>IF(Pagoinversiones!O85&gt;0,$Q92,AA92)</f>
        <v>0</v>
      </c>
      <c r="AC92" s="27">
        <f>IF(Pagoinversiones!P85&gt;0,$Q92,AB92)</f>
        <v>0</v>
      </c>
      <c r="AD92" s="27">
        <f t="shared" si="23"/>
        <v>0</v>
      </c>
      <c r="AE92" s="27">
        <f t="shared" si="24"/>
        <v>0</v>
      </c>
      <c r="AF92" s="27">
        <f t="shared" si="25"/>
        <v>0</v>
      </c>
      <c r="AG92" s="27">
        <f t="shared" si="26"/>
        <v>0</v>
      </c>
      <c r="AH92" s="27">
        <f t="shared" si="27"/>
        <v>0</v>
      </c>
      <c r="AI92" s="27">
        <f t="shared" si="28"/>
        <v>0</v>
      </c>
      <c r="AJ92" s="27">
        <f t="shared" si="29"/>
        <v>0</v>
      </c>
      <c r="AK92" s="27">
        <f t="shared" si="28"/>
        <v>0</v>
      </c>
      <c r="AL92" s="27">
        <f t="shared" si="30"/>
        <v>0</v>
      </c>
      <c r="AM92" s="27">
        <f t="shared" si="19"/>
        <v>0</v>
      </c>
      <c r="AN92" s="27">
        <f t="shared" si="31"/>
        <v>0</v>
      </c>
      <c r="AO92" s="27">
        <f t="shared" si="32"/>
        <v>0</v>
      </c>
      <c r="AP92" s="27">
        <f t="shared" si="33"/>
        <v>0</v>
      </c>
      <c r="AR92" s="27">
        <f t="shared" si="34"/>
        <v>0</v>
      </c>
      <c r="AS92" s="27">
        <f t="shared" si="41"/>
        <v>0</v>
      </c>
      <c r="AT92" s="27">
        <f>IF(Pagoinversiones!I143&gt;0,$AS92,0)</f>
        <v>0</v>
      </c>
      <c r="AU92" s="27">
        <f>IF(Pagoinversiones!J143&gt;0,$AS92,AT92)</f>
        <v>0</v>
      </c>
      <c r="AV92" s="27">
        <f>IF(Pagoinversiones!K143&gt;0,$AS92,AU92)</f>
        <v>0</v>
      </c>
      <c r="AW92" s="27">
        <f>IF(Pagoinversiones!L143&gt;0,$AS92,AV92)</f>
        <v>0</v>
      </c>
      <c r="AX92" s="27">
        <f>IF(Pagoinversiones!M143&gt;0,$AS92,AW92)</f>
        <v>0</v>
      </c>
      <c r="AY92" s="27">
        <f>IF(Pagoinversiones!N143&gt;0,$AS92,AX92)</f>
        <v>0</v>
      </c>
      <c r="AZ92" s="27">
        <f>IF(Pagoinversiones!O143&gt;0,$AS92,AY92)</f>
        <v>0</v>
      </c>
      <c r="BA92" s="27">
        <f>IF(Pagoinversiones!P143&gt;0,$AS92,AZ92)</f>
        <v>0</v>
      </c>
      <c r="BB92" s="27">
        <f>IF(Pagoinversiones!Q143&gt;0,$AS92,BA92)</f>
        <v>0</v>
      </c>
      <c r="BC92" s="27">
        <f>IF(Pagoinversiones!R143&gt;0,$AS92,BB92)</f>
        <v>0</v>
      </c>
      <c r="BD92" s="27">
        <f>IF(Pagoinversiones!S143&gt;0,$AS92,BC92)</f>
        <v>0</v>
      </c>
      <c r="BE92" s="27">
        <f>IF(Pagoinversiones!T143&gt;0,$AS92,BD92)</f>
        <v>0</v>
      </c>
      <c r="BF92" s="27">
        <f t="shared" si="35"/>
        <v>0</v>
      </c>
      <c r="BG92" s="27">
        <f t="shared" si="42"/>
        <v>0</v>
      </c>
      <c r="BH92" s="27">
        <f t="shared" si="43"/>
        <v>0</v>
      </c>
      <c r="BI92" s="27">
        <f t="shared" si="44"/>
        <v>0</v>
      </c>
      <c r="BJ92" s="27">
        <f t="shared" si="45"/>
        <v>0</v>
      </c>
      <c r="BK92" s="27">
        <f t="shared" si="36"/>
        <v>0</v>
      </c>
      <c r="BL92" s="27">
        <f t="shared" si="46"/>
        <v>0</v>
      </c>
      <c r="BM92" s="27">
        <f t="shared" si="36"/>
        <v>0</v>
      </c>
      <c r="BN92" s="27">
        <f t="shared" si="37"/>
        <v>0</v>
      </c>
      <c r="BO92" s="27">
        <f t="shared" si="20"/>
        <v>0</v>
      </c>
      <c r="BP92" s="27">
        <f t="shared" si="38"/>
        <v>0</v>
      </c>
      <c r="BQ92" s="27">
        <f t="shared" si="39"/>
        <v>0</v>
      </c>
      <c r="BR92" s="27">
        <f t="shared" si="40"/>
        <v>0</v>
      </c>
      <c r="BS92" s="61"/>
    </row>
    <row r="93" spans="2:71" s="27" customFormat="1" ht="11.25" hidden="1" x14ac:dyDescent="0.2">
      <c r="B93" s="60"/>
      <c r="C93" s="27">
        <f>SANDBOX!D189</f>
        <v>0</v>
      </c>
      <c r="D93" s="27">
        <f>SANDBOX!F189</f>
        <v>0</v>
      </c>
      <c r="E93" s="27">
        <f>Pagoinversiones!H144</f>
        <v>0</v>
      </c>
      <c r="F93" s="27" t="str">
        <f>SANDBOX!G189</f>
        <v>CASH</v>
      </c>
      <c r="J93" s="27">
        <f t="shared" si="55"/>
        <v>5</v>
      </c>
      <c r="K93" s="27">
        <f t="shared" si="21"/>
        <v>60</v>
      </c>
      <c r="L93" s="27">
        <f t="shared" si="56"/>
        <v>0</v>
      </c>
      <c r="P93" s="27">
        <f t="shared" si="18"/>
        <v>0</v>
      </c>
      <c r="Q93" s="27">
        <f t="shared" si="22"/>
        <v>0</v>
      </c>
      <c r="R93" s="27">
        <f>IF(Pagoinversiones!E86&gt;0,$Q93,0)</f>
        <v>0</v>
      </c>
      <c r="S93" s="27">
        <f>IF(Pagoinversiones!F86&gt;0,$Q93,R93)</f>
        <v>0</v>
      </c>
      <c r="T93" s="27">
        <f>IF(Pagoinversiones!G86&gt;0,$Q93,S93)</f>
        <v>0</v>
      </c>
      <c r="U93" s="27">
        <f>IF(Pagoinversiones!H86&gt;0,$Q93,T93)</f>
        <v>0</v>
      </c>
      <c r="V93" s="27">
        <f>IF(Pagoinversiones!I86&gt;0,$Q93,U93)</f>
        <v>0</v>
      </c>
      <c r="W93" s="27">
        <f>IF(Pagoinversiones!J86&gt;0,$Q93,V93)</f>
        <v>0</v>
      </c>
      <c r="X93" s="27">
        <f>IF(Pagoinversiones!K86&gt;0,$Q93,W93)</f>
        <v>0</v>
      </c>
      <c r="Y93" s="27">
        <f>IF(Pagoinversiones!L86&gt;0,$Q93,X93)</f>
        <v>0</v>
      </c>
      <c r="Z93" s="27">
        <f>IF(Pagoinversiones!M86&gt;0,$Q93,Y93)</f>
        <v>0</v>
      </c>
      <c r="AA93" s="27">
        <f>IF(Pagoinversiones!N86&gt;0,$Q93,Z93)</f>
        <v>0</v>
      </c>
      <c r="AB93" s="27">
        <f>IF(Pagoinversiones!O86&gt;0,$Q93,AA93)</f>
        <v>0</v>
      </c>
      <c r="AC93" s="27">
        <f>IF(Pagoinversiones!P86&gt;0,$Q93,AB93)</f>
        <v>0</v>
      </c>
      <c r="AD93" s="27">
        <f t="shared" si="23"/>
        <v>0</v>
      </c>
      <c r="AE93" s="27">
        <f t="shared" si="24"/>
        <v>0</v>
      </c>
      <c r="AF93" s="27">
        <f t="shared" si="25"/>
        <v>0</v>
      </c>
      <c r="AG93" s="27">
        <f t="shared" si="26"/>
        <v>0</v>
      </c>
      <c r="AH93" s="27">
        <f t="shared" si="27"/>
        <v>0</v>
      </c>
      <c r="AI93" s="27">
        <f t="shared" si="28"/>
        <v>0</v>
      </c>
      <c r="AJ93" s="27">
        <f t="shared" si="29"/>
        <v>0</v>
      </c>
      <c r="AK93" s="27">
        <f t="shared" si="28"/>
        <v>0</v>
      </c>
      <c r="AL93" s="27">
        <f t="shared" si="30"/>
        <v>0</v>
      </c>
      <c r="AM93" s="27">
        <f t="shared" si="19"/>
        <v>0</v>
      </c>
      <c r="AN93" s="27">
        <f t="shared" si="31"/>
        <v>0</v>
      </c>
      <c r="AO93" s="27">
        <f t="shared" si="32"/>
        <v>0</v>
      </c>
      <c r="AP93" s="27">
        <f t="shared" si="33"/>
        <v>0</v>
      </c>
      <c r="AR93" s="27">
        <f t="shared" si="34"/>
        <v>0</v>
      </c>
      <c r="AS93" s="27">
        <f t="shared" si="41"/>
        <v>0</v>
      </c>
      <c r="AT93" s="27">
        <f>IF(Pagoinversiones!I144&gt;0,$AS93,0)</f>
        <v>0</v>
      </c>
      <c r="AU93" s="27">
        <f>IF(Pagoinversiones!J144&gt;0,$AS93,AT93)</f>
        <v>0</v>
      </c>
      <c r="AV93" s="27">
        <f>IF(Pagoinversiones!K144&gt;0,$AS93,AU93)</f>
        <v>0</v>
      </c>
      <c r="AW93" s="27">
        <f>IF(Pagoinversiones!L144&gt;0,$AS93,AV93)</f>
        <v>0</v>
      </c>
      <c r="AX93" s="27">
        <f>IF(Pagoinversiones!M144&gt;0,$AS93,AW93)</f>
        <v>0</v>
      </c>
      <c r="AY93" s="27">
        <f>IF(Pagoinversiones!N144&gt;0,$AS93,AX93)</f>
        <v>0</v>
      </c>
      <c r="AZ93" s="27">
        <f>IF(Pagoinversiones!O144&gt;0,$AS93,AY93)</f>
        <v>0</v>
      </c>
      <c r="BA93" s="27">
        <f>IF(Pagoinversiones!P144&gt;0,$AS93,AZ93)</f>
        <v>0</v>
      </c>
      <c r="BB93" s="27">
        <f>IF(Pagoinversiones!Q144&gt;0,$AS93,BA93)</f>
        <v>0</v>
      </c>
      <c r="BC93" s="27">
        <f>IF(Pagoinversiones!R144&gt;0,$AS93,BB93)</f>
        <v>0</v>
      </c>
      <c r="BD93" s="27">
        <f>IF(Pagoinversiones!S144&gt;0,$AS93,BC93)</f>
        <v>0</v>
      </c>
      <c r="BE93" s="27">
        <f>IF(Pagoinversiones!T144&gt;0,$AS93,BD93)</f>
        <v>0</v>
      </c>
      <c r="BF93" s="27">
        <f t="shared" si="35"/>
        <v>0</v>
      </c>
      <c r="BG93" s="27">
        <f t="shared" si="42"/>
        <v>0</v>
      </c>
      <c r="BH93" s="27">
        <f t="shared" si="43"/>
        <v>0</v>
      </c>
      <c r="BI93" s="27">
        <f t="shared" si="44"/>
        <v>0</v>
      </c>
      <c r="BJ93" s="27">
        <f t="shared" si="45"/>
        <v>0</v>
      </c>
      <c r="BK93" s="27">
        <f t="shared" si="36"/>
        <v>0</v>
      </c>
      <c r="BL93" s="27">
        <f t="shared" si="46"/>
        <v>0</v>
      </c>
      <c r="BM93" s="27">
        <f t="shared" si="36"/>
        <v>0</v>
      </c>
      <c r="BN93" s="27">
        <f t="shared" si="37"/>
        <v>0</v>
      </c>
      <c r="BO93" s="27">
        <f t="shared" si="20"/>
        <v>0</v>
      </c>
      <c r="BP93" s="27">
        <f t="shared" si="38"/>
        <v>0</v>
      </c>
      <c r="BQ93" s="27">
        <f t="shared" si="39"/>
        <v>0</v>
      </c>
      <c r="BR93" s="27">
        <f t="shared" si="40"/>
        <v>0</v>
      </c>
      <c r="BS93" s="61"/>
    </row>
    <row r="94" spans="2:71" s="27" customFormat="1" ht="11.25" hidden="1" x14ac:dyDescent="0.2">
      <c r="B94" s="60"/>
      <c r="C94" s="27">
        <f>SANDBOX!D190</f>
        <v>0</v>
      </c>
      <c r="D94" s="27">
        <f>SANDBOX!F190</f>
        <v>0</v>
      </c>
      <c r="E94" s="27">
        <f>Pagoinversiones!H145</f>
        <v>0</v>
      </c>
      <c r="F94" s="27" t="str">
        <f>SANDBOX!G190</f>
        <v>CASH</v>
      </c>
      <c r="J94" s="27">
        <f t="shared" si="55"/>
        <v>5</v>
      </c>
      <c r="K94" s="27">
        <f t="shared" si="21"/>
        <v>60</v>
      </c>
      <c r="L94" s="27">
        <f t="shared" si="56"/>
        <v>0</v>
      </c>
      <c r="P94" s="27">
        <f t="shared" si="18"/>
        <v>0</v>
      </c>
      <c r="Q94" s="27">
        <f t="shared" si="22"/>
        <v>0</v>
      </c>
      <c r="R94" s="27">
        <f>IF(Pagoinversiones!E87&gt;0,$Q94,0)</f>
        <v>0</v>
      </c>
      <c r="S94" s="27">
        <f>IF(Pagoinversiones!F87&gt;0,$Q94,R94)</f>
        <v>0</v>
      </c>
      <c r="T94" s="27">
        <f>IF(Pagoinversiones!G87&gt;0,$Q94,S94)</f>
        <v>0</v>
      </c>
      <c r="U94" s="27">
        <f>IF(Pagoinversiones!H87&gt;0,$Q94,T94)</f>
        <v>0</v>
      </c>
      <c r="V94" s="27">
        <f>IF(Pagoinversiones!I87&gt;0,$Q94,U94)</f>
        <v>0</v>
      </c>
      <c r="W94" s="27">
        <f>IF(Pagoinversiones!J87&gt;0,$Q94,V94)</f>
        <v>0</v>
      </c>
      <c r="X94" s="27">
        <f>IF(Pagoinversiones!K87&gt;0,$Q94,W94)</f>
        <v>0</v>
      </c>
      <c r="Y94" s="27">
        <f>IF(Pagoinversiones!L87&gt;0,$Q94,X94)</f>
        <v>0</v>
      </c>
      <c r="Z94" s="27">
        <f>IF(Pagoinversiones!M87&gt;0,$Q94,Y94)</f>
        <v>0</v>
      </c>
      <c r="AA94" s="27">
        <f>IF(Pagoinversiones!N87&gt;0,$Q94,Z94)</f>
        <v>0</v>
      </c>
      <c r="AB94" s="27">
        <f>IF(Pagoinversiones!O87&gt;0,$Q94,AA94)</f>
        <v>0</v>
      </c>
      <c r="AC94" s="27">
        <f>IF(Pagoinversiones!P87&gt;0,$Q94,AB94)</f>
        <v>0</v>
      </c>
      <c r="AD94" s="27">
        <f t="shared" si="23"/>
        <v>0</v>
      </c>
      <c r="AE94" s="27">
        <f t="shared" si="24"/>
        <v>0</v>
      </c>
      <c r="AF94" s="27">
        <f t="shared" si="25"/>
        <v>0</v>
      </c>
      <c r="AG94" s="27">
        <f t="shared" si="26"/>
        <v>0</v>
      </c>
      <c r="AH94" s="27">
        <f t="shared" si="27"/>
        <v>0</v>
      </c>
      <c r="AI94" s="27">
        <f t="shared" si="28"/>
        <v>0</v>
      </c>
      <c r="AJ94" s="27">
        <f t="shared" si="29"/>
        <v>0</v>
      </c>
      <c r="AK94" s="27">
        <f t="shared" si="28"/>
        <v>0</v>
      </c>
      <c r="AL94" s="27">
        <f t="shared" si="30"/>
        <v>0</v>
      </c>
      <c r="AM94" s="27">
        <f t="shared" si="19"/>
        <v>0</v>
      </c>
      <c r="AN94" s="27">
        <f t="shared" si="31"/>
        <v>0</v>
      </c>
      <c r="AO94" s="27">
        <f t="shared" si="32"/>
        <v>0</v>
      </c>
      <c r="AP94" s="27">
        <f t="shared" si="33"/>
        <v>0</v>
      </c>
      <c r="AR94" s="27">
        <f t="shared" si="34"/>
        <v>0</v>
      </c>
      <c r="AS94" s="27">
        <f t="shared" si="41"/>
        <v>0</v>
      </c>
      <c r="AT94" s="27">
        <f>IF(Pagoinversiones!I145&gt;0,$AS94,0)</f>
        <v>0</v>
      </c>
      <c r="AU94" s="27">
        <f>IF(Pagoinversiones!J145&gt;0,$AS94,AT94)</f>
        <v>0</v>
      </c>
      <c r="AV94" s="27">
        <f>IF(Pagoinversiones!K145&gt;0,$AS94,AU94)</f>
        <v>0</v>
      </c>
      <c r="AW94" s="27">
        <f>IF(Pagoinversiones!L145&gt;0,$AS94,AV94)</f>
        <v>0</v>
      </c>
      <c r="AX94" s="27">
        <f>IF(Pagoinversiones!M145&gt;0,$AS94,AW94)</f>
        <v>0</v>
      </c>
      <c r="AY94" s="27">
        <f>IF(Pagoinversiones!N145&gt;0,$AS94,AX94)</f>
        <v>0</v>
      </c>
      <c r="AZ94" s="27">
        <f>IF(Pagoinversiones!O145&gt;0,$AS94,AY94)</f>
        <v>0</v>
      </c>
      <c r="BA94" s="27">
        <f>IF(Pagoinversiones!P145&gt;0,$AS94,AZ94)</f>
        <v>0</v>
      </c>
      <c r="BB94" s="27">
        <f>IF(Pagoinversiones!Q145&gt;0,$AS94,BA94)</f>
        <v>0</v>
      </c>
      <c r="BC94" s="27">
        <f>IF(Pagoinversiones!R145&gt;0,$AS94,BB94)</f>
        <v>0</v>
      </c>
      <c r="BD94" s="27">
        <f>IF(Pagoinversiones!S145&gt;0,$AS94,BC94)</f>
        <v>0</v>
      </c>
      <c r="BE94" s="27">
        <f>IF(Pagoinversiones!T145&gt;0,$AS94,BD94)</f>
        <v>0</v>
      </c>
      <c r="BF94" s="27">
        <f t="shared" si="35"/>
        <v>0</v>
      </c>
      <c r="BG94" s="27">
        <f t="shared" si="42"/>
        <v>0</v>
      </c>
      <c r="BH94" s="27">
        <f t="shared" si="43"/>
        <v>0</v>
      </c>
      <c r="BI94" s="27">
        <f t="shared" si="44"/>
        <v>0</v>
      </c>
      <c r="BJ94" s="27">
        <f t="shared" si="45"/>
        <v>0</v>
      </c>
      <c r="BK94" s="27">
        <f t="shared" si="36"/>
        <v>0</v>
      </c>
      <c r="BL94" s="27">
        <f t="shared" si="46"/>
        <v>0</v>
      </c>
      <c r="BM94" s="27">
        <f t="shared" si="36"/>
        <v>0</v>
      </c>
      <c r="BN94" s="27">
        <f t="shared" si="37"/>
        <v>0</v>
      </c>
      <c r="BO94" s="27">
        <f t="shared" si="20"/>
        <v>0</v>
      </c>
      <c r="BP94" s="27">
        <f t="shared" si="38"/>
        <v>0</v>
      </c>
      <c r="BQ94" s="27">
        <f t="shared" si="39"/>
        <v>0</v>
      </c>
      <c r="BR94" s="27">
        <f t="shared" si="40"/>
        <v>0</v>
      </c>
      <c r="BS94" s="61"/>
    </row>
    <row r="95" spans="2:71" s="27" customFormat="1" ht="11.25" hidden="1" x14ac:dyDescent="0.2">
      <c r="B95" s="60"/>
      <c r="C95" s="27">
        <f>SANDBOX!D191</f>
        <v>0</v>
      </c>
      <c r="D95" s="27">
        <f>SANDBOX!F191</f>
        <v>0</v>
      </c>
      <c r="E95" s="27">
        <f>Pagoinversiones!H146</f>
        <v>0</v>
      </c>
      <c r="F95" s="27" t="str">
        <f>SANDBOX!G191</f>
        <v>CASH</v>
      </c>
      <c r="J95" s="27">
        <f t="shared" si="55"/>
        <v>5</v>
      </c>
      <c r="K95" s="27">
        <f t="shared" si="21"/>
        <v>60</v>
      </c>
      <c r="L95" s="27">
        <f t="shared" si="56"/>
        <v>0</v>
      </c>
      <c r="P95" s="27">
        <f t="shared" si="18"/>
        <v>0</v>
      </c>
      <c r="Q95" s="27">
        <f t="shared" si="22"/>
        <v>0</v>
      </c>
      <c r="R95" s="27">
        <f>IF(Pagoinversiones!E88&gt;0,$Q95,0)</f>
        <v>0</v>
      </c>
      <c r="S95" s="27">
        <f>IF(Pagoinversiones!F88&gt;0,$Q95,R95)</f>
        <v>0</v>
      </c>
      <c r="T95" s="27">
        <f>IF(Pagoinversiones!G88&gt;0,$Q95,S95)</f>
        <v>0</v>
      </c>
      <c r="U95" s="27">
        <f>IF(Pagoinversiones!H88&gt;0,$Q95,T95)</f>
        <v>0</v>
      </c>
      <c r="V95" s="27">
        <f>IF(Pagoinversiones!I88&gt;0,$Q95,U95)</f>
        <v>0</v>
      </c>
      <c r="W95" s="27">
        <f>IF(Pagoinversiones!J88&gt;0,$Q95,V95)</f>
        <v>0</v>
      </c>
      <c r="X95" s="27">
        <f>IF(Pagoinversiones!K88&gt;0,$Q95,W95)</f>
        <v>0</v>
      </c>
      <c r="Y95" s="27">
        <f>IF(Pagoinversiones!L88&gt;0,$Q95,X95)</f>
        <v>0</v>
      </c>
      <c r="Z95" s="27">
        <f>IF(Pagoinversiones!M88&gt;0,$Q95,Y95)</f>
        <v>0</v>
      </c>
      <c r="AA95" s="27">
        <f>IF(Pagoinversiones!N88&gt;0,$Q95,Z95)</f>
        <v>0</v>
      </c>
      <c r="AB95" s="27">
        <f>IF(Pagoinversiones!O88&gt;0,$Q95,AA95)</f>
        <v>0</v>
      </c>
      <c r="AC95" s="27">
        <f>IF(Pagoinversiones!P88&gt;0,$Q95,AB95)</f>
        <v>0</v>
      </c>
      <c r="AD95" s="27">
        <f t="shared" si="23"/>
        <v>0</v>
      </c>
      <c r="AE95" s="27">
        <f t="shared" si="24"/>
        <v>0</v>
      </c>
      <c r="AF95" s="27">
        <f t="shared" si="25"/>
        <v>0</v>
      </c>
      <c r="AG95" s="27">
        <f t="shared" si="26"/>
        <v>0</v>
      </c>
      <c r="AH95" s="27">
        <f t="shared" si="27"/>
        <v>0</v>
      </c>
      <c r="AI95" s="27">
        <f t="shared" si="28"/>
        <v>0</v>
      </c>
      <c r="AJ95" s="27">
        <f t="shared" si="29"/>
        <v>0</v>
      </c>
      <c r="AK95" s="27">
        <f t="shared" si="28"/>
        <v>0</v>
      </c>
      <c r="AL95" s="27">
        <f t="shared" si="30"/>
        <v>0</v>
      </c>
      <c r="AM95" s="27">
        <f t="shared" si="19"/>
        <v>0</v>
      </c>
      <c r="AN95" s="27">
        <f t="shared" si="31"/>
        <v>0</v>
      </c>
      <c r="AO95" s="27">
        <f t="shared" si="32"/>
        <v>0</v>
      </c>
      <c r="AP95" s="27">
        <f t="shared" si="33"/>
        <v>0</v>
      </c>
      <c r="AR95" s="27">
        <f t="shared" si="34"/>
        <v>0</v>
      </c>
      <c r="AS95" s="27">
        <f t="shared" si="41"/>
        <v>0</v>
      </c>
      <c r="AT95" s="27">
        <f>IF(Pagoinversiones!I146&gt;0,$AS95,0)</f>
        <v>0</v>
      </c>
      <c r="AU95" s="27">
        <f>IF(Pagoinversiones!J146&gt;0,$AS95,AT95)</f>
        <v>0</v>
      </c>
      <c r="AV95" s="27">
        <f>IF(Pagoinversiones!K146&gt;0,$AS95,AU95)</f>
        <v>0</v>
      </c>
      <c r="AW95" s="27">
        <f>IF(Pagoinversiones!L146&gt;0,$AS95,AV95)</f>
        <v>0</v>
      </c>
      <c r="AX95" s="27">
        <f>IF(Pagoinversiones!M146&gt;0,$AS95,AW95)</f>
        <v>0</v>
      </c>
      <c r="AY95" s="27">
        <f>IF(Pagoinversiones!N146&gt;0,$AS95,AX95)</f>
        <v>0</v>
      </c>
      <c r="AZ95" s="27">
        <f>IF(Pagoinversiones!O146&gt;0,$AS95,AY95)</f>
        <v>0</v>
      </c>
      <c r="BA95" s="27">
        <f>IF(Pagoinversiones!P146&gt;0,$AS95,AZ95)</f>
        <v>0</v>
      </c>
      <c r="BB95" s="27">
        <f>IF(Pagoinversiones!Q146&gt;0,$AS95,BA95)</f>
        <v>0</v>
      </c>
      <c r="BC95" s="27">
        <f>IF(Pagoinversiones!R146&gt;0,$AS95,BB95)</f>
        <v>0</v>
      </c>
      <c r="BD95" s="27">
        <f>IF(Pagoinversiones!S146&gt;0,$AS95,BC95)</f>
        <v>0</v>
      </c>
      <c r="BE95" s="27">
        <f>IF(Pagoinversiones!T146&gt;0,$AS95,BD95)</f>
        <v>0</v>
      </c>
      <c r="BF95" s="27">
        <f t="shared" si="35"/>
        <v>0</v>
      </c>
      <c r="BG95" s="27">
        <f t="shared" si="42"/>
        <v>0</v>
      </c>
      <c r="BH95" s="27">
        <f t="shared" si="43"/>
        <v>0</v>
      </c>
      <c r="BI95" s="27">
        <f t="shared" si="44"/>
        <v>0</v>
      </c>
      <c r="BJ95" s="27">
        <f t="shared" si="45"/>
        <v>0</v>
      </c>
      <c r="BK95" s="27">
        <f t="shared" si="36"/>
        <v>0</v>
      </c>
      <c r="BL95" s="27">
        <f t="shared" si="46"/>
        <v>0</v>
      </c>
      <c r="BM95" s="27">
        <f t="shared" si="36"/>
        <v>0</v>
      </c>
      <c r="BN95" s="27">
        <f t="shared" si="37"/>
        <v>0</v>
      </c>
      <c r="BO95" s="27">
        <f t="shared" si="20"/>
        <v>0</v>
      </c>
      <c r="BP95" s="27">
        <f t="shared" si="38"/>
        <v>0</v>
      </c>
      <c r="BQ95" s="27">
        <f t="shared" si="39"/>
        <v>0</v>
      </c>
      <c r="BR95" s="27">
        <f t="shared" si="40"/>
        <v>0</v>
      </c>
      <c r="BS95" s="61"/>
    </row>
    <row r="96" spans="2:71" s="27" customFormat="1" ht="11.25" hidden="1" x14ac:dyDescent="0.2">
      <c r="B96" s="60"/>
      <c r="C96" s="27" t="str">
        <f>SANDBOX!D193</f>
        <v>Página web</v>
      </c>
      <c r="D96" s="27">
        <f>SANDBOX!F193</f>
        <v>0</v>
      </c>
      <c r="E96" s="27">
        <f>Pagoinversiones!H147</f>
        <v>0</v>
      </c>
      <c r="F96" s="27" t="str">
        <f>SANDBOX!G193</f>
        <v>CASH</v>
      </c>
      <c r="G96" s="27">
        <f>+SUMIF(Amortizaciones!F96:F101,SB!$C$156,Amortizaciones!D96:D101)</f>
        <v>0</v>
      </c>
      <c r="H96" s="27">
        <f>+SUMIF(F96:F101,SB!$C$157,D96:D101)</f>
        <v>0</v>
      </c>
      <c r="I96" s="27">
        <f>SUM(G96:H96)</f>
        <v>0</v>
      </c>
      <c r="J96" s="27">
        <f t="shared" ref="J96:J101" si="57">+IF(F96=$G$59,O$114,O$122)</f>
        <v>10</v>
      </c>
      <c r="K96" s="27">
        <f t="shared" si="21"/>
        <v>120</v>
      </c>
      <c r="L96" s="27">
        <f t="shared" ref="L96:L101" si="58">+IF(F96=$G$59,(D96*P$114),(E96*P$122))</f>
        <v>0</v>
      </c>
      <c r="P96" s="27">
        <f t="shared" si="18"/>
        <v>0</v>
      </c>
      <c r="Q96" s="27">
        <f t="shared" si="22"/>
        <v>0</v>
      </c>
      <c r="R96" s="27">
        <f>IF(Pagoinversiones!E90&gt;0,$Q96,0)</f>
        <v>0</v>
      </c>
      <c r="S96" s="27">
        <f>IF(Pagoinversiones!F90&gt;0,$Q96,R96)</f>
        <v>0</v>
      </c>
      <c r="T96" s="27">
        <f>IF(Pagoinversiones!G90&gt;0,$Q96,S96)</f>
        <v>0</v>
      </c>
      <c r="U96" s="27">
        <f>IF(Pagoinversiones!H90&gt;0,$Q96,T96)</f>
        <v>0</v>
      </c>
      <c r="V96" s="27">
        <f>IF(Pagoinversiones!I90&gt;0,$Q96,U96)</f>
        <v>0</v>
      </c>
      <c r="W96" s="27">
        <f>IF(Pagoinversiones!J90&gt;0,$Q96,V96)</f>
        <v>0</v>
      </c>
      <c r="X96" s="27">
        <f>IF(Pagoinversiones!K90&gt;0,$Q96,W96)</f>
        <v>0</v>
      </c>
      <c r="Y96" s="27">
        <f>IF(Pagoinversiones!L90&gt;0,$Q96,X96)</f>
        <v>0</v>
      </c>
      <c r="Z96" s="27">
        <f>IF(Pagoinversiones!M90&gt;0,$Q96,Y96)</f>
        <v>0</v>
      </c>
      <c r="AA96" s="27">
        <f>IF(Pagoinversiones!N90&gt;0,$Q96,Z96)</f>
        <v>0</v>
      </c>
      <c r="AB96" s="27">
        <f>IF(Pagoinversiones!O90&gt;0,$Q96,AA96)</f>
        <v>0</v>
      </c>
      <c r="AC96" s="27">
        <f>IF(Pagoinversiones!P90&gt;0,$Q96,AB96)</f>
        <v>0</v>
      </c>
      <c r="AD96" s="27">
        <f t="shared" si="23"/>
        <v>0</v>
      </c>
      <c r="AE96" s="27">
        <f t="shared" si="24"/>
        <v>0</v>
      </c>
      <c r="AF96" s="27">
        <f t="shared" si="25"/>
        <v>0</v>
      </c>
      <c r="AG96" s="27">
        <f t="shared" si="26"/>
        <v>0</v>
      </c>
      <c r="AH96" s="27">
        <f t="shared" si="27"/>
        <v>0</v>
      </c>
      <c r="AI96" s="27">
        <f t="shared" si="28"/>
        <v>0</v>
      </c>
      <c r="AJ96" s="27">
        <f t="shared" si="29"/>
        <v>0</v>
      </c>
      <c r="AK96" s="27">
        <f t="shared" si="28"/>
        <v>0</v>
      </c>
      <c r="AL96" s="27">
        <f t="shared" si="30"/>
        <v>0</v>
      </c>
      <c r="AM96" s="27">
        <f t="shared" si="19"/>
        <v>0</v>
      </c>
      <c r="AN96" s="27">
        <f t="shared" si="31"/>
        <v>0</v>
      </c>
      <c r="AO96" s="27">
        <f t="shared" si="32"/>
        <v>0</v>
      </c>
      <c r="AP96" s="27">
        <f t="shared" si="33"/>
        <v>0</v>
      </c>
      <c r="AR96" s="27">
        <f t="shared" si="34"/>
        <v>0</v>
      </c>
      <c r="AS96" s="27">
        <f t="shared" si="41"/>
        <v>0</v>
      </c>
      <c r="AT96" s="27">
        <f>IF(Pagoinversiones!I147&gt;0,$AS96,0)</f>
        <v>0</v>
      </c>
      <c r="AU96" s="27">
        <f>IF(Pagoinversiones!J147&gt;0,$AS96,AT96)</f>
        <v>0</v>
      </c>
      <c r="AV96" s="27">
        <f>IF(Pagoinversiones!K147&gt;0,$AS96,AU96)</f>
        <v>0</v>
      </c>
      <c r="AW96" s="27">
        <f>IF(Pagoinversiones!L147&gt;0,$AS96,AV96)</f>
        <v>0</v>
      </c>
      <c r="AX96" s="27">
        <f>IF(Pagoinversiones!M147&gt;0,$AS96,AW96)</f>
        <v>0</v>
      </c>
      <c r="AY96" s="27">
        <f>IF(Pagoinversiones!N147&gt;0,$AS96,AX96)</f>
        <v>0</v>
      </c>
      <c r="AZ96" s="27">
        <f>IF(Pagoinversiones!O147&gt;0,$AS96,AY96)</f>
        <v>0</v>
      </c>
      <c r="BA96" s="27">
        <f>IF(Pagoinversiones!P147&gt;0,$AS96,AZ96)</f>
        <v>0</v>
      </c>
      <c r="BB96" s="27">
        <f>IF(Pagoinversiones!Q147&gt;0,$AS96,BA96)</f>
        <v>0</v>
      </c>
      <c r="BC96" s="27">
        <f>IF(Pagoinversiones!R147&gt;0,$AS96,BB96)</f>
        <v>0</v>
      </c>
      <c r="BD96" s="27">
        <f>IF(Pagoinversiones!S147&gt;0,$AS96,BC96)</f>
        <v>0</v>
      </c>
      <c r="BE96" s="27">
        <f>IF(Pagoinversiones!T147&gt;0,$AS96,BD96)</f>
        <v>0</v>
      </c>
      <c r="BF96" s="27">
        <f t="shared" si="35"/>
        <v>0</v>
      </c>
      <c r="BG96" s="27">
        <f t="shared" si="42"/>
        <v>0</v>
      </c>
      <c r="BH96" s="27">
        <f t="shared" si="43"/>
        <v>0</v>
      </c>
      <c r="BI96" s="27">
        <f t="shared" si="44"/>
        <v>0</v>
      </c>
      <c r="BJ96" s="27">
        <f t="shared" si="45"/>
        <v>0</v>
      </c>
      <c r="BK96" s="27">
        <f t="shared" si="36"/>
        <v>0</v>
      </c>
      <c r="BL96" s="27">
        <f t="shared" si="46"/>
        <v>0</v>
      </c>
      <c r="BM96" s="27">
        <f t="shared" si="36"/>
        <v>0</v>
      </c>
      <c r="BN96" s="27">
        <f t="shared" si="37"/>
        <v>0</v>
      </c>
      <c r="BO96" s="27">
        <f t="shared" si="20"/>
        <v>0</v>
      </c>
      <c r="BP96" s="27">
        <f t="shared" si="38"/>
        <v>0</v>
      </c>
      <c r="BQ96" s="27">
        <f t="shared" si="39"/>
        <v>0</v>
      </c>
      <c r="BR96" s="27">
        <f t="shared" si="40"/>
        <v>0</v>
      </c>
      <c r="BS96" s="61"/>
    </row>
    <row r="97" spans="2:71" s="27" customFormat="1" ht="11.25" hidden="1" x14ac:dyDescent="0.2">
      <c r="B97" s="60"/>
      <c r="C97" s="27" t="str">
        <f>SANDBOX!D194</f>
        <v>Software standard</v>
      </c>
      <c r="D97" s="27">
        <f>SANDBOX!F194</f>
        <v>0</v>
      </c>
      <c r="E97" s="27">
        <f>Pagoinversiones!H148</f>
        <v>0</v>
      </c>
      <c r="F97" s="27" t="str">
        <f>SANDBOX!G194</f>
        <v>CASH</v>
      </c>
      <c r="J97" s="27">
        <f t="shared" si="57"/>
        <v>10</v>
      </c>
      <c r="K97" s="27">
        <f t="shared" si="21"/>
        <v>120</v>
      </c>
      <c r="L97" s="27">
        <f t="shared" si="58"/>
        <v>0</v>
      </c>
      <c r="P97" s="27">
        <f t="shared" si="18"/>
        <v>0</v>
      </c>
      <c r="Q97" s="27">
        <f t="shared" si="22"/>
        <v>0</v>
      </c>
      <c r="R97" s="27">
        <f>IF(Pagoinversiones!E91&gt;0,$Q97,0)</f>
        <v>0</v>
      </c>
      <c r="S97" s="27">
        <f>IF(Pagoinversiones!F91&gt;0,$Q97,R97)</f>
        <v>0</v>
      </c>
      <c r="T97" s="27">
        <f>IF(Pagoinversiones!G91&gt;0,$Q97,S97)</f>
        <v>0</v>
      </c>
      <c r="U97" s="27">
        <f>IF(Pagoinversiones!H91&gt;0,$Q97,T97)</f>
        <v>0</v>
      </c>
      <c r="V97" s="27">
        <f>IF(Pagoinversiones!I91&gt;0,$Q97,U97)</f>
        <v>0</v>
      </c>
      <c r="W97" s="27">
        <f>IF(Pagoinversiones!J91&gt;0,$Q97,V97)</f>
        <v>0</v>
      </c>
      <c r="X97" s="27">
        <f>IF(Pagoinversiones!K91&gt;0,$Q97,W97)</f>
        <v>0</v>
      </c>
      <c r="Y97" s="27">
        <f>IF(Pagoinversiones!L91&gt;0,$Q97,X97)</f>
        <v>0</v>
      </c>
      <c r="Z97" s="27">
        <f>IF(Pagoinversiones!M91&gt;0,$Q97,Y97)</f>
        <v>0</v>
      </c>
      <c r="AA97" s="27">
        <f>IF(Pagoinversiones!N91&gt;0,$Q97,Z97)</f>
        <v>0</v>
      </c>
      <c r="AB97" s="27">
        <f>IF(Pagoinversiones!O91&gt;0,$Q97,AA97)</f>
        <v>0</v>
      </c>
      <c r="AC97" s="27">
        <f>IF(Pagoinversiones!P91&gt;0,$Q97,AB97)</f>
        <v>0</v>
      </c>
      <c r="AD97" s="27">
        <f t="shared" si="23"/>
        <v>0</v>
      </c>
      <c r="AE97" s="27">
        <f t="shared" si="24"/>
        <v>0</v>
      </c>
      <c r="AF97" s="27">
        <f t="shared" si="25"/>
        <v>0</v>
      </c>
      <c r="AG97" s="27">
        <f t="shared" si="26"/>
        <v>0</v>
      </c>
      <c r="AH97" s="27">
        <f t="shared" si="27"/>
        <v>0</v>
      </c>
      <c r="AI97" s="27">
        <f t="shared" si="28"/>
        <v>0</v>
      </c>
      <c r="AJ97" s="27">
        <f t="shared" si="29"/>
        <v>0</v>
      </c>
      <c r="AK97" s="27">
        <f t="shared" si="28"/>
        <v>0</v>
      </c>
      <c r="AL97" s="27">
        <f t="shared" si="30"/>
        <v>0</v>
      </c>
      <c r="AM97" s="27">
        <f t="shared" si="19"/>
        <v>0</v>
      </c>
      <c r="AN97" s="27">
        <f t="shared" si="31"/>
        <v>0</v>
      </c>
      <c r="AO97" s="27">
        <f t="shared" si="32"/>
        <v>0</v>
      </c>
      <c r="AP97" s="27">
        <f t="shared" si="33"/>
        <v>0</v>
      </c>
      <c r="AR97" s="27">
        <f t="shared" si="34"/>
        <v>0</v>
      </c>
      <c r="AS97" s="27">
        <f t="shared" si="41"/>
        <v>0</v>
      </c>
      <c r="AT97" s="27">
        <f>IF(Pagoinversiones!I148&gt;0,$AS97,0)</f>
        <v>0</v>
      </c>
      <c r="AU97" s="27">
        <f>IF(Pagoinversiones!J148&gt;0,$AS97,AT97)</f>
        <v>0</v>
      </c>
      <c r="AV97" s="27">
        <f>IF(Pagoinversiones!K148&gt;0,$AS97,AU97)</f>
        <v>0</v>
      </c>
      <c r="AW97" s="27">
        <f>IF(Pagoinversiones!L148&gt;0,$AS97,AV97)</f>
        <v>0</v>
      </c>
      <c r="AX97" s="27">
        <f>IF(Pagoinversiones!M148&gt;0,$AS97,AW97)</f>
        <v>0</v>
      </c>
      <c r="AY97" s="27">
        <f>IF(Pagoinversiones!N148&gt;0,$AS97,AX97)</f>
        <v>0</v>
      </c>
      <c r="AZ97" s="27">
        <f>IF(Pagoinversiones!O148&gt;0,$AS97,AY97)</f>
        <v>0</v>
      </c>
      <c r="BA97" s="27">
        <f>IF(Pagoinversiones!P148&gt;0,$AS97,AZ97)</f>
        <v>0</v>
      </c>
      <c r="BB97" s="27">
        <f>IF(Pagoinversiones!Q148&gt;0,$AS97,BA97)</f>
        <v>0</v>
      </c>
      <c r="BC97" s="27">
        <f>IF(Pagoinversiones!R148&gt;0,$AS97,BB97)</f>
        <v>0</v>
      </c>
      <c r="BD97" s="27">
        <f>IF(Pagoinversiones!S148&gt;0,$AS97,BC97)</f>
        <v>0</v>
      </c>
      <c r="BE97" s="27">
        <f>IF(Pagoinversiones!T148&gt;0,$AS97,BD97)</f>
        <v>0</v>
      </c>
      <c r="BF97" s="27">
        <f t="shared" si="35"/>
        <v>0</v>
      </c>
      <c r="BG97" s="27">
        <f t="shared" si="42"/>
        <v>0</v>
      </c>
      <c r="BH97" s="27">
        <f t="shared" si="43"/>
        <v>0</v>
      </c>
      <c r="BI97" s="27">
        <f t="shared" si="44"/>
        <v>0</v>
      </c>
      <c r="BJ97" s="27">
        <f t="shared" si="45"/>
        <v>0</v>
      </c>
      <c r="BK97" s="27">
        <f t="shared" si="36"/>
        <v>0</v>
      </c>
      <c r="BL97" s="27">
        <f t="shared" si="46"/>
        <v>0</v>
      </c>
      <c r="BM97" s="27">
        <f t="shared" si="36"/>
        <v>0</v>
      </c>
      <c r="BN97" s="27">
        <f t="shared" si="37"/>
        <v>0</v>
      </c>
      <c r="BO97" s="27">
        <f t="shared" si="20"/>
        <v>0</v>
      </c>
      <c r="BP97" s="27">
        <f t="shared" si="38"/>
        <v>0</v>
      </c>
      <c r="BQ97" s="27">
        <f t="shared" si="39"/>
        <v>0</v>
      </c>
      <c r="BR97" s="27">
        <f t="shared" si="40"/>
        <v>0</v>
      </c>
      <c r="BS97" s="61"/>
    </row>
    <row r="98" spans="2:71" s="27" customFormat="1" ht="11.25" hidden="1" x14ac:dyDescent="0.2">
      <c r="B98" s="60"/>
      <c r="C98" s="27" t="str">
        <f>SANDBOX!D195</f>
        <v>Traspaso</v>
      </c>
      <c r="D98" s="27">
        <f>SANDBOX!F195</f>
        <v>0</v>
      </c>
      <c r="E98" s="27">
        <f>Pagoinversiones!H149</f>
        <v>0</v>
      </c>
      <c r="F98" s="27" t="str">
        <f>SANDBOX!G195</f>
        <v>CASH</v>
      </c>
      <c r="J98" s="27">
        <f t="shared" si="57"/>
        <v>10</v>
      </c>
      <c r="K98" s="27">
        <f t="shared" si="21"/>
        <v>120</v>
      </c>
      <c r="L98" s="27">
        <f t="shared" si="58"/>
        <v>0</v>
      </c>
      <c r="P98" s="27">
        <f t="shared" si="18"/>
        <v>0</v>
      </c>
      <c r="Q98" s="27">
        <f t="shared" si="22"/>
        <v>0</v>
      </c>
      <c r="R98" s="27">
        <f>IF(Pagoinversiones!E92&gt;0,$Q98,0)</f>
        <v>0</v>
      </c>
      <c r="S98" s="27">
        <f>IF(Pagoinversiones!F92&gt;0,$Q98,R98)</f>
        <v>0</v>
      </c>
      <c r="T98" s="27">
        <f>IF(Pagoinversiones!G92&gt;0,$Q98,S98)</f>
        <v>0</v>
      </c>
      <c r="U98" s="27">
        <f>IF(Pagoinversiones!H92&gt;0,$Q98,T98)</f>
        <v>0</v>
      </c>
      <c r="V98" s="27">
        <f>IF(Pagoinversiones!I92&gt;0,$Q98,U98)</f>
        <v>0</v>
      </c>
      <c r="W98" s="27">
        <f>IF(Pagoinversiones!J92&gt;0,$Q98,V98)</f>
        <v>0</v>
      </c>
      <c r="X98" s="27">
        <f>IF(Pagoinversiones!K92&gt;0,$Q98,W98)</f>
        <v>0</v>
      </c>
      <c r="Y98" s="27">
        <f>IF(Pagoinversiones!L92&gt;0,$Q98,X98)</f>
        <v>0</v>
      </c>
      <c r="Z98" s="27">
        <f>IF(Pagoinversiones!M92&gt;0,$Q98,Y98)</f>
        <v>0</v>
      </c>
      <c r="AA98" s="27">
        <f>IF(Pagoinversiones!N92&gt;0,$Q98,Z98)</f>
        <v>0</v>
      </c>
      <c r="AB98" s="27">
        <f>IF(Pagoinversiones!O92&gt;0,$Q98,AA98)</f>
        <v>0</v>
      </c>
      <c r="AC98" s="27">
        <f>IF(Pagoinversiones!P92&gt;0,$Q98,AB98)</f>
        <v>0</v>
      </c>
      <c r="AD98" s="27">
        <f t="shared" si="23"/>
        <v>0</v>
      </c>
      <c r="AE98" s="27">
        <f t="shared" si="24"/>
        <v>0</v>
      </c>
      <c r="AF98" s="27">
        <f t="shared" si="25"/>
        <v>0</v>
      </c>
      <c r="AG98" s="27">
        <f t="shared" si="26"/>
        <v>0</v>
      </c>
      <c r="AH98" s="27">
        <f t="shared" si="27"/>
        <v>0</v>
      </c>
      <c r="AI98" s="27">
        <f t="shared" si="28"/>
        <v>0</v>
      </c>
      <c r="AJ98" s="27">
        <f t="shared" si="29"/>
        <v>0</v>
      </c>
      <c r="AK98" s="27">
        <f t="shared" si="28"/>
        <v>0</v>
      </c>
      <c r="AL98" s="27">
        <f t="shared" si="30"/>
        <v>0</v>
      </c>
      <c r="AM98" s="27">
        <f t="shared" si="19"/>
        <v>0</v>
      </c>
      <c r="AN98" s="27">
        <f t="shared" si="31"/>
        <v>0</v>
      </c>
      <c r="AO98" s="27">
        <f t="shared" si="32"/>
        <v>0</v>
      </c>
      <c r="AP98" s="27">
        <f t="shared" si="33"/>
        <v>0</v>
      </c>
      <c r="AR98" s="27">
        <f t="shared" si="34"/>
        <v>0</v>
      </c>
      <c r="AS98" s="27">
        <f t="shared" si="41"/>
        <v>0</v>
      </c>
      <c r="AT98" s="27">
        <f>IF(Pagoinversiones!I149&gt;0,$AS98,0)</f>
        <v>0</v>
      </c>
      <c r="AU98" s="27">
        <f>IF(Pagoinversiones!J149&gt;0,$AS98,AT98)</f>
        <v>0</v>
      </c>
      <c r="AV98" s="27">
        <f>IF(Pagoinversiones!K149&gt;0,$AS98,AU98)</f>
        <v>0</v>
      </c>
      <c r="AW98" s="27">
        <f>IF(Pagoinversiones!L149&gt;0,$AS98,AV98)</f>
        <v>0</v>
      </c>
      <c r="AX98" s="27">
        <f>IF(Pagoinversiones!M149&gt;0,$AS98,AW98)</f>
        <v>0</v>
      </c>
      <c r="AY98" s="27">
        <f>IF(Pagoinversiones!N149&gt;0,$AS98,AX98)</f>
        <v>0</v>
      </c>
      <c r="AZ98" s="27">
        <f>IF(Pagoinversiones!O149&gt;0,$AS98,AY98)</f>
        <v>0</v>
      </c>
      <c r="BA98" s="27">
        <f>IF(Pagoinversiones!P149&gt;0,$AS98,AZ98)</f>
        <v>0</v>
      </c>
      <c r="BB98" s="27">
        <f>IF(Pagoinversiones!Q149&gt;0,$AS98,BA98)</f>
        <v>0</v>
      </c>
      <c r="BC98" s="27">
        <f>IF(Pagoinversiones!R149&gt;0,$AS98,BB98)</f>
        <v>0</v>
      </c>
      <c r="BD98" s="27">
        <f>IF(Pagoinversiones!S149&gt;0,$AS98,BC98)</f>
        <v>0</v>
      </c>
      <c r="BE98" s="27">
        <f>IF(Pagoinversiones!T149&gt;0,$AS98,BD98)</f>
        <v>0</v>
      </c>
      <c r="BF98" s="27">
        <f t="shared" si="35"/>
        <v>0</v>
      </c>
      <c r="BG98" s="27">
        <f t="shared" si="42"/>
        <v>0</v>
      </c>
      <c r="BH98" s="27">
        <f t="shared" si="43"/>
        <v>0</v>
      </c>
      <c r="BI98" s="27">
        <f t="shared" si="44"/>
        <v>0</v>
      </c>
      <c r="BJ98" s="27">
        <f t="shared" si="45"/>
        <v>0</v>
      </c>
      <c r="BK98" s="27">
        <f t="shared" si="36"/>
        <v>0</v>
      </c>
      <c r="BL98" s="27">
        <f t="shared" si="46"/>
        <v>0</v>
      </c>
      <c r="BM98" s="27">
        <f t="shared" si="36"/>
        <v>0</v>
      </c>
      <c r="BN98" s="27">
        <f t="shared" si="37"/>
        <v>0</v>
      </c>
      <c r="BO98" s="27">
        <f t="shared" si="20"/>
        <v>0</v>
      </c>
      <c r="BP98" s="27">
        <f t="shared" si="38"/>
        <v>0</v>
      </c>
      <c r="BQ98" s="27">
        <f t="shared" si="39"/>
        <v>0</v>
      </c>
      <c r="BR98" s="27">
        <f t="shared" si="40"/>
        <v>0</v>
      </c>
      <c r="BS98" s="61"/>
    </row>
    <row r="99" spans="2:71" s="27" customFormat="1" ht="11.25" hidden="1" x14ac:dyDescent="0.2">
      <c r="B99" s="60"/>
      <c r="C99" s="27" t="str">
        <f>SANDBOX!D196</f>
        <v>Patentes y marca</v>
      </c>
      <c r="D99" s="27">
        <f>SANDBOX!F196</f>
        <v>0</v>
      </c>
      <c r="E99" s="27">
        <f>Pagoinversiones!H150</f>
        <v>0</v>
      </c>
      <c r="F99" s="27" t="str">
        <f>SANDBOX!G196</f>
        <v>CASH</v>
      </c>
      <c r="J99" s="27">
        <f t="shared" si="57"/>
        <v>10</v>
      </c>
      <c r="K99" s="27">
        <f t="shared" si="21"/>
        <v>120</v>
      </c>
      <c r="L99" s="27">
        <f t="shared" si="58"/>
        <v>0</v>
      </c>
      <c r="P99" s="27">
        <f t="shared" si="18"/>
        <v>0</v>
      </c>
      <c r="Q99" s="27">
        <f t="shared" si="22"/>
        <v>0</v>
      </c>
      <c r="R99" s="27">
        <f>IF(Pagoinversiones!E93&gt;0,$Q99,0)</f>
        <v>0</v>
      </c>
      <c r="S99" s="27">
        <f>IF(Pagoinversiones!F93&gt;0,$Q99,R99)</f>
        <v>0</v>
      </c>
      <c r="T99" s="27">
        <f>IF(Pagoinversiones!G93&gt;0,$Q99,S99)</f>
        <v>0</v>
      </c>
      <c r="U99" s="27">
        <f>IF(Pagoinversiones!H93&gt;0,$Q99,T99)</f>
        <v>0</v>
      </c>
      <c r="V99" s="27">
        <f>IF(Pagoinversiones!I93&gt;0,$Q99,U99)</f>
        <v>0</v>
      </c>
      <c r="W99" s="27">
        <f>IF(Pagoinversiones!J93&gt;0,$Q99,V99)</f>
        <v>0</v>
      </c>
      <c r="X99" s="27">
        <f>IF(Pagoinversiones!K93&gt;0,$Q99,W99)</f>
        <v>0</v>
      </c>
      <c r="Y99" s="27">
        <f>IF(Pagoinversiones!L93&gt;0,$Q99,X99)</f>
        <v>0</v>
      </c>
      <c r="Z99" s="27">
        <f>IF(Pagoinversiones!M93&gt;0,$Q99,Y99)</f>
        <v>0</v>
      </c>
      <c r="AA99" s="27">
        <f>IF(Pagoinversiones!N93&gt;0,$Q99,Z99)</f>
        <v>0</v>
      </c>
      <c r="AB99" s="27">
        <f>IF(Pagoinversiones!O93&gt;0,$Q99,AA99)</f>
        <v>0</v>
      </c>
      <c r="AC99" s="27">
        <f>IF(Pagoinversiones!P93&gt;0,$Q99,AB99)</f>
        <v>0</v>
      </c>
      <c r="AD99" s="27">
        <f t="shared" si="23"/>
        <v>0</v>
      </c>
      <c r="AE99" s="27">
        <f t="shared" si="24"/>
        <v>0</v>
      </c>
      <c r="AF99" s="27">
        <f t="shared" si="25"/>
        <v>0</v>
      </c>
      <c r="AG99" s="27">
        <f t="shared" si="26"/>
        <v>0</v>
      </c>
      <c r="AH99" s="27">
        <f t="shared" si="27"/>
        <v>0</v>
      </c>
      <c r="AI99" s="27">
        <f t="shared" si="28"/>
        <v>0</v>
      </c>
      <c r="AJ99" s="27">
        <f t="shared" si="29"/>
        <v>0</v>
      </c>
      <c r="AK99" s="27">
        <f t="shared" si="28"/>
        <v>0</v>
      </c>
      <c r="AL99" s="27">
        <f t="shared" si="30"/>
        <v>0</v>
      </c>
      <c r="AM99" s="27">
        <f t="shared" si="19"/>
        <v>0</v>
      </c>
      <c r="AN99" s="27">
        <f t="shared" si="31"/>
        <v>0</v>
      </c>
      <c r="AO99" s="27">
        <f t="shared" si="32"/>
        <v>0</v>
      </c>
      <c r="AP99" s="27">
        <f t="shared" si="33"/>
        <v>0</v>
      </c>
      <c r="AR99" s="27">
        <f t="shared" si="34"/>
        <v>0</v>
      </c>
      <c r="AS99" s="27">
        <f t="shared" si="41"/>
        <v>0</v>
      </c>
      <c r="AT99" s="27">
        <f>IF(Pagoinversiones!I150&gt;0,$AS99,0)</f>
        <v>0</v>
      </c>
      <c r="AU99" s="27">
        <f>IF(Pagoinversiones!J150&gt;0,$AS99,AT99)</f>
        <v>0</v>
      </c>
      <c r="AV99" s="27">
        <f>IF(Pagoinversiones!K150&gt;0,$AS99,AU99)</f>
        <v>0</v>
      </c>
      <c r="AW99" s="27">
        <f>IF(Pagoinversiones!L150&gt;0,$AS99,AV99)</f>
        <v>0</v>
      </c>
      <c r="AX99" s="27">
        <f>IF(Pagoinversiones!M150&gt;0,$AS99,AW99)</f>
        <v>0</v>
      </c>
      <c r="AY99" s="27">
        <f>IF(Pagoinversiones!N150&gt;0,$AS99,AX99)</f>
        <v>0</v>
      </c>
      <c r="AZ99" s="27">
        <f>IF(Pagoinversiones!O150&gt;0,$AS99,AY99)</f>
        <v>0</v>
      </c>
      <c r="BA99" s="27">
        <f>IF(Pagoinversiones!P150&gt;0,$AS99,AZ99)</f>
        <v>0</v>
      </c>
      <c r="BB99" s="27">
        <f>IF(Pagoinversiones!Q150&gt;0,$AS99,BA99)</f>
        <v>0</v>
      </c>
      <c r="BC99" s="27">
        <f>IF(Pagoinversiones!R150&gt;0,$AS99,BB99)</f>
        <v>0</v>
      </c>
      <c r="BD99" s="27">
        <f>IF(Pagoinversiones!S150&gt;0,$AS99,BC99)</f>
        <v>0</v>
      </c>
      <c r="BE99" s="27">
        <f>IF(Pagoinversiones!T150&gt;0,$AS99,BD99)</f>
        <v>0</v>
      </c>
      <c r="BF99" s="27">
        <f t="shared" si="35"/>
        <v>0</v>
      </c>
      <c r="BG99" s="27">
        <f t="shared" si="42"/>
        <v>0</v>
      </c>
      <c r="BH99" s="27">
        <f t="shared" si="43"/>
        <v>0</v>
      </c>
      <c r="BI99" s="27">
        <f t="shared" si="44"/>
        <v>0</v>
      </c>
      <c r="BJ99" s="27">
        <f t="shared" si="45"/>
        <v>0</v>
      </c>
      <c r="BK99" s="27">
        <f t="shared" si="36"/>
        <v>0</v>
      </c>
      <c r="BL99" s="27">
        <f t="shared" si="46"/>
        <v>0</v>
      </c>
      <c r="BM99" s="27">
        <f t="shared" si="36"/>
        <v>0</v>
      </c>
      <c r="BN99" s="27">
        <f t="shared" si="37"/>
        <v>0</v>
      </c>
      <c r="BO99" s="27">
        <f t="shared" si="20"/>
        <v>0</v>
      </c>
      <c r="BP99" s="27">
        <f t="shared" si="38"/>
        <v>0</v>
      </c>
      <c r="BQ99" s="27">
        <f t="shared" si="39"/>
        <v>0</v>
      </c>
      <c r="BR99" s="27">
        <f t="shared" si="40"/>
        <v>0</v>
      </c>
      <c r="BS99" s="61"/>
    </row>
    <row r="100" spans="2:71" s="27" customFormat="1" ht="11.25" hidden="1" x14ac:dyDescent="0.2">
      <c r="B100" s="60"/>
      <c r="C100" s="27" t="str">
        <f>SANDBOX!D197</f>
        <v>Otros activos intangibles</v>
      </c>
      <c r="D100" s="27">
        <f>SANDBOX!F197</f>
        <v>0</v>
      </c>
      <c r="E100" s="27">
        <f>Pagoinversiones!H151</f>
        <v>0</v>
      </c>
      <c r="F100" s="27" t="str">
        <f>SANDBOX!G197</f>
        <v>CASH</v>
      </c>
      <c r="J100" s="27">
        <f t="shared" si="57"/>
        <v>10</v>
      </c>
      <c r="K100" s="27">
        <f t="shared" si="21"/>
        <v>120</v>
      </c>
      <c r="L100" s="27">
        <f t="shared" si="58"/>
        <v>0</v>
      </c>
      <c r="P100" s="27">
        <f t="shared" si="18"/>
        <v>0</v>
      </c>
      <c r="Q100" s="27">
        <f t="shared" si="22"/>
        <v>0</v>
      </c>
      <c r="R100" s="27">
        <f>IF(Pagoinversiones!E94&gt;0,$Q100,0)</f>
        <v>0</v>
      </c>
      <c r="S100" s="27">
        <f>IF(Pagoinversiones!F94&gt;0,$Q100,R100)</f>
        <v>0</v>
      </c>
      <c r="T100" s="27">
        <f>IF(Pagoinversiones!G94&gt;0,$Q100,S100)</f>
        <v>0</v>
      </c>
      <c r="U100" s="27">
        <f>IF(Pagoinversiones!H94&gt;0,$Q100,T100)</f>
        <v>0</v>
      </c>
      <c r="V100" s="27">
        <f>IF(Pagoinversiones!I94&gt;0,$Q100,U100)</f>
        <v>0</v>
      </c>
      <c r="W100" s="27">
        <f>IF(Pagoinversiones!J94&gt;0,$Q100,V100)</f>
        <v>0</v>
      </c>
      <c r="X100" s="27">
        <f>IF(Pagoinversiones!K94&gt;0,$Q100,W100)</f>
        <v>0</v>
      </c>
      <c r="Y100" s="27">
        <f>IF(Pagoinversiones!L94&gt;0,$Q100,X100)</f>
        <v>0</v>
      </c>
      <c r="Z100" s="27">
        <f>IF(Pagoinversiones!M94&gt;0,$Q100,Y100)</f>
        <v>0</v>
      </c>
      <c r="AA100" s="27">
        <f>IF(Pagoinversiones!N94&gt;0,$Q100,Z100)</f>
        <v>0</v>
      </c>
      <c r="AB100" s="27">
        <f>IF(Pagoinversiones!O94&gt;0,$Q100,AA100)</f>
        <v>0</v>
      </c>
      <c r="AC100" s="27">
        <f>IF(Pagoinversiones!P94&gt;0,$Q100,AB100)</f>
        <v>0</v>
      </c>
      <c r="AD100" s="27">
        <f t="shared" si="23"/>
        <v>0</v>
      </c>
      <c r="AE100" s="27">
        <f t="shared" si="24"/>
        <v>0</v>
      </c>
      <c r="AF100" s="27">
        <f t="shared" si="25"/>
        <v>0</v>
      </c>
      <c r="AG100" s="27">
        <f t="shared" si="26"/>
        <v>0</v>
      </c>
      <c r="AH100" s="27">
        <f t="shared" si="27"/>
        <v>0</v>
      </c>
      <c r="AI100" s="27">
        <f t="shared" si="28"/>
        <v>0</v>
      </c>
      <c r="AJ100" s="27">
        <f t="shared" si="29"/>
        <v>0</v>
      </c>
      <c r="AK100" s="27">
        <f t="shared" si="28"/>
        <v>0</v>
      </c>
      <c r="AL100" s="27">
        <f t="shared" si="30"/>
        <v>0</v>
      </c>
      <c r="AM100" s="27">
        <f t="shared" si="19"/>
        <v>0</v>
      </c>
      <c r="AN100" s="27">
        <f t="shared" si="31"/>
        <v>0</v>
      </c>
      <c r="AO100" s="27">
        <f t="shared" si="32"/>
        <v>0</v>
      </c>
      <c r="AP100" s="27">
        <f t="shared" si="33"/>
        <v>0</v>
      </c>
      <c r="AR100" s="27">
        <f t="shared" si="34"/>
        <v>0</v>
      </c>
      <c r="AS100" s="27">
        <f t="shared" si="41"/>
        <v>0</v>
      </c>
      <c r="AT100" s="27">
        <f>IF(Pagoinversiones!I151&gt;0,$AS100,0)</f>
        <v>0</v>
      </c>
      <c r="AU100" s="27">
        <f>IF(Pagoinversiones!J151&gt;0,$AS100,AT100)</f>
        <v>0</v>
      </c>
      <c r="AV100" s="27">
        <f>IF(Pagoinversiones!K151&gt;0,$AS100,AU100)</f>
        <v>0</v>
      </c>
      <c r="AW100" s="27">
        <f>IF(Pagoinversiones!L151&gt;0,$AS100,AV100)</f>
        <v>0</v>
      </c>
      <c r="AX100" s="27">
        <f>IF(Pagoinversiones!M151&gt;0,$AS100,AW100)</f>
        <v>0</v>
      </c>
      <c r="AY100" s="27">
        <f>IF(Pagoinversiones!N151&gt;0,$AS100,AX100)</f>
        <v>0</v>
      </c>
      <c r="AZ100" s="27">
        <f>IF(Pagoinversiones!O151&gt;0,$AS100,AY100)</f>
        <v>0</v>
      </c>
      <c r="BA100" s="27">
        <f>IF(Pagoinversiones!P151&gt;0,$AS100,AZ100)</f>
        <v>0</v>
      </c>
      <c r="BB100" s="27">
        <f>IF(Pagoinversiones!Q151&gt;0,$AS100,BA100)</f>
        <v>0</v>
      </c>
      <c r="BC100" s="27">
        <f>IF(Pagoinversiones!R151&gt;0,$AS100,BB100)</f>
        <v>0</v>
      </c>
      <c r="BD100" s="27">
        <f>IF(Pagoinversiones!S151&gt;0,$AS100,BC100)</f>
        <v>0</v>
      </c>
      <c r="BE100" s="27">
        <f>IF(Pagoinversiones!T151&gt;0,$AS100,BD100)</f>
        <v>0</v>
      </c>
      <c r="BF100" s="27">
        <f t="shared" si="35"/>
        <v>0</v>
      </c>
      <c r="BG100" s="27">
        <f t="shared" si="42"/>
        <v>0</v>
      </c>
      <c r="BH100" s="27">
        <f t="shared" si="43"/>
        <v>0</v>
      </c>
      <c r="BI100" s="27">
        <f t="shared" si="44"/>
        <v>0</v>
      </c>
      <c r="BJ100" s="27">
        <f t="shared" si="45"/>
        <v>0</v>
      </c>
      <c r="BK100" s="27">
        <f t="shared" si="36"/>
        <v>0</v>
      </c>
      <c r="BL100" s="27">
        <f t="shared" si="46"/>
        <v>0</v>
      </c>
      <c r="BM100" s="27">
        <f t="shared" si="36"/>
        <v>0</v>
      </c>
      <c r="BN100" s="27">
        <f t="shared" si="37"/>
        <v>0</v>
      </c>
      <c r="BO100" s="27">
        <f t="shared" si="20"/>
        <v>0</v>
      </c>
      <c r="BP100" s="27">
        <f t="shared" si="38"/>
        <v>0</v>
      </c>
      <c r="BQ100" s="27">
        <f t="shared" si="39"/>
        <v>0</v>
      </c>
      <c r="BR100" s="27">
        <f t="shared" si="40"/>
        <v>0</v>
      </c>
      <c r="BS100" s="61"/>
    </row>
    <row r="101" spans="2:71" s="27" customFormat="1" ht="11.25" hidden="1" x14ac:dyDescent="0.2">
      <c r="B101" s="60"/>
      <c r="C101" s="27" t="str">
        <f>SANDBOX!D198</f>
        <v>Activos intangibles 2</v>
      </c>
      <c r="D101" s="27">
        <f>SANDBOX!F198</f>
        <v>0</v>
      </c>
      <c r="E101" s="27">
        <f>Pagoinversiones!H152</f>
        <v>0</v>
      </c>
      <c r="F101" s="27" t="str">
        <f>SANDBOX!G198</f>
        <v>CASH</v>
      </c>
      <c r="J101" s="27">
        <f t="shared" si="57"/>
        <v>10</v>
      </c>
      <c r="K101" s="27">
        <f t="shared" si="21"/>
        <v>120</v>
      </c>
      <c r="L101" s="27">
        <f t="shared" si="58"/>
        <v>0</v>
      </c>
      <c r="P101" s="27">
        <f t="shared" si="18"/>
        <v>0</v>
      </c>
      <c r="Q101" s="27">
        <f t="shared" si="22"/>
        <v>0</v>
      </c>
      <c r="R101" s="27">
        <f>IF(Pagoinversiones!E95&gt;0,$Q101,0)</f>
        <v>0</v>
      </c>
      <c r="S101" s="27">
        <f>IF(Pagoinversiones!F95&gt;0,$Q101,R101)</f>
        <v>0</v>
      </c>
      <c r="T101" s="27">
        <f>IF(Pagoinversiones!G95&gt;0,$Q101,S101)</f>
        <v>0</v>
      </c>
      <c r="U101" s="27">
        <f>IF(Pagoinversiones!H95&gt;0,$Q101,T101)</f>
        <v>0</v>
      </c>
      <c r="V101" s="27">
        <f>IF(Pagoinversiones!I95&gt;0,$Q101,U101)</f>
        <v>0</v>
      </c>
      <c r="W101" s="27">
        <f>IF(Pagoinversiones!J95&gt;0,$Q101,V101)</f>
        <v>0</v>
      </c>
      <c r="X101" s="27">
        <f>IF(Pagoinversiones!K95&gt;0,$Q101,W101)</f>
        <v>0</v>
      </c>
      <c r="Y101" s="27">
        <f>IF(Pagoinversiones!L95&gt;0,$Q101,X101)</f>
        <v>0</v>
      </c>
      <c r="Z101" s="27">
        <f>IF(Pagoinversiones!M95&gt;0,$Q101,Y101)</f>
        <v>0</v>
      </c>
      <c r="AA101" s="27">
        <f>IF(Pagoinversiones!N95&gt;0,$Q101,Z101)</f>
        <v>0</v>
      </c>
      <c r="AB101" s="27">
        <f>IF(Pagoinversiones!O95&gt;0,$Q101,AA101)</f>
        <v>0</v>
      </c>
      <c r="AC101" s="27">
        <f>IF(Pagoinversiones!P95&gt;0,$Q101,AB101)</f>
        <v>0</v>
      </c>
      <c r="AD101" s="27">
        <f t="shared" si="23"/>
        <v>0</v>
      </c>
      <c r="AE101" s="27">
        <f t="shared" si="24"/>
        <v>0</v>
      </c>
      <c r="AF101" s="27">
        <f t="shared" si="25"/>
        <v>0</v>
      </c>
      <c r="AG101" s="27">
        <f t="shared" si="26"/>
        <v>0</v>
      </c>
      <c r="AH101" s="27">
        <f t="shared" si="27"/>
        <v>0</v>
      </c>
      <c r="AI101" s="27">
        <f t="shared" si="28"/>
        <v>0</v>
      </c>
      <c r="AJ101" s="27">
        <f t="shared" si="29"/>
        <v>0</v>
      </c>
      <c r="AK101" s="27">
        <f t="shared" si="28"/>
        <v>0</v>
      </c>
      <c r="AL101" s="27">
        <f t="shared" si="30"/>
        <v>0</v>
      </c>
      <c r="AM101" s="27">
        <f t="shared" si="19"/>
        <v>0</v>
      </c>
      <c r="AN101" s="27">
        <f t="shared" si="31"/>
        <v>0</v>
      </c>
      <c r="AO101" s="27">
        <f t="shared" si="32"/>
        <v>0</v>
      </c>
      <c r="AP101" s="27">
        <f t="shared" si="33"/>
        <v>0</v>
      </c>
      <c r="AR101" s="27">
        <f t="shared" si="34"/>
        <v>0</v>
      </c>
      <c r="AS101" s="27">
        <f t="shared" si="41"/>
        <v>0</v>
      </c>
      <c r="AT101" s="27">
        <f>IF(Pagoinversiones!I152&gt;0,$AS101,0)</f>
        <v>0</v>
      </c>
      <c r="AU101" s="27">
        <f>IF(Pagoinversiones!J152&gt;0,$AS101,AT101)</f>
        <v>0</v>
      </c>
      <c r="AV101" s="27">
        <f>IF(Pagoinversiones!K152&gt;0,$AS101,AU101)</f>
        <v>0</v>
      </c>
      <c r="AW101" s="27">
        <f>IF(Pagoinversiones!L152&gt;0,$AS101,AV101)</f>
        <v>0</v>
      </c>
      <c r="AX101" s="27">
        <f>IF(Pagoinversiones!M152&gt;0,$AS101,AW101)</f>
        <v>0</v>
      </c>
      <c r="AY101" s="27">
        <f>IF(Pagoinversiones!N152&gt;0,$AS101,AX101)</f>
        <v>0</v>
      </c>
      <c r="AZ101" s="27">
        <f>IF(Pagoinversiones!O152&gt;0,$AS101,AY101)</f>
        <v>0</v>
      </c>
      <c r="BA101" s="27">
        <f>IF(Pagoinversiones!P152&gt;0,$AS101,AZ101)</f>
        <v>0</v>
      </c>
      <c r="BB101" s="27">
        <f>IF(Pagoinversiones!Q152&gt;0,$AS101,BA101)</f>
        <v>0</v>
      </c>
      <c r="BC101" s="27">
        <f>IF(Pagoinversiones!R152&gt;0,$AS101,BB101)</f>
        <v>0</v>
      </c>
      <c r="BD101" s="27">
        <f>IF(Pagoinversiones!S152&gt;0,$AS101,BC101)</f>
        <v>0</v>
      </c>
      <c r="BE101" s="27">
        <f>IF(Pagoinversiones!T152&gt;0,$AS101,BD101)</f>
        <v>0</v>
      </c>
      <c r="BF101" s="27">
        <f t="shared" si="35"/>
        <v>0</v>
      </c>
      <c r="BG101" s="27">
        <f>+AR101-BF101</f>
        <v>0</v>
      </c>
      <c r="BH101" s="27">
        <f t="shared" si="43"/>
        <v>0</v>
      </c>
      <c r="BI101" s="27">
        <f t="shared" si="44"/>
        <v>0</v>
      </c>
      <c r="BJ101" s="27">
        <f t="shared" si="45"/>
        <v>0</v>
      </c>
      <c r="BK101" s="27">
        <f t="shared" si="36"/>
        <v>0</v>
      </c>
      <c r="BL101" s="27">
        <f t="shared" si="46"/>
        <v>0</v>
      </c>
      <c r="BM101" s="27">
        <f t="shared" si="36"/>
        <v>0</v>
      </c>
      <c r="BN101" s="27">
        <f t="shared" si="37"/>
        <v>0</v>
      </c>
      <c r="BO101" s="27">
        <f t="shared" si="20"/>
        <v>0</v>
      </c>
      <c r="BP101" s="27">
        <f t="shared" si="38"/>
        <v>0</v>
      </c>
      <c r="BQ101" s="27">
        <f t="shared" si="39"/>
        <v>0</v>
      </c>
      <c r="BR101" s="27">
        <f t="shared" si="40"/>
        <v>0</v>
      </c>
      <c r="BS101" s="61"/>
    </row>
    <row r="102" spans="2:71" s="27" customFormat="1" ht="11.25" hidden="1" x14ac:dyDescent="0.2">
      <c r="B102" s="60"/>
      <c r="G102" s="27">
        <f>SUM(G60:G101)</f>
        <v>0</v>
      </c>
      <c r="H102" s="27">
        <f>SUM(H60:H101)</f>
        <v>0</v>
      </c>
      <c r="O102" s="27" t="s">
        <v>1182</v>
      </c>
      <c r="R102" s="27">
        <f>SUM(R60:R95)</f>
        <v>0</v>
      </c>
      <c r="S102" s="27">
        <f t="shared" ref="S102:AD102" si="59">SUM(S60:S95)</f>
        <v>0</v>
      </c>
      <c r="T102" s="27">
        <f t="shared" si="59"/>
        <v>0</v>
      </c>
      <c r="U102" s="27">
        <f t="shared" si="59"/>
        <v>0</v>
      </c>
      <c r="V102" s="27">
        <f t="shared" si="59"/>
        <v>0</v>
      </c>
      <c r="W102" s="27">
        <f t="shared" si="59"/>
        <v>0</v>
      </c>
      <c r="X102" s="27">
        <f t="shared" si="59"/>
        <v>0</v>
      </c>
      <c r="Y102" s="27">
        <f t="shared" si="59"/>
        <v>0</v>
      </c>
      <c r="Z102" s="27">
        <f t="shared" si="59"/>
        <v>0</v>
      </c>
      <c r="AA102" s="27">
        <f t="shared" si="59"/>
        <v>0</v>
      </c>
      <c r="AB102" s="27">
        <f t="shared" si="59"/>
        <v>0</v>
      </c>
      <c r="AC102" s="27">
        <f t="shared" si="59"/>
        <v>0</v>
      </c>
      <c r="AD102" s="27">
        <f t="shared" si="59"/>
        <v>0</v>
      </c>
      <c r="AE102" s="27">
        <f>SUM(AE60:AE95)</f>
        <v>0</v>
      </c>
      <c r="AF102" s="27">
        <f>SUM(AF60:AF95)</f>
        <v>0</v>
      </c>
      <c r="AG102" s="27">
        <f t="shared" ref="AG102:AP102" si="60">SUM(AG60:AG95)</f>
        <v>0</v>
      </c>
      <c r="AH102" s="27">
        <f t="shared" si="60"/>
        <v>0</v>
      </c>
      <c r="AI102" s="27">
        <f t="shared" si="60"/>
        <v>0</v>
      </c>
      <c r="AJ102" s="27">
        <f t="shared" si="60"/>
        <v>0</v>
      </c>
      <c r="AK102" s="27">
        <f t="shared" si="60"/>
        <v>0</v>
      </c>
      <c r="AL102" s="27">
        <f t="shared" si="60"/>
        <v>0</v>
      </c>
      <c r="AM102" s="27">
        <f t="shared" si="60"/>
        <v>0</v>
      </c>
      <c r="AN102" s="27">
        <f t="shared" si="60"/>
        <v>0</v>
      </c>
      <c r="AO102" s="27">
        <f t="shared" si="60"/>
        <v>0</v>
      </c>
      <c r="AP102" s="27">
        <f t="shared" si="60"/>
        <v>0</v>
      </c>
      <c r="AR102" s="27">
        <f>IF($AU$58=SB!$J$123,0,SUM(AR60:AR101))</f>
        <v>0</v>
      </c>
      <c r="AS102" s="27">
        <f>IF(AM102=0,AR102/12,AR102/AM102)</f>
        <v>0</v>
      </c>
      <c r="AT102" s="27">
        <f>IF($AU$58=SB!$J$123,0,SUM(AT60:AT101))</f>
        <v>0</v>
      </c>
      <c r="AU102" s="27">
        <f>IF($AU$58=SB!$J$123,0,SUM(AU60:AU101))</f>
        <v>0</v>
      </c>
      <c r="AV102" s="27">
        <f>IF($AU$58=SB!$J$123,0,SUM(AV60:AV101))</f>
        <v>0</v>
      </c>
      <c r="AW102" s="27">
        <f>IF($AU$58=SB!$J$123,0,SUM(AW60:AW101))</f>
        <v>0</v>
      </c>
      <c r="AX102" s="27">
        <f>IF($AU$58=SB!$J$123,0,SUM(AX60:AX101))</f>
        <v>0</v>
      </c>
      <c r="AY102" s="27">
        <f>IF($AU$58=SB!$J$123,0,SUM(AY60:AY101))</f>
        <v>0</v>
      </c>
      <c r="AZ102" s="27">
        <f>IF($AU$58=SB!$J$123,0,SUM(AZ60:AZ101))</f>
        <v>0</v>
      </c>
      <c r="BA102" s="27">
        <f>IF($AU$58=SB!$J$123,0,SUM(BA60:BA101))</f>
        <v>0</v>
      </c>
      <c r="BB102" s="27">
        <f>IF($AU$58=SB!$J$123,0,SUM(BB60:BB101))</f>
        <v>0</v>
      </c>
      <c r="BC102" s="27">
        <f>IF($AU$58=SB!$J$123,0,SUM(BC60:BC101))</f>
        <v>0</v>
      </c>
      <c r="BD102" s="27">
        <f>IF($AU$58=SB!$J$123,0,SUM(BD60:BD101))</f>
        <v>0</v>
      </c>
      <c r="BE102" s="27">
        <f>IF($AU$58=SB!$J$123,0,SUM(BE60:BE101))</f>
        <v>0</v>
      </c>
      <c r="BF102" s="27">
        <f>IF($AU$58=SB!$J$123,0,SUM(BF60:BF101))</f>
        <v>0</v>
      </c>
      <c r="BG102" s="27">
        <f>IF($AU$58=SB!$J$123,0,SUM(BG60:BG101))</f>
        <v>0</v>
      </c>
      <c r="BH102" s="27">
        <f>IF($AU$58=SB!$J$123,0,SUM(BH60:BH101))</f>
        <v>0</v>
      </c>
      <c r="BI102" s="27">
        <f>IF($AU$58=SB!$J$123,0,SUM(BI60:BI101))</f>
        <v>0</v>
      </c>
      <c r="BJ102" s="27">
        <f>IF($AU$58=SB!$J$123,0,SUM(BJ60:BJ101))</f>
        <v>0</v>
      </c>
      <c r="BK102" s="27">
        <f>IF($AU$58=SB!$J$123,0,SUM(BK60:BK101))</f>
        <v>0</v>
      </c>
      <c r="BL102" s="27">
        <f>IF($AU$58=SB!$J$123,0,SUM(BL60:BL101))</f>
        <v>0</v>
      </c>
      <c r="BM102" s="27">
        <f>IF($AU$58=SB!$J$123,0,SUM(BM60:BM101))</f>
        <v>0</v>
      </c>
      <c r="BN102" s="27">
        <f>IF($AU$58=SB!$J$123,0,SUM(BN60:BN101))</f>
        <v>0</v>
      </c>
      <c r="BO102" s="27">
        <f>IF($AU$58=SB!$J$123,0,SUM(BO60:BO101))</f>
        <v>0</v>
      </c>
      <c r="BP102" s="27">
        <f>IF($AU$58=SB!$J$123,0,SUM(BP60:BP101))</f>
        <v>0</v>
      </c>
      <c r="BQ102" s="27">
        <f>IF($AU$58=SB!$J$123,0,SUM(BQ60:BQ101))</f>
        <v>0</v>
      </c>
      <c r="BR102" s="27">
        <f>IF($AU$58=SB!$J$123,0,SUM(BR60:BR101))</f>
        <v>0</v>
      </c>
      <c r="BS102" s="61"/>
    </row>
    <row r="103" spans="2:71" s="27" customFormat="1" ht="11.25" hidden="1" x14ac:dyDescent="0.2">
      <c r="B103" s="65"/>
      <c r="C103" s="66"/>
      <c r="D103" s="66"/>
      <c r="E103" s="66"/>
      <c r="F103" s="66"/>
      <c r="G103" s="66"/>
      <c r="H103" s="66"/>
      <c r="I103" s="66"/>
      <c r="J103" s="66"/>
      <c r="K103" s="66"/>
      <c r="L103" s="66"/>
      <c r="M103" s="66"/>
      <c r="N103" s="66"/>
      <c r="O103" s="66" t="s">
        <v>1183</v>
      </c>
      <c r="P103" s="66"/>
      <c r="Q103" s="66"/>
      <c r="R103" s="66">
        <f>SUM(R96:R101)</f>
        <v>0</v>
      </c>
      <c r="S103" s="66">
        <f t="shared" ref="S103:AD103" si="61">SUM(S96:S101)</f>
        <v>0</v>
      </c>
      <c r="T103" s="66">
        <f t="shared" si="61"/>
        <v>0</v>
      </c>
      <c r="U103" s="66">
        <f t="shared" si="61"/>
        <v>0</v>
      </c>
      <c r="V103" s="66">
        <f t="shared" si="61"/>
        <v>0</v>
      </c>
      <c r="W103" s="66">
        <f t="shared" si="61"/>
        <v>0</v>
      </c>
      <c r="X103" s="66">
        <f t="shared" si="61"/>
        <v>0</v>
      </c>
      <c r="Y103" s="66">
        <f t="shared" si="61"/>
        <v>0</v>
      </c>
      <c r="Z103" s="66">
        <f t="shared" si="61"/>
        <v>0</v>
      </c>
      <c r="AA103" s="66">
        <f t="shared" si="61"/>
        <v>0</v>
      </c>
      <c r="AB103" s="66">
        <f t="shared" si="61"/>
        <v>0</v>
      </c>
      <c r="AC103" s="66">
        <f t="shared" si="61"/>
        <v>0</v>
      </c>
      <c r="AD103" s="66">
        <f t="shared" si="61"/>
        <v>0</v>
      </c>
      <c r="AE103" s="66">
        <f>SUM(AE96:AE101)</f>
        <v>0</v>
      </c>
      <c r="AF103" s="66">
        <f t="shared" ref="AF103:AP103" si="62">SUM(AF96:AF101)</f>
        <v>0</v>
      </c>
      <c r="AG103" s="66">
        <f t="shared" si="62"/>
        <v>0</v>
      </c>
      <c r="AH103" s="66">
        <f t="shared" si="62"/>
        <v>0</v>
      </c>
      <c r="AI103" s="66">
        <f t="shared" si="62"/>
        <v>0</v>
      </c>
      <c r="AJ103" s="66">
        <f t="shared" si="62"/>
        <v>0</v>
      </c>
      <c r="AK103" s="66">
        <f t="shared" si="62"/>
        <v>0</v>
      </c>
      <c r="AL103" s="66">
        <f t="shared" si="62"/>
        <v>0</v>
      </c>
      <c r="AM103" s="66">
        <f t="shared" si="62"/>
        <v>0</v>
      </c>
      <c r="AN103" s="66">
        <f t="shared" si="62"/>
        <v>0</v>
      </c>
      <c r="AO103" s="66">
        <f t="shared" si="62"/>
        <v>0</v>
      </c>
      <c r="AP103" s="66">
        <f t="shared" si="62"/>
        <v>0</v>
      </c>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7"/>
    </row>
    <row r="104" spans="2:71" s="27" customFormat="1" ht="11.25" hidden="1" x14ac:dyDescent="0.2">
      <c r="B104" s="62"/>
      <c r="C104" s="63"/>
      <c r="D104" s="63"/>
      <c r="E104" s="63"/>
      <c r="F104" s="63"/>
      <c r="G104" s="63"/>
      <c r="H104" s="63"/>
      <c r="I104" s="63"/>
      <c r="J104" s="63"/>
      <c r="K104" s="63"/>
      <c r="L104" s="63"/>
      <c r="M104" s="63"/>
      <c r="N104" s="63"/>
      <c r="O104" s="63"/>
      <c r="P104" s="63"/>
      <c r="Q104" s="63"/>
      <c r="R104" s="63"/>
      <c r="S104" s="63"/>
      <c r="T104" s="63"/>
      <c r="U104" s="63"/>
      <c r="V104" s="64"/>
    </row>
    <row r="105" spans="2:71" s="27" customFormat="1" ht="11.25" hidden="1" x14ac:dyDescent="0.2">
      <c r="B105" s="60"/>
      <c r="C105" s="27" t="s">
        <v>891</v>
      </c>
      <c r="V105" s="61"/>
      <c r="AO105" s="27" t="s">
        <v>888</v>
      </c>
      <c r="AP105" s="27">
        <f>SUM(AO102:AP102)+AO103</f>
        <v>0</v>
      </c>
    </row>
    <row r="106" spans="2:71" s="27" customFormat="1" ht="11.25" hidden="1" x14ac:dyDescent="0.2">
      <c r="B106" s="60"/>
      <c r="C106" s="27" t="s">
        <v>1307</v>
      </c>
      <c r="D106" s="27" t="s">
        <v>1320</v>
      </c>
      <c r="E106" s="27">
        <v>1</v>
      </c>
      <c r="F106" s="27">
        <v>2</v>
      </c>
      <c r="G106" s="27">
        <v>3</v>
      </c>
      <c r="H106" s="27">
        <v>4</v>
      </c>
      <c r="I106" s="27">
        <v>5</v>
      </c>
      <c r="J106" s="27" t="s">
        <v>1308</v>
      </c>
      <c r="K106" s="27" t="s">
        <v>1309</v>
      </c>
      <c r="M106" s="27" t="s">
        <v>893</v>
      </c>
      <c r="S106" s="27" t="s">
        <v>892</v>
      </c>
      <c r="V106" s="61"/>
      <c r="AP106" s="27">
        <f>SUMIF(F60:F101,G59,D60:D101)</f>
        <v>0</v>
      </c>
    </row>
    <row r="107" spans="2:71" s="27" customFormat="1" ht="11.25" hidden="1" x14ac:dyDescent="0.2">
      <c r="B107" s="60"/>
      <c r="E107" s="27">
        <f>D!$N$6</f>
        <v>2013</v>
      </c>
      <c r="F107" s="27">
        <f>+E107+1</f>
        <v>2014</v>
      </c>
      <c r="G107" s="27">
        <f>+F107+1</f>
        <v>2015</v>
      </c>
      <c r="H107" s="27">
        <f>+G107+1</f>
        <v>2016</v>
      </c>
      <c r="I107" s="27">
        <f>+H107+1</f>
        <v>2017</v>
      </c>
      <c r="M107" s="27" t="s">
        <v>1304</v>
      </c>
      <c r="N107" s="27" t="s">
        <v>1305</v>
      </c>
      <c r="O107" s="27" t="s">
        <v>305</v>
      </c>
      <c r="P107" s="27" t="s">
        <v>1312</v>
      </c>
      <c r="Q107" s="27" t="s">
        <v>1313</v>
      </c>
      <c r="S107" s="27" t="s">
        <v>1306</v>
      </c>
      <c r="T107" s="27" t="s">
        <v>1305</v>
      </c>
      <c r="U107" s="27" t="s">
        <v>1314</v>
      </c>
      <c r="V107" s="61"/>
    </row>
    <row r="108" spans="2:71" s="27" customFormat="1" ht="11.25" hidden="1" x14ac:dyDescent="0.2">
      <c r="B108" s="60"/>
      <c r="C108" s="27">
        <f t="shared" ref="C108:C122" si="63">S108</f>
        <v>1</v>
      </c>
      <c r="D108" s="27">
        <f t="shared" ref="D108:D122" si="64">+U108/S108</f>
        <v>0</v>
      </c>
      <c r="E108" s="27">
        <f>IF($C108&gt;=E$106,$D108,0)</f>
        <v>0</v>
      </c>
      <c r="F108" s="27">
        <f t="shared" ref="E108:I122" si="65">IF($C108&gt;=F$106,$D108,0)</f>
        <v>0</v>
      </c>
      <c r="G108" s="27">
        <f t="shared" si="65"/>
        <v>0</v>
      </c>
      <c r="H108" s="27">
        <f>IF($C108&gt;=H$106,$D108,0)</f>
        <v>0</v>
      </c>
      <c r="I108" s="27">
        <f t="shared" si="65"/>
        <v>0</v>
      </c>
      <c r="J108" s="27">
        <f>SUM(E108:I108)</f>
        <v>0</v>
      </c>
      <c r="K108" s="27">
        <f t="shared" ref="K108:K122" si="66">+T108-J108</f>
        <v>0</v>
      </c>
      <c r="M108" s="62" t="str">
        <f>SB!X192</f>
        <v>Terrenos, construcciones y edificaciones</v>
      </c>
      <c r="N108" s="63">
        <f>SB!Z192</f>
        <v>0</v>
      </c>
      <c r="O108" s="64">
        <f>D!P24</f>
        <v>20</v>
      </c>
      <c r="P108" s="27">
        <f>SB!AB192</f>
        <v>0</v>
      </c>
      <c r="Q108" s="27">
        <f t="shared" ref="Q108:Q114" si="67">+N108*P108</f>
        <v>0</v>
      </c>
      <c r="S108" s="27">
        <f>SB!E177</f>
        <v>1</v>
      </c>
      <c r="T108" s="27">
        <f>SUMIF(O108:O122,S108,N108:N122)</f>
        <v>0</v>
      </c>
      <c r="U108" s="27">
        <f t="shared" ref="U108:U122" si="68">+T108-(T108*$Q$124)</f>
        <v>0</v>
      </c>
      <c r="V108" s="61"/>
    </row>
    <row r="109" spans="2:71" s="27" customFormat="1" ht="11.25" hidden="1" x14ac:dyDescent="0.2">
      <c r="B109" s="60"/>
      <c r="C109" s="27">
        <f t="shared" si="63"/>
        <v>2</v>
      </c>
      <c r="D109" s="27">
        <f t="shared" si="64"/>
        <v>0</v>
      </c>
      <c r="E109" s="27">
        <f t="shared" si="65"/>
        <v>0</v>
      </c>
      <c r="F109" s="27">
        <f t="shared" si="65"/>
        <v>0</v>
      </c>
      <c r="G109" s="27">
        <f t="shared" si="65"/>
        <v>0</v>
      </c>
      <c r="H109" s="27">
        <f t="shared" si="65"/>
        <v>0</v>
      </c>
      <c r="I109" s="27">
        <f t="shared" si="65"/>
        <v>0</v>
      </c>
      <c r="J109" s="27">
        <f t="shared" ref="J109:J116" si="69">SUM(E109:I109)</f>
        <v>0</v>
      </c>
      <c r="K109" s="27">
        <f t="shared" si="66"/>
        <v>0</v>
      </c>
      <c r="M109" s="60" t="str">
        <f>SB!X193</f>
        <v>Otras instalaciones</v>
      </c>
      <c r="N109" s="27">
        <f>SB!Z193</f>
        <v>0</v>
      </c>
      <c r="O109" s="61">
        <f>D!P25</f>
        <v>10</v>
      </c>
      <c r="P109" s="27">
        <f>SB!AB193</f>
        <v>0</v>
      </c>
      <c r="Q109" s="27">
        <f t="shared" si="67"/>
        <v>0</v>
      </c>
      <c r="S109" s="27">
        <f>SB!E178</f>
        <v>2</v>
      </c>
      <c r="T109" s="27">
        <f>SUMIF(O108:O122,S109,N108:N122)</f>
        <v>0</v>
      </c>
      <c r="U109" s="27">
        <f t="shared" si="68"/>
        <v>0</v>
      </c>
      <c r="V109" s="61"/>
    </row>
    <row r="110" spans="2:71" s="27" customFormat="1" ht="11.25" hidden="1" x14ac:dyDescent="0.2">
      <c r="B110" s="60"/>
      <c r="C110" s="27">
        <f t="shared" si="63"/>
        <v>3</v>
      </c>
      <c r="D110" s="27">
        <f t="shared" si="64"/>
        <v>0</v>
      </c>
      <c r="E110" s="27">
        <f t="shared" si="65"/>
        <v>0</v>
      </c>
      <c r="F110" s="27">
        <f t="shared" si="65"/>
        <v>0</v>
      </c>
      <c r="G110" s="27">
        <f t="shared" si="65"/>
        <v>0</v>
      </c>
      <c r="H110" s="27">
        <f t="shared" si="65"/>
        <v>0</v>
      </c>
      <c r="I110" s="27">
        <f t="shared" si="65"/>
        <v>0</v>
      </c>
      <c r="J110" s="27">
        <f t="shared" si="69"/>
        <v>0</v>
      </c>
      <c r="K110" s="27">
        <f t="shared" si="66"/>
        <v>0</v>
      </c>
      <c r="M110" s="60" t="str">
        <f>SB!X194</f>
        <v>Maquinaria, utillaje y herramientas</v>
      </c>
      <c r="N110" s="27">
        <f>SB!Z194</f>
        <v>0</v>
      </c>
      <c r="O110" s="61">
        <f>D!P26</f>
        <v>5</v>
      </c>
      <c r="P110" s="27">
        <f>SB!AB194</f>
        <v>0</v>
      </c>
      <c r="Q110" s="27">
        <f t="shared" si="67"/>
        <v>0</v>
      </c>
      <c r="S110" s="27">
        <f>SB!E179</f>
        <v>3</v>
      </c>
      <c r="T110" s="27">
        <f>SUMIF(O108:O122,S110,N108:N122)</f>
        <v>0</v>
      </c>
      <c r="U110" s="27">
        <f t="shared" si="68"/>
        <v>0</v>
      </c>
      <c r="V110" s="61"/>
    </row>
    <row r="111" spans="2:71" s="27" customFormat="1" ht="11.25" hidden="1" x14ac:dyDescent="0.2">
      <c r="B111" s="60"/>
      <c r="C111" s="27">
        <f t="shared" si="63"/>
        <v>4</v>
      </c>
      <c r="D111" s="27">
        <f t="shared" si="64"/>
        <v>0</v>
      </c>
      <c r="E111" s="27">
        <f t="shared" si="65"/>
        <v>0</v>
      </c>
      <c r="F111" s="27">
        <f t="shared" si="65"/>
        <v>0</v>
      </c>
      <c r="G111" s="27">
        <f t="shared" si="65"/>
        <v>0</v>
      </c>
      <c r="H111" s="27">
        <f t="shared" si="65"/>
        <v>0</v>
      </c>
      <c r="I111" s="27">
        <f t="shared" si="65"/>
        <v>0</v>
      </c>
      <c r="J111" s="27">
        <f t="shared" si="69"/>
        <v>0</v>
      </c>
      <c r="K111" s="27">
        <f t="shared" si="66"/>
        <v>0</v>
      </c>
      <c r="M111" s="60" t="str">
        <f>SB!X195</f>
        <v>Vehículos y elementos de transporte</v>
      </c>
      <c r="N111" s="27">
        <f>SB!Z195</f>
        <v>0</v>
      </c>
      <c r="O111" s="61">
        <f>D!P27</f>
        <v>5</v>
      </c>
      <c r="P111" s="27">
        <f>SB!AB195</f>
        <v>0</v>
      </c>
      <c r="Q111" s="27">
        <f t="shared" si="67"/>
        <v>0</v>
      </c>
      <c r="S111" s="27">
        <f>SB!E180</f>
        <v>4</v>
      </c>
      <c r="T111" s="27">
        <f>SUMIF(O108:O122,S111,N108:N122)</f>
        <v>0</v>
      </c>
      <c r="U111" s="27">
        <f t="shared" si="68"/>
        <v>0</v>
      </c>
      <c r="V111" s="61"/>
    </row>
    <row r="112" spans="2:71" s="27" customFormat="1" ht="11.25" hidden="1" x14ac:dyDescent="0.2">
      <c r="B112" s="60"/>
      <c r="C112" s="27">
        <f t="shared" si="63"/>
        <v>5</v>
      </c>
      <c r="D112" s="27">
        <f t="shared" si="64"/>
        <v>0</v>
      </c>
      <c r="E112" s="27">
        <f t="shared" si="65"/>
        <v>0</v>
      </c>
      <c r="F112" s="27">
        <f t="shared" si="65"/>
        <v>0</v>
      </c>
      <c r="G112" s="27">
        <f t="shared" si="65"/>
        <v>0</v>
      </c>
      <c r="H112" s="27">
        <f t="shared" si="65"/>
        <v>0</v>
      </c>
      <c r="I112" s="27">
        <f t="shared" si="65"/>
        <v>0</v>
      </c>
      <c r="J112" s="27">
        <f t="shared" si="69"/>
        <v>0</v>
      </c>
      <c r="K112" s="27">
        <f t="shared" si="66"/>
        <v>0</v>
      </c>
      <c r="M112" s="60" t="str">
        <f>SB!X196</f>
        <v>Mobiliario y equipos oficina</v>
      </c>
      <c r="N112" s="27">
        <f>SB!Z196</f>
        <v>0</v>
      </c>
      <c r="O112" s="61">
        <f>D!P28</f>
        <v>10</v>
      </c>
      <c r="P112" s="27">
        <f>SB!AB196</f>
        <v>0</v>
      </c>
      <c r="Q112" s="27">
        <f t="shared" si="67"/>
        <v>0</v>
      </c>
      <c r="S112" s="27">
        <f>SB!E181</f>
        <v>5</v>
      </c>
      <c r="T112" s="27">
        <f>SUMIF(O108:O122,S112,N108:N122)</f>
        <v>0</v>
      </c>
      <c r="U112" s="27">
        <f t="shared" si="68"/>
        <v>0</v>
      </c>
      <c r="V112" s="61"/>
    </row>
    <row r="113" spans="2:22" s="27" customFormat="1" ht="11.25" hidden="1" x14ac:dyDescent="0.2">
      <c r="B113" s="60"/>
      <c r="C113" s="27">
        <f t="shared" si="63"/>
        <v>6</v>
      </c>
      <c r="D113" s="27">
        <f t="shared" si="64"/>
        <v>0</v>
      </c>
      <c r="E113" s="27">
        <f t="shared" si="65"/>
        <v>0</v>
      </c>
      <c r="F113" s="27">
        <f t="shared" si="65"/>
        <v>0</v>
      </c>
      <c r="G113" s="27">
        <f t="shared" si="65"/>
        <v>0</v>
      </c>
      <c r="H113" s="27">
        <f t="shared" si="65"/>
        <v>0</v>
      </c>
      <c r="I113" s="27">
        <f t="shared" si="65"/>
        <v>0</v>
      </c>
      <c r="J113" s="27">
        <f t="shared" si="69"/>
        <v>0</v>
      </c>
      <c r="K113" s="27">
        <f t="shared" si="66"/>
        <v>0</v>
      </c>
      <c r="M113" s="60" t="str">
        <f>SB!X197</f>
        <v>Equipos informáticos</v>
      </c>
      <c r="N113" s="27">
        <f>SB!Z197</f>
        <v>0</v>
      </c>
      <c r="O113" s="61">
        <f>D!P29</f>
        <v>5</v>
      </c>
      <c r="P113" s="27">
        <f>SB!AB197</f>
        <v>0</v>
      </c>
      <c r="Q113" s="27">
        <f t="shared" si="67"/>
        <v>0</v>
      </c>
      <c r="S113" s="27">
        <f>SB!E182</f>
        <v>6</v>
      </c>
      <c r="T113" s="27">
        <f>SUMIF(O108:O122,S113,N108:N122)</f>
        <v>0</v>
      </c>
      <c r="U113" s="27">
        <f t="shared" si="68"/>
        <v>0</v>
      </c>
      <c r="V113" s="61"/>
    </row>
    <row r="114" spans="2:22" s="27" customFormat="1" ht="11.25" hidden="1" x14ac:dyDescent="0.2">
      <c r="B114" s="60"/>
      <c r="C114" s="27">
        <f t="shared" si="63"/>
        <v>7</v>
      </c>
      <c r="D114" s="27">
        <f t="shared" si="64"/>
        <v>0</v>
      </c>
      <c r="E114" s="27">
        <f t="shared" si="65"/>
        <v>0</v>
      </c>
      <c r="F114" s="27">
        <f t="shared" si="65"/>
        <v>0</v>
      </c>
      <c r="G114" s="27">
        <f t="shared" si="65"/>
        <v>0</v>
      </c>
      <c r="H114" s="27">
        <f t="shared" si="65"/>
        <v>0</v>
      </c>
      <c r="I114" s="27">
        <f t="shared" si="65"/>
        <v>0</v>
      </c>
      <c r="J114" s="27">
        <f t="shared" si="69"/>
        <v>0</v>
      </c>
      <c r="K114" s="27">
        <f t="shared" si="66"/>
        <v>0</v>
      </c>
      <c r="M114" s="65" t="str">
        <f>SB!X198</f>
        <v>Activos intangibles amortizables</v>
      </c>
      <c r="N114" s="66">
        <f>SB!Z198</f>
        <v>0</v>
      </c>
      <c r="O114" s="67">
        <f>D!P30</f>
        <v>10</v>
      </c>
      <c r="P114" s="27">
        <f>SB!AB198</f>
        <v>0</v>
      </c>
      <c r="Q114" s="27">
        <f t="shared" si="67"/>
        <v>0</v>
      </c>
      <c r="S114" s="27">
        <f>SB!E183</f>
        <v>7</v>
      </c>
      <c r="T114" s="27">
        <f>SUMIF(O108:O122,S114,N108:N122)</f>
        <v>0</v>
      </c>
      <c r="U114" s="27">
        <f t="shared" si="68"/>
        <v>0</v>
      </c>
      <c r="V114" s="61"/>
    </row>
    <row r="115" spans="2:22" s="27" customFormat="1" ht="11.25" hidden="1" x14ac:dyDescent="0.2">
      <c r="B115" s="60"/>
      <c r="C115" s="27">
        <f t="shared" si="63"/>
        <v>8</v>
      </c>
      <c r="D115" s="27">
        <f t="shared" si="64"/>
        <v>0</v>
      </c>
      <c r="E115" s="27">
        <f t="shared" si="65"/>
        <v>0</v>
      </c>
      <c r="F115" s="27">
        <f t="shared" si="65"/>
        <v>0</v>
      </c>
      <c r="G115" s="27">
        <f t="shared" si="65"/>
        <v>0</v>
      </c>
      <c r="H115" s="27">
        <f t="shared" si="65"/>
        <v>0</v>
      </c>
      <c r="I115" s="27">
        <f t="shared" si="65"/>
        <v>0</v>
      </c>
      <c r="J115" s="27">
        <f t="shared" si="69"/>
        <v>0</v>
      </c>
      <c r="K115" s="27">
        <f t="shared" si="66"/>
        <v>0</v>
      </c>
      <c r="M115" s="27" t="s">
        <v>1397</v>
      </c>
      <c r="S115" s="27">
        <f>SB!E184</f>
        <v>8</v>
      </c>
      <c r="T115" s="27">
        <f>SUMIF(O108:O122,S115,N108:N122)</f>
        <v>0</v>
      </c>
      <c r="U115" s="27">
        <f t="shared" si="68"/>
        <v>0</v>
      </c>
      <c r="V115" s="61"/>
    </row>
    <row r="116" spans="2:22" s="27" customFormat="1" ht="11.25" hidden="1" x14ac:dyDescent="0.2">
      <c r="B116" s="60"/>
      <c r="C116" s="27">
        <f t="shared" si="63"/>
        <v>9</v>
      </c>
      <c r="D116" s="27">
        <f t="shared" si="64"/>
        <v>0</v>
      </c>
      <c r="E116" s="27">
        <f t="shared" si="65"/>
        <v>0</v>
      </c>
      <c r="F116" s="27">
        <f t="shared" si="65"/>
        <v>0</v>
      </c>
      <c r="G116" s="27">
        <f t="shared" si="65"/>
        <v>0</v>
      </c>
      <c r="H116" s="27">
        <f t="shared" si="65"/>
        <v>0</v>
      </c>
      <c r="I116" s="27">
        <f t="shared" si="65"/>
        <v>0</v>
      </c>
      <c r="J116" s="27">
        <f t="shared" si="69"/>
        <v>0</v>
      </c>
      <c r="K116" s="27">
        <f t="shared" si="66"/>
        <v>0</v>
      </c>
      <c r="M116" s="27" t="str">
        <f t="shared" ref="M116:M122" si="70">M108</f>
        <v>Terrenos, construcciones y edificaciones</v>
      </c>
      <c r="S116" s="27">
        <f>SB!E185</f>
        <v>9</v>
      </c>
      <c r="T116" s="27">
        <f>SUMIF(O108:O122,S116,N108:N122)</f>
        <v>0</v>
      </c>
      <c r="U116" s="27">
        <f t="shared" si="68"/>
        <v>0</v>
      </c>
      <c r="V116" s="61"/>
    </row>
    <row r="117" spans="2:22" s="27" customFormat="1" ht="11.25" hidden="1" x14ac:dyDescent="0.2">
      <c r="B117" s="60"/>
      <c r="C117" s="27">
        <f t="shared" si="63"/>
        <v>10</v>
      </c>
      <c r="D117" s="27">
        <f t="shared" si="64"/>
        <v>0</v>
      </c>
      <c r="E117" s="27">
        <f t="shared" ref="E117:E122" si="71">IF($C117&gt;=E$106,$D117,0)</f>
        <v>0</v>
      </c>
      <c r="F117" s="27">
        <f t="shared" si="65"/>
        <v>0</v>
      </c>
      <c r="G117" s="27">
        <f t="shared" si="65"/>
        <v>0</v>
      </c>
      <c r="H117" s="27">
        <f t="shared" si="65"/>
        <v>0</v>
      </c>
      <c r="I117" s="27">
        <f t="shared" si="65"/>
        <v>0</v>
      </c>
      <c r="J117" s="27">
        <f t="shared" ref="J117:J122" si="72">SUM(E117:I117)</f>
        <v>0</v>
      </c>
      <c r="K117" s="27">
        <f t="shared" si="66"/>
        <v>0</v>
      </c>
      <c r="M117" s="27" t="str">
        <f t="shared" si="70"/>
        <v>Otras instalaciones</v>
      </c>
      <c r="S117" s="27">
        <f>SB!E186</f>
        <v>10</v>
      </c>
      <c r="T117" s="27">
        <f t="shared" ref="T117:T122" si="73">SUMIF($O$108:$O$122,S117,$N$108:$N$122)</f>
        <v>0</v>
      </c>
      <c r="U117" s="27">
        <f t="shared" si="68"/>
        <v>0</v>
      </c>
      <c r="V117" s="61"/>
    </row>
    <row r="118" spans="2:22" s="27" customFormat="1" ht="11.25" hidden="1" x14ac:dyDescent="0.2">
      <c r="B118" s="60"/>
      <c r="C118" s="27">
        <f t="shared" si="63"/>
        <v>15</v>
      </c>
      <c r="D118" s="27">
        <f t="shared" si="64"/>
        <v>0</v>
      </c>
      <c r="E118" s="27">
        <f t="shared" si="71"/>
        <v>0</v>
      </c>
      <c r="F118" s="27">
        <f t="shared" si="65"/>
        <v>0</v>
      </c>
      <c r="G118" s="27">
        <f t="shared" si="65"/>
        <v>0</v>
      </c>
      <c r="H118" s="27">
        <f t="shared" si="65"/>
        <v>0</v>
      </c>
      <c r="I118" s="27">
        <f t="shared" si="65"/>
        <v>0</v>
      </c>
      <c r="J118" s="27">
        <f t="shared" si="72"/>
        <v>0</v>
      </c>
      <c r="K118" s="27">
        <f t="shared" si="66"/>
        <v>0</v>
      </c>
      <c r="M118" s="27" t="str">
        <f t="shared" si="70"/>
        <v>Maquinaria, utillaje y herramientas</v>
      </c>
      <c r="S118" s="27">
        <f>SB!E187</f>
        <v>15</v>
      </c>
      <c r="T118" s="27">
        <f t="shared" si="73"/>
        <v>0</v>
      </c>
      <c r="U118" s="27">
        <f t="shared" si="68"/>
        <v>0</v>
      </c>
      <c r="V118" s="61"/>
    </row>
    <row r="119" spans="2:22" s="27" customFormat="1" ht="11.25" hidden="1" x14ac:dyDescent="0.2">
      <c r="B119" s="60"/>
      <c r="C119" s="27">
        <f t="shared" si="63"/>
        <v>20</v>
      </c>
      <c r="D119" s="27">
        <f t="shared" si="64"/>
        <v>0</v>
      </c>
      <c r="E119" s="27">
        <f t="shared" si="71"/>
        <v>0</v>
      </c>
      <c r="F119" s="27">
        <f t="shared" si="65"/>
        <v>0</v>
      </c>
      <c r="G119" s="27">
        <f t="shared" si="65"/>
        <v>0</v>
      </c>
      <c r="H119" s="27">
        <f t="shared" si="65"/>
        <v>0</v>
      </c>
      <c r="I119" s="27">
        <f t="shared" si="65"/>
        <v>0</v>
      </c>
      <c r="J119" s="27">
        <f t="shared" si="72"/>
        <v>0</v>
      </c>
      <c r="K119" s="27">
        <f t="shared" si="66"/>
        <v>0</v>
      </c>
      <c r="M119" s="27" t="str">
        <f t="shared" si="70"/>
        <v>Vehículos y elementos de transporte</v>
      </c>
      <c r="S119" s="27">
        <f>SB!E188</f>
        <v>20</v>
      </c>
      <c r="T119" s="27">
        <f t="shared" si="73"/>
        <v>0</v>
      </c>
      <c r="U119" s="27">
        <f t="shared" si="68"/>
        <v>0</v>
      </c>
      <c r="V119" s="61"/>
    </row>
    <row r="120" spans="2:22" s="27" customFormat="1" ht="11.25" hidden="1" x14ac:dyDescent="0.2">
      <c r="B120" s="60"/>
      <c r="C120" s="27">
        <f t="shared" si="63"/>
        <v>25</v>
      </c>
      <c r="D120" s="27">
        <f t="shared" si="64"/>
        <v>0</v>
      </c>
      <c r="E120" s="27">
        <f t="shared" si="71"/>
        <v>0</v>
      </c>
      <c r="F120" s="27">
        <f t="shared" si="65"/>
        <v>0</v>
      </c>
      <c r="G120" s="27">
        <f t="shared" si="65"/>
        <v>0</v>
      </c>
      <c r="H120" s="27">
        <f t="shared" si="65"/>
        <v>0</v>
      </c>
      <c r="I120" s="27">
        <f t="shared" si="65"/>
        <v>0</v>
      </c>
      <c r="J120" s="27">
        <f t="shared" si="72"/>
        <v>0</v>
      </c>
      <c r="K120" s="27">
        <f t="shared" si="66"/>
        <v>0</v>
      </c>
      <c r="M120" s="27" t="str">
        <f t="shared" si="70"/>
        <v>Mobiliario y equipos oficina</v>
      </c>
      <c r="S120" s="27">
        <f>SB!E189</f>
        <v>25</v>
      </c>
      <c r="T120" s="27">
        <f t="shared" si="73"/>
        <v>0</v>
      </c>
      <c r="U120" s="27">
        <f t="shared" si="68"/>
        <v>0</v>
      </c>
      <c r="V120" s="61"/>
    </row>
    <row r="121" spans="2:22" s="27" customFormat="1" ht="11.25" hidden="1" x14ac:dyDescent="0.2">
      <c r="B121" s="60"/>
      <c r="C121" s="27">
        <f t="shared" si="63"/>
        <v>30</v>
      </c>
      <c r="D121" s="27">
        <f t="shared" si="64"/>
        <v>0</v>
      </c>
      <c r="E121" s="27">
        <f t="shared" si="71"/>
        <v>0</v>
      </c>
      <c r="F121" s="27">
        <f t="shared" si="65"/>
        <v>0</v>
      </c>
      <c r="G121" s="27">
        <f t="shared" si="65"/>
        <v>0</v>
      </c>
      <c r="H121" s="27">
        <f t="shared" si="65"/>
        <v>0</v>
      </c>
      <c r="I121" s="27">
        <f t="shared" si="65"/>
        <v>0</v>
      </c>
      <c r="J121" s="27">
        <f t="shared" si="72"/>
        <v>0</v>
      </c>
      <c r="K121" s="27">
        <f t="shared" si="66"/>
        <v>0</v>
      </c>
      <c r="M121" s="27" t="str">
        <f t="shared" si="70"/>
        <v>Equipos informáticos</v>
      </c>
      <c r="S121" s="27">
        <f>SB!E190</f>
        <v>30</v>
      </c>
      <c r="T121" s="27">
        <f t="shared" si="73"/>
        <v>0</v>
      </c>
      <c r="U121" s="27">
        <f t="shared" si="68"/>
        <v>0</v>
      </c>
      <c r="V121" s="61"/>
    </row>
    <row r="122" spans="2:22" s="27" customFormat="1" ht="11.25" hidden="1" x14ac:dyDescent="0.2">
      <c r="B122" s="60"/>
      <c r="C122" s="27">
        <f t="shared" si="63"/>
        <v>50</v>
      </c>
      <c r="D122" s="27">
        <f t="shared" si="64"/>
        <v>0</v>
      </c>
      <c r="E122" s="27">
        <f t="shared" si="71"/>
        <v>0</v>
      </c>
      <c r="F122" s="27">
        <f t="shared" si="65"/>
        <v>0</v>
      </c>
      <c r="G122" s="27">
        <f t="shared" si="65"/>
        <v>0</v>
      </c>
      <c r="H122" s="27">
        <f t="shared" si="65"/>
        <v>0</v>
      </c>
      <c r="I122" s="27">
        <f t="shared" si="65"/>
        <v>0</v>
      </c>
      <c r="J122" s="27">
        <f t="shared" si="72"/>
        <v>0</v>
      </c>
      <c r="K122" s="27">
        <f t="shared" si="66"/>
        <v>0</v>
      </c>
      <c r="M122" s="27" t="str">
        <f t="shared" si="70"/>
        <v>Activos intangibles amortizables</v>
      </c>
      <c r="S122" s="27">
        <f>SB!E191</f>
        <v>50</v>
      </c>
      <c r="T122" s="27">
        <f t="shared" si="73"/>
        <v>0</v>
      </c>
      <c r="U122" s="27">
        <f t="shared" si="68"/>
        <v>0</v>
      </c>
      <c r="V122" s="61"/>
    </row>
    <row r="123" spans="2:22" s="27" customFormat="1" ht="11.25" hidden="1" x14ac:dyDescent="0.2">
      <c r="B123" s="60"/>
      <c r="C123" s="27" t="s">
        <v>1308</v>
      </c>
      <c r="D123" s="27">
        <f>SUM(D108:D122)</f>
        <v>0</v>
      </c>
      <c r="E123" s="27">
        <f t="shared" ref="E123:J123" si="74">SUM(E108:E122)</f>
        <v>0</v>
      </c>
      <c r="F123" s="27">
        <f t="shared" si="74"/>
        <v>0</v>
      </c>
      <c r="G123" s="27">
        <f t="shared" si="74"/>
        <v>0</v>
      </c>
      <c r="H123" s="27">
        <f t="shared" si="74"/>
        <v>0</v>
      </c>
      <c r="I123" s="27">
        <f t="shared" si="74"/>
        <v>0</v>
      </c>
      <c r="J123" s="27">
        <f t="shared" si="74"/>
        <v>0</v>
      </c>
      <c r="K123" s="27">
        <f>SUM(K108:K122)</f>
        <v>0</v>
      </c>
      <c r="Q123" s="27">
        <f>SUM(Q108:Q122)</f>
        <v>0</v>
      </c>
      <c r="S123" s="27" t="s">
        <v>1315</v>
      </c>
      <c r="T123" s="27">
        <f>SUM(T108:T122)</f>
        <v>0</v>
      </c>
      <c r="V123" s="61"/>
    </row>
    <row r="124" spans="2:22" s="27" customFormat="1" ht="11.25" hidden="1" x14ac:dyDescent="0.2">
      <c r="B124" s="60"/>
      <c r="C124" s="27" t="s">
        <v>1321</v>
      </c>
      <c r="E124" s="27">
        <f>+E123/12</f>
        <v>0</v>
      </c>
      <c r="F124" s="27">
        <f>+F123/12</f>
        <v>0</v>
      </c>
      <c r="G124" s="27">
        <f>+G123/12</f>
        <v>0</v>
      </c>
      <c r="H124" s="27">
        <f>+H123/12</f>
        <v>0</v>
      </c>
      <c r="I124" s="27">
        <f>+I123/12</f>
        <v>0</v>
      </c>
      <c r="P124" s="27" t="s">
        <v>1319</v>
      </c>
      <c r="Q124" s="27">
        <f>IF(T124=0,0,Q123/T124)</f>
        <v>0</v>
      </c>
      <c r="S124" s="27" t="s">
        <v>1316</v>
      </c>
      <c r="T124" s="27">
        <f>SUM(N108:N122)</f>
        <v>0</v>
      </c>
      <c r="U124" s="27" t="s">
        <v>1317</v>
      </c>
      <c r="V124" s="61"/>
    </row>
    <row r="125" spans="2:22" s="27" customFormat="1" ht="11.25" hidden="1" x14ac:dyDescent="0.2">
      <c r="B125" s="60"/>
      <c r="P125" s="27" t="s">
        <v>1529</v>
      </c>
      <c r="V125" s="61"/>
    </row>
    <row r="126" spans="2:22" s="27" customFormat="1" ht="11.25" hidden="1" x14ac:dyDescent="0.2">
      <c r="B126" s="65"/>
      <c r="C126" s="66"/>
      <c r="D126" s="66"/>
      <c r="E126" s="66"/>
      <c r="F126" s="66"/>
      <c r="G126" s="66"/>
      <c r="H126" s="66"/>
      <c r="I126" s="66"/>
      <c r="J126" s="66"/>
      <c r="K126" s="66"/>
      <c r="L126" s="66"/>
      <c r="M126" s="66"/>
      <c r="N126" s="66"/>
      <c r="O126" s="66"/>
      <c r="P126" s="66"/>
      <c r="Q126" s="66"/>
      <c r="R126" s="66"/>
      <c r="S126" s="66"/>
      <c r="T126" s="66"/>
      <c r="U126" s="66"/>
      <c r="V126" s="67"/>
    </row>
    <row r="127" spans="2:22" s="27" customFormat="1" ht="11.25" hidden="1" x14ac:dyDescent="0.2"/>
    <row r="128" spans="2:22" s="27" customFormat="1" ht="11.25" x14ac:dyDescent="0.2"/>
    <row r="129" s="27" customFormat="1" ht="11.25" x14ac:dyDescent="0.2"/>
    <row r="130" s="27" customFormat="1" ht="11.25" x14ac:dyDescent="0.2"/>
    <row r="131" s="27" customFormat="1" ht="11.25" x14ac:dyDescent="0.2"/>
    <row r="132" s="27" customFormat="1" ht="11.25" x14ac:dyDescent="0.2"/>
    <row r="133" s="27" customFormat="1" ht="11.25" x14ac:dyDescent="0.2"/>
    <row r="134" s="27" customFormat="1" ht="11.25" x14ac:dyDescent="0.2"/>
    <row r="135" s="27" customFormat="1" ht="11.25" x14ac:dyDescent="0.2"/>
    <row r="136" s="27" customFormat="1" ht="11.25" x14ac:dyDescent="0.2"/>
    <row r="137" s="27" customFormat="1" ht="11.25" x14ac:dyDescent="0.2"/>
    <row r="138" s="27" customFormat="1" ht="11.25" x14ac:dyDescent="0.2"/>
    <row r="139" s="27" customFormat="1" ht="11.25" x14ac:dyDescent="0.2"/>
    <row r="140" s="27" customFormat="1" ht="11.25" x14ac:dyDescent="0.2"/>
    <row r="141" s="27" customFormat="1" ht="11.25" x14ac:dyDescent="0.2"/>
    <row r="142" s="27" customFormat="1" ht="11.25" x14ac:dyDescent="0.2"/>
    <row r="143" s="27" customFormat="1" ht="11.25" x14ac:dyDescent="0.2"/>
    <row r="144" s="27" customFormat="1" ht="11.25" x14ac:dyDescent="0.2"/>
    <row r="145" s="27" customFormat="1" ht="11.25" x14ac:dyDescent="0.2"/>
    <row r="146" s="27" customFormat="1" ht="11.25" x14ac:dyDescent="0.2"/>
    <row r="147" s="27" customFormat="1" ht="11.25" x14ac:dyDescent="0.2"/>
    <row r="148" s="27" customFormat="1" ht="11.25" x14ac:dyDescent="0.2"/>
    <row r="149" s="27" customFormat="1" ht="11.25" x14ac:dyDescent="0.2"/>
    <row r="150" s="27" customFormat="1" ht="11.25" x14ac:dyDescent="0.2"/>
    <row r="151" s="27" customFormat="1" ht="11.25" x14ac:dyDescent="0.2"/>
    <row r="152" s="27" customFormat="1" ht="11.25" x14ac:dyDescent="0.2"/>
    <row r="153" s="27" customFormat="1" ht="11.25" x14ac:dyDescent="0.2"/>
    <row r="154" s="27" customFormat="1" ht="11.25" x14ac:dyDescent="0.2"/>
    <row r="155" s="27" customFormat="1" ht="11.25" x14ac:dyDescent="0.2"/>
    <row r="156" s="27" customFormat="1" ht="11.25" x14ac:dyDescent="0.2"/>
    <row r="157" s="27" customFormat="1" ht="11.25" x14ac:dyDescent="0.2"/>
    <row r="158" s="27" customFormat="1" ht="11.25" x14ac:dyDescent="0.2"/>
    <row r="159" s="27" customFormat="1" ht="11.25" x14ac:dyDescent="0.2"/>
    <row r="160" s="27" customFormat="1" ht="11.25" x14ac:dyDescent="0.2"/>
    <row r="161" s="27" customFormat="1" ht="11.25" x14ac:dyDescent="0.2"/>
    <row r="162" s="27" customFormat="1" ht="11.25" x14ac:dyDescent="0.2"/>
    <row r="163" s="27" customFormat="1" ht="11.25" x14ac:dyDescent="0.2"/>
    <row r="164" s="27" customFormat="1" ht="11.25" x14ac:dyDescent="0.2"/>
    <row r="165" s="27" customFormat="1" ht="11.25" x14ac:dyDescent="0.2"/>
    <row r="166" s="27" customFormat="1" ht="11.25" x14ac:dyDescent="0.2"/>
    <row r="167" s="27" customFormat="1" ht="11.25" x14ac:dyDescent="0.2"/>
    <row r="168" s="27" customFormat="1" ht="11.25" x14ac:dyDescent="0.2"/>
    <row r="169" s="27" customFormat="1" ht="11.25" x14ac:dyDescent="0.2"/>
    <row r="170" s="27" customFormat="1" ht="11.25" x14ac:dyDescent="0.2"/>
    <row r="171" s="27" customFormat="1" ht="11.25" x14ac:dyDescent="0.2"/>
    <row r="172" s="27" customFormat="1" ht="11.25" x14ac:dyDescent="0.2"/>
    <row r="173" s="27" customFormat="1" ht="11.25" x14ac:dyDescent="0.2"/>
    <row r="174" s="27" customFormat="1" ht="11.25" x14ac:dyDescent="0.2"/>
    <row r="175" s="27" customFormat="1" ht="11.25" x14ac:dyDescent="0.2"/>
    <row r="176" s="27" customFormat="1" ht="11.25" x14ac:dyDescent="0.2"/>
    <row r="177" s="27" customFormat="1" ht="11.25" x14ac:dyDescent="0.2"/>
    <row r="178" s="27" customFormat="1" ht="11.25" x14ac:dyDescent="0.2"/>
    <row r="179" s="27" customFormat="1" ht="11.25" x14ac:dyDescent="0.2"/>
    <row r="180" s="27" customFormat="1" ht="11.25" x14ac:dyDescent="0.2"/>
    <row r="181" s="27" customFormat="1" ht="11.25" x14ac:dyDescent="0.2"/>
    <row r="182" s="27" customFormat="1" ht="11.25" x14ac:dyDescent="0.2"/>
    <row r="183" s="27" customFormat="1" ht="11.25" x14ac:dyDescent="0.2"/>
    <row r="184" s="27" customFormat="1" ht="11.25" x14ac:dyDescent="0.2"/>
    <row r="185" s="27" customFormat="1" ht="11.25" x14ac:dyDescent="0.2"/>
    <row r="186" s="27" customFormat="1" ht="11.25" x14ac:dyDescent="0.2"/>
    <row r="187" s="27" customFormat="1" ht="11.25" x14ac:dyDescent="0.2"/>
    <row r="188" s="27" customFormat="1" ht="11.25" x14ac:dyDescent="0.2"/>
    <row r="189" s="27" customFormat="1" ht="11.25" x14ac:dyDescent="0.2"/>
    <row r="190" s="27" customFormat="1" ht="11.25" x14ac:dyDescent="0.2"/>
    <row r="191" s="27" customFormat="1" ht="11.25" x14ac:dyDescent="0.2"/>
    <row r="192" s="27" customFormat="1" ht="11.25" x14ac:dyDescent="0.2"/>
    <row r="193" s="27" customFormat="1" ht="11.25" x14ac:dyDescent="0.2"/>
    <row r="194" s="27" customFormat="1" ht="11.25" x14ac:dyDescent="0.2"/>
    <row r="195" s="27" customFormat="1" ht="11.25" x14ac:dyDescent="0.2"/>
    <row r="196" s="27" customFormat="1" ht="11.25" x14ac:dyDescent="0.2"/>
    <row r="197" s="27" customFormat="1" ht="11.25" x14ac:dyDescent="0.2"/>
    <row r="198" s="27" customFormat="1" ht="11.25" x14ac:dyDescent="0.2"/>
    <row r="199" s="27" customFormat="1" ht="11.25" x14ac:dyDescent="0.2"/>
    <row r="200" s="27" customFormat="1" ht="11.25" x14ac:dyDescent="0.2"/>
    <row r="201" s="27" customFormat="1" ht="11.25" x14ac:dyDescent="0.2"/>
    <row r="202" s="27" customFormat="1" ht="11.25" x14ac:dyDescent="0.2"/>
    <row r="203" s="27" customFormat="1" ht="11.25" x14ac:dyDescent="0.2"/>
    <row r="204" s="27" customFormat="1" ht="11.25" x14ac:dyDescent="0.2"/>
    <row r="205" s="27" customFormat="1" ht="11.25" x14ac:dyDescent="0.2"/>
    <row r="206" s="27" customFormat="1" ht="11.25" x14ac:dyDescent="0.2"/>
    <row r="207" s="27" customFormat="1" ht="11.25" x14ac:dyDescent="0.2"/>
    <row r="208" s="27" customFormat="1" ht="11.25" x14ac:dyDescent="0.2"/>
    <row r="209" s="27" customFormat="1" ht="11.25" x14ac:dyDescent="0.2"/>
    <row r="210" s="27" customFormat="1" ht="11.25" x14ac:dyDescent="0.2"/>
    <row r="211" s="27" customFormat="1" ht="11.25" x14ac:dyDescent="0.2"/>
    <row r="212" s="27" customFormat="1" ht="11.25" x14ac:dyDescent="0.2"/>
    <row r="213" s="27" customFormat="1" ht="11.25" x14ac:dyDescent="0.2"/>
    <row r="214" s="27" customFormat="1" ht="11.25" x14ac:dyDescent="0.2"/>
    <row r="215" s="27" customFormat="1" ht="11.25" x14ac:dyDescent="0.2"/>
    <row r="216" s="27" customFormat="1" ht="11.25" x14ac:dyDescent="0.2"/>
    <row r="217" s="27" customFormat="1" ht="11.25" x14ac:dyDescent="0.2"/>
    <row r="218" s="27" customFormat="1" ht="11.25" x14ac:dyDescent="0.2"/>
    <row r="219" s="27" customFormat="1" ht="11.25" x14ac:dyDescent="0.2"/>
    <row r="220" s="27" customFormat="1" ht="11.25" x14ac:dyDescent="0.2"/>
    <row r="221" s="27" customFormat="1" ht="11.25" x14ac:dyDescent="0.2"/>
    <row r="222" s="27" customFormat="1" ht="11.25" x14ac:dyDescent="0.2"/>
    <row r="223" s="27" customFormat="1" ht="11.25" x14ac:dyDescent="0.2"/>
    <row r="224" s="27" customFormat="1" ht="11.25" x14ac:dyDescent="0.2"/>
    <row r="225" s="27" customFormat="1" ht="11.25" x14ac:dyDescent="0.2"/>
    <row r="226" s="27" customFormat="1" ht="11.25" x14ac:dyDescent="0.2"/>
    <row r="227" s="27" customFormat="1" ht="11.25" x14ac:dyDescent="0.2"/>
    <row r="228" s="27" customFormat="1" ht="11.25" x14ac:dyDescent="0.2"/>
    <row r="229" s="27" customFormat="1" ht="11.25" x14ac:dyDescent="0.2"/>
    <row r="230" s="27" customFormat="1" ht="11.25" x14ac:dyDescent="0.2"/>
    <row r="231" s="27" customFormat="1" ht="11.25" x14ac:dyDescent="0.2"/>
    <row r="232" s="27" customFormat="1" ht="11.25" x14ac:dyDescent="0.2"/>
    <row r="233" s="27" customFormat="1" ht="11.25" x14ac:dyDescent="0.2"/>
    <row r="234" s="27" customFormat="1" ht="11.25" x14ac:dyDescent="0.2"/>
    <row r="235" s="27" customFormat="1" ht="11.25" x14ac:dyDescent="0.2"/>
    <row r="236" s="27" customFormat="1" ht="11.25" x14ac:dyDescent="0.2"/>
    <row r="237" s="27" customFormat="1" ht="11.25" x14ac:dyDescent="0.2"/>
    <row r="238" s="27" customFormat="1" ht="11.25" x14ac:dyDescent="0.2"/>
    <row r="239" s="27" customFormat="1" ht="11.25" x14ac:dyDescent="0.2"/>
    <row r="240" s="27" customFormat="1" ht="11.25" x14ac:dyDescent="0.2"/>
    <row r="241" s="27" customFormat="1" ht="11.25" x14ac:dyDescent="0.2"/>
    <row r="242" s="27" customFormat="1" ht="11.25" x14ac:dyDescent="0.2"/>
    <row r="243" s="27" customFormat="1" ht="11.25" x14ac:dyDescent="0.2"/>
    <row r="244" s="27" customFormat="1" ht="11.25" x14ac:dyDescent="0.2"/>
    <row r="245" s="27" customFormat="1" ht="11.25" x14ac:dyDescent="0.2"/>
    <row r="246" s="27" customFormat="1" ht="11.25" x14ac:dyDescent="0.2"/>
    <row r="247" s="27" customFormat="1" ht="11.25" x14ac:dyDescent="0.2"/>
    <row r="248" s="27" customFormat="1" ht="11.25" x14ac:dyDescent="0.2"/>
    <row r="249" s="27" customFormat="1" ht="11.25" x14ac:dyDescent="0.2"/>
    <row r="250" s="27" customFormat="1" ht="11.25" x14ac:dyDescent="0.2"/>
    <row r="251" s="27" customFormat="1" ht="11.25" x14ac:dyDescent="0.2"/>
    <row r="252" s="27" customFormat="1" ht="11.25" x14ac:dyDescent="0.2"/>
    <row r="253" s="27" customFormat="1" ht="11.25" x14ac:dyDescent="0.2"/>
    <row r="254" s="27" customFormat="1" ht="11.25" x14ac:dyDescent="0.2"/>
    <row r="255" s="27" customFormat="1" ht="11.25" x14ac:dyDescent="0.2"/>
    <row r="256" s="27" customFormat="1" ht="11.25" x14ac:dyDescent="0.2"/>
    <row r="257" s="27" customFormat="1" ht="11.25" x14ac:dyDescent="0.2"/>
    <row r="258" s="27" customFormat="1" ht="11.25" x14ac:dyDescent="0.2"/>
    <row r="259" s="27" customFormat="1" ht="11.25" x14ac:dyDescent="0.2"/>
    <row r="260" s="27" customFormat="1" ht="11.25" x14ac:dyDescent="0.2"/>
    <row r="261" s="27" customFormat="1" ht="11.25" x14ac:dyDescent="0.2"/>
    <row r="262" s="27" customFormat="1" ht="11.25" x14ac:dyDescent="0.2"/>
    <row r="263" s="27" customFormat="1" ht="11.25" x14ac:dyDescent="0.2"/>
    <row r="264" s="27" customFormat="1" ht="11.25" x14ac:dyDescent="0.2"/>
    <row r="265" s="27" customFormat="1" ht="11.25" x14ac:dyDescent="0.2"/>
    <row r="266" s="27" customFormat="1" ht="11.25" x14ac:dyDescent="0.2"/>
    <row r="267" s="27" customFormat="1" ht="11.25" x14ac:dyDescent="0.2"/>
    <row r="268" s="27" customFormat="1" ht="11.25" x14ac:dyDescent="0.2"/>
    <row r="269" s="27" customFormat="1" ht="11.25" x14ac:dyDescent="0.2"/>
    <row r="270" s="27" customFormat="1" ht="11.25" x14ac:dyDescent="0.2"/>
    <row r="271" s="27" customFormat="1" ht="11.25" x14ac:dyDescent="0.2"/>
    <row r="272" s="27" customFormat="1" ht="11.25" x14ac:dyDescent="0.2"/>
    <row r="273" s="27" customFormat="1" ht="11.25" x14ac:dyDescent="0.2"/>
    <row r="274" s="27" customFormat="1" ht="11.25" x14ac:dyDescent="0.2"/>
    <row r="275" s="27" customFormat="1" ht="11.25" x14ac:dyDescent="0.2"/>
    <row r="276" s="27" customFormat="1" ht="11.25" x14ac:dyDescent="0.2"/>
    <row r="277" s="27" customFormat="1" ht="11.25" x14ac:dyDescent="0.2"/>
    <row r="278" s="27" customFormat="1" ht="11.25" x14ac:dyDescent="0.2"/>
    <row r="279" s="27" customFormat="1" ht="11.25" x14ac:dyDescent="0.2"/>
    <row r="280" s="27" customFormat="1" ht="11.25" x14ac:dyDescent="0.2"/>
    <row r="281" s="27" customFormat="1" ht="11.25" x14ac:dyDescent="0.2"/>
    <row r="282" s="27" customFormat="1" ht="11.25" x14ac:dyDescent="0.2"/>
    <row r="283" s="27" customFormat="1" ht="11.25" x14ac:dyDescent="0.2"/>
    <row r="284" s="27" customFormat="1" ht="11.25" x14ac:dyDescent="0.2"/>
    <row r="285" s="27" customFormat="1" ht="11.25" x14ac:dyDescent="0.2"/>
    <row r="286" s="27" customFormat="1" ht="11.25" x14ac:dyDescent="0.2"/>
    <row r="287" s="27" customFormat="1" ht="11.25" x14ac:dyDescent="0.2"/>
    <row r="288" s="27" customFormat="1" ht="11.25" x14ac:dyDescent="0.2"/>
    <row r="289" s="27" customFormat="1" ht="11.25" x14ac:dyDescent="0.2"/>
    <row r="290" s="27" customFormat="1" ht="11.25" x14ac:dyDescent="0.2"/>
    <row r="291" s="27" customFormat="1" ht="11.25" x14ac:dyDescent="0.2"/>
    <row r="292" s="27" customFormat="1" ht="11.25" x14ac:dyDescent="0.2"/>
    <row r="293" s="27" customFormat="1" ht="11.25" x14ac:dyDescent="0.2"/>
    <row r="294" s="27" customFormat="1" ht="11.25" x14ac:dyDescent="0.2"/>
    <row r="295" s="27" customFormat="1" ht="11.25" x14ac:dyDescent="0.2"/>
    <row r="296" s="27" customFormat="1" ht="11.25" x14ac:dyDescent="0.2"/>
    <row r="297" s="27" customFormat="1" ht="11.25" x14ac:dyDescent="0.2"/>
    <row r="298" s="27" customFormat="1" ht="11.25" x14ac:dyDescent="0.2"/>
    <row r="299" s="27" customFormat="1" ht="11.25" x14ac:dyDescent="0.2"/>
    <row r="300" s="27" customFormat="1" ht="11.25" x14ac:dyDescent="0.2"/>
    <row r="301" s="27" customFormat="1" ht="11.25" x14ac:dyDescent="0.2"/>
    <row r="302" s="27" customFormat="1" ht="11.25" x14ac:dyDescent="0.2"/>
    <row r="303" s="27" customFormat="1" ht="11.25" x14ac:dyDescent="0.2"/>
    <row r="304" s="27" customFormat="1" ht="11.25" x14ac:dyDescent="0.2"/>
    <row r="305" s="27" customFormat="1" ht="11.25" x14ac:dyDescent="0.2"/>
    <row r="306" s="27" customFormat="1" ht="11.25" x14ac:dyDescent="0.2"/>
    <row r="307" s="27" customFormat="1" ht="11.25" x14ac:dyDescent="0.2"/>
    <row r="308" s="27" customFormat="1" ht="11.25" x14ac:dyDescent="0.2"/>
    <row r="309" s="27" customFormat="1" ht="11.25" x14ac:dyDescent="0.2"/>
    <row r="310" s="27" customFormat="1" ht="11.25" x14ac:dyDescent="0.2"/>
    <row r="311" s="27" customFormat="1" ht="11.25" x14ac:dyDescent="0.2"/>
    <row r="312" s="27" customFormat="1" ht="11.25" x14ac:dyDescent="0.2"/>
    <row r="313" s="27" customFormat="1" ht="11.25" x14ac:dyDescent="0.2"/>
    <row r="314" s="27" customFormat="1" ht="11.25" x14ac:dyDescent="0.2"/>
    <row r="315" s="27" customFormat="1" ht="11.25" x14ac:dyDescent="0.2"/>
    <row r="316" s="27" customFormat="1" ht="11.25" x14ac:dyDescent="0.2"/>
    <row r="317" s="27" customFormat="1" ht="11.25" x14ac:dyDescent="0.2"/>
    <row r="318" s="27" customFormat="1" ht="11.25" x14ac:dyDescent="0.2"/>
    <row r="319" s="27" customFormat="1" ht="11.25" x14ac:dyDescent="0.2"/>
    <row r="320" s="27" customFormat="1" ht="11.25" x14ac:dyDescent="0.2"/>
    <row r="321" s="27" customFormat="1" ht="11.25" x14ac:dyDescent="0.2"/>
    <row r="322" s="27" customFormat="1" ht="11.25" x14ac:dyDescent="0.2"/>
    <row r="323" s="27" customFormat="1" ht="11.25" x14ac:dyDescent="0.2"/>
    <row r="324" s="27" customFormat="1" ht="11.25" x14ac:dyDescent="0.2"/>
    <row r="325" s="27" customFormat="1" ht="11.25" x14ac:dyDescent="0.2"/>
    <row r="326" s="27" customFormat="1" ht="11.25" x14ac:dyDescent="0.2"/>
    <row r="327" s="27" customFormat="1" ht="11.25" x14ac:dyDescent="0.2"/>
    <row r="328" s="27" customFormat="1" ht="11.25" x14ac:dyDescent="0.2"/>
    <row r="329" s="27" customFormat="1" ht="11.25" x14ac:dyDescent="0.2"/>
    <row r="330" s="27" customFormat="1" ht="11.25" x14ac:dyDescent="0.2"/>
    <row r="331" s="27" customFormat="1" ht="11.25" x14ac:dyDescent="0.2"/>
    <row r="332" s="27" customFormat="1" ht="11.25" x14ac:dyDescent="0.2"/>
    <row r="333" s="27" customFormat="1" ht="11.25" x14ac:dyDescent="0.2"/>
    <row r="334" s="27" customFormat="1" ht="11.25" x14ac:dyDescent="0.2"/>
    <row r="335" s="27" customFormat="1" ht="11.25" x14ac:dyDescent="0.2"/>
    <row r="336" s="27" customFormat="1" ht="11.25" x14ac:dyDescent="0.2"/>
    <row r="337" s="27" customFormat="1" ht="11.25" x14ac:dyDescent="0.2"/>
    <row r="338" s="27" customFormat="1" ht="11.25" x14ac:dyDescent="0.2"/>
    <row r="339" s="27" customFormat="1" ht="11.25" x14ac:dyDescent="0.2"/>
    <row r="340" s="27" customFormat="1" ht="11.25" x14ac:dyDescent="0.2"/>
    <row r="341" s="27" customFormat="1" ht="11.25" x14ac:dyDescent="0.2"/>
    <row r="342" s="27" customFormat="1" ht="11.25" x14ac:dyDescent="0.2"/>
    <row r="343" s="27" customFormat="1" ht="11.25" x14ac:dyDescent="0.2"/>
    <row r="344" s="27" customFormat="1" ht="11.25" x14ac:dyDescent="0.2"/>
    <row r="345" s="27" customFormat="1" ht="11.25" x14ac:dyDescent="0.2"/>
    <row r="346" s="27" customFormat="1" ht="11.25" x14ac:dyDescent="0.2"/>
    <row r="347" s="27" customFormat="1" ht="11.25" x14ac:dyDescent="0.2"/>
    <row r="348" s="27" customFormat="1" ht="11.25" x14ac:dyDescent="0.2"/>
    <row r="349" s="27" customFormat="1" ht="11.25" x14ac:dyDescent="0.2"/>
    <row r="350" s="27" customFormat="1" ht="11.25" x14ac:dyDescent="0.2"/>
    <row r="351" s="27" customFormat="1" ht="11.25" x14ac:dyDescent="0.2"/>
    <row r="352" s="27" customFormat="1" ht="11.25" x14ac:dyDescent="0.2"/>
    <row r="353" s="27" customFormat="1" ht="11.25" x14ac:dyDescent="0.2"/>
    <row r="354" s="27" customFormat="1" ht="11.25" x14ac:dyDescent="0.2"/>
    <row r="355" s="27" customFormat="1" ht="11.25" x14ac:dyDescent="0.2"/>
    <row r="356" s="27" customFormat="1" ht="11.25" x14ac:dyDescent="0.2"/>
    <row r="357" s="27" customFormat="1" ht="11.25" x14ac:dyDescent="0.2"/>
    <row r="358" s="27" customFormat="1" ht="11.25" x14ac:dyDescent="0.2"/>
    <row r="359" s="27" customFormat="1" ht="11.25" x14ac:dyDescent="0.2"/>
    <row r="360" s="27" customFormat="1" ht="11.25" x14ac:dyDescent="0.2"/>
    <row r="361" s="27" customFormat="1" ht="11.25" x14ac:dyDescent="0.2"/>
    <row r="362" s="27" customFormat="1" ht="11.25" x14ac:dyDescent="0.2"/>
    <row r="363" s="27" customFormat="1" ht="11.25" x14ac:dyDescent="0.2"/>
    <row r="364" s="27" customFormat="1" ht="11.25" x14ac:dyDescent="0.2"/>
    <row r="365" s="27" customFormat="1" ht="11.25" x14ac:dyDescent="0.2"/>
    <row r="366" s="27" customFormat="1" ht="11.25" x14ac:dyDescent="0.2"/>
    <row r="367" s="27" customFormat="1" ht="11.25" x14ac:dyDescent="0.2"/>
    <row r="368" s="27" customFormat="1" ht="11.25" x14ac:dyDescent="0.2"/>
    <row r="369" s="27" customFormat="1" ht="11.25" x14ac:dyDescent="0.2"/>
    <row r="370" s="27" customFormat="1" ht="11.25" x14ac:dyDescent="0.2"/>
    <row r="371" s="27" customFormat="1" ht="11.25" x14ac:dyDescent="0.2"/>
    <row r="372" s="27" customFormat="1" ht="11.25" x14ac:dyDescent="0.2"/>
    <row r="373" s="27" customFormat="1" ht="11.25" x14ac:dyDescent="0.2"/>
    <row r="374" s="27" customFormat="1" ht="11.25" x14ac:dyDescent="0.2"/>
    <row r="375" s="27" customFormat="1" ht="11.25" x14ac:dyDescent="0.2"/>
    <row r="376" s="27" customFormat="1" ht="11.25" x14ac:dyDescent="0.2"/>
    <row r="377" s="27" customFormat="1" ht="11.25" x14ac:dyDescent="0.2"/>
    <row r="378" s="27" customFormat="1" ht="11.25" x14ac:dyDescent="0.2"/>
    <row r="379" s="27" customFormat="1" ht="11.25" x14ac:dyDescent="0.2"/>
    <row r="380" s="27" customFormat="1" ht="11.25" x14ac:dyDescent="0.2"/>
    <row r="381" s="27" customFormat="1" ht="11.25" x14ac:dyDescent="0.2"/>
    <row r="382" s="27" customFormat="1" ht="11.25" x14ac:dyDescent="0.2"/>
    <row r="383" s="27" customFormat="1" ht="11.25" x14ac:dyDescent="0.2"/>
    <row r="384" s="27" customFormat="1" ht="11.25" x14ac:dyDescent="0.2"/>
    <row r="385" s="27" customFormat="1" ht="11.25" x14ac:dyDescent="0.2"/>
    <row r="386" s="27" customFormat="1" ht="11.25" x14ac:dyDescent="0.2"/>
    <row r="387" s="27" customFormat="1" ht="11.25" x14ac:dyDescent="0.2"/>
    <row r="388" s="27" customFormat="1" ht="11.25" x14ac:dyDescent="0.2"/>
    <row r="389" s="27" customFormat="1" ht="11.25" x14ac:dyDescent="0.2"/>
    <row r="390" s="27" customFormat="1" ht="11.25" x14ac:dyDescent="0.2"/>
    <row r="391" s="27" customFormat="1" ht="11.25" x14ac:dyDescent="0.2"/>
    <row r="392" s="27" customFormat="1" ht="11.25" x14ac:dyDescent="0.2"/>
    <row r="393" s="27" customFormat="1" ht="11.25" x14ac:dyDescent="0.2"/>
    <row r="394" s="27" customFormat="1" ht="11.25" x14ac:dyDescent="0.2"/>
    <row r="395" s="27" customFormat="1" ht="11.25" x14ac:dyDescent="0.2"/>
    <row r="396" s="27" customFormat="1" ht="11.25" x14ac:dyDescent="0.2"/>
    <row r="397" s="27" customFormat="1" ht="11.25" x14ac:dyDescent="0.2"/>
    <row r="398" s="27" customFormat="1" ht="11.25" x14ac:dyDescent="0.2"/>
    <row r="399" s="27" customFormat="1" ht="11.25" x14ac:dyDescent="0.2"/>
    <row r="400" s="27" customFormat="1" ht="11.25" x14ac:dyDescent="0.2"/>
    <row r="401" s="27" customFormat="1" ht="11.25" x14ac:dyDescent="0.2"/>
    <row r="402" s="27" customFormat="1" ht="11.25" x14ac:dyDescent="0.2"/>
    <row r="403" s="27" customFormat="1" ht="11.25" x14ac:dyDescent="0.2"/>
    <row r="404" s="27" customFormat="1" ht="11.25" x14ac:dyDescent="0.2"/>
    <row r="405" s="27" customFormat="1" ht="11.25" x14ac:dyDescent="0.2"/>
    <row r="406" s="27" customFormat="1" ht="11.25" x14ac:dyDescent="0.2"/>
    <row r="407" s="27" customFormat="1" ht="11.25" x14ac:dyDescent="0.2"/>
    <row r="408" s="27" customFormat="1" ht="11.25" x14ac:dyDescent="0.2"/>
    <row r="409" s="27" customFormat="1" ht="11.25" x14ac:dyDescent="0.2"/>
    <row r="410" s="27" customFormat="1" ht="11.25" x14ac:dyDescent="0.2"/>
    <row r="411" s="27" customFormat="1" ht="11.25" x14ac:dyDescent="0.2"/>
    <row r="412" s="27" customFormat="1" ht="11.25" x14ac:dyDescent="0.2"/>
    <row r="413" s="27" customFormat="1" ht="11.25" x14ac:dyDescent="0.2"/>
    <row r="414" s="27" customFormat="1" ht="11.25" x14ac:dyDescent="0.2"/>
    <row r="415" s="27" customFormat="1" ht="11.25" x14ac:dyDescent="0.2"/>
    <row r="416" s="27" customFormat="1" ht="11.25" x14ac:dyDescent="0.2"/>
    <row r="417" s="27" customFormat="1" ht="11.25" x14ac:dyDescent="0.2"/>
    <row r="418" s="27" customFormat="1" ht="11.25" x14ac:dyDescent="0.2"/>
    <row r="419" s="27" customFormat="1" ht="11.25" x14ac:dyDescent="0.2"/>
    <row r="420" s="27" customFormat="1" ht="11.25" x14ac:dyDescent="0.2"/>
    <row r="421" s="27" customFormat="1" ht="11.25" x14ac:dyDescent="0.2"/>
    <row r="422" s="27" customFormat="1" ht="11.25" x14ac:dyDescent="0.2"/>
    <row r="423" s="27" customFormat="1" ht="11.25" x14ac:dyDescent="0.2"/>
    <row r="424" s="27" customFormat="1" ht="11.25" x14ac:dyDescent="0.2"/>
    <row r="425" s="27" customFormat="1" ht="11.25" x14ac:dyDescent="0.2"/>
    <row r="426" s="27" customFormat="1" ht="11.25" x14ac:dyDescent="0.2"/>
    <row r="427" s="27" customFormat="1" ht="11.25" x14ac:dyDescent="0.2"/>
    <row r="428" s="27" customFormat="1" ht="11.25" x14ac:dyDescent="0.2"/>
    <row r="429" s="27" customFormat="1" ht="11.25" x14ac:dyDescent="0.2"/>
    <row r="430" s="27" customFormat="1" ht="11.25" x14ac:dyDescent="0.2"/>
    <row r="431" s="27" customFormat="1" ht="11.25" x14ac:dyDescent="0.2"/>
    <row r="432" s="27" customFormat="1" ht="11.25" x14ac:dyDescent="0.2"/>
    <row r="433" s="27" customFormat="1" ht="11.25" x14ac:dyDescent="0.2"/>
    <row r="434" s="27" customFormat="1" ht="11.25" x14ac:dyDescent="0.2"/>
    <row r="435" s="27" customFormat="1" ht="11.25" x14ac:dyDescent="0.2"/>
    <row r="436" s="27" customFormat="1" ht="11.25" x14ac:dyDescent="0.2"/>
    <row r="437" s="27" customFormat="1" ht="11.25" x14ac:dyDescent="0.2"/>
    <row r="438" s="27" customFormat="1" ht="11.25" x14ac:dyDescent="0.2"/>
    <row r="439" s="27" customFormat="1" ht="11.25" x14ac:dyDescent="0.2"/>
    <row r="440" s="27" customFormat="1" ht="11.25" x14ac:dyDescent="0.2"/>
    <row r="441" s="27" customFormat="1" ht="11.25" x14ac:dyDescent="0.2"/>
    <row r="442" s="27" customFormat="1" ht="11.25" x14ac:dyDescent="0.2"/>
    <row r="443" s="27" customFormat="1" ht="11.25" x14ac:dyDescent="0.2"/>
    <row r="444" s="27" customFormat="1" ht="11.25" x14ac:dyDescent="0.2"/>
    <row r="445" s="27" customFormat="1" ht="11.25" x14ac:dyDescent="0.2"/>
    <row r="446" s="27" customFormat="1" ht="11.25" x14ac:dyDescent="0.2"/>
    <row r="447" s="27" customFormat="1" ht="11.25" x14ac:dyDescent="0.2"/>
    <row r="448" s="27" customFormat="1" ht="11.25" x14ac:dyDescent="0.2"/>
    <row r="449" s="27" customFormat="1" ht="11.25" x14ac:dyDescent="0.2"/>
    <row r="450" s="27" customFormat="1" ht="11.25" x14ac:dyDescent="0.2"/>
    <row r="451" s="27" customFormat="1" ht="11.25" x14ac:dyDescent="0.2"/>
    <row r="452" s="27" customFormat="1" ht="11.25" x14ac:dyDescent="0.2"/>
    <row r="453" s="27" customFormat="1" ht="11.25" x14ac:dyDescent="0.2"/>
    <row r="454" s="27" customFormat="1" ht="11.25" x14ac:dyDescent="0.2"/>
    <row r="455" s="27" customFormat="1" ht="11.25" x14ac:dyDescent="0.2"/>
    <row r="456" s="27" customFormat="1" ht="11.25" x14ac:dyDescent="0.2"/>
    <row r="457" s="27" customFormat="1" ht="11.25" x14ac:dyDescent="0.2"/>
    <row r="458" s="27" customFormat="1" ht="11.25" x14ac:dyDescent="0.2"/>
    <row r="459" s="27" customFormat="1" ht="11.25" x14ac:dyDescent="0.2"/>
    <row r="460" s="27" customFormat="1" ht="11.25" x14ac:dyDescent="0.2"/>
    <row r="461" s="27" customFormat="1" ht="11.25" x14ac:dyDescent="0.2"/>
    <row r="462" s="27" customFormat="1" ht="11.25" x14ac:dyDescent="0.2"/>
    <row r="463" s="27" customFormat="1" ht="11.25" x14ac:dyDescent="0.2"/>
    <row r="464" s="27" customFormat="1" ht="11.25" x14ac:dyDescent="0.2"/>
    <row r="465" s="27" customFormat="1" ht="11.25" x14ac:dyDescent="0.2"/>
    <row r="466" s="27" customFormat="1" ht="11.25" x14ac:dyDescent="0.2"/>
    <row r="467" s="27" customFormat="1" ht="11.25" x14ac:dyDescent="0.2"/>
    <row r="468" s="27" customFormat="1" ht="11.25" x14ac:dyDescent="0.2"/>
    <row r="469" s="27" customFormat="1" ht="11.25" x14ac:dyDescent="0.2"/>
    <row r="470" s="27" customFormat="1" ht="11.25" x14ac:dyDescent="0.2"/>
    <row r="471" s="27" customFormat="1" ht="11.25" x14ac:dyDescent="0.2"/>
    <row r="472" s="27" customFormat="1" ht="11.25" x14ac:dyDescent="0.2"/>
    <row r="473" s="27" customFormat="1" ht="11.25" x14ac:dyDescent="0.2"/>
    <row r="474" s="27" customFormat="1" ht="11.25" x14ac:dyDescent="0.2"/>
    <row r="475" s="27" customFormat="1" ht="11.25" x14ac:dyDescent="0.2"/>
    <row r="476" s="27" customFormat="1" ht="11.25" x14ac:dyDescent="0.2"/>
    <row r="477" s="27" customFormat="1" ht="11.25" x14ac:dyDescent="0.2"/>
    <row r="478" s="27" customFormat="1" ht="11.25" x14ac:dyDescent="0.2"/>
    <row r="479" s="27" customFormat="1" ht="11.25" x14ac:dyDescent="0.2"/>
    <row r="480" s="27" customFormat="1" ht="11.25" x14ac:dyDescent="0.2"/>
    <row r="481" s="27" customFormat="1" ht="11.25" x14ac:dyDescent="0.2"/>
    <row r="482" s="27" customFormat="1" ht="11.25" x14ac:dyDescent="0.2"/>
    <row r="483" s="27" customFormat="1" ht="11.25" x14ac:dyDescent="0.2"/>
    <row r="484" s="27" customFormat="1" ht="11.25" x14ac:dyDescent="0.2"/>
    <row r="485" s="27" customFormat="1" ht="11.25" x14ac:dyDescent="0.2"/>
    <row r="486" s="27" customFormat="1" ht="11.25" x14ac:dyDescent="0.2"/>
    <row r="487" s="27" customFormat="1" ht="11.25" x14ac:dyDescent="0.2"/>
    <row r="488" s="27" customFormat="1" ht="11.25" x14ac:dyDescent="0.2"/>
    <row r="489" s="27" customFormat="1" ht="11.25" x14ac:dyDescent="0.2"/>
    <row r="490" s="27" customFormat="1" ht="11.25" x14ac:dyDescent="0.2"/>
    <row r="491" s="27" customFormat="1" ht="11.25" x14ac:dyDescent="0.2"/>
    <row r="492" s="27" customFormat="1" ht="11.25" x14ac:dyDescent="0.2"/>
    <row r="493" s="27" customFormat="1" ht="11.25" x14ac:dyDescent="0.2"/>
    <row r="494" s="27" customFormat="1" ht="11.25" x14ac:dyDescent="0.2"/>
    <row r="495" s="27" customFormat="1" ht="11.25" x14ac:dyDescent="0.2"/>
    <row r="496" s="27" customFormat="1" ht="11.25" x14ac:dyDescent="0.2"/>
    <row r="497" s="27" customFormat="1" ht="11.25" x14ac:dyDescent="0.2"/>
    <row r="498" s="27" customFormat="1" ht="11.25" x14ac:dyDescent="0.2"/>
    <row r="499" s="27" customFormat="1" ht="11.25" x14ac:dyDescent="0.2"/>
    <row r="500" s="27" customFormat="1" ht="11.25" x14ac:dyDescent="0.2"/>
    <row r="501" s="27" customFormat="1" ht="11.25" x14ac:dyDescent="0.2"/>
    <row r="502" s="27" customFormat="1" ht="11.25" x14ac:dyDescent="0.2"/>
    <row r="503" s="27" customFormat="1" ht="11.25" x14ac:dyDescent="0.2"/>
    <row r="504" s="27" customFormat="1" ht="11.25" x14ac:dyDescent="0.2"/>
    <row r="505" s="27" customFormat="1" ht="11.25" x14ac:dyDescent="0.2"/>
    <row r="506" s="27" customFormat="1" ht="11.25" x14ac:dyDescent="0.2"/>
    <row r="507" s="27" customFormat="1" ht="11.25" x14ac:dyDescent="0.2"/>
    <row r="508" s="27" customFormat="1" ht="11.25" x14ac:dyDescent="0.2"/>
    <row r="509" s="27" customFormat="1" ht="11.25" x14ac:dyDescent="0.2"/>
    <row r="510" s="27" customFormat="1" ht="11.25" x14ac:dyDescent="0.2"/>
    <row r="511" s="27" customFormat="1" ht="11.25" x14ac:dyDescent="0.2"/>
    <row r="512" s="27" customFormat="1" ht="11.25" x14ac:dyDescent="0.2"/>
    <row r="513" s="27" customFormat="1" ht="11.25" x14ac:dyDescent="0.2"/>
    <row r="514" s="27" customFormat="1" ht="11.25" x14ac:dyDescent="0.2"/>
    <row r="515" s="27" customFormat="1" ht="11.25" x14ac:dyDescent="0.2"/>
    <row r="516" s="27" customFormat="1" ht="11.25" x14ac:dyDescent="0.2"/>
    <row r="517" s="27" customFormat="1" ht="11.25" x14ac:dyDescent="0.2"/>
    <row r="518" s="27" customFormat="1" ht="11.25" x14ac:dyDescent="0.2"/>
    <row r="519" s="27" customFormat="1" ht="11.25" x14ac:dyDescent="0.2"/>
    <row r="520" s="27" customFormat="1" ht="11.25" x14ac:dyDescent="0.2"/>
    <row r="521" s="27" customFormat="1" ht="11.25" x14ac:dyDescent="0.2"/>
    <row r="522" s="27" customFormat="1" ht="11.25" x14ac:dyDescent="0.2"/>
    <row r="523" s="27" customFormat="1" ht="11.25" x14ac:dyDescent="0.2"/>
    <row r="524" s="27" customFormat="1" ht="11.25" x14ac:dyDescent="0.2"/>
    <row r="525" s="27" customFormat="1" ht="11.25" x14ac:dyDescent="0.2"/>
    <row r="526" s="27" customFormat="1" ht="11.25" x14ac:dyDescent="0.2"/>
    <row r="527" s="27" customFormat="1" ht="11.25" x14ac:dyDescent="0.2"/>
    <row r="528" s="27" customFormat="1" ht="11.25" x14ac:dyDescent="0.2"/>
    <row r="529" s="27" customFormat="1" ht="11.25" x14ac:dyDescent="0.2"/>
    <row r="530" s="27" customFormat="1" ht="11.25" x14ac:dyDescent="0.2"/>
    <row r="531" s="27" customFormat="1" ht="11.25" x14ac:dyDescent="0.2"/>
    <row r="532" s="27" customFormat="1" ht="11.25" x14ac:dyDescent="0.2"/>
    <row r="533" s="27" customFormat="1" ht="11.25" x14ac:dyDescent="0.2"/>
    <row r="534" s="27" customFormat="1" ht="11.25" x14ac:dyDescent="0.2"/>
    <row r="535" s="27" customFormat="1" ht="11.25" x14ac:dyDescent="0.2"/>
    <row r="536" s="27" customFormat="1" ht="11.25" x14ac:dyDescent="0.2"/>
    <row r="537" s="27" customFormat="1" ht="11.25" x14ac:dyDescent="0.2"/>
    <row r="538" s="27" customFormat="1" ht="11.25" x14ac:dyDescent="0.2"/>
    <row r="539" s="27" customFormat="1" ht="11.25" x14ac:dyDescent="0.2"/>
    <row r="540" s="27" customFormat="1" ht="11.25" x14ac:dyDescent="0.2"/>
    <row r="541" s="27" customFormat="1" ht="11.25" x14ac:dyDescent="0.2"/>
    <row r="542" s="27" customFormat="1" ht="11.25" x14ac:dyDescent="0.2"/>
    <row r="543" s="27" customFormat="1" ht="11.25" x14ac:dyDescent="0.2"/>
  </sheetData>
  <sheetProtection password="E65B" sheet="1" objects="1" scenarios="1"/>
  <phoneticPr fontId="2" type="noConversion"/>
  <pageMargins left="0.75" right="0.75" top="1" bottom="1" header="0" footer="0"/>
  <pageSetup paperSize="9" orientation="portrait" horizontalDpi="4294967292" verticalDpi="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enableFormatConditionsCalculation="0">
    <tabColor indexed="23"/>
  </sheetPr>
  <dimension ref="A1:FJ1033"/>
  <sheetViews>
    <sheetView showGridLines="0" showOutlineSymbols="0" topLeftCell="B1" workbookViewId="0">
      <pane ySplit="1" topLeftCell="A2" activePane="bottomLeft" state="frozen"/>
      <selection pane="bottomLeft" activeCell="BK386" sqref="BK386"/>
    </sheetView>
  </sheetViews>
  <sheetFormatPr baseColWidth="10" defaultRowHeight="12.75" x14ac:dyDescent="0.2"/>
  <cols>
    <col min="1" max="1" width="4.28515625" hidden="1" customWidth="1"/>
    <col min="2" max="2" width="11.28515625" style="15" customWidth="1"/>
    <col min="3" max="3" width="10.7109375" style="15" customWidth="1"/>
    <col min="4" max="4" width="12.28515625" style="15" customWidth="1"/>
    <col min="5" max="6" width="10.7109375" style="15" hidden="1" customWidth="1"/>
    <col min="7" max="7" width="13" style="15" hidden="1" customWidth="1"/>
    <col min="8" max="8" width="9.7109375" style="15" hidden="1" customWidth="1"/>
    <col min="9" max="9" width="11.140625" style="15" hidden="1" customWidth="1"/>
    <col min="10" max="10" width="9.7109375" style="15" hidden="1" customWidth="1"/>
    <col min="11" max="11" width="10.28515625" style="15" hidden="1" customWidth="1"/>
    <col min="12" max="12" width="10.85546875" style="15" hidden="1" customWidth="1"/>
    <col min="13" max="13" width="12.85546875" style="15" hidden="1" customWidth="1"/>
    <col min="14" max="14" width="8.7109375" style="15" hidden="1" customWidth="1"/>
    <col min="15" max="15" width="10.42578125" style="15" hidden="1" customWidth="1"/>
    <col min="16" max="16" width="12.140625" style="15" hidden="1" customWidth="1"/>
    <col min="17" max="18" width="8.7109375" style="15" hidden="1" customWidth="1"/>
    <col min="19" max="19" width="10.42578125" style="15" hidden="1" customWidth="1"/>
    <col min="20" max="54" width="8.7109375" style="15" hidden="1" customWidth="1"/>
    <col min="55" max="121" width="8.7109375" style="15" customWidth="1"/>
    <col min="122" max="166" width="8.7109375" customWidth="1"/>
  </cols>
  <sheetData>
    <row r="1" spans="2:102" ht="24.75" customHeight="1" x14ac:dyDescent="0.2">
      <c r="C1" s="1347" t="s">
        <v>1507</v>
      </c>
    </row>
    <row r="2" spans="2:102" hidden="1" x14ac:dyDescent="0.2">
      <c r="B2" s="26"/>
      <c r="C2" s="24"/>
      <c r="D2" s="24"/>
      <c r="E2" s="24" t="str">
        <f>SB!$J$122</f>
        <v>INMOVILIZADO INTANGIBLE</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5"/>
      <c r="AH2" s="25"/>
      <c r="AI2" s="25"/>
      <c r="AJ2" s="25"/>
      <c r="AK2" s="25"/>
      <c r="AL2" s="25"/>
      <c r="AM2" s="25"/>
      <c r="AN2" s="25"/>
      <c r="AO2" s="25"/>
      <c r="AP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row>
    <row r="3" spans="2:102" s="27" customFormat="1" ht="11.25" hidden="1" x14ac:dyDescent="0.2">
      <c r="B3" s="62" t="s">
        <v>686</v>
      </c>
      <c r="C3" s="63"/>
      <c r="D3" s="63"/>
      <c r="E3" s="63" t="str">
        <f>IF(SB!$G$637=0,E2,IF(SB!$G$637=E2,E2,B33))</f>
        <v>ARRENDAMIENTO</v>
      </c>
      <c r="F3" s="63"/>
      <c r="G3" s="63"/>
      <c r="H3" s="63"/>
      <c r="I3" s="63"/>
      <c r="J3" s="63"/>
      <c r="K3" s="63"/>
      <c r="L3" s="63"/>
      <c r="M3" s="63"/>
      <c r="N3" s="63"/>
      <c r="O3" s="63"/>
      <c r="P3" s="63"/>
      <c r="Q3" s="64"/>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4"/>
    </row>
    <row r="4" spans="2:102" s="27" customFormat="1" ht="11.25" hidden="1" x14ac:dyDescent="0.2">
      <c r="B4" s="60"/>
      <c r="C4" s="27" t="s">
        <v>858</v>
      </c>
      <c r="Q4" s="61"/>
      <c r="BD4" s="61"/>
    </row>
    <row r="5" spans="2:102" s="27" customFormat="1" ht="11.25" hidden="1" x14ac:dyDescent="0.2">
      <c r="B5" s="60"/>
      <c r="D5" s="27" t="s">
        <v>958</v>
      </c>
      <c r="E5" s="27" t="str">
        <f t="shared" ref="E5:P5" si="0">AL109</f>
        <v>Enero</v>
      </c>
      <c r="F5" s="27" t="str">
        <f t="shared" si="0"/>
        <v>Febrero</v>
      </c>
      <c r="G5" s="27" t="str">
        <f t="shared" si="0"/>
        <v>Marzo</v>
      </c>
      <c r="H5" s="27" t="str">
        <f t="shared" si="0"/>
        <v>Abril</v>
      </c>
      <c r="I5" s="27" t="str">
        <f t="shared" si="0"/>
        <v xml:space="preserve">Mayo </v>
      </c>
      <c r="J5" s="27" t="str">
        <f t="shared" si="0"/>
        <v>Junio</v>
      </c>
      <c r="K5" s="27" t="str">
        <f t="shared" si="0"/>
        <v>Julio</v>
      </c>
      <c r="L5" s="27" t="str">
        <f t="shared" si="0"/>
        <v>Agosto</v>
      </c>
      <c r="M5" s="27" t="str">
        <f t="shared" si="0"/>
        <v>Septiembre</v>
      </c>
      <c r="N5" s="27" t="str">
        <f t="shared" si="0"/>
        <v>Octubre</v>
      </c>
      <c r="O5" s="27" t="str">
        <f t="shared" si="0"/>
        <v>Noviembre</v>
      </c>
      <c r="P5" s="27" t="str">
        <f t="shared" si="0"/>
        <v>Diciembre</v>
      </c>
      <c r="Q5" s="61"/>
      <c r="BD5" s="61"/>
    </row>
    <row r="6" spans="2:102" s="27" customFormat="1" ht="11.25" hidden="1" x14ac:dyDescent="0.2">
      <c r="B6" s="60"/>
      <c r="C6" s="27" t="s">
        <v>677</v>
      </c>
      <c r="Q6" s="61"/>
      <c r="BD6" s="61"/>
    </row>
    <row r="7" spans="2:102" s="27" customFormat="1" ht="11.25" hidden="1" x14ac:dyDescent="0.2">
      <c r="B7" s="60"/>
      <c r="C7" s="27" t="s">
        <v>233</v>
      </c>
      <c r="D7" s="27">
        <f>SUM(E7:P7)</f>
        <v>0</v>
      </c>
      <c r="E7" s="27">
        <f>IF($E$3=$B$33,0,I375)</f>
        <v>0</v>
      </c>
      <c r="F7" s="27">
        <f t="shared" ref="F7:P7" si="1">IF($E$3=$B$33,0,J375)</f>
        <v>0</v>
      </c>
      <c r="G7" s="27">
        <f t="shared" si="1"/>
        <v>0</v>
      </c>
      <c r="H7" s="27">
        <f t="shared" si="1"/>
        <v>0</v>
      </c>
      <c r="I7" s="27">
        <f t="shared" si="1"/>
        <v>0</v>
      </c>
      <c r="J7" s="27">
        <f t="shared" si="1"/>
        <v>0</v>
      </c>
      <c r="K7" s="27">
        <f t="shared" si="1"/>
        <v>0</v>
      </c>
      <c r="L7" s="27">
        <f t="shared" si="1"/>
        <v>0</v>
      </c>
      <c r="M7" s="27">
        <f t="shared" si="1"/>
        <v>0</v>
      </c>
      <c r="N7" s="27">
        <f t="shared" si="1"/>
        <v>0</v>
      </c>
      <c r="O7" s="27">
        <f t="shared" si="1"/>
        <v>0</v>
      </c>
      <c r="P7" s="27">
        <f t="shared" si="1"/>
        <v>0</v>
      </c>
      <c r="Q7" s="61"/>
      <c r="BD7" s="61"/>
    </row>
    <row r="8" spans="2:102" s="27" customFormat="1" ht="11.25" hidden="1" x14ac:dyDescent="0.2">
      <c r="B8" s="60"/>
      <c r="C8" s="27" t="s">
        <v>234</v>
      </c>
      <c r="D8" s="27">
        <f>SUM(E8:P8)</f>
        <v>0</v>
      </c>
      <c r="E8" s="27">
        <f>IF($E$3=$B$33,0,I374)</f>
        <v>0</v>
      </c>
      <c r="F8" s="27">
        <f t="shared" ref="F8:P8" si="2">IF($E$3=$B$33,0,J374)</f>
        <v>0</v>
      </c>
      <c r="G8" s="27">
        <f t="shared" si="2"/>
        <v>0</v>
      </c>
      <c r="H8" s="27">
        <f t="shared" si="2"/>
        <v>0</v>
      </c>
      <c r="I8" s="27">
        <f t="shared" si="2"/>
        <v>0</v>
      </c>
      <c r="J8" s="27">
        <f t="shared" si="2"/>
        <v>0</v>
      </c>
      <c r="K8" s="27">
        <f t="shared" si="2"/>
        <v>0</v>
      </c>
      <c r="L8" s="27">
        <f t="shared" si="2"/>
        <v>0</v>
      </c>
      <c r="M8" s="27">
        <f t="shared" si="2"/>
        <v>0</v>
      </c>
      <c r="N8" s="27">
        <f t="shared" si="2"/>
        <v>0</v>
      </c>
      <c r="O8" s="27">
        <f t="shared" si="2"/>
        <v>0</v>
      </c>
      <c r="P8" s="27">
        <f t="shared" si="2"/>
        <v>0</v>
      </c>
      <c r="Q8" s="61"/>
      <c r="BD8" s="61"/>
    </row>
    <row r="9" spans="2:102" s="27" customFormat="1" ht="11.25" hidden="1" x14ac:dyDescent="0.2">
      <c r="B9" s="60"/>
      <c r="D9" s="27">
        <f>SUM(E9:P9)</f>
        <v>0</v>
      </c>
      <c r="E9" s="27">
        <f>SUM(I111:I152)</f>
        <v>0</v>
      </c>
      <c r="F9" s="27">
        <f t="shared" ref="F9:P9" si="3">SUM(J111:J152)+E9</f>
        <v>0</v>
      </c>
      <c r="G9" s="27">
        <f t="shared" si="3"/>
        <v>0</v>
      </c>
      <c r="H9" s="27">
        <f t="shared" si="3"/>
        <v>0</v>
      </c>
      <c r="I9" s="27">
        <f t="shared" si="3"/>
        <v>0</v>
      </c>
      <c r="J9" s="27">
        <f t="shared" si="3"/>
        <v>0</v>
      </c>
      <c r="K9" s="27">
        <f t="shared" si="3"/>
        <v>0</v>
      </c>
      <c r="L9" s="27">
        <f t="shared" si="3"/>
        <v>0</v>
      </c>
      <c r="M9" s="27">
        <f t="shared" si="3"/>
        <v>0</v>
      </c>
      <c r="N9" s="27">
        <f t="shared" si="3"/>
        <v>0</v>
      </c>
      <c r="O9" s="27">
        <f t="shared" si="3"/>
        <v>0</v>
      </c>
      <c r="P9" s="27">
        <f t="shared" si="3"/>
        <v>0</v>
      </c>
      <c r="Q9" s="61"/>
      <c r="BD9" s="61"/>
    </row>
    <row r="10" spans="2:102" s="27" customFormat="1" ht="11.25" hidden="1" x14ac:dyDescent="0.2">
      <c r="B10" s="60"/>
      <c r="C10" s="27" t="s">
        <v>674</v>
      </c>
      <c r="E10" s="27">
        <f>IF($E$3=SB!$J$123,0,I377)</f>
        <v>0</v>
      </c>
      <c r="F10" s="27">
        <f>IF($E$3=SB!$J$123,0,E10+J377)</f>
        <v>0</v>
      </c>
      <c r="G10" s="27">
        <f>IF($E$3=SB!$J$123,0,F10+K377)</f>
        <v>0</v>
      </c>
      <c r="H10" s="27">
        <f>IF($E$3=SB!$J$123,0,G10+L377)</f>
        <v>0</v>
      </c>
      <c r="I10" s="27">
        <f>IF($E$3=SB!$J$123,0,H10+M377)</f>
        <v>0</v>
      </c>
      <c r="J10" s="27">
        <f>IF($E$3=SB!$J$123,0,I10+N377)</f>
        <v>0</v>
      </c>
      <c r="K10" s="27">
        <f>IF($E$3=SB!$J$123,0,J10+O377)</f>
        <v>0</v>
      </c>
      <c r="L10" s="27">
        <f>IF($E$3=SB!$J$123,0,K10+P377)</f>
        <v>0</v>
      </c>
      <c r="M10" s="27">
        <f>IF($E$3=SB!$J$123,0,L10+Q377)</f>
        <v>0</v>
      </c>
      <c r="N10" s="27">
        <f>IF($E$3=SB!$J$123,0,M10+R377)</f>
        <v>0</v>
      </c>
      <c r="O10" s="27">
        <f>IF($E$3=SB!$J$123,0,N10+S377)</f>
        <v>0</v>
      </c>
      <c r="P10" s="27">
        <f>IF($E$3=SB!$J$123,0,O10+T377)</f>
        <v>0</v>
      </c>
      <c r="Q10" s="61"/>
      <c r="BD10" s="61"/>
    </row>
    <row r="11" spans="2:102" s="27" customFormat="1" ht="11.25" hidden="1" x14ac:dyDescent="0.2">
      <c r="B11" s="60"/>
      <c r="C11" s="27" t="s">
        <v>425</v>
      </c>
      <c r="D11" s="27">
        <f>IF($E$3=SB!$J$123,0,I377)</f>
        <v>0</v>
      </c>
      <c r="E11" s="27">
        <f>IF($E$3=SB!$J$123,0,D11-E7)</f>
        <v>0</v>
      </c>
      <c r="F11" s="27">
        <f>IF($E$3=SB!$J$123,0,(E11+J377)-F7)</f>
        <v>0</v>
      </c>
      <c r="G11" s="27">
        <f>IF($E$3=SB!$J$123,0,(F11+K377)-G7)</f>
        <v>0</v>
      </c>
      <c r="H11" s="27">
        <f>IF($E$3=SB!$J$123,0,(G11+L377)-H7)</f>
        <v>0</v>
      </c>
      <c r="I11" s="27">
        <f>IF($E$3=SB!$J$123,0,(H11+M377)-I7)</f>
        <v>0</v>
      </c>
      <c r="J11" s="27">
        <f>IF($E$3=SB!$J$123,0,(I11+N377)-J7)</f>
        <v>0</v>
      </c>
      <c r="K11" s="27">
        <f>IF($E$3=SB!$J$123,0,(J11+O377)-K7)</f>
        <v>0</v>
      </c>
      <c r="L11" s="27">
        <f>IF($E$3=SB!$J$123,0,(K11+P377)-L7)</f>
        <v>0</v>
      </c>
      <c r="M11" s="27">
        <f>IF($E$3=SB!$J$123,0,(L11+Q377)-M7)</f>
        <v>0</v>
      </c>
      <c r="N11" s="27">
        <f>IF($E$3=SB!$J$123,0,(M11+R377)-N7)</f>
        <v>0</v>
      </c>
      <c r="O11" s="27">
        <f>IF($E$3=SB!$J$123,0,(N11+S377)-O7)</f>
        <v>0</v>
      </c>
      <c r="P11" s="27">
        <f>IF($E$3=SB!$J$123,0,(O11+T377)-P7)</f>
        <v>0</v>
      </c>
      <c r="Q11" s="61"/>
      <c r="BD11" s="61"/>
    </row>
    <row r="12" spans="2:102" s="27" customFormat="1" ht="11.25" hidden="1" x14ac:dyDescent="0.2">
      <c r="B12" s="60"/>
      <c r="Q12" s="61"/>
      <c r="BD12" s="61"/>
    </row>
    <row r="13" spans="2:102" s="27" customFormat="1" ht="11.25" hidden="1" x14ac:dyDescent="0.2">
      <c r="B13" s="60"/>
      <c r="C13" s="27" t="s">
        <v>469</v>
      </c>
      <c r="D13" s="27">
        <v>1</v>
      </c>
      <c r="E13" s="27">
        <v>2</v>
      </c>
      <c r="F13" s="27">
        <v>3</v>
      </c>
      <c r="G13" s="27">
        <v>4</v>
      </c>
      <c r="H13" s="27">
        <v>5</v>
      </c>
      <c r="Q13" s="61"/>
      <c r="BD13" s="61"/>
    </row>
    <row r="14" spans="2:102" s="27" customFormat="1" ht="11.25" hidden="1" x14ac:dyDescent="0.2">
      <c r="B14" s="60"/>
      <c r="C14" s="27" t="s">
        <v>907</v>
      </c>
      <c r="E14" s="27">
        <f>IF($E$3=$B$33,0,D653)</f>
        <v>0</v>
      </c>
      <c r="F14" s="27">
        <f>IF($E$3=$B$33,0,E653)</f>
        <v>0</v>
      </c>
      <c r="G14" s="27">
        <f>IF($E$3=$B$33,0,F653)</f>
        <v>0</v>
      </c>
      <c r="H14" s="27">
        <f>IF($E$3=$B$33,0,G653)</f>
        <v>0</v>
      </c>
      <c r="Q14" s="61"/>
      <c r="BD14" s="61"/>
    </row>
    <row r="15" spans="2:102" s="27" customFormat="1" ht="11.25" hidden="1" x14ac:dyDescent="0.2">
      <c r="B15" s="60"/>
      <c r="C15" s="27" t="s">
        <v>230</v>
      </c>
      <c r="E15" s="27">
        <f>IF($E$3=$B$33,0,K368+D544)</f>
        <v>0</v>
      </c>
      <c r="F15" s="27">
        <f>IF($E$3=$B$33,0,M368+E544)</f>
        <v>0</v>
      </c>
      <c r="G15" s="27">
        <f>IF($E$3=$B$33,0,O368+F544)</f>
        <v>0</v>
      </c>
      <c r="H15" s="27">
        <f>IF($E$3=$B$33,0,Q368+G544)</f>
        <v>0</v>
      </c>
      <c r="Q15" s="61"/>
      <c r="BD15" s="61"/>
    </row>
    <row r="16" spans="2:102" s="27" customFormat="1" ht="11.25" hidden="1" x14ac:dyDescent="0.2">
      <c r="B16" s="60"/>
      <c r="C16" s="27" t="s">
        <v>231</v>
      </c>
      <c r="E16" s="27">
        <f>IF($E$3=$B$33,0,K369+Y544)</f>
        <v>0</v>
      </c>
      <c r="F16" s="27">
        <f>IF($E$3=$B$33,0,M369+Z544)</f>
        <v>0</v>
      </c>
      <c r="G16" s="27">
        <f>IF($E$3=$B$33,0,O369+AA544)</f>
        <v>0</v>
      </c>
      <c r="H16" s="27">
        <f>IF($E$3=$B$33,0,Q369+AB544)</f>
        <v>0</v>
      </c>
      <c r="Q16" s="61"/>
      <c r="BD16" s="61"/>
    </row>
    <row r="17" spans="2:56" s="27" customFormat="1" ht="11.25" hidden="1" x14ac:dyDescent="0.2">
      <c r="B17" s="60"/>
      <c r="C17" s="27" t="s">
        <v>786</v>
      </c>
      <c r="E17" s="27">
        <f>SUM(E15:E16)</f>
        <v>0</v>
      </c>
      <c r="F17" s="27">
        <f>SUM(F15:F16)</f>
        <v>0</v>
      </c>
      <c r="G17" s="27">
        <f>SUM(G15:G16)</f>
        <v>0</v>
      </c>
      <c r="H17" s="27">
        <f>SUM(H15:H16)</f>
        <v>0</v>
      </c>
      <c r="Q17" s="61"/>
      <c r="BD17" s="61"/>
    </row>
    <row r="18" spans="2:56" s="27" customFormat="1" ht="11.25" hidden="1" x14ac:dyDescent="0.2">
      <c r="B18" s="60"/>
      <c r="C18" s="27" t="s">
        <v>425</v>
      </c>
      <c r="D18" s="27">
        <f>+P11</f>
        <v>0</v>
      </c>
      <c r="E18" s="27">
        <f>+(D18+E14)-E15</f>
        <v>0</v>
      </c>
      <c r="F18" s="27">
        <f>+(E18+F14)-F15</f>
        <v>0</v>
      </c>
      <c r="G18" s="27">
        <f>+(F18+G14)-G15</f>
        <v>0</v>
      </c>
      <c r="H18" s="27">
        <f>+(G18+H14)-H15</f>
        <v>0</v>
      </c>
      <c r="Q18" s="61"/>
      <c r="BD18" s="61"/>
    </row>
    <row r="19" spans="2:56" s="27" customFormat="1" ht="11.25" hidden="1" x14ac:dyDescent="0.2">
      <c r="B19" s="60"/>
      <c r="Q19" s="61"/>
      <c r="BD19" s="61"/>
    </row>
    <row r="20" spans="2:56" s="27" customFormat="1" ht="11.25" hidden="1" x14ac:dyDescent="0.2">
      <c r="B20" s="65"/>
      <c r="C20" s="66"/>
      <c r="D20" s="66"/>
      <c r="E20" s="66"/>
      <c r="F20" s="66"/>
      <c r="G20" s="66"/>
      <c r="H20" s="66"/>
      <c r="I20" s="66"/>
      <c r="J20" s="66"/>
      <c r="K20" s="66"/>
      <c r="L20" s="66"/>
      <c r="M20" s="66"/>
      <c r="N20" s="66"/>
      <c r="O20" s="66"/>
      <c r="P20" s="66"/>
      <c r="Q20" s="67"/>
      <c r="BD20" s="61"/>
    </row>
    <row r="21" spans="2:56" s="27" customFormat="1" ht="11.25" hidden="1" x14ac:dyDescent="0.2">
      <c r="B21" s="62" t="s">
        <v>470</v>
      </c>
      <c r="C21" s="63"/>
      <c r="D21" s="63"/>
      <c r="E21" s="63">
        <f>K386</f>
        <v>0</v>
      </c>
      <c r="F21" s="63">
        <f>L386</f>
        <v>0</v>
      </c>
      <c r="G21" s="63">
        <f>M386</f>
        <v>0</v>
      </c>
      <c r="H21" s="63">
        <f>N386</f>
        <v>0</v>
      </c>
      <c r="I21" s="63"/>
      <c r="J21" s="63"/>
      <c r="K21" s="63"/>
      <c r="L21" s="63"/>
      <c r="M21" s="63"/>
      <c r="N21" s="63"/>
      <c r="O21" s="63"/>
      <c r="P21" s="63"/>
      <c r="Q21" s="64"/>
      <c r="BD21" s="61"/>
    </row>
    <row r="22" spans="2:56" s="27" customFormat="1" ht="11.25" hidden="1" x14ac:dyDescent="0.2">
      <c r="B22" s="60"/>
      <c r="E22" s="27">
        <f>K437</f>
        <v>0</v>
      </c>
      <c r="F22" s="27">
        <f>L437</f>
        <v>0</v>
      </c>
      <c r="G22" s="27">
        <f>M437</f>
        <v>0</v>
      </c>
      <c r="H22" s="27">
        <f>N437</f>
        <v>0</v>
      </c>
      <c r="Q22" s="61"/>
      <c r="BD22" s="61"/>
    </row>
    <row r="23" spans="2:56" s="27" customFormat="1" ht="11.25" hidden="1" x14ac:dyDescent="0.2">
      <c r="B23" s="60"/>
      <c r="Q23" s="61"/>
      <c r="BD23" s="61"/>
    </row>
    <row r="24" spans="2:56" s="27" customFormat="1" ht="11.25" hidden="1" x14ac:dyDescent="0.2">
      <c r="B24" s="60"/>
      <c r="C24" s="27" t="str">
        <f>SB!X192</f>
        <v>Terrenos, construcciones y edificaciones</v>
      </c>
      <c r="E24" s="27">
        <f>K387</f>
        <v>0</v>
      </c>
      <c r="F24" s="27">
        <f>L387</f>
        <v>0</v>
      </c>
      <c r="G24" s="27">
        <f>M387</f>
        <v>0</v>
      </c>
      <c r="H24" s="27">
        <f>N387</f>
        <v>0</v>
      </c>
      <c r="Q24" s="61"/>
      <c r="BD24" s="61"/>
    </row>
    <row r="25" spans="2:56" s="27" customFormat="1" ht="11.25" hidden="1" x14ac:dyDescent="0.2">
      <c r="B25" s="60"/>
      <c r="C25" s="27" t="str">
        <f>SB!X193</f>
        <v>Otras instalaciones</v>
      </c>
      <c r="E25" s="27">
        <f>K394</f>
        <v>0</v>
      </c>
      <c r="F25" s="27">
        <f>L394</f>
        <v>0</v>
      </c>
      <c r="G25" s="27">
        <f>M394</f>
        <v>0</v>
      </c>
      <c r="H25" s="27">
        <f>N394</f>
        <v>0</v>
      </c>
      <c r="Q25" s="61"/>
      <c r="BD25" s="61"/>
    </row>
    <row r="26" spans="2:56" s="27" customFormat="1" ht="11.25" hidden="1" x14ac:dyDescent="0.2">
      <c r="B26" s="60"/>
      <c r="C26" s="27" t="str">
        <f>SB!X194</f>
        <v>Maquinaria, utillaje y herramientas</v>
      </c>
      <c r="E26" s="27">
        <f>K401</f>
        <v>0</v>
      </c>
      <c r="F26" s="27">
        <f>L401</f>
        <v>0</v>
      </c>
      <c r="G26" s="27">
        <f>M401</f>
        <v>0</v>
      </c>
      <c r="H26" s="27">
        <f>N401</f>
        <v>0</v>
      </c>
      <c r="Q26" s="61"/>
      <c r="BD26" s="61"/>
    </row>
    <row r="27" spans="2:56" s="27" customFormat="1" ht="11.25" hidden="1" x14ac:dyDescent="0.2">
      <c r="B27" s="60"/>
      <c r="C27" s="27" t="str">
        <f>SB!X195</f>
        <v>Vehículos y elementos de transporte</v>
      </c>
      <c r="E27" s="27">
        <f>K408</f>
        <v>0</v>
      </c>
      <c r="F27" s="27">
        <f>L408</f>
        <v>0</v>
      </c>
      <c r="G27" s="27">
        <f>M408</f>
        <v>0</v>
      </c>
      <c r="H27" s="27">
        <f>N408</f>
        <v>0</v>
      </c>
      <c r="Q27" s="61"/>
      <c r="BD27" s="61"/>
    </row>
    <row r="28" spans="2:56" s="27" customFormat="1" ht="11.25" hidden="1" x14ac:dyDescent="0.2">
      <c r="B28" s="60"/>
      <c r="C28" s="27" t="str">
        <f>SB!X196</f>
        <v>Mobiliario y equipos oficina</v>
      </c>
      <c r="E28" s="27">
        <f>K415</f>
        <v>0</v>
      </c>
      <c r="F28" s="27">
        <f>L415</f>
        <v>0</v>
      </c>
      <c r="G28" s="27">
        <f>M415</f>
        <v>0</v>
      </c>
      <c r="H28" s="27">
        <f>N415</f>
        <v>0</v>
      </c>
      <c r="Q28" s="61"/>
      <c r="BD28" s="61"/>
    </row>
    <row r="29" spans="2:56" s="27" customFormat="1" ht="11.25" hidden="1" x14ac:dyDescent="0.2">
      <c r="B29" s="60"/>
      <c r="C29" s="27" t="str">
        <f>SB!X197</f>
        <v>Equipos informáticos</v>
      </c>
      <c r="E29" s="27">
        <f>K422</f>
        <v>0</v>
      </c>
      <c r="F29" s="27">
        <f>L422</f>
        <v>0</v>
      </c>
      <c r="G29" s="27">
        <f>M422</f>
        <v>0</v>
      </c>
      <c r="H29" s="27">
        <f>N422</f>
        <v>0</v>
      </c>
      <c r="Q29" s="61"/>
      <c r="BD29" s="61"/>
    </row>
    <row r="30" spans="2:56" s="27" customFormat="1" ht="11.25" hidden="1" x14ac:dyDescent="0.2">
      <c r="B30" s="60"/>
      <c r="C30" s="27" t="str">
        <f>SB!X198</f>
        <v>Activos intangibles amortizables</v>
      </c>
      <c r="E30" s="27">
        <f>K429</f>
        <v>0</v>
      </c>
      <c r="F30" s="27">
        <f>L429</f>
        <v>0</v>
      </c>
      <c r="G30" s="27">
        <f>M429</f>
        <v>0</v>
      </c>
      <c r="H30" s="27">
        <f>N429</f>
        <v>0</v>
      </c>
      <c r="Q30" s="61"/>
      <c r="BD30" s="61"/>
    </row>
    <row r="31" spans="2:56" s="27" customFormat="1" ht="11.25" hidden="1" x14ac:dyDescent="0.2">
      <c r="B31" s="60"/>
      <c r="Q31" s="61"/>
      <c r="BD31" s="61"/>
    </row>
    <row r="32" spans="2:56" s="27" customFormat="1" ht="11.25" hidden="1" x14ac:dyDescent="0.2">
      <c r="B32" s="60" t="s">
        <v>187</v>
      </c>
      <c r="E32" s="27" t="str">
        <f t="shared" ref="E32:P32" si="4">E5</f>
        <v>Enero</v>
      </c>
      <c r="F32" s="27" t="str">
        <f t="shared" si="4"/>
        <v>Febrero</v>
      </c>
      <c r="G32" s="27" t="str">
        <f t="shared" si="4"/>
        <v>Marzo</v>
      </c>
      <c r="H32" s="27" t="str">
        <f t="shared" si="4"/>
        <v>Abril</v>
      </c>
      <c r="I32" s="27" t="str">
        <f t="shared" si="4"/>
        <v xml:space="preserve">Mayo </v>
      </c>
      <c r="J32" s="27" t="str">
        <f t="shared" si="4"/>
        <v>Junio</v>
      </c>
      <c r="K32" s="27" t="str">
        <f t="shared" si="4"/>
        <v>Julio</v>
      </c>
      <c r="L32" s="27" t="str">
        <f t="shared" si="4"/>
        <v>Agosto</v>
      </c>
      <c r="M32" s="27" t="str">
        <f t="shared" si="4"/>
        <v>Septiembre</v>
      </c>
      <c r="N32" s="27" t="str">
        <f t="shared" si="4"/>
        <v>Octubre</v>
      </c>
      <c r="O32" s="27" t="str">
        <f t="shared" si="4"/>
        <v>Noviembre</v>
      </c>
      <c r="P32" s="27" t="str">
        <f t="shared" si="4"/>
        <v>Diciembre</v>
      </c>
      <c r="Q32" s="61"/>
      <c r="BD32" s="61"/>
    </row>
    <row r="33" spans="2:99" s="27" customFormat="1" ht="11.25" hidden="1" x14ac:dyDescent="0.2">
      <c r="B33" s="60" t="str">
        <f>SB!$J$123</f>
        <v>ARRENDAMIENTO</v>
      </c>
      <c r="C33" s="27" t="s">
        <v>188</v>
      </c>
      <c r="D33" s="27">
        <f>SUM(E33:P33)</f>
        <v>0</v>
      </c>
      <c r="E33" s="27">
        <f>IF($E$3=$B$33,I376,0)</f>
        <v>0</v>
      </c>
      <c r="F33" s="27">
        <f t="shared" ref="F33:P33" si="5">IF($E$3=$B$33,J376,0)</f>
        <v>0</v>
      </c>
      <c r="G33" s="27">
        <f t="shared" si="5"/>
        <v>0</v>
      </c>
      <c r="H33" s="27">
        <f t="shared" si="5"/>
        <v>0</v>
      </c>
      <c r="I33" s="27">
        <f t="shared" si="5"/>
        <v>0</v>
      </c>
      <c r="J33" s="27">
        <f t="shared" si="5"/>
        <v>0</v>
      </c>
      <c r="K33" s="27">
        <f t="shared" si="5"/>
        <v>0</v>
      </c>
      <c r="L33" s="27">
        <f t="shared" si="5"/>
        <v>0</v>
      </c>
      <c r="M33" s="27">
        <f t="shared" si="5"/>
        <v>0</v>
      </c>
      <c r="N33" s="27">
        <f t="shared" si="5"/>
        <v>0</v>
      </c>
      <c r="O33" s="27">
        <f t="shared" si="5"/>
        <v>0</v>
      </c>
      <c r="P33" s="27">
        <f t="shared" si="5"/>
        <v>0</v>
      </c>
      <c r="Q33" s="61"/>
      <c r="BD33" s="61"/>
    </row>
    <row r="34" spans="2:99" s="27" customFormat="1" ht="11.25" hidden="1" x14ac:dyDescent="0.2">
      <c r="B34" s="60"/>
      <c r="C34" s="27" t="s">
        <v>606</v>
      </c>
      <c r="D34" s="27">
        <f>D33</f>
        <v>0</v>
      </c>
      <c r="E34" s="27">
        <f>IF($B$33=$E$3,K370+D544+Y544,0)</f>
        <v>0</v>
      </c>
      <c r="F34" s="27">
        <f>IF($B$33=$E$3,M370+E544+Z544,0)</f>
        <v>0</v>
      </c>
      <c r="G34" s="27">
        <f>IF($B$33=$E$3,O370+F544+AA544,0)</f>
        <v>0</v>
      </c>
      <c r="H34" s="27">
        <f>IF($B$33=$E$3,Q370+G544+AB544,0)</f>
        <v>0</v>
      </c>
      <c r="Q34" s="61"/>
      <c r="BD34" s="61"/>
    </row>
    <row r="35" spans="2:99" s="27" customFormat="1" ht="11.25" hidden="1" x14ac:dyDescent="0.2">
      <c r="B35" s="65"/>
      <c r="C35" s="66"/>
      <c r="D35" s="66"/>
      <c r="E35" s="66">
        <v>115872.89363806957</v>
      </c>
      <c r="F35" s="66">
        <v>115872.89363806955</v>
      </c>
      <c r="G35" s="66">
        <v>115872.89363806954</v>
      </c>
      <c r="H35" s="66">
        <v>115872.89363806955</v>
      </c>
      <c r="I35" s="66"/>
      <c r="J35" s="66"/>
      <c r="K35" s="66"/>
      <c r="L35" s="66"/>
      <c r="M35" s="66"/>
      <c r="N35" s="66"/>
      <c r="O35" s="66"/>
      <c r="P35" s="66"/>
      <c r="Q35" s="67"/>
      <c r="BD35" s="61"/>
    </row>
    <row r="36" spans="2:99" s="27" customFormat="1" ht="11.25" hidden="1" x14ac:dyDescent="0.2">
      <c r="B36" s="60"/>
      <c r="BD36" s="61"/>
    </row>
    <row r="37" spans="2:99" s="27" customFormat="1" ht="11.25" hidden="1" x14ac:dyDescent="0.2">
      <c r="B37" s="60"/>
      <c r="BD37" s="61"/>
    </row>
    <row r="38" spans="2:99" s="27" customFormat="1" ht="11.25" hidden="1" x14ac:dyDescent="0.2">
      <c r="B38" s="60"/>
      <c r="AO38" s="62" t="str">
        <f>SB!E148</f>
        <v>en el MES</v>
      </c>
      <c r="AP38" s="64">
        <v>1</v>
      </c>
      <c r="BD38" s="61"/>
    </row>
    <row r="39" spans="2:99" s="27" customFormat="1" ht="11.25" hidden="1" x14ac:dyDescent="0.2">
      <c r="B39" s="60"/>
      <c r="AO39" s="60" t="str">
        <f>SB!E149</f>
        <v>30 días</v>
      </c>
      <c r="AP39" s="61">
        <v>2</v>
      </c>
      <c r="BD39" s="61"/>
    </row>
    <row r="40" spans="2:99" s="27" customFormat="1" ht="11.25" hidden="1" x14ac:dyDescent="0.2">
      <c r="B40" s="60"/>
      <c r="AO40" s="60" t="str">
        <f>SB!E150</f>
        <v>60 días</v>
      </c>
      <c r="AP40" s="61">
        <v>3</v>
      </c>
      <c r="BD40" s="61"/>
    </row>
    <row r="41" spans="2:99" s="27" customFormat="1" ht="11.25" hidden="1" x14ac:dyDescent="0.2">
      <c r="B41" s="62" t="s">
        <v>455</v>
      </c>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2" t="str">
        <f>SB!E151</f>
        <v>90 días</v>
      </c>
      <c r="AP41" s="64">
        <v>4</v>
      </c>
      <c r="AQ41" s="63"/>
      <c r="AR41" s="63"/>
      <c r="AS41" s="63"/>
      <c r="AT41" s="63"/>
      <c r="AU41" s="63"/>
      <c r="AV41" s="63"/>
      <c r="AW41" s="63"/>
      <c r="AX41" s="63"/>
      <c r="AY41" s="63"/>
      <c r="AZ41" s="63"/>
      <c r="BA41" s="63"/>
      <c r="BB41" s="63"/>
      <c r="BC41" s="63"/>
      <c r="BD41" s="64"/>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4"/>
    </row>
    <row r="42" spans="2:99" s="27" customFormat="1" ht="11.25" hidden="1" x14ac:dyDescent="0.2">
      <c r="B42" s="60" t="s">
        <v>676</v>
      </c>
      <c r="AO42" s="60" t="str">
        <f>SB!E152</f>
        <v>120 días</v>
      </c>
      <c r="AP42" s="61">
        <v>5</v>
      </c>
      <c r="BD42" s="61"/>
      <c r="CU42" s="61"/>
    </row>
    <row r="43" spans="2:99" s="27" customFormat="1" ht="11.25" hidden="1" x14ac:dyDescent="0.2">
      <c r="B43" s="60"/>
      <c r="AO43" s="60" t="str">
        <f>SB!E153</f>
        <v>150 días</v>
      </c>
      <c r="AP43" s="61">
        <v>6</v>
      </c>
      <c r="BD43" s="61"/>
      <c r="CU43" s="61"/>
    </row>
    <row r="44" spans="2:99" s="27" customFormat="1" ht="11.25" hidden="1" x14ac:dyDescent="0.2">
      <c r="B44" s="60"/>
      <c r="E44" s="27" t="s">
        <v>25</v>
      </c>
      <c r="AO44" s="65" t="str">
        <f>SB!E154</f>
        <v>180 días</v>
      </c>
      <c r="AP44" s="67">
        <v>7</v>
      </c>
      <c r="BD44" s="61"/>
      <c r="CU44" s="61"/>
    </row>
    <row r="45" spans="2:99" s="27" customFormat="1" ht="11.25" hidden="1" x14ac:dyDescent="0.2">
      <c r="B45" s="60"/>
      <c r="E45" s="27" t="str">
        <f>SB!B6</f>
        <v>Enero</v>
      </c>
      <c r="F45" s="27" t="str">
        <f>SB!C6</f>
        <v>Febrero</v>
      </c>
      <c r="G45" s="27" t="str">
        <f>SB!D6</f>
        <v>Marzo</v>
      </c>
      <c r="H45" s="27" t="str">
        <f>SB!E6</f>
        <v>Abril</v>
      </c>
      <c r="I45" s="27" t="str">
        <f>SB!F6</f>
        <v xml:space="preserve">Mayo </v>
      </c>
      <c r="J45" s="27" t="str">
        <f>SB!G6</f>
        <v>Junio</v>
      </c>
      <c r="K45" s="27" t="str">
        <f>SB!H6</f>
        <v>Julio</v>
      </c>
      <c r="L45" s="27" t="str">
        <f>SB!I6</f>
        <v>Agosto</v>
      </c>
      <c r="M45" s="27" t="str">
        <f>SB!J6</f>
        <v>Septiembre</v>
      </c>
      <c r="N45" s="27" t="str">
        <f>SB!K6</f>
        <v>Octubre</v>
      </c>
      <c r="O45" s="27" t="str">
        <f>SB!L6</f>
        <v>Noviembre</v>
      </c>
      <c r="P45" s="27" t="str">
        <f>SB!M6</f>
        <v>Diciembre</v>
      </c>
      <c r="Q45" s="27" t="str">
        <f>AG47</f>
        <v>TOTAL</v>
      </c>
      <c r="BD45" s="61"/>
      <c r="CU45" s="61"/>
    </row>
    <row r="46" spans="2:99" s="27" customFormat="1" ht="11.25" hidden="1" x14ac:dyDescent="0.2">
      <c r="B46" s="60" t="s">
        <v>244</v>
      </c>
      <c r="E46" s="27">
        <v>1</v>
      </c>
      <c r="F46" s="27">
        <v>2</v>
      </c>
      <c r="G46" s="27">
        <v>3</v>
      </c>
      <c r="H46" s="27">
        <v>4</v>
      </c>
      <c r="I46" s="27">
        <v>5</v>
      </c>
      <c r="J46" s="27">
        <v>6</v>
      </c>
      <c r="K46" s="27">
        <v>7</v>
      </c>
      <c r="L46" s="27">
        <v>8</v>
      </c>
      <c r="M46" s="27">
        <v>9</v>
      </c>
      <c r="N46" s="27">
        <v>10</v>
      </c>
      <c r="O46" s="27">
        <v>11</v>
      </c>
      <c r="P46" s="27">
        <v>12</v>
      </c>
      <c r="U46" s="27" t="s">
        <v>35</v>
      </c>
      <c r="AH46" s="27" t="s">
        <v>250</v>
      </c>
      <c r="AK46" s="27" t="s">
        <v>39</v>
      </c>
      <c r="AO46" s="27" t="s">
        <v>26</v>
      </c>
      <c r="AV46" s="27" t="s">
        <v>27</v>
      </c>
      <c r="BD46" s="61"/>
      <c r="BL46" s="27" t="s">
        <v>247</v>
      </c>
      <c r="BX46" s="27" t="s">
        <v>248</v>
      </c>
      <c r="CJ46" s="27" t="s">
        <v>32</v>
      </c>
      <c r="CU46" s="61"/>
    </row>
    <row r="47" spans="2:99" s="27" customFormat="1" ht="11.25" hidden="1" x14ac:dyDescent="0.2">
      <c r="B47" s="60" t="s">
        <v>1526</v>
      </c>
      <c r="C47" s="27" t="s">
        <v>1527</v>
      </c>
      <c r="D47" s="27" t="s">
        <v>23</v>
      </c>
      <c r="R47" s="27" t="s">
        <v>227</v>
      </c>
      <c r="S47" s="27" t="s">
        <v>245</v>
      </c>
      <c r="T47" s="27" t="s">
        <v>246</v>
      </c>
      <c r="U47" s="27" t="str">
        <f>SB!B6</f>
        <v>Enero</v>
      </c>
      <c r="V47" s="27" t="str">
        <f>SB!C6</f>
        <v>Febrero</v>
      </c>
      <c r="W47" s="27" t="str">
        <f>SB!D6</f>
        <v>Marzo</v>
      </c>
      <c r="X47" s="27" t="str">
        <f>SB!E6</f>
        <v>Abril</v>
      </c>
      <c r="Y47" s="27" t="str">
        <f>SB!F6</f>
        <v xml:space="preserve">Mayo </v>
      </c>
      <c r="Z47" s="27" t="str">
        <f>SB!G6</f>
        <v>Junio</v>
      </c>
      <c r="AA47" s="27" t="str">
        <f>SB!H6</f>
        <v>Julio</v>
      </c>
      <c r="AB47" s="27" t="str">
        <f>SB!I6</f>
        <v>Agosto</v>
      </c>
      <c r="AC47" s="27" t="str">
        <f>SB!J6</f>
        <v>Septiembre</v>
      </c>
      <c r="AD47" s="27" t="str">
        <f>SB!K6</f>
        <v>Octubre</v>
      </c>
      <c r="AE47" s="27" t="str">
        <f>SB!L6</f>
        <v>Noviembre</v>
      </c>
      <c r="AF47" s="27" t="str">
        <f>SB!M6</f>
        <v>Diciembre</v>
      </c>
      <c r="AG47" s="27" t="s">
        <v>958</v>
      </c>
      <c r="AH47" s="27" t="s">
        <v>251</v>
      </c>
      <c r="AI47" s="27" t="s">
        <v>37</v>
      </c>
      <c r="AJ47" s="27" t="s">
        <v>38</v>
      </c>
      <c r="AK47" s="27" t="s">
        <v>249</v>
      </c>
      <c r="AL47" s="27" t="s">
        <v>227</v>
      </c>
      <c r="AM47" s="27" t="s">
        <v>38</v>
      </c>
      <c r="AN47" s="27" t="s">
        <v>31</v>
      </c>
      <c r="AO47" s="27">
        <v>1</v>
      </c>
      <c r="AP47" s="27">
        <v>2</v>
      </c>
      <c r="AQ47" s="27">
        <v>3</v>
      </c>
      <c r="AR47" s="27">
        <v>4</v>
      </c>
      <c r="AS47" s="27">
        <v>5</v>
      </c>
      <c r="AT47" s="27">
        <v>6</v>
      </c>
      <c r="AU47" s="27">
        <v>7</v>
      </c>
      <c r="AV47" s="27" t="s">
        <v>28</v>
      </c>
      <c r="AW47" s="27" t="s">
        <v>29</v>
      </c>
      <c r="AX47" s="27" t="s">
        <v>30</v>
      </c>
      <c r="AY47" s="27">
        <v>1</v>
      </c>
      <c r="AZ47" s="27">
        <v>2</v>
      </c>
      <c r="BA47" s="27">
        <v>3</v>
      </c>
      <c r="BB47" s="27">
        <v>4</v>
      </c>
      <c r="BC47" s="27">
        <v>5</v>
      </c>
      <c r="BD47" s="61">
        <v>6</v>
      </c>
      <c r="BE47" s="27">
        <v>7</v>
      </c>
      <c r="BF47" s="27">
        <v>8</v>
      </c>
      <c r="BG47" s="27">
        <v>9</v>
      </c>
      <c r="BH47" s="27">
        <v>10</v>
      </c>
      <c r="BI47" s="27">
        <v>11</v>
      </c>
      <c r="BJ47" s="27">
        <v>12</v>
      </c>
      <c r="BL47" s="27" t="str">
        <f t="shared" ref="BL47:BW47" si="6">U47</f>
        <v>Enero</v>
      </c>
      <c r="BM47" s="27" t="str">
        <f t="shared" si="6"/>
        <v>Febrero</v>
      </c>
      <c r="BN47" s="27" t="str">
        <f t="shared" si="6"/>
        <v>Marzo</v>
      </c>
      <c r="BO47" s="27" t="str">
        <f t="shared" si="6"/>
        <v>Abril</v>
      </c>
      <c r="BP47" s="27" t="str">
        <f t="shared" si="6"/>
        <v xml:space="preserve">Mayo </v>
      </c>
      <c r="BQ47" s="27" t="str">
        <f t="shared" si="6"/>
        <v>Junio</v>
      </c>
      <c r="BR47" s="27" t="str">
        <f t="shared" si="6"/>
        <v>Julio</v>
      </c>
      <c r="BS47" s="27" t="str">
        <f t="shared" si="6"/>
        <v>Agosto</v>
      </c>
      <c r="BT47" s="27" t="str">
        <f t="shared" si="6"/>
        <v>Septiembre</v>
      </c>
      <c r="BU47" s="27" t="str">
        <f t="shared" si="6"/>
        <v>Octubre</v>
      </c>
      <c r="BV47" s="27" t="str">
        <f t="shared" si="6"/>
        <v>Noviembre</v>
      </c>
      <c r="BW47" s="27" t="str">
        <f t="shared" si="6"/>
        <v>Diciembre</v>
      </c>
      <c r="BX47" s="27">
        <v>1</v>
      </c>
      <c r="BY47" s="27">
        <f t="shared" ref="BY47:CI47" si="7">+BX47+1</f>
        <v>2</v>
      </c>
      <c r="BZ47" s="27">
        <f t="shared" si="7"/>
        <v>3</v>
      </c>
      <c r="CA47" s="27">
        <f t="shared" si="7"/>
        <v>4</v>
      </c>
      <c r="CB47" s="27">
        <f t="shared" si="7"/>
        <v>5</v>
      </c>
      <c r="CC47" s="27">
        <f t="shared" si="7"/>
        <v>6</v>
      </c>
      <c r="CD47" s="27">
        <f t="shared" si="7"/>
        <v>7</v>
      </c>
      <c r="CE47" s="27">
        <f t="shared" si="7"/>
        <v>8</v>
      </c>
      <c r="CF47" s="27">
        <f t="shared" si="7"/>
        <v>9</v>
      </c>
      <c r="CG47" s="27">
        <f t="shared" si="7"/>
        <v>10</v>
      </c>
      <c r="CH47" s="27">
        <f t="shared" si="7"/>
        <v>11</v>
      </c>
      <c r="CI47" s="27">
        <f t="shared" si="7"/>
        <v>12</v>
      </c>
      <c r="CJ47" s="27">
        <v>1</v>
      </c>
      <c r="CK47" s="27">
        <f t="shared" ref="CK47:CU47" si="8">+CJ47+1</f>
        <v>2</v>
      </c>
      <c r="CL47" s="27">
        <f t="shared" si="8"/>
        <v>3</v>
      </c>
      <c r="CM47" s="27">
        <f t="shared" si="8"/>
        <v>4</v>
      </c>
      <c r="CN47" s="27">
        <f t="shared" si="8"/>
        <v>5</v>
      </c>
      <c r="CO47" s="27">
        <f t="shared" si="8"/>
        <v>6</v>
      </c>
      <c r="CP47" s="27">
        <f t="shared" si="8"/>
        <v>7</v>
      </c>
      <c r="CQ47" s="27">
        <f t="shared" si="8"/>
        <v>8</v>
      </c>
      <c r="CR47" s="27">
        <f t="shared" si="8"/>
        <v>9</v>
      </c>
      <c r="CS47" s="27">
        <f t="shared" si="8"/>
        <v>10</v>
      </c>
      <c r="CT47" s="27">
        <f t="shared" si="8"/>
        <v>11</v>
      </c>
      <c r="CU47" s="61">
        <f t="shared" si="8"/>
        <v>12</v>
      </c>
    </row>
    <row r="48" spans="2:99" s="27" customFormat="1" ht="11.25" hidden="1" x14ac:dyDescent="0.2">
      <c r="B48" s="60">
        <f>IF($C48=0,0,SANDBOX!D151)</f>
        <v>0</v>
      </c>
      <c r="C48" s="27">
        <f>IF(SANDBOX!G151=SB!$C$156,SANDBOX!F151,0)</f>
        <v>0</v>
      </c>
      <c r="D48" s="27" t="str">
        <f>IF(SANDBOX!I151=0,$E$45,SANDBOX!I151)</f>
        <v>Enero</v>
      </c>
      <c r="E48" s="27">
        <f t="shared" ref="E48:E53" si="9">SUMIF($D48,E$45,$C48)</f>
        <v>0</v>
      </c>
      <c r="F48" s="27">
        <f t="shared" ref="F48:P63" si="10">SUMIF($D48,F$45,$C48)</f>
        <v>0</v>
      </c>
      <c r="G48" s="27">
        <f t="shared" si="10"/>
        <v>0</v>
      </c>
      <c r="H48" s="27">
        <f t="shared" si="10"/>
        <v>0</v>
      </c>
      <c r="I48" s="27">
        <f t="shared" si="10"/>
        <v>0</v>
      </c>
      <c r="J48" s="27">
        <f t="shared" si="10"/>
        <v>0</v>
      </c>
      <c r="K48" s="27">
        <f t="shared" si="10"/>
        <v>0</v>
      </c>
      <c r="L48" s="27">
        <f t="shared" si="10"/>
        <v>0</v>
      </c>
      <c r="M48" s="27">
        <f t="shared" si="10"/>
        <v>0</v>
      </c>
      <c r="N48" s="27">
        <f t="shared" si="10"/>
        <v>0</v>
      </c>
      <c r="O48" s="27">
        <f t="shared" si="10"/>
        <v>0</v>
      </c>
      <c r="P48" s="27">
        <f t="shared" si="10"/>
        <v>0</v>
      </c>
      <c r="Q48" s="27">
        <f t="shared" ref="Q48:Q53" si="11">SUM(E48:P48)</f>
        <v>0</v>
      </c>
      <c r="R48" s="27">
        <f>IF($C48=0,0,SANDBOX!J151)</f>
        <v>0</v>
      </c>
      <c r="S48" s="27">
        <f>IF($C48=0,0,SANDBOX!K151)</f>
        <v>0</v>
      </c>
      <c r="T48" s="27">
        <f t="shared" ref="T48:T53" si="12">IF(R48=0,0,C48/R48)</f>
        <v>0</v>
      </c>
      <c r="U48" s="27">
        <f t="shared" ref="U48:AF53" si="13">IF(CJ48&lt;=0,0,BL48)</f>
        <v>0</v>
      </c>
      <c r="V48" s="27">
        <f t="shared" si="13"/>
        <v>0</v>
      </c>
      <c r="W48" s="27">
        <f t="shared" si="13"/>
        <v>0</v>
      </c>
      <c r="X48" s="27">
        <f t="shared" si="13"/>
        <v>0</v>
      </c>
      <c r="Y48" s="27">
        <f t="shared" si="13"/>
        <v>0</v>
      </c>
      <c r="Z48" s="27">
        <f t="shared" si="13"/>
        <v>0</v>
      </c>
      <c r="AA48" s="27">
        <f t="shared" si="13"/>
        <v>0</v>
      </c>
      <c r="AB48" s="27">
        <f t="shared" si="13"/>
        <v>0</v>
      </c>
      <c r="AC48" s="27">
        <f t="shared" si="13"/>
        <v>0</v>
      </c>
      <c r="AD48" s="27">
        <f t="shared" si="13"/>
        <v>0</v>
      </c>
      <c r="AE48" s="27">
        <f t="shared" si="13"/>
        <v>0</v>
      </c>
      <c r="AF48" s="27">
        <f t="shared" si="13"/>
        <v>0</v>
      </c>
      <c r="AG48" s="27">
        <f>SUM(U48:AF48)</f>
        <v>0</v>
      </c>
      <c r="AH48" s="27">
        <f t="shared" ref="AH48:AH53" si="14">+C48-AG48</f>
        <v>0</v>
      </c>
      <c r="AI48" s="27">
        <f t="shared" ref="AI48:AI53" si="15">IF($T48=0,0,AH48/$T48)</f>
        <v>0</v>
      </c>
      <c r="AJ48" s="27">
        <f>IF(AI48&lt;=12,AH48,T48*12)</f>
        <v>0</v>
      </c>
      <c r="AK48" s="27">
        <f>+AH48-AJ48</f>
        <v>0</v>
      </c>
      <c r="AL48" s="27">
        <f t="shared" ref="AL48:AL53" si="16">IF($T48=0,0,AK48/$T48)</f>
        <v>0</v>
      </c>
      <c r="AM48" s="27">
        <f>IF(AL48&lt;=12,AK48,W48*12)</f>
        <v>0</v>
      </c>
      <c r="AN48" s="27" t="str">
        <f t="shared" ref="AN48:AN53" si="17">IF(AM48+AJ48+AG48=C48,"OK","ERROR")</f>
        <v>OK</v>
      </c>
      <c r="AO48" s="27">
        <f>IF(S48=SB!$E$148,T48,0)</f>
        <v>0</v>
      </c>
      <c r="AP48" s="27">
        <f>IF(S48=SB!$E$149,T48,0)</f>
        <v>0</v>
      </c>
      <c r="AQ48" s="27">
        <f>IF($S48=SB!E$150,T48,0)</f>
        <v>0</v>
      </c>
      <c r="AR48" s="27">
        <f>IF(S48=SB!$E$151,T48,0)</f>
        <v>0</v>
      </c>
      <c r="AS48" s="27">
        <f>IF(S48=SB!$E$152,T48,0)</f>
        <v>0</v>
      </c>
      <c r="AT48" s="27">
        <f>IF(S48=SB!$E$153,T48,0)</f>
        <v>0</v>
      </c>
      <c r="AU48" s="27">
        <f>IF(S48=SB!$E$154,T48,0)</f>
        <v>0</v>
      </c>
      <c r="AV48" s="27">
        <f>SUMIF($AO$38:$AO$44,S48,$AP$38:$AP$44)</f>
        <v>0</v>
      </c>
      <c r="AW48" s="27">
        <f>SUMIF($E$45:$P$45,D48,$E$46:$P$46)</f>
        <v>1</v>
      </c>
      <c r="AX48" s="27">
        <f t="shared" ref="AX48:AX53" si="18">+AW48+AV48-1</f>
        <v>0</v>
      </c>
      <c r="AY48" s="27">
        <f t="shared" ref="AY48:BJ53" si="19">IF(AY$47=$AX48,$T48,0)</f>
        <v>0</v>
      </c>
      <c r="AZ48" s="27">
        <f t="shared" si="19"/>
        <v>0</v>
      </c>
      <c r="BA48" s="27">
        <f t="shared" si="19"/>
        <v>0</v>
      </c>
      <c r="BB48" s="27">
        <f t="shared" si="19"/>
        <v>0</v>
      </c>
      <c r="BC48" s="27">
        <f t="shared" si="19"/>
        <v>0</v>
      </c>
      <c r="BD48" s="61">
        <f t="shared" si="19"/>
        <v>0</v>
      </c>
      <c r="BE48" s="27">
        <f t="shared" si="19"/>
        <v>0</v>
      </c>
      <c r="BF48" s="27">
        <f t="shared" si="19"/>
        <v>0</v>
      </c>
      <c r="BG48" s="27">
        <f t="shared" si="19"/>
        <v>0</v>
      </c>
      <c r="BH48" s="27">
        <f t="shared" si="19"/>
        <v>0</v>
      </c>
      <c r="BI48" s="27">
        <f t="shared" si="19"/>
        <v>0</v>
      </c>
      <c r="BJ48" s="27">
        <f t="shared" si="19"/>
        <v>0</v>
      </c>
      <c r="BL48" s="27">
        <f t="shared" ref="BL48:BL53" si="20">+IF(AY48=0,0,AY48)</f>
        <v>0</v>
      </c>
      <c r="BM48" s="27">
        <f t="shared" ref="BM48:BN53" si="21">+IF(AZ48=0,BL48,AZ48)</f>
        <v>0</v>
      </c>
      <c r="BN48" s="27">
        <f t="shared" si="21"/>
        <v>0</v>
      </c>
      <c r="BO48" s="27">
        <f t="shared" ref="BO48:BW48" si="22">+IF(BB48=0,BN48,BB48)</f>
        <v>0</v>
      </c>
      <c r="BP48" s="27">
        <f t="shared" si="22"/>
        <v>0</v>
      </c>
      <c r="BQ48" s="27">
        <f t="shared" si="22"/>
        <v>0</v>
      </c>
      <c r="BR48" s="27">
        <f t="shared" si="22"/>
        <v>0</v>
      </c>
      <c r="BS48" s="27">
        <f t="shared" si="22"/>
        <v>0</v>
      </c>
      <c r="BT48" s="27">
        <f t="shared" si="22"/>
        <v>0</v>
      </c>
      <c r="BU48" s="27">
        <f t="shared" si="22"/>
        <v>0</v>
      </c>
      <c r="BV48" s="27">
        <f t="shared" si="22"/>
        <v>0</v>
      </c>
      <c r="BW48" s="27">
        <f t="shared" si="22"/>
        <v>0</v>
      </c>
      <c r="BX48" s="27">
        <f t="shared" ref="BX48:BX53" si="23">+E48</f>
        <v>0</v>
      </c>
      <c r="BY48" s="27">
        <f t="shared" ref="BY48:BY53" si="24">IF(BX48=0,F48,BX48-BL48)</f>
        <v>0</v>
      </c>
      <c r="BZ48" s="27">
        <f t="shared" ref="BZ48:BZ53" si="25">IF(BY48=0,G48,BY48-BM48)</f>
        <v>0</v>
      </c>
      <c r="CA48" s="27">
        <f t="shared" ref="CA48:CA53" si="26">IF(BZ48=0,H48,BZ48-BN48)</f>
        <v>0</v>
      </c>
      <c r="CB48" s="27">
        <f t="shared" ref="CB48:CB53" si="27">IF(CA48=0,I48,CA48-BO48)</f>
        <v>0</v>
      </c>
      <c r="CC48" s="27">
        <f t="shared" ref="CC48:CC53" si="28">IF(CB48=0,J48,CB48-BP48)</f>
        <v>0</v>
      </c>
      <c r="CD48" s="27">
        <f t="shared" ref="CD48:CD53" si="29">IF(CC48=0,K48,CC48-BQ48)</f>
        <v>0</v>
      </c>
      <c r="CE48" s="27">
        <f t="shared" ref="CE48:CE53" si="30">IF(CD48=0,L48,CD48-BR48)</f>
        <v>0</v>
      </c>
      <c r="CF48" s="27">
        <f t="shared" ref="CF48:CF53" si="31">IF(CE48=0,M48,CE48-BS48)</f>
        <v>0</v>
      </c>
      <c r="CG48" s="27">
        <f t="shared" ref="CG48:CG53" si="32">IF(CF48=0,N48,CF48-BT48)</f>
        <v>0</v>
      </c>
      <c r="CH48" s="27">
        <f t="shared" ref="CH48:CH53" si="33">IF(CG48=0,O48,CG48-BU48)</f>
        <v>0</v>
      </c>
      <c r="CI48" s="27">
        <f t="shared" ref="CI48:CI53" si="34">IF(CH48=0,P48,CH48-BV48)</f>
        <v>0</v>
      </c>
      <c r="CJ48" s="27">
        <f>ROUNDDOWN(BX48,0)</f>
        <v>0</v>
      </c>
      <c r="CK48" s="27">
        <f t="shared" ref="CK48:CK95" si="35">ROUNDDOWN(BY48,0)</f>
        <v>0</v>
      </c>
      <c r="CL48" s="27">
        <f t="shared" ref="CL48:CL95" si="36">ROUNDDOWN(BZ48,0)</f>
        <v>0</v>
      </c>
      <c r="CM48" s="27">
        <f t="shared" ref="CM48:CM95" si="37">ROUNDDOWN(CA48,0)</f>
        <v>0</v>
      </c>
      <c r="CN48" s="27">
        <f t="shared" ref="CN48:CN95" si="38">ROUNDDOWN(CB48,0)</f>
        <v>0</v>
      </c>
      <c r="CO48" s="27">
        <f t="shared" ref="CO48:CO95" si="39">ROUNDDOWN(CC48,0)</f>
        <v>0</v>
      </c>
      <c r="CP48" s="27">
        <f t="shared" ref="CP48:CP95" si="40">ROUNDDOWN(CD48,0)</f>
        <v>0</v>
      </c>
      <c r="CQ48" s="27">
        <f t="shared" ref="CQ48:CQ95" si="41">ROUNDDOWN(CE48,0)</f>
        <v>0</v>
      </c>
      <c r="CR48" s="27">
        <f t="shared" ref="CR48:CR95" si="42">ROUNDDOWN(CF48,0)</f>
        <v>0</v>
      </c>
      <c r="CS48" s="27">
        <f t="shared" ref="CS48:CS95" si="43">ROUNDDOWN(CG48,0)</f>
        <v>0</v>
      </c>
      <c r="CT48" s="27">
        <f t="shared" ref="CT48:CT95" si="44">ROUNDDOWN(CH48,0)</f>
        <v>0</v>
      </c>
      <c r="CU48" s="61">
        <f t="shared" ref="CU48:CU95" si="45">ROUNDDOWN(CI48,0)</f>
        <v>0</v>
      </c>
    </row>
    <row r="49" spans="2:99" s="27" customFormat="1" ht="11.25" hidden="1" x14ac:dyDescent="0.2">
      <c r="B49" s="60">
        <f>IF(C49=0,0,SANDBOX!D152)</f>
        <v>0</v>
      </c>
      <c r="C49" s="27">
        <f>IF(SANDBOX!G152=SB!$C$156,SANDBOX!F152,0)</f>
        <v>0</v>
      </c>
      <c r="D49" s="27" t="str">
        <f>IF(SANDBOX!I152=0,$E$45,SANDBOX!I152)</f>
        <v>Enero</v>
      </c>
      <c r="E49" s="27">
        <f t="shared" si="9"/>
        <v>0</v>
      </c>
      <c r="F49" s="27">
        <f t="shared" si="10"/>
        <v>0</v>
      </c>
      <c r="G49" s="27">
        <f t="shared" si="10"/>
        <v>0</v>
      </c>
      <c r="H49" s="27">
        <f t="shared" si="10"/>
        <v>0</v>
      </c>
      <c r="I49" s="27">
        <f t="shared" si="10"/>
        <v>0</v>
      </c>
      <c r="J49" s="27">
        <f t="shared" si="10"/>
        <v>0</v>
      </c>
      <c r="K49" s="27">
        <f t="shared" si="10"/>
        <v>0</v>
      </c>
      <c r="L49" s="27">
        <f t="shared" si="10"/>
        <v>0</v>
      </c>
      <c r="M49" s="27">
        <f t="shared" si="10"/>
        <v>0</v>
      </c>
      <c r="N49" s="27">
        <f t="shared" si="10"/>
        <v>0</v>
      </c>
      <c r="O49" s="27">
        <f t="shared" si="10"/>
        <v>0</v>
      </c>
      <c r="P49" s="27">
        <f t="shared" si="10"/>
        <v>0</v>
      </c>
      <c r="Q49" s="27">
        <f t="shared" si="11"/>
        <v>0</v>
      </c>
      <c r="R49" s="27">
        <f>IF($C49=0,0,SANDBOX!J152)</f>
        <v>0</v>
      </c>
      <c r="S49" s="27">
        <f>IF($C49=0,0,SANDBOX!K152)</f>
        <v>0</v>
      </c>
      <c r="T49" s="27">
        <f t="shared" si="12"/>
        <v>0</v>
      </c>
      <c r="U49" s="27">
        <f t="shared" si="13"/>
        <v>0</v>
      </c>
      <c r="V49" s="27">
        <f t="shared" si="13"/>
        <v>0</v>
      </c>
      <c r="W49" s="27">
        <f t="shared" si="13"/>
        <v>0</v>
      </c>
      <c r="X49" s="27">
        <f t="shared" si="13"/>
        <v>0</v>
      </c>
      <c r="Y49" s="27">
        <f t="shared" si="13"/>
        <v>0</v>
      </c>
      <c r="Z49" s="27">
        <f t="shared" si="13"/>
        <v>0</v>
      </c>
      <c r="AA49" s="27">
        <f t="shared" si="13"/>
        <v>0</v>
      </c>
      <c r="AB49" s="27">
        <f t="shared" si="13"/>
        <v>0</v>
      </c>
      <c r="AC49" s="27">
        <f t="shared" si="13"/>
        <v>0</v>
      </c>
      <c r="AD49" s="27">
        <f t="shared" si="13"/>
        <v>0</v>
      </c>
      <c r="AE49" s="27">
        <f t="shared" si="13"/>
        <v>0</v>
      </c>
      <c r="AF49" s="27">
        <f t="shared" si="13"/>
        <v>0</v>
      </c>
      <c r="AG49" s="27">
        <f>SUM(U49:AF49)</f>
        <v>0</v>
      </c>
      <c r="AH49" s="27">
        <f t="shared" si="14"/>
        <v>0</v>
      </c>
      <c r="AI49" s="27">
        <f t="shared" si="15"/>
        <v>0</v>
      </c>
      <c r="AJ49" s="27">
        <f>IF(AI49&lt;=12,AH49,T49*12)</f>
        <v>0</v>
      </c>
      <c r="AK49" s="27">
        <f>+AH49-AJ49</f>
        <v>0</v>
      </c>
      <c r="AL49" s="27">
        <f t="shared" si="16"/>
        <v>0</v>
      </c>
      <c r="AM49" s="27">
        <f>IF(AL49&lt;=12,AK49,W49*12)</f>
        <v>0</v>
      </c>
      <c r="AN49" s="27" t="str">
        <f t="shared" si="17"/>
        <v>OK</v>
      </c>
      <c r="AO49" s="27">
        <f>IF(S49=SB!$E$148,T49,0)</f>
        <v>0</v>
      </c>
      <c r="AP49" s="27">
        <f>IF(S49=SB!$E$149,T49,0)</f>
        <v>0</v>
      </c>
      <c r="AQ49" s="27">
        <f>IF($S49=SB!E$150,T49,0)</f>
        <v>0</v>
      </c>
      <c r="AR49" s="27">
        <f>IF(S49=SB!$E$151,T49,0)</f>
        <v>0</v>
      </c>
      <c r="AS49" s="27">
        <f>IF(S49=SB!$E$152,T49,0)</f>
        <v>0</v>
      </c>
      <c r="AT49" s="27">
        <f>IF(S49=SB!$E$153,T49,0)</f>
        <v>0</v>
      </c>
      <c r="AU49" s="27">
        <f>IF(S49=SB!$E$154,T49,0)</f>
        <v>0</v>
      </c>
      <c r="AV49" s="27">
        <f t="shared" ref="AV49:AV95" si="46">SUMIF($AO$38:$AO$44,S49,$AP$38:$AP$44)</f>
        <v>0</v>
      </c>
      <c r="AW49" s="27">
        <f t="shared" ref="AW49:AW95" si="47">SUMIF($E$45:$P$45,D49,$E$46:$P$46)</f>
        <v>1</v>
      </c>
      <c r="AX49" s="27">
        <f t="shared" si="18"/>
        <v>0</v>
      </c>
      <c r="AY49" s="27">
        <f t="shared" si="19"/>
        <v>0</v>
      </c>
      <c r="AZ49" s="27">
        <f t="shared" si="19"/>
        <v>0</v>
      </c>
      <c r="BA49" s="27">
        <f t="shared" si="19"/>
        <v>0</v>
      </c>
      <c r="BB49" s="27">
        <f t="shared" si="19"/>
        <v>0</v>
      </c>
      <c r="BC49" s="27">
        <f t="shared" si="19"/>
        <v>0</v>
      </c>
      <c r="BD49" s="61">
        <f t="shared" si="19"/>
        <v>0</v>
      </c>
      <c r="BE49" s="27">
        <f t="shared" si="19"/>
        <v>0</v>
      </c>
      <c r="BF49" s="27">
        <f t="shared" si="19"/>
        <v>0</v>
      </c>
      <c r="BG49" s="27">
        <f t="shared" si="19"/>
        <v>0</v>
      </c>
      <c r="BH49" s="27">
        <f t="shared" si="19"/>
        <v>0</v>
      </c>
      <c r="BI49" s="27">
        <f t="shared" si="19"/>
        <v>0</v>
      </c>
      <c r="BJ49" s="27">
        <f t="shared" si="19"/>
        <v>0</v>
      </c>
      <c r="BL49" s="27">
        <f t="shared" si="20"/>
        <v>0</v>
      </c>
      <c r="BM49" s="27">
        <f t="shared" si="21"/>
        <v>0</v>
      </c>
      <c r="BN49" s="27">
        <f t="shared" si="21"/>
        <v>0</v>
      </c>
      <c r="BO49" s="27">
        <f t="shared" ref="BO49:BW53" si="48">+IF(BB49=0,BN49,BB49)</f>
        <v>0</v>
      </c>
      <c r="BP49" s="27">
        <f t="shared" si="48"/>
        <v>0</v>
      </c>
      <c r="BQ49" s="27">
        <f t="shared" si="48"/>
        <v>0</v>
      </c>
      <c r="BR49" s="27">
        <f t="shared" si="48"/>
        <v>0</v>
      </c>
      <c r="BS49" s="27">
        <f t="shared" si="48"/>
        <v>0</v>
      </c>
      <c r="BT49" s="27">
        <f t="shared" si="48"/>
        <v>0</v>
      </c>
      <c r="BU49" s="27">
        <f t="shared" si="48"/>
        <v>0</v>
      </c>
      <c r="BV49" s="27">
        <f t="shared" si="48"/>
        <v>0</v>
      </c>
      <c r="BW49" s="27">
        <f t="shared" si="48"/>
        <v>0</v>
      </c>
      <c r="BX49" s="27">
        <f t="shared" si="23"/>
        <v>0</v>
      </c>
      <c r="BY49" s="27">
        <f t="shared" si="24"/>
        <v>0</v>
      </c>
      <c r="BZ49" s="27">
        <f t="shared" si="25"/>
        <v>0</v>
      </c>
      <c r="CA49" s="27">
        <f t="shared" si="26"/>
        <v>0</v>
      </c>
      <c r="CB49" s="27">
        <f t="shared" si="27"/>
        <v>0</v>
      </c>
      <c r="CC49" s="27">
        <f t="shared" si="28"/>
        <v>0</v>
      </c>
      <c r="CD49" s="27">
        <f t="shared" si="29"/>
        <v>0</v>
      </c>
      <c r="CE49" s="27">
        <f t="shared" si="30"/>
        <v>0</v>
      </c>
      <c r="CF49" s="27">
        <f t="shared" si="31"/>
        <v>0</v>
      </c>
      <c r="CG49" s="27">
        <f t="shared" si="32"/>
        <v>0</v>
      </c>
      <c r="CH49" s="27">
        <f t="shared" si="33"/>
        <v>0</v>
      </c>
      <c r="CI49" s="27">
        <f t="shared" si="34"/>
        <v>0</v>
      </c>
      <c r="CJ49" s="27">
        <f t="shared" ref="CJ49:CJ95" si="49">ROUNDDOWN(BX49,0)</f>
        <v>0</v>
      </c>
      <c r="CK49" s="27">
        <f t="shared" si="35"/>
        <v>0</v>
      </c>
      <c r="CL49" s="27">
        <f t="shared" si="36"/>
        <v>0</v>
      </c>
      <c r="CM49" s="27">
        <f t="shared" si="37"/>
        <v>0</v>
      </c>
      <c r="CN49" s="27">
        <f t="shared" si="38"/>
        <v>0</v>
      </c>
      <c r="CO49" s="27">
        <f t="shared" si="39"/>
        <v>0</v>
      </c>
      <c r="CP49" s="27">
        <f t="shared" si="40"/>
        <v>0</v>
      </c>
      <c r="CQ49" s="27">
        <f t="shared" si="41"/>
        <v>0</v>
      </c>
      <c r="CR49" s="27">
        <f t="shared" si="42"/>
        <v>0</v>
      </c>
      <c r="CS49" s="27">
        <f t="shared" si="43"/>
        <v>0</v>
      </c>
      <c r="CT49" s="27">
        <f t="shared" si="44"/>
        <v>0</v>
      </c>
      <c r="CU49" s="61">
        <f t="shared" si="45"/>
        <v>0</v>
      </c>
    </row>
    <row r="50" spans="2:99" s="27" customFormat="1" ht="11.25" hidden="1" x14ac:dyDescent="0.2">
      <c r="B50" s="60">
        <f>IF(C50=0,0,SANDBOX!D153)</f>
        <v>0</v>
      </c>
      <c r="C50" s="27">
        <f>IF(SANDBOX!G153=SB!$C$156,SANDBOX!F153,0)</f>
        <v>0</v>
      </c>
      <c r="D50" s="27" t="str">
        <f>IF(SANDBOX!I153=0,$E$45,SANDBOX!I153)</f>
        <v>Enero</v>
      </c>
      <c r="E50" s="27">
        <f t="shared" si="9"/>
        <v>0</v>
      </c>
      <c r="F50" s="27">
        <f t="shared" si="10"/>
        <v>0</v>
      </c>
      <c r="G50" s="27">
        <f t="shared" si="10"/>
        <v>0</v>
      </c>
      <c r="H50" s="27">
        <f t="shared" si="10"/>
        <v>0</v>
      </c>
      <c r="I50" s="27">
        <f t="shared" si="10"/>
        <v>0</v>
      </c>
      <c r="J50" s="27">
        <f t="shared" si="10"/>
        <v>0</v>
      </c>
      <c r="K50" s="27">
        <f t="shared" si="10"/>
        <v>0</v>
      </c>
      <c r="L50" s="27">
        <f t="shared" si="10"/>
        <v>0</v>
      </c>
      <c r="M50" s="27">
        <f t="shared" si="10"/>
        <v>0</v>
      </c>
      <c r="N50" s="27">
        <f t="shared" si="10"/>
        <v>0</v>
      </c>
      <c r="O50" s="27">
        <f t="shared" si="10"/>
        <v>0</v>
      </c>
      <c r="P50" s="27">
        <f t="shared" si="10"/>
        <v>0</v>
      </c>
      <c r="Q50" s="27">
        <f t="shared" si="11"/>
        <v>0</v>
      </c>
      <c r="R50" s="27">
        <f>IF($C50=0,0,SANDBOX!J153)</f>
        <v>0</v>
      </c>
      <c r="S50" s="27">
        <f>IF($C50=0,0,SANDBOX!K153)</f>
        <v>0</v>
      </c>
      <c r="T50" s="27">
        <f t="shared" si="12"/>
        <v>0</v>
      </c>
      <c r="U50" s="27">
        <f t="shared" si="13"/>
        <v>0</v>
      </c>
      <c r="V50" s="27">
        <f t="shared" si="13"/>
        <v>0</v>
      </c>
      <c r="W50" s="27">
        <f t="shared" si="13"/>
        <v>0</v>
      </c>
      <c r="X50" s="27">
        <f t="shared" si="13"/>
        <v>0</v>
      </c>
      <c r="Y50" s="27">
        <f t="shared" si="13"/>
        <v>0</v>
      </c>
      <c r="Z50" s="27">
        <f t="shared" si="13"/>
        <v>0</v>
      </c>
      <c r="AA50" s="27">
        <f t="shared" si="13"/>
        <v>0</v>
      </c>
      <c r="AB50" s="27">
        <f t="shared" si="13"/>
        <v>0</v>
      </c>
      <c r="AC50" s="27">
        <f t="shared" si="13"/>
        <v>0</v>
      </c>
      <c r="AD50" s="27">
        <f t="shared" si="13"/>
        <v>0</v>
      </c>
      <c r="AE50" s="27">
        <f t="shared" si="13"/>
        <v>0</v>
      </c>
      <c r="AF50" s="27">
        <f t="shared" si="13"/>
        <v>0</v>
      </c>
      <c r="AG50" s="27">
        <f>SUM(U50:AF50)</f>
        <v>0</v>
      </c>
      <c r="AH50" s="27">
        <f t="shared" si="14"/>
        <v>0</v>
      </c>
      <c r="AI50" s="27">
        <f t="shared" si="15"/>
        <v>0</v>
      </c>
      <c r="AJ50" s="27">
        <f>IF(AI50&lt;=12,AH50,T50*12)</f>
        <v>0</v>
      </c>
      <c r="AK50" s="27">
        <f>+AH50-AJ50</f>
        <v>0</v>
      </c>
      <c r="AL50" s="27">
        <f t="shared" si="16"/>
        <v>0</v>
      </c>
      <c r="AM50" s="27">
        <f>IF(AL50&lt;=12,AK50,W50*12)</f>
        <v>0</v>
      </c>
      <c r="AN50" s="27" t="str">
        <f t="shared" si="17"/>
        <v>OK</v>
      </c>
      <c r="AO50" s="27">
        <f>IF(S50=SB!$E$148,T50,0)</f>
        <v>0</v>
      </c>
      <c r="AP50" s="27">
        <f>IF(S50=SB!$E$149,T50,0)</f>
        <v>0</v>
      </c>
      <c r="AQ50" s="27">
        <f>IF($S50=SB!E$150,T50,0)</f>
        <v>0</v>
      </c>
      <c r="AR50" s="27">
        <f>IF(S50=SB!$E$151,T50,0)</f>
        <v>0</v>
      </c>
      <c r="AS50" s="27">
        <f>IF(S50=SB!$E$152,T50,0)</f>
        <v>0</v>
      </c>
      <c r="AT50" s="27">
        <f>IF(S50=SB!$E$153,T50,0)</f>
        <v>0</v>
      </c>
      <c r="AU50" s="27">
        <f>IF(S50=SB!$E$154,T50,0)</f>
        <v>0</v>
      </c>
      <c r="AV50" s="27">
        <f t="shared" si="46"/>
        <v>0</v>
      </c>
      <c r="AW50" s="27">
        <f t="shared" si="47"/>
        <v>1</v>
      </c>
      <c r="AX50" s="27">
        <f t="shared" si="18"/>
        <v>0</v>
      </c>
      <c r="AY50" s="27">
        <f t="shared" si="19"/>
        <v>0</v>
      </c>
      <c r="AZ50" s="27">
        <f t="shared" si="19"/>
        <v>0</v>
      </c>
      <c r="BA50" s="27">
        <f t="shared" si="19"/>
        <v>0</v>
      </c>
      <c r="BB50" s="27">
        <f t="shared" si="19"/>
        <v>0</v>
      </c>
      <c r="BC50" s="27">
        <f t="shared" si="19"/>
        <v>0</v>
      </c>
      <c r="BD50" s="61">
        <f t="shared" si="19"/>
        <v>0</v>
      </c>
      <c r="BE50" s="27">
        <f t="shared" si="19"/>
        <v>0</v>
      </c>
      <c r="BF50" s="27">
        <f t="shared" si="19"/>
        <v>0</v>
      </c>
      <c r="BG50" s="27">
        <f t="shared" si="19"/>
        <v>0</v>
      </c>
      <c r="BH50" s="27">
        <f t="shared" si="19"/>
        <v>0</v>
      </c>
      <c r="BI50" s="27">
        <f t="shared" si="19"/>
        <v>0</v>
      </c>
      <c r="BJ50" s="27">
        <f t="shared" si="19"/>
        <v>0</v>
      </c>
      <c r="BL50" s="27">
        <f t="shared" si="20"/>
        <v>0</v>
      </c>
      <c r="BM50" s="27">
        <f t="shared" si="21"/>
        <v>0</v>
      </c>
      <c r="BN50" s="27">
        <f t="shared" si="21"/>
        <v>0</v>
      </c>
      <c r="BO50" s="27">
        <f t="shared" si="48"/>
        <v>0</v>
      </c>
      <c r="BP50" s="27">
        <f t="shared" si="48"/>
        <v>0</v>
      </c>
      <c r="BQ50" s="27">
        <f t="shared" si="48"/>
        <v>0</v>
      </c>
      <c r="BR50" s="27">
        <f t="shared" si="48"/>
        <v>0</v>
      </c>
      <c r="BS50" s="27">
        <f t="shared" si="48"/>
        <v>0</v>
      </c>
      <c r="BT50" s="27">
        <f t="shared" si="48"/>
        <v>0</v>
      </c>
      <c r="BU50" s="27">
        <f t="shared" si="48"/>
        <v>0</v>
      </c>
      <c r="BV50" s="27">
        <f t="shared" si="48"/>
        <v>0</v>
      </c>
      <c r="BW50" s="27">
        <f t="shared" si="48"/>
        <v>0</v>
      </c>
      <c r="BX50" s="27">
        <f t="shared" si="23"/>
        <v>0</v>
      </c>
      <c r="BY50" s="27">
        <f t="shared" si="24"/>
        <v>0</v>
      </c>
      <c r="BZ50" s="27">
        <f t="shared" si="25"/>
        <v>0</v>
      </c>
      <c r="CA50" s="27">
        <f t="shared" si="26"/>
        <v>0</v>
      </c>
      <c r="CB50" s="27">
        <f t="shared" si="27"/>
        <v>0</v>
      </c>
      <c r="CC50" s="27">
        <f t="shared" si="28"/>
        <v>0</v>
      </c>
      <c r="CD50" s="27">
        <f t="shared" si="29"/>
        <v>0</v>
      </c>
      <c r="CE50" s="27">
        <f t="shared" si="30"/>
        <v>0</v>
      </c>
      <c r="CF50" s="27">
        <f t="shared" si="31"/>
        <v>0</v>
      </c>
      <c r="CG50" s="27">
        <f t="shared" si="32"/>
        <v>0</v>
      </c>
      <c r="CH50" s="27">
        <f t="shared" si="33"/>
        <v>0</v>
      </c>
      <c r="CI50" s="27">
        <f t="shared" si="34"/>
        <v>0</v>
      </c>
      <c r="CJ50" s="27">
        <f t="shared" si="49"/>
        <v>0</v>
      </c>
      <c r="CK50" s="27">
        <f t="shared" si="35"/>
        <v>0</v>
      </c>
      <c r="CL50" s="27">
        <f t="shared" si="36"/>
        <v>0</v>
      </c>
      <c r="CM50" s="27">
        <f t="shared" si="37"/>
        <v>0</v>
      </c>
      <c r="CN50" s="27">
        <f t="shared" si="38"/>
        <v>0</v>
      </c>
      <c r="CO50" s="27">
        <f t="shared" si="39"/>
        <v>0</v>
      </c>
      <c r="CP50" s="27">
        <f t="shared" si="40"/>
        <v>0</v>
      </c>
      <c r="CQ50" s="27">
        <f t="shared" si="41"/>
        <v>0</v>
      </c>
      <c r="CR50" s="27">
        <f t="shared" si="42"/>
        <v>0</v>
      </c>
      <c r="CS50" s="27">
        <f t="shared" si="43"/>
        <v>0</v>
      </c>
      <c r="CT50" s="27">
        <f t="shared" si="44"/>
        <v>0</v>
      </c>
      <c r="CU50" s="61">
        <f t="shared" si="45"/>
        <v>0</v>
      </c>
    </row>
    <row r="51" spans="2:99" s="27" customFormat="1" ht="11.25" hidden="1" x14ac:dyDescent="0.2">
      <c r="B51" s="60">
        <f>IF(C51=0,0,SANDBOX!D154)</f>
        <v>0</v>
      </c>
      <c r="C51" s="27">
        <f>IF(SANDBOX!G154=SB!$C$156,SANDBOX!F154,0)</f>
        <v>0</v>
      </c>
      <c r="D51" s="27" t="str">
        <f>IF(SANDBOX!I154=0,$E$45,SANDBOX!I154)</f>
        <v>Enero</v>
      </c>
      <c r="E51" s="27">
        <f t="shared" si="9"/>
        <v>0</v>
      </c>
      <c r="F51" s="27">
        <f t="shared" si="10"/>
        <v>0</v>
      </c>
      <c r="G51" s="27">
        <f t="shared" si="10"/>
        <v>0</v>
      </c>
      <c r="H51" s="27">
        <f t="shared" si="10"/>
        <v>0</v>
      </c>
      <c r="I51" s="27">
        <f t="shared" si="10"/>
        <v>0</v>
      </c>
      <c r="J51" s="27">
        <f t="shared" si="10"/>
        <v>0</v>
      </c>
      <c r="K51" s="27">
        <f t="shared" si="10"/>
        <v>0</v>
      </c>
      <c r="L51" s="27">
        <f t="shared" si="10"/>
        <v>0</v>
      </c>
      <c r="M51" s="27">
        <f t="shared" si="10"/>
        <v>0</v>
      </c>
      <c r="N51" s="27">
        <f t="shared" si="10"/>
        <v>0</v>
      </c>
      <c r="O51" s="27">
        <f t="shared" si="10"/>
        <v>0</v>
      </c>
      <c r="P51" s="27">
        <f t="shared" si="10"/>
        <v>0</v>
      </c>
      <c r="Q51" s="27">
        <f t="shared" si="11"/>
        <v>0</v>
      </c>
      <c r="R51" s="27">
        <f>IF($C51=0,0,SANDBOX!J154)</f>
        <v>0</v>
      </c>
      <c r="S51" s="27">
        <f>IF($C51=0,0,SANDBOX!K154)</f>
        <v>0</v>
      </c>
      <c r="T51" s="27">
        <f t="shared" si="12"/>
        <v>0</v>
      </c>
      <c r="U51" s="27">
        <f t="shared" si="13"/>
        <v>0</v>
      </c>
      <c r="V51" s="27">
        <f t="shared" si="13"/>
        <v>0</v>
      </c>
      <c r="W51" s="27">
        <f t="shared" si="13"/>
        <v>0</v>
      </c>
      <c r="X51" s="27">
        <f t="shared" si="13"/>
        <v>0</v>
      </c>
      <c r="Y51" s="27">
        <f t="shared" si="13"/>
        <v>0</v>
      </c>
      <c r="Z51" s="27">
        <f t="shared" si="13"/>
        <v>0</v>
      </c>
      <c r="AA51" s="27">
        <f t="shared" si="13"/>
        <v>0</v>
      </c>
      <c r="AB51" s="27">
        <f t="shared" si="13"/>
        <v>0</v>
      </c>
      <c r="AC51" s="27">
        <f t="shared" si="13"/>
        <v>0</v>
      </c>
      <c r="AD51" s="27">
        <f t="shared" si="13"/>
        <v>0</v>
      </c>
      <c r="AE51" s="27">
        <f t="shared" si="13"/>
        <v>0</v>
      </c>
      <c r="AF51" s="27">
        <f t="shared" si="13"/>
        <v>0</v>
      </c>
      <c r="AG51" s="27">
        <f t="shared" ref="AG51:AG95" si="50">SUM(U51:AF51)</f>
        <v>0</v>
      </c>
      <c r="AH51" s="27">
        <f t="shared" si="14"/>
        <v>0</v>
      </c>
      <c r="AI51" s="27">
        <f t="shared" si="15"/>
        <v>0</v>
      </c>
      <c r="AJ51" s="27">
        <f t="shared" ref="AJ51:AJ95" si="51">IF(AI51&lt;=12,AH51,T51*12)</f>
        <v>0</v>
      </c>
      <c r="AK51" s="27">
        <f t="shared" ref="AK51:AK95" si="52">+AH51-AJ51</f>
        <v>0</v>
      </c>
      <c r="AL51" s="27">
        <f t="shared" si="16"/>
        <v>0</v>
      </c>
      <c r="AM51" s="27">
        <f t="shared" ref="AM51:AM95" si="53">IF(AL51&lt;=12,AK51,W51*12)</f>
        <v>0</v>
      </c>
      <c r="AN51" s="27" t="str">
        <f t="shared" si="17"/>
        <v>OK</v>
      </c>
      <c r="AO51" s="27">
        <f>IF(S51=SB!$E$148,T51,0)</f>
        <v>0</v>
      </c>
      <c r="AP51" s="27">
        <f>IF(S51=SB!$E$149,T51,0)</f>
        <v>0</v>
      </c>
      <c r="AQ51" s="27">
        <f>IF($S51=SB!E$150,T51,0)</f>
        <v>0</v>
      </c>
      <c r="AR51" s="27">
        <f>IF(S51=SB!$E$151,T51,0)</f>
        <v>0</v>
      </c>
      <c r="AS51" s="27">
        <f>IF(S51=SB!$E$152,T51,0)</f>
        <v>0</v>
      </c>
      <c r="AT51" s="27">
        <f>IF(S51=SB!$E$153,T51,0)</f>
        <v>0</v>
      </c>
      <c r="AU51" s="27">
        <f>IF(S51=SB!$E$154,T51,0)</f>
        <v>0</v>
      </c>
      <c r="AV51" s="27">
        <f t="shared" si="46"/>
        <v>0</v>
      </c>
      <c r="AW51" s="27">
        <f t="shared" si="47"/>
        <v>1</v>
      </c>
      <c r="AX51" s="27">
        <f t="shared" si="18"/>
        <v>0</v>
      </c>
      <c r="AY51" s="27">
        <f t="shared" si="19"/>
        <v>0</v>
      </c>
      <c r="AZ51" s="27">
        <f t="shared" si="19"/>
        <v>0</v>
      </c>
      <c r="BA51" s="27">
        <f t="shared" si="19"/>
        <v>0</v>
      </c>
      <c r="BB51" s="27">
        <f t="shared" si="19"/>
        <v>0</v>
      </c>
      <c r="BC51" s="27">
        <f t="shared" si="19"/>
        <v>0</v>
      </c>
      <c r="BD51" s="61">
        <f t="shared" si="19"/>
        <v>0</v>
      </c>
      <c r="BE51" s="27">
        <f t="shared" si="19"/>
        <v>0</v>
      </c>
      <c r="BF51" s="27">
        <f t="shared" si="19"/>
        <v>0</v>
      </c>
      <c r="BG51" s="27">
        <f t="shared" si="19"/>
        <v>0</v>
      </c>
      <c r="BH51" s="27">
        <f t="shared" si="19"/>
        <v>0</v>
      </c>
      <c r="BI51" s="27">
        <f t="shared" si="19"/>
        <v>0</v>
      </c>
      <c r="BJ51" s="27">
        <f t="shared" si="19"/>
        <v>0</v>
      </c>
      <c r="BL51" s="27">
        <f t="shared" si="20"/>
        <v>0</v>
      </c>
      <c r="BM51" s="27">
        <f t="shared" si="21"/>
        <v>0</v>
      </c>
      <c r="BN51" s="27">
        <f t="shared" si="21"/>
        <v>0</v>
      </c>
      <c r="BO51" s="27">
        <f t="shared" si="48"/>
        <v>0</v>
      </c>
      <c r="BP51" s="27">
        <f t="shared" si="48"/>
        <v>0</v>
      </c>
      <c r="BQ51" s="27">
        <f t="shared" si="48"/>
        <v>0</v>
      </c>
      <c r="BR51" s="27">
        <f t="shared" si="48"/>
        <v>0</v>
      </c>
      <c r="BS51" s="27">
        <f t="shared" si="48"/>
        <v>0</v>
      </c>
      <c r="BT51" s="27">
        <f t="shared" si="48"/>
        <v>0</v>
      </c>
      <c r="BU51" s="27">
        <f t="shared" si="48"/>
        <v>0</v>
      </c>
      <c r="BV51" s="27">
        <f t="shared" si="48"/>
        <v>0</v>
      </c>
      <c r="BW51" s="27">
        <f t="shared" si="48"/>
        <v>0</v>
      </c>
      <c r="BX51" s="27">
        <f t="shared" si="23"/>
        <v>0</v>
      </c>
      <c r="BY51" s="27">
        <f t="shared" si="24"/>
        <v>0</v>
      </c>
      <c r="BZ51" s="27">
        <f t="shared" si="25"/>
        <v>0</v>
      </c>
      <c r="CA51" s="27">
        <f t="shared" si="26"/>
        <v>0</v>
      </c>
      <c r="CB51" s="27">
        <f t="shared" si="27"/>
        <v>0</v>
      </c>
      <c r="CC51" s="27">
        <f t="shared" si="28"/>
        <v>0</v>
      </c>
      <c r="CD51" s="27">
        <f t="shared" si="29"/>
        <v>0</v>
      </c>
      <c r="CE51" s="27">
        <f t="shared" si="30"/>
        <v>0</v>
      </c>
      <c r="CF51" s="27">
        <f t="shared" si="31"/>
        <v>0</v>
      </c>
      <c r="CG51" s="27">
        <f t="shared" si="32"/>
        <v>0</v>
      </c>
      <c r="CH51" s="27">
        <f t="shared" si="33"/>
        <v>0</v>
      </c>
      <c r="CI51" s="27">
        <f t="shared" si="34"/>
        <v>0</v>
      </c>
      <c r="CJ51" s="27">
        <f t="shared" si="49"/>
        <v>0</v>
      </c>
      <c r="CK51" s="27">
        <f t="shared" si="35"/>
        <v>0</v>
      </c>
      <c r="CL51" s="27">
        <f t="shared" si="36"/>
        <v>0</v>
      </c>
      <c r="CM51" s="27">
        <f t="shared" si="37"/>
        <v>0</v>
      </c>
      <c r="CN51" s="27">
        <f t="shared" si="38"/>
        <v>0</v>
      </c>
      <c r="CO51" s="27">
        <f t="shared" si="39"/>
        <v>0</v>
      </c>
      <c r="CP51" s="27">
        <f t="shared" si="40"/>
        <v>0</v>
      </c>
      <c r="CQ51" s="27">
        <f t="shared" si="41"/>
        <v>0</v>
      </c>
      <c r="CR51" s="27">
        <f t="shared" si="42"/>
        <v>0</v>
      </c>
      <c r="CS51" s="27">
        <f t="shared" si="43"/>
        <v>0</v>
      </c>
      <c r="CT51" s="27">
        <f t="shared" si="44"/>
        <v>0</v>
      </c>
      <c r="CU51" s="61">
        <f t="shared" si="45"/>
        <v>0</v>
      </c>
    </row>
    <row r="52" spans="2:99" s="27" customFormat="1" ht="11.25" hidden="1" x14ac:dyDescent="0.2">
      <c r="B52" s="60">
        <f>IF(C52=0,0,SANDBOX!D155)</f>
        <v>0</v>
      </c>
      <c r="C52" s="27">
        <f>IF(SANDBOX!G155=SB!$C$156,SANDBOX!F155,0)</f>
        <v>0</v>
      </c>
      <c r="D52" s="27" t="str">
        <f>IF(SANDBOX!I155=0,$E$45,SANDBOX!I155)</f>
        <v>Enero</v>
      </c>
      <c r="E52" s="27">
        <f t="shared" si="9"/>
        <v>0</v>
      </c>
      <c r="F52" s="27">
        <f t="shared" si="10"/>
        <v>0</v>
      </c>
      <c r="G52" s="27">
        <f t="shared" si="10"/>
        <v>0</v>
      </c>
      <c r="H52" s="27">
        <f t="shared" si="10"/>
        <v>0</v>
      </c>
      <c r="I52" s="27">
        <f t="shared" si="10"/>
        <v>0</v>
      </c>
      <c r="J52" s="27">
        <f t="shared" si="10"/>
        <v>0</v>
      </c>
      <c r="K52" s="27">
        <f t="shared" si="10"/>
        <v>0</v>
      </c>
      <c r="L52" s="27">
        <f t="shared" si="10"/>
        <v>0</v>
      </c>
      <c r="M52" s="27">
        <f t="shared" si="10"/>
        <v>0</v>
      </c>
      <c r="N52" s="27">
        <f t="shared" si="10"/>
        <v>0</v>
      </c>
      <c r="O52" s="27">
        <f t="shared" si="10"/>
        <v>0</v>
      </c>
      <c r="P52" s="27">
        <f t="shared" si="10"/>
        <v>0</v>
      </c>
      <c r="Q52" s="27">
        <f t="shared" si="11"/>
        <v>0</v>
      </c>
      <c r="R52" s="27">
        <f>IF($C52=0,0,SANDBOX!J155)</f>
        <v>0</v>
      </c>
      <c r="S52" s="27">
        <f>IF($C52=0,0,SANDBOX!K155)</f>
        <v>0</v>
      </c>
      <c r="T52" s="27">
        <f t="shared" si="12"/>
        <v>0</v>
      </c>
      <c r="U52" s="27">
        <f t="shared" si="13"/>
        <v>0</v>
      </c>
      <c r="V52" s="27">
        <f t="shared" si="13"/>
        <v>0</v>
      </c>
      <c r="W52" s="27">
        <f t="shared" si="13"/>
        <v>0</v>
      </c>
      <c r="X52" s="27">
        <f t="shared" si="13"/>
        <v>0</v>
      </c>
      <c r="Y52" s="27">
        <f t="shared" si="13"/>
        <v>0</v>
      </c>
      <c r="Z52" s="27">
        <f t="shared" si="13"/>
        <v>0</v>
      </c>
      <c r="AA52" s="27">
        <f t="shared" si="13"/>
        <v>0</v>
      </c>
      <c r="AB52" s="27">
        <f t="shared" si="13"/>
        <v>0</v>
      </c>
      <c r="AC52" s="27">
        <f t="shared" si="13"/>
        <v>0</v>
      </c>
      <c r="AD52" s="27">
        <f t="shared" si="13"/>
        <v>0</v>
      </c>
      <c r="AE52" s="27">
        <f t="shared" si="13"/>
        <v>0</v>
      </c>
      <c r="AF52" s="27">
        <f t="shared" si="13"/>
        <v>0</v>
      </c>
      <c r="AG52" s="27">
        <f t="shared" si="50"/>
        <v>0</v>
      </c>
      <c r="AH52" s="27">
        <f t="shared" si="14"/>
        <v>0</v>
      </c>
      <c r="AI52" s="27">
        <f t="shared" si="15"/>
        <v>0</v>
      </c>
      <c r="AJ52" s="27">
        <f t="shared" si="51"/>
        <v>0</v>
      </c>
      <c r="AK52" s="27">
        <f t="shared" si="52"/>
        <v>0</v>
      </c>
      <c r="AL52" s="27">
        <f t="shared" si="16"/>
        <v>0</v>
      </c>
      <c r="AM52" s="27">
        <f t="shared" si="53"/>
        <v>0</v>
      </c>
      <c r="AN52" s="27" t="str">
        <f t="shared" si="17"/>
        <v>OK</v>
      </c>
      <c r="AO52" s="27">
        <f>IF(S52=SB!$E$148,T52,0)</f>
        <v>0</v>
      </c>
      <c r="AP52" s="27">
        <f>IF(S52=SB!$E$149,T52,0)</f>
        <v>0</v>
      </c>
      <c r="AQ52" s="27">
        <f>IF($S52=SB!E$150,T52,0)</f>
        <v>0</v>
      </c>
      <c r="AR52" s="27">
        <f>IF(S52=SB!$E$151,T52,0)</f>
        <v>0</v>
      </c>
      <c r="AS52" s="27">
        <f>IF(S52=SB!$E$152,T52,0)</f>
        <v>0</v>
      </c>
      <c r="AT52" s="27">
        <f>IF(S52=SB!$E$153,T52,0)</f>
        <v>0</v>
      </c>
      <c r="AU52" s="27">
        <f>IF(S52=SB!$E$154,T52,0)</f>
        <v>0</v>
      </c>
      <c r="AV52" s="27">
        <f t="shared" si="46"/>
        <v>0</v>
      </c>
      <c r="AW52" s="27">
        <f t="shared" si="47"/>
        <v>1</v>
      </c>
      <c r="AX52" s="27">
        <f t="shared" si="18"/>
        <v>0</v>
      </c>
      <c r="AY52" s="27">
        <f t="shared" si="19"/>
        <v>0</v>
      </c>
      <c r="AZ52" s="27">
        <f t="shared" si="19"/>
        <v>0</v>
      </c>
      <c r="BA52" s="27">
        <f t="shared" si="19"/>
        <v>0</v>
      </c>
      <c r="BB52" s="27">
        <f t="shared" si="19"/>
        <v>0</v>
      </c>
      <c r="BC52" s="27">
        <f t="shared" si="19"/>
        <v>0</v>
      </c>
      <c r="BD52" s="61">
        <f t="shared" si="19"/>
        <v>0</v>
      </c>
      <c r="BE52" s="27">
        <f t="shared" si="19"/>
        <v>0</v>
      </c>
      <c r="BF52" s="27">
        <f t="shared" si="19"/>
        <v>0</v>
      </c>
      <c r="BG52" s="27">
        <f t="shared" si="19"/>
        <v>0</v>
      </c>
      <c r="BH52" s="27">
        <f t="shared" si="19"/>
        <v>0</v>
      </c>
      <c r="BI52" s="27">
        <f t="shared" si="19"/>
        <v>0</v>
      </c>
      <c r="BJ52" s="27">
        <f t="shared" si="19"/>
        <v>0</v>
      </c>
      <c r="BL52" s="27">
        <f t="shared" si="20"/>
        <v>0</v>
      </c>
      <c r="BM52" s="27">
        <f t="shared" si="21"/>
        <v>0</v>
      </c>
      <c r="BN52" s="27">
        <f t="shared" si="21"/>
        <v>0</v>
      </c>
      <c r="BO52" s="27">
        <f t="shared" si="48"/>
        <v>0</v>
      </c>
      <c r="BP52" s="27">
        <f t="shared" si="48"/>
        <v>0</v>
      </c>
      <c r="BQ52" s="27">
        <f t="shared" si="48"/>
        <v>0</v>
      </c>
      <c r="BR52" s="27">
        <f t="shared" si="48"/>
        <v>0</v>
      </c>
      <c r="BS52" s="27">
        <f t="shared" si="48"/>
        <v>0</v>
      </c>
      <c r="BT52" s="27">
        <f t="shared" si="48"/>
        <v>0</v>
      </c>
      <c r="BU52" s="27">
        <f t="shared" si="48"/>
        <v>0</v>
      </c>
      <c r="BV52" s="27">
        <f t="shared" si="48"/>
        <v>0</v>
      </c>
      <c r="BW52" s="27">
        <f t="shared" si="48"/>
        <v>0</v>
      </c>
      <c r="BX52" s="27">
        <f t="shared" si="23"/>
        <v>0</v>
      </c>
      <c r="BY52" s="27">
        <f t="shared" si="24"/>
        <v>0</v>
      </c>
      <c r="BZ52" s="27">
        <f t="shared" si="25"/>
        <v>0</v>
      </c>
      <c r="CA52" s="27">
        <f t="shared" si="26"/>
        <v>0</v>
      </c>
      <c r="CB52" s="27">
        <f t="shared" si="27"/>
        <v>0</v>
      </c>
      <c r="CC52" s="27">
        <f t="shared" si="28"/>
        <v>0</v>
      </c>
      <c r="CD52" s="27">
        <f t="shared" si="29"/>
        <v>0</v>
      </c>
      <c r="CE52" s="27">
        <f t="shared" si="30"/>
        <v>0</v>
      </c>
      <c r="CF52" s="27">
        <f t="shared" si="31"/>
        <v>0</v>
      </c>
      <c r="CG52" s="27">
        <f t="shared" si="32"/>
        <v>0</v>
      </c>
      <c r="CH52" s="27">
        <f t="shared" si="33"/>
        <v>0</v>
      </c>
      <c r="CI52" s="27">
        <f t="shared" si="34"/>
        <v>0</v>
      </c>
      <c r="CJ52" s="27">
        <f t="shared" si="49"/>
        <v>0</v>
      </c>
      <c r="CK52" s="27">
        <f t="shared" si="35"/>
        <v>0</v>
      </c>
      <c r="CL52" s="27">
        <f t="shared" si="36"/>
        <v>0</v>
      </c>
      <c r="CM52" s="27">
        <f t="shared" si="37"/>
        <v>0</v>
      </c>
      <c r="CN52" s="27">
        <f t="shared" si="38"/>
        <v>0</v>
      </c>
      <c r="CO52" s="27">
        <f t="shared" si="39"/>
        <v>0</v>
      </c>
      <c r="CP52" s="27">
        <f t="shared" si="40"/>
        <v>0</v>
      </c>
      <c r="CQ52" s="27">
        <f t="shared" si="41"/>
        <v>0</v>
      </c>
      <c r="CR52" s="27">
        <f t="shared" si="42"/>
        <v>0</v>
      </c>
      <c r="CS52" s="27">
        <f t="shared" si="43"/>
        <v>0</v>
      </c>
      <c r="CT52" s="27">
        <f t="shared" si="44"/>
        <v>0</v>
      </c>
      <c r="CU52" s="61">
        <f t="shared" si="45"/>
        <v>0</v>
      </c>
    </row>
    <row r="53" spans="2:99" s="27" customFormat="1" ht="11.25" hidden="1" x14ac:dyDescent="0.2">
      <c r="B53" s="60">
        <f>IF(C53=0,0,SANDBOX!D156)</f>
        <v>0</v>
      </c>
      <c r="C53" s="27">
        <f>IF(SANDBOX!G156=SB!$C$156,SANDBOX!F156,0)</f>
        <v>0</v>
      </c>
      <c r="D53" s="27" t="str">
        <f>IF(SANDBOX!I156=0,$E$45,SANDBOX!I156)</f>
        <v>Enero</v>
      </c>
      <c r="E53" s="27">
        <f t="shared" si="9"/>
        <v>0</v>
      </c>
      <c r="F53" s="27">
        <f t="shared" si="10"/>
        <v>0</v>
      </c>
      <c r="G53" s="27">
        <f t="shared" si="10"/>
        <v>0</v>
      </c>
      <c r="H53" s="27">
        <f t="shared" si="10"/>
        <v>0</v>
      </c>
      <c r="I53" s="27">
        <f t="shared" si="10"/>
        <v>0</v>
      </c>
      <c r="J53" s="27">
        <f t="shared" si="10"/>
        <v>0</v>
      </c>
      <c r="K53" s="27">
        <f t="shared" si="10"/>
        <v>0</v>
      </c>
      <c r="L53" s="27">
        <f t="shared" si="10"/>
        <v>0</v>
      </c>
      <c r="M53" s="27">
        <f t="shared" si="10"/>
        <v>0</v>
      </c>
      <c r="N53" s="27">
        <f t="shared" si="10"/>
        <v>0</v>
      </c>
      <c r="O53" s="27">
        <f t="shared" si="10"/>
        <v>0</v>
      </c>
      <c r="P53" s="27">
        <f t="shared" si="10"/>
        <v>0</v>
      </c>
      <c r="Q53" s="27">
        <f t="shared" si="11"/>
        <v>0</v>
      </c>
      <c r="R53" s="27">
        <f>IF($C53=0,0,SANDBOX!J156)</f>
        <v>0</v>
      </c>
      <c r="S53" s="27">
        <f>IF($C53=0,0,SANDBOX!K156)</f>
        <v>0</v>
      </c>
      <c r="T53" s="27">
        <f t="shared" si="12"/>
        <v>0</v>
      </c>
      <c r="U53" s="27">
        <f t="shared" si="13"/>
        <v>0</v>
      </c>
      <c r="V53" s="27">
        <f t="shared" si="13"/>
        <v>0</v>
      </c>
      <c r="W53" s="27">
        <f t="shared" si="13"/>
        <v>0</v>
      </c>
      <c r="X53" s="27">
        <f t="shared" si="13"/>
        <v>0</v>
      </c>
      <c r="Y53" s="27">
        <f t="shared" si="13"/>
        <v>0</v>
      </c>
      <c r="Z53" s="27">
        <f t="shared" si="13"/>
        <v>0</v>
      </c>
      <c r="AA53" s="27">
        <f t="shared" si="13"/>
        <v>0</v>
      </c>
      <c r="AB53" s="27">
        <f t="shared" si="13"/>
        <v>0</v>
      </c>
      <c r="AC53" s="27">
        <f t="shared" si="13"/>
        <v>0</v>
      </c>
      <c r="AD53" s="27">
        <f t="shared" si="13"/>
        <v>0</v>
      </c>
      <c r="AE53" s="27">
        <f t="shared" si="13"/>
        <v>0</v>
      </c>
      <c r="AF53" s="27">
        <f t="shared" si="13"/>
        <v>0</v>
      </c>
      <c r="AG53" s="27">
        <f t="shared" si="50"/>
        <v>0</v>
      </c>
      <c r="AH53" s="27">
        <f t="shared" si="14"/>
        <v>0</v>
      </c>
      <c r="AI53" s="27">
        <f t="shared" si="15"/>
        <v>0</v>
      </c>
      <c r="AJ53" s="27">
        <f t="shared" si="51"/>
        <v>0</v>
      </c>
      <c r="AK53" s="27">
        <f t="shared" si="52"/>
        <v>0</v>
      </c>
      <c r="AL53" s="27">
        <f t="shared" si="16"/>
        <v>0</v>
      </c>
      <c r="AM53" s="27">
        <f t="shared" si="53"/>
        <v>0</v>
      </c>
      <c r="AN53" s="27" t="str">
        <f t="shared" si="17"/>
        <v>OK</v>
      </c>
      <c r="AO53" s="27">
        <f>IF(S53=SB!$E$148,T53,0)</f>
        <v>0</v>
      </c>
      <c r="AP53" s="27">
        <f>IF(S53=SB!$E$149,T53,0)</f>
        <v>0</v>
      </c>
      <c r="AQ53" s="27">
        <f>IF($S53=SB!E$150,T53,0)</f>
        <v>0</v>
      </c>
      <c r="AR53" s="27">
        <f>IF(S53=SB!$E$151,T53,0)</f>
        <v>0</v>
      </c>
      <c r="AS53" s="27">
        <f>IF(S53=SB!$E$152,T53,0)</f>
        <v>0</v>
      </c>
      <c r="AT53" s="27">
        <f>IF(S53=SB!$E$153,T53,0)</f>
        <v>0</v>
      </c>
      <c r="AU53" s="27">
        <f>IF(S53=SB!$E$154,T53,0)</f>
        <v>0</v>
      </c>
      <c r="AV53" s="27">
        <f t="shared" si="46"/>
        <v>0</v>
      </c>
      <c r="AW53" s="27">
        <f t="shared" si="47"/>
        <v>1</v>
      </c>
      <c r="AX53" s="27">
        <f t="shared" si="18"/>
        <v>0</v>
      </c>
      <c r="AY53" s="27">
        <f t="shared" si="19"/>
        <v>0</v>
      </c>
      <c r="AZ53" s="27">
        <f t="shared" si="19"/>
        <v>0</v>
      </c>
      <c r="BA53" s="27">
        <f t="shared" si="19"/>
        <v>0</v>
      </c>
      <c r="BB53" s="27">
        <f t="shared" si="19"/>
        <v>0</v>
      </c>
      <c r="BC53" s="27">
        <f t="shared" si="19"/>
        <v>0</v>
      </c>
      <c r="BD53" s="61">
        <f t="shared" si="19"/>
        <v>0</v>
      </c>
      <c r="BE53" s="27">
        <f t="shared" si="19"/>
        <v>0</v>
      </c>
      <c r="BF53" s="27">
        <f t="shared" si="19"/>
        <v>0</v>
      </c>
      <c r="BG53" s="27">
        <f t="shared" si="19"/>
        <v>0</v>
      </c>
      <c r="BH53" s="27">
        <f t="shared" si="19"/>
        <v>0</v>
      </c>
      <c r="BI53" s="27">
        <f t="shared" si="19"/>
        <v>0</v>
      </c>
      <c r="BJ53" s="27">
        <f t="shared" si="19"/>
        <v>0</v>
      </c>
      <c r="BL53" s="27">
        <f t="shared" si="20"/>
        <v>0</v>
      </c>
      <c r="BM53" s="27">
        <f t="shared" si="21"/>
        <v>0</v>
      </c>
      <c r="BN53" s="27">
        <f t="shared" si="21"/>
        <v>0</v>
      </c>
      <c r="BO53" s="27">
        <f t="shared" si="48"/>
        <v>0</v>
      </c>
      <c r="BP53" s="27">
        <f t="shared" si="48"/>
        <v>0</v>
      </c>
      <c r="BQ53" s="27">
        <f t="shared" si="48"/>
        <v>0</v>
      </c>
      <c r="BR53" s="27">
        <f t="shared" si="48"/>
        <v>0</v>
      </c>
      <c r="BS53" s="27">
        <f t="shared" si="48"/>
        <v>0</v>
      </c>
      <c r="BT53" s="27">
        <f t="shared" si="48"/>
        <v>0</v>
      </c>
      <c r="BU53" s="27">
        <f t="shared" si="48"/>
        <v>0</v>
      </c>
      <c r="BV53" s="27">
        <f t="shared" si="48"/>
        <v>0</v>
      </c>
      <c r="BW53" s="27">
        <f t="shared" si="48"/>
        <v>0</v>
      </c>
      <c r="BX53" s="27">
        <f t="shared" si="23"/>
        <v>0</v>
      </c>
      <c r="BY53" s="27">
        <f t="shared" si="24"/>
        <v>0</v>
      </c>
      <c r="BZ53" s="27">
        <f t="shared" si="25"/>
        <v>0</v>
      </c>
      <c r="CA53" s="27">
        <f t="shared" si="26"/>
        <v>0</v>
      </c>
      <c r="CB53" s="27">
        <f t="shared" si="27"/>
        <v>0</v>
      </c>
      <c r="CC53" s="27">
        <f t="shared" si="28"/>
        <v>0</v>
      </c>
      <c r="CD53" s="27">
        <f t="shared" si="29"/>
        <v>0</v>
      </c>
      <c r="CE53" s="27">
        <f t="shared" si="30"/>
        <v>0</v>
      </c>
      <c r="CF53" s="27">
        <f t="shared" si="31"/>
        <v>0</v>
      </c>
      <c r="CG53" s="27">
        <f t="shared" si="32"/>
        <v>0</v>
      </c>
      <c r="CH53" s="27">
        <f t="shared" si="33"/>
        <v>0</v>
      </c>
      <c r="CI53" s="27">
        <f t="shared" si="34"/>
        <v>0</v>
      </c>
      <c r="CJ53" s="27">
        <f t="shared" si="49"/>
        <v>0</v>
      </c>
      <c r="CK53" s="27">
        <f t="shared" si="35"/>
        <v>0</v>
      </c>
      <c r="CL53" s="27">
        <f t="shared" si="36"/>
        <v>0</v>
      </c>
      <c r="CM53" s="27">
        <f t="shared" si="37"/>
        <v>0</v>
      </c>
      <c r="CN53" s="27">
        <f t="shared" si="38"/>
        <v>0</v>
      </c>
      <c r="CO53" s="27">
        <f t="shared" si="39"/>
        <v>0</v>
      </c>
      <c r="CP53" s="27">
        <f t="shared" si="40"/>
        <v>0</v>
      </c>
      <c r="CQ53" s="27">
        <f t="shared" si="41"/>
        <v>0</v>
      </c>
      <c r="CR53" s="27">
        <f t="shared" si="42"/>
        <v>0</v>
      </c>
      <c r="CS53" s="27">
        <f t="shared" si="43"/>
        <v>0</v>
      </c>
      <c r="CT53" s="27">
        <f t="shared" si="44"/>
        <v>0</v>
      </c>
      <c r="CU53" s="61">
        <f t="shared" si="45"/>
        <v>0</v>
      </c>
    </row>
    <row r="54" spans="2:99" s="27" customFormat="1" ht="11.25" hidden="1" x14ac:dyDescent="0.2">
      <c r="B54" s="60" t="str">
        <f>SANDBOX!$D$150</f>
        <v>Terrenos, construcciones y edificaciones</v>
      </c>
      <c r="E54" s="27">
        <f>SUM(E48:E53)</f>
        <v>0</v>
      </c>
      <c r="F54" s="27">
        <f t="shared" ref="F54:Q54" si="54">SUM(F48:F53)</f>
        <v>0</v>
      </c>
      <c r="G54" s="27">
        <f t="shared" si="54"/>
        <v>0</v>
      </c>
      <c r="H54" s="27">
        <f t="shared" si="54"/>
        <v>0</v>
      </c>
      <c r="I54" s="27">
        <f t="shared" si="54"/>
        <v>0</v>
      </c>
      <c r="J54" s="27">
        <f t="shared" si="54"/>
        <v>0</v>
      </c>
      <c r="K54" s="27">
        <f t="shared" si="54"/>
        <v>0</v>
      </c>
      <c r="L54" s="27">
        <f t="shared" si="54"/>
        <v>0</v>
      </c>
      <c r="M54" s="27">
        <f t="shared" si="54"/>
        <v>0</v>
      </c>
      <c r="N54" s="27">
        <f t="shared" si="54"/>
        <v>0</v>
      </c>
      <c r="O54" s="27">
        <f t="shared" si="54"/>
        <v>0</v>
      </c>
      <c r="P54" s="27">
        <f t="shared" si="54"/>
        <v>0</v>
      </c>
      <c r="Q54" s="27">
        <f t="shared" si="54"/>
        <v>0</v>
      </c>
      <c r="S54" s="27" t="str">
        <f>SANDBOX!$D$150</f>
        <v>Terrenos, construcciones y edificaciones</v>
      </c>
      <c r="U54" s="27">
        <f>SUM(U48:U53)</f>
        <v>0</v>
      </c>
      <c r="V54" s="27">
        <f>SUM(V48:V53)</f>
        <v>0</v>
      </c>
      <c r="W54" s="27">
        <f t="shared" ref="W54:AM54" si="55">SUM(W48:W53)</f>
        <v>0</v>
      </c>
      <c r="X54" s="27">
        <f t="shared" si="55"/>
        <v>0</v>
      </c>
      <c r="Y54" s="27">
        <f t="shared" si="55"/>
        <v>0</v>
      </c>
      <c r="Z54" s="27">
        <f t="shared" si="55"/>
        <v>0</v>
      </c>
      <c r="AA54" s="27">
        <f t="shared" si="55"/>
        <v>0</v>
      </c>
      <c r="AB54" s="27">
        <f t="shared" si="55"/>
        <v>0</v>
      </c>
      <c r="AC54" s="27">
        <f t="shared" si="55"/>
        <v>0</v>
      </c>
      <c r="AD54" s="27">
        <f t="shared" si="55"/>
        <v>0</v>
      </c>
      <c r="AE54" s="27">
        <f t="shared" si="55"/>
        <v>0</v>
      </c>
      <c r="AF54" s="27">
        <f t="shared" si="55"/>
        <v>0</v>
      </c>
      <c r="AG54" s="27">
        <f t="shared" si="55"/>
        <v>0</v>
      </c>
      <c r="AH54" s="27">
        <f t="shared" si="55"/>
        <v>0</v>
      </c>
      <c r="AI54" s="27">
        <f t="shared" si="55"/>
        <v>0</v>
      </c>
      <c r="AJ54" s="27">
        <f t="shared" si="55"/>
        <v>0</v>
      </c>
      <c r="AK54" s="27">
        <f t="shared" si="55"/>
        <v>0</v>
      </c>
      <c r="AL54" s="27">
        <f t="shared" si="55"/>
        <v>0</v>
      </c>
      <c r="AM54" s="27">
        <f t="shared" si="55"/>
        <v>0</v>
      </c>
      <c r="BD54" s="61"/>
      <c r="BX54" s="27">
        <f t="shared" ref="BX54:BX60" si="56">+E54</f>
        <v>0</v>
      </c>
      <c r="CJ54" s="27">
        <f t="shared" si="49"/>
        <v>0</v>
      </c>
      <c r="CU54" s="61"/>
    </row>
    <row r="55" spans="2:99" s="27" customFormat="1" ht="11.25" hidden="1" x14ac:dyDescent="0.2">
      <c r="B55" s="60">
        <f>IF(C55=0,0,SANDBOX!D158)</f>
        <v>0</v>
      </c>
      <c r="C55" s="27">
        <f>IF(SANDBOX!G158=SB!$C$156,SANDBOX!F158,0)</f>
        <v>0</v>
      </c>
      <c r="D55" s="27" t="str">
        <f>IF(SANDBOX!I158=0,$E$45,SANDBOX!I158)</f>
        <v>Enero</v>
      </c>
      <c r="E55" s="27">
        <f t="shared" ref="E55:E60" si="57">SUMIF($D55,E$45,$C55)</f>
        <v>0</v>
      </c>
      <c r="F55" s="27">
        <f t="shared" si="10"/>
        <v>0</v>
      </c>
      <c r="G55" s="27">
        <f t="shared" si="10"/>
        <v>0</v>
      </c>
      <c r="H55" s="27">
        <f t="shared" si="10"/>
        <v>0</v>
      </c>
      <c r="I55" s="27">
        <f t="shared" si="10"/>
        <v>0</v>
      </c>
      <c r="J55" s="27">
        <f t="shared" si="10"/>
        <v>0</v>
      </c>
      <c r="K55" s="27">
        <f t="shared" si="10"/>
        <v>0</v>
      </c>
      <c r="L55" s="27">
        <f t="shared" si="10"/>
        <v>0</v>
      </c>
      <c r="M55" s="27">
        <f t="shared" si="10"/>
        <v>0</v>
      </c>
      <c r="N55" s="27">
        <f t="shared" si="10"/>
        <v>0</v>
      </c>
      <c r="O55" s="27">
        <f t="shared" si="10"/>
        <v>0</v>
      </c>
      <c r="P55" s="27">
        <f t="shared" si="10"/>
        <v>0</v>
      </c>
      <c r="Q55" s="27">
        <f t="shared" ref="Q55:Q60" si="58">SUM(E55:P55)</f>
        <v>0</v>
      </c>
      <c r="R55" s="27">
        <f>IF($C55=0,0,SANDBOX!J158)</f>
        <v>0</v>
      </c>
      <c r="S55" s="27">
        <f>IF($C55=0,0,SANDBOX!K158)</f>
        <v>0</v>
      </c>
      <c r="T55" s="27">
        <f t="shared" ref="T55:T60" si="59">IF(R55=0,0,C55/R55)</f>
        <v>0</v>
      </c>
      <c r="U55" s="27">
        <f t="shared" ref="U55:AF60" si="60">IF(CJ55&lt;=0,0,BL55)</f>
        <v>0</v>
      </c>
      <c r="V55" s="27">
        <f>IF(CK55&lt;=0,0,BM55)</f>
        <v>0</v>
      </c>
      <c r="W55" s="27">
        <f>IF(CL55&lt;=0,0,BN55)</f>
        <v>0</v>
      </c>
      <c r="X55" s="27">
        <f t="shared" si="60"/>
        <v>0</v>
      </c>
      <c r="Y55" s="27">
        <f t="shared" si="60"/>
        <v>0</v>
      </c>
      <c r="Z55" s="27">
        <f t="shared" si="60"/>
        <v>0</v>
      </c>
      <c r="AA55" s="27">
        <f t="shared" si="60"/>
        <v>0</v>
      </c>
      <c r="AB55" s="27">
        <f t="shared" si="60"/>
        <v>0</v>
      </c>
      <c r="AC55" s="27">
        <f t="shared" si="60"/>
        <v>0</v>
      </c>
      <c r="AD55" s="27">
        <f t="shared" si="60"/>
        <v>0</v>
      </c>
      <c r="AE55" s="27">
        <f t="shared" si="60"/>
        <v>0</v>
      </c>
      <c r="AF55" s="27">
        <f t="shared" si="60"/>
        <v>0</v>
      </c>
      <c r="AG55" s="27">
        <f t="shared" si="50"/>
        <v>0</v>
      </c>
      <c r="AH55" s="27">
        <f t="shared" ref="AH55:AH60" si="61">+C55-AG55</f>
        <v>0</v>
      </c>
      <c r="AI55" s="27">
        <f t="shared" ref="AI55:AI60" si="62">IF($T55=0,0,AH55/$T55)</f>
        <v>0</v>
      </c>
      <c r="AJ55" s="27">
        <f t="shared" si="51"/>
        <v>0</v>
      </c>
      <c r="AK55" s="27">
        <f t="shared" si="52"/>
        <v>0</v>
      </c>
      <c r="AL55" s="27">
        <f t="shared" ref="AL55:AL60" si="63">IF($T55=0,0,AK55/$T55)</f>
        <v>0</v>
      </c>
      <c r="AM55" s="27">
        <f t="shared" si="53"/>
        <v>0</v>
      </c>
      <c r="AN55" s="27" t="str">
        <f t="shared" ref="AN55:AN60" si="64">IF(AM55+AJ55+AG55=C55,"OK","ERROR")</f>
        <v>OK</v>
      </c>
      <c r="AO55" s="27">
        <f>IF(S55=SB!$E$148,T55,0)</f>
        <v>0</v>
      </c>
      <c r="AP55" s="27">
        <f>IF(S55=SB!$E$149,T55,0)</f>
        <v>0</v>
      </c>
      <c r="AQ55" s="27">
        <f>IF($S55=SB!E$150,T55,0)</f>
        <v>0</v>
      </c>
      <c r="AR55" s="27">
        <f>IF(S55=SB!$E$151,T55,0)</f>
        <v>0</v>
      </c>
      <c r="AS55" s="27">
        <f>IF(S55=SB!$E$152,T55,0)</f>
        <v>0</v>
      </c>
      <c r="AT55" s="27">
        <f>IF(S55=SB!$E$153,T55,0)</f>
        <v>0</v>
      </c>
      <c r="AU55" s="27">
        <f>IF(S55=SB!$E$154,T55,0)</f>
        <v>0</v>
      </c>
      <c r="AV55" s="27">
        <f t="shared" si="46"/>
        <v>0</v>
      </c>
      <c r="AW55" s="27">
        <f t="shared" si="47"/>
        <v>1</v>
      </c>
      <c r="AX55" s="27">
        <f t="shared" ref="AX55:AX60" si="65">+AW55+AV55-1</f>
        <v>0</v>
      </c>
      <c r="AY55" s="27">
        <f>IF(AY$47=$AX55,$T55,0)</f>
        <v>0</v>
      </c>
      <c r="AZ55" s="27">
        <f t="shared" ref="AY55:BJ60" si="66">IF(AZ$47=$AX55,$T55,0)</f>
        <v>0</v>
      </c>
      <c r="BA55" s="27">
        <f t="shared" si="66"/>
        <v>0</v>
      </c>
      <c r="BB55" s="27">
        <f t="shared" si="66"/>
        <v>0</v>
      </c>
      <c r="BC55" s="27">
        <f t="shared" si="66"/>
        <v>0</v>
      </c>
      <c r="BD55" s="61">
        <f t="shared" si="66"/>
        <v>0</v>
      </c>
      <c r="BE55" s="27">
        <f t="shared" si="66"/>
        <v>0</v>
      </c>
      <c r="BF55" s="27">
        <f t="shared" si="66"/>
        <v>0</v>
      </c>
      <c r="BG55" s="27">
        <f t="shared" si="66"/>
        <v>0</v>
      </c>
      <c r="BH55" s="27">
        <f t="shared" si="66"/>
        <v>0</v>
      </c>
      <c r="BI55" s="27">
        <f t="shared" si="66"/>
        <v>0</v>
      </c>
      <c r="BJ55" s="27">
        <f t="shared" si="66"/>
        <v>0</v>
      </c>
      <c r="BL55" s="27">
        <f t="shared" ref="BL55:BL60" si="67">+IF(AY55=0,0,AY55)</f>
        <v>0</v>
      </c>
      <c r="BM55" s="27">
        <f t="shared" ref="BM55:BN60" si="68">+IF(AZ55=0,BL55,AZ55)</f>
        <v>0</v>
      </c>
      <c r="BN55" s="27">
        <f t="shared" si="68"/>
        <v>0</v>
      </c>
      <c r="BO55" s="27">
        <f t="shared" ref="BO55:BO60" si="69">+IF(BB55=0,BN55,BB55)</f>
        <v>0</v>
      </c>
      <c r="BP55" s="27">
        <f t="shared" ref="BP55:BP60" si="70">+IF(BC55=0,BO55,BC55)</f>
        <v>0</v>
      </c>
      <c r="BQ55" s="27">
        <f t="shared" ref="BQ55:BQ60" si="71">+IF(BD55=0,BP55,BD55)</f>
        <v>0</v>
      </c>
      <c r="BR55" s="27">
        <f t="shared" ref="BR55:BR60" si="72">+IF(BE55=0,BQ55,BE55)</f>
        <v>0</v>
      </c>
      <c r="BS55" s="27">
        <f t="shared" ref="BS55:BS60" si="73">+IF(BF55=0,BR55,BF55)</f>
        <v>0</v>
      </c>
      <c r="BT55" s="27">
        <f t="shared" ref="BT55:BT60" si="74">+IF(BG55=0,BS55,BG55)</f>
        <v>0</v>
      </c>
      <c r="BU55" s="27">
        <f t="shared" ref="BU55:BU60" si="75">+IF(BH55=0,BT55,BH55)</f>
        <v>0</v>
      </c>
      <c r="BV55" s="27">
        <f t="shared" ref="BV55:BV60" si="76">+IF(BI55=0,BU55,BI55)</f>
        <v>0</v>
      </c>
      <c r="BW55" s="27">
        <f t="shared" ref="BW55:BW60" si="77">+IF(BJ55=0,BV55,BJ55)</f>
        <v>0</v>
      </c>
      <c r="BX55" s="27">
        <f t="shared" si="56"/>
        <v>0</v>
      </c>
      <c r="BY55" s="27">
        <f t="shared" ref="BY55:BY60" si="78">IF(BX55=0,F55,BX55-BL55)</f>
        <v>0</v>
      </c>
      <c r="BZ55" s="27">
        <f t="shared" ref="BZ55:BZ60" si="79">IF(BY55=0,G55,BY55-BM55)</f>
        <v>0</v>
      </c>
      <c r="CA55" s="27">
        <f t="shared" ref="CA55:CA60" si="80">IF(BZ55=0,H55,BZ55-BN55)</f>
        <v>0</v>
      </c>
      <c r="CB55" s="27">
        <f t="shared" ref="CB55:CB60" si="81">IF(CA55=0,I55,CA55-BO55)</f>
        <v>0</v>
      </c>
      <c r="CC55" s="27">
        <f t="shared" ref="CC55:CC60" si="82">IF(CB55=0,J55,CB55-BP55)</f>
        <v>0</v>
      </c>
      <c r="CD55" s="27">
        <f t="shared" ref="CD55:CD60" si="83">IF(CC55=0,K55,CC55-BQ55)</f>
        <v>0</v>
      </c>
      <c r="CE55" s="27">
        <f t="shared" ref="CE55:CE60" si="84">IF(CD55=0,L55,CD55-BR55)</f>
        <v>0</v>
      </c>
      <c r="CF55" s="27">
        <f t="shared" ref="CF55:CF60" si="85">IF(CE55=0,M55,CE55-BS55)</f>
        <v>0</v>
      </c>
      <c r="CG55" s="27">
        <f t="shared" ref="CG55:CG60" si="86">IF(CF55=0,N55,CF55-BT55)</f>
        <v>0</v>
      </c>
      <c r="CH55" s="27">
        <f t="shared" ref="CH55:CH60" si="87">IF(CG55=0,O55,CG55-BU55)</f>
        <v>0</v>
      </c>
      <c r="CI55" s="27">
        <f t="shared" ref="CI55:CI60" si="88">IF(CH55=0,P55,CH55-BV55)</f>
        <v>0</v>
      </c>
      <c r="CJ55" s="27">
        <f t="shared" si="49"/>
        <v>0</v>
      </c>
      <c r="CK55" s="27">
        <f t="shared" si="35"/>
        <v>0</v>
      </c>
      <c r="CL55" s="27">
        <f t="shared" si="36"/>
        <v>0</v>
      </c>
      <c r="CM55" s="27">
        <f t="shared" si="37"/>
        <v>0</v>
      </c>
      <c r="CN55" s="27">
        <f t="shared" si="38"/>
        <v>0</v>
      </c>
      <c r="CO55" s="27">
        <f t="shared" si="39"/>
        <v>0</v>
      </c>
      <c r="CP55" s="27">
        <f t="shared" si="40"/>
        <v>0</v>
      </c>
      <c r="CQ55" s="27">
        <f t="shared" si="41"/>
        <v>0</v>
      </c>
      <c r="CR55" s="27">
        <f t="shared" si="42"/>
        <v>0</v>
      </c>
      <c r="CS55" s="27">
        <f t="shared" si="43"/>
        <v>0</v>
      </c>
      <c r="CT55" s="27">
        <f t="shared" si="44"/>
        <v>0</v>
      </c>
      <c r="CU55" s="61">
        <f t="shared" si="45"/>
        <v>0</v>
      </c>
    </row>
    <row r="56" spans="2:99" s="27" customFormat="1" ht="11.25" hidden="1" x14ac:dyDescent="0.2">
      <c r="B56" s="60">
        <f>IF(C56=0,0,SANDBOX!D159)</f>
        <v>0</v>
      </c>
      <c r="C56" s="27">
        <f>IF(SANDBOX!G159=SB!$C$156,SANDBOX!F159,0)</f>
        <v>0</v>
      </c>
      <c r="D56" s="27" t="str">
        <f>IF(SANDBOX!I159=0,$E$45,SANDBOX!I159)</f>
        <v>Enero</v>
      </c>
      <c r="E56" s="27">
        <f t="shared" si="57"/>
        <v>0</v>
      </c>
      <c r="F56" s="27">
        <f t="shared" si="10"/>
        <v>0</v>
      </c>
      <c r="G56" s="27">
        <f t="shared" si="10"/>
        <v>0</v>
      </c>
      <c r="H56" s="27">
        <f t="shared" si="10"/>
        <v>0</v>
      </c>
      <c r="I56" s="27">
        <f t="shared" si="10"/>
        <v>0</v>
      </c>
      <c r="J56" s="27">
        <f t="shared" si="10"/>
        <v>0</v>
      </c>
      <c r="K56" s="27">
        <f t="shared" si="10"/>
        <v>0</v>
      </c>
      <c r="L56" s="27">
        <f t="shared" si="10"/>
        <v>0</v>
      </c>
      <c r="M56" s="27">
        <f t="shared" si="10"/>
        <v>0</v>
      </c>
      <c r="N56" s="27">
        <f t="shared" si="10"/>
        <v>0</v>
      </c>
      <c r="O56" s="27">
        <f t="shared" si="10"/>
        <v>0</v>
      </c>
      <c r="P56" s="27">
        <f t="shared" si="10"/>
        <v>0</v>
      </c>
      <c r="Q56" s="27">
        <f t="shared" si="58"/>
        <v>0</v>
      </c>
      <c r="R56" s="27">
        <f>IF($C56=0,0,SANDBOX!J159)</f>
        <v>0</v>
      </c>
      <c r="S56" s="27">
        <f>IF($C56=0,0,SANDBOX!K159)</f>
        <v>0</v>
      </c>
      <c r="T56" s="27">
        <f t="shared" si="59"/>
        <v>0</v>
      </c>
      <c r="U56" s="27">
        <f t="shared" si="60"/>
        <v>0</v>
      </c>
      <c r="V56" s="27">
        <f t="shared" si="60"/>
        <v>0</v>
      </c>
      <c r="W56" s="27">
        <f t="shared" si="60"/>
        <v>0</v>
      </c>
      <c r="X56" s="27">
        <f t="shared" si="60"/>
        <v>0</v>
      </c>
      <c r="Y56" s="27">
        <f t="shared" si="60"/>
        <v>0</v>
      </c>
      <c r="Z56" s="27">
        <f t="shared" si="60"/>
        <v>0</v>
      </c>
      <c r="AA56" s="27">
        <f t="shared" si="60"/>
        <v>0</v>
      </c>
      <c r="AB56" s="27">
        <f t="shared" si="60"/>
        <v>0</v>
      </c>
      <c r="AC56" s="27">
        <f t="shared" si="60"/>
        <v>0</v>
      </c>
      <c r="AD56" s="27">
        <f t="shared" si="60"/>
        <v>0</v>
      </c>
      <c r="AE56" s="27">
        <f t="shared" si="60"/>
        <v>0</v>
      </c>
      <c r="AF56" s="27">
        <f t="shared" si="60"/>
        <v>0</v>
      </c>
      <c r="AG56" s="27">
        <f t="shared" si="50"/>
        <v>0</v>
      </c>
      <c r="AH56" s="27">
        <f t="shared" si="61"/>
        <v>0</v>
      </c>
      <c r="AI56" s="27">
        <f t="shared" si="62"/>
        <v>0</v>
      </c>
      <c r="AJ56" s="27">
        <f t="shared" si="51"/>
        <v>0</v>
      </c>
      <c r="AK56" s="27">
        <f t="shared" si="52"/>
        <v>0</v>
      </c>
      <c r="AL56" s="27">
        <f t="shared" si="63"/>
        <v>0</v>
      </c>
      <c r="AM56" s="27">
        <f t="shared" si="53"/>
        <v>0</v>
      </c>
      <c r="AN56" s="27" t="str">
        <f t="shared" si="64"/>
        <v>OK</v>
      </c>
      <c r="AO56" s="27">
        <f>IF(S56=SB!$E$148,T56,0)</f>
        <v>0</v>
      </c>
      <c r="AP56" s="27">
        <f>IF(S56=SB!$E$149,T56,0)</f>
        <v>0</v>
      </c>
      <c r="AQ56" s="27">
        <f>IF($S56=SB!E$150,T56,0)</f>
        <v>0</v>
      </c>
      <c r="AR56" s="27">
        <f>IF(S56=SB!$E$151,T56,0)</f>
        <v>0</v>
      </c>
      <c r="AS56" s="27">
        <f>IF(S56=SB!$E$152,T56,0)</f>
        <v>0</v>
      </c>
      <c r="AT56" s="27">
        <f>IF(S56=SB!$E$153,T56,0)</f>
        <v>0</v>
      </c>
      <c r="AU56" s="27">
        <f>IF(S56=SB!$E$154,T56,0)</f>
        <v>0</v>
      </c>
      <c r="AV56" s="27">
        <f t="shared" si="46"/>
        <v>0</v>
      </c>
      <c r="AW56" s="27">
        <f t="shared" si="47"/>
        <v>1</v>
      </c>
      <c r="AX56" s="27">
        <f t="shared" si="65"/>
        <v>0</v>
      </c>
      <c r="AY56" s="27">
        <f t="shared" si="66"/>
        <v>0</v>
      </c>
      <c r="AZ56" s="27">
        <f t="shared" si="66"/>
        <v>0</v>
      </c>
      <c r="BA56" s="27">
        <f t="shared" si="66"/>
        <v>0</v>
      </c>
      <c r="BB56" s="27">
        <f t="shared" si="66"/>
        <v>0</v>
      </c>
      <c r="BC56" s="27">
        <f t="shared" si="66"/>
        <v>0</v>
      </c>
      <c r="BD56" s="61">
        <f t="shared" si="66"/>
        <v>0</v>
      </c>
      <c r="BE56" s="27">
        <f t="shared" si="66"/>
        <v>0</v>
      </c>
      <c r="BF56" s="27">
        <f t="shared" si="66"/>
        <v>0</v>
      </c>
      <c r="BG56" s="27">
        <f t="shared" si="66"/>
        <v>0</v>
      </c>
      <c r="BH56" s="27">
        <f t="shared" si="66"/>
        <v>0</v>
      </c>
      <c r="BI56" s="27">
        <f t="shared" si="66"/>
        <v>0</v>
      </c>
      <c r="BJ56" s="27">
        <f t="shared" si="66"/>
        <v>0</v>
      </c>
      <c r="BL56" s="27">
        <f t="shared" si="67"/>
        <v>0</v>
      </c>
      <c r="BM56" s="27">
        <f t="shared" si="68"/>
        <v>0</v>
      </c>
      <c r="BN56" s="27">
        <f t="shared" si="68"/>
        <v>0</v>
      </c>
      <c r="BO56" s="27">
        <f t="shared" si="69"/>
        <v>0</v>
      </c>
      <c r="BP56" s="27">
        <f t="shared" si="70"/>
        <v>0</v>
      </c>
      <c r="BQ56" s="27">
        <f t="shared" si="71"/>
        <v>0</v>
      </c>
      <c r="BR56" s="27">
        <f t="shared" si="72"/>
        <v>0</v>
      </c>
      <c r="BS56" s="27">
        <f t="shared" si="73"/>
        <v>0</v>
      </c>
      <c r="BT56" s="27">
        <f t="shared" si="74"/>
        <v>0</v>
      </c>
      <c r="BU56" s="27">
        <f t="shared" si="75"/>
        <v>0</v>
      </c>
      <c r="BV56" s="27">
        <f t="shared" si="76"/>
        <v>0</v>
      </c>
      <c r="BW56" s="27">
        <f t="shared" si="77"/>
        <v>0</v>
      </c>
      <c r="BX56" s="27">
        <f t="shared" si="56"/>
        <v>0</v>
      </c>
      <c r="BY56" s="27">
        <f t="shared" si="78"/>
        <v>0</v>
      </c>
      <c r="BZ56" s="27">
        <f t="shared" si="79"/>
        <v>0</v>
      </c>
      <c r="CA56" s="27">
        <f t="shared" si="80"/>
        <v>0</v>
      </c>
      <c r="CB56" s="27">
        <f t="shared" si="81"/>
        <v>0</v>
      </c>
      <c r="CC56" s="27">
        <f t="shared" si="82"/>
        <v>0</v>
      </c>
      <c r="CD56" s="27">
        <f t="shared" si="83"/>
        <v>0</v>
      </c>
      <c r="CE56" s="27">
        <f t="shared" si="84"/>
        <v>0</v>
      </c>
      <c r="CF56" s="27">
        <f t="shared" si="85"/>
        <v>0</v>
      </c>
      <c r="CG56" s="27">
        <f t="shared" si="86"/>
        <v>0</v>
      </c>
      <c r="CH56" s="27">
        <f t="shared" si="87"/>
        <v>0</v>
      </c>
      <c r="CI56" s="27">
        <f t="shared" si="88"/>
        <v>0</v>
      </c>
      <c r="CJ56" s="27">
        <f t="shared" si="49"/>
        <v>0</v>
      </c>
      <c r="CK56" s="27">
        <f t="shared" si="35"/>
        <v>0</v>
      </c>
      <c r="CL56" s="27">
        <f t="shared" si="36"/>
        <v>0</v>
      </c>
      <c r="CM56" s="27">
        <f t="shared" si="37"/>
        <v>0</v>
      </c>
      <c r="CN56" s="27">
        <f t="shared" si="38"/>
        <v>0</v>
      </c>
      <c r="CO56" s="27">
        <f t="shared" si="39"/>
        <v>0</v>
      </c>
      <c r="CP56" s="27">
        <f t="shared" si="40"/>
        <v>0</v>
      </c>
      <c r="CQ56" s="27">
        <f t="shared" si="41"/>
        <v>0</v>
      </c>
      <c r="CR56" s="27">
        <f t="shared" si="42"/>
        <v>0</v>
      </c>
      <c r="CS56" s="27">
        <f t="shared" si="43"/>
        <v>0</v>
      </c>
      <c r="CT56" s="27">
        <f t="shared" si="44"/>
        <v>0</v>
      </c>
      <c r="CU56" s="61">
        <f t="shared" si="45"/>
        <v>0</v>
      </c>
    </row>
    <row r="57" spans="2:99" s="27" customFormat="1" ht="11.25" hidden="1" x14ac:dyDescent="0.2">
      <c r="B57" s="60">
        <f>IF(C57=0,0,SANDBOX!D160)</f>
        <v>0</v>
      </c>
      <c r="C57" s="27">
        <f>IF(SANDBOX!G160=SB!$C$156,SANDBOX!F160,0)</f>
        <v>0</v>
      </c>
      <c r="D57" s="27" t="str">
        <f>IF(SANDBOX!I160=0,$E$45,SANDBOX!I160)</f>
        <v>Enero</v>
      </c>
      <c r="E57" s="27">
        <f t="shared" si="57"/>
        <v>0</v>
      </c>
      <c r="F57" s="27">
        <f t="shared" si="10"/>
        <v>0</v>
      </c>
      <c r="G57" s="27">
        <f t="shared" si="10"/>
        <v>0</v>
      </c>
      <c r="H57" s="27">
        <f t="shared" si="10"/>
        <v>0</v>
      </c>
      <c r="I57" s="27">
        <f t="shared" si="10"/>
        <v>0</v>
      </c>
      <c r="J57" s="27">
        <f t="shared" si="10"/>
        <v>0</v>
      </c>
      <c r="K57" s="27">
        <f t="shared" si="10"/>
        <v>0</v>
      </c>
      <c r="L57" s="27">
        <f t="shared" si="10"/>
        <v>0</v>
      </c>
      <c r="M57" s="27">
        <f t="shared" si="10"/>
        <v>0</v>
      </c>
      <c r="N57" s="27">
        <f t="shared" si="10"/>
        <v>0</v>
      </c>
      <c r="O57" s="27">
        <f t="shared" si="10"/>
        <v>0</v>
      </c>
      <c r="P57" s="27">
        <f t="shared" si="10"/>
        <v>0</v>
      </c>
      <c r="Q57" s="27">
        <f t="shared" si="58"/>
        <v>0</v>
      </c>
      <c r="R57" s="27">
        <f>IF($C57=0,0,SANDBOX!J160)</f>
        <v>0</v>
      </c>
      <c r="S57" s="27">
        <f>IF($C57=0,0,SANDBOX!K160)</f>
        <v>0</v>
      </c>
      <c r="T57" s="27">
        <f t="shared" si="59"/>
        <v>0</v>
      </c>
      <c r="U57" s="27">
        <f t="shared" si="60"/>
        <v>0</v>
      </c>
      <c r="V57" s="27">
        <f t="shared" si="60"/>
        <v>0</v>
      </c>
      <c r="W57" s="27">
        <f t="shared" si="60"/>
        <v>0</v>
      </c>
      <c r="X57" s="27">
        <f t="shared" si="60"/>
        <v>0</v>
      </c>
      <c r="Y57" s="27">
        <f t="shared" si="60"/>
        <v>0</v>
      </c>
      <c r="Z57" s="27">
        <f t="shared" si="60"/>
        <v>0</v>
      </c>
      <c r="AA57" s="27">
        <f t="shared" si="60"/>
        <v>0</v>
      </c>
      <c r="AB57" s="27">
        <f t="shared" si="60"/>
        <v>0</v>
      </c>
      <c r="AC57" s="27">
        <f t="shared" si="60"/>
        <v>0</v>
      </c>
      <c r="AD57" s="27">
        <f t="shared" si="60"/>
        <v>0</v>
      </c>
      <c r="AE57" s="27">
        <f t="shared" si="60"/>
        <v>0</v>
      </c>
      <c r="AF57" s="27">
        <f t="shared" si="60"/>
        <v>0</v>
      </c>
      <c r="AG57" s="27">
        <f t="shared" si="50"/>
        <v>0</v>
      </c>
      <c r="AH57" s="27">
        <f t="shared" si="61"/>
        <v>0</v>
      </c>
      <c r="AI57" s="27">
        <f t="shared" si="62"/>
        <v>0</v>
      </c>
      <c r="AJ57" s="27">
        <f t="shared" si="51"/>
        <v>0</v>
      </c>
      <c r="AK57" s="27">
        <f t="shared" si="52"/>
        <v>0</v>
      </c>
      <c r="AL57" s="27">
        <f t="shared" si="63"/>
        <v>0</v>
      </c>
      <c r="AM57" s="27">
        <f t="shared" si="53"/>
        <v>0</v>
      </c>
      <c r="AN57" s="27" t="str">
        <f t="shared" si="64"/>
        <v>OK</v>
      </c>
      <c r="AO57" s="27">
        <f>IF(S57=SB!$E$148,T57,0)</f>
        <v>0</v>
      </c>
      <c r="AP57" s="27">
        <f>IF(S57=SB!$E$149,T57,0)</f>
        <v>0</v>
      </c>
      <c r="AQ57" s="27">
        <f>IF($S57=SB!E$150,T57,0)</f>
        <v>0</v>
      </c>
      <c r="AR57" s="27">
        <f>IF(S57=SB!$E$151,T57,0)</f>
        <v>0</v>
      </c>
      <c r="AS57" s="27">
        <f>IF(S57=SB!$E$152,T57,0)</f>
        <v>0</v>
      </c>
      <c r="AT57" s="27">
        <f>IF(S57=SB!$E$153,T57,0)</f>
        <v>0</v>
      </c>
      <c r="AU57" s="27">
        <f>IF(S57=SB!$E$154,T57,0)</f>
        <v>0</v>
      </c>
      <c r="AV57" s="27">
        <f t="shared" si="46"/>
        <v>0</v>
      </c>
      <c r="AW57" s="27">
        <f t="shared" si="47"/>
        <v>1</v>
      </c>
      <c r="AX57" s="27">
        <f t="shared" si="65"/>
        <v>0</v>
      </c>
      <c r="AY57" s="27">
        <f t="shared" si="66"/>
        <v>0</v>
      </c>
      <c r="AZ57" s="27">
        <f t="shared" si="66"/>
        <v>0</v>
      </c>
      <c r="BA57" s="27">
        <f t="shared" si="66"/>
        <v>0</v>
      </c>
      <c r="BB57" s="27">
        <f t="shared" si="66"/>
        <v>0</v>
      </c>
      <c r="BC57" s="27">
        <f t="shared" si="66"/>
        <v>0</v>
      </c>
      <c r="BD57" s="61">
        <f t="shared" si="66"/>
        <v>0</v>
      </c>
      <c r="BE57" s="27">
        <f t="shared" si="66"/>
        <v>0</v>
      </c>
      <c r="BF57" s="27">
        <f t="shared" si="66"/>
        <v>0</v>
      </c>
      <c r="BG57" s="27">
        <f t="shared" si="66"/>
        <v>0</v>
      </c>
      <c r="BH57" s="27">
        <f t="shared" si="66"/>
        <v>0</v>
      </c>
      <c r="BI57" s="27">
        <f t="shared" si="66"/>
        <v>0</v>
      </c>
      <c r="BJ57" s="27">
        <f t="shared" si="66"/>
        <v>0</v>
      </c>
      <c r="BL57" s="27">
        <f t="shared" si="67"/>
        <v>0</v>
      </c>
      <c r="BM57" s="27">
        <f t="shared" si="68"/>
        <v>0</v>
      </c>
      <c r="BN57" s="27">
        <f t="shared" si="68"/>
        <v>0</v>
      </c>
      <c r="BO57" s="27">
        <f t="shared" si="69"/>
        <v>0</v>
      </c>
      <c r="BP57" s="27">
        <f t="shared" si="70"/>
        <v>0</v>
      </c>
      <c r="BQ57" s="27">
        <f t="shared" si="71"/>
        <v>0</v>
      </c>
      <c r="BR57" s="27">
        <f t="shared" si="72"/>
        <v>0</v>
      </c>
      <c r="BS57" s="27">
        <f t="shared" si="73"/>
        <v>0</v>
      </c>
      <c r="BT57" s="27">
        <f t="shared" si="74"/>
        <v>0</v>
      </c>
      <c r="BU57" s="27">
        <f t="shared" si="75"/>
        <v>0</v>
      </c>
      <c r="BV57" s="27">
        <f t="shared" si="76"/>
        <v>0</v>
      </c>
      <c r="BW57" s="27">
        <f t="shared" si="77"/>
        <v>0</v>
      </c>
      <c r="BX57" s="27">
        <f t="shared" si="56"/>
        <v>0</v>
      </c>
      <c r="BY57" s="27">
        <f t="shared" si="78"/>
        <v>0</v>
      </c>
      <c r="BZ57" s="27">
        <f t="shared" si="79"/>
        <v>0</v>
      </c>
      <c r="CA57" s="27">
        <f t="shared" si="80"/>
        <v>0</v>
      </c>
      <c r="CB57" s="27">
        <f t="shared" si="81"/>
        <v>0</v>
      </c>
      <c r="CC57" s="27">
        <f t="shared" si="82"/>
        <v>0</v>
      </c>
      <c r="CD57" s="27">
        <f t="shared" si="83"/>
        <v>0</v>
      </c>
      <c r="CE57" s="27">
        <f t="shared" si="84"/>
        <v>0</v>
      </c>
      <c r="CF57" s="27">
        <f t="shared" si="85"/>
        <v>0</v>
      </c>
      <c r="CG57" s="27">
        <f t="shared" si="86"/>
        <v>0</v>
      </c>
      <c r="CH57" s="27">
        <f t="shared" si="87"/>
        <v>0</v>
      </c>
      <c r="CI57" s="27">
        <f t="shared" si="88"/>
        <v>0</v>
      </c>
      <c r="CJ57" s="27">
        <f t="shared" si="49"/>
        <v>0</v>
      </c>
      <c r="CK57" s="27">
        <f t="shared" si="35"/>
        <v>0</v>
      </c>
      <c r="CL57" s="27">
        <f t="shared" si="36"/>
        <v>0</v>
      </c>
      <c r="CM57" s="27">
        <f t="shared" si="37"/>
        <v>0</v>
      </c>
      <c r="CN57" s="27">
        <f t="shared" si="38"/>
        <v>0</v>
      </c>
      <c r="CO57" s="27">
        <f t="shared" si="39"/>
        <v>0</v>
      </c>
      <c r="CP57" s="27">
        <f t="shared" si="40"/>
        <v>0</v>
      </c>
      <c r="CQ57" s="27">
        <f t="shared" si="41"/>
        <v>0</v>
      </c>
      <c r="CR57" s="27">
        <f t="shared" si="42"/>
        <v>0</v>
      </c>
      <c r="CS57" s="27">
        <f t="shared" si="43"/>
        <v>0</v>
      </c>
      <c r="CT57" s="27">
        <f t="shared" si="44"/>
        <v>0</v>
      </c>
      <c r="CU57" s="61">
        <f t="shared" si="45"/>
        <v>0</v>
      </c>
    </row>
    <row r="58" spans="2:99" s="27" customFormat="1" ht="11.25" hidden="1" x14ac:dyDescent="0.2">
      <c r="B58" s="60">
        <f>IF(C58=0,0,SANDBOX!D161)</f>
        <v>0</v>
      </c>
      <c r="C58" s="27">
        <f>IF(SANDBOX!G161=SB!$C$156,SANDBOX!F161,0)</f>
        <v>0</v>
      </c>
      <c r="D58" s="27" t="str">
        <f>IF(SANDBOX!I161=0,$E$45,SANDBOX!I161)</f>
        <v>Enero</v>
      </c>
      <c r="E58" s="27">
        <f t="shared" si="57"/>
        <v>0</v>
      </c>
      <c r="F58" s="27">
        <f t="shared" si="10"/>
        <v>0</v>
      </c>
      <c r="G58" s="27">
        <f t="shared" si="10"/>
        <v>0</v>
      </c>
      <c r="H58" s="27">
        <f t="shared" si="10"/>
        <v>0</v>
      </c>
      <c r="I58" s="27">
        <f t="shared" si="10"/>
        <v>0</v>
      </c>
      <c r="J58" s="27">
        <f t="shared" si="10"/>
        <v>0</v>
      </c>
      <c r="K58" s="27">
        <f t="shared" si="10"/>
        <v>0</v>
      </c>
      <c r="L58" s="27">
        <f t="shared" si="10"/>
        <v>0</v>
      </c>
      <c r="M58" s="27">
        <f t="shared" si="10"/>
        <v>0</v>
      </c>
      <c r="N58" s="27">
        <f t="shared" si="10"/>
        <v>0</v>
      </c>
      <c r="O58" s="27">
        <f t="shared" si="10"/>
        <v>0</v>
      </c>
      <c r="P58" s="27">
        <f t="shared" si="10"/>
        <v>0</v>
      </c>
      <c r="Q58" s="27">
        <f t="shared" si="58"/>
        <v>0</v>
      </c>
      <c r="R58" s="27">
        <f>IF($C58=0,0,SANDBOX!J161)</f>
        <v>0</v>
      </c>
      <c r="S58" s="27">
        <f>IF($C58=0,0,SANDBOX!K161)</f>
        <v>0</v>
      </c>
      <c r="T58" s="27">
        <f t="shared" si="59"/>
        <v>0</v>
      </c>
      <c r="U58" s="27">
        <f t="shared" si="60"/>
        <v>0</v>
      </c>
      <c r="V58" s="27">
        <f t="shared" si="60"/>
        <v>0</v>
      </c>
      <c r="W58" s="27">
        <f t="shared" si="60"/>
        <v>0</v>
      </c>
      <c r="X58" s="27">
        <f t="shared" si="60"/>
        <v>0</v>
      </c>
      <c r="Y58" s="27">
        <f t="shared" si="60"/>
        <v>0</v>
      </c>
      <c r="Z58" s="27">
        <f t="shared" si="60"/>
        <v>0</v>
      </c>
      <c r="AA58" s="27">
        <f t="shared" si="60"/>
        <v>0</v>
      </c>
      <c r="AB58" s="27">
        <f t="shared" si="60"/>
        <v>0</v>
      </c>
      <c r="AC58" s="27">
        <f t="shared" si="60"/>
        <v>0</v>
      </c>
      <c r="AD58" s="27">
        <f t="shared" si="60"/>
        <v>0</v>
      </c>
      <c r="AE58" s="27">
        <f t="shared" si="60"/>
        <v>0</v>
      </c>
      <c r="AF58" s="27">
        <f t="shared" si="60"/>
        <v>0</v>
      </c>
      <c r="AG58" s="27">
        <f t="shared" si="50"/>
        <v>0</v>
      </c>
      <c r="AH58" s="27">
        <f t="shared" si="61"/>
        <v>0</v>
      </c>
      <c r="AI58" s="27">
        <f t="shared" si="62"/>
        <v>0</v>
      </c>
      <c r="AJ58" s="27">
        <f t="shared" si="51"/>
        <v>0</v>
      </c>
      <c r="AK58" s="27">
        <f t="shared" si="52"/>
        <v>0</v>
      </c>
      <c r="AL58" s="27">
        <f t="shared" si="63"/>
        <v>0</v>
      </c>
      <c r="AM58" s="27">
        <f t="shared" si="53"/>
        <v>0</v>
      </c>
      <c r="AN58" s="27" t="str">
        <f t="shared" si="64"/>
        <v>OK</v>
      </c>
      <c r="AO58" s="27">
        <f>IF(S58=SB!$E$148,T58,0)</f>
        <v>0</v>
      </c>
      <c r="AP58" s="27">
        <f>IF(S58=SB!$E$149,T58,0)</f>
        <v>0</v>
      </c>
      <c r="AQ58" s="27">
        <f>IF($S58=SB!E$150,T58,0)</f>
        <v>0</v>
      </c>
      <c r="AR58" s="27">
        <f>IF(S58=SB!$E$151,T58,0)</f>
        <v>0</v>
      </c>
      <c r="AS58" s="27">
        <f>IF(S58=SB!$E$152,T58,0)</f>
        <v>0</v>
      </c>
      <c r="AT58" s="27">
        <f>IF(S58=SB!$E$153,T58,0)</f>
        <v>0</v>
      </c>
      <c r="AU58" s="27">
        <f>IF(S58=SB!$E$154,T58,0)</f>
        <v>0</v>
      </c>
      <c r="AV58" s="27">
        <f t="shared" si="46"/>
        <v>0</v>
      </c>
      <c r="AW58" s="27">
        <f t="shared" si="47"/>
        <v>1</v>
      </c>
      <c r="AX58" s="27">
        <f t="shared" si="65"/>
        <v>0</v>
      </c>
      <c r="AY58" s="27">
        <f t="shared" si="66"/>
        <v>0</v>
      </c>
      <c r="AZ58" s="27">
        <f t="shared" si="66"/>
        <v>0</v>
      </c>
      <c r="BA58" s="27">
        <f t="shared" si="66"/>
        <v>0</v>
      </c>
      <c r="BB58" s="27">
        <f t="shared" si="66"/>
        <v>0</v>
      </c>
      <c r="BC58" s="27">
        <f t="shared" si="66"/>
        <v>0</v>
      </c>
      <c r="BD58" s="61">
        <f t="shared" si="66"/>
        <v>0</v>
      </c>
      <c r="BE58" s="27">
        <f t="shared" si="66"/>
        <v>0</v>
      </c>
      <c r="BF58" s="27">
        <f t="shared" si="66"/>
        <v>0</v>
      </c>
      <c r="BG58" s="27">
        <f t="shared" si="66"/>
        <v>0</v>
      </c>
      <c r="BH58" s="27">
        <f t="shared" si="66"/>
        <v>0</v>
      </c>
      <c r="BI58" s="27">
        <f t="shared" si="66"/>
        <v>0</v>
      </c>
      <c r="BJ58" s="27">
        <f t="shared" si="66"/>
        <v>0</v>
      </c>
      <c r="BL58" s="27">
        <f t="shared" si="67"/>
        <v>0</v>
      </c>
      <c r="BM58" s="27">
        <f t="shared" si="68"/>
        <v>0</v>
      </c>
      <c r="BN58" s="27">
        <f t="shared" si="68"/>
        <v>0</v>
      </c>
      <c r="BO58" s="27">
        <f t="shared" si="69"/>
        <v>0</v>
      </c>
      <c r="BP58" s="27">
        <f t="shared" si="70"/>
        <v>0</v>
      </c>
      <c r="BQ58" s="27">
        <f t="shared" si="71"/>
        <v>0</v>
      </c>
      <c r="BR58" s="27">
        <f t="shared" si="72"/>
        <v>0</v>
      </c>
      <c r="BS58" s="27">
        <f t="shared" si="73"/>
        <v>0</v>
      </c>
      <c r="BT58" s="27">
        <f t="shared" si="74"/>
        <v>0</v>
      </c>
      <c r="BU58" s="27">
        <f t="shared" si="75"/>
        <v>0</v>
      </c>
      <c r="BV58" s="27">
        <f t="shared" si="76"/>
        <v>0</v>
      </c>
      <c r="BW58" s="27">
        <f t="shared" si="77"/>
        <v>0</v>
      </c>
      <c r="BX58" s="27">
        <f t="shared" si="56"/>
        <v>0</v>
      </c>
      <c r="BY58" s="27">
        <f t="shared" si="78"/>
        <v>0</v>
      </c>
      <c r="BZ58" s="27">
        <f t="shared" si="79"/>
        <v>0</v>
      </c>
      <c r="CA58" s="27">
        <f t="shared" si="80"/>
        <v>0</v>
      </c>
      <c r="CB58" s="27">
        <f t="shared" si="81"/>
        <v>0</v>
      </c>
      <c r="CC58" s="27">
        <f t="shared" si="82"/>
        <v>0</v>
      </c>
      <c r="CD58" s="27">
        <f t="shared" si="83"/>
        <v>0</v>
      </c>
      <c r="CE58" s="27">
        <f t="shared" si="84"/>
        <v>0</v>
      </c>
      <c r="CF58" s="27">
        <f t="shared" si="85"/>
        <v>0</v>
      </c>
      <c r="CG58" s="27">
        <f t="shared" si="86"/>
        <v>0</v>
      </c>
      <c r="CH58" s="27">
        <f t="shared" si="87"/>
        <v>0</v>
      </c>
      <c r="CI58" s="27">
        <f t="shared" si="88"/>
        <v>0</v>
      </c>
      <c r="CJ58" s="27">
        <f t="shared" si="49"/>
        <v>0</v>
      </c>
      <c r="CK58" s="27">
        <f t="shared" si="35"/>
        <v>0</v>
      </c>
      <c r="CL58" s="27">
        <f t="shared" si="36"/>
        <v>0</v>
      </c>
      <c r="CM58" s="27">
        <f t="shared" si="37"/>
        <v>0</v>
      </c>
      <c r="CN58" s="27">
        <f t="shared" si="38"/>
        <v>0</v>
      </c>
      <c r="CO58" s="27">
        <f t="shared" si="39"/>
        <v>0</v>
      </c>
      <c r="CP58" s="27">
        <f t="shared" si="40"/>
        <v>0</v>
      </c>
      <c r="CQ58" s="27">
        <f t="shared" si="41"/>
        <v>0</v>
      </c>
      <c r="CR58" s="27">
        <f t="shared" si="42"/>
        <v>0</v>
      </c>
      <c r="CS58" s="27">
        <f t="shared" si="43"/>
        <v>0</v>
      </c>
      <c r="CT58" s="27">
        <f t="shared" si="44"/>
        <v>0</v>
      </c>
      <c r="CU58" s="61">
        <f t="shared" si="45"/>
        <v>0</v>
      </c>
    </row>
    <row r="59" spans="2:99" s="27" customFormat="1" ht="11.25" hidden="1" x14ac:dyDescent="0.2">
      <c r="B59" s="60">
        <f>IF(C59=0,0,SANDBOX!D162)</f>
        <v>0</v>
      </c>
      <c r="C59" s="27">
        <f>IF(SANDBOX!G162=SB!$C$156,SANDBOX!F162,0)</f>
        <v>0</v>
      </c>
      <c r="D59" s="27" t="str">
        <f>IF(SANDBOX!I162=0,$E$45,SANDBOX!I162)</f>
        <v>Enero</v>
      </c>
      <c r="E59" s="27">
        <f t="shared" si="57"/>
        <v>0</v>
      </c>
      <c r="F59" s="27">
        <f t="shared" si="10"/>
        <v>0</v>
      </c>
      <c r="G59" s="27">
        <f t="shared" si="10"/>
        <v>0</v>
      </c>
      <c r="H59" s="27">
        <f t="shared" si="10"/>
        <v>0</v>
      </c>
      <c r="I59" s="27">
        <f t="shared" si="10"/>
        <v>0</v>
      </c>
      <c r="J59" s="27">
        <f t="shared" si="10"/>
        <v>0</v>
      </c>
      <c r="K59" s="27">
        <f t="shared" si="10"/>
        <v>0</v>
      </c>
      <c r="L59" s="27">
        <f t="shared" si="10"/>
        <v>0</v>
      </c>
      <c r="M59" s="27">
        <f t="shared" si="10"/>
        <v>0</v>
      </c>
      <c r="N59" s="27">
        <f t="shared" si="10"/>
        <v>0</v>
      </c>
      <c r="O59" s="27">
        <f t="shared" si="10"/>
        <v>0</v>
      </c>
      <c r="P59" s="27">
        <f t="shared" si="10"/>
        <v>0</v>
      </c>
      <c r="Q59" s="27">
        <f t="shared" si="58"/>
        <v>0</v>
      </c>
      <c r="R59" s="27">
        <f>IF($C59=0,0,SANDBOX!J162)</f>
        <v>0</v>
      </c>
      <c r="S59" s="27">
        <f>IF($C59=0,0,SANDBOX!K162)</f>
        <v>0</v>
      </c>
      <c r="T59" s="27">
        <f t="shared" si="59"/>
        <v>0</v>
      </c>
      <c r="U59" s="27">
        <f t="shared" si="60"/>
        <v>0</v>
      </c>
      <c r="V59" s="27">
        <f t="shared" si="60"/>
        <v>0</v>
      </c>
      <c r="W59" s="27">
        <f t="shared" si="60"/>
        <v>0</v>
      </c>
      <c r="X59" s="27">
        <f t="shared" si="60"/>
        <v>0</v>
      </c>
      <c r="Y59" s="27">
        <f t="shared" si="60"/>
        <v>0</v>
      </c>
      <c r="Z59" s="27">
        <f t="shared" si="60"/>
        <v>0</v>
      </c>
      <c r="AA59" s="27">
        <f t="shared" si="60"/>
        <v>0</v>
      </c>
      <c r="AB59" s="27">
        <f t="shared" si="60"/>
        <v>0</v>
      </c>
      <c r="AC59" s="27">
        <f t="shared" si="60"/>
        <v>0</v>
      </c>
      <c r="AD59" s="27">
        <f t="shared" si="60"/>
        <v>0</v>
      </c>
      <c r="AE59" s="27">
        <f t="shared" si="60"/>
        <v>0</v>
      </c>
      <c r="AF59" s="27">
        <f t="shared" si="60"/>
        <v>0</v>
      </c>
      <c r="AG59" s="27">
        <f t="shared" si="50"/>
        <v>0</v>
      </c>
      <c r="AH59" s="27">
        <f t="shared" si="61"/>
        <v>0</v>
      </c>
      <c r="AI59" s="27">
        <f t="shared" si="62"/>
        <v>0</v>
      </c>
      <c r="AJ59" s="27">
        <f t="shared" si="51"/>
        <v>0</v>
      </c>
      <c r="AK59" s="27">
        <f t="shared" si="52"/>
        <v>0</v>
      </c>
      <c r="AL59" s="27">
        <f t="shared" si="63"/>
        <v>0</v>
      </c>
      <c r="AM59" s="27">
        <f t="shared" si="53"/>
        <v>0</v>
      </c>
      <c r="AN59" s="27" t="str">
        <f t="shared" si="64"/>
        <v>OK</v>
      </c>
      <c r="AO59" s="27">
        <f>IF(S59=SB!$E$148,T59,0)</f>
        <v>0</v>
      </c>
      <c r="AP59" s="27">
        <f>IF(S59=SB!$E$149,T59,0)</f>
        <v>0</v>
      </c>
      <c r="AQ59" s="27">
        <f>IF($S59=SB!E$150,T59,0)</f>
        <v>0</v>
      </c>
      <c r="AR59" s="27">
        <f>IF(S59=SB!$E$151,T59,0)</f>
        <v>0</v>
      </c>
      <c r="AS59" s="27">
        <f>IF(S59=SB!$E$152,T59,0)</f>
        <v>0</v>
      </c>
      <c r="AT59" s="27">
        <f>IF(S59=SB!$E$153,T59,0)</f>
        <v>0</v>
      </c>
      <c r="AU59" s="27">
        <f>IF(S59=SB!$E$154,T59,0)</f>
        <v>0</v>
      </c>
      <c r="AV59" s="27">
        <f t="shared" si="46"/>
        <v>0</v>
      </c>
      <c r="AW59" s="27">
        <f t="shared" si="47"/>
        <v>1</v>
      </c>
      <c r="AX59" s="27">
        <f t="shared" si="65"/>
        <v>0</v>
      </c>
      <c r="AY59" s="27">
        <f t="shared" si="66"/>
        <v>0</v>
      </c>
      <c r="AZ59" s="27">
        <f t="shared" si="66"/>
        <v>0</v>
      </c>
      <c r="BA59" s="27">
        <f t="shared" si="66"/>
        <v>0</v>
      </c>
      <c r="BB59" s="27">
        <f t="shared" si="66"/>
        <v>0</v>
      </c>
      <c r="BC59" s="27">
        <f t="shared" si="66"/>
        <v>0</v>
      </c>
      <c r="BD59" s="61">
        <f t="shared" si="66"/>
        <v>0</v>
      </c>
      <c r="BE59" s="27">
        <f t="shared" si="66"/>
        <v>0</v>
      </c>
      <c r="BF59" s="27">
        <f t="shared" si="66"/>
        <v>0</v>
      </c>
      <c r="BG59" s="27">
        <f t="shared" si="66"/>
        <v>0</v>
      </c>
      <c r="BH59" s="27">
        <f t="shared" si="66"/>
        <v>0</v>
      </c>
      <c r="BI59" s="27">
        <f t="shared" si="66"/>
        <v>0</v>
      </c>
      <c r="BJ59" s="27">
        <f t="shared" si="66"/>
        <v>0</v>
      </c>
      <c r="BL59" s="27">
        <f t="shared" si="67"/>
        <v>0</v>
      </c>
      <c r="BM59" s="27">
        <f t="shared" si="68"/>
        <v>0</v>
      </c>
      <c r="BN59" s="27">
        <f t="shared" si="68"/>
        <v>0</v>
      </c>
      <c r="BO59" s="27">
        <f t="shared" si="69"/>
        <v>0</v>
      </c>
      <c r="BP59" s="27">
        <f t="shared" si="70"/>
        <v>0</v>
      </c>
      <c r="BQ59" s="27">
        <f t="shared" si="71"/>
        <v>0</v>
      </c>
      <c r="BR59" s="27">
        <f t="shared" si="72"/>
        <v>0</v>
      </c>
      <c r="BS59" s="27">
        <f t="shared" si="73"/>
        <v>0</v>
      </c>
      <c r="BT59" s="27">
        <f t="shared" si="74"/>
        <v>0</v>
      </c>
      <c r="BU59" s="27">
        <f t="shared" si="75"/>
        <v>0</v>
      </c>
      <c r="BV59" s="27">
        <f t="shared" si="76"/>
        <v>0</v>
      </c>
      <c r="BW59" s="27">
        <f t="shared" si="77"/>
        <v>0</v>
      </c>
      <c r="BX59" s="27">
        <f t="shared" si="56"/>
        <v>0</v>
      </c>
      <c r="BY59" s="27">
        <f t="shared" si="78"/>
        <v>0</v>
      </c>
      <c r="BZ59" s="27">
        <f t="shared" si="79"/>
        <v>0</v>
      </c>
      <c r="CA59" s="27">
        <f t="shared" si="80"/>
        <v>0</v>
      </c>
      <c r="CB59" s="27">
        <f t="shared" si="81"/>
        <v>0</v>
      </c>
      <c r="CC59" s="27">
        <f t="shared" si="82"/>
        <v>0</v>
      </c>
      <c r="CD59" s="27">
        <f t="shared" si="83"/>
        <v>0</v>
      </c>
      <c r="CE59" s="27">
        <f t="shared" si="84"/>
        <v>0</v>
      </c>
      <c r="CF59" s="27">
        <f t="shared" si="85"/>
        <v>0</v>
      </c>
      <c r="CG59" s="27">
        <f t="shared" si="86"/>
        <v>0</v>
      </c>
      <c r="CH59" s="27">
        <f t="shared" si="87"/>
        <v>0</v>
      </c>
      <c r="CI59" s="27">
        <f t="shared" si="88"/>
        <v>0</v>
      </c>
      <c r="CJ59" s="27">
        <f t="shared" si="49"/>
        <v>0</v>
      </c>
      <c r="CK59" s="27">
        <f t="shared" si="35"/>
        <v>0</v>
      </c>
      <c r="CL59" s="27">
        <f t="shared" si="36"/>
        <v>0</v>
      </c>
      <c r="CM59" s="27">
        <f t="shared" si="37"/>
        <v>0</v>
      </c>
      <c r="CN59" s="27">
        <f t="shared" si="38"/>
        <v>0</v>
      </c>
      <c r="CO59" s="27">
        <f t="shared" si="39"/>
        <v>0</v>
      </c>
      <c r="CP59" s="27">
        <f t="shared" si="40"/>
        <v>0</v>
      </c>
      <c r="CQ59" s="27">
        <f t="shared" si="41"/>
        <v>0</v>
      </c>
      <c r="CR59" s="27">
        <f t="shared" si="42"/>
        <v>0</v>
      </c>
      <c r="CS59" s="27">
        <f t="shared" si="43"/>
        <v>0</v>
      </c>
      <c r="CT59" s="27">
        <f t="shared" si="44"/>
        <v>0</v>
      </c>
      <c r="CU59" s="61">
        <f t="shared" si="45"/>
        <v>0</v>
      </c>
    </row>
    <row r="60" spans="2:99" s="27" customFormat="1" ht="11.25" hidden="1" x14ac:dyDescent="0.2">
      <c r="B60" s="60">
        <f>IF(C60=0,0,SANDBOX!D163)</f>
        <v>0</v>
      </c>
      <c r="C60" s="27">
        <f>IF(SANDBOX!G163=SB!$C$156,SANDBOX!F163,0)</f>
        <v>0</v>
      </c>
      <c r="D60" s="27" t="str">
        <f>IF(SANDBOX!I163=0,$E$45,SANDBOX!I163)</f>
        <v>Enero</v>
      </c>
      <c r="E60" s="27">
        <f t="shared" si="57"/>
        <v>0</v>
      </c>
      <c r="F60" s="27">
        <f t="shared" si="10"/>
        <v>0</v>
      </c>
      <c r="G60" s="27">
        <f t="shared" si="10"/>
        <v>0</v>
      </c>
      <c r="H60" s="27">
        <f t="shared" si="10"/>
        <v>0</v>
      </c>
      <c r="I60" s="27">
        <f t="shared" si="10"/>
        <v>0</v>
      </c>
      <c r="J60" s="27">
        <f t="shared" si="10"/>
        <v>0</v>
      </c>
      <c r="K60" s="27">
        <f t="shared" si="10"/>
        <v>0</v>
      </c>
      <c r="L60" s="27">
        <f t="shared" si="10"/>
        <v>0</v>
      </c>
      <c r="M60" s="27">
        <f t="shared" si="10"/>
        <v>0</v>
      </c>
      <c r="N60" s="27">
        <f t="shared" si="10"/>
        <v>0</v>
      </c>
      <c r="O60" s="27">
        <f t="shared" si="10"/>
        <v>0</v>
      </c>
      <c r="P60" s="27">
        <f t="shared" si="10"/>
        <v>0</v>
      </c>
      <c r="Q60" s="27">
        <f t="shared" si="58"/>
        <v>0</v>
      </c>
      <c r="R60" s="27">
        <f>IF($C60=0,0,SANDBOX!J163)</f>
        <v>0</v>
      </c>
      <c r="S60" s="27">
        <f>IF($C60=0,0,SANDBOX!K163)</f>
        <v>0</v>
      </c>
      <c r="T60" s="27">
        <f t="shared" si="59"/>
        <v>0</v>
      </c>
      <c r="U60" s="27">
        <f t="shared" si="60"/>
        <v>0</v>
      </c>
      <c r="V60" s="27">
        <f t="shared" si="60"/>
        <v>0</v>
      </c>
      <c r="W60" s="27">
        <f t="shared" si="60"/>
        <v>0</v>
      </c>
      <c r="X60" s="27">
        <f t="shared" si="60"/>
        <v>0</v>
      </c>
      <c r="Y60" s="27">
        <f t="shared" si="60"/>
        <v>0</v>
      </c>
      <c r="Z60" s="27">
        <f t="shared" si="60"/>
        <v>0</v>
      </c>
      <c r="AA60" s="27">
        <f t="shared" si="60"/>
        <v>0</v>
      </c>
      <c r="AB60" s="27">
        <f t="shared" si="60"/>
        <v>0</v>
      </c>
      <c r="AC60" s="27">
        <f t="shared" si="60"/>
        <v>0</v>
      </c>
      <c r="AD60" s="27">
        <f t="shared" si="60"/>
        <v>0</v>
      </c>
      <c r="AE60" s="27">
        <f t="shared" si="60"/>
        <v>0</v>
      </c>
      <c r="AF60" s="27">
        <f t="shared" si="60"/>
        <v>0</v>
      </c>
      <c r="AG60" s="27">
        <f t="shared" si="50"/>
        <v>0</v>
      </c>
      <c r="AH60" s="27">
        <f t="shared" si="61"/>
        <v>0</v>
      </c>
      <c r="AI60" s="27">
        <f t="shared" si="62"/>
        <v>0</v>
      </c>
      <c r="AJ60" s="27">
        <f t="shared" si="51"/>
        <v>0</v>
      </c>
      <c r="AK60" s="27">
        <f t="shared" si="52"/>
        <v>0</v>
      </c>
      <c r="AL60" s="27">
        <f t="shared" si="63"/>
        <v>0</v>
      </c>
      <c r="AM60" s="27">
        <f t="shared" si="53"/>
        <v>0</v>
      </c>
      <c r="AN60" s="27" t="str">
        <f t="shared" si="64"/>
        <v>OK</v>
      </c>
      <c r="AO60" s="27">
        <f>IF(S60=SB!$E$148,T60,0)</f>
        <v>0</v>
      </c>
      <c r="AP60" s="27">
        <f>IF(S60=SB!$E$149,T60,0)</f>
        <v>0</v>
      </c>
      <c r="AQ60" s="27">
        <f>IF($S60=SB!E$150,T60,0)</f>
        <v>0</v>
      </c>
      <c r="AR60" s="27">
        <f>IF(S60=SB!$E$151,T60,0)</f>
        <v>0</v>
      </c>
      <c r="AS60" s="27">
        <f>IF(S60=SB!$E$152,T60,0)</f>
        <v>0</v>
      </c>
      <c r="AT60" s="27">
        <f>IF(S60=SB!$E$153,T60,0)</f>
        <v>0</v>
      </c>
      <c r="AU60" s="27">
        <f>IF(S60=SB!$E$154,T60,0)</f>
        <v>0</v>
      </c>
      <c r="AV60" s="27">
        <f t="shared" si="46"/>
        <v>0</v>
      </c>
      <c r="AW60" s="27">
        <f t="shared" si="47"/>
        <v>1</v>
      </c>
      <c r="AX60" s="27">
        <f t="shared" si="65"/>
        <v>0</v>
      </c>
      <c r="AY60" s="27">
        <f t="shared" si="66"/>
        <v>0</v>
      </c>
      <c r="AZ60" s="27">
        <f t="shared" si="66"/>
        <v>0</v>
      </c>
      <c r="BA60" s="27">
        <f t="shared" si="66"/>
        <v>0</v>
      </c>
      <c r="BB60" s="27">
        <f t="shared" si="66"/>
        <v>0</v>
      </c>
      <c r="BC60" s="27">
        <f t="shared" si="66"/>
        <v>0</v>
      </c>
      <c r="BD60" s="61">
        <f t="shared" si="66"/>
        <v>0</v>
      </c>
      <c r="BE60" s="27">
        <f t="shared" si="66"/>
        <v>0</v>
      </c>
      <c r="BF60" s="27">
        <f t="shared" si="66"/>
        <v>0</v>
      </c>
      <c r="BG60" s="27">
        <f t="shared" si="66"/>
        <v>0</v>
      </c>
      <c r="BH60" s="27">
        <f t="shared" si="66"/>
        <v>0</v>
      </c>
      <c r="BI60" s="27">
        <f t="shared" si="66"/>
        <v>0</v>
      </c>
      <c r="BJ60" s="27">
        <f t="shared" si="66"/>
        <v>0</v>
      </c>
      <c r="BL60" s="27">
        <f t="shared" si="67"/>
        <v>0</v>
      </c>
      <c r="BM60" s="27">
        <f t="shared" si="68"/>
        <v>0</v>
      </c>
      <c r="BN60" s="27">
        <f t="shared" si="68"/>
        <v>0</v>
      </c>
      <c r="BO60" s="27">
        <f t="shared" si="69"/>
        <v>0</v>
      </c>
      <c r="BP60" s="27">
        <f t="shared" si="70"/>
        <v>0</v>
      </c>
      <c r="BQ60" s="27">
        <f t="shared" si="71"/>
        <v>0</v>
      </c>
      <c r="BR60" s="27">
        <f t="shared" si="72"/>
        <v>0</v>
      </c>
      <c r="BS60" s="27">
        <f t="shared" si="73"/>
        <v>0</v>
      </c>
      <c r="BT60" s="27">
        <f t="shared" si="74"/>
        <v>0</v>
      </c>
      <c r="BU60" s="27">
        <f t="shared" si="75"/>
        <v>0</v>
      </c>
      <c r="BV60" s="27">
        <f t="shared" si="76"/>
        <v>0</v>
      </c>
      <c r="BW60" s="27">
        <f t="shared" si="77"/>
        <v>0</v>
      </c>
      <c r="BX60" s="27">
        <f t="shared" si="56"/>
        <v>0</v>
      </c>
      <c r="BY60" s="27">
        <f t="shared" si="78"/>
        <v>0</v>
      </c>
      <c r="BZ60" s="27">
        <f t="shared" si="79"/>
        <v>0</v>
      </c>
      <c r="CA60" s="27">
        <f t="shared" si="80"/>
        <v>0</v>
      </c>
      <c r="CB60" s="27">
        <f t="shared" si="81"/>
        <v>0</v>
      </c>
      <c r="CC60" s="27">
        <f t="shared" si="82"/>
        <v>0</v>
      </c>
      <c r="CD60" s="27">
        <f t="shared" si="83"/>
        <v>0</v>
      </c>
      <c r="CE60" s="27">
        <f t="shared" si="84"/>
        <v>0</v>
      </c>
      <c r="CF60" s="27">
        <f t="shared" si="85"/>
        <v>0</v>
      </c>
      <c r="CG60" s="27">
        <f t="shared" si="86"/>
        <v>0</v>
      </c>
      <c r="CH60" s="27">
        <f t="shared" si="87"/>
        <v>0</v>
      </c>
      <c r="CI60" s="27">
        <f t="shared" si="88"/>
        <v>0</v>
      </c>
      <c r="CJ60" s="27">
        <f t="shared" si="49"/>
        <v>0</v>
      </c>
      <c r="CK60" s="27">
        <f t="shared" si="35"/>
        <v>0</v>
      </c>
      <c r="CL60" s="27">
        <f t="shared" si="36"/>
        <v>0</v>
      </c>
      <c r="CM60" s="27">
        <f t="shared" si="37"/>
        <v>0</v>
      </c>
      <c r="CN60" s="27">
        <f t="shared" si="38"/>
        <v>0</v>
      </c>
      <c r="CO60" s="27">
        <f t="shared" si="39"/>
        <v>0</v>
      </c>
      <c r="CP60" s="27">
        <f t="shared" si="40"/>
        <v>0</v>
      </c>
      <c r="CQ60" s="27">
        <f t="shared" si="41"/>
        <v>0</v>
      </c>
      <c r="CR60" s="27">
        <f t="shared" si="42"/>
        <v>0</v>
      </c>
      <c r="CS60" s="27">
        <f t="shared" si="43"/>
        <v>0</v>
      </c>
      <c r="CT60" s="27">
        <f t="shared" si="44"/>
        <v>0</v>
      </c>
      <c r="CU60" s="61">
        <f t="shared" si="45"/>
        <v>0</v>
      </c>
    </row>
    <row r="61" spans="2:99" s="27" customFormat="1" ht="11.25" hidden="1" x14ac:dyDescent="0.2">
      <c r="B61" s="60" t="str">
        <f>SANDBOX!$D157</f>
        <v>Otras instalaciones</v>
      </c>
      <c r="E61" s="27">
        <f t="shared" ref="E61:Q61" si="89">SUM(E55:E60)</f>
        <v>0</v>
      </c>
      <c r="F61" s="27">
        <f t="shared" si="89"/>
        <v>0</v>
      </c>
      <c r="G61" s="27">
        <f t="shared" si="89"/>
        <v>0</v>
      </c>
      <c r="H61" s="27">
        <f t="shared" si="89"/>
        <v>0</v>
      </c>
      <c r="I61" s="27">
        <f t="shared" si="89"/>
        <v>0</v>
      </c>
      <c r="J61" s="27">
        <f t="shared" si="89"/>
        <v>0</v>
      </c>
      <c r="K61" s="27">
        <f t="shared" si="89"/>
        <v>0</v>
      </c>
      <c r="L61" s="27">
        <f t="shared" si="89"/>
        <v>0</v>
      </c>
      <c r="M61" s="27">
        <f t="shared" si="89"/>
        <v>0</v>
      </c>
      <c r="N61" s="27">
        <f t="shared" si="89"/>
        <v>0</v>
      </c>
      <c r="O61" s="27">
        <f t="shared" si="89"/>
        <v>0</v>
      </c>
      <c r="P61" s="27">
        <f t="shared" si="89"/>
        <v>0</v>
      </c>
      <c r="Q61" s="27">
        <f t="shared" si="89"/>
        <v>0</v>
      </c>
      <c r="S61" s="27" t="str">
        <f>SANDBOX!$D$157</f>
        <v>Otras instalaciones</v>
      </c>
      <c r="U61" s="27">
        <f t="shared" ref="U61:AM61" si="90">SUM(U55:U60)</f>
        <v>0</v>
      </c>
      <c r="V61" s="27">
        <f t="shared" si="90"/>
        <v>0</v>
      </c>
      <c r="W61" s="27">
        <f t="shared" si="90"/>
        <v>0</v>
      </c>
      <c r="X61" s="27">
        <f t="shared" si="90"/>
        <v>0</v>
      </c>
      <c r="Y61" s="27">
        <f t="shared" si="90"/>
        <v>0</v>
      </c>
      <c r="Z61" s="27">
        <f t="shared" si="90"/>
        <v>0</v>
      </c>
      <c r="AA61" s="27">
        <f t="shared" si="90"/>
        <v>0</v>
      </c>
      <c r="AB61" s="27">
        <f t="shared" si="90"/>
        <v>0</v>
      </c>
      <c r="AC61" s="27">
        <f t="shared" si="90"/>
        <v>0</v>
      </c>
      <c r="AD61" s="27">
        <f t="shared" si="90"/>
        <v>0</v>
      </c>
      <c r="AE61" s="27">
        <f t="shared" si="90"/>
        <v>0</v>
      </c>
      <c r="AF61" s="27">
        <f t="shared" si="90"/>
        <v>0</v>
      </c>
      <c r="AG61" s="27">
        <f t="shared" si="90"/>
        <v>0</v>
      </c>
      <c r="AH61" s="27">
        <f t="shared" si="90"/>
        <v>0</v>
      </c>
      <c r="AI61" s="27">
        <f t="shared" si="90"/>
        <v>0</v>
      </c>
      <c r="AJ61" s="27">
        <f t="shared" si="90"/>
        <v>0</v>
      </c>
      <c r="AK61" s="27">
        <f t="shared" si="90"/>
        <v>0</v>
      </c>
      <c r="AL61" s="27">
        <f t="shared" si="90"/>
        <v>0</v>
      </c>
      <c r="AM61" s="27">
        <f t="shared" si="90"/>
        <v>0</v>
      </c>
      <c r="BD61" s="61"/>
      <c r="CU61" s="61"/>
    </row>
    <row r="62" spans="2:99" s="27" customFormat="1" ht="11.25" hidden="1" x14ac:dyDescent="0.2">
      <c r="B62" s="60">
        <f>IF(C62=0,0,SANDBOX!D165)</f>
        <v>0</v>
      </c>
      <c r="C62" s="27">
        <f>IF(SANDBOX!G165=SB!$C$156,SANDBOX!F165,0)</f>
        <v>0</v>
      </c>
      <c r="D62" s="27" t="str">
        <f>IF(SANDBOX!I165=0,$E$45,SANDBOX!I165)</f>
        <v>Enero</v>
      </c>
      <c r="E62" s="27">
        <f t="shared" ref="E62:E67" si="91">SUMIF($D62,E$45,$C62)</f>
        <v>0</v>
      </c>
      <c r="F62" s="27">
        <f t="shared" si="10"/>
        <v>0</v>
      </c>
      <c r="G62" s="27">
        <f t="shared" si="10"/>
        <v>0</v>
      </c>
      <c r="H62" s="27">
        <f t="shared" si="10"/>
        <v>0</v>
      </c>
      <c r="I62" s="27">
        <f t="shared" si="10"/>
        <v>0</v>
      </c>
      <c r="J62" s="27">
        <f t="shared" si="10"/>
        <v>0</v>
      </c>
      <c r="K62" s="27">
        <f t="shared" si="10"/>
        <v>0</v>
      </c>
      <c r="L62" s="27">
        <f t="shared" si="10"/>
        <v>0</v>
      </c>
      <c r="M62" s="27">
        <f t="shared" si="10"/>
        <v>0</v>
      </c>
      <c r="N62" s="27">
        <f t="shared" si="10"/>
        <v>0</v>
      </c>
      <c r="O62" s="27">
        <f t="shared" si="10"/>
        <v>0</v>
      </c>
      <c r="P62" s="27">
        <f t="shared" si="10"/>
        <v>0</v>
      </c>
      <c r="Q62" s="27">
        <f t="shared" ref="Q62:Q67" si="92">SUM(E62:P62)</f>
        <v>0</v>
      </c>
      <c r="R62" s="27">
        <f>IF($C62=0,0,SANDBOX!J165)</f>
        <v>0</v>
      </c>
      <c r="S62" s="27">
        <f>IF($C62=0,0,SANDBOX!K165)</f>
        <v>0</v>
      </c>
      <c r="T62" s="27">
        <f t="shared" ref="T62:T67" si="93">IF(R62=0,0,C62/R62)</f>
        <v>0</v>
      </c>
      <c r="U62" s="27">
        <f t="shared" ref="U62:AF67" si="94">IF(CJ62&lt;=0,0,BL62)</f>
        <v>0</v>
      </c>
      <c r="V62" s="27">
        <f t="shared" si="94"/>
        <v>0</v>
      </c>
      <c r="W62" s="27">
        <f t="shared" si="94"/>
        <v>0</v>
      </c>
      <c r="X62" s="27">
        <f t="shared" si="94"/>
        <v>0</v>
      </c>
      <c r="Y62" s="27">
        <f t="shared" si="94"/>
        <v>0</v>
      </c>
      <c r="Z62" s="27">
        <f t="shared" si="94"/>
        <v>0</v>
      </c>
      <c r="AA62" s="27">
        <f t="shared" si="94"/>
        <v>0</v>
      </c>
      <c r="AB62" s="27">
        <f t="shared" si="94"/>
        <v>0</v>
      </c>
      <c r="AC62" s="27">
        <f t="shared" si="94"/>
        <v>0</v>
      </c>
      <c r="AD62" s="27">
        <f t="shared" si="94"/>
        <v>0</v>
      </c>
      <c r="AE62" s="27">
        <f t="shared" si="94"/>
        <v>0</v>
      </c>
      <c r="AF62" s="27">
        <f t="shared" si="94"/>
        <v>0</v>
      </c>
      <c r="AG62" s="27">
        <f t="shared" si="50"/>
        <v>0</v>
      </c>
      <c r="AH62" s="27">
        <f t="shared" ref="AH62:AH67" si="95">+C62-AG62</f>
        <v>0</v>
      </c>
      <c r="AI62" s="27">
        <f t="shared" ref="AI62:AI67" si="96">IF($T62=0,0,AH62/$T62)</f>
        <v>0</v>
      </c>
      <c r="AJ62" s="27">
        <f t="shared" si="51"/>
        <v>0</v>
      </c>
      <c r="AK62" s="27">
        <f t="shared" si="52"/>
        <v>0</v>
      </c>
      <c r="AL62" s="27">
        <f t="shared" ref="AL62:AL67" si="97">IF($T62=0,0,AK62/$T62)</f>
        <v>0</v>
      </c>
      <c r="AM62" s="27">
        <f t="shared" si="53"/>
        <v>0</v>
      </c>
      <c r="AN62" s="27" t="str">
        <f t="shared" ref="AN62:AN67" si="98">IF(AM62+AJ62+AG62=C62,"OK","ERROR")</f>
        <v>OK</v>
      </c>
      <c r="AO62" s="27">
        <f>IF(S62=SB!$E$148,T62,0)</f>
        <v>0</v>
      </c>
      <c r="AP62" s="27">
        <f>IF(S62=SB!$E$149,T62,0)</f>
        <v>0</v>
      </c>
      <c r="AQ62" s="27">
        <f>IF($S62=SB!E$150,T62,0)</f>
        <v>0</v>
      </c>
      <c r="AR62" s="27">
        <f>IF(S62=SB!$E$151,T62,0)</f>
        <v>0</v>
      </c>
      <c r="AS62" s="27">
        <f>IF(S62=SB!$E$152,T62,0)</f>
        <v>0</v>
      </c>
      <c r="AT62" s="27">
        <f>IF(S62=SB!$E$153,T62,0)</f>
        <v>0</v>
      </c>
      <c r="AU62" s="27">
        <f>IF(S62=SB!$E$154,T62,0)</f>
        <v>0</v>
      </c>
      <c r="AV62" s="27">
        <f t="shared" si="46"/>
        <v>0</v>
      </c>
      <c r="AW62" s="27">
        <f t="shared" si="47"/>
        <v>1</v>
      </c>
      <c r="AX62" s="27">
        <f t="shared" ref="AX62:AX67" si="99">+AW62+AV62-1</f>
        <v>0</v>
      </c>
      <c r="AY62" s="27">
        <f t="shared" ref="AY62:BJ67" si="100">IF(AY$47=$AX62,$T62,0)</f>
        <v>0</v>
      </c>
      <c r="AZ62" s="27">
        <f t="shared" si="100"/>
        <v>0</v>
      </c>
      <c r="BA62" s="27">
        <f t="shared" si="100"/>
        <v>0</v>
      </c>
      <c r="BB62" s="27">
        <f t="shared" si="100"/>
        <v>0</v>
      </c>
      <c r="BC62" s="27">
        <f t="shared" si="100"/>
        <v>0</v>
      </c>
      <c r="BD62" s="61">
        <f t="shared" si="100"/>
        <v>0</v>
      </c>
      <c r="BE62" s="27">
        <f t="shared" si="100"/>
        <v>0</v>
      </c>
      <c r="BF62" s="27">
        <f t="shared" si="100"/>
        <v>0</v>
      </c>
      <c r="BG62" s="27">
        <f t="shared" si="100"/>
        <v>0</v>
      </c>
      <c r="BH62" s="27">
        <f t="shared" si="100"/>
        <v>0</v>
      </c>
      <c r="BI62" s="27">
        <f t="shared" si="100"/>
        <v>0</v>
      </c>
      <c r="BJ62" s="27">
        <f t="shared" si="100"/>
        <v>0</v>
      </c>
      <c r="BL62" s="27">
        <f t="shared" ref="BL62:BL67" si="101">+IF(AY62=0,0,AY62)</f>
        <v>0</v>
      </c>
      <c r="BM62" s="27">
        <f t="shared" ref="BM62:BN67" si="102">+IF(AZ62=0,BL62,AZ62)</f>
        <v>0</v>
      </c>
      <c r="BN62" s="27">
        <f t="shared" si="102"/>
        <v>0</v>
      </c>
      <c r="BO62" s="27">
        <f t="shared" ref="BO62:BO67" si="103">+IF(BB62=0,BN62,BB62)</f>
        <v>0</v>
      </c>
      <c r="BP62" s="27">
        <f t="shared" ref="BP62:BP67" si="104">+IF(BC62=0,BO62,BC62)</f>
        <v>0</v>
      </c>
      <c r="BQ62" s="27">
        <f t="shared" ref="BQ62:BQ67" si="105">+IF(BD62=0,BP62,BD62)</f>
        <v>0</v>
      </c>
      <c r="BR62" s="27">
        <f t="shared" ref="BR62:BR67" si="106">+IF(BE62=0,BQ62,BE62)</f>
        <v>0</v>
      </c>
      <c r="BS62" s="27">
        <f t="shared" ref="BS62:BS67" si="107">+IF(BF62=0,BR62,BF62)</f>
        <v>0</v>
      </c>
      <c r="BT62" s="27">
        <f t="shared" ref="BT62:BT67" si="108">+IF(BG62=0,BS62,BG62)</f>
        <v>0</v>
      </c>
      <c r="BU62" s="27">
        <f t="shared" ref="BU62:BU67" si="109">+IF(BH62=0,BT62,BH62)</f>
        <v>0</v>
      </c>
      <c r="BV62" s="27">
        <f t="shared" ref="BV62:BV67" si="110">+IF(BI62=0,BU62,BI62)</f>
        <v>0</v>
      </c>
      <c r="BW62" s="27">
        <f t="shared" ref="BW62:BW67" si="111">+IF(BJ62=0,BV62,BJ62)</f>
        <v>0</v>
      </c>
      <c r="BX62" s="27">
        <f t="shared" ref="BX62:BX67" si="112">+E62</f>
        <v>0</v>
      </c>
      <c r="BY62" s="27">
        <f t="shared" ref="BY62:BY67" si="113">IF(BX62=0,F62,BX62-BL62)</f>
        <v>0</v>
      </c>
      <c r="BZ62" s="27">
        <f t="shared" ref="BZ62:BZ67" si="114">IF(BY62=0,G62,BY62-BM62)</f>
        <v>0</v>
      </c>
      <c r="CA62" s="27">
        <f t="shared" ref="CA62:CA67" si="115">IF(BZ62=0,H62,BZ62-BN62)</f>
        <v>0</v>
      </c>
      <c r="CB62" s="27">
        <f t="shared" ref="CB62:CB67" si="116">IF(CA62=0,I62,CA62-BO62)</f>
        <v>0</v>
      </c>
      <c r="CC62" s="27">
        <f t="shared" ref="CC62:CC67" si="117">IF(CB62=0,J62,CB62-BP62)</f>
        <v>0</v>
      </c>
      <c r="CD62" s="27">
        <f t="shared" ref="CD62:CD67" si="118">IF(CC62=0,K62,CC62-BQ62)</f>
        <v>0</v>
      </c>
      <c r="CE62" s="27">
        <f t="shared" ref="CE62:CE67" si="119">IF(CD62=0,L62,CD62-BR62)</f>
        <v>0</v>
      </c>
      <c r="CF62" s="27">
        <f t="shared" ref="CF62:CF67" si="120">IF(CE62=0,M62,CE62-BS62)</f>
        <v>0</v>
      </c>
      <c r="CG62" s="27">
        <f t="shared" ref="CG62:CG67" si="121">IF(CF62=0,N62,CF62-BT62)</f>
        <v>0</v>
      </c>
      <c r="CH62" s="27">
        <f t="shared" ref="CH62:CH67" si="122">IF(CG62=0,O62,CG62-BU62)</f>
        <v>0</v>
      </c>
      <c r="CI62" s="27">
        <f t="shared" ref="CI62:CI67" si="123">IF(CH62=0,P62,CH62-BV62)</f>
        <v>0</v>
      </c>
      <c r="CJ62" s="27">
        <f t="shared" si="49"/>
        <v>0</v>
      </c>
      <c r="CK62" s="27">
        <f t="shared" si="35"/>
        <v>0</v>
      </c>
      <c r="CL62" s="27">
        <f t="shared" si="36"/>
        <v>0</v>
      </c>
      <c r="CM62" s="27">
        <f t="shared" si="37"/>
        <v>0</v>
      </c>
      <c r="CN62" s="27">
        <f t="shared" si="38"/>
        <v>0</v>
      </c>
      <c r="CO62" s="27">
        <f t="shared" si="39"/>
        <v>0</v>
      </c>
      <c r="CP62" s="27">
        <f t="shared" si="40"/>
        <v>0</v>
      </c>
      <c r="CQ62" s="27">
        <f t="shared" si="41"/>
        <v>0</v>
      </c>
      <c r="CR62" s="27">
        <f t="shared" si="42"/>
        <v>0</v>
      </c>
      <c r="CS62" s="27">
        <f t="shared" si="43"/>
        <v>0</v>
      </c>
      <c r="CT62" s="27">
        <f t="shared" si="44"/>
        <v>0</v>
      </c>
      <c r="CU62" s="61">
        <f t="shared" si="45"/>
        <v>0</v>
      </c>
    </row>
    <row r="63" spans="2:99" s="27" customFormat="1" ht="11.25" hidden="1" x14ac:dyDescent="0.2">
      <c r="B63" s="60">
        <f>IF(C63=0,0,SANDBOX!D166)</f>
        <v>0</v>
      </c>
      <c r="C63" s="27">
        <f>IF(SANDBOX!G166=SB!$C$156,SANDBOX!F166,0)</f>
        <v>0</v>
      </c>
      <c r="D63" s="27" t="str">
        <f>IF(SANDBOX!I166=0,$E$45,SANDBOX!I166)</f>
        <v>Enero</v>
      </c>
      <c r="E63" s="27">
        <f t="shared" si="91"/>
        <v>0</v>
      </c>
      <c r="F63" s="27">
        <f t="shared" si="10"/>
        <v>0</v>
      </c>
      <c r="G63" s="27">
        <f t="shared" si="10"/>
        <v>0</v>
      </c>
      <c r="H63" s="27">
        <f t="shared" si="10"/>
        <v>0</v>
      </c>
      <c r="I63" s="27">
        <f t="shared" si="10"/>
        <v>0</v>
      </c>
      <c r="J63" s="27">
        <f t="shared" si="10"/>
        <v>0</v>
      </c>
      <c r="K63" s="27">
        <f t="shared" si="10"/>
        <v>0</v>
      </c>
      <c r="L63" s="27">
        <f t="shared" si="10"/>
        <v>0</v>
      </c>
      <c r="M63" s="27">
        <f t="shared" si="10"/>
        <v>0</v>
      </c>
      <c r="N63" s="27">
        <f t="shared" si="10"/>
        <v>0</v>
      </c>
      <c r="O63" s="27">
        <f t="shared" si="10"/>
        <v>0</v>
      </c>
      <c r="P63" s="27">
        <f t="shared" si="10"/>
        <v>0</v>
      </c>
      <c r="Q63" s="27">
        <f t="shared" si="92"/>
        <v>0</v>
      </c>
      <c r="R63" s="27">
        <f>IF($C63=0,0,SANDBOX!J166)</f>
        <v>0</v>
      </c>
      <c r="S63" s="27">
        <f>IF($C63=0,0,SANDBOX!K166)</f>
        <v>0</v>
      </c>
      <c r="T63" s="27">
        <f t="shared" si="93"/>
        <v>0</v>
      </c>
      <c r="U63" s="27">
        <f t="shared" si="94"/>
        <v>0</v>
      </c>
      <c r="V63" s="27">
        <f t="shared" si="94"/>
        <v>0</v>
      </c>
      <c r="W63" s="27">
        <f t="shared" si="94"/>
        <v>0</v>
      </c>
      <c r="X63" s="27">
        <f t="shared" si="94"/>
        <v>0</v>
      </c>
      <c r="Y63" s="27">
        <f t="shared" si="94"/>
        <v>0</v>
      </c>
      <c r="Z63" s="27">
        <f t="shared" si="94"/>
        <v>0</v>
      </c>
      <c r="AA63" s="27">
        <f t="shared" si="94"/>
        <v>0</v>
      </c>
      <c r="AB63" s="27">
        <f t="shared" si="94"/>
        <v>0</v>
      </c>
      <c r="AC63" s="27">
        <f t="shared" si="94"/>
        <v>0</v>
      </c>
      <c r="AD63" s="27">
        <f t="shared" si="94"/>
        <v>0</v>
      </c>
      <c r="AE63" s="27">
        <f t="shared" si="94"/>
        <v>0</v>
      </c>
      <c r="AF63" s="27">
        <f t="shared" si="94"/>
        <v>0</v>
      </c>
      <c r="AG63" s="27">
        <f t="shared" si="50"/>
        <v>0</v>
      </c>
      <c r="AH63" s="27">
        <f t="shared" si="95"/>
        <v>0</v>
      </c>
      <c r="AI63" s="27">
        <f t="shared" si="96"/>
        <v>0</v>
      </c>
      <c r="AJ63" s="27">
        <f t="shared" si="51"/>
        <v>0</v>
      </c>
      <c r="AK63" s="27">
        <f t="shared" si="52"/>
        <v>0</v>
      </c>
      <c r="AL63" s="27">
        <f t="shared" si="97"/>
        <v>0</v>
      </c>
      <c r="AM63" s="27">
        <f t="shared" si="53"/>
        <v>0</v>
      </c>
      <c r="AN63" s="27" t="str">
        <f t="shared" si="98"/>
        <v>OK</v>
      </c>
      <c r="AO63" s="27">
        <f>IF(S63=SB!$E$148,T63,0)</f>
        <v>0</v>
      </c>
      <c r="AP63" s="27">
        <f>IF(S63=SB!$E$149,T63,0)</f>
        <v>0</v>
      </c>
      <c r="AQ63" s="27">
        <f>IF($S63=SB!E$150,T63,0)</f>
        <v>0</v>
      </c>
      <c r="AR63" s="27">
        <f>IF(S63=SB!$E$151,T63,0)</f>
        <v>0</v>
      </c>
      <c r="AS63" s="27">
        <f>IF(S63=SB!$E$152,T63,0)</f>
        <v>0</v>
      </c>
      <c r="AT63" s="27">
        <f>IF(S63=SB!$E$153,T63,0)</f>
        <v>0</v>
      </c>
      <c r="AU63" s="27">
        <f>IF(S63=SB!$E$154,T63,0)</f>
        <v>0</v>
      </c>
      <c r="AV63" s="27">
        <f t="shared" si="46"/>
        <v>0</v>
      </c>
      <c r="AW63" s="27">
        <f t="shared" si="47"/>
        <v>1</v>
      </c>
      <c r="AX63" s="27">
        <f t="shared" si="99"/>
        <v>0</v>
      </c>
      <c r="AY63" s="27">
        <f t="shared" si="100"/>
        <v>0</v>
      </c>
      <c r="AZ63" s="27">
        <f t="shared" si="100"/>
        <v>0</v>
      </c>
      <c r="BA63" s="27">
        <f t="shared" si="100"/>
        <v>0</v>
      </c>
      <c r="BB63" s="27">
        <f t="shared" si="100"/>
        <v>0</v>
      </c>
      <c r="BC63" s="27">
        <f t="shared" si="100"/>
        <v>0</v>
      </c>
      <c r="BD63" s="61">
        <f t="shared" si="100"/>
        <v>0</v>
      </c>
      <c r="BE63" s="27">
        <f t="shared" si="100"/>
        <v>0</v>
      </c>
      <c r="BF63" s="27">
        <f t="shared" si="100"/>
        <v>0</v>
      </c>
      <c r="BG63" s="27">
        <f t="shared" si="100"/>
        <v>0</v>
      </c>
      <c r="BH63" s="27">
        <f t="shared" si="100"/>
        <v>0</v>
      </c>
      <c r="BI63" s="27">
        <f t="shared" si="100"/>
        <v>0</v>
      </c>
      <c r="BJ63" s="27">
        <f t="shared" si="100"/>
        <v>0</v>
      </c>
      <c r="BL63" s="27">
        <f t="shared" si="101"/>
        <v>0</v>
      </c>
      <c r="BM63" s="27">
        <f t="shared" si="102"/>
        <v>0</v>
      </c>
      <c r="BN63" s="27">
        <f t="shared" si="102"/>
        <v>0</v>
      </c>
      <c r="BO63" s="27">
        <f t="shared" si="103"/>
        <v>0</v>
      </c>
      <c r="BP63" s="27">
        <f t="shared" si="104"/>
        <v>0</v>
      </c>
      <c r="BQ63" s="27">
        <f t="shared" si="105"/>
        <v>0</v>
      </c>
      <c r="BR63" s="27">
        <f t="shared" si="106"/>
        <v>0</v>
      </c>
      <c r="BS63" s="27">
        <f t="shared" si="107"/>
        <v>0</v>
      </c>
      <c r="BT63" s="27">
        <f t="shared" si="108"/>
        <v>0</v>
      </c>
      <c r="BU63" s="27">
        <f t="shared" si="109"/>
        <v>0</v>
      </c>
      <c r="BV63" s="27">
        <f t="shared" si="110"/>
        <v>0</v>
      </c>
      <c r="BW63" s="27">
        <f t="shared" si="111"/>
        <v>0</v>
      </c>
      <c r="BX63" s="27">
        <f t="shared" si="112"/>
        <v>0</v>
      </c>
      <c r="BY63" s="27">
        <f t="shared" si="113"/>
        <v>0</v>
      </c>
      <c r="BZ63" s="27">
        <f t="shared" si="114"/>
        <v>0</v>
      </c>
      <c r="CA63" s="27">
        <f t="shared" si="115"/>
        <v>0</v>
      </c>
      <c r="CB63" s="27">
        <f t="shared" si="116"/>
        <v>0</v>
      </c>
      <c r="CC63" s="27">
        <f t="shared" si="117"/>
        <v>0</v>
      </c>
      <c r="CD63" s="27">
        <f t="shared" si="118"/>
        <v>0</v>
      </c>
      <c r="CE63" s="27">
        <f t="shared" si="119"/>
        <v>0</v>
      </c>
      <c r="CF63" s="27">
        <f t="shared" si="120"/>
        <v>0</v>
      </c>
      <c r="CG63" s="27">
        <f t="shared" si="121"/>
        <v>0</v>
      </c>
      <c r="CH63" s="27">
        <f t="shared" si="122"/>
        <v>0</v>
      </c>
      <c r="CI63" s="27">
        <f t="shared" si="123"/>
        <v>0</v>
      </c>
      <c r="CJ63" s="27">
        <f t="shared" si="49"/>
        <v>0</v>
      </c>
      <c r="CK63" s="27">
        <f t="shared" si="35"/>
        <v>0</v>
      </c>
      <c r="CL63" s="27">
        <f t="shared" si="36"/>
        <v>0</v>
      </c>
      <c r="CM63" s="27">
        <f t="shared" si="37"/>
        <v>0</v>
      </c>
      <c r="CN63" s="27">
        <f t="shared" si="38"/>
        <v>0</v>
      </c>
      <c r="CO63" s="27">
        <f t="shared" si="39"/>
        <v>0</v>
      </c>
      <c r="CP63" s="27">
        <f t="shared" si="40"/>
        <v>0</v>
      </c>
      <c r="CQ63" s="27">
        <f t="shared" si="41"/>
        <v>0</v>
      </c>
      <c r="CR63" s="27">
        <f t="shared" si="42"/>
        <v>0</v>
      </c>
      <c r="CS63" s="27">
        <f t="shared" si="43"/>
        <v>0</v>
      </c>
      <c r="CT63" s="27">
        <f t="shared" si="44"/>
        <v>0</v>
      </c>
      <c r="CU63" s="61">
        <f t="shared" si="45"/>
        <v>0</v>
      </c>
    </row>
    <row r="64" spans="2:99" s="27" customFormat="1" ht="11.25" hidden="1" x14ac:dyDescent="0.2">
      <c r="B64" s="60">
        <f>IF(C64=0,0,SANDBOX!D167)</f>
        <v>0</v>
      </c>
      <c r="C64" s="27">
        <f>IF(SANDBOX!G167=SB!$C$156,SANDBOX!F167,0)</f>
        <v>0</v>
      </c>
      <c r="D64" s="27" t="str">
        <f>IF(SANDBOX!I167=0,$E$45,SANDBOX!I167)</f>
        <v>Enero</v>
      </c>
      <c r="E64" s="27">
        <f t="shared" si="91"/>
        <v>0</v>
      </c>
      <c r="F64" s="27">
        <f t="shared" ref="F64:P67" si="124">SUMIF($D64,F$45,$C64)</f>
        <v>0</v>
      </c>
      <c r="G64" s="27">
        <f t="shared" si="124"/>
        <v>0</v>
      </c>
      <c r="H64" s="27">
        <f t="shared" si="124"/>
        <v>0</v>
      </c>
      <c r="I64" s="27">
        <f t="shared" si="124"/>
        <v>0</v>
      </c>
      <c r="J64" s="27">
        <f t="shared" si="124"/>
        <v>0</v>
      </c>
      <c r="K64" s="27">
        <f t="shared" si="124"/>
        <v>0</v>
      </c>
      <c r="L64" s="27">
        <f t="shared" si="124"/>
        <v>0</v>
      </c>
      <c r="M64" s="27">
        <f t="shared" si="124"/>
        <v>0</v>
      </c>
      <c r="N64" s="27">
        <f t="shared" si="124"/>
        <v>0</v>
      </c>
      <c r="O64" s="27">
        <f t="shared" si="124"/>
        <v>0</v>
      </c>
      <c r="P64" s="27">
        <f t="shared" si="124"/>
        <v>0</v>
      </c>
      <c r="Q64" s="27">
        <f t="shared" si="92"/>
        <v>0</v>
      </c>
      <c r="R64" s="27">
        <f>IF($C64=0,0,SANDBOX!J167)</f>
        <v>0</v>
      </c>
      <c r="S64" s="27">
        <f>IF($C64=0,0,SANDBOX!K167)</f>
        <v>0</v>
      </c>
      <c r="T64" s="27">
        <f t="shared" si="93"/>
        <v>0</v>
      </c>
      <c r="U64" s="27">
        <f t="shared" si="94"/>
        <v>0</v>
      </c>
      <c r="V64" s="27">
        <f t="shared" si="94"/>
        <v>0</v>
      </c>
      <c r="W64" s="27">
        <f t="shared" si="94"/>
        <v>0</v>
      </c>
      <c r="X64" s="27">
        <f t="shared" si="94"/>
        <v>0</v>
      </c>
      <c r="Y64" s="27">
        <f t="shared" si="94"/>
        <v>0</v>
      </c>
      <c r="Z64" s="27">
        <f t="shared" si="94"/>
        <v>0</v>
      </c>
      <c r="AA64" s="27">
        <f t="shared" si="94"/>
        <v>0</v>
      </c>
      <c r="AB64" s="27">
        <f t="shared" si="94"/>
        <v>0</v>
      </c>
      <c r="AC64" s="27">
        <f t="shared" si="94"/>
        <v>0</v>
      </c>
      <c r="AD64" s="27">
        <f t="shared" si="94"/>
        <v>0</v>
      </c>
      <c r="AE64" s="27">
        <f t="shared" si="94"/>
        <v>0</v>
      </c>
      <c r="AF64" s="27">
        <f t="shared" si="94"/>
        <v>0</v>
      </c>
      <c r="AG64" s="27">
        <f t="shared" si="50"/>
        <v>0</v>
      </c>
      <c r="AH64" s="27">
        <f t="shared" si="95"/>
        <v>0</v>
      </c>
      <c r="AI64" s="27">
        <f t="shared" si="96"/>
        <v>0</v>
      </c>
      <c r="AJ64" s="27">
        <f t="shared" si="51"/>
        <v>0</v>
      </c>
      <c r="AK64" s="27">
        <f t="shared" si="52"/>
        <v>0</v>
      </c>
      <c r="AL64" s="27">
        <f t="shared" si="97"/>
        <v>0</v>
      </c>
      <c r="AM64" s="27">
        <f t="shared" si="53"/>
        <v>0</v>
      </c>
      <c r="AN64" s="27" t="str">
        <f t="shared" si="98"/>
        <v>OK</v>
      </c>
      <c r="AO64" s="27">
        <f>IF(S64=SB!$E$148,T64,0)</f>
        <v>0</v>
      </c>
      <c r="AP64" s="27">
        <f>IF(S64=SB!$E$149,T64,0)</f>
        <v>0</v>
      </c>
      <c r="AQ64" s="27">
        <f>IF($S64=SB!E$150,T64,0)</f>
        <v>0</v>
      </c>
      <c r="AR64" s="27">
        <f>IF(S64=SB!$E$151,T64,0)</f>
        <v>0</v>
      </c>
      <c r="AS64" s="27">
        <f>IF(S64=SB!$E$152,T64,0)</f>
        <v>0</v>
      </c>
      <c r="AT64" s="27">
        <f>IF(S64=SB!$E$153,T64,0)</f>
        <v>0</v>
      </c>
      <c r="AU64" s="27">
        <f>IF(S64=SB!$E$154,T64,0)</f>
        <v>0</v>
      </c>
      <c r="AV64" s="27">
        <f t="shared" si="46"/>
        <v>0</v>
      </c>
      <c r="AW64" s="27">
        <f t="shared" si="47"/>
        <v>1</v>
      </c>
      <c r="AX64" s="27">
        <f t="shared" si="99"/>
        <v>0</v>
      </c>
      <c r="AY64" s="27">
        <f t="shared" si="100"/>
        <v>0</v>
      </c>
      <c r="AZ64" s="27">
        <f t="shared" si="100"/>
        <v>0</v>
      </c>
      <c r="BA64" s="27">
        <f t="shared" si="100"/>
        <v>0</v>
      </c>
      <c r="BB64" s="27">
        <f t="shared" si="100"/>
        <v>0</v>
      </c>
      <c r="BC64" s="27">
        <f t="shared" si="100"/>
        <v>0</v>
      </c>
      <c r="BD64" s="61">
        <f t="shared" si="100"/>
        <v>0</v>
      </c>
      <c r="BE64" s="27">
        <f t="shared" si="100"/>
        <v>0</v>
      </c>
      <c r="BF64" s="27">
        <f t="shared" si="100"/>
        <v>0</v>
      </c>
      <c r="BG64" s="27">
        <f t="shared" si="100"/>
        <v>0</v>
      </c>
      <c r="BH64" s="27">
        <f t="shared" si="100"/>
        <v>0</v>
      </c>
      <c r="BI64" s="27">
        <f t="shared" si="100"/>
        <v>0</v>
      </c>
      <c r="BJ64" s="27">
        <f t="shared" si="100"/>
        <v>0</v>
      </c>
      <c r="BL64" s="27">
        <f t="shared" si="101"/>
        <v>0</v>
      </c>
      <c r="BM64" s="27">
        <f t="shared" si="102"/>
        <v>0</v>
      </c>
      <c r="BN64" s="27">
        <f t="shared" si="102"/>
        <v>0</v>
      </c>
      <c r="BO64" s="27">
        <f t="shared" si="103"/>
        <v>0</v>
      </c>
      <c r="BP64" s="27">
        <f t="shared" si="104"/>
        <v>0</v>
      </c>
      <c r="BQ64" s="27">
        <f t="shared" si="105"/>
        <v>0</v>
      </c>
      <c r="BR64" s="27">
        <f t="shared" si="106"/>
        <v>0</v>
      </c>
      <c r="BS64" s="27">
        <f t="shared" si="107"/>
        <v>0</v>
      </c>
      <c r="BT64" s="27">
        <f t="shared" si="108"/>
        <v>0</v>
      </c>
      <c r="BU64" s="27">
        <f t="shared" si="109"/>
        <v>0</v>
      </c>
      <c r="BV64" s="27">
        <f t="shared" si="110"/>
        <v>0</v>
      </c>
      <c r="BW64" s="27">
        <f t="shared" si="111"/>
        <v>0</v>
      </c>
      <c r="BX64" s="27">
        <f t="shared" si="112"/>
        <v>0</v>
      </c>
      <c r="BY64" s="27">
        <f t="shared" si="113"/>
        <v>0</v>
      </c>
      <c r="BZ64" s="27">
        <f t="shared" si="114"/>
        <v>0</v>
      </c>
      <c r="CA64" s="27">
        <f t="shared" si="115"/>
        <v>0</v>
      </c>
      <c r="CB64" s="27">
        <f t="shared" si="116"/>
        <v>0</v>
      </c>
      <c r="CC64" s="27">
        <f t="shared" si="117"/>
        <v>0</v>
      </c>
      <c r="CD64" s="27">
        <f t="shared" si="118"/>
        <v>0</v>
      </c>
      <c r="CE64" s="27">
        <f t="shared" si="119"/>
        <v>0</v>
      </c>
      <c r="CF64" s="27">
        <f t="shared" si="120"/>
        <v>0</v>
      </c>
      <c r="CG64" s="27">
        <f t="shared" si="121"/>
        <v>0</v>
      </c>
      <c r="CH64" s="27">
        <f t="shared" si="122"/>
        <v>0</v>
      </c>
      <c r="CI64" s="27">
        <f t="shared" si="123"/>
        <v>0</v>
      </c>
      <c r="CJ64" s="27">
        <f t="shared" si="49"/>
        <v>0</v>
      </c>
      <c r="CK64" s="27">
        <f t="shared" si="35"/>
        <v>0</v>
      </c>
      <c r="CL64" s="27">
        <f t="shared" si="36"/>
        <v>0</v>
      </c>
      <c r="CM64" s="27">
        <f t="shared" si="37"/>
        <v>0</v>
      </c>
      <c r="CN64" s="27">
        <f t="shared" si="38"/>
        <v>0</v>
      </c>
      <c r="CO64" s="27">
        <f t="shared" si="39"/>
        <v>0</v>
      </c>
      <c r="CP64" s="27">
        <f t="shared" si="40"/>
        <v>0</v>
      </c>
      <c r="CQ64" s="27">
        <f t="shared" si="41"/>
        <v>0</v>
      </c>
      <c r="CR64" s="27">
        <f t="shared" si="42"/>
        <v>0</v>
      </c>
      <c r="CS64" s="27">
        <f t="shared" si="43"/>
        <v>0</v>
      </c>
      <c r="CT64" s="27">
        <f t="shared" si="44"/>
        <v>0</v>
      </c>
      <c r="CU64" s="61">
        <f t="shared" si="45"/>
        <v>0</v>
      </c>
    </row>
    <row r="65" spans="2:99" s="27" customFormat="1" ht="11.25" hidden="1" x14ac:dyDescent="0.2">
      <c r="B65" s="60">
        <f>IF(C65=0,0,SANDBOX!D168)</f>
        <v>0</v>
      </c>
      <c r="C65" s="27">
        <f>IF(SANDBOX!G168=SB!$C$156,SANDBOX!F168,0)</f>
        <v>0</v>
      </c>
      <c r="D65" s="27" t="str">
        <f>IF(SANDBOX!I168=0,$E$45,SANDBOX!I168)</f>
        <v>Enero</v>
      </c>
      <c r="E65" s="27">
        <f t="shared" si="91"/>
        <v>0</v>
      </c>
      <c r="F65" s="27">
        <f t="shared" si="124"/>
        <v>0</v>
      </c>
      <c r="G65" s="27">
        <f t="shared" si="124"/>
        <v>0</v>
      </c>
      <c r="H65" s="27">
        <f t="shared" si="124"/>
        <v>0</v>
      </c>
      <c r="I65" s="27">
        <f t="shared" si="124"/>
        <v>0</v>
      </c>
      <c r="J65" s="27">
        <f t="shared" si="124"/>
        <v>0</v>
      </c>
      <c r="K65" s="27">
        <f t="shared" si="124"/>
        <v>0</v>
      </c>
      <c r="L65" s="27">
        <f t="shared" si="124"/>
        <v>0</v>
      </c>
      <c r="M65" s="27">
        <f t="shared" si="124"/>
        <v>0</v>
      </c>
      <c r="N65" s="27">
        <f t="shared" si="124"/>
        <v>0</v>
      </c>
      <c r="O65" s="27">
        <f t="shared" si="124"/>
        <v>0</v>
      </c>
      <c r="P65" s="27">
        <f t="shared" si="124"/>
        <v>0</v>
      </c>
      <c r="Q65" s="27">
        <f t="shared" si="92"/>
        <v>0</v>
      </c>
      <c r="R65" s="27">
        <f>IF($C65=0,0,SANDBOX!J168)</f>
        <v>0</v>
      </c>
      <c r="S65" s="27">
        <f>IF($C65=0,0,SANDBOX!K168)</f>
        <v>0</v>
      </c>
      <c r="T65" s="27">
        <f t="shared" si="93"/>
        <v>0</v>
      </c>
      <c r="U65" s="27">
        <f t="shared" si="94"/>
        <v>0</v>
      </c>
      <c r="V65" s="27">
        <f t="shared" si="94"/>
        <v>0</v>
      </c>
      <c r="W65" s="27">
        <f t="shared" si="94"/>
        <v>0</v>
      </c>
      <c r="X65" s="27">
        <f t="shared" si="94"/>
        <v>0</v>
      </c>
      <c r="Y65" s="27">
        <f t="shared" si="94"/>
        <v>0</v>
      </c>
      <c r="Z65" s="27">
        <f t="shared" si="94"/>
        <v>0</v>
      </c>
      <c r="AA65" s="27">
        <f t="shared" si="94"/>
        <v>0</v>
      </c>
      <c r="AB65" s="27">
        <f t="shared" si="94"/>
        <v>0</v>
      </c>
      <c r="AC65" s="27">
        <f t="shared" si="94"/>
        <v>0</v>
      </c>
      <c r="AD65" s="27">
        <f t="shared" si="94"/>
        <v>0</v>
      </c>
      <c r="AE65" s="27">
        <f t="shared" si="94"/>
        <v>0</v>
      </c>
      <c r="AF65" s="27">
        <f t="shared" si="94"/>
        <v>0</v>
      </c>
      <c r="AG65" s="27">
        <f t="shared" si="50"/>
        <v>0</v>
      </c>
      <c r="AH65" s="27">
        <f t="shared" si="95"/>
        <v>0</v>
      </c>
      <c r="AI65" s="27">
        <f t="shared" si="96"/>
        <v>0</v>
      </c>
      <c r="AJ65" s="27">
        <f t="shared" si="51"/>
        <v>0</v>
      </c>
      <c r="AK65" s="27">
        <f t="shared" si="52"/>
        <v>0</v>
      </c>
      <c r="AL65" s="27">
        <f t="shared" si="97"/>
        <v>0</v>
      </c>
      <c r="AM65" s="27">
        <f t="shared" si="53"/>
        <v>0</v>
      </c>
      <c r="AN65" s="27" t="str">
        <f t="shared" si="98"/>
        <v>OK</v>
      </c>
      <c r="AO65" s="27">
        <f>IF(S65=SB!$E$148,T65,0)</f>
        <v>0</v>
      </c>
      <c r="AP65" s="27">
        <f>IF(S65=SB!$E$149,T65,0)</f>
        <v>0</v>
      </c>
      <c r="AQ65" s="27">
        <f>IF($S65=SB!E$150,T65,0)</f>
        <v>0</v>
      </c>
      <c r="AR65" s="27">
        <f>IF(S65=SB!$E$151,T65,0)</f>
        <v>0</v>
      </c>
      <c r="AS65" s="27">
        <f>IF(S65=SB!$E$152,T65,0)</f>
        <v>0</v>
      </c>
      <c r="AT65" s="27">
        <f>IF(S65=SB!$E$153,T65,0)</f>
        <v>0</v>
      </c>
      <c r="AU65" s="27">
        <f>IF(S65=SB!$E$154,T65,0)</f>
        <v>0</v>
      </c>
      <c r="AV65" s="27">
        <f t="shared" si="46"/>
        <v>0</v>
      </c>
      <c r="AW65" s="27">
        <f t="shared" si="47"/>
        <v>1</v>
      </c>
      <c r="AX65" s="27">
        <f t="shared" si="99"/>
        <v>0</v>
      </c>
      <c r="AY65" s="27">
        <f t="shared" si="100"/>
        <v>0</v>
      </c>
      <c r="AZ65" s="27">
        <f t="shared" si="100"/>
        <v>0</v>
      </c>
      <c r="BA65" s="27">
        <f t="shared" si="100"/>
        <v>0</v>
      </c>
      <c r="BB65" s="27">
        <f t="shared" si="100"/>
        <v>0</v>
      </c>
      <c r="BC65" s="27">
        <f t="shared" si="100"/>
        <v>0</v>
      </c>
      <c r="BD65" s="61">
        <f t="shared" si="100"/>
        <v>0</v>
      </c>
      <c r="BE65" s="27">
        <f t="shared" si="100"/>
        <v>0</v>
      </c>
      <c r="BF65" s="27">
        <f t="shared" si="100"/>
        <v>0</v>
      </c>
      <c r="BG65" s="27">
        <f t="shared" si="100"/>
        <v>0</v>
      </c>
      <c r="BH65" s="27">
        <f t="shared" si="100"/>
        <v>0</v>
      </c>
      <c r="BI65" s="27">
        <f t="shared" si="100"/>
        <v>0</v>
      </c>
      <c r="BJ65" s="27">
        <f t="shared" si="100"/>
        <v>0</v>
      </c>
      <c r="BL65" s="27">
        <f t="shared" si="101"/>
        <v>0</v>
      </c>
      <c r="BM65" s="27">
        <f t="shared" si="102"/>
        <v>0</v>
      </c>
      <c r="BN65" s="27">
        <f t="shared" si="102"/>
        <v>0</v>
      </c>
      <c r="BO65" s="27">
        <f t="shared" si="103"/>
        <v>0</v>
      </c>
      <c r="BP65" s="27">
        <f t="shared" si="104"/>
        <v>0</v>
      </c>
      <c r="BQ65" s="27">
        <f t="shared" si="105"/>
        <v>0</v>
      </c>
      <c r="BR65" s="27">
        <f t="shared" si="106"/>
        <v>0</v>
      </c>
      <c r="BS65" s="27">
        <f t="shared" si="107"/>
        <v>0</v>
      </c>
      <c r="BT65" s="27">
        <f t="shared" si="108"/>
        <v>0</v>
      </c>
      <c r="BU65" s="27">
        <f t="shared" si="109"/>
        <v>0</v>
      </c>
      <c r="BV65" s="27">
        <f t="shared" si="110"/>
        <v>0</v>
      </c>
      <c r="BW65" s="27">
        <f t="shared" si="111"/>
        <v>0</v>
      </c>
      <c r="BX65" s="27">
        <f t="shared" si="112"/>
        <v>0</v>
      </c>
      <c r="BY65" s="27">
        <f t="shared" si="113"/>
        <v>0</v>
      </c>
      <c r="BZ65" s="27">
        <f t="shared" si="114"/>
        <v>0</v>
      </c>
      <c r="CA65" s="27">
        <f t="shared" si="115"/>
        <v>0</v>
      </c>
      <c r="CB65" s="27">
        <f t="shared" si="116"/>
        <v>0</v>
      </c>
      <c r="CC65" s="27">
        <f t="shared" si="117"/>
        <v>0</v>
      </c>
      <c r="CD65" s="27">
        <f t="shared" si="118"/>
        <v>0</v>
      </c>
      <c r="CE65" s="27">
        <f t="shared" si="119"/>
        <v>0</v>
      </c>
      <c r="CF65" s="27">
        <f t="shared" si="120"/>
        <v>0</v>
      </c>
      <c r="CG65" s="27">
        <f t="shared" si="121"/>
        <v>0</v>
      </c>
      <c r="CH65" s="27">
        <f t="shared" si="122"/>
        <v>0</v>
      </c>
      <c r="CI65" s="27">
        <f t="shared" si="123"/>
        <v>0</v>
      </c>
      <c r="CJ65" s="27">
        <f t="shared" si="49"/>
        <v>0</v>
      </c>
      <c r="CK65" s="27">
        <f t="shared" si="35"/>
        <v>0</v>
      </c>
      <c r="CL65" s="27">
        <f t="shared" si="36"/>
        <v>0</v>
      </c>
      <c r="CM65" s="27">
        <f t="shared" si="37"/>
        <v>0</v>
      </c>
      <c r="CN65" s="27">
        <f t="shared" si="38"/>
        <v>0</v>
      </c>
      <c r="CO65" s="27">
        <f t="shared" si="39"/>
        <v>0</v>
      </c>
      <c r="CP65" s="27">
        <f t="shared" si="40"/>
        <v>0</v>
      </c>
      <c r="CQ65" s="27">
        <f t="shared" si="41"/>
        <v>0</v>
      </c>
      <c r="CR65" s="27">
        <f t="shared" si="42"/>
        <v>0</v>
      </c>
      <c r="CS65" s="27">
        <f t="shared" si="43"/>
        <v>0</v>
      </c>
      <c r="CT65" s="27">
        <f t="shared" si="44"/>
        <v>0</v>
      </c>
      <c r="CU65" s="61">
        <f t="shared" si="45"/>
        <v>0</v>
      </c>
    </row>
    <row r="66" spans="2:99" s="27" customFormat="1" ht="11.25" hidden="1" x14ac:dyDescent="0.2">
      <c r="B66" s="60">
        <f>IF(C66=0,0,SANDBOX!D169)</f>
        <v>0</v>
      </c>
      <c r="C66" s="27">
        <f>IF(SANDBOX!G169=SB!$C$156,SANDBOX!F169,0)</f>
        <v>0</v>
      </c>
      <c r="D66" s="27" t="str">
        <f>IF(SANDBOX!I169=0,$E$45,SANDBOX!I169)</f>
        <v>Enero</v>
      </c>
      <c r="E66" s="27">
        <f t="shared" si="91"/>
        <v>0</v>
      </c>
      <c r="F66" s="27">
        <f t="shared" si="124"/>
        <v>0</v>
      </c>
      <c r="G66" s="27">
        <f t="shared" si="124"/>
        <v>0</v>
      </c>
      <c r="H66" s="27">
        <f t="shared" si="124"/>
        <v>0</v>
      </c>
      <c r="I66" s="27">
        <f t="shared" si="124"/>
        <v>0</v>
      </c>
      <c r="J66" s="27">
        <f t="shared" si="124"/>
        <v>0</v>
      </c>
      <c r="K66" s="27">
        <f t="shared" si="124"/>
        <v>0</v>
      </c>
      <c r="L66" s="27">
        <f t="shared" si="124"/>
        <v>0</v>
      </c>
      <c r="M66" s="27">
        <f t="shared" si="124"/>
        <v>0</v>
      </c>
      <c r="N66" s="27">
        <f t="shared" si="124"/>
        <v>0</v>
      </c>
      <c r="O66" s="27">
        <f t="shared" si="124"/>
        <v>0</v>
      </c>
      <c r="P66" s="27">
        <f t="shared" si="124"/>
        <v>0</v>
      </c>
      <c r="Q66" s="27">
        <f t="shared" si="92"/>
        <v>0</v>
      </c>
      <c r="R66" s="27">
        <f>IF($C66=0,0,SANDBOX!J169)</f>
        <v>0</v>
      </c>
      <c r="S66" s="27">
        <f>IF($C66=0,0,SANDBOX!K169)</f>
        <v>0</v>
      </c>
      <c r="T66" s="27">
        <f t="shared" si="93"/>
        <v>0</v>
      </c>
      <c r="U66" s="27">
        <f t="shared" si="94"/>
        <v>0</v>
      </c>
      <c r="V66" s="27">
        <f t="shared" si="94"/>
        <v>0</v>
      </c>
      <c r="W66" s="27">
        <f t="shared" si="94"/>
        <v>0</v>
      </c>
      <c r="X66" s="27">
        <f t="shared" si="94"/>
        <v>0</v>
      </c>
      <c r="Y66" s="27">
        <f t="shared" si="94"/>
        <v>0</v>
      </c>
      <c r="Z66" s="27">
        <f t="shared" si="94"/>
        <v>0</v>
      </c>
      <c r="AA66" s="27">
        <f t="shared" si="94"/>
        <v>0</v>
      </c>
      <c r="AB66" s="27">
        <f t="shared" si="94"/>
        <v>0</v>
      </c>
      <c r="AC66" s="27">
        <f t="shared" si="94"/>
        <v>0</v>
      </c>
      <c r="AD66" s="27">
        <f t="shared" si="94"/>
        <v>0</v>
      </c>
      <c r="AE66" s="27">
        <f t="shared" si="94"/>
        <v>0</v>
      </c>
      <c r="AF66" s="27">
        <f t="shared" si="94"/>
        <v>0</v>
      </c>
      <c r="AG66" s="27">
        <f t="shared" si="50"/>
        <v>0</v>
      </c>
      <c r="AH66" s="27">
        <f t="shared" si="95"/>
        <v>0</v>
      </c>
      <c r="AI66" s="27">
        <f t="shared" si="96"/>
        <v>0</v>
      </c>
      <c r="AJ66" s="27">
        <f t="shared" si="51"/>
        <v>0</v>
      </c>
      <c r="AK66" s="27">
        <f t="shared" si="52"/>
        <v>0</v>
      </c>
      <c r="AL66" s="27">
        <f t="shared" si="97"/>
        <v>0</v>
      </c>
      <c r="AM66" s="27">
        <f t="shared" si="53"/>
        <v>0</v>
      </c>
      <c r="AN66" s="27" t="str">
        <f t="shared" si="98"/>
        <v>OK</v>
      </c>
      <c r="AO66" s="27">
        <f>IF(S66=SB!$E$148,T66,0)</f>
        <v>0</v>
      </c>
      <c r="AP66" s="27">
        <f>IF(S66=SB!$E$149,T66,0)</f>
        <v>0</v>
      </c>
      <c r="AQ66" s="27">
        <f>IF($S66=SB!E$150,T66,0)</f>
        <v>0</v>
      </c>
      <c r="AR66" s="27">
        <f>IF(S66=SB!$E$151,T66,0)</f>
        <v>0</v>
      </c>
      <c r="AS66" s="27">
        <f>IF(S66=SB!$E$152,T66,0)</f>
        <v>0</v>
      </c>
      <c r="AT66" s="27">
        <f>IF(S66=SB!$E$153,T66,0)</f>
        <v>0</v>
      </c>
      <c r="AU66" s="27">
        <f>IF(S66=SB!$E$154,T66,0)</f>
        <v>0</v>
      </c>
      <c r="AV66" s="27">
        <f t="shared" si="46"/>
        <v>0</v>
      </c>
      <c r="AW66" s="27">
        <f t="shared" si="47"/>
        <v>1</v>
      </c>
      <c r="AX66" s="27">
        <f t="shared" si="99"/>
        <v>0</v>
      </c>
      <c r="AY66" s="27">
        <f t="shared" si="100"/>
        <v>0</v>
      </c>
      <c r="AZ66" s="27">
        <f t="shared" si="100"/>
        <v>0</v>
      </c>
      <c r="BA66" s="27">
        <f t="shared" si="100"/>
        <v>0</v>
      </c>
      <c r="BB66" s="27">
        <f t="shared" si="100"/>
        <v>0</v>
      </c>
      <c r="BC66" s="27">
        <f t="shared" si="100"/>
        <v>0</v>
      </c>
      <c r="BD66" s="61">
        <f t="shared" si="100"/>
        <v>0</v>
      </c>
      <c r="BE66" s="27">
        <f t="shared" si="100"/>
        <v>0</v>
      </c>
      <c r="BF66" s="27">
        <f t="shared" si="100"/>
        <v>0</v>
      </c>
      <c r="BG66" s="27">
        <f t="shared" si="100"/>
        <v>0</v>
      </c>
      <c r="BH66" s="27">
        <f t="shared" si="100"/>
        <v>0</v>
      </c>
      <c r="BI66" s="27">
        <f t="shared" si="100"/>
        <v>0</v>
      </c>
      <c r="BJ66" s="27">
        <f t="shared" si="100"/>
        <v>0</v>
      </c>
      <c r="BL66" s="27">
        <f t="shared" si="101"/>
        <v>0</v>
      </c>
      <c r="BM66" s="27">
        <f t="shared" si="102"/>
        <v>0</v>
      </c>
      <c r="BN66" s="27">
        <f t="shared" si="102"/>
        <v>0</v>
      </c>
      <c r="BO66" s="27">
        <f t="shared" si="103"/>
        <v>0</v>
      </c>
      <c r="BP66" s="27">
        <f t="shared" si="104"/>
        <v>0</v>
      </c>
      <c r="BQ66" s="27">
        <f t="shared" si="105"/>
        <v>0</v>
      </c>
      <c r="BR66" s="27">
        <f t="shared" si="106"/>
        <v>0</v>
      </c>
      <c r="BS66" s="27">
        <f t="shared" si="107"/>
        <v>0</v>
      </c>
      <c r="BT66" s="27">
        <f t="shared" si="108"/>
        <v>0</v>
      </c>
      <c r="BU66" s="27">
        <f t="shared" si="109"/>
        <v>0</v>
      </c>
      <c r="BV66" s="27">
        <f t="shared" si="110"/>
        <v>0</v>
      </c>
      <c r="BW66" s="27">
        <f t="shared" si="111"/>
        <v>0</v>
      </c>
      <c r="BX66" s="27">
        <f t="shared" si="112"/>
        <v>0</v>
      </c>
      <c r="BY66" s="27">
        <f t="shared" si="113"/>
        <v>0</v>
      </c>
      <c r="BZ66" s="27">
        <f t="shared" si="114"/>
        <v>0</v>
      </c>
      <c r="CA66" s="27">
        <f t="shared" si="115"/>
        <v>0</v>
      </c>
      <c r="CB66" s="27">
        <f t="shared" si="116"/>
        <v>0</v>
      </c>
      <c r="CC66" s="27">
        <f t="shared" si="117"/>
        <v>0</v>
      </c>
      <c r="CD66" s="27">
        <f t="shared" si="118"/>
        <v>0</v>
      </c>
      <c r="CE66" s="27">
        <f t="shared" si="119"/>
        <v>0</v>
      </c>
      <c r="CF66" s="27">
        <f t="shared" si="120"/>
        <v>0</v>
      </c>
      <c r="CG66" s="27">
        <f t="shared" si="121"/>
        <v>0</v>
      </c>
      <c r="CH66" s="27">
        <f t="shared" si="122"/>
        <v>0</v>
      </c>
      <c r="CI66" s="27">
        <f t="shared" si="123"/>
        <v>0</v>
      </c>
      <c r="CJ66" s="27">
        <f t="shared" si="49"/>
        <v>0</v>
      </c>
      <c r="CK66" s="27">
        <f t="shared" si="35"/>
        <v>0</v>
      </c>
      <c r="CL66" s="27">
        <f t="shared" si="36"/>
        <v>0</v>
      </c>
      <c r="CM66" s="27">
        <f t="shared" si="37"/>
        <v>0</v>
      </c>
      <c r="CN66" s="27">
        <f t="shared" si="38"/>
        <v>0</v>
      </c>
      <c r="CO66" s="27">
        <f t="shared" si="39"/>
        <v>0</v>
      </c>
      <c r="CP66" s="27">
        <f t="shared" si="40"/>
        <v>0</v>
      </c>
      <c r="CQ66" s="27">
        <f t="shared" si="41"/>
        <v>0</v>
      </c>
      <c r="CR66" s="27">
        <f t="shared" si="42"/>
        <v>0</v>
      </c>
      <c r="CS66" s="27">
        <f t="shared" si="43"/>
        <v>0</v>
      </c>
      <c r="CT66" s="27">
        <f t="shared" si="44"/>
        <v>0</v>
      </c>
      <c r="CU66" s="61">
        <f t="shared" si="45"/>
        <v>0</v>
      </c>
    </row>
    <row r="67" spans="2:99" s="27" customFormat="1" ht="11.25" hidden="1" x14ac:dyDescent="0.2">
      <c r="B67" s="60">
        <f>IF(C67=0,0,SANDBOX!D170)</f>
        <v>0</v>
      </c>
      <c r="C67" s="27">
        <f>IF(SANDBOX!G170=SB!$C$156,SANDBOX!F170,0)</f>
        <v>0</v>
      </c>
      <c r="D67" s="27" t="str">
        <f>IF(SANDBOX!I170=0,$E$45,SANDBOX!I170)</f>
        <v>Enero</v>
      </c>
      <c r="E67" s="27">
        <f t="shared" si="91"/>
        <v>0</v>
      </c>
      <c r="F67" s="27">
        <f t="shared" si="124"/>
        <v>0</v>
      </c>
      <c r="G67" s="27">
        <f t="shared" si="124"/>
        <v>0</v>
      </c>
      <c r="H67" s="27">
        <f t="shared" si="124"/>
        <v>0</v>
      </c>
      <c r="I67" s="27">
        <f t="shared" si="124"/>
        <v>0</v>
      </c>
      <c r="J67" s="27">
        <f t="shared" si="124"/>
        <v>0</v>
      </c>
      <c r="K67" s="27">
        <f t="shared" si="124"/>
        <v>0</v>
      </c>
      <c r="L67" s="27">
        <f t="shared" si="124"/>
        <v>0</v>
      </c>
      <c r="M67" s="27">
        <f t="shared" si="124"/>
        <v>0</v>
      </c>
      <c r="N67" s="27">
        <f t="shared" si="124"/>
        <v>0</v>
      </c>
      <c r="O67" s="27">
        <f t="shared" si="124"/>
        <v>0</v>
      </c>
      <c r="P67" s="27">
        <f t="shared" si="124"/>
        <v>0</v>
      </c>
      <c r="Q67" s="27">
        <f t="shared" si="92"/>
        <v>0</v>
      </c>
      <c r="R67" s="27">
        <f>IF($C67=0,0,SANDBOX!J170)</f>
        <v>0</v>
      </c>
      <c r="S67" s="27">
        <f>IF($C67=0,0,SANDBOX!K170)</f>
        <v>0</v>
      </c>
      <c r="T67" s="27">
        <f t="shared" si="93"/>
        <v>0</v>
      </c>
      <c r="U67" s="27">
        <f t="shared" si="94"/>
        <v>0</v>
      </c>
      <c r="V67" s="27">
        <f t="shared" si="94"/>
        <v>0</v>
      </c>
      <c r="W67" s="27">
        <f t="shared" si="94"/>
        <v>0</v>
      </c>
      <c r="X67" s="27">
        <f t="shared" si="94"/>
        <v>0</v>
      </c>
      <c r="Y67" s="27">
        <f t="shared" si="94"/>
        <v>0</v>
      </c>
      <c r="Z67" s="27">
        <f t="shared" si="94"/>
        <v>0</v>
      </c>
      <c r="AA67" s="27">
        <f t="shared" si="94"/>
        <v>0</v>
      </c>
      <c r="AB67" s="27">
        <f t="shared" si="94"/>
        <v>0</v>
      </c>
      <c r="AC67" s="27">
        <f t="shared" si="94"/>
        <v>0</v>
      </c>
      <c r="AD67" s="27">
        <f t="shared" si="94"/>
        <v>0</v>
      </c>
      <c r="AE67" s="27">
        <f t="shared" si="94"/>
        <v>0</v>
      </c>
      <c r="AF67" s="27">
        <f t="shared" si="94"/>
        <v>0</v>
      </c>
      <c r="AG67" s="27">
        <f t="shared" si="50"/>
        <v>0</v>
      </c>
      <c r="AH67" s="27">
        <f t="shared" si="95"/>
        <v>0</v>
      </c>
      <c r="AI67" s="27">
        <f t="shared" si="96"/>
        <v>0</v>
      </c>
      <c r="AJ67" s="27">
        <f t="shared" si="51"/>
        <v>0</v>
      </c>
      <c r="AK67" s="27">
        <f t="shared" si="52"/>
        <v>0</v>
      </c>
      <c r="AL67" s="27">
        <f t="shared" si="97"/>
        <v>0</v>
      </c>
      <c r="AM67" s="27">
        <f t="shared" si="53"/>
        <v>0</v>
      </c>
      <c r="AN67" s="27" t="str">
        <f t="shared" si="98"/>
        <v>OK</v>
      </c>
      <c r="AO67" s="27">
        <f>IF(S67=SB!$E$148,T67,0)</f>
        <v>0</v>
      </c>
      <c r="AP67" s="27">
        <f>IF(S67=SB!$E$149,T67,0)</f>
        <v>0</v>
      </c>
      <c r="AQ67" s="27">
        <f>IF($S67=SB!E$150,T67,0)</f>
        <v>0</v>
      </c>
      <c r="AR67" s="27">
        <f>IF(S67=SB!$E$151,T67,0)</f>
        <v>0</v>
      </c>
      <c r="AS67" s="27">
        <f>IF(S67=SB!$E$152,T67,0)</f>
        <v>0</v>
      </c>
      <c r="AT67" s="27">
        <f>IF(S67=SB!$E$153,T67,0)</f>
        <v>0</v>
      </c>
      <c r="AU67" s="27">
        <f>IF(S67=SB!$E$154,T67,0)</f>
        <v>0</v>
      </c>
      <c r="AV67" s="27">
        <f t="shared" si="46"/>
        <v>0</v>
      </c>
      <c r="AW67" s="27">
        <f t="shared" si="47"/>
        <v>1</v>
      </c>
      <c r="AX67" s="27">
        <f t="shared" si="99"/>
        <v>0</v>
      </c>
      <c r="AY67" s="27">
        <f t="shared" si="100"/>
        <v>0</v>
      </c>
      <c r="AZ67" s="27">
        <f t="shared" si="100"/>
        <v>0</v>
      </c>
      <c r="BA67" s="27">
        <f t="shared" si="100"/>
        <v>0</v>
      </c>
      <c r="BB67" s="27">
        <f t="shared" si="100"/>
        <v>0</v>
      </c>
      <c r="BC67" s="27">
        <f t="shared" si="100"/>
        <v>0</v>
      </c>
      <c r="BD67" s="61">
        <f t="shared" si="100"/>
        <v>0</v>
      </c>
      <c r="BE67" s="27">
        <f t="shared" si="100"/>
        <v>0</v>
      </c>
      <c r="BF67" s="27">
        <f t="shared" si="100"/>
        <v>0</v>
      </c>
      <c r="BG67" s="27">
        <f t="shared" si="100"/>
        <v>0</v>
      </c>
      <c r="BH67" s="27">
        <f t="shared" si="100"/>
        <v>0</v>
      </c>
      <c r="BI67" s="27">
        <f t="shared" si="100"/>
        <v>0</v>
      </c>
      <c r="BJ67" s="27">
        <f t="shared" si="100"/>
        <v>0</v>
      </c>
      <c r="BL67" s="27">
        <f t="shared" si="101"/>
        <v>0</v>
      </c>
      <c r="BM67" s="27">
        <f t="shared" si="102"/>
        <v>0</v>
      </c>
      <c r="BN67" s="27">
        <f t="shared" si="102"/>
        <v>0</v>
      </c>
      <c r="BO67" s="27">
        <f t="shared" si="103"/>
        <v>0</v>
      </c>
      <c r="BP67" s="27">
        <f t="shared" si="104"/>
        <v>0</v>
      </c>
      <c r="BQ67" s="27">
        <f t="shared" si="105"/>
        <v>0</v>
      </c>
      <c r="BR67" s="27">
        <f t="shared" si="106"/>
        <v>0</v>
      </c>
      <c r="BS67" s="27">
        <f t="shared" si="107"/>
        <v>0</v>
      </c>
      <c r="BT67" s="27">
        <f t="shared" si="108"/>
        <v>0</v>
      </c>
      <c r="BU67" s="27">
        <f t="shared" si="109"/>
        <v>0</v>
      </c>
      <c r="BV67" s="27">
        <f t="shared" si="110"/>
        <v>0</v>
      </c>
      <c r="BW67" s="27">
        <f t="shared" si="111"/>
        <v>0</v>
      </c>
      <c r="BX67" s="27">
        <f t="shared" si="112"/>
        <v>0</v>
      </c>
      <c r="BY67" s="27">
        <f t="shared" si="113"/>
        <v>0</v>
      </c>
      <c r="BZ67" s="27">
        <f t="shared" si="114"/>
        <v>0</v>
      </c>
      <c r="CA67" s="27">
        <f t="shared" si="115"/>
        <v>0</v>
      </c>
      <c r="CB67" s="27">
        <f t="shared" si="116"/>
        <v>0</v>
      </c>
      <c r="CC67" s="27">
        <f t="shared" si="117"/>
        <v>0</v>
      </c>
      <c r="CD67" s="27">
        <f t="shared" si="118"/>
        <v>0</v>
      </c>
      <c r="CE67" s="27">
        <f t="shared" si="119"/>
        <v>0</v>
      </c>
      <c r="CF67" s="27">
        <f t="shared" si="120"/>
        <v>0</v>
      </c>
      <c r="CG67" s="27">
        <f t="shared" si="121"/>
        <v>0</v>
      </c>
      <c r="CH67" s="27">
        <f t="shared" si="122"/>
        <v>0</v>
      </c>
      <c r="CI67" s="27">
        <f t="shared" si="123"/>
        <v>0</v>
      </c>
      <c r="CJ67" s="27">
        <f t="shared" si="49"/>
        <v>0</v>
      </c>
      <c r="CK67" s="27">
        <f t="shared" si="35"/>
        <v>0</v>
      </c>
      <c r="CL67" s="27">
        <f t="shared" si="36"/>
        <v>0</v>
      </c>
      <c r="CM67" s="27">
        <f t="shared" si="37"/>
        <v>0</v>
      </c>
      <c r="CN67" s="27">
        <f t="shared" si="38"/>
        <v>0</v>
      </c>
      <c r="CO67" s="27">
        <f t="shared" si="39"/>
        <v>0</v>
      </c>
      <c r="CP67" s="27">
        <f t="shared" si="40"/>
        <v>0</v>
      </c>
      <c r="CQ67" s="27">
        <f t="shared" si="41"/>
        <v>0</v>
      </c>
      <c r="CR67" s="27">
        <f t="shared" si="42"/>
        <v>0</v>
      </c>
      <c r="CS67" s="27">
        <f t="shared" si="43"/>
        <v>0</v>
      </c>
      <c r="CT67" s="27">
        <f t="shared" si="44"/>
        <v>0</v>
      </c>
      <c r="CU67" s="61">
        <f t="shared" si="45"/>
        <v>0</v>
      </c>
    </row>
    <row r="68" spans="2:99" s="27" customFormat="1" ht="11.25" hidden="1" x14ac:dyDescent="0.2">
      <c r="B68" s="60" t="str">
        <f>SANDBOX!$D164</f>
        <v>Maquinaria, utillaje y herramientas</v>
      </c>
      <c r="E68" s="27">
        <f t="shared" ref="E68:Q68" si="125">SUM(E62:E67)</f>
        <v>0</v>
      </c>
      <c r="F68" s="27">
        <f t="shared" si="125"/>
        <v>0</v>
      </c>
      <c r="G68" s="27">
        <f t="shared" si="125"/>
        <v>0</v>
      </c>
      <c r="H68" s="27">
        <f t="shared" si="125"/>
        <v>0</v>
      </c>
      <c r="I68" s="27">
        <f t="shared" si="125"/>
        <v>0</v>
      </c>
      <c r="J68" s="27">
        <f t="shared" si="125"/>
        <v>0</v>
      </c>
      <c r="K68" s="27">
        <f t="shared" si="125"/>
        <v>0</v>
      </c>
      <c r="L68" s="27">
        <f t="shared" si="125"/>
        <v>0</v>
      </c>
      <c r="M68" s="27">
        <f t="shared" si="125"/>
        <v>0</v>
      </c>
      <c r="N68" s="27">
        <f t="shared" si="125"/>
        <v>0</v>
      </c>
      <c r="O68" s="27">
        <f t="shared" si="125"/>
        <v>0</v>
      </c>
      <c r="P68" s="27">
        <f t="shared" si="125"/>
        <v>0</v>
      </c>
      <c r="Q68" s="27">
        <f t="shared" si="125"/>
        <v>0</v>
      </c>
      <c r="S68" s="27" t="str">
        <f>SANDBOX!$D$164</f>
        <v>Maquinaria, utillaje y herramientas</v>
      </c>
      <c r="U68" s="27">
        <f t="shared" ref="U68:AM68" si="126">SUM(U62:U67)</f>
        <v>0</v>
      </c>
      <c r="V68" s="27">
        <f t="shared" si="126"/>
        <v>0</v>
      </c>
      <c r="W68" s="27">
        <f t="shared" si="126"/>
        <v>0</v>
      </c>
      <c r="X68" s="27">
        <f t="shared" si="126"/>
        <v>0</v>
      </c>
      <c r="Y68" s="27">
        <f t="shared" si="126"/>
        <v>0</v>
      </c>
      <c r="Z68" s="27">
        <f t="shared" si="126"/>
        <v>0</v>
      </c>
      <c r="AA68" s="27">
        <f t="shared" si="126"/>
        <v>0</v>
      </c>
      <c r="AB68" s="27">
        <f t="shared" si="126"/>
        <v>0</v>
      </c>
      <c r="AC68" s="27">
        <f t="shared" si="126"/>
        <v>0</v>
      </c>
      <c r="AD68" s="27">
        <f t="shared" si="126"/>
        <v>0</v>
      </c>
      <c r="AE68" s="27">
        <f t="shared" si="126"/>
        <v>0</v>
      </c>
      <c r="AF68" s="27">
        <f t="shared" si="126"/>
        <v>0</v>
      </c>
      <c r="AG68" s="27">
        <f t="shared" si="126"/>
        <v>0</v>
      </c>
      <c r="AH68" s="27">
        <f t="shared" si="126"/>
        <v>0</v>
      </c>
      <c r="AI68" s="27">
        <f t="shared" si="126"/>
        <v>0</v>
      </c>
      <c r="AJ68" s="27">
        <f t="shared" si="126"/>
        <v>0</v>
      </c>
      <c r="AK68" s="27">
        <f t="shared" si="126"/>
        <v>0</v>
      </c>
      <c r="AL68" s="27">
        <f t="shared" si="126"/>
        <v>0</v>
      </c>
      <c r="AM68" s="27">
        <f t="shared" si="126"/>
        <v>0</v>
      </c>
      <c r="BD68" s="61"/>
      <c r="CU68" s="61"/>
    </row>
    <row r="69" spans="2:99" s="27" customFormat="1" ht="11.25" hidden="1" x14ac:dyDescent="0.2">
      <c r="B69" s="60">
        <f>IF(C69=0,0,SANDBOX!D172)</f>
        <v>0</v>
      </c>
      <c r="C69" s="27">
        <f>IF(SANDBOX!G172=SB!$C$156,SANDBOX!F172,0)</f>
        <v>0</v>
      </c>
      <c r="D69" s="27" t="str">
        <f>IF(SANDBOX!I172=0,$E$45,SANDBOX!I172)</f>
        <v>Enero</v>
      </c>
      <c r="E69" s="27">
        <f t="shared" ref="E69:E74" si="127">SUMIF($D69,E$45,$C69)</f>
        <v>0</v>
      </c>
      <c r="F69" s="27">
        <f t="shared" ref="F69:P74" si="128">SUMIF($D69,F$45,$C69)</f>
        <v>0</v>
      </c>
      <c r="G69" s="27">
        <f t="shared" si="128"/>
        <v>0</v>
      </c>
      <c r="H69" s="27">
        <f t="shared" si="128"/>
        <v>0</v>
      </c>
      <c r="I69" s="27">
        <f t="shared" si="128"/>
        <v>0</v>
      </c>
      <c r="J69" s="27">
        <f t="shared" si="128"/>
        <v>0</v>
      </c>
      <c r="K69" s="27">
        <f t="shared" si="128"/>
        <v>0</v>
      </c>
      <c r="L69" s="27">
        <f t="shared" si="128"/>
        <v>0</v>
      </c>
      <c r="M69" s="27">
        <f t="shared" si="128"/>
        <v>0</v>
      </c>
      <c r="N69" s="27">
        <f t="shared" si="128"/>
        <v>0</v>
      </c>
      <c r="O69" s="27">
        <f t="shared" si="128"/>
        <v>0</v>
      </c>
      <c r="P69" s="27">
        <f t="shared" si="128"/>
        <v>0</v>
      </c>
      <c r="Q69" s="27">
        <f t="shared" ref="Q69:Q74" si="129">SUM(E69:P69)</f>
        <v>0</v>
      </c>
      <c r="R69" s="27">
        <f>IF($C69=0,0,SANDBOX!J172)</f>
        <v>0</v>
      </c>
      <c r="S69" s="27">
        <f>IF($C69=0,0,SANDBOX!K172)</f>
        <v>0</v>
      </c>
      <c r="T69" s="27">
        <f t="shared" ref="T69:T74" si="130">IF(R69=0,0,C69/R69)</f>
        <v>0</v>
      </c>
      <c r="U69" s="27">
        <f t="shared" ref="U69:AF74" si="131">IF(CJ69&lt;=0,0,BL69)</f>
        <v>0</v>
      </c>
      <c r="V69" s="27">
        <f t="shared" si="131"/>
        <v>0</v>
      </c>
      <c r="W69" s="27">
        <f t="shared" si="131"/>
        <v>0</v>
      </c>
      <c r="X69" s="27">
        <f t="shared" si="131"/>
        <v>0</v>
      </c>
      <c r="Y69" s="27">
        <f t="shared" si="131"/>
        <v>0</v>
      </c>
      <c r="Z69" s="27">
        <f t="shared" si="131"/>
        <v>0</v>
      </c>
      <c r="AA69" s="27">
        <f t="shared" si="131"/>
        <v>0</v>
      </c>
      <c r="AB69" s="27">
        <f t="shared" si="131"/>
        <v>0</v>
      </c>
      <c r="AC69" s="27">
        <f t="shared" si="131"/>
        <v>0</v>
      </c>
      <c r="AD69" s="27">
        <f t="shared" si="131"/>
        <v>0</v>
      </c>
      <c r="AE69" s="27">
        <f t="shared" si="131"/>
        <v>0</v>
      </c>
      <c r="AF69" s="27">
        <f t="shared" si="131"/>
        <v>0</v>
      </c>
      <c r="AG69" s="27">
        <f t="shared" si="50"/>
        <v>0</v>
      </c>
      <c r="AH69" s="27">
        <f t="shared" ref="AH69:AH74" si="132">+C69-AG69</f>
        <v>0</v>
      </c>
      <c r="AI69" s="27">
        <f t="shared" ref="AI69:AI74" si="133">IF($T69=0,0,AH69/$T69)</f>
        <v>0</v>
      </c>
      <c r="AJ69" s="27">
        <f t="shared" si="51"/>
        <v>0</v>
      </c>
      <c r="AK69" s="27">
        <f t="shared" si="52"/>
        <v>0</v>
      </c>
      <c r="AL69" s="27">
        <f t="shared" ref="AL69:AL74" si="134">IF($T69=0,0,AK69/$T69)</f>
        <v>0</v>
      </c>
      <c r="AM69" s="27">
        <f t="shared" si="53"/>
        <v>0</v>
      </c>
      <c r="AN69" s="27" t="str">
        <f t="shared" ref="AN69:AN74" si="135">IF(AM69+AJ69+AG69=C69,"OK","ERROR")</f>
        <v>OK</v>
      </c>
      <c r="AO69" s="27">
        <f>IF(S69=SB!$E$148,T69,0)</f>
        <v>0</v>
      </c>
      <c r="AP69" s="27">
        <f>IF(S69=SB!$E$149,T69,0)</f>
        <v>0</v>
      </c>
      <c r="AQ69" s="27">
        <f>IF($S69=SB!E$150,T69,0)</f>
        <v>0</v>
      </c>
      <c r="AR69" s="27">
        <f>IF(S69=SB!$E$151,T69,0)</f>
        <v>0</v>
      </c>
      <c r="AS69" s="27">
        <f>IF(S69=SB!$E$152,T69,0)</f>
        <v>0</v>
      </c>
      <c r="AT69" s="27">
        <f>IF(S69=SB!$E$153,T69,0)</f>
        <v>0</v>
      </c>
      <c r="AU69" s="27">
        <f>IF(S69=SB!$E$154,T69,0)</f>
        <v>0</v>
      </c>
      <c r="AV69" s="27">
        <f t="shared" si="46"/>
        <v>0</v>
      </c>
      <c r="AW69" s="27">
        <f t="shared" si="47"/>
        <v>1</v>
      </c>
      <c r="AX69" s="27">
        <f t="shared" ref="AX69:AX74" si="136">+AW69+AV69-1</f>
        <v>0</v>
      </c>
      <c r="AY69" s="27">
        <f t="shared" ref="AY69:BJ74" si="137">IF(AY$47=$AX69,$T69,0)</f>
        <v>0</v>
      </c>
      <c r="AZ69" s="27">
        <f t="shared" si="137"/>
        <v>0</v>
      </c>
      <c r="BA69" s="27">
        <f t="shared" si="137"/>
        <v>0</v>
      </c>
      <c r="BB69" s="27">
        <f t="shared" si="137"/>
        <v>0</v>
      </c>
      <c r="BC69" s="27">
        <f t="shared" si="137"/>
        <v>0</v>
      </c>
      <c r="BD69" s="61">
        <f t="shared" si="137"/>
        <v>0</v>
      </c>
      <c r="BE69" s="27">
        <f t="shared" si="137"/>
        <v>0</v>
      </c>
      <c r="BF69" s="27">
        <f t="shared" si="137"/>
        <v>0</v>
      </c>
      <c r="BG69" s="27">
        <f t="shared" si="137"/>
        <v>0</v>
      </c>
      <c r="BH69" s="27">
        <f t="shared" si="137"/>
        <v>0</v>
      </c>
      <c r="BI69" s="27">
        <f t="shared" si="137"/>
        <v>0</v>
      </c>
      <c r="BJ69" s="27">
        <f t="shared" si="137"/>
        <v>0</v>
      </c>
      <c r="BL69" s="27">
        <f t="shared" ref="BL69:BL74" si="138">+IF(AY69=0,0,AY69)</f>
        <v>0</v>
      </c>
      <c r="BM69" s="27">
        <f t="shared" ref="BM69:BN74" si="139">+IF(AZ69=0,BL69,AZ69)</f>
        <v>0</v>
      </c>
      <c r="BN69" s="27">
        <f t="shared" si="139"/>
        <v>0</v>
      </c>
      <c r="BO69" s="27">
        <f t="shared" ref="BO69:BO74" si="140">+IF(BB69=0,BN69,BB69)</f>
        <v>0</v>
      </c>
      <c r="BP69" s="27">
        <f t="shared" ref="BP69:BP74" si="141">+IF(BC69=0,BO69,BC69)</f>
        <v>0</v>
      </c>
      <c r="BQ69" s="27">
        <f t="shared" ref="BQ69:BQ74" si="142">+IF(BD69=0,BP69,BD69)</f>
        <v>0</v>
      </c>
      <c r="BR69" s="27">
        <f t="shared" ref="BR69:BR74" si="143">+IF(BE69=0,BQ69,BE69)</f>
        <v>0</v>
      </c>
      <c r="BS69" s="27">
        <f t="shared" ref="BS69:BS74" si="144">+IF(BF69=0,BR69,BF69)</f>
        <v>0</v>
      </c>
      <c r="BT69" s="27">
        <f t="shared" ref="BT69:BT74" si="145">+IF(BG69=0,BS69,BG69)</f>
        <v>0</v>
      </c>
      <c r="BU69" s="27">
        <f t="shared" ref="BU69:BU74" si="146">+IF(BH69=0,BT69,BH69)</f>
        <v>0</v>
      </c>
      <c r="BV69" s="27">
        <f t="shared" ref="BV69:BV74" si="147">+IF(BI69=0,BU69,BI69)</f>
        <v>0</v>
      </c>
      <c r="BW69" s="27">
        <f t="shared" ref="BW69:BW74" si="148">+IF(BJ69=0,BV69,BJ69)</f>
        <v>0</v>
      </c>
      <c r="BX69" s="27">
        <f t="shared" ref="BX69:BX74" si="149">+E69</f>
        <v>0</v>
      </c>
      <c r="BY69" s="27">
        <f t="shared" ref="BY69:BY74" si="150">IF(BX69=0,F69,BX69-BL69)</f>
        <v>0</v>
      </c>
      <c r="BZ69" s="27">
        <f t="shared" ref="BZ69:BZ74" si="151">IF(BY69=0,G69,BY69-BM69)</f>
        <v>0</v>
      </c>
      <c r="CA69" s="27">
        <f t="shared" ref="CA69:CA74" si="152">IF(BZ69=0,H69,BZ69-BN69)</f>
        <v>0</v>
      </c>
      <c r="CB69" s="27">
        <f t="shared" ref="CB69:CB74" si="153">IF(CA69=0,I69,CA69-BO69)</f>
        <v>0</v>
      </c>
      <c r="CC69" s="27">
        <f t="shared" ref="CC69:CC74" si="154">IF(CB69=0,J69,CB69-BP69)</f>
        <v>0</v>
      </c>
      <c r="CD69" s="27">
        <f t="shared" ref="CD69:CD74" si="155">IF(CC69=0,K69,CC69-BQ69)</f>
        <v>0</v>
      </c>
      <c r="CE69" s="27">
        <f t="shared" ref="CE69:CE74" si="156">IF(CD69=0,L69,CD69-BR69)</f>
        <v>0</v>
      </c>
      <c r="CF69" s="27">
        <f t="shared" ref="CF69:CF74" si="157">IF(CE69=0,M69,CE69-BS69)</f>
        <v>0</v>
      </c>
      <c r="CG69" s="27">
        <f t="shared" ref="CG69:CG74" si="158">IF(CF69=0,N69,CF69-BT69)</f>
        <v>0</v>
      </c>
      <c r="CH69" s="27">
        <f t="shared" ref="CH69:CH74" si="159">IF(CG69=0,O69,CG69-BU69)</f>
        <v>0</v>
      </c>
      <c r="CI69" s="27">
        <f t="shared" ref="CI69:CI74" si="160">IF(CH69=0,P69,CH69-BV69)</f>
        <v>0</v>
      </c>
      <c r="CJ69" s="27">
        <f t="shared" si="49"/>
        <v>0</v>
      </c>
      <c r="CK69" s="27">
        <f t="shared" si="35"/>
        <v>0</v>
      </c>
      <c r="CL69" s="27">
        <f t="shared" si="36"/>
        <v>0</v>
      </c>
      <c r="CM69" s="27">
        <f t="shared" si="37"/>
        <v>0</v>
      </c>
      <c r="CN69" s="27">
        <f t="shared" si="38"/>
        <v>0</v>
      </c>
      <c r="CO69" s="27">
        <f t="shared" si="39"/>
        <v>0</v>
      </c>
      <c r="CP69" s="27">
        <f t="shared" si="40"/>
        <v>0</v>
      </c>
      <c r="CQ69" s="27">
        <f t="shared" si="41"/>
        <v>0</v>
      </c>
      <c r="CR69" s="27">
        <f t="shared" si="42"/>
        <v>0</v>
      </c>
      <c r="CS69" s="27">
        <f t="shared" si="43"/>
        <v>0</v>
      </c>
      <c r="CT69" s="27">
        <f t="shared" si="44"/>
        <v>0</v>
      </c>
      <c r="CU69" s="61">
        <f t="shared" si="45"/>
        <v>0</v>
      </c>
    </row>
    <row r="70" spans="2:99" s="27" customFormat="1" ht="11.25" hidden="1" x14ac:dyDescent="0.2">
      <c r="B70" s="60">
        <f>IF(C70=0,0,SANDBOX!D173)</f>
        <v>0</v>
      </c>
      <c r="C70" s="27">
        <f>IF(SANDBOX!G173=SB!$C$156,SANDBOX!F173,0)</f>
        <v>0</v>
      </c>
      <c r="D70" s="27" t="str">
        <f>IF(SANDBOX!I173=0,$E$45,SANDBOX!I173)</f>
        <v>Enero</v>
      </c>
      <c r="E70" s="27">
        <f t="shared" si="127"/>
        <v>0</v>
      </c>
      <c r="F70" s="27">
        <f t="shared" si="128"/>
        <v>0</v>
      </c>
      <c r="G70" s="27">
        <f t="shared" si="128"/>
        <v>0</v>
      </c>
      <c r="H70" s="27">
        <f t="shared" si="128"/>
        <v>0</v>
      </c>
      <c r="I70" s="27">
        <f t="shared" si="128"/>
        <v>0</v>
      </c>
      <c r="J70" s="27">
        <f t="shared" si="128"/>
        <v>0</v>
      </c>
      <c r="K70" s="27">
        <f t="shared" si="128"/>
        <v>0</v>
      </c>
      <c r="L70" s="27">
        <f t="shared" si="128"/>
        <v>0</v>
      </c>
      <c r="M70" s="27">
        <f t="shared" si="128"/>
        <v>0</v>
      </c>
      <c r="N70" s="27">
        <f t="shared" si="128"/>
        <v>0</v>
      </c>
      <c r="O70" s="27">
        <f t="shared" si="128"/>
        <v>0</v>
      </c>
      <c r="P70" s="27">
        <f t="shared" si="128"/>
        <v>0</v>
      </c>
      <c r="Q70" s="27">
        <f t="shared" si="129"/>
        <v>0</v>
      </c>
      <c r="R70" s="27">
        <f>IF($C70=0,0,SANDBOX!J173)</f>
        <v>0</v>
      </c>
      <c r="S70" s="27">
        <f>IF($C70=0,0,SANDBOX!K173)</f>
        <v>0</v>
      </c>
      <c r="T70" s="27">
        <f t="shared" si="130"/>
        <v>0</v>
      </c>
      <c r="U70" s="27">
        <f t="shared" si="131"/>
        <v>0</v>
      </c>
      <c r="V70" s="27">
        <f t="shared" si="131"/>
        <v>0</v>
      </c>
      <c r="W70" s="27">
        <f t="shared" si="131"/>
        <v>0</v>
      </c>
      <c r="X70" s="27">
        <f t="shared" si="131"/>
        <v>0</v>
      </c>
      <c r="Y70" s="27">
        <f t="shared" si="131"/>
        <v>0</v>
      </c>
      <c r="Z70" s="27">
        <f t="shared" si="131"/>
        <v>0</v>
      </c>
      <c r="AA70" s="27">
        <f t="shared" si="131"/>
        <v>0</v>
      </c>
      <c r="AB70" s="27">
        <f t="shared" si="131"/>
        <v>0</v>
      </c>
      <c r="AC70" s="27">
        <f t="shared" si="131"/>
        <v>0</v>
      </c>
      <c r="AD70" s="27">
        <f t="shared" si="131"/>
        <v>0</v>
      </c>
      <c r="AE70" s="27">
        <f t="shared" si="131"/>
        <v>0</v>
      </c>
      <c r="AF70" s="27">
        <f t="shared" si="131"/>
        <v>0</v>
      </c>
      <c r="AG70" s="27">
        <f t="shared" si="50"/>
        <v>0</v>
      </c>
      <c r="AH70" s="27">
        <f t="shared" si="132"/>
        <v>0</v>
      </c>
      <c r="AI70" s="27">
        <f t="shared" si="133"/>
        <v>0</v>
      </c>
      <c r="AJ70" s="27">
        <f t="shared" si="51"/>
        <v>0</v>
      </c>
      <c r="AK70" s="27">
        <f t="shared" si="52"/>
        <v>0</v>
      </c>
      <c r="AL70" s="27">
        <f t="shared" si="134"/>
        <v>0</v>
      </c>
      <c r="AM70" s="27">
        <f t="shared" si="53"/>
        <v>0</v>
      </c>
      <c r="AN70" s="27" t="str">
        <f t="shared" si="135"/>
        <v>OK</v>
      </c>
      <c r="AO70" s="27">
        <f>IF(S70=SB!$E$148,T70,0)</f>
        <v>0</v>
      </c>
      <c r="AP70" s="27">
        <f>IF(S70=SB!$E$149,T70,0)</f>
        <v>0</v>
      </c>
      <c r="AQ70" s="27">
        <f>IF($S70=SB!E$150,T70,0)</f>
        <v>0</v>
      </c>
      <c r="AR70" s="27">
        <f>IF(S70=SB!$E$151,T70,0)</f>
        <v>0</v>
      </c>
      <c r="AS70" s="27">
        <f>IF(S70=SB!$E$152,T70,0)</f>
        <v>0</v>
      </c>
      <c r="AT70" s="27">
        <f>IF(S70=SB!$E$153,T70,0)</f>
        <v>0</v>
      </c>
      <c r="AU70" s="27">
        <f>IF(S70=SB!$E$154,T70,0)</f>
        <v>0</v>
      </c>
      <c r="AV70" s="27">
        <f t="shared" si="46"/>
        <v>0</v>
      </c>
      <c r="AW70" s="27">
        <f t="shared" si="47"/>
        <v>1</v>
      </c>
      <c r="AX70" s="27">
        <f t="shared" si="136"/>
        <v>0</v>
      </c>
      <c r="AY70" s="27">
        <f t="shared" si="137"/>
        <v>0</v>
      </c>
      <c r="AZ70" s="27">
        <f t="shared" si="137"/>
        <v>0</v>
      </c>
      <c r="BA70" s="27">
        <f t="shared" si="137"/>
        <v>0</v>
      </c>
      <c r="BB70" s="27">
        <f t="shared" si="137"/>
        <v>0</v>
      </c>
      <c r="BC70" s="27">
        <f t="shared" si="137"/>
        <v>0</v>
      </c>
      <c r="BD70" s="61">
        <f t="shared" si="137"/>
        <v>0</v>
      </c>
      <c r="BE70" s="27">
        <f t="shared" si="137"/>
        <v>0</v>
      </c>
      <c r="BF70" s="27">
        <f t="shared" si="137"/>
        <v>0</v>
      </c>
      <c r="BG70" s="27">
        <f t="shared" si="137"/>
        <v>0</v>
      </c>
      <c r="BH70" s="27">
        <f t="shared" si="137"/>
        <v>0</v>
      </c>
      <c r="BI70" s="27">
        <f t="shared" si="137"/>
        <v>0</v>
      </c>
      <c r="BJ70" s="27">
        <f t="shared" si="137"/>
        <v>0</v>
      </c>
      <c r="BL70" s="27">
        <f t="shared" si="138"/>
        <v>0</v>
      </c>
      <c r="BM70" s="27">
        <f t="shared" si="139"/>
        <v>0</v>
      </c>
      <c r="BN70" s="27">
        <f t="shared" si="139"/>
        <v>0</v>
      </c>
      <c r="BO70" s="27">
        <f t="shared" si="140"/>
        <v>0</v>
      </c>
      <c r="BP70" s="27">
        <f t="shared" si="141"/>
        <v>0</v>
      </c>
      <c r="BQ70" s="27">
        <f t="shared" si="142"/>
        <v>0</v>
      </c>
      <c r="BR70" s="27">
        <f t="shared" si="143"/>
        <v>0</v>
      </c>
      <c r="BS70" s="27">
        <f t="shared" si="144"/>
        <v>0</v>
      </c>
      <c r="BT70" s="27">
        <f t="shared" si="145"/>
        <v>0</v>
      </c>
      <c r="BU70" s="27">
        <f t="shared" si="146"/>
        <v>0</v>
      </c>
      <c r="BV70" s="27">
        <f t="shared" si="147"/>
        <v>0</v>
      </c>
      <c r="BW70" s="27">
        <f t="shared" si="148"/>
        <v>0</v>
      </c>
      <c r="BX70" s="27">
        <f t="shared" si="149"/>
        <v>0</v>
      </c>
      <c r="BY70" s="27">
        <f t="shared" si="150"/>
        <v>0</v>
      </c>
      <c r="BZ70" s="27">
        <f t="shared" si="151"/>
        <v>0</v>
      </c>
      <c r="CA70" s="27">
        <f t="shared" si="152"/>
        <v>0</v>
      </c>
      <c r="CB70" s="27">
        <f t="shared" si="153"/>
        <v>0</v>
      </c>
      <c r="CC70" s="27">
        <f t="shared" si="154"/>
        <v>0</v>
      </c>
      <c r="CD70" s="27">
        <f t="shared" si="155"/>
        <v>0</v>
      </c>
      <c r="CE70" s="27">
        <f t="shared" si="156"/>
        <v>0</v>
      </c>
      <c r="CF70" s="27">
        <f t="shared" si="157"/>
        <v>0</v>
      </c>
      <c r="CG70" s="27">
        <f t="shared" si="158"/>
        <v>0</v>
      </c>
      <c r="CH70" s="27">
        <f t="shared" si="159"/>
        <v>0</v>
      </c>
      <c r="CI70" s="27">
        <f t="shared" si="160"/>
        <v>0</v>
      </c>
      <c r="CJ70" s="27">
        <f t="shared" si="49"/>
        <v>0</v>
      </c>
      <c r="CK70" s="27">
        <f t="shared" si="35"/>
        <v>0</v>
      </c>
      <c r="CL70" s="27">
        <f t="shared" si="36"/>
        <v>0</v>
      </c>
      <c r="CM70" s="27">
        <f t="shared" si="37"/>
        <v>0</v>
      </c>
      <c r="CN70" s="27">
        <f t="shared" si="38"/>
        <v>0</v>
      </c>
      <c r="CO70" s="27">
        <f t="shared" si="39"/>
        <v>0</v>
      </c>
      <c r="CP70" s="27">
        <f t="shared" si="40"/>
        <v>0</v>
      </c>
      <c r="CQ70" s="27">
        <f t="shared" si="41"/>
        <v>0</v>
      </c>
      <c r="CR70" s="27">
        <f t="shared" si="42"/>
        <v>0</v>
      </c>
      <c r="CS70" s="27">
        <f t="shared" si="43"/>
        <v>0</v>
      </c>
      <c r="CT70" s="27">
        <f t="shared" si="44"/>
        <v>0</v>
      </c>
      <c r="CU70" s="61">
        <f t="shared" si="45"/>
        <v>0</v>
      </c>
    </row>
    <row r="71" spans="2:99" s="27" customFormat="1" ht="11.25" hidden="1" x14ac:dyDescent="0.2">
      <c r="B71" s="60">
        <f>IF(C71=0,0,SANDBOX!D174)</f>
        <v>0</v>
      </c>
      <c r="C71" s="27">
        <f>IF(SANDBOX!G174=SB!$C$156,SANDBOX!F174,0)</f>
        <v>0</v>
      </c>
      <c r="D71" s="27" t="str">
        <f>IF(SANDBOX!I174=0,$E$45,SANDBOX!I174)</f>
        <v>Enero</v>
      </c>
      <c r="E71" s="27">
        <f t="shared" si="127"/>
        <v>0</v>
      </c>
      <c r="F71" s="27">
        <f t="shared" si="128"/>
        <v>0</v>
      </c>
      <c r="G71" s="27">
        <f t="shared" si="128"/>
        <v>0</v>
      </c>
      <c r="H71" s="27">
        <f t="shared" si="128"/>
        <v>0</v>
      </c>
      <c r="I71" s="27">
        <f t="shared" si="128"/>
        <v>0</v>
      </c>
      <c r="J71" s="27">
        <f t="shared" si="128"/>
        <v>0</v>
      </c>
      <c r="K71" s="27">
        <f t="shared" si="128"/>
        <v>0</v>
      </c>
      <c r="L71" s="27">
        <f t="shared" si="128"/>
        <v>0</v>
      </c>
      <c r="M71" s="27">
        <f t="shared" si="128"/>
        <v>0</v>
      </c>
      <c r="N71" s="27">
        <f t="shared" si="128"/>
        <v>0</v>
      </c>
      <c r="O71" s="27">
        <f t="shared" si="128"/>
        <v>0</v>
      </c>
      <c r="P71" s="27">
        <f t="shared" si="128"/>
        <v>0</v>
      </c>
      <c r="Q71" s="27">
        <f t="shared" si="129"/>
        <v>0</v>
      </c>
      <c r="R71" s="27">
        <f>IF($C71=0,0,SANDBOX!J174)</f>
        <v>0</v>
      </c>
      <c r="S71" s="27">
        <f>IF($C71=0,0,SANDBOX!K174)</f>
        <v>0</v>
      </c>
      <c r="T71" s="27">
        <f t="shared" si="130"/>
        <v>0</v>
      </c>
      <c r="U71" s="27">
        <f t="shared" si="131"/>
        <v>0</v>
      </c>
      <c r="V71" s="27">
        <f t="shared" si="131"/>
        <v>0</v>
      </c>
      <c r="W71" s="27">
        <f t="shared" si="131"/>
        <v>0</v>
      </c>
      <c r="X71" s="27">
        <f t="shared" si="131"/>
        <v>0</v>
      </c>
      <c r="Y71" s="27">
        <f t="shared" si="131"/>
        <v>0</v>
      </c>
      <c r="Z71" s="27">
        <f t="shared" si="131"/>
        <v>0</v>
      </c>
      <c r="AA71" s="27">
        <f t="shared" si="131"/>
        <v>0</v>
      </c>
      <c r="AB71" s="27">
        <f t="shared" si="131"/>
        <v>0</v>
      </c>
      <c r="AC71" s="27">
        <f t="shared" si="131"/>
        <v>0</v>
      </c>
      <c r="AD71" s="27">
        <f t="shared" si="131"/>
        <v>0</v>
      </c>
      <c r="AE71" s="27">
        <f t="shared" si="131"/>
        <v>0</v>
      </c>
      <c r="AF71" s="27">
        <f t="shared" si="131"/>
        <v>0</v>
      </c>
      <c r="AG71" s="27">
        <f t="shared" si="50"/>
        <v>0</v>
      </c>
      <c r="AH71" s="27">
        <f t="shared" si="132"/>
        <v>0</v>
      </c>
      <c r="AI71" s="27">
        <f t="shared" si="133"/>
        <v>0</v>
      </c>
      <c r="AJ71" s="27">
        <f t="shared" si="51"/>
        <v>0</v>
      </c>
      <c r="AK71" s="27">
        <f t="shared" si="52"/>
        <v>0</v>
      </c>
      <c r="AL71" s="27">
        <f t="shared" si="134"/>
        <v>0</v>
      </c>
      <c r="AM71" s="27">
        <f t="shared" si="53"/>
        <v>0</v>
      </c>
      <c r="AN71" s="27" t="str">
        <f t="shared" si="135"/>
        <v>OK</v>
      </c>
      <c r="AO71" s="27">
        <f>IF(S71=SB!$E$148,T71,0)</f>
        <v>0</v>
      </c>
      <c r="AP71" s="27">
        <f>IF(S71=SB!$E$149,T71,0)</f>
        <v>0</v>
      </c>
      <c r="AQ71" s="27">
        <f>IF($S71=SB!E$150,T71,0)</f>
        <v>0</v>
      </c>
      <c r="AR71" s="27">
        <f>IF(S71=SB!$E$151,T71,0)</f>
        <v>0</v>
      </c>
      <c r="AS71" s="27">
        <f>IF(S71=SB!$E$152,T71,0)</f>
        <v>0</v>
      </c>
      <c r="AT71" s="27">
        <f>IF(S71=SB!$E$153,T71,0)</f>
        <v>0</v>
      </c>
      <c r="AU71" s="27">
        <f>IF(S71=SB!$E$154,T71,0)</f>
        <v>0</v>
      </c>
      <c r="AV71" s="27">
        <f t="shared" si="46"/>
        <v>0</v>
      </c>
      <c r="AW71" s="27">
        <f t="shared" si="47"/>
        <v>1</v>
      </c>
      <c r="AX71" s="27">
        <f t="shared" si="136"/>
        <v>0</v>
      </c>
      <c r="AY71" s="27">
        <f t="shared" si="137"/>
        <v>0</v>
      </c>
      <c r="AZ71" s="27">
        <f t="shared" si="137"/>
        <v>0</v>
      </c>
      <c r="BA71" s="27">
        <f t="shared" si="137"/>
        <v>0</v>
      </c>
      <c r="BB71" s="27">
        <f t="shared" si="137"/>
        <v>0</v>
      </c>
      <c r="BC71" s="27">
        <f t="shared" si="137"/>
        <v>0</v>
      </c>
      <c r="BD71" s="61">
        <f t="shared" si="137"/>
        <v>0</v>
      </c>
      <c r="BE71" s="27">
        <f t="shared" si="137"/>
        <v>0</v>
      </c>
      <c r="BF71" s="27">
        <f t="shared" si="137"/>
        <v>0</v>
      </c>
      <c r="BG71" s="27">
        <f t="shared" si="137"/>
        <v>0</v>
      </c>
      <c r="BH71" s="27">
        <f t="shared" si="137"/>
        <v>0</v>
      </c>
      <c r="BI71" s="27">
        <f t="shared" si="137"/>
        <v>0</v>
      </c>
      <c r="BJ71" s="27">
        <f t="shared" si="137"/>
        <v>0</v>
      </c>
      <c r="BL71" s="27">
        <f t="shared" si="138"/>
        <v>0</v>
      </c>
      <c r="BM71" s="27">
        <f t="shared" si="139"/>
        <v>0</v>
      </c>
      <c r="BN71" s="27">
        <f t="shared" si="139"/>
        <v>0</v>
      </c>
      <c r="BO71" s="27">
        <f t="shared" si="140"/>
        <v>0</v>
      </c>
      <c r="BP71" s="27">
        <f t="shared" si="141"/>
        <v>0</v>
      </c>
      <c r="BQ71" s="27">
        <f t="shared" si="142"/>
        <v>0</v>
      </c>
      <c r="BR71" s="27">
        <f t="shared" si="143"/>
        <v>0</v>
      </c>
      <c r="BS71" s="27">
        <f t="shared" si="144"/>
        <v>0</v>
      </c>
      <c r="BT71" s="27">
        <f t="shared" si="145"/>
        <v>0</v>
      </c>
      <c r="BU71" s="27">
        <f t="shared" si="146"/>
        <v>0</v>
      </c>
      <c r="BV71" s="27">
        <f t="shared" si="147"/>
        <v>0</v>
      </c>
      <c r="BW71" s="27">
        <f t="shared" si="148"/>
        <v>0</v>
      </c>
      <c r="BX71" s="27">
        <f t="shared" si="149"/>
        <v>0</v>
      </c>
      <c r="BY71" s="27">
        <f t="shared" si="150"/>
        <v>0</v>
      </c>
      <c r="BZ71" s="27">
        <f t="shared" si="151"/>
        <v>0</v>
      </c>
      <c r="CA71" s="27">
        <f t="shared" si="152"/>
        <v>0</v>
      </c>
      <c r="CB71" s="27">
        <f t="shared" si="153"/>
        <v>0</v>
      </c>
      <c r="CC71" s="27">
        <f t="shared" si="154"/>
        <v>0</v>
      </c>
      <c r="CD71" s="27">
        <f t="shared" si="155"/>
        <v>0</v>
      </c>
      <c r="CE71" s="27">
        <f t="shared" si="156"/>
        <v>0</v>
      </c>
      <c r="CF71" s="27">
        <f t="shared" si="157"/>
        <v>0</v>
      </c>
      <c r="CG71" s="27">
        <f t="shared" si="158"/>
        <v>0</v>
      </c>
      <c r="CH71" s="27">
        <f t="shared" si="159"/>
        <v>0</v>
      </c>
      <c r="CI71" s="27">
        <f t="shared" si="160"/>
        <v>0</v>
      </c>
      <c r="CJ71" s="27">
        <f t="shared" si="49"/>
        <v>0</v>
      </c>
      <c r="CK71" s="27">
        <f t="shared" si="35"/>
        <v>0</v>
      </c>
      <c r="CL71" s="27">
        <f t="shared" si="36"/>
        <v>0</v>
      </c>
      <c r="CM71" s="27">
        <f t="shared" si="37"/>
        <v>0</v>
      </c>
      <c r="CN71" s="27">
        <f t="shared" si="38"/>
        <v>0</v>
      </c>
      <c r="CO71" s="27">
        <f t="shared" si="39"/>
        <v>0</v>
      </c>
      <c r="CP71" s="27">
        <f t="shared" si="40"/>
        <v>0</v>
      </c>
      <c r="CQ71" s="27">
        <f t="shared" si="41"/>
        <v>0</v>
      </c>
      <c r="CR71" s="27">
        <f t="shared" si="42"/>
        <v>0</v>
      </c>
      <c r="CS71" s="27">
        <f t="shared" si="43"/>
        <v>0</v>
      </c>
      <c r="CT71" s="27">
        <f t="shared" si="44"/>
        <v>0</v>
      </c>
      <c r="CU71" s="61">
        <f t="shared" si="45"/>
        <v>0</v>
      </c>
    </row>
    <row r="72" spans="2:99" s="27" customFormat="1" ht="11.25" hidden="1" x14ac:dyDescent="0.2">
      <c r="B72" s="60">
        <f>IF(C72=0,0,SANDBOX!D175)</f>
        <v>0</v>
      </c>
      <c r="C72" s="27">
        <f>IF(SANDBOX!G175=SB!$C$156,SANDBOX!F175,0)</f>
        <v>0</v>
      </c>
      <c r="D72" s="27" t="str">
        <f>IF(SANDBOX!I175=0,$E$45,SANDBOX!I175)</f>
        <v>Enero</v>
      </c>
      <c r="E72" s="27">
        <f t="shared" si="127"/>
        <v>0</v>
      </c>
      <c r="F72" s="27">
        <f t="shared" si="128"/>
        <v>0</v>
      </c>
      <c r="G72" s="27">
        <f t="shared" si="128"/>
        <v>0</v>
      </c>
      <c r="H72" s="27">
        <f t="shared" si="128"/>
        <v>0</v>
      </c>
      <c r="I72" s="27">
        <f t="shared" si="128"/>
        <v>0</v>
      </c>
      <c r="J72" s="27">
        <f t="shared" si="128"/>
        <v>0</v>
      </c>
      <c r="K72" s="27">
        <f t="shared" si="128"/>
        <v>0</v>
      </c>
      <c r="L72" s="27">
        <f t="shared" si="128"/>
        <v>0</v>
      </c>
      <c r="M72" s="27">
        <f t="shared" si="128"/>
        <v>0</v>
      </c>
      <c r="N72" s="27">
        <f t="shared" si="128"/>
        <v>0</v>
      </c>
      <c r="O72" s="27">
        <f t="shared" si="128"/>
        <v>0</v>
      </c>
      <c r="P72" s="27">
        <f t="shared" si="128"/>
        <v>0</v>
      </c>
      <c r="Q72" s="27">
        <f t="shared" si="129"/>
        <v>0</v>
      </c>
      <c r="R72" s="27">
        <f>IF($C72=0,0,SANDBOX!J175)</f>
        <v>0</v>
      </c>
      <c r="S72" s="27">
        <f>IF($C72=0,0,SANDBOX!K175)</f>
        <v>0</v>
      </c>
      <c r="T72" s="27">
        <f t="shared" si="130"/>
        <v>0</v>
      </c>
      <c r="U72" s="27">
        <f t="shared" si="131"/>
        <v>0</v>
      </c>
      <c r="V72" s="27">
        <f t="shared" si="131"/>
        <v>0</v>
      </c>
      <c r="W72" s="27">
        <f t="shared" si="131"/>
        <v>0</v>
      </c>
      <c r="X72" s="27">
        <f t="shared" si="131"/>
        <v>0</v>
      </c>
      <c r="Y72" s="27">
        <f t="shared" si="131"/>
        <v>0</v>
      </c>
      <c r="Z72" s="27">
        <f t="shared" si="131"/>
        <v>0</v>
      </c>
      <c r="AA72" s="27">
        <f t="shared" si="131"/>
        <v>0</v>
      </c>
      <c r="AB72" s="27">
        <f t="shared" si="131"/>
        <v>0</v>
      </c>
      <c r="AC72" s="27">
        <f t="shared" si="131"/>
        <v>0</v>
      </c>
      <c r="AD72" s="27">
        <f t="shared" si="131"/>
        <v>0</v>
      </c>
      <c r="AE72" s="27">
        <f t="shared" si="131"/>
        <v>0</v>
      </c>
      <c r="AF72" s="27">
        <f t="shared" si="131"/>
        <v>0</v>
      </c>
      <c r="AG72" s="27">
        <f t="shared" si="50"/>
        <v>0</v>
      </c>
      <c r="AH72" s="27">
        <f t="shared" si="132"/>
        <v>0</v>
      </c>
      <c r="AI72" s="27">
        <f t="shared" si="133"/>
        <v>0</v>
      </c>
      <c r="AJ72" s="27">
        <f t="shared" si="51"/>
        <v>0</v>
      </c>
      <c r="AK72" s="27">
        <f t="shared" si="52"/>
        <v>0</v>
      </c>
      <c r="AL72" s="27">
        <f t="shared" si="134"/>
        <v>0</v>
      </c>
      <c r="AM72" s="27">
        <f t="shared" si="53"/>
        <v>0</v>
      </c>
      <c r="AN72" s="27" t="str">
        <f t="shared" si="135"/>
        <v>OK</v>
      </c>
      <c r="AO72" s="27">
        <f>IF(S72=SB!$E$148,T72,0)</f>
        <v>0</v>
      </c>
      <c r="AP72" s="27">
        <f>IF(S72=SB!$E$149,T72,0)</f>
        <v>0</v>
      </c>
      <c r="AQ72" s="27">
        <f>IF($S72=SB!E$150,T72,0)</f>
        <v>0</v>
      </c>
      <c r="AR72" s="27">
        <f>IF(S72=SB!$E$151,T72,0)</f>
        <v>0</v>
      </c>
      <c r="AS72" s="27">
        <f>IF(S72=SB!$E$152,T72,0)</f>
        <v>0</v>
      </c>
      <c r="AT72" s="27">
        <f>IF(S72=SB!$E$153,T72,0)</f>
        <v>0</v>
      </c>
      <c r="AU72" s="27">
        <f>IF(S72=SB!$E$154,T72,0)</f>
        <v>0</v>
      </c>
      <c r="AV72" s="27">
        <f t="shared" si="46"/>
        <v>0</v>
      </c>
      <c r="AW72" s="27">
        <f t="shared" si="47"/>
        <v>1</v>
      </c>
      <c r="AX72" s="27">
        <f t="shared" si="136"/>
        <v>0</v>
      </c>
      <c r="AY72" s="27">
        <f t="shared" si="137"/>
        <v>0</v>
      </c>
      <c r="AZ72" s="27">
        <f t="shared" si="137"/>
        <v>0</v>
      </c>
      <c r="BA72" s="27">
        <f t="shared" si="137"/>
        <v>0</v>
      </c>
      <c r="BB72" s="27">
        <f t="shared" si="137"/>
        <v>0</v>
      </c>
      <c r="BC72" s="27">
        <f t="shared" si="137"/>
        <v>0</v>
      </c>
      <c r="BD72" s="61">
        <f t="shared" si="137"/>
        <v>0</v>
      </c>
      <c r="BE72" s="27">
        <f t="shared" si="137"/>
        <v>0</v>
      </c>
      <c r="BF72" s="27">
        <f t="shared" si="137"/>
        <v>0</v>
      </c>
      <c r="BG72" s="27">
        <f t="shared" si="137"/>
        <v>0</v>
      </c>
      <c r="BH72" s="27">
        <f t="shared" si="137"/>
        <v>0</v>
      </c>
      <c r="BI72" s="27">
        <f t="shared" si="137"/>
        <v>0</v>
      </c>
      <c r="BJ72" s="27">
        <f t="shared" si="137"/>
        <v>0</v>
      </c>
      <c r="BL72" s="27">
        <f t="shared" si="138"/>
        <v>0</v>
      </c>
      <c r="BM72" s="27">
        <f t="shared" si="139"/>
        <v>0</v>
      </c>
      <c r="BN72" s="27">
        <f t="shared" si="139"/>
        <v>0</v>
      </c>
      <c r="BO72" s="27">
        <f t="shared" si="140"/>
        <v>0</v>
      </c>
      <c r="BP72" s="27">
        <f t="shared" si="141"/>
        <v>0</v>
      </c>
      <c r="BQ72" s="27">
        <f t="shared" si="142"/>
        <v>0</v>
      </c>
      <c r="BR72" s="27">
        <f t="shared" si="143"/>
        <v>0</v>
      </c>
      <c r="BS72" s="27">
        <f t="shared" si="144"/>
        <v>0</v>
      </c>
      <c r="BT72" s="27">
        <f t="shared" si="145"/>
        <v>0</v>
      </c>
      <c r="BU72" s="27">
        <f t="shared" si="146"/>
        <v>0</v>
      </c>
      <c r="BV72" s="27">
        <f t="shared" si="147"/>
        <v>0</v>
      </c>
      <c r="BW72" s="27">
        <f t="shared" si="148"/>
        <v>0</v>
      </c>
      <c r="BX72" s="27">
        <f t="shared" si="149"/>
        <v>0</v>
      </c>
      <c r="BY72" s="27">
        <f t="shared" si="150"/>
        <v>0</v>
      </c>
      <c r="BZ72" s="27">
        <f t="shared" si="151"/>
        <v>0</v>
      </c>
      <c r="CA72" s="27">
        <f t="shared" si="152"/>
        <v>0</v>
      </c>
      <c r="CB72" s="27">
        <f t="shared" si="153"/>
        <v>0</v>
      </c>
      <c r="CC72" s="27">
        <f t="shared" si="154"/>
        <v>0</v>
      </c>
      <c r="CD72" s="27">
        <f t="shared" si="155"/>
        <v>0</v>
      </c>
      <c r="CE72" s="27">
        <f t="shared" si="156"/>
        <v>0</v>
      </c>
      <c r="CF72" s="27">
        <f t="shared" si="157"/>
        <v>0</v>
      </c>
      <c r="CG72" s="27">
        <f t="shared" si="158"/>
        <v>0</v>
      </c>
      <c r="CH72" s="27">
        <f t="shared" si="159"/>
        <v>0</v>
      </c>
      <c r="CI72" s="27">
        <f t="shared" si="160"/>
        <v>0</v>
      </c>
      <c r="CJ72" s="27">
        <f t="shared" si="49"/>
        <v>0</v>
      </c>
      <c r="CK72" s="27">
        <f t="shared" si="35"/>
        <v>0</v>
      </c>
      <c r="CL72" s="27">
        <f t="shared" si="36"/>
        <v>0</v>
      </c>
      <c r="CM72" s="27">
        <f t="shared" si="37"/>
        <v>0</v>
      </c>
      <c r="CN72" s="27">
        <f t="shared" si="38"/>
        <v>0</v>
      </c>
      <c r="CO72" s="27">
        <f t="shared" si="39"/>
        <v>0</v>
      </c>
      <c r="CP72" s="27">
        <f t="shared" si="40"/>
        <v>0</v>
      </c>
      <c r="CQ72" s="27">
        <f t="shared" si="41"/>
        <v>0</v>
      </c>
      <c r="CR72" s="27">
        <f t="shared" si="42"/>
        <v>0</v>
      </c>
      <c r="CS72" s="27">
        <f t="shared" si="43"/>
        <v>0</v>
      </c>
      <c r="CT72" s="27">
        <f t="shared" si="44"/>
        <v>0</v>
      </c>
      <c r="CU72" s="61">
        <f t="shared" si="45"/>
        <v>0</v>
      </c>
    </row>
    <row r="73" spans="2:99" s="27" customFormat="1" ht="11.25" hidden="1" x14ac:dyDescent="0.2">
      <c r="B73" s="60">
        <f>IF(C73=0,0,SANDBOX!D176)</f>
        <v>0</v>
      </c>
      <c r="C73" s="27">
        <f>IF(SANDBOX!G176=SB!$C$156,SANDBOX!F176,0)</f>
        <v>0</v>
      </c>
      <c r="D73" s="27" t="str">
        <f>IF(SANDBOX!I176=0,$E$45,SANDBOX!I176)</f>
        <v>Enero</v>
      </c>
      <c r="E73" s="27">
        <f t="shared" si="127"/>
        <v>0</v>
      </c>
      <c r="F73" s="27">
        <f t="shared" si="128"/>
        <v>0</v>
      </c>
      <c r="G73" s="27">
        <f t="shared" si="128"/>
        <v>0</v>
      </c>
      <c r="H73" s="27">
        <f t="shared" si="128"/>
        <v>0</v>
      </c>
      <c r="I73" s="27">
        <f t="shared" si="128"/>
        <v>0</v>
      </c>
      <c r="J73" s="27">
        <f t="shared" si="128"/>
        <v>0</v>
      </c>
      <c r="K73" s="27">
        <f t="shared" si="128"/>
        <v>0</v>
      </c>
      <c r="L73" s="27">
        <f t="shared" si="128"/>
        <v>0</v>
      </c>
      <c r="M73" s="27">
        <f t="shared" si="128"/>
        <v>0</v>
      </c>
      <c r="N73" s="27">
        <f t="shared" si="128"/>
        <v>0</v>
      </c>
      <c r="O73" s="27">
        <f t="shared" si="128"/>
        <v>0</v>
      </c>
      <c r="P73" s="27">
        <f t="shared" si="128"/>
        <v>0</v>
      </c>
      <c r="Q73" s="27">
        <f t="shared" si="129"/>
        <v>0</v>
      </c>
      <c r="R73" s="27">
        <f>IF($C73=0,0,SANDBOX!J176)</f>
        <v>0</v>
      </c>
      <c r="S73" s="27">
        <f>IF($C73=0,0,SANDBOX!K176)</f>
        <v>0</v>
      </c>
      <c r="T73" s="27">
        <f t="shared" si="130"/>
        <v>0</v>
      </c>
      <c r="U73" s="27">
        <f t="shared" si="131"/>
        <v>0</v>
      </c>
      <c r="V73" s="27">
        <f t="shared" si="131"/>
        <v>0</v>
      </c>
      <c r="W73" s="27">
        <f t="shared" si="131"/>
        <v>0</v>
      </c>
      <c r="X73" s="27">
        <f t="shared" si="131"/>
        <v>0</v>
      </c>
      <c r="Y73" s="27">
        <f t="shared" si="131"/>
        <v>0</v>
      </c>
      <c r="Z73" s="27">
        <f t="shared" si="131"/>
        <v>0</v>
      </c>
      <c r="AA73" s="27">
        <f t="shared" si="131"/>
        <v>0</v>
      </c>
      <c r="AB73" s="27">
        <f t="shared" si="131"/>
        <v>0</v>
      </c>
      <c r="AC73" s="27">
        <f t="shared" si="131"/>
        <v>0</v>
      </c>
      <c r="AD73" s="27">
        <f t="shared" si="131"/>
        <v>0</v>
      </c>
      <c r="AE73" s="27">
        <f t="shared" si="131"/>
        <v>0</v>
      </c>
      <c r="AF73" s="27">
        <f t="shared" si="131"/>
        <v>0</v>
      </c>
      <c r="AG73" s="27">
        <f t="shared" si="50"/>
        <v>0</v>
      </c>
      <c r="AH73" s="27">
        <f t="shared" si="132"/>
        <v>0</v>
      </c>
      <c r="AI73" s="27">
        <f t="shared" si="133"/>
        <v>0</v>
      </c>
      <c r="AJ73" s="27">
        <f t="shared" si="51"/>
        <v>0</v>
      </c>
      <c r="AK73" s="27">
        <f t="shared" si="52"/>
        <v>0</v>
      </c>
      <c r="AL73" s="27">
        <f t="shared" si="134"/>
        <v>0</v>
      </c>
      <c r="AM73" s="27">
        <f t="shared" si="53"/>
        <v>0</v>
      </c>
      <c r="AN73" s="27" t="str">
        <f t="shared" si="135"/>
        <v>OK</v>
      </c>
      <c r="AO73" s="27">
        <f>IF(S73=SB!$E$148,T73,0)</f>
        <v>0</v>
      </c>
      <c r="AP73" s="27">
        <f>IF(S73=SB!$E$149,T73,0)</f>
        <v>0</v>
      </c>
      <c r="AQ73" s="27">
        <f>IF($S73=SB!E$150,T73,0)</f>
        <v>0</v>
      </c>
      <c r="AR73" s="27">
        <f>IF(S73=SB!$E$151,T73,0)</f>
        <v>0</v>
      </c>
      <c r="AS73" s="27">
        <f>IF(S73=SB!$E$152,T73,0)</f>
        <v>0</v>
      </c>
      <c r="AT73" s="27">
        <f>IF(S73=SB!$E$153,T73,0)</f>
        <v>0</v>
      </c>
      <c r="AU73" s="27">
        <f>IF(S73=SB!$E$154,T73,0)</f>
        <v>0</v>
      </c>
      <c r="AV73" s="27">
        <f t="shared" si="46"/>
        <v>0</v>
      </c>
      <c r="AW73" s="27">
        <f t="shared" si="47"/>
        <v>1</v>
      </c>
      <c r="AX73" s="27">
        <f t="shared" si="136"/>
        <v>0</v>
      </c>
      <c r="AY73" s="27">
        <f t="shared" si="137"/>
        <v>0</v>
      </c>
      <c r="AZ73" s="27">
        <f t="shared" si="137"/>
        <v>0</v>
      </c>
      <c r="BA73" s="27">
        <f t="shared" si="137"/>
        <v>0</v>
      </c>
      <c r="BB73" s="27">
        <f t="shared" si="137"/>
        <v>0</v>
      </c>
      <c r="BC73" s="27">
        <f t="shared" si="137"/>
        <v>0</v>
      </c>
      <c r="BD73" s="61">
        <f t="shared" si="137"/>
        <v>0</v>
      </c>
      <c r="BE73" s="27">
        <f t="shared" si="137"/>
        <v>0</v>
      </c>
      <c r="BF73" s="27">
        <f t="shared" si="137"/>
        <v>0</v>
      </c>
      <c r="BG73" s="27">
        <f t="shared" si="137"/>
        <v>0</v>
      </c>
      <c r="BH73" s="27">
        <f t="shared" si="137"/>
        <v>0</v>
      </c>
      <c r="BI73" s="27">
        <f t="shared" si="137"/>
        <v>0</v>
      </c>
      <c r="BJ73" s="27">
        <f t="shared" si="137"/>
        <v>0</v>
      </c>
      <c r="BL73" s="27">
        <f t="shared" si="138"/>
        <v>0</v>
      </c>
      <c r="BM73" s="27">
        <f t="shared" si="139"/>
        <v>0</v>
      </c>
      <c r="BN73" s="27">
        <f t="shared" si="139"/>
        <v>0</v>
      </c>
      <c r="BO73" s="27">
        <f t="shared" si="140"/>
        <v>0</v>
      </c>
      <c r="BP73" s="27">
        <f t="shared" si="141"/>
        <v>0</v>
      </c>
      <c r="BQ73" s="27">
        <f t="shared" si="142"/>
        <v>0</v>
      </c>
      <c r="BR73" s="27">
        <f t="shared" si="143"/>
        <v>0</v>
      </c>
      <c r="BS73" s="27">
        <f t="shared" si="144"/>
        <v>0</v>
      </c>
      <c r="BT73" s="27">
        <f t="shared" si="145"/>
        <v>0</v>
      </c>
      <c r="BU73" s="27">
        <f t="shared" si="146"/>
        <v>0</v>
      </c>
      <c r="BV73" s="27">
        <f t="shared" si="147"/>
        <v>0</v>
      </c>
      <c r="BW73" s="27">
        <f t="shared" si="148"/>
        <v>0</v>
      </c>
      <c r="BX73" s="27">
        <f t="shared" si="149"/>
        <v>0</v>
      </c>
      <c r="BY73" s="27">
        <f t="shared" si="150"/>
        <v>0</v>
      </c>
      <c r="BZ73" s="27">
        <f t="shared" si="151"/>
        <v>0</v>
      </c>
      <c r="CA73" s="27">
        <f t="shared" si="152"/>
        <v>0</v>
      </c>
      <c r="CB73" s="27">
        <f t="shared" si="153"/>
        <v>0</v>
      </c>
      <c r="CC73" s="27">
        <f t="shared" si="154"/>
        <v>0</v>
      </c>
      <c r="CD73" s="27">
        <f t="shared" si="155"/>
        <v>0</v>
      </c>
      <c r="CE73" s="27">
        <f t="shared" si="156"/>
        <v>0</v>
      </c>
      <c r="CF73" s="27">
        <f t="shared" si="157"/>
        <v>0</v>
      </c>
      <c r="CG73" s="27">
        <f t="shared" si="158"/>
        <v>0</v>
      </c>
      <c r="CH73" s="27">
        <f t="shared" si="159"/>
        <v>0</v>
      </c>
      <c r="CI73" s="27">
        <f t="shared" si="160"/>
        <v>0</v>
      </c>
      <c r="CJ73" s="27">
        <f t="shared" si="49"/>
        <v>0</v>
      </c>
      <c r="CK73" s="27">
        <f t="shared" si="35"/>
        <v>0</v>
      </c>
      <c r="CL73" s="27">
        <f t="shared" si="36"/>
        <v>0</v>
      </c>
      <c r="CM73" s="27">
        <f t="shared" si="37"/>
        <v>0</v>
      </c>
      <c r="CN73" s="27">
        <f t="shared" si="38"/>
        <v>0</v>
      </c>
      <c r="CO73" s="27">
        <f t="shared" si="39"/>
        <v>0</v>
      </c>
      <c r="CP73" s="27">
        <f t="shared" si="40"/>
        <v>0</v>
      </c>
      <c r="CQ73" s="27">
        <f t="shared" si="41"/>
        <v>0</v>
      </c>
      <c r="CR73" s="27">
        <f t="shared" si="42"/>
        <v>0</v>
      </c>
      <c r="CS73" s="27">
        <f t="shared" si="43"/>
        <v>0</v>
      </c>
      <c r="CT73" s="27">
        <f t="shared" si="44"/>
        <v>0</v>
      </c>
      <c r="CU73" s="61">
        <f t="shared" si="45"/>
        <v>0</v>
      </c>
    </row>
    <row r="74" spans="2:99" s="27" customFormat="1" ht="11.25" hidden="1" x14ac:dyDescent="0.2">
      <c r="B74" s="60">
        <f>IF(C74=0,0,SANDBOX!D177)</f>
        <v>0</v>
      </c>
      <c r="C74" s="27">
        <f>IF(SANDBOX!G177=SB!$C$156,SANDBOX!F177,0)</f>
        <v>0</v>
      </c>
      <c r="D74" s="27" t="str">
        <f>IF(SANDBOX!I177=0,$E$45,SANDBOX!I177)</f>
        <v>Enero</v>
      </c>
      <c r="E74" s="27">
        <f t="shared" si="127"/>
        <v>0</v>
      </c>
      <c r="F74" s="27">
        <f t="shared" si="128"/>
        <v>0</v>
      </c>
      <c r="G74" s="27">
        <f t="shared" si="128"/>
        <v>0</v>
      </c>
      <c r="H74" s="27">
        <f t="shared" si="128"/>
        <v>0</v>
      </c>
      <c r="I74" s="27">
        <f t="shared" si="128"/>
        <v>0</v>
      </c>
      <c r="J74" s="27">
        <f t="shared" si="128"/>
        <v>0</v>
      </c>
      <c r="K74" s="27">
        <f t="shared" si="128"/>
        <v>0</v>
      </c>
      <c r="L74" s="27">
        <f t="shared" si="128"/>
        <v>0</v>
      </c>
      <c r="M74" s="27">
        <f t="shared" si="128"/>
        <v>0</v>
      </c>
      <c r="N74" s="27">
        <f t="shared" si="128"/>
        <v>0</v>
      </c>
      <c r="O74" s="27">
        <f t="shared" si="128"/>
        <v>0</v>
      </c>
      <c r="P74" s="27">
        <f t="shared" si="128"/>
        <v>0</v>
      </c>
      <c r="Q74" s="27">
        <f t="shared" si="129"/>
        <v>0</v>
      </c>
      <c r="R74" s="27">
        <f>IF($C74=0,0,SANDBOX!J177)</f>
        <v>0</v>
      </c>
      <c r="S74" s="27">
        <f>IF($C74=0,0,SANDBOX!K177)</f>
        <v>0</v>
      </c>
      <c r="T74" s="27">
        <f t="shared" si="130"/>
        <v>0</v>
      </c>
      <c r="U74" s="27">
        <f t="shared" si="131"/>
        <v>0</v>
      </c>
      <c r="V74" s="27">
        <f t="shared" si="131"/>
        <v>0</v>
      </c>
      <c r="W74" s="27">
        <f t="shared" si="131"/>
        <v>0</v>
      </c>
      <c r="X74" s="27">
        <f t="shared" si="131"/>
        <v>0</v>
      </c>
      <c r="Y74" s="27">
        <f t="shared" si="131"/>
        <v>0</v>
      </c>
      <c r="Z74" s="27">
        <f t="shared" si="131"/>
        <v>0</v>
      </c>
      <c r="AA74" s="27">
        <f t="shared" si="131"/>
        <v>0</v>
      </c>
      <c r="AB74" s="27">
        <f t="shared" si="131"/>
        <v>0</v>
      </c>
      <c r="AC74" s="27">
        <f t="shared" si="131"/>
        <v>0</v>
      </c>
      <c r="AD74" s="27">
        <f t="shared" si="131"/>
        <v>0</v>
      </c>
      <c r="AE74" s="27">
        <f t="shared" si="131"/>
        <v>0</v>
      </c>
      <c r="AF74" s="27">
        <f t="shared" si="131"/>
        <v>0</v>
      </c>
      <c r="AG74" s="27">
        <f t="shared" si="50"/>
        <v>0</v>
      </c>
      <c r="AH74" s="27">
        <f t="shared" si="132"/>
        <v>0</v>
      </c>
      <c r="AI74" s="27">
        <f t="shared" si="133"/>
        <v>0</v>
      </c>
      <c r="AJ74" s="27">
        <f t="shared" si="51"/>
        <v>0</v>
      </c>
      <c r="AK74" s="27">
        <f t="shared" si="52"/>
        <v>0</v>
      </c>
      <c r="AL74" s="27">
        <f t="shared" si="134"/>
        <v>0</v>
      </c>
      <c r="AM74" s="27">
        <f t="shared" si="53"/>
        <v>0</v>
      </c>
      <c r="AN74" s="27" t="str">
        <f t="shared" si="135"/>
        <v>OK</v>
      </c>
      <c r="AO74" s="27">
        <f>IF(S74=SB!$E$148,T74,0)</f>
        <v>0</v>
      </c>
      <c r="AP74" s="27">
        <f>IF(S74=SB!$E$149,T74,0)</f>
        <v>0</v>
      </c>
      <c r="AQ74" s="27">
        <f>IF($S74=SB!E$150,T74,0)</f>
        <v>0</v>
      </c>
      <c r="AR74" s="27">
        <f>IF(S74=SB!$E$151,T74,0)</f>
        <v>0</v>
      </c>
      <c r="AS74" s="27">
        <f>IF(S74=SB!$E$152,T74,0)</f>
        <v>0</v>
      </c>
      <c r="AT74" s="27">
        <f>IF(S74=SB!$E$153,T74,0)</f>
        <v>0</v>
      </c>
      <c r="AU74" s="27">
        <f>IF(S74=SB!$E$154,T74,0)</f>
        <v>0</v>
      </c>
      <c r="AV74" s="27">
        <f t="shared" si="46"/>
        <v>0</v>
      </c>
      <c r="AW74" s="27">
        <f t="shared" si="47"/>
        <v>1</v>
      </c>
      <c r="AX74" s="27">
        <f t="shared" si="136"/>
        <v>0</v>
      </c>
      <c r="AY74" s="27">
        <f t="shared" si="137"/>
        <v>0</v>
      </c>
      <c r="AZ74" s="27">
        <f t="shared" si="137"/>
        <v>0</v>
      </c>
      <c r="BA74" s="27">
        <f t="shared" si="137"/>
        <v>0</v>
      </c>
      <c r="BB74" s="27">
        <f t="shared" si="137"/>
        <v>0</v>
      </c>
      <c r="BC74" s="27">
        <f t="shared" si="137"/>
        <v>0</v>
      </c>
      <c r="BD74" s="61">
        <f t="shared" si="137"/>
        <v>0</v>
      </c>
      <c r="BE74" s="27">
        <f t="shared" si="137"/>
        <v>0</v>
      </c>
      <c r="BF74" s="27">
        <f t="shared" si="137"/>
        <v>0</v>
      </c>
      <c r="BG74" s="27">
        <f t="shared" si="137"/>
        <v>0</v>
      </c>
      <c r="BH74" s="27">
        <f t="shared" si="137"/>
        <v>0</v>
      </c>
      <c r="BI74" s="27">
        <f t="shared" si="137"/>
        <v>0</v>
      </c>
      <c r="BJ74" s="27">
        <f t="shared" si="137"/>
        <v>0</v>
      </c>
      <c r="BL74" s="27">
        <f t="shared" si="138"/>
        <v>0</v>
      </c>
      <c r="BM74" s="27">
        <f t="shared" si="139"/>
        <v>0</v>
      </c>
      <c r="BN74" s="27">
        <f t="shared" si="139"/>
        <v>0</v>
      </c>
      <c r="BO74" s="27">
        <f t="shared" si="140"/>
        <v>0</v>
      </c>
      <c r="BP74" s="27">
        <f t="shared" si="141"/>
        <v>0</v>
      </c>
      <c r="BQ74" s="27">
        <f t="shared" si="142"/>
        <v>0</v>
      </c>
      <c r="BR74" s="27">
        <f t="shared" si="143"/>
        <v>0</v>
      </c>
      <c r="BS74" s="27">
        <f t="shared" si="144"/>
        <v>0</v>
      </c>
      <c r="BT74" s="27">
        <f t="shared" si="145"/>
        <v>0</v>
      </c>
      <c r="BU74" s="27">
        <f t="shared" si="146"/>
        <v>0</v>
      </c>
      <c r="BV74" s="27">
        <f t="shared" si="147"/>
        <v>0</v>
      </c>
      <c r="BW74" s="27">
        <f t="shared" si="148"/>
        <v>0</v>
      </c>
      <c r="BX74" s="27">
        <f t="shared" si="149"/>
        <v>0</v>
      </c>
      <c r="BY74" s="27">
        <f t="shared" si="150"/>
        <v>0</v>
      </c>
      <c r="BZ74" s="27">
        <f t="shared" si="151"/>
        <v>0</v>
      </c>
      <c r="CA74" s="27">
        <f t="shared" si="152"/>
        <v>0</v>
      </c>
      <c r="CB74" s="27">
        <f t="shared" si="153"/>
        <v>0</v>
      </c>
      <c r="CC74" s="27">
        <f t="shared" si="154"/>
        <v>0</v>
      </c>
      <c r="CD74" s="27">
        <f t="shared" si="155"/>
        <v>0</v>
      </c>
      <c r="CE74" s="27">
        <f t="shared" si="156"/>
        <v>0</v>
      </c>
      <c r="CF74" s="27">
        <f t="shared" si="157"/>
        <v>0</v>
      </c>
      <c r="CG74" s="27">
        <f t="shared" si="158"/>
        <v>0</v>
      </c>
      <c r="CH74" s="27">
        <f t="shared" si="159"/>
        <v>0</v>
      </c>
      <c r="CI74" s="27">
        <f t="shared" si="160"/>
        <v>0</v>
      </c>
      <c r="CJ74" s="27">
        <f t="shared" si="49"/>
        <v>0</v>
      </c>
      <c r="CK74" s="27">
        <f t="shared" si="35"/>
        <v>0</v>
      </c>
      <c r="CL74" s="27">
        <f t="shared" si="36"/>
        <v>0</v>
      </c>
      <c r="CM74" s="27">
        <f t="shared" si="37"/>
        <v>0</v>
      </c>
      <c r="CN74" s="27">
        <f t="shared" si="38"/>
        <v>0</v>
      </c>
      <c r="CO74" s="27">
        <f t="shared" si="39"/>
        <v>0</v>
      </c>
      <c r="CP74" s="27">
        <f t="shared" si="40"/>
        <v>0</v>
      </c>
      <c r="CQ74" s="27">
        <f t="shared" si="41"/>
        <v>0</v>
      </c>
      <c r="CR74" s="27">
        <f t="shared" si="42"/>
        <v>0</v>
      </c>
      <c r="CS74" s="27">
        <f t="shared" si="43"/>
        <v>0</v>
      </c>
      <c r="CT74" s="27">
        <f t="shared" si="44"/>
        <v>0</v>
      </c>
      <c r="CU74" s="61">
        <f t="shared" si="45"/>
        <v>0</v>
      </c>
    </row>
    <row r="75" spans="2:99" s="27" customFormat="1" ht="11.25" hidden="1" x14ac:dyDescent="0.2">
      <c r="B75" s="60" t="str">
        <f>SANDBOX!$D171</f>
        <v>Vehículos y elementos de transporte</v>
      </c>
      <c r="E75" s="27">
        <f t="shared" ref="E75:Q75" si="161">SUM(E69:E74)</f>
        <v>0</v>
      </c>
      <c r="F75" s="27">
        <f t="shared" si="161"/>
        <v>0</v>
      </c>
      <c r="G75" s="27">
        <f t="shared" si="161"/>
        <v>0</v>
      </c>
      <c r="H75" s="27">
        <f t="shared" si="161"/>
        <v>0</v>
      </c>
      <c r="I75" s="27">
        <f t="shared" si="161"/>
        <v>0</v>
      </c>
      <c r="J75" s="27">
        <f t="shared" si="161"/>
        <v>0</v>
      </c>
      <c r="K75" s="27">
        <f t="shared" si="161"/>
        <v>0</v>
      </c>
      <c r="L75" s="27">
        <f t="shared" si="161"/>
        <v>0</v>
      </c>
      <c r="M75" s="27">
        <f t="shared" si="161"/>
        <v>0</v>
      </c>
      <c r="N75" s="27">
        <f t="shared" si="161"/>
        <v>0</v>
      </c>
      <c r="O75" s="27">
        <f t="shared" si="161"/>
        <v>0</v>
      </c>
      <c r="P75" s="27">
        <f t="shared" si="161"/>
        <v>0</v>
      </c>
      <c r="Q75" s="27">
        <f t="shared" si="161"/>
        <v>0</v>
      </c>
      <c r="S75" s="27" t="str">
        <f>SANDBOX!$D$171</f>
        <v>Vehículos y elementos de transporte</v>
      </c>
      <c r="U75" s="27">
        <f t="shared" ref="U75:AM75" si="162">SUM(U69:U74)</f>
        <v>0</v>
      </c>
      <c r="V75" s="27">
        <f t="shared" si="162"/>
        <v>0</v>
      </c>
      <c r="W75" s="27">
        <f t="shared" si="162"/>
        <v>0</v>
      </c>
      <c r="X75" s="27">
        <f t="shared" si="162"/>
        <v>0</v>
      </c>
      <c r="Y75" s="27">
        <f t="shared" si="162"/>
        <v>0</v>
      </c>
      <c r="Z75" s="27">
        <f t="shared" si="162"/>
        <v>0</v>
      </c>
      <c r="AA75" s="27">
        <f t="shared" si="162"/>
        <v>0</v>
      </c>
      <c r="AB75" s="27">
        <f t="shared" si="162"/>
        <v>0</v>
      </c>
      <c r="AC75" s="27">
        <f t="shared" si="162"/>
        <v>0</v>
      </c>
      <c r="AD75" s="27">
        <f t="shared" si="162"/>
        <v>0</v>
      </c>
      <c r="AE75" s="27">
        <f t="shared" si="162"/>
        <v>0</v>
      </c>
      <c r="AF75" s="27">
        <f t="shared" si="162"/>
        <v>0</v>
      </c>
      <c r="AG75" s="27">
        <f t="shared" si="162"/>
        <v>0</v>
      </c>
      <c r="AH75" s="27">
        <f t="shared" si="162"/>
        <v>0</v>
      </c>
      <c r="AI75" s="27">
        <f t="shared" si="162"/>
        <v>0</v>
      </c>
      <c r="AJ75" s="27">
        <f t="shared" si="162"/>
        <v>0</v>
      </c>
      <c r="AK75" s="27">
        <f t="shared" si="162"/>
        <v>0</v>
      </c>
      <c r="AL75" s="27">
        <f t="shared" si="162"/>
        <v>0</v>
      </c>
      <c r="AM75" s="27">
        <f t="shared" si="162"/>
        <v>0</v>
      </c>
      <c r="BD75" s="61"/>
      <c r="CU75" s="61"/>
    </row>
    <row r="76" spans="2:99" s="27" customFormat="1" ht="11.25" hidden="1" x14ac:dyDescent="0.2">
      <c r="B76" s="60">
        <f>IF(C76=0,0,SANDBOX!D179)</f>
        <v>0</v>
      </c>
      <c r="C76" s="27">
        <f>IF(SANDBOX!G179=SB!$C$156,SANDBOX!F179,0)</f>
        <v>0</v>
      </c>
      <c r="D76" s="27" t="str">
        <f>IF(SANDBOX!I179=0,$E$45,SANDBOX!I179)</f>
        <v>Enero</v>
      </c>
      <c r="E76" s="27">
        <f t="shared" ref="E76:E81" si="163">SUMIF($D76,E$45,$C76)</f>
        <v>0</v>
      </c>
      <c r="F76" s="27">
        <f t="shared" ref="F76:P81" si="164">SUMIF($D76,F$45,$C76)</f>
        <v>0</v>
      </c>
      <c r="G76" s="27">
        <f t="shared" si="164"/>
        <v>0</v>
      </c>
      <c r="H76" s="27">
        <f t="shared" si="164"/>
        <v>0</v>
      </c>
      <c r="I76" s="27">
        <f t="shared" si="164"/>
        <v>0</v>
      </c>
      <c r="J76" s="27">
        <f t="shared" si="164"/>
        <v>0</v>
      </c>
      <c r="K76" s="27">
        <f t="shared" si="164"/>
        <v>0</v>
      </c>
      <c r="L76" s="27">
        <f t="shared" si="164"/>
        <v>0</v>
      </c>
      <c r="M76" s="27">
        <f t="shared" si="164"/>
        <v>0</v>
      </c>
      <c r="N76" s="27">
        <f t="shared" si="164"/>
        <v>0</v>
      </c>
      <c r="O76" s="27">
        <f t="shared" si="164"/>
        <v>0</v>
      </c>
      <c r="P76" s="27">
        <f t="shared" si="164"/>
        <v>0</v>
      </c>
      <c r="Q76" s="27">
        <f t="shared" ref="Q76:Q81" si="165">SUM(E76:P76)</f>
        <v>0</v>
      </c>
      <c r="R76" s="27">
        <f>IF($C76=0,0,SANDBOX!J179)</f>
        <v>0</v>
      </c>
      <c r="S76" s="27">
        <f>IF($C76=0,0,SANDBOX!K179)</f>
        <v>0</v>
      </c>
      <c r="T76" s="27">
        <f t="shared" ref="T76:T81" si="166">IF(R76=0,0,C76/R76)</f>
        <v>0</v>
      </c>
      <c r="U76" s="27">
        <f t="shared" ref="U76:AF81" si="167">IF(CJ76&lt;=0,0,BL76)</f>
        <v>0</v>
      </c>
      <c r="V76" s="27">
        <f t="shared" si="167"/>
        <v>0</v>
      </c>
      <c r="W76" s="27">
        <f t="shared" si="167"/>
        <v>0</v>
      </c>
      <c r="X76" s="27">
        <f t="shared" si="167"/>
        <v>0</v>
      </c>
      <c r="Y76" s="27">
        <f t="shared" si="167"/>
        <v>0</v>
      </c>
      <c r="Z76" s="27">
        <f t="shared" si="167"/>
        <v>0</v>
      </c>
      <c r="AA76" s="27">
        <f t="shared" si="167"/>
        <v>0</v>
      </c>
      <c r="AB76" s="27">
        <f t="shared" si="167"/>
        <v>0</v>
      </c>
      <c r="AC76" s="27">
        <f t="shared" si="167"/>
        <v>0</v>
      </c>
      <c r="AD76" s="27">
        <f t="shared" si="167"/>
        <v>0</v>
      </c>
      <c r="AE76" s="27">
        <f t="shared" si="167"/>
        <v>0</v>
      </c>
      <c r="AF76" s="27">
        <f t="shared" si="167"/>
        <v>0</v>
      </c>
      <c r="AG76" s="27">
        <f t="shared" si="50"/>
        <v>0</v>
      </c>
      <c r="AH76" s="27">
        <f t="shared" ref="AH76:AH81" si="168">+C76-AG76</f>
        <v>0</v>
      </c>
      <c r="AI76" s="27">
        <f t="shared" ref="AI76:AI81" si="169">IF($T76=0,0,AH76/$T76)</f>
        <v>0</v>
      </c>
      <c r="AJ76" s="27">
        <f t="shared" si="51"/>
        <v>0</v>
      </c>
      <c r="AK76" s="27">
        <f t="shared" si="52"/>
        <v>0</v>
      </c>
      <c r="AL76" s="27">
        <f t="shared" ref="AL76:AL81" si="170">IF($T76=0,0,AK76/$T76)</f>
        <v>0</v>
      </c>
      <c r="AM76" s="27">
        <f t="shared" si="53"/>
        <v>0</v>
      </c>
      <c r="AN76" s="27" t="str">
        <f t="shared" ref="AN76:AN81" si="171">IF(AM76+AJ76+AG76=C76,"OK","ERROR")</f>
        <v>OK</v>
      </c>
      <c r="AO76" s="27">
        <f>IF(S76=SB!$E$148,T76,0)</f>
        <v>0</v>
      </c>
      <c r="AP76" s="27">
        <f>IF(S76=SB!$E$149,T76,0)</f>
        <v>0</v>
      </c>
      <c r="AQ76" s="27">
        <f>IF($S76=SB!E$150,T76,0)</f>
        <v>0</v>
      </c>
      <c r="AR76" s="27">
        <f>IF(S76=SB!$E$151,T76,0)</f>
        <v>0</v>
      </c>
      <c r="AS76" s="27">
        <f>IF(S76=SB!$E$152,T76,0)</f>
        <v>0</v>
      </c>
      <c r="AT76" s="27">
        <f>IF(S76=SB!$E$153,T76,0)</f>
        <v>0</v>
      </c>
      <c r="AU76" s="27">
        <f>IF(S76=SB!$E$154,T76,0)</f>
        <v>0</v>
      </c>
      <c r="AV76" s="27">
        <f t="shared" si="46"/>
        <v>0</v>
      </c>
      <c r="AW76" s="27">
        <f t="shared" si="47"/>
        <v>1</v>
      </c>
      <c r="AX76" s="27">
        <f t="shared" ref="AX76:AX81" si="172">+AW76+AV76-1</f>
        <v>0</v>
      </c>
      <c r="AY76" s="27">
        <f t="shared" ref="AY76:BJ81" si="173">IF(AY$47=$AX76,$T76,0)</f>
        <v>0</v>
      </c>
      <c r="AZ76" s="27">
        <f t="shared" si="173"/>
        <v>0</v>
      </c>
      <c r="BA76" s="27">
        <f t="shared" si="173"/>
        <v>0</v>
      </c>
      <c r="BB76" s="27">
        <f t="shared" si="173"/>
        <v>0</v>
      </c>
      <c r="BC76" s="27">
        <f t="shared" si="173"/>
        <v>0</v>
      </c>
      <c r="BD76" s="61">
        <f t="shared" si="173"/>
        <v>0</v>
      </c>
      <c r="BE76" s="27">
        <f t="shared" si="173"/>
        <v>0</v>
      </c>
      <c r="BF76" s="27">
        <f t="shared" si="173"/>
        <v>0</v>
      </c>
      <c r="BG76" s="27">
        <f t="shared" si="173"/>
        <v>0</v>
      </c>
      <c r="BH76" s="27">
        <f t="shared" si="173"/>
        <v>0</v>
      </c>
      <c r="BI76" s="27">
        <f t="shared" si="173"/>
        <v>0</v>
      </c>
      <c r="BJ76" s="27">
        <f t="shared" si="173"/>
        <v>0</v>
      </c>
      <c r="BL76" s="27">
        <f t="shared" ref="BL76:BL81" si="174">+IF(AY76=0,0,AY76)</f>
        <v>0</v>
      </c>
      <c r="BM76" s="27">
        <f t="shared" ref="BM76:BN81" si="175">+IF(AZ76=0,BL76,AZ76)</f>
        <v>0</v>
      </c>
      <c r="BN76" s="27">
        <f t="shared" si="175"/>
        <v>0</v>
      </c>
      <c r="BO76" s="27">
        <f t="shared" ref="BO76:BO81" si="176">+IF(BB76=0,BN76,BB76)</f>
        <v>0</v>
      </c>
      <c r="BP76" s="27">
        <f t="shared" ref="BP76:BP81" si="177">+IF(BC76=0,BO76,BC76)</f>
        <v>0</v>
      </c>
      <c r="BQ76" s="27">
        <f t="shared" ref="BQ76:BQ81" si="178">+IF(BD76=0,BP76,BD76)</f>
        <v>0</v>
      </c>
      <c r="BR76" s="27">
        <f t="shared" ref="BR76:BR81" si="179">+IF(BE76=0,BQ76,BE76)</f>
        <v>0</v>
      </c>
      <c r="BS76" s="27">
        <f t="shared" ref="BS76:BS81" si="180">+IF(BF76=0,BR76,BF76)</f>
        <v>0</v>
      </c>
      <c r="BT76" s="27">
        <f t="shared" ref="BT76:BT81" si="181">+IF(BG76=0,BS76,BG76)</f>
        <v>0</v>
      </c>
      <c r="BU76" s="27">
        <f t="shared" ref="BU76:BU81" si="182">+IF(BH76=0,BT76,BH76)</f>
        <v>0</v>
      </c>
      <c r="BV76" s="27">
        <f t="shared" ref="BV76:BV81" si="183">+IF(BI76=0,BU76,BI76)</f>
        <v>0</v>
      </c>
      <c r="BW76" s="27">
        <f t="shared" ref="BW76:BW81" si="184">+IF(BJ76=0,BV76,BJ76)</f>
        <v>0</v>
      </c>
      <c r="BX76" s="27">
        <f t="shared" ref="BX76:BX81" si="185">+E76</f>
        <v>0</v>
      </c>
      <c r="BY76" s="27">
        <f t="shared" ref="BY76:BY81" si="186">IF(BX76=0,F76,BX76-BL76)</f>
        <v>0</v>
      </c>
      <c r="BZ76" s="27">
        <f t="shared" ref="BZ76:BZ81" si="187">IF(BY76=0,G76,BY76-BM76)</f>
        <v>0</v>
      </c>
      <c r="CA76" s="27">
        <f t="shared" ref="CA76:CA81" si="188">IF(BZ76=0,H76,BZ76-BN76)</f>
        <v>0</v>
      </c>
      <c r="CB76" s="27">
        <f t="shared" ref="CB76:CB81" si="189">IF(CA76=0,I76,CA76-BO76)</f>
        <v>0</v>
      </c>
      <c r="CC76" s="27">
        <f t="shared" ref="CC76:CC81" si="190">IF(CB76=0,J76,CB76-BP76)</f>
        <v>0</v>
      </c>
      <c r="CD76" s="27">
        <f t="shared" ref="CD76:CD81" si="191">IF(CC76=0,K76,CC76-BQ76)</f>
        <v>0</v>
      </c>
      <c r="CE76" s="27">
        <f t="shared" ref="CE76:CE81" si="192">IF(CD76=0,L76,CD76-BR76)</f>
        <v>0</v>
      </c>
      <c r="CF76" s="27">
        <f t="shared" ref="CF76:CF81" si="193">IF(CE76=0,M76,CE76-BS76)</f>
        <v>0</v>
      </c>
      <c r="CG76" s="27">
        <f t="shared" ref="CG76:CG81" si="194">IF(CF76=0,N76,CF76-BT76)</f>
        <v>0</v>
      </c>
      <c r="CH76" s="27">
        <f t="shared" ref="CH76:CH81" si="195">IF(CG76=0,O76,CG76-BU76)</f>
        <v>0</v>
      </c>
      <c r="CI76" s="27">
        <f t="shared" ref="CI76:CI81" si="196">IF(CH76=0,P76,CH76-BV76)</f>
        <v>0</v>
      </c>
      <c r="CJ76" s="27">
        <f t="shared" si="49"/>
        <v>0</v>
      </c>
      <c r="CK76" s="27">
        <f t="shared" si="35"/>
        <v>0</v>
      </c>
      <c r="CL76" s="27">
        <f t="shared" si="36"/>
        <v>0</v>
      </c>
      <c r="CM76" s="27">
        <f t="shared" si="37"/>
        <v>0</v>
      </c>
      <c r="CN76" s="27">
        <f t="shared" si="38"/>
        <v>0</v>
      </c>
      <c r="CO76" s="27">
        <f t="shared" si="39"/>
        <v>0</v>
      </c>
      <c r="CP76" s="27">
        <f t="shared" si="40"/>
        <v>0</v>
      </c>
      <c r="CQ76" s="27">
        <f t="shared" si="41"/>
        <v>0</v>
      </c>
      <c r="CR76" s="27">
        <f t="shared" si="42"/>
        <v>0</v>
      </c>
      <c r="CS76" s="27">
        <f t="shared" si="43"/>
        <v>0</v>
      </c>
      <c r="CT76" s="27">
        <f t="shared" si="44"/>
        <v>0</v>
      </c>
      <c r="CU76" s="61">
        <f t="shared" si="45"/>
        <v>0</v>
      </c>
    </row>
    <row r="77" spans="2:99" s="27" customFormat="1" ht="11.25" hidden="1" x14ac:dyDescent="0.2">
      <c r="B77" s="60">
        <f>IF(C77=0,0,SANDBOX!D180)</f>
        <v>0</v>
      </c>
      <c r="C77" s="27">
        <f>IF(SANDBOX!G180=SB!$C$156,SANDBOX!F180,0)</f>
        <v>0</v>
      </c>
      <c r="D77" s="27" t="str">
        <f>IF(SANDBOX!I180=0,$E$45,SANDBOX!I180)</f>
        <v>Enero</v>
      </c>
      <c r="E77" s="27">
        <f t="shared" si="163"/>
        <v>0</v>
      </c>
      <c r="F77" s="27">
        <f t="shared" si="164"/>
        <v>0</v>
      </c>
      <c r="G77" s="27">
        <f t="shared" si="164"/>
        <v>0</v>
      </c>
      <c r="H77" s="27">
        <f t="shared" si="164"/>
        <v>0</v>
      </c>
      <c r="I77" s="27">
        <f t="shared" si="164"/>
        <v>0</v>
      </c>
      <c r="J77" s="27">
        <f t="shared" si="164"/>
        <v>0</v>
      </c>
      <c r="K77" s="27">
        <f t="shared" si="164"/>
        <v>0</v>
      </c>
      <c r="L77" s="27">
        <f t="shared" si="164"/>
        <v>0</v>
      </c>
      <c r="M77" s="27">
        <f t="shared" si="164"/>
        <v>0</v>
      </c>
      <c r="N77" s="27">
        <f t="shared" si="164"/>
        <v>0</v>
      </c>
      <c r="O77" s="27">
        <f t="shared" si="164"/>
        <v>0</v>
      </c>
      <c r="P77" s="27">
        <f t="shared" si="164"/>
        <v>0</v>
      </c>
      <c r="Q77" s="27">
        <f t="shared" si="165"/>
        <v>0</v>
      </c>
      <c r="R77" s="27">
        <f>IF($C77=0,0,SANDBOX!J180)</f>
        <v>0</v>
      </c>
      <c r="S77" s="27">
        <f>IF($C77=0,0,SANDBOX!K180)</f>
        <v>0</v>
      </c>
      <c r="T77" s="27">
        <f t="shared" si="166"/>
        <v>0</v>
      </c>
      <c r="U77" s="27">
        <f t="shared" si="167"/>
        <v>0</v>
      </c>
      <c r="V77" s="27">
        <f t="shared" si="167"/>
        <v>0</v>
      </c>
      <c r="W77" s="27">
        <f t="shared" si="167"/>
        <v>0</v>
      </c>
      <c r="X77" s="27">
        <f t="shared" si="167"/>
        <v>0</v>
      </c>
      <c r="Y77" s="27">
        <f t="shared" si="167"/>
        <v>0</v>
      </c>
      <c r="Z77" s="27">
        <f t="shared" si="167"/>
        <v>0</v>
      </c>
      <c r="AA77" s="27">
        <f t="shared" si="167"/>
        <v>0</v>
      </c>
      <c r="AB77" s="27">
        <f t="shared" si="167"/>
        <v>0</v>
      </c>
      <c r="AC77" s="27">
        <f t="shared" si="167"/>
        <v>0</v>
      </c>
      <c r="AD77" s="27">
        <f t="shared" si="167"/>
        <v>0</v>
      </c>
      <c r="AE77" s="27">
        <f t="shared" si="167"/>
        <v>0</v>
      </c>
      <c r="AF77" s="27">
        <f t="shared" si="167"/>
        <v>0</v>
      </c>
      <c r="AG77" s="27">
        <f t="shared" si="50"/>
        <v>0</v>
      </c>
      <c r="AH77" s="27">
        <f t="shared" si="168"/>
        <v>0</v>
      </c>
      <c r="AI77" s="27">
        <f t="shared" si="169"/>
        <v>0</v>
      </c>
      <c r="AJ77" s="27">
        <f t="shared" si="51"/>
        <v>0</v>
      </c>
      <c r="AK77" s="27">
        <f t="shared" si="52"/>
        <v>0</v>
      </c>
      <c r="AL77" s="27">
        <f t="shared" si="170"/>
        <v>0</v>
      </c>
      <c r="AM77" s="27">
        <f t="shared" si="53"/>
        <v>0</v>
      </c>
      <c r="AN77" s="27" t="str">
        <f t="shared" si="171"/>
        <v>OK</v>
      </c>
      <c r="AO77" s="27">
        <f>IF(S77=SB!$E$148,T77,0)</f>
        <v>0</v>
      </c>
      <c r="AP77" s="27">
        <f>IF(S77=SB!$E$149,T77,0)</f>
        <v>0</v>
      </c>
      <c r="AQ77" s="27">
        <f>IF($S77=SB!E$150,T77,0)</f>
        <v>0</v>
      </c>
      <c r="AR77" s="27">
        <f>IF(S77=SB!$E$151,T77,0)</f>
        <v>0</v>
      </c>
      <c r="AS77" s="27">
        <f>IF(S77=SB!$E$152,T77,0)</f>
        <v>0</v>
      </c>
      <c r="AT77" s="27">
        <f>IF(S77=SB!$E$153,T77,0)</f>
        <v>0</v>
      </c>
      <c r="AU77" s="27">
        <f>IF(S77=SB!$E$154,T77,0)</f>
        <v>0</v>
      </c>
      <c r="AV77" s="27">
        <f t="shared" si="46"/>
        <v>0</v>
      </c>
      <c r="AW77" s="27">
        <f t="shared" si="47"/>
        <v>1</v>
      </c>
      <c r="AX77" s="27">
        <f t="shared" si="172"/>
        <v>0</v>
      </c>
      <c r="AY77" s="27">
        <f t="shared" si="173"/>
        <v>0</v>
      </c>
      <c r="AZ77" s="27">
        <f t="shared" si="173"/>
        <v>0</v>
      </c>
      <c r="BA77" s="27">
        <f t="shared" si="173"/>
        <v>0</v>
      </c>
      <c r="BB77" s="27">
        <f t="shared" si="173"/>
        <v>0</v>
      </c>
      <c r="BC77" s="27">
        <f t="shared" si="173"/>
        <v>0</v>
      </c>
      <c r="BD77" s="61">
        <f t="shared" si="173"/>
        <v>0</v>
      </c>
      <c r="BE77" s="27">
        <f t="shared" si="173"/>
        <v>0</v>
      </c>
      <c r="BF77" s="27">
        <f t="shared" si="173"/>
        <v>0</v>
      </c>
      <c r="BG77" s="27">
        <f t="shared" si="173"/>
        <v>0</v>
      </c>
      <c r="BH77" s="27">
        <f t="shared" si="173"/>
        <v>0</v>
      </c>
      <c r="BI77" s="27">
        <f t="shared" si="173"/>
        <v>0</v>
      </c>
      <c r="BJ77" s="27">
        <f t="shared" si="173"/>
        <v>0</v>
      </c>
      <c r="BL77" s="27">
        <f t="shared" si="174"/>
        <v>0</v>
      </c>
      <c r="BM77" s="27">
        <f t="shared" si="175"/>
        <v>0</v>
      </c>
      <c r="BN77" s="27">
        <f t="shared" si="175"/>
        <v>0</v>
      </c>
      <c r="BO77" s="27">
        <f t="shared" si="176"/>
        <v>0</v>
      </c>
      <c r="BP77" s="27">
        <f t="shared" si="177"/>
        <v>0</v>
      </c>
      <c r="BQ77" s="27">
        <f t="shared" si="178"/>
        <v>0</v>
      </c>
      <c r="BR77" s="27">
        <f t="shared" si="179"/>
        <v>0</v>
      </c>
      <c r="BS77" s="27">
        <f t="shared" si="180"/>
        <v>0</v>
      </c>
      <c r="BT77" s="27">
        <f t="shared" si="181"/>
        <v>0</v>
      </c>
      <c r="BU77" s="27">
        <f t="shared" si="182"/>
        <v>0</v>
      </c>
      <c r="BV77" s="27">
        <f t="shared" si="183"/>
        <v>0</v>
      </c>
      <c r="BW77" s="27">
        <f t="shared" si="184"/>
        <v>0</v>
      </c>
      <c r="BX77" s="27">
        <f t="shared" si="185"/>
        <v>0</v>
      </c>
      <c r="BY77" s="27">
        <f t="shared" si="186"/>
        <v>0</v>
      </c>
      <c r="BZ77" s="27">
        <f t="shared" si="187"/>
        <v>0</v>
      </c>
      <c r="CA77" s="27">
        <f t="shared" si="188"/>
        <v>0</v>
      </c>
      <c r="CB77" s="27">
        <f t="shared" si="189"/>
        <v>0</v>
      </c>
      <c r="CC77" s="27">
        <f t="shared" si="190"/>
        <v>0</v>
      </c>
      <c r="CD77" s="27">
        <f t="shared" si="191"/>
        <v>0</v>
      </c>
      <c r="CE77" s="27">
        <f t="shared" si="192"/>
        <v>0</v>
      </c>
      <c r="CF77" s="27">
        <f t="shared" si="193"/>
        <v>0</v>
      </c>
      <c r="CG77" s="27">
        <f t="shared" si="194"/>
        <v>0</v>
      </c>
      <c r="CH77" s="27">
        <f t="shared" si="195"/>
        <v>0</v>
      </c>
      <c r="CI77" s="27">
        <f t="shared" si="196"/>
        <v>0</v>
      </c>
      <c r="CJ77" s="27">
        <f t="shared" si="49"/>
        <v>0</v>
      </c>
      <c r="CK77" s="27">
        <f t="shared" si="35"/>
        <v>0</v>
      </c>
      <c r="CL77" s="27">
        <f t="shared" si="36"/>
        <v>0</v>
      </c>
      <c r="CM77" s="27">
        <f t="shared" si="37"/>
        <v>0</v>
      </c>
      <c r="CN77" s="27">
        <f t="shared" si="38"/>
        <v>0</v>
      </c>
      <c r="CO77" s="27">
        <f t="shared" si="39"/>
        <v>0</v>
      </c>
      <c r="CP77" s="27">
        <f t="shared" si="40"/>
        <v>0</v>
      </c>
      <c r="CQ77" s="27">
        <f t="shared" si="41"/>
        <v>0</v>
      </c>
      <c r="CR77" s="27">
        <f t="shared" si="42"/>
        <v>0</v>
      </c>
      <c r="CS77" s="27">
        <f t="shared" si="43"/>
        <v>0</v>
      </c>
      <c r="CT77" s="27">
        <f t="shared" si="44"/>
        <v>0</v>
      </c>
      <c r="CU77" s="61">
        <f t="shared" si="45"/>
        <v>0</v>
      </c>
    </row>
    <row r="78" spans="2:99" s="27" customFormat="1" ht="11.25" hidden="1" x14ac:dyDescent="0.2">
      <c r="B78" s="60">
        <f>IF(C78=0,0,SANDBOX!D181)</f>
        <v>0</v>
      </c>
      <c r="C78" s="27">
        <f>IF(SANDBOX!G181=SB!$C$156,SANDBOX!F181,0)</f>
        <v>0</v>
      </c>
      <c r="D78" s="27" t="str">
        <f>IF(SANDBOX!I181=0,$E$45,SANDBOX!I181)</f>
        <v>Enero</v>
      </c>
      <c r="E78" s="27">
        <f t="shared" si="163"/>
        <v>0</v>
      </c>
      <c r="F78" s="27">
        <f t="shared" si="164"/>
        <v>0</v>
      </c>
      <c r="G78" s="27">
        <f t="shared" si="164"/>
        <v>0</v>
      </c>
      <c r="H78" s="27">
        <f t="shared" si="164"/>
        <v>0</v>
      </c>
      <c r="I78" s="27">
        <f t="shared" si="164"/>
        <v>0</v>
      </c>
      <c r="J78" s="27">
        <f t="shared" si="164"/>
        <v>0</v>
      </c>
      <c r="K78" s="27">
        <f t="shared" si="164"/>
        <v>0</v>
      </c>
      <c r="L78" s="27">
        <f t="shared" si="164"/>
        <v>0</v>
      </c>
      <c r="M78" s="27">
        <f t="shared" si="164"/>
        <v>0</v>
      </c>
      <c r="N78" s="27">
        <f t="shared" si="164"/>
        <v>0</v>
      </c>
      <c r="O78" s="27">
        <f t="shared" si="164"/>
        <v>0</v>
      </c>
      <c r="P78" s="27">
        <f t="shared" si="164"/>
        <v>0</v>
      </c>
      <c r="Q78" s="27">
        <f t="shared" si="165"/>
        <v>0</v>
      </c>
      <c r="R78" s="27">
        <f>IF($C78=0,0,SANDBOX!J181)</f>
        <v>0</v>
      </c>
      <c r="S78" s="27">
        <f>IF($C78=0,0,SANDBOX!K181)</f>
        <v>0</v>
      </c>
      <c r="T78" s="27">
        <f t="shared" si="166"/>
        <v>0</v>
      </c>
      <c r="U78" s="27">
        <f t="shared" si="167"/>
        <v>0</v>
      </c>
      <c r="V78" s="27">
        <f t="shared" si="167"/>
        <v>0</v>
      </c>
      <c r="W78" s="27">
        <f t="shared" si="167"/>
        <v>0</v>
      </c>
      <c r="X78" s="27">
        <f t="shared" si="167"/>
        <v>0</v>
      </c>
      <c r="Y78" s="27">
        <f t="shared" si="167"/>
        <v>0</v>
      </c>
      <c r="Z78" s="27">
        <f t="shared" si="167"/>
        <v>0</v>
      </c>
      <c r="AA78" s="27">
        <f t="shared" si="167"/>
        <v>0</v>
      </c>
      <c r="AB78" s="27">
        <f t="shared" si="167"/>
        <v>0</v>
      </c>
      <c r="AC78" s="27">
        <f t="shared" si="167"/>
        <v>0</v>
      </c>
      <c r="AD78" s="27">
        <f t="shared" si="167"/>
        <v>0</v>
      </c>
      <c r="AE78" s="27">
        <f t="shared" si="167"/>
        <v>0</v>
      </c>
      <c r="AF78" s="27">
        <f t="shared" si="167"/>
        <v>0</v>
      </c>
      <c r="AG78" s="27">
        <f t="shared" si="50"/>
        <v>0</v>
      </c>
      <c r="AH78" s="27">
        <f t="shared" si="168"/>
        <v>0</v>
      </c>
      <c r="AI78" s="27">
        <f t="shared" si="169"/>
        <v>0</v>
      </c>
      <c r="AJ78" s="27">
        <f t="shared" si="51"/>
        <v>0</v>
      </c>
      <c r="AK78" s="27">
        <f t="shared" si="52"/>
        <v>0</v>
      </c>
      <c r="AL78" s="27">
        <f t="shared" si="170"/>
        <v>0</v>
      </c>
      <c r="AM78" s="27">
        <f t="shared" si="53"/>
        <v>0</v>
      </c>
      <c r="AN78" s="27" t="str">
        <f t="shared" si="171"/>
        <v>OK</v>
      </c>
      <c r="AO78" s="27">
        <f>IF(S78=SB!$E$148,T78,0)</f>
        <v>0</v>
      </c>
      <c r="AP78" s="27">
        <f>IF(S78=SB!$E$149,T78,0)</f>
        <v>0</v>
      </c>
      <c r="AQ78" s="27">
        <f>IF($S78=SB!E$150,T78,0)</f>
        <v>0</v>
      </c>
      <c r="AR78" s="27">
        <f>IF(S78=SB!$E$151,T78,0)</f>
        <v>0</v>
      </c>
      <c r="AS78" s="27">
        <f>IF(S78=SB!$E$152,T78,0)</f>
        <v>0</v>
      </c>
      <c r="AT78" s="27">
        <f>IF(S78=SB!$E$153,T78,0)</f>
        <v>0</v>
      </c>
      <c r="AU78" s="27">
        <f>IF(S78=SB!$E$154,T78,0)</f>
        <v>0</v>
      </c>
      <c r="AV78" s="27">
        <f t="shared" si="46"/>
        <v>0</v>
      </c>
      <c r="AW78" s="27">
        <f t="shared" si="47"/>
        <v>1</v>
      </c>
      <c r="AX78" s="27">
        <f t="shared" si="172"/>
        <v>0</v>
      </c>
      <c r="AY78" s="27">
        <f t="shared" si="173"/>
        <v>0</v>
      </c>
      <c r="AZ78" s="27">
        <f t="shared" si="173"/>
        <v>0</v>
      </c>
      <c r="BA78" s="27">
        <f t="shared" si="173"/>
        <v>0</v>
      </c>
      <c r="BB78" s="27">
        <f t="shared" si="173"/>
        <v>0</v>
      </c>
      <c r="BC78" s="27">
        <f t="shared" si="173"/>
        <v>0</v>
      </c>
      <c r="BD78" s="61">
        <f t="shared" si="173"/>
        <v>0</v>
      </c>
      <c r="BE78" s="27">
        <f t="shared" si="173"/>
        <v>0</v>
      </c>
      <c r="BF78" s="27">
        <f t="shared" si="173"/>
        <v>0</v>
      </c>
      <c r="BG78" s="27">
        <f t="shared" si="173"/>
        <v>0</v>
      </c>
      <c r="BH78" s="27">
        <f t="shared" si="173"/>
        <v>0</v>
      </c>
      <c r="BI78" s="27">
        <f t="shared" si="173"/>
        <v>0</v>
      </c>
      <c r="BJ78" s="27">
        <f t="shared" si="173"/>
        <v>0</v>
      </c>
      <c r="BL78" s="27">
        <f t="shared" si="174"/>
        <v>0</v>
      </c>
      <c r="BM78" s="27">
        <f t="shared" si="175"/>
        <v>0</v>
      </c>
      <c r="BN78" s="27">
        <f t="shared" si="175"/>
        <v>0</v>
      </c>
      <c r="BO78" s="27">
        <f t="shared" si="176"/>
        <v>0</v>
      </c>
      <c r="BP78" s="27">
        <f t="shared" si="177"/>
        <v>0</v>
      </c>
      <c r="BQ78" s="27">
        <f t="shared" si="178"/>
        <v>0</v>
      </c>
      <c r="BR78" s="27">
        <f t="shared" si="179"/>
        <v>0</v>
      </c>
      <c r="BS78" s="27">
        <f t="shared" si="180"/>
        <v>0</v>
      </c>
      <c r="BT78" s="27">
        <f t="shared" si="181"/>
        <v>0</v>
      </c>
      <c r="BU78" s="27">
        <f t="shared" si="182"/>
        <v>0</v>
      </c>
      <c r="BV78" s="27">
        <f t="shared" si="183"/>
        <v>0</v>
      </c>
      <c r="BW78" s="27">
        <f t="shared" si="184"/>
        <v>0</v>
      </c>
      <c r="BX78" s="27">
        <f t="shared" si="185"/>
        <v>0</v>
      </c>
      <c r="BY78" s="27">
        <f t="shared" si="186"/>
        <v>0</v>
      </c>
      <c r="BZ78" s="27">
        <f t="shared" si="187"/>
        <v>0</v>
      </c>
      <c r="CA78" s="27">
        <f t="shared" si="188"/>
        <v>0</v>
      </c>
      <c r="CB78" s="27">
        <f t="shared" si="189"/>
        <v>0</v>
      </c>
      <c r="CC78" s="27">
        <f t="shared" si="190"/>
        <v>0</v>
      </c>
      <c r="CD78" s="27">
        <f t="shared" si="191"/>
        <v>0</v>
      </c>
      <c r="CE78" s="27">
        <f t="shared" si="192"/>
        <v>0</v>
      </c>
      <c r="CF78" s="27">
        <f t="shared" si="193"/>
        <v>0</v>
      </c>
      <c r="CG78" s="27">
        <f t="shared" si="194"/>
        <v>0</v>
      </c>
      <c r="CH78" s="27">
        <f t="shared" si="195"/>
        <v>0</v>
      </c>
      <c r="CI78" s="27">
        <f t="shared" si="196"/>
        <v>0</v>
      </c>
      <c r="CJ78" s="27">
        <f t="shared" si="49"/>
        <v>0</v>
      </c>
      <c r="CK78" s="27">
        <f t="shared" si="35"/>
        <v>0</v>
      </c>
      <c r="CL78" s="27">
        <f t="shared" si="36"/>
        <v>0</v>
      </c>
      <c r="CM78" s="27">
        <f t="shared" si="37"/>
        <v>0</v>
      </c>
      <c r="CN78" s="27">
        <f t="shared" si="38"/>
        <v>0</v>
      </c>
      <c r="CO78" s="27">
        <f t="shared" si="39"/>
        <v>0</v>
      </c>
      <c r="CP78" s="27">
        <f t="shared" si="40"/>
        <v>0</v>
      </c>
      <c r="CQ78" s="27">
        <f t="shared" si="41"/>
        <v>0</v>
      </c>
      <c r="CR78" s="27">
        <f t="shared" si="42"/>
        <v>0</v>
      </c>
      <c r="CS78" s="27">
        <f t="shared" si="43"/>
        <v>0</v>
      </c>
      <c r="CT78" s="27">
        <f t="shared" si="44"/>
        <v>0</v>
      </c>
      <c r="CU78" s="61">
        <f t="shared" si="45"/>
        <v>0</v>
      </c>
    </row>
    <row r="79" spans="2:99" s="27" customFormat="1" ht="11.25" hidden="1" x14ac:dyDescent="0.2">
      <c r="B79" s="60">
        <f>IF(C79=0,0,SANDBOX!D182)</f>
        <v>0</v>
      </c>
      <c r="C79" s="27">
        <f>IF(SANDBOX!G182=SB!$C$156,SANDBOX!F182,0)</f>
        <v>0</v>
      </c>
      <c r="D79" s="27" t="str">
        <f>IF(SANDBOX!I182=0,$E$45,SANDBOX!I182)</f>
        <v>Enero</v>
      </c>
      <c r="E79" s="27">
        <f t="shared" si="163"/>
        <v>0</v>
      </c>
      <c r="F79" s="27">
        <f t="shared" si="164"/>
        <v>0</v>
      </c>
      <c r="G79" s="27">
        <f t="shared" si="164"/>
        <v>0</v>
      </c>
      <c r="H79" s="27">
        <f t="shared" si="164"/>
        <v>0</v>
      </c>
      <c r="I79" s="27">
        <f t="shared" si="164"/>
        <v>0</v>
      </c>
      <c r="J79" s="27">
        <f t="shared" si="164"/>
        <v>0</v>
      </c>
      <c r="K79" s="27">
        <f t="shared" si="164"/>
        <v>0</v>
      </c>
      <c r="L79" s="27">
        <f t="shared" si="164"/>
        <v>0</v>
      </c>
      <c r="M79" s="27">
        <f t="shared" si="164"/>
        <v>0</v>
      </c>
      <c r="N79" s="27">
        <f t="shared" si="164"/>
        <v>0</v>
      </c>
      <c r="O79" s="27">
        <f t="shared" si="164"/>
        <v>0</v>
      </c>
      <c r="P79" s="27">
        <f t="shared" si="164"/>
        <v>0</v>
      </c>
      <c r="Q79" s="27">
        <f t="shared" si="165"/>
        <v>0</v>
      </c>
      <c r="R79" s="27">
        <f>IF($C79=0,0,SANDBOX!J182)</f>
        <v>0</v>
      </c>
      <c r="S79" s="27">
        <f>IF($C79=0,0,SANDBOX!K182)</f>
        <v>0</v>
      </c>
      <c r="T79" s="27">
        <f t="shared" si="166"/>
        <v>0</v>
      </c>
      <c r="U79" s="27">
        <f t="shared" si="167"/>
        <v>0</v>
      </c>
      <c r="V79" s="27">
        <f t="shared" si="167"/>
        <v>0</v>
      </c>
      <c r="W79" s="27">
        <f t="shared" si="167"/>
        <v>0</v>
      </c>
      <c r="X79" s="27">
        <f t="shared" si="167"/>
        <v>0</v>
      </c>
      <c r="Y79" s="27">
        <f t="shared" si="167"/>
        <v>0</v>
      </c>
      <c r="Z79" s="27">
        <f t="shared" si="167"/>
        <v>0</v>
      </c>
      <c r="AA79" s="27">
        <f t="shared" si="167"/>
        <v>0</v>
      </c>
      <c r="AB79" s="27">
        <f t="shared" si="167"/>
        <v>0</v>
      </c>
      <c r="AC79" s="27">
        <f t="shared" si="167"/>
        <v>0</v>
      </c>
      <c r="AD79" s="27">
        <f t="shared" si="167"/>
        <v>0</v>
      </c>
      <c r="AE79" s="27">
        <f t="shared" si="167"/>
        <v>0</v>
      </c>
      <c r="AF79" s="27">
        <f t="shared" si="167"/>
        <v>0</v>
      </c>
      <c r="AG79" s="27">
        <f t="shared" si="50"/>
        <v>0</v>
      </c>
      <c r="AH79" s="27">
        <f t="shared" si="168"/>
        <v>0</v>
      </c>
      <c r="AI79" s="27">
        <f t="shared" si="169"/>
        <v>0</v>
      </c>
      <c r="AJ79" s="27">
        <f t="shared" si="51"/>
        <v>0</v>
      </c>
      <c r="AK79" s="27">
        <f t="shared" si="52"/>
        <v>0</v>
      </c>
      <c r="AL79" s="27">
        <f t="shared" si="170"/>
        <v>0</v>
      </c>
      <c r="AM79" s="27">
        <f t="shared" si="53"/>
        <v>0</v>
      </c>
      <c r="AN79" s="27" t="str">
        <f t="shared" si="171"/>
        <v>OK</v>
      </c>
      <c r="AO79" s="27">
        <f>IF(S79=SB!$E$148,T79,0)</f>
        <v>0</v>
      </c>
      <c r="AP79" s="27">
        <f>IF(S79=SB!$E$149,T79,0)</f>
        <v>0</v>
      </c>
      <c r="AQ79" s="27">
        <f>IF($S79=SB!E$150,T79,0)</f>
        <v>0</v>
      </c>
      <c r="AR79" s="27">
        <f>IF(S79=SB!$E$151,T79,0)</f>
        <v>0</v>
      </c>
      <c r="AS79" s="27">
        <f>IF(S79=SB!$E$152,T79,0)</f>
        <v>0</v>
      </c>
      <c r="AT79" s="27">
        <f>IF(S79=SB!$E$153,T79,0)</f>
        <v>0</v>
      </c>
      <c r="AU79" s="27">
        <f>IF(S79=SB!$E$154,T79,0)</f>
        <v>0</v>
      </c>
      <c r="AV79" s="27">
        <f t="shared" si="46"/>
        <v>0</v>
      </c>
      <c r="AW79" s="27">
        <f t="shared" si="47"/>
        <v>1</v>
      </c>
      <c r="AX79" s="27">
        <f t="shared" si="172"/>
        <v>0</v>
      </c>
      <c r="AY79" s="27">
        <f t="shared" si="173"/>
        <v>0</v>
      </c>
      <c r="AZ79" s="27">
        <f t="shared" si="173"/>
        <v>0</v>
      </c>
      <c r="BA79" s="27">
        <f t="shared" si="173"/>
        <v>0</v>
      </c>
      <c r="BB79" s="27">
        <f t="shared" si="173"/>
        <v>0</v>
      </c>
      <c r="BC79" s="27">
        <f t="shared" si="173"/>
        <v>0</v>
      </c>
      <c r="BD79" s="61">
        <f t="shared" si="173"/>
        <v>0</v>
      </c>
      <c r="BE79" s="27">
        <f t="shared" si="173"/>
        <v>0</v>
      </c>
      <c r="BF79" s="27">
        <f t="shared" si="173"/>
        <v>0</v>
      </c>
      <c r="BG79" s="27">
        <f t="shared" si="173"/>
        <v>0</v>
      </c>
      <c r="BH79" s="27">
        <f t="shared" si="173"/>
        <v>0</v>
      </c>
      <c r="BI79" s="27">
        <f t="shared" si="173"/>
        <v>0</v>
      </c>
      <c r="BJ79" s="27">
        <f t="shared" si="173"/>
        <v>0</v>
      </c>
      <c r="BL79" s="27">
        <f t="shared" si="174"/>
        <v>0</v>
      </c>
      <c r="BM79" s="27">
        <f t="shared" si="175"/>
        <v>0</v>
      </c>
      <c r="BN79" s="27">
        <f t="shared" si="175"/>
        <v>0</v>
      </c>
      <c r="BO79" s="27">
        <f t="shared" si="176"/>
        <v>0</v>
      </c>
      <c r="BP79" s="27">
        <f t="shared" si="177"/>
        <v>0</v>
      </c>
      <c r="BQ79" s="27">
        <f t="shared" si="178"/>
        <v>0</v>
      </c>
      <c r="BR79" s="27">
        <f t="shared" si="179"/>
        <v>0</v>
      </c>
      <c r="BS79" s="27">
        <f t="shared" si="180"/>
        <v>0</v>
      </c>
      <c r="BT79" s="27">
        <f t="shared" si="181"/>
        <v>0</v>
      </c>
      <c r="BU79" s="27">
        <f t="shared" si="182"/>
        <v>0</v>
      </c>
      <c r="BV79" s="27">
        <f t="shared" si="183"/>
        <v>0</v>
      </c>
      <c r="BW79" s="27">
        <f t="shared" si="184"/>
        <v>0</v>
      </c>
      <c r="BX79" s="27">
        <f t="shared" si="185"/>
        <v>0</v>
      </c>
      <c r="BY79" s="27">
        <f t="shared" si="186"/>
        <v>0</v>
      </c>
      <c r="BZ79" s="27">
        <f t="shared" si="187"/>
        <v>0</v>
      </c>
      <c r="CA79" s="27">
        <f t="shared" si="188"/>
        <v>0</v>
      </c>
      <c r="CB79" s="27">
        <f t="shared" si="189"/>
        <v>0</v>
      </c>
      <c r="CC79" s="27">
        <f t="shared" si="190"/>
        <v>0</v>
      </c>
      <c r="CD79" s="27">
        <f t="shared" si="191"/>
        <v>0</v>
      </c>
      <c r="CE79" s="27">
        <f t="shared" si="192"/>
        <v>0</v>
      </c>
      <c r="CF79" s="27">
        <f t="shared" si="193"/>
        <v>0</v>
      </c>
      <c r="CG79" s="27">
        <f t="shared" si="194"/>
        <v>0</v>
      </c>
      <c r="CH79" s="27">
        <f t="shared" si="195"/>
        <v>0</v>
      </c>
      <c r="CI79" s="27">
        <f t="shared" si="196"/>
        <v>0</v>
      </c>
      <c r="CJ79" s="27">
        <f t="shared" si="49"/>
        <v>0</v>
      </c>
      <c r="CK79" s="27">
        <f t="shared" si="35"/>
        <v>0</v>
      </c>
      <c r="CL79" s="27">
        <f t="shared" si="36"/>
        <v>0</v>
      </c>
      <c r="CM79" s="27">
        <f t="shared" si="37"/>
        <v>0</v>
      </c>
      <c r="CN79" s="27">
        <f t="shared" si="38"/>
        <v>0</v>
      </c>
      <c r="CO79" s="27">
        <f t="shared" si="39"/>
        <v>0</v>
      </c>
      <c r="CP79" s="27">
        <f t="shared" si="40"/>
        <v>0</v>
      </c>
      <c r="CQ79" s="27">
        <f t="shared" si="41"/>
        <v>0</v>
      </c>
      <c r="CR79" s="27">
        <f t="shared" si="42"/>
        <v>0</v>
      </c>
      <c r="CS79" s="27">
        <f t="shared" si="43"/>
        <v>0</v>
      </c>
      <c r="CT79" s="27">
        <f t="shared" si="44"/>
        <v>0</v>
      </c>
      <c r="CU79" s="61">
        <f t="shared" si="45"/>
        <v>0</v>
      </c>
    </row>
    <row r="80" spans="2:99" s="27" customFormat="1" ht="11.25" hidden="1" x14ac:dyDescent="0.2">
      <c r="B80" s="60">
        <f>IF(C80=0,0,SANDBOX!D183)</f>
        <v>0</v>
      </c>
      <c r="C80" s="27">
        <f>IF(SANDBOX!G183=SB!$C$156,SANDBOX!F183,0)</f>
        <v>0</v>
      </c>
      <c r="D80" s="27" t="str">
        <f>IF(SANDBOX!I183=0,$E$45,SANDBOX!I183)</f>
        <v>Enero</v>
      </c>
      <c r="E80" s="27">
        <f t="shared" si="163"/>
        <v>0</v>
      </c>
      <c r="F80" s="27">
        <f t="shared" si="164"/>
        <v>0</v>
      </c>
      <c r="G80" s="27">
        <f t="shared" si="164"/>
        <v>0</v>
      </c>
      <c r="H80" s="27">
        <f t="shared" si="164"/>
        <v>0</v>
      </c>
      <c r="I80" s="27">
        <f t="shared" si="164"/>
        <v>0</v>
      </c>
      <c r="J80" s="27">
        <f t="shared" si="164"/>
        <v>0</v>
      </c>
      <c r="K80" s="27">
        <f t="shared" si="164"/>
        <v>0</v>
      </c>
      <c r="L80" s="27">
        <f t="shared" si="164"/>
        <v>0</v>
      </c>
      <c r="M80" s="27">
        <f t="shared" si="164"/>
        <v>0</v>
      </c>
      <c r="N80" s="27">
        <f t="shared" si="164"/>
        <v>0</v>
      </c>
      <c r="O80" s="27">
        <f t="shared" si="164"/>
        <v>0</v>
      </c>
      <c r="P80" s="27">
        <f t="shared" si="164"/>
        <v>0</v>
      </c>
      <c r="Q80" s="27">
        <f t="shared" si="165"/>
        <v>0</v>
      </c>
      <c r="R80" s="27">
        <f>IF($C80=0,0,SANDBOX!J183)</f>
        <v>0</v>
      </c>
      <c r="S80" s="27">
        <f>IF($C80=0,0,SANDBOX!K183)</f>
        <v>0</v>
      </c>
      <c r="T80" s="27">
        <f t="shared" si="166"/>
        <v>0</v>
      </c>
      <c r="U80" s="27">
        <f t="shared" si="167"/>
        <v>0</v>
      </c>
      <c r="V80" s="27">
        <f t="shared" si="167"/>
        <v>0</v>
      </c>
      <c r="W80" s="27">
        <f t="shared" si="167"/>
        <v>0</v>
      </c>
      <c r="X80" s="27">
        <f t="shared" si="167"/>
        <v>0</v>
      </c>
      <c r="Y80" s="27">
        <f t="shared" si="167"/>
        <v>0</v>
      </c>
      <c r="Z80" s="27">
        <f t="shared" si="167"/>
        <v>0</v>
      </c>
      <c r="AA80" s="27">
        <f t="shared" si="167"/>
        <v>0</v>
      </c>
      <c r="AB80" s="27">
        <f t="shared" si="167"/>
        <v>0</v>
      </c>
      <c r="AC80" s="27">
        <f t="shared" si="167"/>
        <v>0</v>
      </c>
      <c r="AD80" s="27">
        <f t="shared" si="167"/>
        <v>0</v>
      </c>
      <c r="AE80" s="27">
        <f t="shared" si="167"/>
        <v>0</v>
      </c>
      <c r="AF80" s="27">
        <f t="shared" si="167"/>
        <v>0</v>
      </c>
      <c r="AG80" s="27">
        <f t="shared" si="50"/>
        <v>0</v>
      </c>
      <c r="AH80" s="27">
        <f t="shared" si="168"/>
        <v>0</v>
      </c>
      <c r="AI80" s="27">
        <f t="shared" si="169"/>
        <v>0</v>
      </c>
      <c r="AJ80" s="27">
        <f t="shared" si="51"/>
        <v>0</v>
      </c>
      <c r="AK80" s="27">
        <f t="shared" si="52"/>
        <v>0</v>
      </c>
      <c r="AL80" s="27">
        <f t="shared" si="170"/>
        <v>0</v>
      </c>
      <c r="AM80" s="27">
        <f t="shared" si="53"/>
        <v>0</v>
      </c>
      <c r="AN80" s="27" t="str">
        <f t="shared" si="171"/>
        <v>OK</v>
      </c>
      <c r="AO80" s="27">
        <f>IF(S80=SB!$E$148,T80,0)</f>
        <v>0</v>
      </c>
      <c r="AP80" s="27">
        <f>IF(S80=SB!$E$149,T80,0)</f>
        <v>0</v>
      </c>
      <c r="AQ80" s="27">
        <f>IF($S80=SB!E$150,T80,0)</f>
        <v>0</v>
      </c>
      <c r="AR80" s="27">
        <f>IF(S80=SB!$E$151,T80,0)</f>
        <v>0</v>
      </c>
      <c r="AS80" s="27">
        <f>IF(S80=SB!$E$152,T80,0)</f>
        <v>0</v>
      </c>
      <c r="AT80" s="27">
        <f>IF(S80=SB!$E$153,T80,0)</f>
        <v>0</v>
      </c>
      <c r="AU80" s="27">
        <f>IF(S80=SB!$E$154,T80,0)</f>
        <v>0</v>
      </c>
      <c r="AV80" s="27">
        <f t="shared" si="46"/>
        <v>0</v>
      </c>
      <c r="AW80" s="27">
        <f t="shared" si="47"/>
        <v>1</v>
      </c>
      <c r="AX80" s="27">
        <f t="shared" si="172"/>
        <v>0</v>
      </c>
      <c r="AY80" s="27">
        <f t="shared" si="173"/>
        <v>0</v>
      </c>
      <c r="AZ80" s="27">
        <f t="shared" si="173"/>
        <v>0</v>
      </c>
      <c r="BA80" s="27">
        <f t="shared" si="173"/>
        <v>0</v>
      </c>
      <c r="BB80" s="27">
        <f t="shared" si="173"/>
        <v>0</v>
      </c>
      <c r="BC80" s="27">
        <f t="shared" si="173"/>
        <v>0</v>
      </c>
      <c r="BD80" s="61">
        <f t="shared" si="173"/>
        <v>0</v>
      </c>
      <c r="BE80" s="27">
        <f t="shared" si="173"/>
        <v>0</v>
      </c>
      <c r="BF80" s="27">
        <f t="shared" si="173"/>
        <v>0</v>
      </c>
      <c r="BG80" s="27">
        <f t="shared" si="173"/>
        <v>0</v>
      </c>
      <c r="BH80" s="27">
        <f t="shared" si="173"/>
        <v>0</v>
      </c>
      <c r="BI80" s="27">
        <f t="shared" si="173"/>
        <v>0</v>
      </c>
      <c r="BJ80" s="27">
        <f t="shared" si="173"/>
        <v>0</v>
      </c>
      <c r="BL80" s="27">
        <f t="shared" si="174"/>
        <v>0</v>
      </c>
      <c r="BM80" s="27">
        <f t="shared" si="175"/>
        <v>0</v>
      </c>
      <c r="BN80" s="27">
        <f t="shared" si="175"/>
        <v>0</v>
      </c>
      <c r="BO80" s="27">
        <f t="shared" si="176"/>
        <v>0</v>
      </c>
      <c r="BP80" s="27">
        <f t="shared" si="177"/>
        <v>0</v>
      </c>
      <c r="BQ80" s="27">
        <f t="shared" si="178"/>
        <v>0</v>
      </c>
      <c r="BR80" s="27">
        <f t="shared" si="179"/>
        <v>0</v>
      </c>
      <c r="BS80" s="27">
        <f t="shared" si="180"/>
        <v>0</v>
      </c>
      <c r="BT80" s="27">
        <f t="shared" si="181"/>
        <v>0</v>
      </c>
      <c r="BU80" s="27">
        <f t="shared" si="182"/>
        <v>0</v>
      </c>
      <c r="BV80" s="27">
        <f t="shared" si="183"/>
        <v>0</v>
      </c>
      <c r="BW80" s="27">
        <f t="shared" si="184"/>
        <v>0</v>
      </c>
      <c r="BX80" s="27">
        <f t="shared" si="185"/>
        <v>0</v>
      </c>
      <c r="BY80" s="27">
        <f t="shared" si="186"/>
        <v>0</v>
      </c>
      <c r="BZ80" s="27">
        <f t="shared" si="187"/>
        <v>0</v>
      </c>
      <c r="CA80" s="27">
        <f t="shared" si="188"/>
        <v>0</v>
      </c>
      <c r="CB80" s="27">
        <f t="shared" si="189"/>
        <v>0</v>
      </c>
      <c r="CC80" s="27">
        <f t="shared" si="190"/>
        <v>0</v>
      </c>
      <c r="CD80" s="27">
        <f t="shared" si="191"/>
        <v>0</v>
      </c>
      <c r="CE80" s="27">
        <f t="shared" si="192"/>
        <v>0</v>
      </c>
      <c r="CF80" s="27">
        <f t="shared" si="193"/>
        <v>0</v>
      </c>
      <c r="CG80" s="27">
        <f t="shared" si="194"/>
        <v>0</v>
      </c>
      <c r="CH80" s="27">
        <f t="shared" si="195"/>
        <v>0</v>
      </c>
      <c r="CI80" s="27">
        <f t="shared" si="196"/>
        <v>0</v>
      </c>
      <c r="CJ80" s="27">
        <f t="shared" si="49"/>
        <v>0</v>
      </c>
      <c r="CK80" s="27">
        <f t="shared" si="35"/>
        <v>0</v>
      </c>
      <c r="CL80" s="27">
        <f t="shared" si="36"/>
        <v>0</v>
      </c>
      <c r="CM80" s="27">
        <f t="shared" si="37"/>
        <v>0</v>
      </c>
      <c r="CN80" s="27">
        <f t="shared" si="38"/>
        <v>0</v>
      </c>
      <c r="CO80" s="27">
        <f t="shared" si="39"/>
        <v>0</v>
      </c>
      <c r="CP80" s="27">
        <f t="shared" si="40"/>
        <v>0</v>
      </c>
      <c r="CQ80" s="27">
        <f t="shared" si="41"/>
        <v>0</v>
      </c>
      <c r="CR80" s="27">
        <f t="shared" si="42"/>
        <v>0</v>
      </c>
      <c r="CS80" s="27">
        <f t="shared" si="43"/>
        <v>0</v>
      </c>
      <c r="CT80" s="27">
        <f t="shared" si="44"/>
        <v>0</v>
      </c>
      <c r="CU80" s="61">
        <f t="shared" si="45"/>
        <v>0</v>
      </c>
    </row>
    <row r="81" spans="2:99" s="27" customFormat="1" ht="11.25" hidden="1" x14ac:dyDescent="0.2">
      <c r="B81" s="60">
        <f>IF(C81=0,0,SANDBOX!D184)</f>
        <v>0</v>
      </c>
      <c r="C81" s="27">
        <f>IF(SANDBOX!G184=SB!$C$156,SANDBOX!F184,0)</f>
        <v>0</v>
      </c>
      <c r="D81" s="27" t="str">
        <f>IF(SANDBOX!I184=0,$E$45,SANDBOX!I184)</f>
        <v>Enero</v>
      </c>
      <c r="E81" s="27">
        <f t="shared" si="163"/>
        <v>0</v>
      </c>
      <c r="F81" s="27">
        <f t="shared" si="164"/>
        <v>0</v>
      </c>
      <c r="G81" s="27">
        <f t="shared" si="164"/>
        <v>0</v>
      </c>
      <c r="H81" s="27">
        <f t="shared" si="164"/>
        <v>0</v>
      </c>
      <c r="I81" s="27">
        <f t="shared" si="164"/>
        <v>0</v>
      </c>
      <c r="J81" s="27">
        <f t="shared" si="164"/>
        <v>0</v>
      </c>
      <c r="K81" s="27">
        <f t="shared" si="164"/>
        <v>0</v>
      </c>
      <c r="L81" s="27">
        <f t="shared" si="164"/>
        <v>0</v>
      </c>
      <c r="M81" s="27">
        <f t="shared" si="164"/>
        <v>0</v>
      </c>
      <c r="N81" s="27">
        <f t="shared" si="164"/>
        <v>0</v>
      </c>
      <c r="O81" s="27">
        <f t="shared" si="164"/>
        <v>0</v>
      </c>
      <c r="P81" s="27">
        <f t="shared" si="164"/>
        <v>0</v>
      </c>
      <c r="Q81" s="27">
        <f t="shared" si="165"/>
        <v>0</v>
      </c>
      <c r="R81" s="27">
        <f>IF($C81=0,0,SANDBOX!J184)</f>
        <v>0</v>
      </c>
      <c r="S81" s="27">
        <f>IF($C81=0,0,SANDBOX!K184)</f>
        <v>0</v>
      </c>
      <c r="T81" s="27">
        <f t="shared" si="166"/>
        <v>0</v>
      </c>
      <c r="U81" s="27">
        <f t="shared" si="167"/>
        <v>0</v>
      </c>
      <c r="V81" s="27">
        <f t="shared" si="167"/>
        <v>0</v>
      </c>
      <c r="W81" s="27">
        <f t="shared" si="167"/>
        <v>0</v>
      </c>
      <c r="X81" s="27">
        <f t="shared" si="167"/>
        <v>0</v>
      </c>
      <c r="Y81" s="27">
        <f t="shared" si="167"/>
        <v>0</v>
      </c>
      <c r="Z81" s="27">
        <f t="shared" si="167"/>
        <v>0</v>
      </c>
      <c r="AA81" s="27">
        <f t="shared" si="167"/>
        <v>0</v>
      </c>
      <c r="AB81" s="27">
        <f t="shared" si="167"/>
        <v>0</v>
      </c>
      <c r="AC81" s="27">
        <f t="shared" si="167"/>
        <v>0</v>
      </c>
      <c r="AD81" s="27">
        <f t="shared" si="167"/>
        <v>0</v>
      </c>
      <c r="AE81" s="27">
        <f t="shared" si="167"/>
        <v>0</v>
      </c>
      <c r="AF81" s="27">
        <f t="shared" si="167"/>
        <v>0</v>
      </c>
      <c r="AG81" s="27">
        <f t="shared" si="50"/>
        <v>0</v>
      </c>
      <c r="AH81" s="27">
        <f t="shared" si="168"/>
        <v>0</v>
      </c>
      <c r="AI81" s="27">
        <f t="shared" si="169"/>
        <v>0</v>
      </c>
      <c r="AJ81" s="27">
        <f t="shared" si="51"/>
        <v>0</v>
      </c>
      <c r="AK81" s="27">
        <f t="shared" si="52"/>
        <v>0</v>
      </c>
      <c r="AL81" s="27">
        <f t="shared" si="170"/>
        <v>0</v>
      </c>
      <c r="AM81" s="27">
        <f t="shared" si="53"/>
        <v>0</v>
      </c>
      <c r="AN81" s="27" t="str">
        <f t="shared" si="171"/>
        <v>OK</v>
      </c>
      <c r="AO81" s="27">
        <f>IF(S81=SB!$E$148,T81,0)</f>
        <v>0</v>
      </c>
      <c r="AP81" s="27">
        <f>IF(S81=SB!$E$149,T81,0)</f>
        <v>0</v>
      </c>
      <c r="AQ81" s="27">
        <f>IF($S81=SB!E$150,T81,0)</f>
        <v>0</v>
      </c>
      <c r="AR81" s="27">
        <f>IF(S81=SB!$E$151,T81,0)</f>
        <v>0</v>
      </c>
      <c r="AS81" s="27">
        <f>IF(S81=SB!$E$152,T81,0)</f>
        <v>0</v>
      </c>
      <c r="AT81" s="27">
        <f>IF(S81=SB!$E$153,T81,0)</f>
        <v>0</v>
      </c>
      <c r="AU81" s="27">
        <f>IF(S81=SB!$E$154,T81,0)</f>
        <v>0</v>
      </c>
      <c r="AV81" s="27">
        <f t="shared" si="46"/>
        <v>0</v>
      </c>
      <c r="AW81" s="27">
        <f t="shared" si="47"/>
        <v>1</v>
      </c>
      <c r="AX81" s="27">
        <f t="shared" si="172"/>
        <v>0</v>
      </c>
      <c r="AY81" s="27">
        <f t="shared" si="173"/>
        <v>0</v>
      </c>
      <c r="AZ81" s="27">
        <f t="shared" si="173"/>
        <v>0</v>
      </c>
      <c r="BA81" s="27">
        <f t="shared" si="173"/>
        <v>0</v>
      </c>
      <c r="BB81" s="27">
        <f t="shared" si="173"/>
        <v>0</v>
      </c>
      <c r="BC81" s="27">
        <f t="shared" si="173"/>
        <v>0</v>
      </c>
      <c r="BD81" s="61">
        <f t="shared" si="173"/>
        <v>0</v>
      </c>
      <c r="BE81" s="27">
        <f t="shared" si="173"/>
        <v>0</v>
      </c>
      <c r="BF81" s="27">
        <f t="shared" si="173"/>
        <v>0</v>
      </c>
      <c r="BG81" s="27">
        <f t="shared" si="173"/>
        <v>0</v>
      </c>
      <c r="BH81" s="27">
        <f t="shared" si="173"/>
        <v>0</v>
      </c>
      <c r="BI81" s="27">
        <f t="shared" si="173"/>
        <v>0</v>
      </c>
      <c r="BJ81" s="27">
        <f t="shared" si="173"/>
        <v>0</v>
      </c>
      <c r="BL81" s="27">
        <f t="shared" si="174"/>
        <v>0</v>
      </c>
      <c r="BM81" s="27">
        <f t="shared" si="175"/>
        <v>0</v>
      </c>
      <c r="BN81" s="27">
        <f t="shared" si="175"/>
        <v>0</v>
      </c>
      <c r="BO81" s="27">
        <f t="shared" si="176"/>
        <v>0</v>
      </c>
      <c r="BP81" s="27">
        <f t="shared" si="177"/>
        <v>0</v>
      </c>
      <c r="BQ81" s="27">
        <f t="shared" si="178"/>
        <v>0</v>
      </c>
      <c r="BR81" s="27">
        <f t="shared" si="179"/>
        <v>0</v>
      </c>
      <c r="BS81" s="27">
        <f t="shared" si="180"/>
        <v>0</v>
      </c>
      <c r="BT81" s="27">
        <f t="shared" si="181"/>
        <v>0</v>
      </c>
      <c r="BU81" s="27">
        <f t="shared" si="182"/>
        <v>0</v>
      </c>
      <c r="BV81" s="27">
        <f t="shared" si="183"/>
        <v>0</v>
      </c>
      <c r="BW81" s="27">
        <f t="shared" si="184"/>
        <v>0</v>
      </c>
      <c r="BX81" s="27">
        <f t="shared" si="185"/>
        <v>0</v>
      </c>
      <c r="BY81" s="27">
        <f t="shared" si="186"/>
        <v>0</v>
      </c>
      <c r="BZ81" s="27">
        <f t="shared" si="187"/>
        <v>0</v>
      </c>
      <c r="CA81" s="27">
        <f t="shared" si="188"/>
        <v>0</v>
      </c>
      <c r="CB81" s="27">
        <f t="shared" si="189"/>
        <v>0</v>
      </c>
      <c r="CC81" s="27">
        <f t="shared" si="190"/>
        <v>0</v>
      </c>
      <c r="CD81" s="27">
        <f t="shared" si="191"/>
        <v>0</v>
      </c>
      <c r="CE81" s="27">
        <f t="shared" si="192"/>
        <v>0</v>
      </c>
      <c r="CF81" s="27">
        <f t="shared" si="193"/>
        <v>0</v>
      </c>
      <c r="CG81" s="27">
        <f t="shared" si="194"/>
        <v>0</v>
      </c>
      <c r="CH81" s="27">
        <f t="shared" si="195"/>
        <v>0</v>
      </c>
      <c r="CI81" s="27">
        <f t="shared" si="196"/>
        <v>0</v>
      </c>
      <c r="CJ81" s="27">
        <f t="shared" si="49"/>
        <v>0</v>
      </c>
      <c r="CK81" s="27">
        <f t="shared" si="35"/>
        <v>0</v>
      </c>
      <c r="CL81" s="27">
        <f t="shared" si="36"/>
        <v>0</v>
      </c>
      <c r="CM81" s="27">
        <f t="shared" si="37"/>
        <v>0</v>
      </c>
      <c r="CN81" s="27">
        <f t="shared" si="38"/>
        <v>0</v>
      </c>
      <c r="CO81" s="27">
        <f t="shared" si="39"/>
        <v>0</v>
      </c>
      <c r="CP81" s="27">
        <f t="shared" si="40"/>
        <v>0</v>
      </c>
      <c r="CQ81" s="27">
        <f t="shared" si="41"/>
        <v>0</v>
      </c>
      <c r="CR81" s="27">
        <f t="shared" si="42"/>
        <v>0</v>
      </c>
      <c r="CS81" s="27">
        <f t="shared" si="43"/>
        <v>0</v>
      </c>
      <c r="CT81" s="27">
        <f t="shared" si="44"/>
        <v>0</v>
      </c>
      <c r="CU81" s="61">
        <f t="shared" si="45"/>
        <v>0</v>
      </c>
    </row>
    <row r="82" spans="2:99" s="27" customFormat="1" ht="11.25" hidden="1" x14ac:dyDescent="0.2">
      <c r="B82" s="60" t="str">
        <f>SANDBOX!$D178</f>
        <v>Mobiliario y equipos oficina</v>
      </c>
      <c r="E82" s="27">
        <f t="shared" ref="E82:Q82" si="197">SUM(E76:E81)</f>
        <v>0</v>
      </c>
      <c r="F82" s="27">
        <f t="shared" si="197"/>
        <v>0</v>
      </c>
      <c r="G82" s="27">
        <f t="shared" si="197"/>
        <v>0</v>
      </c>
      <c r="H82" s="27">
        <f t="shared" si="197"/>
        <v>0</v>
      </c>
      <c r="I82" s="27">
        <f t="shared" si="197"/>
        <v>0</v>
      </c>
      <c r="J82" s="27">
        <f t="shared" si="197"/>
        <v>0</v>
      </c>
      <c r="K82" s="27">
        <f t="shared" si="197"/>
        <v>0</v>
      </c>
      <c r="L82" s="27">
        <f t="shared" si="197"/>
        <v>0</v>
      </c>
      <c r="M82" s="27">
        <f t="shared" si="197"/>
        <v>0</v>
      </c>
      <c r="N82" s="27">
        <f t="shared" si="197"/>
        <v>0</v>
      </c>
      <c r="O82" s="27">
        <f t="shared" si="197"/>
        <v>0</v>
      </c>
      <c r="P82" s="27">
        <f t="shared" si="197"/>
        <v>0</v>
      </c>
      <c r="Q82" s="27">
        <f t="shared" si="197"/>
        <v>0</v>
      </c>
      <c r="S82" s="27" t="str">
        <f>SANDBOX!$D$178</f>
        <v>Mobiliario y equipos oficina</v>
      </c>
      <c r="U82" s="27">
        <f t="shared" ref="U82:AM82" si="198">SUM(U76:U81)</f>
        <v>0</v>
      </c>
      <c r="V82" s="27">
        <f t="shared" si="198"/>
        <v>0</v>
      </c>
      <c r="W82" s="27">
        <f t="shared" si="198"/>
        <v>0</v>
      </c>
      <c r="X82" s="27">
        <f t="shared" si="198"/>
        <v>0</v>
      </c>
      <c r="Y82" s="27">
        <f t="shared" si="198"/>
        <v>0</v>
      </c>
      <c r="Z82" s="27">
        <f t="shared" si="198"/>
        <v>0</v>
      </c>
      <c r="AA82" s="27">
        <f t="shared" si="198"/>
        <v>0</v>
      </c>
      <c r="AB82" s="27">
        <f t="shared" si="198"/>
        <v>0</v>
      </c>
      <c r="AC82" s="27">
        <f t="shared" si="198"/>
        <v>0</v>
      </c>
      <c r="AD82" s="27">
        <f t="shared" si="198"/>
        <v>0</v>
      </c>
      <c r="AE82" s="27">
        <f t="shared" si="198"/>
        <v>0</v>
      </c>
      <c r="AF82" s="27">
        <f t="shared" si="198"/>
        <v>0</v>
      </c>
      <c r="AG82" s="27">
        <f t="shared" si="198"/>
        <v>0</v>
      </c>
      <c r="AH82" s="27">
        <f t="shared" si="198"/>
        <v>0</v>
      </c>
      <c r="AI82" s="27">
        <f t="shared" si="198"/>
        <v>0</v>
      </c>
      <c r="AJ82" s="27">
        <f t="shared" si="198"/>
        <v>0</v>
      </c>
      <c r="AK82" s="27">
        <f t="shared" si="198"/>
        <v>0</v>
      </c>
      <c r="AL82" s="27">
        <f t="shared" si="198"/>
        <v>0</v>
      </c>
      <c r="AM82" s="27">
        <f t="shared" si="198"/>
        <v>0</v>
      </c>
      <c r="BD82" s="61"/>
      <c r="CU82" s="61"/>
    </row>
    <row r="83" spans="2:99" s="27" customFormat="1" ht="11.25" hidden="1" x14ac:dyDescent="0.2">
      <c r="B83" s="60">
        <f>IF(C83=0,0,SANDBOX!D186)</f>
        <v>0</v>
      </c>
      <c r="C83" s="27">
        <f>IF(SANDBOX!G186=SB!$C$156,SANDBOX!F186,0)</f>
        <v>0</v>
      </c>
      <c r="D83" s="27" t="str">
        <f>IF(SANDBOX!I186=0,$E$45,SANDBOX!I186)</f>
        <v>Enero</v>
      </c>
      <c r="E83" s="27">
        <f t="shared" ref="E83:E88" si="199">SUMIF($D83,E$45,$C83)</f>
        <v>0</v>
      </c>
      <c r="F83" s="27">
        <f t="shared" ref="F83:P88" si="200">SUMIF($D83,F$45,$C83)</f>
        <v>0</v>
      </c>
      <c r="G83" s="27">
        <f t="shared" si="200"/>
        <v>0</v>
      </c>
      <c r="H83" s="27">
        <f t="shared" si="200"/>
        <v>0</v>
      </c>
      <c r="I83" s="27">
        <f t="shared" si="200"/>
        <v>0</v>
      </c>
      <c r="J83" s="27">
        <f t="shared" si="200"/>
        <v>0</v>
      </c>
      <c r="K83" s="27">
        <f t="shared" si="200"/>
        <v>0</v>
      </c>
      <c r="L83" s="27">
        <f t="shared" si="200"/>
        <v>0</v>
      </c>
      <c r="M83" s="27">
        <f t="shared" si="200"/>
        <v>0</v>
      </c>
      <c r="N83" s="27">
        <f t="shared" si="200"/>
        <v>0</v>
      </c>
      <c r="O83" s="27">
        <f t="shared" si="200"/>
        <v>0</v>
      </c>
      <c r="P83" s="27">
        <f t="shared" si="200"/>
        <v>0</v>
      </c>
      <c r="Q83" s="27">
        <f t="shared" ref="Q83:Q88" si="201">SUM(E83:P83)</f>
        <v>0</v>
      </c>
      <c r="R83" s="27">
        <f>IF($C83=0,0,SANDBOX!J186)</f>
        <v>0</v>
      </c>
      <c r="S83" s="27">
        <f>IF($C83=0,0,SANDBOX!K186)</f>
        <v>0</v>
      </c>
      <c r="T83" s="27">
        <f t="shared" ref="T83:T88" si="202">IF(R83=0,0,C83/R83)</f>
        <v>0</v>
      </c>
      <c r="U83" s="27">
        <f t="shared" ref="U83:AF88" si="203">IF(CJ83&lt;=0,0,BL83)</f>
        <v>0</v>
      </c>
      <c r="V83" s="27">
        <f t="shared" si="203"/>
        <v>0</v>
      </c>
      <c r="W83" s="27">
        <f t="shared" si="203"/>
        <v>0</v>
      </c>
      <c r="X83" s="27">
        <f t="shared" si="203"/>
        <v>0</v>
      </c>
      <c r="Y83" s="27">
        <f t="shared" si="203"/>
        <v>0</v>
      </c>
      <c r="Z83" s="27">
        <f t="shared" si="203"/>
        <v>0</v>
      </c>
      <c r="AA83" s="27">
        <f t="shared" si="203"/>
        <v>0</v>
      </c>
      <c r="AB83" s="27">
        <f t="shared" si="203"/>
        <v>0</v>
      </c>
      <c r="AC83" s="27">
        <f t="shared" si="203"/>
        <v>0</v>
      </c>
      <c r="AD83" s="27">
        <f t="shared" si="203"/>
        <v>0</v>
      </c>
      <c r="AE83" s="27">
        <f t="shared" si="203"/>
        <v>0</v>
      </c>
      <c r="AF83" s="27">
        <f t="shared" si="203"/>
        <v>0</v>
      </c>
      <c r="AG83" s="27">
        <f t="shared" si="50"/>
        <v>0</v>
      </c>
      <c r="AH83" s="27">
        <f t="shared" ref="AH83:AH88" si="204">+C83-AG83</f>
        <v>0</v>
      </c>
      <c r="AI83" s="27">
        <f t="shared" ref="AI83:AI88" si="205">IF($T83=0,0,AH83/$T83)</f>
        <v>0</v>
      </c>
      <c r="AJ83" s="27">
        <f t="shared" si="51"/>
        <v>0</v>
      </c>
      <c r="AK83" s="27">
        <f t="shared" si="52"/>
        <v>0</v>
      </c>
      <c r="AL83" s="27">
        <f t="shared" ref="AL83:AL88" si="206">IF($T83=0,0,AK83/$T83)</f>
        <v>0</v>
      </c>
      <c r="AM83" s="27">
        <f t="shared" si="53"/>
        <v>0</v>
      </c>
      <c r="AN83" s="27" t="str">
        <f t="shared" ref="AN83:AN88" si="207">IF(AM83+AJ83+AG83=C83,"OK","ERROR")</f>
        <v>OK</v>
      </c>
      <c r="AO83" s="27">
        <f>IF(S83=SB!$E$148,T83,0)</f>
        <v>0</v>
      </c>
      <c r="AP83" s="27">
        <f>IF(S83=SB!$E$149,T83,0)</f>
        <v>0</v>
      </c>
      <c r="AQ83" s="27">
        <f>IF($S83=SB!E$150,T83,0)</f>
        <v>0</v>
      </c>
      <c r="AR83" s="27">
        <f>IF(S83=SB!$E$151,T83,0)</f>
        <v>0</v>
      </c>
      <c r="AS83" s="27">
        <f>IF(S83=SB!$E$152,T83,0)</f>
        <v>0</v>
      </c>
      <c r="AT83" s="27">
        <f>IF(S83=SB!$E$153,T83,0)</f>
        <v>0</v>
      </c>
      <c r="AU83" s="27">
        <f>IF(S83=SB!$E$154,T83,0)</f>
        <v>0</v>
      </c>
      <c r="AV83" s="27">
        <f t="shared" si="46"/>
        <v>0</v>
      </c>
      <c r="AW83" s="27">
        <f t="shared" si="47"/>
        <v>1</v>
      </c>
      <c r="AX83" s="27">
        <f t="shared" ref="AX83:AX88" si="208">+AW83+AV83-1</f>
        <v>0</v>
      </c>
      <c r="AY83" s="27">
        <f t="shared" ref="AY83:BJ88" si="209">IF(AY$47=$AX83,$T83,0)</f>
        <v>0</v>
      </c>
      <c r="AZ83" s="27">
        <f t="shared" si="209"/>
        <v>0</v>
      </c>
      <c r="BA83" s="27">
        <f t="shared" si="209"/>
        <v>0</v>
      </c>
      <c r="BB83" s="27">
        <f t="shared" si="209"/>
        <v>0</v>
      </c>
      <c r="BC83" s="27">
        <f t="shared" si="209"/>
        <v>0</v>
      </c>
      <c r="BD83" s="61">
        <f t="shared" si="209"/>
        <v>0</v>
      </c>
      <c r="BE83" s="27">
        <f t="shared" si="209"/>
        <v>0</v>
      </c>
      <c r="BF83" s="27">
        <f t="shared" si="209"/>
        <v>0</v>
      </c>
      <c r="BG83" s="27">
        <f t="shared" si="209"/>
        <v>0</v>
      </c>
      <c r="BH83" s="27">
        <f t="shared" si="209"/>
        <v>0</v>
      </c>
      <c r="BI83" s="27">
        <f t="shared" si="209"/>
        <v>0</v>
      </c>
      <c r="BJ83" s="27">
        <f t="shared" si="209"/>
        <v>0</v>
      </c>
      <c r="BL83" s="27">
        <f t="shared" ref="BL83:BL88" si="210">+IF(AY83=0,0,AY83)</f>
        <v>0</v>
      </c>
      <c r="BM83" s="27">
        <f t="shared" ref="BM83:BN88" si="211">+IF(AZ83=0,BL83,AZ83)</f>
        <v>0</v>
      </c>
      <c r="BN83" s="27">
        <f t="shared" si="211"/>
        <v>0</v>
      </c>
      <c r="BO83" s="27">
        <f t="shared" ref="BO83:BO88" si="212">+IF(BB83=0,BN83,BB83)</f>
        <v>0</v>
      </c>
      <c r="BP83" s="27">
        <f t="shared" ref="BP83:BP88" si="213">+IF(BC83=0,BO83,BC83)</f>
        <v>0</v>
      </c>
      <c r="BQ83" s="27">
        <f t="shared" ref="BQ83:BQ88" si="214">+IF(BD83=0,BP83,BD83)</f>
        <v>0</v>
      </c>
      <c r="BR83" s="27">
        <f t="shared" ref="BR83:BR88" si="215">+IF(BE83=0,BQ83,BE83)</f>
        <v>0</v>
      </c>
      <c r="BS83" s="27">
        <f t="shared" ref="BS83:BS88" si="216">+IF(BF83=0,BR83,BF83)</f>
        <v>0</v>
      </c>
      <c r="BT83" s="27">
        <f t="shared" ref="BT83:BT88" si="217">+IF(BG83=0,BS83,BG83)</f>
        <v>0</v>
      </c>
      <c r="BU83" s="27">
        <f t="shared" ref="BU83:BU88" si="218">+IF(BH83=0,BT83,BH83)</f>
        <v>0</v>
      </c>
      <c r="BV83" s="27">
        <f t="shared" ref="BV83:BV88" si="219">+IF(BI83=0,BU83,BI83)</f>
        <v>0</v>
      </c>
      <c r="BW83" s="27">
        <f t="shared" ref="BW83:BW88" si="220">+IF(BJ83=0,BV83,BJ83)</f>
        <v>0</v>
      </c>
      <c r="BX83" s="27">
        <f t="shared" ref="BX83:BX88" si="221">+E83</f>
        <v>0</v>
      </c>
      <c r="BY83" s="27">
        <f t="shared" ref="BY83:BY88" si="222">IF(BX83=0,F83,BX83-BL83)</f>
        <v>0</v>
      </c>
      <c r="BZ83" s="27">
        <f t="shared" ref="BZ83:BZ88" si="223">IF(BY83=0,G83,BY83-BM83)</f>
        <v>0</v>
      </c>
      <c r="CA83" s="27">
        <f t="shared" ref="CA83:CA88" si="224">IF(BZ83=0,H83,BZ83-BN83)</f>
        <v>0</v>
      </c>
      <c r="CB83" s="27">
        <f t="shared" ref="CB83:CB88" si="225">IF(CA83=0,I83,CA83-BO83)</f>
        <v>0</v>
      </c>
      <c r="CC83" s="27">
        <f t="shared" ref="CC83:CC88" si="226">IF(CB83=0,J83,CB83-BP83)</f>
        <v>0</v>
      </c>
      <c r="CD83" s="27">
        <f t="shared" ref="CD83:CD88" si="227">IF(CC83=0,K83,CC83-BQ83)</f>
        <v>0</v>
      </c>
      <c r="CE83" s="27">
        <f t="shared" ref="CE83:CE88" si="228">IF(CD83=0,L83,CD83-BR83)</f>
        <v>0</v>
      </c>
      <c r="CF83" s="27">
        <f t="shared" ref="CF83:CF88" si="229">IF(CE83=0,M83,CE83-BS83)</f>
        <v>0</v>
      </c>
      <c r="CG83" s="27">
        <f t="shared" ref="CG83:CG88" si="230">IF(CF83=0,N83,CF83-BT83)</f>
        <v>0</v>
      </c>
      <c r="CH83" s="27">
        <f t="shared" ref="CH83:CH88" si="231">IF(CG83=0,O83,CG83-BU83)</f>
        <v>0</v>
      </c>
      <c r="CI83" s="27">
        <f t="shared" ref="CI83:CI88" si="232">IF(CH83=0,P83,CH83-BV83)</f>
        <v>0</v>
      </c>
      <c r="CJ83" s="27">
        <f t="shared" si="49"/>
        <v>0</v>
      </c>
      <c r="CK83" s="27">
        <f t="shared" si="35"/>
        <v>0</v>
      </c>
      <c r="CL83" s="27">
        <f t="shared" si="36"/>
        <v>0</v>
      </c>
      <c r="CM83" s="27">
        <f t="shared" si="37"/>
        <v>0</v>
      </c>
      <c r="CN83" s="27">
        <f t="shared" si="38"/>
        <v>0</v>
      </c>
      <c r="CO83" s="27">
        <f t="shared" si="39"/>
        <v>0</v>
      </c>
      <c r="CP83" s="27">
        <f t="shared" si="40"/>
        <v>0</v>
      </c>
      <c r="CQ83" s="27">
        <f t="shared" si="41"/>
        <v>0</v>
      </c>
      <c r="CR83" s="27">
        <f t="shared" si="42"/>
        <v>0</v>
      </c>
      <c r="CS83" s="27">
        <f t="shared" si="43"/>
        <v>0</v>
      </c>
      <c r="CT83" s="27">
        <f t="shared" si="44"/>
        <v>0</v>
      </c>
      <c r="CU83" s="61">
        <f t="shared" si="45"/>
        <v>0</v>
      </c>
    </row>
    <row r="84" spans="2:99" s="27" customFormat="1" ht="11.25" hidden="1" x14ac:dyDescent="0.2">
      <c r="B84" s="60">
        <f>IF(C84=0,0,SANDBOX!D187)</f>
        <v>0</v>
      </c>
      <c r="C84" s="27">
        <f>IF(SANDBOX!G187=SB!$C$156,SANDBOX!F187,0)</f>
        <v>0</v>
      </c>
      <c r="D84" s="27" t="str">
        <f>IF(SANDBOX!I187=0,$E$45,SANDBOX!I187)</f>
        <v>Enero</v>
      </c>
      <c r="E84" s="27">
        <f t="shared" si="199"/>
        <v>0</v>
      </c>
      <c r="F84" s="27">
        <f t="shared" si="200"/>
        <v>0</v>
      </c>
      <c r="G84" s="27">
        <f t="shared" si="200"/>
        <v>0</v>
      </c>
      <c r="H84" s="27">
        <f t="shared" si="200"/>
        <v>0</v>
      </c>
      <c r="I84" s="27">
        <f t="shared" si="200"/>
        <v>0</v>
      </c>
      <c r="J84" s="27">
        <f t="shared" si="200"/>
        <v>0</v>
      </c>
      <c r="K84" s="27">
        <f t="shared" si="200"/>
        <v>0</v>
      </c>
      <c r="L84" s="27">
        <f t="shared" si="200"/>
        <v>0</v>
      </c>
      <c r="M84" s="27">
        <f t="shared" si="200"/>
        <v>0</v>
      </c>
      <c r="N84" s="27">
        <f t="shared" si="200"/>
        <v>0</v>
      </c>
      <c r="O84" s="27">
        <f t="shared" si="200"/>
        <v>0</v>
      </c>
      <c r="P84" s="27">
        <f t="shared" si="200"/>
        <v>0</v>
      </c>
      <c r="Q84" s="27">
        <f t="shared" si="201"/>
        <v>0</v>
      </c>
      <c r="R84" s="27">
        <f>IF($C84=0,0,SANDBOX!J187)</f>
        <v>0</v>
      </c>
      <c r="S84" s="27">
        <f>IF($C84=0,0,SANDBOX!K187)</f>
        <v>0</v>
      </c>
      <c r="T84" s="27">
        <f t="shared" si="202"/>
        <v>0</v>
      </c>
      <c r="U84" s="27">
        <f t="shared" si="203"/>
        <v>0</v>
      </c>
      <c r="V84" s="27">
        <f t="shared" si="203"/>
        <v>0</v>
      </c>
      <c r="W84" s="27">
        <f t="shared" si="203"/>
        <v>0</v>
      </c>
      <c r="X84" s="27">
        <f t="shared" si="203"/>
        <v>0</v>
      </c>
      <c r="Y84" s="27">
        <f t="shared" si="203"/>
        <v>0</v>
      </c>
      <c r="Z84" s="27">
        <f t="shared" si="203"/>
        <v>0</v>
      </c>
      <c r="AA84" s="27">
        <f t="shared" si="203"/>
        <v>0</v>
      </c>
      <c r="AB84" s="27">
        <f t="shared" si="203"/>
        <v>0</v>
      </c>
      <c r="AC84" s="27">
        <f t="shared" si="203"/>
        <v>0</v>
      </c>
      <c r="AD84" s="27">
        <f t="shared" si="203"/>
        <v>0</v>
      </c>
      <c r="AE84" s="27">
        <f t="shared" si="203"/>
        <v>0</v>
      </c>
      <c r="AF84" s="27">
        <f t="shared" si="203"/>
        <v>0</v>
      </c>
      <c r="AG84" s="27">
        <f t="shared" si="50"/>
        <v>0</v>
      </c>
      <c r="AH84" s="27">
        <f t="shared" si="204"/>
        <v>0</v>
      </c>
      <c r="AI84" s="27">
        <f t="shared" si="205"/>
        <v>0</v>
      </c>
      <c r="AJ84" s="27">
        <f t="shared" si="51"/>
        <v>0</v>
      </c>
      <c r="AK84" s="27">
        <f t="shared" si="52"/>
        <v>0</v>
      </c>
      <c r="AL84" s="27">
        <f t="shared" si="206"/>
        <v>0</v>
      </c>
      <c r="AM84" s="27">
        <f t="shared" si="53"/>
        <v>0</v>
      </c>
      <c r="AN84" s="27" t="str">
        <f t="shared" si="207"/>
        <v>OK</v>
      </c>
      <c r="AO84" s="27">
        <f>IF(S84=SB!$E$148,T84,0)</f>
        <v>0</v>
      </c>
      <c r="AP84" s="27">
        <f>IF(S84=SB!$E$149,T84,0)</f>
        <v>0</v>
      </c>
      <c r="AQ84" s="27">
        <f>IF($S84=SB!E$150,T84,0)</f>
        <v>0</v>
      </c>
      <c r="AR84" s="27">
        <f>IF(S84=SB!$E$151,T84,0)</f>
        <v>0</v>
      </c>
      <c r="AS84" s="27">
        <f>IF(S84=SB!$E$152,T84,0)</f>
        <v>0</v>
      </c>
      <c r="AT84" s="27">
        <f>IF(S84=SB!$E$153,T84,0)</f>
        <v>0</v>
      </c>
      <c r="AU84" s="27">
        <f>IF(S84=SB!$E$154,T84,0)</f>
        <v>0</v>
      </c>
      <c r="AV84" s="27">
        <f t="shared" si="46"/>
        <v>0</v>
      </c>
      <c r="AW84" s="27">
        <f t="shared" si="47"/>
        <v>1</v>
      </c>
      <c r="AX84" s="27">
        <f t="shared" si="208"/>
        <v>0</v>
      </c>
      <c r="AY84" s="27">
        <f t="shared" si="209"/>
        <v>0</v>
      </c>
      <c r="AZ84" s="27">
        <f t="shared" si="209"/>
        <v>0</v>
      </c>
      <c r="BA84" s="27">
        <f t="shared" si="209"/>
        <v>0</v>
      </c>
      <c r="BB84" s="27">
        <f t="shared" si="209"/>
        <v>0</v>
      </c>
      <c r="BC84" s="27">
        <f t="shared" si="209"/>
        <v>0</v>
      </c>
      <c r="BD84" s="61">
        <f t="shared" si="209"/>
        <v>0</v>
      </c>
      <c r="BE84" s="27">
        <f t="shared" si="209"/>
        <v>0</v>
      </c>
      <c r="BF84" s="27">
        <f t="shared" si="209"/>
        <v>0</v>
      </c>
      <c r="BG84" s="27">
        <f t="shared" si="209"/>
        <v>0</v>
      </c>
      <c r="BH84" s="27">
        <f t="shared" si="209"/>
        <v>0</v>
      </c>
      <c r="BI84" s="27">
        <f t="shared" si="209"/>
        <v>0</v>
      </c>
      <c r="BJ84" s="27">
        <f t="shared" si="209"/>
        <v>0</v>
      </c>
      <c r="BL84" s="27">
        <f t="shared" si="210"/>
        <v>0</v>
      </c>
      <c r="BM84" s="27">
        <f t="shared" si="211"/>
        <v>0</v>
      </c>
      <c r="BN84" s="27">
        <f t="shared" si="211"/>
        <v>0</v>
      </c>
      <c r="BO84" s="27">
        <f t="shared" si="212"/>
        <v>0</v>
      </c>
      <c r="BP84" s="27">
        <f t="shared" si="213"/>
        <v>0</v>
      </c>
      <c r="BQ84" s="27">
        <f t="shared" si="214"/>
        <v>0</v>
      </c>
      <c r="BR84" s="27">
        <f t="shared" si="215"/>
        <v>0</v>
      </c>
      <c r="BS84" s="27">
        <f t="shared" si="216"/>
        <v>0</v>
      </c>
      <c r="BT84" s="27">
        <f t="shared" si="217"/>
        <v>0</v>
      </c>
      <c r="BU84" s="27">
        <f t="shared" si="218"/>
        <v>0</v>
      </c>
      <c r="BV84" s="27">
        <f t="shared" si="219"/>
        <v>0</v>
      </c>
      <c r="BW84" s="27">
        <f t="shared" si="220"/>
        <v>0</v>
      </c>
      <c r="BX84" s="27">
        <f t="shared" si="221"/>
        <v>0</v>
      </c>
      <c r="BY84" s="27">
        <f t="shared" si="222"/>
        <v>0</v>
      </c>
      <c r="BZ84" s="27">
        <f t="shared" si="223"/>
        <v>0</v>
      </c>
      <c r="CA84" s="27">
        <f t="shared" si="224"/>
        <v>0</v>
      </c>
      <c r="CB84" s="27">
        <f t="shared" si="225"/>
        <v>0</v>
      </c>
      <c r="CC84" s="27">
        <f t="shared" si="226"/>
        <v>0</v>
      </c>
      <c r="CD84" s="27">
        <f t="shared" si="227"/>
        <v>0</v>
      </c>
      <c r="CE84" s="27">
        <f t="shared" si="228"/>
        <v>0</v>
      </c>
      <c r="CF84" s="27">
        <f t="shared" si="229"/>
        <v>0</v>
      </c>
      <c r="CG84" s="27">
        <f t="shared" si="230"/>
        <v>0</v>
      </c>
      <c r="CH84" s="27">
        <f t="shared" si="231"/>
        <v>0</v>
      </c>
      <c r="CI84" s="27">
        <f t="shared" si="232"/>
        <v>0</v>
      </c>
      <c r="CJ84" s="27">
        <f t="shared" si="49"/>
        <v>0</v>
      </c>
      <c r="CK84" s="27">
        <f t="shared" si="35"/>
        <v>0</v>
      </c>
      <c r="CL84" s="27">
        <f t="shared" si="36"/>
        <v>0</v>
      </c>
      <c r="CM84" s="27">
        <f t="shared" si="37"/>
        <v>0</v>
      </c>
      <c r="CN84" s="27">
        <f t="shared" si="38"/>
        <v>0</v>
      </c>
      <c r="CO84" s="27">
        <f t="shared" si="39"/>
        <v>0</v>
      </c>
      <c r="CP84" s="27">
        <f t="shared" si="40"/>
        <v>0</v>
      </c>
      <c r="CQ84" s="27">
        <f t="shared" si="41"/>
        <v>0</v>
      </c>
      <c r="CR84" s="27">
        <f t="shared" si="42"/>
        <v>0</v>
      </c>
      <c r="CS84" s="27">
        <f t="shared" si="43"/>
        <v>0</v>
      </c>
      <c r="CT84" s="27">
        <f t="shared" si="44"/>
        <v>0</v>
      </c>
      <c r="CU84" s="61">
        <f t="shared" si="45"/>
        <v>0</v>
      </c>
    </row>
    <row r="85" spans="2:99" s="27" customFormat="1" ht="11.25" hidden="1" x14ac:dyDescent="0.2">
      <c r="B85" s="60">
        <f>IF(C85=0,0,SANDBOX!D188)</f>
        <v>0</v>
      </c>
      <c r="C85" s="27">
        <f>IF(SANDBOX!G188=SB!$C$156,SANDBOX!F188,0)</f>
        <v>0</v>
      </c>
      <c r="D85" s="27" t="str">
        <f>IF(SANDBOX!I188=0,$E$45,SANDBOX!I188)</f>
        <v>Enero</v>
      </c>
      <c r="E85" s="27">
        <f t="shared" si="199"/>
        <v>0</v>
      </c>
      <c r="F85" s="27">
        <f t="shared" si="200"/>
        <v>0</v>
      </c>
      <c r="G85" s="27">
        <f t="shared" si="200"/>
        <v>0</v>
      </c>
      <c r="H85" s="27">
        <f t="shared" si="200"/>
        <v>0</v>
      </c>
      <c r="I85" s="27">
        <f t="shared" si="200"/>
        <v>0</v>
      </c>
      <c r="J85" s="27">
        <f t="shared" si="200"/>
        <v>0</v>
      </c>
      <c r="K85" s="27">
        <f t="shared" si="200"/>
        <v>0</v>
      </c>
      <c r="L85" s="27">
        <f t="shared" si="200"/>
        <v>0</v>
      </c>
      <c r="M85" s="27">
        <f t="shared" si="200"/>
        <v>0</v>
      </c>
      <c r="N85" s="27">
        <f t="shared" si="200"/>
        <v>0</v>
      </c>
      <c r="O85" s="27">
        <f t="shared" si="200"/>
        <v>0</v>
      </c>
      <c r="P85" s="27">
        <f t="shared" si="200"/>
        <v>0</v>
      </c>
      <c r="Q85" s="27">
        <f t="shared" si="201"/>
        <v>0</v>
      </c>
      <c r="R85" s="27">
        <f>IF($C85=0,0,SANDBOX!J188)</f>
        <v>0</v>
      </c>
      <c r="S85" s="27">
        <f>IF($C85=0,0,SANDBOX!K188)</f>
        <v>0</v>
      </c>
      <c r="T85" s="27">
        <f t="shared" si="202"/>
        <v>0</v>
      </c>
      <c r="U85" s="27">
        <f t="shared" si="203"/>
        <v>0</v>
      </c>
      <c r="V85" s="27">
        <f t="shared" si="203"/>
        <v>0</v>
      </c>
      <c r="W85" s="27">
        <f t="shared" si="203"/>
        <v>0</v>
      </c>
      <c r="X85" s="27">
        <f t="shared" si="203"/>
        <v>0</v>
      </c>
      <c r="Y85" s="27">
        <f t="shared" si="203"/>
        <v>0</v>
      </c>
      <c r="Z85" s="27">
        <f t="shared" si="203"/>
        <v>0</v>
      </c>
      <c r="AA85" s="27">
        <f t="shared" si="203"/>
        <v>0</v>
      </c>
      <c r="AB85" s="27">
        <f t="shared" si="203"/>
        <v>0</v>
      </c>
      <c r="AC85" s="27">
        <f t="shared" si="203"/>
        <v>0</v>
      </c>
      <c r="AD85" s="27">
        <f t="shared" si="203"/>
        <v>0</v>
      </c>
      <c r="AE85" s="27">
        <f t="shared" si="203"/>
        <v>0</v>
      </c>
      <c r="AF85" s="27">
        <f t="shared" si="203"/>
        <v>0</v>
      </c>
      <c r="AG85" s="27">
        <f t="shared" si="50"/>
        <v>0</v>
      </c>
      <c r="AH85" s="27">
        <f t="shared" si="204"/>
        <v>0</v>
      </c>
      <c r="AI85" s="27">
        <f t="shared" si="205"/>
        <v>0</v>
      </c>
      <c r="AJ85" s="27">
        <f t="shared" si="51"/>
        <v>0</v>
      </c>
      <c r="AK85" s="27">
        <f t="shared" si="52"/>
        <v>0</v>
      </c>
      <c r="AL85" s="27">
        <f t="shared" si="206"/>
        <v>0</v>
      </c>
      <c r="AM85" s="27">
        <f t="shared" si="53"/>
        <v>0</v>
      </c>
      <c r="AN85" s="27" t="str">
        <f t="shared" si="207"/>
        <v>OK</v>
      </c>
      <c r="AO85" s="27">
        <f>IF(S85=SB!$E$148,T85,0)</f>
        <v>0</v>
      </c>
      <c r="AP85" s="27">
        <f>IF(S85=SB!$E$149,T85,0)</f>
        <v>0</v>
      </c>
      <c r="AQ85" s="27">
        <f>IF($S85=SB!E$150,T85,0)</f>
        <v>0</v>
      </c>
      <c r="AR85" s="27">
        <f>IF(S85=SB!$E$151,T85,0)</f>
        <v>0</v>
      </c>
      <c r="AS85" s="27">
        <f>IF(S85=SB!$E$152,T85,0)</f>
        <v>0</v>
      </c>
      <c r="AT85" s="27">
        <f>IF(S85=SB!$E$153,T85,0)</f>
        <v>0</v>
      </c>
      <c r="AU85" s="27">
        <f>IF(S85=SB!$E$154,T85,0)</f>
        <v>0</v>
      </c>
      <c r="AV85" s="27">
        <f t="shared" si="46"/>
        <v>0</v>
      </c>
      <c r="AW85" s="27">
        <f t="shared" si="47"/>
        <v>1</v>
      </c>
      <c r="AX85" s="27">
        <f t="shared" si="208"/>
        <v>0</v>
      </c>
      <c r="AY85" s="27">
        <f t="shared" si="209"/>
        <v>0</v>
      </c>
      <c r="AZ85" s="27">
        <f t="shared" si="209"/>
        <v>0</v>
      </c>
      <c r="BA85" s="27">
        <f t="shared" si="209"/>
        <v>0</v>
      </c>
      <c r="BB85" s="27">
        <f t="shared" si="209"/>
        <v>0</v>
      </c>
      <c r="BC85" s="27">
        <f t="shared" si="209"/>
        <v>0</v>
      </c>
      <c r="BD85" s="61">
        <f t="shared" si="209"/>
        <v>0</v>
      </c>
      <c r="BE85" s="27">
        <f t="shared" si="209"/>
        <v>0</v>
      </c>
      <c r="BF85" s="27">
        <f t="shared" si="209"/>
        <v>0</v>
      </c>
      <c r="BG85" s="27">
        <f t="shared" si="209"/>
        <v>0</v>
      </c>
      <c r="BH85" s="27">
        <f t="shared" si="209"/>
        <v>0</v>
      </c>
      <c r="BI85" s="27">
        <f t="shared" si="209"/>
        <v>0</v>
      </c>
      <c r="BJ85" s="27">
        <f t="shared" si="209"/>
        <v>0</v>
      </c>
      <c r="BL85" s="27">
        <f t="shared" si="210"/>
        <v>0</v>
      </c>
      <c r="BM85" s="27">
        <f t="shared" si="211"/>
        <v>0</v>
      </c>
      <c r="BN85" s="27">
        <f t="shared" si="211"/>
        <v>0</v>
      </c>
      <c r="BO85" s="27">
        <f t="shared" si="212"/>
        <v>0</v>
      </c>
      <c r="BP85" s="27">
        <f t="shared" si="213"/>
        <v>0</v>
      </c>
      <c r="BQ85" s="27">
        <f t="shared" si="214"/>
        <v>0</v>
      </c>
      <c r="BR85" s="27">
        <f t="shared" si="215"/>
        <v>0</v>
      </c>
      <c r="BS85" s="27">
        <f t="shared" si="216"/>
        <v>0</v>
      </c>
      <c r="BT85" s="27">
        <f t="shared" si="217"/>
        <v>0</v>
      </c>
      <c r="BU85" s="27">
        <f t="shared" si="218"/>
        <v>0</v>
      </c>
      <c r="BV85" s="27">
        <f t="shared" si="219"/>
        <v>0</v>
      </c>
      <c r="BW85" s="27">
        <f t="shared" si="220"/>
        <v>0</v>
      </c>
      <c r="BX85" s="27">
        <f t="shared" si="221"/>
        <v>0</v>
      </c>
      <c r="BY85" s="27">
        <f t="shared" si="222"/>
        <v>0</v>
      </c>
      <c r="BZ85" s="27">
        <f t="shared" si="223"/>
        <v>0</v>
      </c>
      <c r="CA85" s="27">
        <f t="shared" si="224"/>
        <v>0</v>
      </c>
      <c r="CB85" s="27">
        <f t="shared" si="225"/>
        <v>0</v>
      </c>
      <c r="CC85" s="27">
        <f t="shared" si="226"/>
        <v>0</v>
      </c>
      <c r="CD85" s="27">
        <f t="shared" si="227"/>
        <v>0</v>
      </c>
      <c r="CE85" s="27">
        <f t="shared" si="228"/>
        <v>0</v>
      </c>
      <c r="CF85" s="27">
        <f t="shared" si="229"/>
        <v>0</v>
      </c>
      <c r="CG85" s="27">
        <f t="shared" si="230"/>
        <v>0</v>
      </c>
      <c r="CH85" s="27">
        <f t="shared" si="231"/>
        <v>0</v>
      </c>
      <c r="CI85" s="27">
        <f t="shared" si="232"/>
        <v>0</v>
      </c>
      <c r="CJ85" s="27">
        <f t="shared" si="49"/>
        <v>0</v>
      </c>
      <c r="CK85" s="27">
        <f t="shared" si="35"/>
        <v>0</v>
      </c>
      <c r="CL85" s="27">
        <f t="shared" si="36"/>
        <v>0</v>
      </c>
      <c r="CM85" s="27">
        <f t="shared" si="37"/>
        <v>0</v>
      </c>
      <c r="CN85" s="27">
        <f t="shared" si="38"/>
        <v>0</v>
      </c>
      <c r="CO85" s="27">
        <f t="shared" si="39"/>
        <v>0</v>
      </c>
      <c r="CP85" s="27">
        <f t="shared" si="40"/>
        <v>0</v>
      </c>
      <c r="CQ85" s="27">
        <f t="shared" si="41"/>
        <v>0</v>
      </c>
      <c r="CR85" s="27">
        <f t="shared" si="42"/>
        <v>0</v>
      </c>
      <c r="CS85" s="27">
        <f t="shared" si="43"/>
        <v>0</v>
      </c>
      <c r="CT85" s="27">
        <f t="shared" si="44"/>
        <v>0</v>
      </c>
      <c r="CU85" s="61">
        <f t="shared" si="45"/>
        <v>0</v>
      </c>
    </row>
    <row r="86" spans="2:99" s="27" customFormat="1" ht="11.25" hidden="1" x14ac:dyDescent="0.2">
      <c r="B86" s="60">
        <f>IF(C86=0,0,SANDBOX!D189)</f>
        <v>0</v>
      </c>
      <c r="C86" s="27">
        <f>IF(SANDBOX!G189=SB!$C$156,SANDBOX!F189,0)</f>
        <v>0</v>
      </c>
      <c r="D86" s="27" t="str">
        <f>IF(SANDBOX!I189=0,$E$45,SANDBOX!I189)</f>
        <v>Enero</v>
      </c>
      <c r="E86" s="27">
        <f t="shared" si="199"/>
        <v>0</v>
      </c>
      <c r="F86" s="27">
        <f t="shared" si="200"/>
        <v>0</v>
      </c>
      <c r="G86" s="27">
        <f t="shared" si="200"/>
        <v>0</v>
      </c>
      <c r="H86" s="27">
        <f t="shared" si="200"/>
        <v>0</v>
      </c>
      <c r="I86" s="27">
        <f t="shared" si="200"/>
        <v>0</v>
      </c>
      <c r="J86" s="27">
        <f t="shared" si="200"/>
        <v>0</v>
      </c>
      <c r="K86" s="27">
        <f t="shared" si="200"/>
        <v>0</v>
      </c>
      <c r="L86" s="27">
        <f t="shared" si="200"/>
        <v>0</v>
      </c>
      <c r="M86" s="27">
        <f t="shared" si="200"/>
        <v>0</v>
      </c>
      <c r="N86" s="27">
        <f t="shared" si="200"/>
        <v>0</v>
      </c>
      <c r="O86" s="27">
        <f t="shared" si="200"/>
        <v>0</v>
      </c>
      <c r="P86" s="27">
        <f t="shared" si="200"/>
        <v>0</v>
      </c>
      <c r="Q86" s="27">
        <f t="shared" si="201"/>
        <v>0</v>
      </c>
      <c r="R86" s="27">
        <f>IF($C86=0,0,SANDBOX!J189)</f>
        <v>0</v>
      </c>
      <c r="S86" s="27">
        <f>IF($C86=0,0,SANDBOX!K189)</f>
        <v>0</v>
      </c>
      <c r="T86" s="27">
        <f t="shared" si="202"/>
        <v>0</v>
      </c>
      <c r="U86" s="27">
        <f t="shared" si="203"/>
        <v>0</v>
      </c>
      <c r="V86" s="27">
        <f t="shared" si="203"/>
        <v>0</v>
      </c>
      <c r="W86" s="27">
        <f t="shared" si="203"/>
        <v>0</v>
      </c>
      <c r="X86" s="27">
        <f t="shared" si="203"/>
        <v>0</v>
      </c>
      <c r="Y86" s="27">
        <f t="shared" si="203"/>
        <v>0</v>
      </c>
      <c r="Z86" s="27">
        <f t="shared" si="203"/>
        <v>0</v>
      </c>
      <c r="AA86" s="27">
        <f t="shared" si="203"/>
        <v>0</v>
      </c>
      <c r="AB86" s="27">
        <f t="shared" si="203"/>
        <v>0</v>
      </c>
      <c r="AC86" s="27">
        <f t="shared" si="203"/>
        <v>0</v>
      </c>
      <c r="AD86" s="27">
        <f t="shared" si="203"/>
        <v>0</v>
      </c>
      <c r="AE86" s="27">
        <f t="shared" si="203"/>
        <v>0</v>
      </c>
      <c r="AF86" s="27">
        <f t="shared" si="203"/>
        <v>0</v>
      </c>
      <c r="AG86" s="27">
        <f t="shared" si="50"/>
        <v>0</v>
      </c>
      <c r="AH86" s="27">
        <f t="shared" si="204"/>
        <v>0</v>
      </c>
      <c r="AI86" s="27">
        <f t="shared" si="205"/>
        <v>0</v>
      </c>
      <c r="AJ86" s="27">
        <f t="shared" si="51"/>
        <v>0</v>
      </c>
      <c r="AK86" s="27">
        <f t="shared" si="52"/>
        <v>0</v>
      </c>
      <c r="AL86" s="27">
        <f t="shared" si="206"/>
        <v>0</v>
      </c>
      <c r="AM86" s="27">
        <f t="shared" si="53"/>
        <v>0</v>
      </c>
      <c r="AN86" s="27" t="str">
        <f t="shared" si="207"/>
        <v>OK</v>
      </c>
      <c r="AO86" s="27">
        <f>IF(S86=SB!$E$148,T86,0)</f>
        <v>0</v>
      </c>
      <c r="AP86" s="27">
        <f>IF(S86=SB!$E$149,T86,0)</f>
        <v>0</v>
      </c>
      <c r="AQ86" s="27">
        <f>IF($S86=SB!E$150,T86,0)</f>
        <v>0</v>
      </c>
      <c r="AR86" s="27">
        <f>IF(S86=SB!$E$151,T86,0)</f>
        <v>0</v>
      </c>
      <c r="AS86" s="27">
        <f>IF(S86=SB!$E$152,T86,0)</f>
        <v>0</v>
      </c>
      <c r="AT86" s="27">
        <f>IF(S86=SB!$E$153,T86,0)</f>
        <v>0</v>
      </c>
      <c r="AU86" s="27">
        <f>IF(S86=SB!$E$154,T86,0)</f>
        <v>0</v>
      </c>
      <c r="AV86" s="27">
        <f t="shared" si="46"/>
        <v>0</v>
      </c>
      <c r="AW86" s="27">
        <f t="shared" si="47"/>
        <v>1</v>
      </c>
      <c r="AX86" s="27">
        <f t="shared" si="208"/>
        <v>0</v>
      </c>
      <c r="AY86" s="27">
        <f t="shared" si="209"/>
        <v>0</v>
      </c>
      <c r="AZ86" s="27">
        <f t="shared" si="209"/>
        <v>0</v>
      </c>
      <c r="BA86" s="27">
        <f t="shared" si="209"/>
        <v>0</v>
      </c>
      <c r="BB86" s="27">
        <f t="shared" si="209"/>
        <v>0</v>
      </c>
      <c r="BC86" s="27">
        <f t="shared" si="209"/>
        <v>0</v>
      </c>
      <c r="BD86" s="61">
        <f t="shared" si="209"/>
        <v>0</v>
      </c>
      <c r="BE86" s="27">
        <f t="shared" si="209"/>
        <v>0</v>
      </c>
      <c r="BF86" s="27">
        <f t="shared" si="209"/>
        <v>0</v>
      </c>
      <c r="BG86" s="27">
        <f t="shared" si="209"/>
        <v>0</v>
      </c>
      <c r="BH86" s="27">
        <f t="shared" si="209"/>
        <v>0</v>
      </c>
      <c r="BI86" s="27">
        <f t="shared" si="209"/>
        <v>0</v>
      </c>
      <c r="BJ86" s="27">
        <f t="shared" si="209"/>
        <v>0</v>
      </c>
      <c r="BL86" s="27">
        <f t="shared" si="210"/>
        <v>0</v>
      </c>
      <c r="BM86" s="27">
        <f t="shared" si="211"/>
        <v>0</v>
      </c>
      <c r="BN86" s="27">
        <f t="shared" si="211"/>
        <v>0</v>
      </c>
      <c r="BO86" s="27">
        <f t="shared" si="212"/>
        <v>0</v>
      </c>
      <c r="BP86" s="27">
        <f t="shared" si="213"/>
        <v>0</v>
      </c>
      <c r="BQ86" s="27">
        <f t="shared" si="214"/>
        <v>0</v>
      </c>
      <c r="BR86" s="27">
        <f t="shared" si="215"/>
        <v>0</v>
      </c>
      <c r="BS86" s="27">
        <f t="shared" si="216"/>
        <v>0</v>
      </c>
      <c r="BT86" s="27">
        <f t="shared" si="217"/>
        <v>0</v>
      </c>
      <c r="BU86" s="27">
        <f t="shared" si="218"/>
        <v>0</v>
      </c>
      <c r="BV86" s="27">
        <f t="shared" si="219"/>
        <v>0</v>
      </c>
      <c r="BW86" s="27">
        <f t="shared" si="220"/>
        <v>0</v>
      </c>
      <c r="BX86" s="27">
        <f t="shared" si="221"/>
        <v>0</v>
      </c>
      <c r="BY86" s="27">
        <f t="shared" si="222"/>
        <v>0</v>
      </c>
      <c r="BZ86" s="27">
        <f t="shared" si="223"/>
        <v>0</v>
      </c>
      <c r="CA86" s="27">
        <f t="shared" si="224"/>
        <v>0</v>
      </c>
      <c r="CB86" s="27">
        <f t="shared" si="225"/>
        <v>0</v>
      </c>
      <c r="CC86" s="27">
        <f t="shared" si="226"/>
        <v>0</v>
      </c>
      <c r="CD86" s="27">
        <f t="shared" si="227"/>
        <v>0</v>
      </c>
      <c r="CE86" s="27">
        <f t="shared" si="228"/>
        <v>0</v>
      </c>
      <c r="CF86" s="27">
        <f t="shared" si="229"/>
        <v>0</v>
      </c>
      <c r="CG86" s="27">
        <f t="shared" si="230"/>
        <v>0</v>
      </c>
      <c r="CH86" s="27">
        <f t="shared" si="231"/>
        <v>0</v>
      </c>
      <c r="CI86" s="27">
        <f t="shared" si="232"/>
        <v>0</v>
      </c>
      <c r="CJ86" s="27">
        <f t="shared" si="49"/>
        <v>0</v>
      </c>
      <c r="CK86" s="27">
        <f t="shared" si="35"/>
        <v>0</v>
      </c>
      <c r="CL86" s="27">
        <f t="shared" si="36"/>
        <v>0</v>
      </c>
      <c r="CM86" s="27">
        <f t="shared" si="37"/>
        <v>0</v>
      </c>
      <c r="CN86" s="27">
        <f t="shared" si="38"/>
        <v>0</v>
      </c>
      <c r="CO86" s="27">
        <f t="shared" si="39"/>
        <v>0</v>
      </c>
      <c r="CP86" s="27">
        <f t="shared" si="40"/>
        <v>0</v>
      </c>
      <c r="CQ86" s="27">
        <f t="shared" si="41"/>
        <v>0</v>
      </c>
      <c r="CR86" s="27">
        <f t="shared" si="42"/>
        <v>0</v>
      </c>
      <c r="CS86" s="27">
        <f t="shared" si="43"/>
        <v>0</v>
      </c>
      <c r="CT86" s="27">
        <f t="shared" si="44"/>
        <v>0</v>
      </c>
      <c r="CU86" s="61">
        <f t="shared" si="45"/>
        <v>0</v>
      </c>
    </row>
    <row r="87" spans="2:99" s="27" customFormat="1" ht="11.25" hidden="1" x14ac:dyDescent="0.2">
      <c r="B87" s="60">
        <f>IF(C87=0,0,SANDBOX!D190)</f>
        <v>0</v>
      </c>
      <c r="C87" s="27">
        <f>IF(SANDBOX!G190=SB!$C$156,SANDBOX!F190,0)</f>
        <v>0</v>
      </c>
      <c r="D87" s="27" t="str">
        <f>IF(SANDBOX!I190=0,$E$45,SANDBOX!I190)</f>
        <v>Enero</v>
      </c>
      <c r="E87" s="27">
        <f t="shared" si="199"/>
        <v>0</v>
      </c>
      <c r="F87" s="27">
        <f t="shared" si="200"/>
        <v>0</v>
      </c>
      <c r="G87" s="27">
        <f t="shared" si="200"/>
        <v>0</v>
      </c>
      <c r="H87" s="27">
        <f t="shared" si="200"/>
        <v>0</v>
      </c>
      <c r="I87" s="27">
        <f t="shared" si="200"/>
        <v>0</v>
      </c>
      <c r="J87" s="27">
        <f t="shared" si="200"/>
        <v>0</v>
      </c>
      <c r="K87" s="27">
        <f t="shared" si="200"/>
        <v>0</v>
      </c>
      <c r="L87" s="27">
        <f t="shared" si="200"/>
        <v>0</v>
      </c>
      <c r="M87" s="27">
        <f t="shared" si="200"/>
        <v>0</v>
      </c>
      <c r="N87" s="27">
        <f t="shared" si="200"/>
        <v>0</v>
      </c>
      <c r="O87" s="27">
        <f t="shared" si="200"/>
        <v>0</v>
      </c>
      <c r="P87" s="27">
        <f t="shared" si="200"/>
        <v>0</v>
      </c>
      <c r="Q87" s="27">
        <f t="shared" si="201"/>
        <v>0</v>
      </c>
      <c r="R87" s="27">
        <f>IF($C87=0,0,SANDBOX!J190)</f>
        <v>0</v>
      </c>
      <c r="S87" s="27">
        <f>IF($C87=0,0,SANDBOX!K190)</f>
        <v>0</v>
      </c>
      <c r="T87" s="27">
        <f t="shared" si="202"/>
        <v>0</v>
      </c>
      <c r="U87" s="27">
        <f t="shared" si="203"/>
        <v>0</v>
      </c>
      <c r="V87" s="27">
        <f t="shared" si="203"/>
        <v>0</v>
      </c>
      <c r="W87" s="27">
        <f t="shared" si="203"/>
        <v>0</v>
      </c>
      <c r="X87" s="27">
        <f t="shared" si="203"/>
        <v>0</v>
      </c>
      <c r="Y87" s="27">
        <f t="shared" si="203"/>
        <v>0</v>
      </c>
      <c r="Z87" s="27">
        <f t="shared" si="203"/>
        <v>0</v>
      </c>
      <c r="AA87" s="27">
        <f t="shared" si="203"/>
        <v>0</v>
      </c>
      <c r="AB87" s="27">
        <f t="shared" si="203"/>
        <v>0</v>
      </c>
      <c r="AC87" s="27">
        <f t="shared" si="203"/>
        <v>0</v>
      </c>
      <c r="AD87" s="27">
        <f t="shared" si="203"/>
        <v>0</v>
      </c>
      <c r="AE87" s="27">
        <f t="shared" si="203"/>
        <v>0</v>
      </c>
      <c r="AF87" s="27">
        <f t="shared" si="203"/>
        <v>0</v>
      </c>
      <c r="AG87" s="27">
        <f t="shared" si="50"/>
        <v>0</v>
      </c>
      <c r="AH87" s="27">
        <f t="shared" si="204"/>
        <v>0</v>
      </c>
      <c r="AI87" s="27">
        <f t="shared" si="205"/>
        <v>0</v>
      </c>
      <c r="AJ87" s="27">
        <f t="shared" si="51"/>
        <v>0</v>
      </c>
      <c r="AK87" s="27">
        <f t="shared" si="52"/>
        <v>0</v>
      </c>
      <c r="AL87" s="27">
        <f t="shared" si="206"/>
        <v>0</v>
      </c>
      <c r="AM87" s="27">
        <f t="shared" si="53"/>
        <v>0</v>
      </c>
      <c r="AN87" s="27" t="str">
        <f t="shared" si="207"/>
        <v>OK</v>
      </c>
      <c r="AO87" s="27">
        <f>IF(S87=SB!$E$148,T87,0)</f>
        <v>0</v>
      </c>
      <c r="AP87" s="27">
        <f>IF(S87=SB!$E$149,T87,0)</f>
        <v>0</v>
      </c>
      <c r="AQ87" s="27">
        <f>IF($S87=SB!E$150,T87,0)</f>
        <v>0</v>
      </c>
      <c r="AR87" s="27">
        <f>IF(S87=SB!$E$151,T87,0)</f>
        <v>0</v>
      </c>
      <c r="AS87" s="27">
        <f>IF(S87=SB!$E$152,T87,0)</f>
        <v>0</v>
      </c>
      <c r="AT87" s="27">
        <f>IF(S87=SB!$E$153,T87,0)</f>
        <v>0</v>
      </c>
      <c r="AU87" s="27">
        <f>IF(S87=SB!$E$154,T87,0)</f>
        <v>0</v>
      </c>
      <c r="AV87" s="27">
        <f t="shared" si="46"/>
        <v>0</v>
      </c>
      <c r="AW87" s="27">
        <f t="shared" si="47"/>
        <v>1</v>
      </c>
      <c r="AX87" s="27">
        <f t="shared" si="208"/>
        <v>0</v>
      </c>
      <c r="AY87" s="27">
        <f t="shared" si="209"/>
        <v>0</v>
      </c>
      <c r="AZ87" s="27">
        <f t="shared" si="209"/>
        <v>0</v>
      </c>
      <c r="BA87" s="27">
        <f t="shared" si="209"/>
        <v>0</v>
      </c>
      <c r="BB87" s="27">
        <f t="shared" si="209"/>
        <v>0</v>
      </c>
      <c r="BC87" s="27">
        <f t="shared" si="209"/>
        <v>0</v>
      </c>
      <c r="BD87" s="61">
        <f t="shared" si="209"/>
        <v>0</v>
      </c>
      <c r="BE87" s="27">
        <f t="shared" si="209"/>
        <v>0</v>
      </c>
      <c r="BF87" s="27">
        <f t="shared" si="209"/>
        <v>0</v>
      </c>
      <c r="BG87" s="27">
        <f t="shared" si="209"/>
        <v>0</v>
      </c>
      <c r="BH87" s="27">
        <f t="shared" si="209"/>
        <v>0</v>
      </c>
      <c r="BI87" s="27">
        <f t="shared" si="209"/>
        <v>0</v>
      </c>
      <c r="BJ87" s="27">
        <f t="shared" si="209"/>
        <v>0</v>
      </c>
      <c r="BL87" s="27">
        <f t="shared" si="210"/>
        <v>0</v>
      </c>
      <c r="BM87" s="27">
        <f t="shared" si="211"/>
        <v>0</v>
      </c>
      <c r="BN87" s="27">
        <f t="shared" si="211"/>
        <v>0</v>
      </c>
      <c r="BO87" s="27">
        <f t="shared" si="212"/>
        <v>0</v>
      </c>
      <c r="BP87" s="27">
        <f t="shared" si="213"/>
        <v>0</v>
      </c>
      <c r="BQ87" s="27">
        <f t="shared" si="214"/>
        <v>0</v>
      </c>
      <c r="BR87" s="27">
        <f t="shared" si="215"/>
        <v>0</v>
      </c>
      <c r="BS87" s="27">
        <f t="shared" si="216"/>
        <v>0</v>
      </c>
      <c r="BT87" s="27">
        <f t="shared" si="217"/>
        <v>0</v>
      </c>
      <c r="BU87" s="27">
        <f t="shared" si="218"/>
        <v>0</v>
      </c>
      <c r="BV87" s="27">
        <f t="shared" si="219"/>
        <v>0</v>
      </c>
      <c r="BW87" s="27">
        <f t="shared" si="220"/>
        <v>0</v>
      </c>
      <c r="BX87" s="27">
        <f t="shared" si="221"/>
        <v>0</v>
      </c>
      <c r="BY87" s="27">
        <f t="shared" si="222"/>
        <v>0</v>
      </c>
      <c r="BZ87" s="27">
        <f t="shared" si="223"/>
        <v>0</v>
      </c>
      <c r="CA87" s="27">
        <f t="shared" si="224"/>
        <v>0</v>
      </c>
      <c r="CB87" s="27">
        <f t="shared" si="225"/>
        <v>0</v>
      </c>
      <c r="CC87" s="27">
        <f t="shared" si="226"/>
        <v>0</v>
      </c>
      <c r="CD87" s="27">
        <f t="shared" si="227"/>
        <v>0</v>
      </c>
      <c r="CE87" s="27">
        <f t="shared" si="228"/>
        <v>0</v>
      </c>
      <c r="CF87" s="27">
        <f t="shared" si="229"/>
        <v>0</v>
      </c>
      <c r="CG87" s="27">
        <f t="shared" si="230"/>
        <v>0</v>
      </c>
      <c r="CH87" s="27">
        <f t="shared" si="231"/>
        <v>0</v>
      </c>
      <c r="CI87" s="27">
        <f t="shared" si="232"/>
        <v>0</v>
      </c>
      <c r="CJ87" s="27">
        <f t="shared" si="49"/>
        <v>0</v>
      </c>
      <c r="CK87" s="27">
        <f t="shared" si="35"/>
        <v>0</v>
      </c>
      <c r="CL87" s="27">
        <f t="shared" si="36"/>
        <v>0</v>
      </c>
      <c r="CM87" s="27">
        <f t="shared" si="37"/>
        <v>0</v>
      </c>
      <c r="CN87" s="27">
        <f t="shared" si="38"/>
        <v>0</v>
      </c>
      <c r="CO87" s="27">
        <f t="shared" si="39"/>
        <v>0</v>
      </c>
      <c r="CP87" s="27">
        <f t="shared" si="40"/>
        <v>0</v>
      </c>
      <c r="CQ87" s="27">
        <f t="shared" si="41"/>
        <v>0</v>
      </c>
      <c r="CR87" s="27">
        <f t="shared" si="42"/>
        <v>0</v>
      </c>
      <c r="CS87" s="27">
        <f t="shared" si="43"/>
        <v>0</v>
      </c>
      <c r="CT87" s="27">
        <f t="shared" si="44"/>
        <v>0</v>
      </c>
      <c r="CU87" s="61">
        <f t="shared" si="45"/>
        <v>0</v>
      </c>
    </row>
    <row r="88" spans="2:99" s="27" customFormat="1" ht="11.25" hidden="1" x14ac:dyDescent="0.2">
      <c r="B88" s="60">
        <f>IF(C88=0,0,SANDBOX!D191)</f>
        <v>0</v>
      </c>
      <c r="C88" s="27">
        <f>IF(SANDBOX!G191=SB!$C$156,SANDBOX!F191,0)</f>
        <v>0</v>
      </c>
      <c r="D88" s="27" t="str">
        <f>IF(SANDBOX!I191=0,$E$45,SANDBOX!I191)</f>
        <v>Enero</v>
      </c>
      <c r="E88" s="27">
        <f t="shared" si="199"/>
        <v>0</v>
      </c>
      <c r="F88" s="27">
        <f t="shared" si="200"/>
        <v>0</v>
      </c>
      <c r="G88" s="27">
        <f t="shared" si="200"/>
        <v>0</v>
      </c>
      <c r="H88" s="27">
        <f t="shared" si="200"/>
        <v>0</v>
      </c>
      <c r="I88" s="27">
        <f t="shared" si="200"/>
        <v>0</v>
      </c>
      <c r="J88" s="27">
        <f t="shared" si="200"/>
        <v>0</v>
      </c>
      <c r="K88" s="27">
        <f t="shared" si="200"/>
        <v>0</v>
      </c>
      <c r="L88" s="27">
        <f t="shared" si="200"/>
        <v>0</v>
      </c>
      <c r="M88" s="27">
        <f t="shared" si="200"/>
        <v>0</v>
      </c>
      <c r="N88" s="27">
        <f t="shared" si="200"/>
        <v>0</v>
      </c>
      <c r="O88" s="27">
        <f t="shared" si="200"/>
        <v>0</v>
      </c>
      <c r="P88" s="27">
        <f t="shared" si="200"/>
        <v>0</v>
      </c>
      <c r="Q88" s="27">
        <f t="shared" si="201"/>
        <v>0</v>
      </c>
      <c r="R88" s="27">
        <f>IF($C88=0,0,SANDBOX!J191)</f>
        <v>0</v>
      </c>
      <c r="S88" s="27">
        <f>IF($C88=0,0,SANDBOX!K191)</f>
        <v>0</v>
      </c>
      <c r="T88" s="27">
        <f t="shared" si="202"/>
        <v>0</v>
      </c>
      <c r="U88" s="27">
        <f t="shared" si="203"/>
        <v>0</v>
      </c>
      <c r="V88" s="27">
        <f t="shared" si="203"/>
        <v>0</v>
      </c>
      <c r="W88" s="27">
        <f t="shared" si="203"/>
        <v>0</v>
      </c>
      <c r="X88" s="27">
        <f t="shared" si="203"/>
        <v>0</v>
      </c>
      <c r="Y88" s="27">
        <f t="shared" si="203"/>
        <v>0</v>
      </c>
      <c r="Z88" s="27">
        <f t="shared" si="203"/>
        <v>0</v>
      </c>
      <c r="AA88" s="27">
        <f t="shared" si="203"/>
        <v>0</v>
      </c>
      <c r="AB88" s="27">
        <f t="shared" si="203"/>
        <v>0</v>
      </c>
      <c r="AC88" s="27">
        <f t="shared" si="203"/>
        <v>0</v>
      </c>
      <c r="AD88" s="27">
        <f t="shared" si="203"/>
        <v>0</v>
      </c>
      <c r="AE88" s="27">
        <f t="shared" si="203"/>
        <v>0</v>
      </c>
      <c r="AF88" s="27">
        <f t="shared" si="203"/>
        <v>0</v>
      </c>
      <c r="AG88" s="27">
        <f t="shared" si="50"/>
        <v>0</v>
      </c>
      <c r="AH88" s="27">
        <f t="shared" si="204"/>
        <v>0</v>
      </c>
      <c r="AI88" s="27">
        <f t="shared" si="205"/>
        <v>0</v>
      </c>
      <c r="AJ88" s="27">
        <f t="shared" si="51"/>
        <v>0</v>
      </c>
      <c r="AK88" s="27">
        <f t="shared" si="52"/>
        <v>0</v>
      </c>
      <c r="AL88" s="27">
        <f t="shared" si="206"/>
        <v>0</v>
      </c>
      <c r="AM88" s="27">
        <f t="shared" si="53"/>
        <v>0</v>
      </c>
      <c r="AN88" s="27" t="str">
        <f t="shared" si="207"/>
        <v>OK</v>
      </c>
      <c r="AO88" s="27">
        <f>IF(S88=SB!$E$148,T88,0)</f>
        <v>0</v>
      </c>
      <c r="AP88" s="27">
        <f>IF(S88=SB!$E$149,T88,0)</f>
        <v>0</v>
      </c>
      <c r="AQ88" s="27">
        <f>IF($S88=SB!E$150,T88,0)</f>
        <v>0</v>
      </c>
      <c r="AR88" s="27">
        <f>IF(S88=SB!$E$151,T88,0)</f>
        <v>0</v>
      </c>
      <c r="AS88" s="27">
        <f>IF(S88=SB!$E$152,T88,0)</f>
        <v>0</v>
      </c>
      <c r="AT88" s="27">
        <f>IF(S88=SB!$E$153,T88,0)</f>
        <v>0</v>
      </c>
      <c r="AU88" s="27">
        <f>IF(S88=SB!$E$154,T88,0)</f>
        <v>0</v>
      </c>
      <c r="AV88" s="27">
        <f t="shared" si="46"/>
        <v>0</v>
      </c>
      <c r="AW88" s="27">
        <f t="shared" si="47"/>
        <v>1</v>
      </c>
      <c r="AX88" s="27">
        <f t="shared" si="208"/>
        <v>0</v>
      </c>
      <c r="AY88" s="27">
        <f t="shared" si="209"/>
        <v>0</v>
      </c>
      <c r="AZ88" s="27">
        <f t="shared" si="209"/>
        <v>0</v>
      </c>
      <c r="BA88" s="27">
        <f t="shared" si="209"/>
        <v>0</v>
      </c>
      <c r="BB88" s="27">
        <f t="shared" si="209"/>
        <v>0</v>
      </c>
      <c r="BC88" s="27">
        <f t="shared" si="209"/>
        <v>0</v>
      </c>
      <c r="BD88" s="61">
        <f t="shared" si="209"/>
        <v>0</v>
      </c>
      <c r="BE88" s="27">
        <f t="shared" si="209"/>
        <v>0</v>
      </c>
      <c r="BF88" s="27">
        <f t="shared" si="209"/>
        <v>0</v>
      </c>
      <c r="BG88" s="27">
        <f t="shared" si="209"/>
        <v>0</v>
      </c>
      <c r="BH88" s="27">
        <f t="shared" si="209"/>
        <v>0</v>
      </c>
      <c r="BI88" s="27">
        <f t="shared" si="209"/>
        <v>0</v>
      </c>
      <c r="BJ88" s="27">
        <f t="shared" si="209"/>
        <v>0</v>
      </c>
      <c r="BL88" s="27">
        <f t="shared" si="210"/>
        <v>0</v>
      </c>
      <c r="BM88" s="27">
        <f t="shared" si="211"/>
        <v>0</v>
      </c>
      <c r="BN88" s="27">
        <f t="shared" si="211"/>
        <v>0</v>
      </c>
      <c r="BO88" s="27">
        <f t="shared" si="212"/>
        <v>0</v>
      </c>
      <c r="BP88" s="27">
        <f t="shared" si="213"/>
        <v>0</v>
      </c>
      <c r="BQ88" s="27">
        <f t="shared" si="214"/>
        <v>0</v>
      </c>
      <c r="BR88" s="27">
        <f t="shared" si="215"/>
        <v>0</v>
      </c>
      <c r="BS88" s="27">
        <f t="shared" si="216"/>
        <v>0</v>
      </c>
      <c r="BT88" s="27">
        <f t="shared" si="217"/>
        <v>0</v>
      </c>
      <c r="BU88" s="27">
        <f t="shared" si="218"/>
        <v>0</v>
      </c>
      <c r="BV88" s="27">
        <f t="shared" si="219"/>
        <v>0</v>
      </c>
      <c r="BW88" s="27">
        <f t="shared" si="220"/>
        <v>0</v>
      </c>
      <c r="BX88" s="27">
        <f t="shared" si="221"/>
        <v>0</v>
      </c>
      <c r="BY88" s="27">
        <f t="shared" si="222"/>
        <v>0</v>
      </c>
      <c r="BZ88" s="27">
        <f t="shared" si="223"/>
        <v>0</v>
      </c>
      <c r="CA88" s="27">
        <f t="shared" si="224"/>
        <v>0</v>
      </c>
      <c r="CB88" s="27">
        <f t="shared" si="225"/>
        <v>0</v>
      </c>
      <c r="CC88" s="27">
        <f t="shared" si="226"/>
        <v>0</v>
      </c>
      <c r="CD88" s="27">
        <f t="shared" si="227"/>
        <v>0</v>
      </c>
      <c r="CE88" s="27">
        <f t="shared" si="228"/>
        <v>0</v>
      </c>
      <c r="CF88" s="27">
        <f t="shared" si="229"/>
        <v>0</v>
      </c>
      <c r="CG88" s="27">
        <f t="shared" si="230"/>
        <v>0</v>
      </c>
      <c r="CH88" s="27">
        <f t="shared" si="231"/>
        <v>0</v>
      </c>
      <c r="CI88" s="27">
        <f t="shared" si="232"/>
        <v>0</v>
      </c>
      <c r="CJ88" s="27">
        <f t="shared" si="49"/>
        <v>0</v>
      </c>
      <c r="CK88" s="27">
        <f t="shared" si="35"/>
        <v>0</v>
      </c>
      <c r="CL88" s="27">
        <f t="shared" si="36"/>
        <v>0</v>
      </c>
      <c r="CM88" s="27">
        <f t="shared" si="37"/>
        <v>0</v>
      </c>
      <c r="CN88" s="27">
        <f t="shared" si="38"/>
        <v>0</v>
      </c>
      <c r="CO88" s="27">
        <f t="shared" si="39"/>
        <v>0</v>
      </c>
      <c r="CP88" s="27">
        <f t="shared" si="40"/>
        <v>0</v>
      </c>
      <c r="CQ88" s="27">
        <f t="shared" si="41"/>
        <v>0</v>
      </c>
      <c r="CR88" s="27">
        <f t="shared" si="42"/>
        <v>0</v>
      </c>
      <c r="CS88" s="27">
        <f t="shared" si="43"/>
        <v>0</v>
      </c>
      <c r="CT88" s="27">
        <f t="shared" si="44"/>
        <v>0</v>
      </c>
      <c r="CU88" s="61">
        <f t="shared" si="45"/>
        <v>0</v>
      </c>
    </row>
    <row r="89" spans="2:99" s="27" customFormat="1" ht="11.25" hidden="1" x14ac:dyDescent="0.2">
      <c r="B89" s="60" t="str">
        <f>SANDBOX!$D185</f>
        <v>Equipos informáticos</v>
      </c>
      <c r="E89" s="27">
        <f t="shared" ref="E89:Q89" si="233">SUM(E83:E88)</f>
        <v>0</v>
      </c>
      <c r="F89" s="27">
        <f t="shared" si="233"/>
        <v>0</v>
      </c>
      <c r="G89" s="27">
        <f t="shared" si="233"/>
        <v>0</v>
      </c>
      <c r="H89" s="27">
        <f t="shared" si="233"/>
        <v>0</v>
      </c>
      <c r="I89" s="27">
        <f t="shared" si="233"/>
        <v>0</v>
      </c>
      <c r="J89" s="27">
        <f t="shared" si="233"/>
        <v>0</v>
      </c>
      <c r="K89" s="27">
        <f t="shared" si="233"/>
        <v>0</v>
      </c>
      <c r="L89" s="27">
        <f t="shared" si="233"/>
        <v>0</v>
      </c>
      <c r="M89" s="27">
        <f t="shared" si="233"/>
        <v>0</v>
      </c>
      <c r="N89" s="27">
        <f t="shared" si="233"/>
        <v>0</v>
      </c>
      <c r="O89" s="27">
        <f t="shared" si="233"/>
        <v>0</v>
      </c>
      <c r="P89" s="27">
        <f t="shared" si="233"/>
        <v>0</v>
      </c>
      <c r="Q89" s="27">
        <f t="shared" si="233"/>
        <v>0</v>
      </c>
      <c r="S89" s="27" t="str">
        <f>SANDBOX!$D$185</f>
        <v>Equipos informáticos</v>
      </c>
      <c r="U89" s="27">
        <f t="shared" ref="U89:AM89" si="234">SUM(U83:U88)</f>
        <v>0</v>
      </c>
      <c r="V89" s="27">
        <f t="shared" si="234"/>
        <v>0</v>
      </c>
      <c r="W89" s="27">
        <f t="shared" si="234"/>
        <v>0</v>
      </c>
      <c r="X89" s="27">
        <f t="shared" si="234"/>
        <v>0</v>
      </c>
      <c r="Y89" s="27">
        <f t="shared" si="234"/>
        <v>0</v>
      </c>
      <c r="Z89" s="27">
        <f t="shared" si="234"/>
        <v>0</v>
      </c>
      <c r="AA89" s="27">
        <f t="shared" si="234"/>
        <v>0</v>
      </c>
      <c r="AB89" s="27">
        <f t="shared" si="234"/>
        <v>0</v>
      </c>
      <c r="AC89" s="27">
        <f t="shared" si="234"/>
        <v>0</v>
      </c>
      <c r="AD89" s="27">
        <f t="shared" si="234"/>
        <v>0</v>
      </c>
      <c r="AE89" s="27">
        <f t="shared" si="234"/>
        <v>0</v>
      </c>
      <c r="AF89" s="27">
        <f t="shared" si="234"/>
        <v>0</v>
      </c>
      <c r="AG89" s="27">
        <f t="shared" si="234"/>
        <v>0</v>
      </c>
      <c r="AH89" s="27">
        <f t="shared" si="234"/>
        <v>0</v>
      </c>
      <c r="AI89" s="27">
        <f t="shared" si="234"/>
        <v>0</v>
      </c>
      <c r="AJ89" s="27">
        <f t="shared" si="234"/>
        <v>0</v>
      </c>
      <c r="AK89" s="27">
        <f t="shared" si="234"/>
        <v>0</v>
      </c>
      <c r="AL89" s="27">
        <f t="shared" si="234"/>
        <v>0</v>
      </c>
      <c r="AM89" s="27">
        <f t="shared" si="234"/>
        <v>0</v>
      </c>
      <c r="BD89" s="61"/>
      <c r="CU89" s="61"/>
    </row>
    <row r="90" spans="2:99" s="27" customFormat="1" ht="11.25" hidden="1" x14ac:dyDescent="0.2">
      <c r="B90" s="60">
        <f>IF(C90=0,0,SANDBOX!D193)</f>
        <v>0</v>
      </c>
      <c r="C90" s="27">
        <f>IF(SANDBOX!G193=SB!$C$156,SANDBOX!F193,0)</f>
        <v>0</v>
      </c>
      <c r="D90" s="27" t="str">
        <f>IF(SANDBOX!I193=0,$E$45,SANDBOX!I193)</f>
        <v>Enero</v>
      </c>
      <c r="E90" s="27">
        <f t="shared" ref="E90:E95" si="235">SUMIF($D90,E$45,$C90)</f>
        <v>0</v>
      </c>
      <c r="F90" s="27">
        <f t="shared" ref="F90:P95" si="236">SUMIF($D90,F$45,$C90)</f>
        <v>0</v>
      </c>
      <c r="G90" s="27">
        <f t="shared" si="236"/>
        <v>0</v>
      </c>
      <c r="H90" s="27">
        <f t="shared" si="236"/>
        <v>0</v>
      </c>
      <c r="I90" s="27">
        <f t="shared" si="236"/>
        <v>0</v>
      </c>
      <c r="J90" s="27">
        <f t="shared" si="236"/>
        <v>0</v>
      </c>
      <c r="K90" s="27">
        <f t="shared" si="236"/>
        <v>0</v>
      </c>
      <c r="L90" s="27">
        <f t="shared" si="236"/>
        <v>0</v>
      </c>
      <c r="M90" s="27">
        <f t="shared" si="236"/>
        <v>0</v>
      </c>
      <c r="N90" s="27">
        <f t="shared" si="236"/>
        <v>0</v>
      </c>
      <c r="O90" s="27">
        <f t="shared" si="236"/>
        <v>0</v>
      </c>
      <c r="P90" s="27">
        <f t="shared" si="236"/>
        <v>0</v>
      </c>
      <c r="Q90" s="27">
        <f t="shared" ref="Q90:Q95" si="237">SUM(E90:P90)</f>
        <v>0</v>
      </c>
      <c r="R90" s="27">
        <f>IF($C90=0,0,SANDBOX!J193)</f>
        <v>0</v>
      </c>
      <c r="S90" s="27">
        <f>IF($C90=0,0,SANDBOX!K193)</f>
        <v>0</v>
      </c>
      <c r="T90" s="27">
        <f t="shared" ref="T90:T95" si="238">IF(R90=0,0,C90/R90)</f>
        <v>0</v>
      </c>
      <c r="U90" s="27">
        <f t="shared" ref="U90:AF95" si="239">IF(CJ90&lt;=0,0,BL90)</f>
        <v>0</v>
      </c>
      <c r="V90" s="27">
        <f t="shared" si="239"/>
        <v>0</v>
      </c>
      <c r="W90" s="27">
        <f t="shared" si="239"/>
        <v>0</v>
      </c>
      <c r="X90" s="27">
        <f t="shared" si="239"/>
        <v>0</v>
      </c>
      <c r="Y90" s="27">
        <f t="shared" si="239"/>
        <v>0</v>
      </c>
      <c r="Z90" s="27">
        <f t="shared" si="239"/>
        <v>0</v>
      </c>
      <c r="AA90" s="27">
        <f t="shared" si="239"/>
        <v>0</v>
      </c>
      <c r="AB90" s="27">
        <f t="shared" si="239"/>
        <v>0</v>
      </c>
      <c r="AC90" s="27">
        <f t="shared" si="239"/>
        <v>0</v>
      </c>
      <c r="AD90" s="27">
        <f t="shared" si="239"/>
        <v>0</v>
      </c>
      <c r="AE90" s="27">
        <f t="shared" si="239"/>
        <v>0</v>
      </c>
      <c r="AF90" s="27">
        <f t="shared" si="239"/>
        <v>0</v>
      </c>
      <c r="AG90" s="27">
        <f t="shared" si="50"/>
        <v>0</v>
      </c>
      <c r="AH90" s="27">
        <f t="shared" ref="AH90:AH95" si="240">+C90-AG90</f>
        <v>0</v>
      </c>
      <c r="AI90" s="27">
        <f t="shared" ref="AI90:AI95" si="241">IF($T90=0,0,AH90/$T90)</f>
        <v>0</v>
      </c>
      <c r="AJ90" s="27">
        <f t="shared" si="51"/>
        <v>0</v>
      </c>
      <c r="AK90" s="27">
        <f t="shared" si="52"/>
        <v>0</v>
      </c>
      <c r="AL90" s="27">
        <f t="shared" ref="AL90:AL95" si="242">IF($T90=0,0,AK90/$T90)</f>
        <v>0</v>
      </c>
      <c r="AM90" s="27">
        <f t="shared" si="53"/>
        <v>0</v>
      </c>
      <c r="AN90" s="27" t="str">
        <f t="shared" ref="AN90:AN95" si="243">IF(AM90+AJ90+AG90=C90,"OK","ERROR")</f>
        <v>OK</v>
      </c>
      <c r="AO90" s="27">
        <f>IF(S90=SB!$E$148,T90,0)</f>
        <v>0</v>
      </c>
      <c r="AP90" s="27">
        <f>IF(S90=SB!$E$149,T90,0)</f>
        <v>0</v>
      </c>
      <c r="AQ90" s="27">
        <f>IF($S90=SB!E$150,T90,0)</f>
        <v>0</v>
      </c>
      <c r="AR90" s="27">
        <f>IF(S90=SB!$E$151,T90,0)</f>
        <v>0</v>
      </c>
      <c r="AS90" s="27">
        <f>IF(S90=SB!$E$152,T90,0)</f>
        <v>0</v>
      </c>
      <c r="AT90" s="27">
        <f>IF(S90=SB!$E$153,T90,0)</f>
        <v>0</v>
      </c>
      <c r="AU90" s="27">
        <f>IF(S90=SB!$E$154,T90,0)</f>
        <v>0</v>
      </c>
      <c r="AV90" s="27">
        <f t="shared" si="46"/>
        <v>0</v>
      </c>
      <c r="AW90" s="27">
        <f t="shared" si="47"/>
        <v>1</v>
      </c>
      <c r="AX90" s="27">
        <f t="shared" ref="AX90:AX95" si="244">+AW90+AV90-1</f>
        <v>0</v>
      </c>
      <c r="AY90" s="27">
        <f t="shared" ref="AY90:BJ95" si="245">IF(AY$47=$AX90,$T90,0)</f>
        <v>0</v>
      </c>
      <c r="AZ90" s="27">
        <f t="shared" si="245"/>
        <v>0</v>
      </c>
      <c r="BA90" s="27">
        <f t="shared" si="245"/>
        <v>0</v>
      </c>
      <c r="BB90" s="27">
        <f t="shared" si="245"/>
        <v>0</v>
      </c>
      <c r="BC90" s="27">
        <f t="shared" si="245"/>
        <v>0</v>
      </c>
      <c r="BD90" s="61">
        <f t="shared" si="245"/>
        <v>0</v>
      </c>
      <c r="BE90" s="27">
        <f t="shared" si="245"/>
        <v>0</v>
      </c>
      <c r="BF90" s="27">
        <f t="shared" si="245"/>
        <v>0</v>
      </c>
      <c r="BG90" s="27">
        <f t="shared" si="245"/>
        <v>0</v>
      </c>
      <c r="BH90" s="27">
        <f t="shared" si="245"/>
        <v>0</v>
      </c>
      <c r="BI90" s="27">
        <f t="shared" si="245"/>
        <v>0</v>
      </c>
      <c r="BJ90" s="27">
        <f t="shared" si="245"/>
        <v>0</v>
      </c>
      <c r="BL90" s="27">
        <f t="shared" ref="BL90:BL95" si="246">+IF(AY90=0,0,AY90)</f>
        <v>0</v>
      </c>
      <c r="BM90" s="27">
        <f t="shared" ref="BM90:BN95" si="247">+IF(AZ90=0,BL90,AZ90)</f>
        <v>0</v>
      </c>
      <c r="BN90" s="27">
        <f t="shared" si="247"/>
        <v>0</v>
      </c>
      <c r="BO90" s="27">
        <f t="shared" ref="BO90:BO95" si="248">+IF(BB90=0,BN90,BB90)</f>
        <v>0</v>
      </c>
      <c r="BP90" s="27">
        <f t="shared" ref="BP90:BP95" si="249">+IF(BC90=0,BO90,BC90)</f>
        <v>0</v>
      </c>
      <c r="BQ90" s="27">
        <f t="shared" ref="BQ90:BQ95" si="250">+IF(BD90=0,BP90,BD90)</f>
        <v>0</v>
      </c>
      <c r="BR90" s="27">
        <f t="shared" ref="BR90:BR95" si="251">+IF(BE90=0,BQ90,BE90)</f>
        <v>0</v>
      </c>
      <c r="BS90" s="27">
        <f t="shared" ref="BS90:BS95" si="252">+IF(BF90=0,BR90,BF90)</f>
        <v>0</v>
      </c>
      <c r="BT90" s="27">
        <f t="shared" ref="BT90:BT95" si="253">+IF(BG90=0,BS90,BG90)</f>
        <v>0</v>
      </c>
      <c r="BU90" s="27">
        <f t="shared" ref="BU90:BU95" si="254">+IF(BH90=0,BT90,BH90)</f>
        <v>0</v>
      </c>
      <c r="BV90" s="27">
        <f t="shared" ref="BV90:BV95" si="255">+IF(BI90=0,BU90,BI90)</f>
        <v>0</v>
      </c>
      <c r="BW90" s="27">
        <f t="shared" ref="BW90:BW95" si="256">+IF(BJ90=0,BV90,BJ90)</f>
        <v>0</v>
      </c>
      <c r="BX90" s="27">
        <f t="shared" ref="BX90:BX95" si="257">+E90</f>
        <v>0</v>
      </c>
      <c r="BY90" s="27">
        <f t="shared" ref="BY90:BY95" si="258">IF(BX90=0,F90,BX90-BL90)</f>
        <v>0</v>
      </c>
      <c r="BZ90" s="27">
        <f t="shared" ref="BZ90:BZ95" si="259">IF(BY90=0,G90,BY90-BM90)</f>
        <v>0</v>
      </c>
      <c r="CA90" s="27">
        <f t="shared" ref="CA90:CA95" si="260">IF(BZ90=0,H90,BZ90-BN90)</f>
        <v>0</v>
      </c>
      <c r="CB90" s="27">
        <f t="shared" ref="CB90:CB95" si="261">IF(CA90=0,I90,CA90-BO90)</f>
        <v>0</v>
      </c>
      <c r="CC90" s="27">
        <f t="shared" ref="CC90:CC95" si="262">IF(CB90=0,J90,CB90-BP90)</f>
        <v>0</v>
      </c>
      <c r="CD90" s="27">
        <f t="shared" ref="CD90:CD95" si="263">IF(CC90=0,K90,CC90-BQ90)</f>
        <v>0</v>
      </c>
      <c r="CE90" s="27">
        <f t="shared" ref="CE90:CE95" si="264">IF(CD90=0,L90,CD90-BR90)</f>
        <v>0</v>
      </c>
      <c r="CF90" s="27">
        <f t="shared" ref="CF90:CF95" si="265">IF(CE90=0,M90,CE90-BS90)</f>
        <v>0</v>
      </c>
      <c r="CG90" s="27">
        <f t="shared" ref="CG90:CG95" si="266">IF(CF90=0,N90,CF90-BT90)</f>
        <v>0</v>
      </c>
      <c r="CH90" s="27">
        <f t="shared" ref="CH90:CH95" si="267">IF(CG90=0,O90,CG90-BU90)</f>
        <v>0</v>
      </c>
      <c r="CI90" s="27">
        <f t="shared" ref="CI90:CI95" si="268">IF(CH90=0,P90,CH90-BV90)</f>
        <v>0</v>
      </c>
      <c r="CJ90" s="27">
        <f t="shared" si="49"/>
        <v>0</v>
      </c>
      <c r="CK90" s="27">
        <f t="shared" si="35"/>
        <v>0</v>
      </c>
      <c r="CL90" s="27">
        <f t="shared" si="36"/>
        <v>0</v>
      </c>
      <c r="CM90" s="27">
        <f t="shared" si="37"/>
        <v>0</v>
      </c>
      <c r="CN90" s="27">
        <f t="shared" si="38"/>
        <v>0</v>
      </c>
      <c r="CO90" s="27">
        <f t="shared" si="39"/>
        <v>0</v>
      </c>
      <c r="CP90" s="27">
        <f t="shared" si="40"/>
        <v>0</v>
      </c>
      <c r="CQ90" s="27">
        <f t="shared" si="41"/>
        <v>0</v>
      </c>
      <c r="CR90" s="27">
        <f t="shared" si="42"/>
        <v>0</v>
      </c>
      <c r="CS90" s="27">
        <f t="shared" si="43"/>
        <v>0</v>
      </c>
      <c r="CT90" s="27">
        <f t="shared" si="44"/>
        <v>0</v>
      </c>
      <c r="CU90" s="61">
        <f t="shared" si="45"/>
        <v>0</v>
      </c>
    </row>
    <row r="91" spans="2:99" s="27" customFormat="1" ht="11.25" hidden="1" x14ac:dyDescent="0.2">
      <c r="B91" s="60">
        <f>IF(C91=0,0,SANDBOX!D194)</f>
        <v>0</v>
      </c>
      <c r="C91" s="27">
        <f>IF(SANDBOX!G194=SB!$C$156,SANDBOX!F194,0)</f>
        <v>0</v>
      </c>
      <c r="D91" s="27" t="str">
        <f>IF(SANDBOX!I194=0,$E$45,SANDBOX!I194)</f>
        <v>Enero</v>
      </c>
      <c r="E91" s="27">
        <f t="shared" si="235"/>
        <v>0</v>
      </c>
      <c r="F91" s="27">
        <f t="shared" si="236"/>
        <v>0</v>
      </c>
      <c r="G91" s="27">
        <f t="shared" si="236"/>
        <v>0</v>
      </c>
      <c r="H91" s="27">
        <f t="shared" si="236"/>
        <v>0</v>
      </c>
      <c r="I91" s="27">
        <f t="shared" si="236"/>
        <v>0</v>
      </c>
      <c r="J91" s="27">
        <f t="shared" si="236"/>
        <v>0</v>
      </c>
      <c r="K91" s="27">
        <f t="shared" si="236"/>
        <v>0</v>
      </c>
      <c r="L91" s="27">
        <f t="shared" si="236"/>
        <v>0</v>
      </c>
      <c r="M91" s="27">
        <f t="shared" si="236"/>
        <v>0</v>
      </c>
      <c r="N91" s="27">
        <f t="shared" si="236"/>
        <v>0</v>
      </c>
      <c r="O91" s="27">
        <f t="shared" si="236"/>
        <v>0</v>
      </c>
      <c r="P91" s="27">
        <f t="shared" si="236"/>
        <v>0</v>
      </c>
      <c r="Q91" s="27">
        <f t="shared" si="237"/>
        <v>0</v>
      </c>
      <c r="R91" s="27">
        <f>IF($C91=0,0,SANDBOX!J194)</f>
        <v>0</v>
      </c>
      <c r="S91" s="27">
        <f>IF($C91=0,0,SANDBOX!K194)</f>
        <v>0</v>
      </c>
      <c r="T91" s="27">
        <f t="shared" si="238"/>
        <v>0</v>
      </c>
      <c r="U91" s="27">
        <f t="shared" si="239"/>
        <v>0</v>
      </c>
      <c r="V91" s="27">
        <f t="shared" si="239"/>
        <v>0</v>
      </c>
      <c r="W91" s="27">
        <f t="shared" si="239"/>
        <v>0</v>
      </c>
      <c r="X91" s="27">
        <f t="shared" si="239"/>
        <v>0</v>
      </c>
      <c r="Y91" s="27">
        <f t="shared" si="239"/>
        <v>0</v>
      </c>
      <c r="Z91" s="27">
        <f t="shared" si="239"/>
        <v>0</v>
      </c>
      <c r="AA91" s="27">
        <f t="shared" si="239"/>
        <v>0</v>
      </c>
      <c r="AB91" s="27">
        <f t="shared" si="239"/>
        <v>0</v>
      </c>
      <c r="AC91" s="27">
        <f t="shared" si="239"/>
        <v>0</v>
      </c>
      <c r="AD91" s="27">
        <f t="shared" si="239"/>
        <v>0</v>
      </c>
      <c r="AE91" s="27">
        <f t="shared" si="239"/>
        <v>0</v>
      </c>
      <c r="AF91" s="27">
        <f t="shared" si="239"/>
        <v>0</v>
      </c>
      <c r="AG91" s="27">
        <f t="shared" si="50"/>
        <v>0</v>
      </c>
      <c r="AH91" s="27">
        <f t="shared" si="240"/>
        <v>0</v>
      </c>
      <c r="AI91" s="27">
        <f t="shared" si="241"/>
        <v>0</v>
      </c>
      <c r="AJ91" s="27">
        <f t="shared" si="51"/>
        <v>0</v>
      </c>
      <c r="AK91" s="27">
        <f t="shared" si="52"/>
        <v>0</v>
      </c>
      <c r="AL91" s="27">
        <f t="shared" si="242"/>
        <v>0</v>
      </c>
      <c r="AM91" s="27">
        <f t="shared" si="53"/>
        <v>0</v>
      </c>
      <c r="AN91" s="27" t="str">
        <f t="shared" si="243"/>
        <v>OK</v>
      </c>
      <c r="AO91" s="27">
        <f>IF(S91=SB!$E$148,T91,0)</f>
        <v>0</v>
      </c>
      <c r="AP91" s="27">
        <f>IF(S91=SB!$E$149,T91,0)</f>
        <v>0</v>
      </c>
      <c r="AQ91" s="27">
        <f>IF($S91=SB!E$150,T91,0)</f>
        <v>0</v>
      </c>
      <c r="AR91" s="27">
        <f>IF(S91=SB!$E$151,T91,0)</f>
        <v>0</v>
      </c>
      <c r="AS91" s="27">
        <f>IF(S91=SB!$E$152,T91,0)</f>
        <v>0</v>
      </c>
      <c r="AT91" s="27">
        <f>IF(S91=SB!$E$153,T91,0)</f>
        <v>0</v>
      </c>
      <c r="AU91" s="27">
        <f>IF(S91=SB!$E$154,T91,0)</f>
        <v>0</v>
      </c>
      <c r="AV91" s="27">
        <f t="shared" si="46"/>
        <v>0</v>
      </c>
      <c r="AW91" s="27">
        <f t="shared" si="47"/>
        <v>1</v>
      </c>
      <c r="AX91" s="27">
        <f t="shared" si="244"/>
        <v>0</v>
      </c>
      <c r="AY91" s="27">
        <f t="shared" si="245"/>
        <v>0</v>
      </c>
      <c r="AZ91" s="27">
        <f t="shared" si="245"/>
        <v>0</v>
      </c>
      <c r="BA91" s="27">
        <f t="shared" si="245"/>
        <v>0</v>
      </c>
      <c r="BB91" s="27">
        <f t="shared" si="245"/>
        <v>0</v>
      </c>
      <c r="BC91" s="27">
        <f t="shared" si="245"/>
        <v>0</v>
      </c>
      <c r="BD91" s="61">
        <f t="shared" si="245"/>
        <v>0</v>
      </c>
      <c r="BE91" s="27">
        <f t="shared" si="245"/>
        <v>0</v>
      </c>
      <c r="BF91" s="27">
        <f t="shared" si="245"/>
        <v>0</v>
      </c>
      <c r="BG91" s="27">
        <f t="shared" si="245"/>
        <v>0</v>
      </c>
      <c r="BH91" s="27">
        <f t="shared" si="245"/>
        <v>0</v>
      </c>
      <c r="BI91" s="27">
        <f t="shared" si="245"/>
        <v>0</v>
      </c>
      <c r="BJ91" s="27">
        <f t="shared" si="245"/>
        <v>0</v>
      </c>
      <c r="BL91" s="27">
        <f t="shared" si="246"/>
        <v>0</v>
      </c>
      <c r="BM91" s="27">
        <f t="shared" si="247"/>
        <v>0</v>
      </c>
      <c r="BN91" s="27">
        <f t="shared" si="247"/>
        <v>0</v>
      </c>
      <c r="BO91" s="27">
        <f t="shared" si="248"/>
        <v>0</v>
      </c>
      <c r="BP91" s="27">
        <f t="shared" si="249"/>
        <v>0</v>
      </c>
      <c r="BQ91" s="27">
        <f t="shared" si="250"/>
        <v>0</v>
      </c>
      <c r="BR91" s="27">
        <f t="shared" si="251"/>
        <v>0</v>
      </c>
      <c r="BS91" s="27">
        <f t="shared" si="252"/>
        <v>0</v>
      </c>
      <c r="BT91" s="27">
        <f t="shared" si="253"/>
        <v>0</v>
      </c>
      <c r="BU91" s="27">
        <f t="shared" si="254"/>
        <v>0</v>
      </c>
      <c r="BV91" s="27">
        <f t="shared" si="255"/>
        <v>0</v>
      </c>
      <c r="BW91" s="27">
        <f t="shared" si="256"/>
        <v>0</v>
      </c>
      <c r="BX91" s="27">
        <f t="shared" si="257"/>
        <v>0</v>
      </c>
      <c r="BY91" s="27">
        <f t="shared" si="258"/>
        <v>0</v>
      </c>
      <c r="BZ91" s="27">
        <f t="shared" si="259"/>
        <v>0</v>
      </c>
      <c r="CA91" s="27">
        <f t="shared" si="260"/>
        <v>0</v>
      </c>
      <c r="CB91" s="27">
        <f t="shared" si="261"/>
        <v>0</v>
      </c>
      <c r="CC91" s="27">
        <f t="shared" si="262"/>
        <v>0</v>
      </c>
      <c r="CD91" s="27">
        <f t="shared" si="263"/>
        <v>0</v>
      </c>
      <c r="CE91" s="27">
        <f t="shared" si="264"/>
        <v>0</v>
      </c>
      <c r="CF91" s="27">
        <f t="shared" si="265"/>
        <v>0</v>
      </c>
      <c r="CG91" s="27">
        <f t="shared" si="266"/>
        <v>0</v>
      </c>
      <c r="CH91" s="27">
        <f t="shared" si="267"/>
        <v>0</v>
      </c>
      <c r="CI91" s="27">
        <f t="shared" si="268"/>
        <v>0</v>
      </c>
      <c r="CJ91" s="27">
        <f t="shared" si="49"/>
        <v>0</v>
      </c>
      <c r="CK91" s="27">
        <f t="shared" si="35"/>
        <v>0</v>
      </c>
      <c r="CL91" s="27">
        <f t="shared" si="36"/>
        <v>0</v>
      </c>
      <c r="CM91" s="27">
        <f t="shared" si="37"/>
        <v>0</v>
      </c>
      <c r="CN91" s="27">
        <f t="shared" si="38"/>
        <v>0</v>
      </c>
      <c r="CO91" s="27">
        <f t="shared" si="39"/>
        <v>0</v>
      </c>
      <c r="CP91" s="27">
        <f t="shared" si="40"/>
        <v>0</v>
      </c>
      <c r="CQ91" s="27">
        <f t="shared" si="41"/>
        <v>0</v>
      </c>
      <c r="CR91" s="27">
        <f t="shared" si="42"/>
        <v>0</v>
      </c>
      <c r="CS91" s="27">
        <f t="shared" si="43"/>
        <v>0</v>
      </c>
      <c r="CT91" s="27">
        <f t="shared" si="44"/>
        <v>0</v>
      </c>
      <c r="CU91" s="61">
        <f t="shared" si="45"/>
        <v>0</v>
      </c>
    </row>
    <row r="92" spans="2:99" s="27" customFormat="1" ht="11.25" hidden="1" x14ac:dyDescent="0.2">
      <c r="B92" s="60">
        <f>IF(C92=0,0,SANDBOX!D195)</f>
        <v>0</v>
      </c>
      <c r="C92" s="27">
        <f>IF(SANDBOX!G195=SB!$C$156,SANDBOX!F195,0)</f>
        <v>0</v>
      </c>
      <c r="D92" s="27" t="str">
        <f>IF(SANDBOX!I195=0,$E$45,SANDBOX!I195)</f>
        <v>Enero</v>
      </c>
      <c r="E92" s="27">
        <f t="shared" si="235"/>
        <v>0</v>
      </c>
      <c r="F92" s="27">
        <f t="shared" si="236"/>
        <v>0</v>
      </c>
      <c r="G92" s="27">
        <f t="shared" si="236"/>
        <v>0</v>
      </c>
      <c r="H92" s="27">
        <f t="shared" si="236"/>
        <v>0</v>
      </c>
      <c r="I92" s="27">
        <f t="shared" si="236"/>
        <v>0</v>
      </c>
      <c r="J92" s="27">
        <f t="shared" si="236"/>
        <v>0</v>
      </c>
      <c r="K92" s="27">
        <f t="shared" si="236"/>
        <v>0</v>
      </c>
      <c r="L92" s="27">
        <f t="shared" si="236"/>
        <v>0</v>
      </c>
      <c r="M92" s="27">
        <f t="shared" si="236"/>
        <v>0</v>
      </c>
      <c r="N92" s="27">
        <f t="shared" si="236"/>
        <v>0</v>
      </c>
      <c r="O92" s="27">
        <f t="shared" si="236"/>
        <v>0</v>
      </c>
      <c r="P92" s="27">
        <f t="shared" si="236"/>
        <v>0</v>
      </c>
      <c r="Q92" s="27">
        <f t="shared" si="237"/>
        <v>0</v>
      </c>
      <c r="R92" s="27">
        <f>IF($C92=0,0,SANDBOX!J195)</f>
        <v>0</v>
      </c>
      <c r="S92" s="27">
        <f>IF($C92=0,0,SANDBOX!K195)</f>
        <v>0</v>
      </c>
      <c r="T92" s="27">
        <f t="shared" si="238"/>
        <v>0</v>
      </c>
      <c r="U92" s="27">
        <f t="shared" si="239"/>
        <v>0</v>
      </c>
      <c r="V92" s="27">
        <f t="shared" si="239"/>
        <v>0</v>
      </c>
      <c r="W92" s="27">
        <f t="shared" si="239"/>
        <v>0</v>
      </c>
      <c r="X92" s="27">
        <f t="shared" si="239"/>
        <v>0</v>
      </c>
      <c r="Y92" s="27">
        <f t="shared" si="239"/>
        <v>0</v>
      </c>
      <c r="Z92" s="27">
        <f t="shared" si="239"/>
        <v>0</v>
      </c>
      <c r="AA92" s="27">
        <f t="shared" si="239"/>
        <v>0</v>
      </c>
      <c r="AB92" s="27">
        <f t="shared" si="239"/>
        <v>0</v>
      </c>
      <c r="AC92" s="27">
        <f t="shared" si="239"/>
        <v>0</v>
      </c>
      <c r="AD92" s="27">
        <f t="shared" si="239"/>
        <v>0</v>
      </c>
      <c r="AE92" s="27">
        <f t="shared" si="239"/>
        <v>0</v>
      </c>
      <c r="AF92" s="27">
        <f t="shared" si="239"/>
        <v>0</v>
      </c>
      <c r="AG92" s="27">
        <f t="shared" si="50"/>
        <v>0</v>
      </c>
      <c r="AH92" s="27">
        <f t="shared" si="240"/>
        <v>0</v>
      </c>
      <c r="AI92" s="27">
        <f t="shared" si="241"/>
        <v>0</v>
      </c>
      <c r="AJ92" s="27">
        <f t="shared" si="51"/>
        <v>0</v>
      </c>
      <c r="AK92" s="27">
        <f t="shared" si="52"/>
        <v>0</v>
      </c>
      <c r="AL92" s="27">
        <f t="shared" si="242"/>
        <v>0</v>
      </c>
      <c r="AM92" s="27">
        <f t="shared" si="53"/>
        <v>0</v>
      </c>
      <c r="AN92" s="27" t="str">
        <f t="shared" si="243"/>
        <v>OK</v>
      </c>
      <c r="AO92" s="27">
        <f>IF(S92=SB!$E$148,T92,0)</f>
        <v>0</v>
      </c>
      <c r="AP92" s="27">
        <f>IF(S92=SB!$E$149,T92,0)</f>
        <v>0</v>
      </c>
      <c r="AQ92" s="27">
        <f>IF($S92=SB!E$150,T92,0)</f>
        <v>0</v>
      </c>
      <c r="AR92" s="27">
        <f>IF(S92=SB!$E$151,T92,0)</f>
        <v>0</v>
      </c>
      <c r="AS92" s="27">
        <f>IF(S92=SB!$E$152,T92,0)</f>
        <v>0</v>
      </c>
      <c r="AT92" s="27">
        <f>IF(S92=SB!$E$153,T92,0)</f>
        <v>0</v>
      </c>
      <c r="AU92" s="27">
        <f>IF(S92=SB!$E$154,T92,0)</f>
        <v>0</v>
      </c>
      <c r="AV92" s="27">
        <f t="shared" si="46"/>
        <v>0</v>
      </c>
      <c r="AW92" s="27">
        <f t="shared" si="47"/>
        <v>1</v>
      </c>
      <c r="AX92" s="27">
        <f t="shared" si="244"/>
        <v>0</v>
      </c>
      <c r="AY92" s="27">
        <f t="shared" si="245"/>
        <v>0</v>
      </c>
      <c r="AZ92" s="27">
        <f t="shared" si="245"/>
        <v>0</v>
      </c>
      <c r="BA92" s="27">
        <f t="shared" si="245"/>
        <v>0</v>
      </c>
      <c r="BB92" s="27">
        <f t="shared" si="245"/>
        <v>0</v>
      </c>
      <c r="BC92" s="27">
        <f t="shared" si="245"/>
        <v>0</v>
      </c>
      <c r="BD92" s="61">
        <f t="shared" si="245"/>
        <v>0</v>
      </c>
      <c r="BE92" s="27">
        <f t="shared" si="245"/>
        <v>0</v>
      </c>
      <c r="BF92" s="27">
        <f t="shared" si="245"/>
        <v>0</v>
      </c>
      <c r="BG92" s="27">
        <f t="shared" si="245"/>
        <v>0</v>
      </c>
      <c r="BH92" s="27">
        <f t="shared" si="245"/>
        <v>0</v>
      </c>
      <c r="BI92" s="27">
        <f t="shared" si="245"/>
        <v>0</v>
      </c>
      <c r="BJ92" s="27">
        <f t="shared" si="245"/>
        <v>0</v>
      </c>
      <c r="BL92" s="27">
        <f t="shared" si="246"/>
        <v>0</v>
      </c>
      <c r="BM92" s="27">
        <f t="shared" si="247"/>
        <v>0</v>
      </c>
      <c r="BN92" s="27">
        <f t="shared" si="247"/>
        <v>0</v>
      </c>
      <c r="BO92" s="27">
        <f t="shared" si="248"/>
        <v>0</v>
      </c>
      <c r="BP92" s="27">
        <f t="shared" si="249"/>
        <v>0</v>
      </c>
      <c r="BQ92" s="27">
        <f t="shared" si="250"/>
        <v>0</v>
      </c>
      <c r="BR92" s="27">
        <f t="shared" si="251"/>
        <v>0</v>
      </c>
      <c r="BS92" s="27">
        <f t="shared" si="252"/>
        <v>0</v>
      </c>
      <c r="BT92" s="27">
        <f t="shared" si="253"/>
        <v>0</v>
      </c>
      <c r="BU92" s="27">
        <f t="shared" si="254"/>
        <v>0</v>
      </c>
      <c r="BV92" s="27">
        <f t="shared" si="255"/>
        <v>0</v>
      </c>
      <c r="BW92" s="27">
        <f t="shared" si="256"/>
        <v>0</v>
      </c>
      <c r="BX92" s="27">
        <f t="shared" si="257"/>
        <v>0</v>
      </c>
      <c r="BY92" s="27">
        <f t="shared" si="258"/>
        <v>0</v>
      </c>
      <c r="BZ92" s="27">
        <f t="shared" si="259"/>
        <v>0</v>
      </c>
      <c r="CA92" s="27">
        <f t="shared" si="260"/>
        <v>0</v>
      </c>
      <c r="CB92" s="27">
        <f t="shared" si="261"/>
        <v>0</v>
      </c>
      <c r="CC92" s="27">
        <f t="shared" si="262"/>
        <v>0</v>
      </c>
      <c r="CD92" s="27">
        <f t="shared" si="263"/>
        <v>0</v>
      </c>
      <c r="CE92" s="27">
        <f t="shared" si="264"/>
        <v>0</v>
      </c>
      <c r="CF92" s="27">
        <f t="shared" si="265"/>
        <v>0</v>
      </c>
      <c r="CG92" s="27">
        <f t="shared" si="266"/>
        <v>0</v>
      </c>
      <c r="CH92" s="27">
        <f t="shared" si="267"/>
        <v>0</v>
      </c>
      <c r="CI92" s="27">
        <f t="shared" si="268"/>
        <v>0</v>
      </c>
      <c r="CJ92" s="27">
        <f t="shared" si="49"/>
        <v>0</v>
      </c>
      <c r="CK92" s="27">
        <f t="shared" si="35"/>
        <v>0</v>
      </c>
      <c r="CL92" s="27">
        <f t="shared" si="36"/>
        <v>0</v>
      </c>
      <c r="CM92" s="27">
        <f t="shared" si="37"/>
        <v>0</v>
      </c>
      <c r="CN92" s="27">
        <f t="shared" si="38"/>
        <v>0</v>
      </c>
      <c r="CO92" s="27">
        <f t="shared" si="39"/>
        <v>0</v>
      </c>
      <c r="CP92" s="27">
        <f t="shared" si="40"/>
        <v>0</v>
      </c>
      <c r="CQ92" s="27">
        <f t="shared" si="41"/>
        <v>0</v>
      </c>
      <c r="CR92" s="27">
        <f t="shared" si="42"/>
        <v>0</v>
      </c>
      <c r="CS92" s="27">
        <f t="shared" si="43"/>
        <v>0</v>
      </c>
      <c r="CT92" s="27">
        <f t="shared" si="44"/>
        <v>0</v>
      </c>
      <c r="CU92" s="61">
        <f t="shared" si="45"/>
        <v>0</v>
      </c>
    </row>
    <row r="93" spans="2:99" s="27" customFormat="1" ht="11.25" hidden="1" x14ac:dyDescent="0.2">
      <c r="B93" s="60">
        <f>IF(C93=0,0,SANDBOX!D196)</f>
        <v>0</v>
      </c>
      <c r="C93" s="27">
        <f>IF(SANDBOX!G196=SB!$C$156,SANDBOX!F196,0)</f>
        <v>0</v>
      </c>
      <c r="D93" s="27" t="str">
        <f>IF(SANDBOX!I196=0,$E$45,SANDBOX!I196)</f>
        <v>Enero</v>
      </c>
      <c r="E93" s="27">
        <f t="shared" si="235"/>
        <v>0</v>
      </c>
      <c r="F93" s="27">
        <f t="shared" si="236"/>
        <v>0</v>
      </c>
      <c r="G93" s="27">
        <f t="shared" si="236"/>
        <v>0</v>
      </c>
      <c r="H93" s="27">
        <f t="shared" si="236"/>
        <v>0</v>
      </c>
      <c r="I93" s="27">
        <f t="shared" si="236"/>
        <v>0</v>
      </c>
      <c r="J93" s="27">
        <f t="shared" si="236"/>
        <v>0</v>
      </c>
      <c r="K93" s="27">
        <f t="shared" si="236"/>
        <v>0</v>
      </c>
      <c r="L93" s="27">
        <f t="shared" si="236"/>
        <v>0</v>
      </c>
      <c r="M93" s="27">
        <f t="shared" si="236"/>
        <v>0</v>
      </c>
      <c r="N93" s="27">
        <f t="shared" si="236"/>
        <v>0</v>
      </c>
      <c r="O93" s="27">
        <f t="shared" si="236"/>
        <v>0</v>
      </c>
      <c r="P93" s="27">
        <f t="shared" si="236"/>
        <v>0</v>
      </c>
      <c r="Q93" s="27">
        <f t="shared" si="237"/>
        <v>0</v>
      </c>
      <c r="R93" s="27">
        <f>IF($C93=0,0,SANDBOX!J196)</f>
        <v>0</v>
      </c>
      <c r="S93" s="27">
        <f>IF($C93=0,0,SANDBOX!K196)</f>
        <v>0</v>
      </c>
      <c r="T93" s="27">
        <f t="shared" si="238"/>
        <v>0</v>
      </c>
      <c r="U93" s="27">
        <f t="shared" si="239"/>
        <v>0</v>
      </c>
      <c r="V93" s="27">
        <f t="shared" si="239"/>
        <v>0</v>
      </c>
      <c r="W93" s="27">
        <f t="shared" si="239"/>
        <v>0</v>
      </c>
      <c r="X93" s="27">
        <f t="shared" si="239"/>
        <v>0</v>
      </c>
      <c r="Y93" s="27">
        <f t="shared" si="239"/>
        <v>0</v>
      </c>
      <c r="Z93" s="27">
        <f t="shared" si="239"/>
        <v>0</v>
      </c>
      <c r="AA93" s="27">
        <f t="shared" si="239"/>
        <v>0</v>
      </c>
      <c r="AB93" s="27">
        <f t="shared" si="239"/>
        <v>0</v>
      </c>
      <c r="AC93" s="27">
        <f t="shared" si="239"/>
        <v>0</v>
      </c>
      <c r="AD93" s="27">
        <f t="shared" si="239"/>
        <v>0</v>
      </c>
      <c r="AE93" s="27">
        <f t="shared" si="239"/>
        <v>0</v>
      </c>
      <c r="AF93" s="27">
        <f t="shared" si="239"/>
        <v>0</v>
      </c>
      <c r="AG93" s="27">
        <f t="shared" si="50"/>
        <v>0</v>
      </c>
      <c r="AH93" s="27">
        <f t="shared" si="240"/>
        <v>0</v>
      </c>
      <c r="AI93" s="27">
        <f t="shared" si="241"/>
        <v>0</v>
      </c>
      <c r="AJ93" s="27">
        <f t="shared" si="51"/>
        <v>0</v>
      </c>
      <c r="AK93" s="27">
        <f t="shared" si="52"/>
        <v>0</v>
      </c>
      <c r="AL93" s="27">
        <f t="shared" si="242"/>
        <v>0</v>
      </c>
      <c r="AM93" s="27">
        <f t="shared" si="53"/>
        <v>0</v>
      </c>
      <c r="AN93" s="27" t="str">
        <f t="shared" si="243"/>
        <v>OK</v>
      </c>
      <c r="AO93" s="27">
        <f>IF(S93=SB!$E$148,T93,0)</f>
        <v>0</v>
      </c>
      <c r="AP93" s="27">
        <f>IF(S93=SB!$E$149,T93,0)</f>
        <v>0</v>
      </c>
      <c r="AQ93" s="27">
        <f>IF($S93=SB!E$150,T93,0)</f>
        <v>0</v>
      </c>
      <c r="AR93" s="27">
        <f>IF(S93=SB!$E$151,T93,0)</f>
        <v>0</v>
      </c>
      <c r="AS93" s="27">
        <f>IF(S93=SB!$E$152,T93,0)</f>
        <v>0</v>
      </c>
      <c r="AT93" s="27">
        <f>IF(S93=SB!$E$153,T93,0)</f>
        <v>0</v>
      </c>
      <c r="AU93" s="27">
        <f>IF(S93=SB!$E$154,T93,0)</f>
        <v>0</v>
      </c>
      <c r="AV93" s="27">
        <f t="shared" si="46"/>
        <v>0</v>
      </c>
      <c r="AW93" s="27">
        <f t="shared" si="47"/>
        <v>1</v>
      </c>
      <c r="AX93" s="27">
        <f t="shared" si="244"/>
        <v>0</v>
      </c>
      <c r="AY93" s="27">
        <f t="shared" si="245"/>
        <v>0</v>
      </c>
      <c r="AZ93" s="27">
        <f t="shared" si="245"/>
        <v>0</v>
      </c>
      <c r="BA93" s="27">
        <f t="shared" si="245"/>
        <v>0</v>
      </c>
      <c r="BB93" s="27">
        <f t="shared" si="245"/>
        <v>0</v>
      </c>
      <c r="BC93" s="27">
        <f t="shared" si="245"/>
        <v>0</v>
      </c>
      <c r="BD93" s="61">
        <f t="shared" si="245"/>
        <v>0</v>
      </c>
      <c r="BE93" s="27">
        <f t="shared" si="245"/>
        <v>0</v>
      </c>
      <c r="BF93" s="27">
        <f t="shared" si="245"/>
        <v>0</v>
      </c>
      <c r="BG93" s="27">
        <f t="shared" si="245"/>
        <v>0</v>
      </c>
      <c r="BH93" s="27">
        <f t="shared" si="245"/>
        <v>0</v>
      </c>
      <c r="BI93" s="27">
        <f t="shared" si="245"/>
        <v>0</v>
      </c>
      <c r="BJ93" s="27">
        <f t="shared" si="245"/>
        <v>0</v>
      </c>
      <c r="BL93" s="27">
        <f t="shared" si="246"/>
        <v>0</v>
      </c>
      <c r="BM93" s="27">
        <f t="shared" si="247"/>
        <v>0</v>
      </c>
      <c r="BN93" s="27">
        <f t="shared" si="247"/>
        <v>0</v>
      </c>
      <c r="BO93" s="27">
        <f t="shared" si="248"/>
        <v>0</v>
      </c>
      <c r="BP93" s="27">
        <f t="shared" si="249"/>
        <v>0</v>
      </c>
      <c r="BQ93" s="27">
        <f t="shared" si="250"/>
        <v>0</v>
      </c>
      <c r="BR93" s="27">
        <f t="shared" si="251"/>
        <v>0</v>
      </c>
      <c r="BS93" s="27">
        <f t="shared" si="252"/>
        <v>0</v>
      </c>
      <c r="BT93" s="27">
        <f t="shared" si="253"/>
        <v>0</v>
      </c>
      <c r="BU93" s="27">
        <f t="shared" si="254"/>
        <v>0</v>
      </c>
      <c r="BV93" s="27">
        <f t="shared" si="255"/>
        <v>0</v>
      </c>
      <c r="BW93" s="27">
        <f t="shared" si="256"/>
        <v>0</v>
      </c>
      <c r="BX93" s="27">
        <f t="shared" si="257"/>
        <v>0</v>
      </c>
      <c r="BY93" s="27">
        <f t="shared" si="258"/>
        <v>0</v>
      </c>
      <c r="BZ93" s="27">
        <f t="shared" si="259"/>
        <v>0</v>
      </c>
      <c r="CA93" s="27">
        <f t="shared" si="260"/>
        <v>0</v>
      </c>
      <c r="CB93" s="27">
        <f t="shared" si="261"/>
        <v>0</v>
      </c>
      <c r="CC93" s="27">
        <f t="shared" si="262"/>
        <v>0</v>
      </c>
      <c r="CD93" s="27">
        <f t="shared" si="263"/>
        <v>0</v>
      </c>
      <c r="CE93" s="27">
        <f t="shared" si="264"/>
        <v>0</v>
      </c>
      <c r="CF93" s="27">
        <f t="shared" si="265"/>
        <v>0</v>
      </c>
      <c r="CG93" s="27">
        <f t="shared" si="266"/>
        <v>0</v>
      </c>
      <c r="CH93" s="27">
        <f t="shared" si="267"/>
        <v>0</v>
      </c>
      <c r="CI93" s="27">
        <f t="shared" si="268"/>
        <v>0</v>
      </c>
      <c r="CJ93" s="27">
        <f t="shared" si="49"/>
        <v>0</v>
      </c>
      <c r="CK93" s="27">
        <f t="shared" si="35"/>
        <v>0</v>
      </c>
      <c r="CL93" s="27">
        <f t="shared" si="36"/>
        <v>0</v>
      </c>
      <c r="CM93" s="27">
        <f t="shared" si="37"/>
        <v>0</v>
      </c>
      <c r="CN93" s="27">
        <f t="shared" si="38"/>
        <v>0</v>
      </c>
      <c r="CO93" s="27">
        <f t="shared" si="39"/>
        <v>0</v>
      </c>
      <c r="CP93" s="27">
        <f t="shared" si="40"/>
        <v>0</v>
      </c>
      <c r="CQ93" s="27">
        <f t="shared" si="41"/>
        <v>0</v>
      </c>
      <c r="CR93" s="27">
        <f t="shared" si="42"/>
        <v>0</v>
      </c>
      <c r="CS93" s="27">
        <f t="shared" si="43"/>
        <v>0</v>
      </c>
      <c r="CT93" s="27">
        <f t="shared" si="44"/>
        <v>0</v>
      </c>
      <c r="CU93" s="61">
        <f t="shared" si="45"/>
        <v>0</v>
      </c>
    </row>
    <row r="94" spans="2:99" s="27" customFormat="1" ht="11.25" hidden="1" x14ac:dyDescent="0.2">
      <c r="B94" s="60">
        <f>IF(C94=0,0,SANDBOX!D197)</f>
        <v>0</v>
      </c>
      <c r="C94" s="27">
        <f>IF(SANDBOX!G197=SB!$C$156,SANDBOX!F197,0)</f>
        <v>0</v>
      </c>
      <c r="D94" s="27" t="str">
        <f>IF(SANDBOX!I197=0,$E$45,SANDBOX!I197)</f>
        <v>Enero</v>
      </c>
      <c r="E94" s="27">
        <f t="shared" si="235"/>
        <v>0</v>
      </c>
      <c r="F94" s="27">
        <f t="shared" si="236"/>
        <v>0</v>
      </c>
      <c r="G94" s="27">
        <f t="shared" si="236"/>
        <v>0</v>
      </c>
      <c r="H94" s="27">
        <f t="shared" si="236"/>
        <v>0</v>
      </c>
      <c r="I94" s="27">
        <f t="shared" si="236"/>
        <v>0</v>
      </c>
      <c r="J94" s="27">
        <f t="shared" si="236"/>
        <v>0</v>
      </c>
      <c r="K94" s="27">
        <f t="shared" si="236"/>
        <v>0</v>
      </c>
      <c r="L94" s="27">
        <f t="shared" si="236"/>
        <v>0</v>
      </c>
      <c r="M94" s="27">
        <f t="shared" si="236"/>
        <v>0</v>
      </c>
      <c r="N94" s="27">
        <f t="shared" si="236"/>
        <v>0</v>
      </c>
      <c r="O94" s="27">
        <f t="shared" si="236"/>
        <v>0</v>
      </c>
      <c r="P94" s="27">
        <f t="shared" si="236"/>
        <v>0</v>
      </c>
      <c r="Q94" s="27">
        <f t="shared" si="237"/>
        <v>0</v>
      </c>
      <c r="R94" s="27">
        <f>IF($C94=0,0,SANDBOX!J197)</f>
        <v>0</v>
      </c>
      <c r="S94" s="27">
        <f>IF($C94=0,0,SANDBOX!K197)</f>
        <v>0</v>
      </c>
      <c r="T94" s="27">
        <f t="shared" si="238"/>
        <v>0</v>
      </c>
      <c r="U94" s="27">
        <f t="shared" si="239"/>
        <v>0</v>
      </c>
      <c r="V94" s="27">
        <f t="shared" si="239"/>
        <v>0</v>
      </c>
      <c r="W94" s="27">
        <f t="shared" si="239"/>
        <v>0</v>
      </c>
      <c r="X94" s="27">
        <f t="shared" si="239"/>
        <v>0</v>
      </c>
      <c r="Y94" s="27">
        <f t="shared" si="239"/>
        <v>0</v>
      </c>
      <c r="Z94" s="27">
        <f t="shared" si="239"/>
        <v>0</v>
      </c>
      <c r="AA94" s="27">
        <f t="shared" si="239"/>
        <v>0</v>
      </c>
      <c r="AB94" s="27">
        <f t="shared" si="239"/>
        <v>0</v>
      </c>
      <c r="AC94" s="27">
        <f t="shared" si="239"/>
        <v>0</v>
      </c>
      <c r="AD94" s="27">
        <f t="shared" si="239"/>
        <v>0</v>
      </c>
      <c r="AE94" s="27">
        <f t="shared" si="239"/>
        <v>0</v>
      </c>
      <c r="AF94" s="27">
        <f t="shared" si="239"/>
        <v>0</v>
      </c>
      <c r="AG94" s="27">
        <f t="shared" si="50"/>
        <v>0</v>
      </c>
      <c r="AH94" s="27">
        <f t="shared" si="240"/>
        <v>0</v>
      </c>
      <c r="AI94" s="27">
        <f t="shared" si="241"/>
        <v>0</v>
      </c>
      <c r="AJ94" s="27">
        <f t="shared" si="51"/>
        <v>0</v>
      </c>
      <c r="AK94" s="27">
        <f t="shared" si="52"/>
        <v>0</v>
      </c>
      <c r="AL94" s="27">
        <f t="shared" si="242"/>
        <v>0</v>
      </c>
      <c r="AM94" s="27">
        <f t="shared" si="53"/>
        <v>0</v>
      </c>
      <c r="AN94" s="27" t="str">
        <f t="shared" si="243"/>
        <v>OK</v>
      </c>
      <c r="AO94" s="27">
        <f>IF(S94=SB!$E$148,T94,0)</f>
        <v>0</v>
      </c>
      <c r="AP94" s="27">
        <f>IF(S94=SB!$E$149,T94,0)</f>
        <v>0</v>
      </c>
      <c r="AQ94" s="27">
        <f>IF($S94=SB!E$150,T94,0)</f>
        <v>0</v>
      </c>
      <c r="AR94" s="27">
        <f>IF(S94=SB!$E$151,T94,0)</f>
        <v>0</v>
      </c>
      <c r="AS94" s="27">
        <f>IF(S94=SB!$E$152,T94,0)</f>
        <v>0</v>
      </c>
      <c r="AT94" s="27">
        <f>IF(S94=SB!$E$153,T94,0)</f>
        <v>0</v>
      </c>
      <c r="AU94" s="27">
        <f>IF(S94=SB!$E$154,T94,0)</f>
        <v>0</v>
      </c>
      <c r="AV94" s="27">
        <f t="shared" si="46"/>
        <v>0</v>
      </c>
      <c r="AW94" s="27">
        <f t="shared" si="47"/>
        <v>1</v>
      </c>
      <c r="AX94" s="27">
        <f t="shared" si="244"/>
        <v>0</v>
      </c>
      <c r="AY94" s="27">
        <f t="shared" si="245"/>
        <v>0</v>
      </c>
      <c r="AZ94" s="27">
        <f t="shared" si="245"/>
        <v>0</v>
      </c>
      <c r="BA94" s="27">
        <f t="shared" si="245"/>
        <v>0</v>
      </c>
      <c r="BB94" s="27">
        <f t="shared" si="245"/>
        <v>0</v>
      </c>
      <c r="BC94" s="27">
        <f t="shared" si="245"/>
        <v>0</v>
      </c>
      <c r="BD94" s="61">
        <f t="shared" si="245"/>
        <v>0</v>
      </c>
      <c r="BE94" s="27">
        <f t="shared" si="245"/>
        <v>0</v>
      </c>
      <c r="BF94" s="27">
        <f t="shared" si="245"/>
        <v>0</v>
      </c>
      <c r="BG94" s="27">
        <f t="shared" si="245"/>
        <v>0</v>
      </c>
      <c r="BH94" s="27">
        <f t="shared" si="245"/>
        <v>0</v>
      </c>
      <c r="BI94" s="27">
        <f t="shared" si="245"/>
        <v>0</v>
      </c>
      <c r="BJ94" s="27">
        <f t="shared" si="245"/>
        <v>0</v>
      </c>
      <c r="BL94" s="27">
        <f t="shared" si="246"/>
        <v>0</v>
      </c>
      <c r="BM94" s="27">
        <f t="shared" si="247"/>
        <v>0</v>
      </c>
      <c r="BN94" s="27">
        <f t="shared" si="247"/>
        <v>0</v>
      </c>
      <c r="BO94" s="27">
        <f t="shared" si="248"/>
        <v>0</v>
      </c>
      <c r="BP94" s="27">
        <f t="shared" si="249"/>
        <v>0</v>
      </c>
      <c r="BQ94" s="27">
        <f t="shared" si="250"/>
        <v>0</v>
      </c>
      <c r="BR94" s="27">
        <f t="shared" si="251"/>
        <v>0</v>
      </c>
      <c r="BS94" s="27">
        <f t="shared" si="252"/>
        <v>0</v>
      </c>
      <c r="BT94" s="27">
        <f t="shared" si="253"/>
        <v>0</v>
      </c>
      <c r="BU94" s="27">
        <f t="shared" si="254"/>
        <v>0</v>
      </c>
      <c r="BV94" s="27">
        <f t="shared" si="255"/>
        <v>0</v>
      </c>
      <c r="BW94" s="27">
        <f t="shared" si="256"/>
        <v>0</v>
      </c>
      <c r="BX94" s="27">
        <f t="shared" si="257"/>
        <v>0</v>
      </c>
      <c r="BY94" s="27">
        <f t="shared" si="258"/>
        <v>0</v>
      </c>
      <c r="BZ94" s="27">
        <f t="shared" si="259"/>
        <v>0</v>
      </c>
      <c r="CA94" s="27">
        <f t="shared" si="260"/>
        <v>0</v>
      </c>
      <c r="CB94" s="27">
        <f t="shared" si="261"/>
        <v>0</v>
      </c>
      <c r="CC94" s="27">
        <f t="shared" si="262"/>
        <v>0</v>
      </c>
      <c r="CD94" s="27">
        <f t="shared" si="263"/>
        <v>0</v>
      </c>
      <c r="CE94" s="27">
        <f t="shared" si="264"/>
        <v>0</v>
      </c>
      <c r="CF94" s="27">
        <f t="shared" si="265"/>
        <v>0</v>
      </c>
      <c r="CG94" s="27">
        <f t="shared" si="266"/>
        <v>0</v>
      </c>
      <c r="CH94" s="27">
        <f t="shared" si="267"/>
        <v>0</v>
      </c>
      <c r="CI94" s="27">
        <f t="shared" si="268"/>
        <v>0</v>
      </c>
      <c r="CJ94" s="27">
        <f t="shared" si="49"/>
        <v>0</v>
      </c>
      <c r="CK94" s="27">
        <f t="shared" si="35"/>
        <v>0</v>
      </c>
      <c r="CL94" s="27">
        <f t="shared" si="36"/>
        <v>0</v>
      </c>
      <c r="CM94" s="27">
        <f t="shared" si="37"/>
        <v>0</v>
      </c>
      <c r="CN94" s="27">
        <f t="shared" si="38"/>
        <v>0</v>
      </c>
      <c r="CO94" s="27">
        <f t="shared" si="39"/>
        <v>0</v>
      </c>
      <c r="CP94" s="27">
        <f t="shared" si="40"/>
        <v>0</v>
      </c>
      <c r="CQ94" s="27">
        <f t="shared" si="41"/>
        <v>0</v>
      </c>
      <c r="CR94" s="27">
        <f t="shared" si="42"/>
        <v>0</v>
      </c>
      <c r="CS94" s="27">
        <f t="shared" si="43"/>
        <v>0</v>
      </c>
      <c r="CT94" s="27">
        <f t="shared" si="44"/>
        <v>0</v>
      </c>
      <c r="CU94" s="61">
        <f t="shared" si="45"/>
        <v>0</v>
      </c>
    </row>
    <row r="95" spans="2:99" s="27" customFormat="1" ht="11.25" hidden="1" x14ac:dyDescent="0.2">
      <c r="B95" s="65">
        <f>IF(C95=0,0,SANDBOX!D198)</f>
        <v>0</v>
      </c>
      <c r="C95" s="66">
        <f>IF(SANDBOX!G198=SB!$C$156,SANDBOX!F198,0)</f>
        <v>0</v>
      </c>
      <c r="D95" s="66" t="str">
        <f>IF(SANDBOX!I198=0,$E$45,SANDBOX!I198)</f>
        <v>Enero</v>
      </c>
      <c r="E95" s="66">
        <f t="shared" si="235"/>
        <v>0</v>
      </c>
      <c r="F95" s="66">
        <f t="shared" si="236"/>
        <v>0</v>
      </c>
      <c r="G95" s="66">
        <f t="shared" si="236"/>
        <v>0</v>
      </c>
      <c r="H95" s="66">
        <f t="shared" si="236"/>
        <v>0</v>
      </c>
      <c r="I95" s="66">
        <f t="shared" si="236"/>
        <v>0</v>
      </c>
      <c r="J95" s="66">
        <f t="shared" si="236"/>
        <v>0</v>
      </c>
      <c r="K95" s="66">
        <f t="shared" si="236"/>
        <v>0</v>
      </c>
      <c r="L95" s="66">
        <f t="shared" si="236"/>
        <v>0</v>
      </c>
      <c r="M95" s="66">
        <f t="shared" si="236"/>
        <v>0</v>
      </c>
      <c r="N95" s="66">
        <f t="shared" si="236"/>
        <v>0</v>
      </c>
      <c r="O95" s="66">
        <f t="shared" si="236"/>
        <v>0</v>
      </c>
      <c r="P95" s="66">
        <f t="shared" si="236"/>
        <v>0</v>
      </c>
      <c r="Q95" s="66">
        <f t="shared" si="237"/>
        <v>0</v>
      </c>
      <c r="R95" s="66">
        <f>IF($C95=0,0,SANDBOX!J198)</f>
        <v>0</v>
      </c>
      <c r="S95" s="66">
        <f>IF($C95=0,0,SANDBOX!K198)</f>
        <v>0</v>
      </c>
      <c r="T95" s="66">
        <f t="shared" si="238"/>
        <v>0</v>
      </c>
      <c r="U95" s="66">
        <f t="shared" si="239"/>
        <v>0</v>
      </c>
      <c r="V95" s="66">
        <f t="shared" si="239"/>
        <v>0</v>
      </c>
      <c r="W95" s="66">
        <f t="shared" si="239"/>
        <v>0</v>
      </c>
      <c r="X95" s="66">
        <f t="shared" si="239"/>
        <v>0</v>
      </c>
      <c r="Y95" s="66">
        <f t="shared" si="239"/>
        <v>0</v>
      </c>
      <c r="Z95" s="66">
        <f t="shared" si="239"/>
        <v>0</v>
      </c>
      <c r="AA95" s="66">
        <f t="shared" si="239"/>
        <v>0</v>
      </c>
      <c r="AB95" s="66">
        <f t="shared" si="239"/>
        <v>0</v>
      </c>
      <c r="AC95" s="66">
        <f t="shared" si="239"/>
        <v>0</v>
      </c>
      <c r="AD95" s="66">
        <f t="shared" si="239"/>
        <v>0</v>
      </c>
      <c r="AE95" s="66">
        <f t="shared" si="239"/>
        <v>0</v>
      </c>
      <c r="AF95" s="66">
        <f t="shared" si="239"/>
        <v>0</v>
      </c>
      <c r="AG95" s="66">
        <f t="shared" si="50"/>
        <v>0</v>
      </c>
      <c r="AH95" s="66">
        <f t="shared" si="240"/>
        <v>0</v>
      </c>
      <c r="AI95" s="66">
        <f t="shared" si="241"/>
        <v>0</v>
      </c>
      <c r="AJ95" s="66">
        <f t="shared" si="51"/>
        <v>0</v>
      </c>
      <c r="AK95" s="66">
        <f t="shared" si="52"/>
        <v>0</v>
      </c>
      <c r="AL95" s="66">
        <f t="shared" si="242"/>
        <v>0</v>
      </c>
      <c r="AM95" s="66">
        <f t="shared" si="53"/>
        <v>0</v>
      </c>
      <c r="AN95" s="66" t="str">
        <f t="shared" si="243"/>
        <v>OK</v>
      </c>
      <c r="AO95" s="66">
        <f>IF(S95=SB!$E$148,T95,0)</f>
        <v>0</v>
      </c>
      <c r="AP95" s="66">
        <f>IF(S95=SB!$E$149,T95,0)</f>
        <v>0</v>
      </c>
      <c r="AQ95" s="66">
        <f>IF($S95=SB!E$150,T95,0)</f>
        <v>0</v>
      </c>
      <c r="AR95" s="66">
        <f>IF(S95=SB!$E$151,T95,0)</f>
        <v>0</v>
      </c>
      <c r="AS95" s="66">
        <f>IF(S95=SB!$E$152,T95,0)</f>
        <v>0</v>
      </c>
      <c r="AT95" s="66">
        <f>IF(S95=SB!$E$153,T95,0)</f>
        <v>0</v>
      </c>
      <c r="AU95" s="66">
        <f>IF(S95=SB!$E$154,T95,0)</f>
        <v>0</v>
      </c>
      <c r="AV95" s="66">
        <f t="shared" si="46"/>
        <v>0</v>
      </c>
      <c r="AW95" s="66">
        <f t="shared" si="47"/>
        <v>1</v>
      </c>
      <c r="AX95" s="66">
        <f t="shared" si="244"/>
        <v>0</v>
      </c>
      <c r="AY95" s="66">
        <f t="shared" si="245"/>
        <v>0</v>
      </c>
      <c r="AZ95" s="66">
        <f t="shared" si="245"/>
        <v>0</v>
      </c>
      <c r="BA95" s="66">
        <f t="shared" si="245"/>
        <v>0</v>
      </c>
      <c r="BB95" s="66">
        <f t="shared" si="245"/>
        <v>0</v>
      </c>
      <c r="BC95" s="66">
        <f t="shared" si="245"/>
        <v>0</v>
      </c>
      <c r="BD95" s="67">
        <f t="shared" si="245"/>
        <v>0</v>
      </c>
      <c r="BE95" s="66">
        <f t="shared" si="245"/>
        <v>0</v>
      </c>
      <c r="BF95" s="66">
        <f t="shared" si="245"/>
        <v>0</v>
      </c>
      <c r="BG95" s="66">
        <f t="shared" si="245"/>
        <v>0</v>
      </c>
      <c r="BH95" s="66">
        <f t="shared" si="245"/>
        <v>0</v>
      </c>
      <c r="BI95" s="66">
        <f t="shared" si="245"/>
        <v>0</v>
      </c>
      <c r="BJ95" s="66">
        <f t="shared" si="245"/>
        <v>0</v>
      </c>
      <c r="BK95" s="66"/>
      <c r="BL95" s="66">
        <f t="shared" si="246"/>
        <v>0</v>
      </c>
      <c r="BM95" s="66">
        <f t="shared" si="247"/>
        <v>0</v>
      </c>
      <c r="BN95" s="66">
        <f t="shared" si="247"/>
        <v>0</v>
      </c>
      <c r="BO95" s="66">
        <f t="shared" si="248"/>
        <v>0</v>
      </c>
      <c r="BP95" s="66">
        <f t="shared" si="249"/>
        <v>0</v>
      </c>
      <c r="BQ95" s="66">
        <f t="shared" si="250"/>
        <v>0</v>
      </c>
      <c r="BR95" s="66">
        <f t="shared" si="251"/>
        <v>0</v>
      </c>
      <c r="BS95" s="66">
        <f t="shared" si="252"/>
        <v>0</v>
      </c>
      <c r="BT95" s="66">
        <f t="shared" si="253"/>
        <v>0</v>
      </c>
      <c r="BU95" s="66">
        <f t="shared" si="254"/>
        <v>0</v>
      </c>
      <c r="BV95" s="66">
        <f t="shared" si="255"/>
        <v>0</v>
      </c>
      <c r="BW95" s="66">
        <f t="shared" si="256"/>
        <v>0</v>
      </c>
      <c r="BX95" s="66">
        <f t="shared" si="257"/>
        <v>0</v>
      </c>
      <c r="BY95" s="66">
        <f t="shared" si="258"/>
        <v>0</v>
      </c>
      <c r="BZ95" s="66">
        <f t="shared" si="259"/>
        <v>0</v>
      </c>
      <c r="CA95" s="66">
        <f t="shared" si="260"/>
        <v>0</v>
      </c>
      <c r="CB95" s="66">
        <f t="shared" si="261"/>
        <v>0</v>
      </c>
      <c r="CC95" s="66">
        <f t="shared" si="262"/>
        <v>0</v>
      </c>
      <c r="CD95" s="66">
        <f t="shared" si="263"/>
        <v>0</v>
      </c>
      <c r="CE95" s="66">
        <f t="shared" si="264"/>
        <v>0</v>
      </c>
      <c r="CF95" s="66">
        <f t="shared" si="265"/>
        <v>0</v>
      </c>
      <c r="CG95" s="66">
        <f t="shared" si="266"/>
        <v>0</v>
      </c>
      <c r="CH95" s="66">
        <f t="shared" si="267"/>
        <v>0</v>
      </c>
      <c r="CI95" s="66">
        <f t="shared" si="268"/>
        <v>0</v>
      </c>
      <c r="CJ95" s="66">
        <f t="shared" si="49"/>
        <v>0</v>
      </c>
      <c r="CK95" s="66">
        <f t="shared" si="35"/>
        <v>0</v>
      </c>
      <c r="CL95" s="66">
        <f t="shared" si="36"/>
        <v>0</v>
      </c>
      <c r="CM95" s="66">
        <f t="shared" si="37"/>
        <v>0</v>
      </c>
      <c r="CN95" s="66">
        <f t="shared" si="38"/>
        <v>0</v>
      </c>
      <c r="CO95" s="66">
        <f t="shared" si="39"/>
        <v>0</v>
      </c>
      <c r="CP95" s="66">
        <f t="shared" si="40"/>
        <v>0</v>
      </c>
      <c r="CQ95" s="66">
        <f t="shared" si="41"/>
        <v>0</v>
      </c>
      <c r="CR95" s="66">
        <f t="shared" si="42"/>
        <v>0</v>
      </c>
      <c r="CS95" s="66">
        <f t="shared" si="43"/>
        <v>0</v>
      </c>
      <c r="CT95" s="66">
        <f t="shared" si="44"/>
        <v>0</v>
      </c>
      <c r="CU95" s="67">
        <f t="shared" si="45"/>
        <v>0</v>
      </c>
    </row>
    <row r="96" spans="2:99" s="27" customFormat="1" ht="11.25" hidden="1" x14ac:dyDescent="0.2">
      <c r="B96" s="62" t="str">
        <f>SANDBOX!$D192</f>
        <v>Activos intangibles amortizables</v>
      </c>
      <c r="C96" s="63"/>
      <c r="D96" s="63"/>
      <c r="E96" s="63">
        <f t="shared" ref="E96:Q96" si="269">SUM(E90:E95)</f>
        <v>0</v>
      </c>
      <c r="F96" s="63">
        <f t="shared" si="269"/>
        <v>0</v>
      </c>
      <c r="G96" s="63">
        <f t="shared" si="269"/>
        <v>0</v>
      </c>
      <c r="H96" s="63">
        <f t="shared" si="269"/>
        <v>0</v>
      </c>
      <c r="I96" s="63">
        <f t="shared" si="269"/>
        <v>0</v>
      </c>
      <c r="J96" s="63">
        <f t="shared" si="269"/>
        <v>0</v>
      </c>
      <c r="K96" s="63">
        <f t="shared" si="269"/>
        <v>0</v>
      </c>
      <c r="L96" s="63">
        <f t="shared" si="269"/>
        <v>0</v>
      </c>
      <c r="M96" s="63">
        <f t="shared" si="269"/>
        <v>0</v>
      </c>
      <c r="N96" s="63">
        <f t="shared" si="269"/>
        <v>0</v>
      </c>
      <c r="O96" s="63">
        <f t="shared" si="269"/>
        <v>0</v>
      </c>
      <c r="P96" s="63">
        <f t="shared" si="269"/>
        <v>0</v>
      </c>
      <c r="Q96" s="63">
        <f t="shared" si="269"/>
        <v>0</v>
      </c>
      <c r="R96" s="63"/>
      <c r="S96" s="63" t="str">
        <f>SANDBOX!$D$192</f>
        <v>Activos intangibles amortizables</v>
      </c>
      <c r="T96" s="63"/>
      <c r="U96" s="63">
        <f t="shared" ref="U96:AM96" si="270">SUM(U90:U95)</f>
        <v>0</v>
      </c>
      <c r="V96" s="63">
        <f t="shared" si="270"/>
        <v>0</v>
      </c>
      <c r="W96" s="63">
        <f t="shared" si="270"/>
        <v>0</v>
      </c>
      <c r="X96" s="63">
        <f t="shared" si="270"/>
        <v>0</v>
      </c>
      <c r="Y96" s="63">
        <f t="shared" si="270"/>
        <v>0</v>
      </c>
      <c r="Z96" s="63">
        <f t="shared" si="270"/>
        <v>0</v>
      </c>
      <c r="AA96" s="63">
        <f t="shared" si="270"/>
        <v>0</v>
      </c>
      <c r="AB96" s="63">
        <f t="shared" si="270"/>
        <v>0</v>
      </c>
      <c r="AC96" s="63">
        <f t="shared" si="270"/>
        <v>0</v>
      </c>
      <c r="AD96" s="63">
        <f t="shared" si="270"/>
        <v>0</v>
      </c>
      <c r="AE96" s="63">
        <f t="shared" si="270"/>
        <v>0</v>
      </c>
      <c r="AF96" s="63">
        <f t="shared" si="270"/>
        <v>0</v>
      </c>
      <c r="AG96" s="63">
        <f t="shared" si="270"/>
        <v>0</v>
      </c>
      <c r="AH96" s="63">
        <f t="shared" si="270"/>
        <v>0</v>
      </c>
      <c r="AI96" s="63">
        <f t="shared" si="270"/>
        <v>0</v>
      </c>
      <c r="AJ96" s="63">
        <f t="shared" si="270"/>
        <v>0</v>
      </c>
      <c r="AK96" s="63">
        <f t="shared" si="270"/>
        <v>0</v>
      </c>
      <c r="AL96" s="63">
        <f t="shared" si="270"/>
        <v>0</v>
      </c>
      <c r="AM96" s="63">
        <f t="shared" si="270"/>
        <v>0</v>
      </c>
      <c r="AN96" s="64"/>
      <c r="BD96" s="61"/>
    </row>
    <row r="97" spans="2:56" s="27" customFormat="1" ht="11.25" hidden="1" x14ac:dyDescent="0.2">
      <c r="B97" s="60"/>
      <c r="AN97" s="61"/>
      <c r="BD97" s="61"/>
    </row>
    <row r="98" spans="2:56" s="27" customFormat="1" ht="11.25" hidden="1" x14ac:dyDescent="0.2">
      <c r="B98" s="65" t="s">
        <v>235</v>
      </c>
      <c r="C98" s="66">
        <f>SUM(C48:C95)</f>
        <v>0</v>
      </c>
      <c r="D98" s="66" t="str">
        <f>IF(C98=Amortizaciones!$G$102,"OK","error")</f>
        <v>OK</v>
      </c>
      <c r="E98" s="66">
        <f>+E96+E89+E82+E75+E68+E61+E54</f>
        <v>0</v>
      </c>
      <c r="F98" s="66">
        <f t="shared" ref="F98:Q98" si="271">+F96+F89+F82+F75+F68+F61+F54</f>
        <v>0</v>
      </c>
      <c r="G98" s="66">
        <f t="shared" si="271"/>
        <v>0</v>
      </c>
      <c r="H98" s="66">
        <f t="shared" si="271"/>
        <v>0</v>
      </c>
      <c r="I98" s="66">
        <f t="shared" si="271"/>
        <v>0</v>
      </c>
      <c r="J98" s="66">
        <f t="shared" si="271"/>
        <v>0</v>
      </c>
      <c r="K98" s="66">
        <f t="shared" si="271"/>
        <v>0</v>
      </c>
      <c r="L98" s="66">
        <f t="shared" si="271"/>
        <v>0</v>
      </c>
      <c r="M98" s="66">
        <f t="shared" si="271"/>
        <v>0</v>
      </c>
      <c r="N98" s="66">
        <f t="shared" si="271"/>
        <v>0</v>
      </c>
      <c r="O98" s="66">
        <f t="shared" si="271"/>
        <v>0</v>
      </c>
      <c r="P98" s="66">
        <f t="shared" si="271"/>
        <v>0</v>
      </c>
      <c r="Q98" s="66">
        <f t="shared" si="271"/>
        <v>0</v>
      </c>
      <c r="R98" s="66"/>
      <c r="S98" s="66" t="s">
        <v>33</v>
      </c>
      <c r="T98" s="66"/>
      <c r="U98" s="66">
        <f t="shared" ref="U98:AM98" si="272">+U96+U89+U82+U75+U68+U61+U54</f>
        <v>0</v>
      </c>
      <c r="V98" s="66">
        <f t="shared" si="272"/>
        <v>0</v>
      </c>
      <c r="W98" s="66">
        <f t="shared" si="272"/>
        <v>0</v>
      </c>
      <c r="X98" s="66">
        <f t="shared" si="272"/>
        <v>0</v>
      </c>
      <c r="Y98" s="66">
        <f t="shared" si="272"/>
        <v>0</v>
      </c>
      <c r="Z98" s="66">
        <f t="shared" si="272"/>
        <v>0</v>
      </c>
      <c r="AA98" s="66">
        <f t="shared" si="272"/>
        <v>0</v>
      </c>
      <c r="AB98" s="66">
        <f t="shared" si="272"/>
        <v>0</v>
      </c>
      <c r="AC98" s="66">
        <f t="shared" si="272"/>
        <v>0</v>
      </c>
      <c r="AD98" s="66">
        <f t="shared" si="272"/>
        <v>0</v>
      </c>
      <c r="AE98" s="66">
        <f t="shared" si="272"/>
        <v>0</v>
      </c>
      <c r="AF98" s="66">
        <f t="shared" si="272"/>
        <v>0</v>
      </c>
      <c r="AG98" s="66">
        <f>+AG96+AG89+AG82+AG75+AG68+AG61+AG54</f>
        <v>0</v>
      </c>
      <c r="AH98" s="66">
        <f t="shared" si="272"/>
        <v>0</v>
      </c>
      <c r="AI98" s="66">
        <f t="shared" si="272"/>
        <v>0</v>
      </c>
      <c r="AJ98" s="66">
        <f t="shared" si="272"/>
        <v>0</v>
      </c>
      <c r="AK98" s="66">
        <f t="shared" si="272"/>
        <v>0</v>
      </c>
      <c r="AL98" s="66">
        <f t="shared" si="272"/>
        <v>0</v>
      </c>
      <c r="AM98" s="66">
        <f t="shared" si="272"/>
        <v>0</v>
      </c>
      <c r="AN98" s="67" t="str">
        <f>IF(AM98+AJ98+AG98=C98,"OK","ERROR")</f>
        <v>OK</v>
      </c>
      <c r="BD98" s="61"/>
    </row>
    <row r="99" spans="2:56" s="27" customFormat="1" ht="11.25" hidden="1" x14ac:dyDescent="0.2">
      <c r="B99" s="60"/>
      <c r="BD99" s="61"/>
    </row>
    <row r="100" spans="2:56" s="27" customFormat="1" ht="11.25" hidden="1" x14ac:dyDescent="0.2">
      <c r="B100" s="60"/>
      <c r="BD100" s="61"/>
    </row>
    <row r="101" spans="2:56" s="27" customFormat="1" ht="11.25" hidden="1" x14ac:dyDescent="0.2">
      <c r="B101" s="62" t="s">
        <v>1336</v>
      </c>
      <c r="C101" s="63"/>
      <c r="D101" s="63"/>
      <c r="E101" s="63"/>
      <c r="F101" s="63"/>
      <c r="G101" s="63"/>
      <c r="H101" s="63" t="s">
        <v>1335</v>
      </c>
      <c r="I101" s="63" t="s">
        <v>1547</v>
      </c>
      <c r="J101" s="63" t="str">
        <f t="shared" ref="J101:U101" si="273">U47</f>
        <v>Enero</v>
      </c>
      <c r="K101" s="63" t="str">
        <f t="shared" si="273"/>
        <v>Febrero</v>
      </c>
      <c r="L101" s="63" t="str">
        <f t="shared" si="273"/>
        <v>Marzo</v>
      </c>
      <c r="M101" s="63" t="str">
        <f t="shared" si="273"/>
        <v>Abril</v>
      </c>
      <c r="N101" s="63" t="str">
        <f t="shared" si="273"/>
        <v xml:space="preserve">Mayo </v>
      </c>
      <c r="O101" s="63" t="str">
        <f t="shared" si="273"/>
        <v>Junio</v>
      </c>
      <c r="P101" s="63" t="str">
        <f t="shared" si="273"/>
        <v>Julio</v>
      </c>
      <c r="Q101" s="63" t="str">
        <f t="shared" si="273"/>
        <v>Agosto</v>
      </c>
      <c r="R101" s="63" t="str">
        <f t="shared" si="273"/>
        <v>Septiembre</v>
      </c>
      <c r="S101" s="63" t="str">
        <f t="shared" si="273"/>
        <v>Octubre</v>
      </c>
      <c r="T101" s="63" t="str">
        <f t="shared" si="273"/>
        <v>Noviembre</v>
      </c>
      <c r="U101" s="63" t="str">
        <f t="shared" si="273"/>
        <v>Diciembre</v>
      </c>
      <c r="V101" s="63"/>
      <c r="W101" s="63"/>
      <c r="X101" s="63"/>
      <c r="Y101" s="63"/>
      <c r="Z101" s="63"/>
      <c r="AA101" s="63"/>
      <c r="AB101" s="63"/>
      <c r="AC101" s="63"/>
      <c r="AD101" s="63"/>
      <c r="AE101" s="63"/>
      <c r="AF101" s="63"/>
      <c r="AG101" s="63"/>
      <c r="AH101" s="63"/>
      <c r="AI101" s="63"/>
      <c r="AJ101" s="63"/>
      <c r="AK101" s="63"/>
      <c r="AL101" s="63"/>
      <c r="AM101" s="63"/>
      <c r="AN101" s="64"/>
      <c r="BD101" s="61"/>
    </row>
    <row r="102" spans="2:56" s="27" customFormat="1" ht="11.25" hidden="1" x14ac:dyDescent="0.2">
      <c r="B102" s="60"/>
      <c r="C102" s="27" t="s">
        <v>206</v>
      </c>
      <c r="G102" s="27" t="s">
        <v>207</v>
      </c>
      <c r="H102" s="27">
        <f>+C98</f>
        <v>0</v>
      </c>
      <c r="J102" s="27">
        <f>+E98-U98</f>
        <v>0</v>
      </c>
      <c r="K102" s="27">
        <f t="shared" ref="K102:U102" si="274">+J102-V98+F98</f>
        <v>0</v>
      </c>
      <c r="L102" s="27">
        <f t="shared" si="274"/>
        <v>0</v>
      </c>
      <c r="M102" s="27">
        <f t="shared" si="274"/>
        <v>0</v>
      </c>
      <c r="N102" s="27">
        <f t="shared" si="274"/>
        <v>0</v>
      </c>
      <c r="O102" s="27">
        <f t="shared" si="274"/>
        <v>0</v>
      </c>
      <c r="P102" s="27">
        <f t="shared" si="274"/>
        <v>0</v>
      </c>
      <c r="Q102" s="27">
        <f t="shared" si="274"/>
        <v>0</v>
      </c>
      <c r="R102" s="27">
        <f t="shared" si="274"/>
        <v>0</v>
      </c>
      <c r="S102" s="27">
        <f t="shared" si="274"/>
        <v>0</v>
      </c>
      <c r="T102" s="27">
        <f t="shared" si="274"/>
        <v>0</v>
      </c>
      <c r="U102" s="27">
        <f t="shared" si="274"/>
        <v>0</v>
      </c>
      <c r="AN102" s="61"/>
      <c r="BD102" s="61"/>
    </row>
    <row r="103" spans="2:56" s="27" customFormat="1" ht="11.25" hidden="1" x14ac:dyDescent="0.2">
      <c r="B103" s="60"/>
      <c r="C103" s="27" t="s">
        <v>1337</v>
      </c>
      <c r="H103" s="27">
        <f>SANDBOX!$D$31</f>
        <v>0</v>
      </c>
      <c r="I103" s="27">
        <f>+H103-SANDBOX!E31</f>
        <v>0</v>
      </c>
      <c r="J103" s="27">
        <f>+I103-SANDBOX!F31</f>
        <v>0</v>
      </c>
      <c r="K103" s="27">
        <f>+J103-SANDBOX!G31</f>
        <v>0</v>
      </c>
      <c r="L103" s="27">
        <f>+K103-SANDBOX!H31</f>
        <v>0</v>
      </c>
      <c r="M103" s="27">
        <f>+L103-SANDBOX!I31</f>
        <v>0</v>
      </c>
      <c r="N103" s="27">
        <f>+M103-SANDBOX!J31</f>
        <v>0</v>
      </c>
      <c r="O103" s="27">
        <f>+N103-SANDBOX!K31</f>
        <v>0</v>
      </c>
      <c r="P103" s="27">
        <f>+O103-SANDBOX!L31</f>
        <v>0</v>
      </c>
      <c r="Q103" s="27">
        <f>+P103-SANDBOX!M31</f>
        <v>0</v>
      </c>
      <c r="R103" s="27">
        <f>+Q103-SANDBOX!N31</f>
        <v>0</v>
      </c>
      <c r="S103" s="27">
        <f>+R103-SANDBOX!O31</f>
        <v>0</v>
      </c>
      <c r="T103" s="27">
        <f>+S103-SANDBOX!P31</f>
        <v>0</v>
      </c>
      <c r="U103" s="27">
        <f>+T103-SANDBOX!Q31</f>
        <v>0</v>
      </c>
      <c r="AN103" s="61"/>
      <c r="BD103" s="61"/>
    </row>
    <row r="104" spans="2:56" s="27" customFormat="1" ht="11.25" hidden="1" x14ac:dyDescent="0.2">
      <c r="B104" s="60"/>
      <c r="C104" s="27" t="str">
        <f>SANDBOX!$E$104</f>
        <v>Gastos amortizables (incluir importes en el mes de pago)</v>
      </c>
      <c r="H104" s="27">
        <f>SANDBOX!$L$106</f>
        <v>0</v>
      </c>
      <c r="I104" s="27">
        <f>+H104-SANDBOX!E106</f>
        <v>0</v>
      </c>
      <c r="J104" s="27">
        <f>+I104-SANDBOX!F106</f>
        <v>0</v>
      </c>
      <c r="K104" s="27">
        <f>+J104-SANDBOX!G106</f>
        <v>0</v>
      </c>
      <c r="L104" s="27">
        <f>+K104-SANDBOX!H106</f>
        <v>0</v>
      </c>
      <c r="M104" s="27">
        <f>+L104-SANDBOX!I106</f>
        <v>0</v>
      </c>
      <c r="N104" s="27">
        <f>+M104-SANDBOX!J106</f>
        <v>0</v>
      </c>
      <c r="O104" s="27">
        <f>+N104-SANDBOX!K106</f>
        <v>0</v>
      </c>
      <c r="AN104" s="61"/>
      <c r="BD104" s="61"/>
    </row>
    <row r="105" spans="2:56" s="27" customFormat="1" ht="11.25" hidden="1" x14ac:dyDescent="0.2">
      <c r="B105" s="65"/>
      <c r="C105" s="66" t="str">
        <f>SANDBOX!$D$143</f>
        <v>Concepto</v>
      </c>
      <c r="D105" s="66"/>
      <c r="E105" s="66"/>
      <c r="F105" s="66"/>
      <c r="G105" s="66"/>
      <c r="H105" s="66">
        <f>SANDBOX!$L$143</f>
        <v>0</v>
      </c>
      <c r="I105" s="66">
        <f>+H105-SANDBOX!E143</f>
        <v>0</v>
      </c>
      <c r="J105" s="66">
        <f>+I105-SANDBOX!F143</f>
        <v>0</v>
      </c>
      <c r="K105" s="66">
        <f>+J105-SANDBOX!G143</f>
        <v>0</v>
      </c>
      <c r="L105" s="66">
        <f>+K105-SANDBOX!H143</f>
        <v>0</v>
      </c>
      <c r="M105" s="66">
        <f>+L105-SANDBOX!I143</f>
        <v>0</v>
      </c>
      <c r="N105" s="66">
        <f>+M105-SANDBOX!J143</f>
        <v>0</v>
      </c>
      <c r="O105" s="66">
        <f>+N105-SANDBOX!K143</f>
        <v>0</v>
      </c>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7"/>
      <c r="BD105" s="61"/>
    </row>
    <row r="106" spans="2:56" s="27" customFormat="1" ht="11.25" hidden="1" x14ac:dyDescent="0.2">
      <c r="B106" s="60"/>
      <c r="BD106" s="61"/>
    </row>
    <row r="107" spans="2:56" s="27" customFormat="1" ht="11.25" hidden="1" x14ac:dyDescent="0.2">
      <c r="B107" s="62" t="s">
        <v>685</v>
      </c>
      <c r="C107" s="63"/>
      <c r="D107" s="63"/>
      <c r="E107" s="63"/>
      <c r="F107" s="63"/>
      <c r="G107" s="63"/>
      <c r="H107" s="63"/>
      <c r="I107" s="63" t="s">
        <v>643</v>
      </c>
      <c r="J107" s="63"/>
      <c r="K107" s="63"/>
      <c r="L107" s="63"/>
      <c r="M107" s="63"/>
      <c r="N107" s="63"/>
      <c r="O107" s="63"/>
      <c r="P107" s="63"/>
      <c r="Q107" s="63"/>
      <c r="R107" s="63"/>
      <c r="S107" s="63"/>
      <c r="T107" s="63"/>
      <c r="U107" s="63"/>
      <c r="V107" s="63"/>
      <c r="W107" s="63" t="s">
        <v>21</v>
      </c>
      <c r="X107" s="63"/>
      <c r="Y107" s="63"/>
      <c r="Z107" s="63"/>
      <c r="AA107" s="63"/>
      <c r="AB107" s="63"/>
      <c r="AC107" s="63"/>
      <c r="AD107" s="63"/>
      <c r="AE107" s="63"/>
      <c r="AF107" s="63"/>
      <c r="AG107" s="63"/>
      <c r="AH107" s="63"/>
      <c r="AI107" s="63"/>
      <c r="AJ107" s="63"/>
      <c r="AK107" s="63"/>
      <c r="AL107" s="63" t="s">
        <v>671</v>
      </c>
      <c r="AM107" s="63"/>
      <c r="AN107" s="63"/>
      <c r="AO107" s="63"/>
      <c r="AP107" s="63"/>
      <c r="AQ107" s="63"/>
      <c r="AR107" s="63"/>
      <c r="AS107" s="63"/>
      <c r="AT107" s="63"/>
      <c r="AU107" s="63"/>
      <c r="AV107" s="63"/>
      <c r="AW107" s="63"/>
      <c r="AX107" s="63"/>
      <c r="AY107" s="64"/>
      <c r="BD107" s="61"/>
    </row>
    <row r="108" spans="2:56" s="27" customFormat="1" ht="11.25" hidden="1" x14ac:dyDescent="0.2">
      <c r="B108" s="60"/>
      <c r="C108" s="27" t="str">
        <f>+SB!$C$157</f>
        <v>LEASING</v>
      </c>
      <c r="W108" s="27">
        <v>1</v>
      </c>
      <c r="X108" s="27">
        <v>2</v>
      </c>
      <c r="Y108" s="27">
        <v>3</v>
      </c>
      <c r="Z108" s="27">
        <v>4</v>
      </c>
      <c r="AA108" s="27">
        <v>5</v>
      </c>
      <c r="AB108" s="27">
        <v>6</v>
      </c>
      <c r="AC108" s="27">
        <v>7</v>
      </c>
      <c r="AD108" s="27">
        <v>8</v>
      </c>
      <c r="AE108" s="27">
        <v>9</v>
      </c>
      <c r="AF108" s="27">
        <v>10</v>
      </c>
      <c r="AG108" s="27">
        <v>11</v>
      </c>
      <c r="AH108" s="27">
        <v>12</v>
      </c>
      <c r="AI108" s="27">
        <v>13</v>
      </c>
      <c r="AY108" s="61"/>
      <c r="BD108" s="61"/>
    </row>
    <row r="109" spans="2:56" s="27" customFormat="1" ht="11.25" hidden="1" x14ac:dyDescent="0.2">
      <c r="B109" s="60"/>
      <c r="C109" s="27" t="s">
        <v>237</v>
      </c>
      <c r="I109" s="27" t="str">
        <f t="shared" ref="I109:U109" si="275">W109</f>
        <v>Enero</v>
      </c>
      <c r="J109" s="27" t="str">
        <f t="shared" si="275"/>
        <v>Febrero</v>
      </c>
      <c r="K109" s="27" t="str">
        <f t="shared" si="275"/>
        <v>Marzo</v>
      </c>
      <c r="L109" s="27" t="str">
        <f t="shared" si="275"/>
        <v>Abril</v>
      </c>
      <c r="M109" s="27" t="str">
        <f t="shared" si="275"/>
        <v xml:space="preserve">Mayo </v>
      </c>
      <c r="N109" s="27" t="str">
        <f t="shared" si="275"/>
        <v>Junio</v>
      </c>
      <c r="O109" s="27" t="str">
        <f t="shared" si="275"/>
        <v>Julio</v>
      </c>
      <c r="P109" s="27" t="str">
        <f t="shared" si="275"/>
        <v>Agosto</v>
      </c>
      <c r="Q109" s="27" t="str">
        <f t="shared" si="275"/>
        <v>Septiembre</v>
      </c>
      <c r="R109" s="27" t="str">
        <f t="shared" si="275"/>
        <v>Octubre</v>
      </c>
      <c r="S109" s="27" t="str">
        <f t="shared" si="275"/>
        <v>Noviembre</v>
      </c>
      <c r="T109" s="27" t="str">
        <f t="shared" si="275"/>
        <v>Diciembre</v>
      </c>
      <c r="U109" s="27" t="str">
        <f t="shared" si="275"/>
        <v>TOTAL</v>
      </c>
      <c r="W109" s="27" t="str">
        <f t="shared" ref="W109:AI109" si="276">E45</f>
        <v>Enero</v>
      </c>
      <c r="X109" s="27" t="str">
        <f t="shared" si="276"/>
        <v>Febrero</v>
      </c>
      <c r="Y109" s="27" t="str">
        <f t="shared" si="276"/>
        <v>Marzo</v>
      </c>
      <c r="Z109" s="27" t="str">
        <f t="shared" si="276"/>
        <v>Abril</v>
      </c>
      <c r="AA109" s="27" t="str">
        <f t="shared" si="276"/>
        <v xml:space="preserve">Mayo </v>
      </c>
      <c r="AB109" s="27" t="str">
        <f t="shared" si="276"/>
        <v>Junio</v>
      </c>
      <c r="AC109" s="27" t="str">
        <f t="shared" si="276"/>
        <v>Julio</v>
      </c>
      <c r="AD109" s="27" t="str">
        <f t="shared" si="276"/>
        <v>Agosto</v>
      </c>
      <c r="AE109" s="27" t="str">
        <f t="shared" si="276"/>
        <v>Septiembre</v>
      </c>
      <c r="AF109" s="27" t="str">
        <f t="shared" si="276"/>
        <v>Octubre</v>
      </c>
      <c r="AG109" s="27" t="str">
        <f t="shared" si="276"/>
        <v>Noviembre</v>
      </c>
      <c r="AH109" s="27" t="str">
        <f t="shared" si="276"/>
        <v>Diciembre</v>
      </c>
      <c r="AI109" s="27" t="str">
        <f t="shared" si="276"/>
        <v>TOTAL</v>
      </c>
      <c r="AL109" s="27" t="str">
        <f t="shared" ref="AL109:AW109" si="277">W109</f>
        <v>Enero</v>
      </c>
      <c r="AM109" s="27" t="str">
        <f t="shared" si="277"/>
        <v>Febrero</v>
      </c>
      <c r="AN109" s="27" t="str">
        <f t="shared" si="277"/>
        <v>Marzo</v>
      </c>
      <c r="AO109" s="27" t="str">
        <f t="shared" si="277"/>
        <v>Abril</v>
      </c>
      <c r="AP109" s="27" t="str">
        <f t="shared" si="277"/>
        <v xml:space="preserve">Mayo </v>
      </c>
      <c r="AQ109" s="27" t="str">
        <f t="shared" si="277"/>
        <v>Junio</v>
      </c>
      <c r="AR109" s="27" t="str">
        <f t="shared" si="277"/>
        <v>Julio</v>
      </c>
      <c r="AS109" s="27" t="str">
        <f t="shared" si="277"/>
        <v>Agosto</v>
      </c>
      <c r="AT109" s="27" t="str">
        <f t="shared" si="277"/>
        <v>Septiembre</v>
      </c>
      <c r="AU109" s="27" t="str">
        <f t="shared" si="277"/>
        <v>Octubre</v>
      </c>
      <c r="AV109" s="27" t="str">
        <f t="shared" si="277"/>
        <v>Noviembre</v>
      </c>
      <c r="AW109" s="27" t="str">
        <f t="shared" si="277"/>
        <v>Diciembre</v>
      </c>
      <c r="AY109" s="61"/>
      <c r="BD109" s="61"/>
    </row>
    <row r="110" spans="2:56" s="27" customFormat="1" ht="11.25" hidden="1" x14ac:dyDescent="0.2">
      <c r="B110" s="60" t="s">
        <v>586</v>
      </c>
      <c r="C110" s="27" t="str">
        <f>Amortizaciones!C59</f>
        <v>ACTIVOS</v>
      </c>
      <c r="D110" s="27" t="str">
        <f>Amortizaciones!D59</f>
        <v>valor sin iva</v>
      </c>
      <c r="H110" s="27" t="s">
        <v>859</v>
      </c>
      <c r="W110" s="27">
        <f t="shared" ref="W110:AH110" si="278">E46</f>
        <v>1</v>
      </c>
      <c r="X110" s="27">
        <f t="shared" si="278"/>
        <v>2</v>
      </c>
      <c r="Y110" s="27">
        <f t="shared" si="278"/>
        <v>3</v>
      </c>
      <c r="Z110" s="27">
        <f t="shared" si="278"/>
        <v>4</v>
      </c>
      <c r="AA110" s="27">
        <f t="shared" si="278"/>
        <v>5</v>
      </c>
      <c r="AB110" s="27">
        <f t="shared" si="278"/>
        <v>6</v>
      </c>
      <c r="AC110" s="27">
        <f t="shared" si="278"/>
        <v>7</v>
      </c>
      <c r="AD110" s="27">
        <f t="shared" si="278"/>
        <v>8</v>
      </c>
      <c r="AE110" s="27">
        <f t="shared" si="278"/>
        <v>9</v>
      </c>
      <c r="AF110" s="27">
        <f t="shared" si="278"/>
        <v>10</v>
      </c>
      <c r="AG110" s="27">
        <f t="shared" si="278"/>
        <v>11</v>
      </c>
      <c r="AH110" s="27">
        <f t="shared" si="278"/>
        <v>12</v>
      </c>
      <c r="AY110" s="61"/>
      <c r="BD110" s="61"/>
    </row>
    <row r="111" spans="2:56" s="27" customFormat="1" ht="11.25" hidden="1" x14ac:dyDescent="0.2">
      <c r="B111" s="60"/>
      <c r="C111" s="27">
        <f>Amortizaciones!C60</f>
        <v>0</v>
      </c>
      <c r="D111" s="27">
        <f>IF(C$108=SANDBOX!G151,SANDBOX!F151,0)</f>
        <v>0</v>
      </c>
      <c r="E111" s="27">
        <f>SANDBOX!O151</f>
        <v>0</v>
      </c>
      <c r="F111" s="27">
        <f>SANDBOX!P151</f>
        <v>0</v>
      </c>
      <c r="G111" s="27" t="str">
        <f>IF(SANDBOX!N151=0,SB!$B$6,SANDBOX!N151)</f>
        <v>Enero</v>
      </c>
      <c r="H111" s="27">
        <f>+E158</f>
        <v>0</v>
      </c>
      <c r="I111" s="27">
        <f>SUMIF($G111,I$109,$E159)</f>
        <v>0</v>
      </c>
      <c r="J111" s="27">
        <f t="shared" ref="J111:T111" si="279">SUMIF($G111,J$109,$E159)</f>
        <v>0</v>
      </c>
      <c r="K111" s="27">
        <f t="shared" si="279"/>
        <v>0</v>
      </c>
      <c r="L111" s="27">
        <f t="shared" si="279"/>
        <v>0</v>
      </c>
      <c r="M111" s="27">
        <f t="shared" si="279"/>
        <v>0</v>
      </c>
      <c r="N111" s="27">
        <f t="shared" si="279"/>
        <v>0</v>
      </c>
      <c r="O111" s="27">
        <f t="shared" si="279"/>
        <v>0</v>
      </c>
      <c r="P111" s="27">
        <f t="shared" si="279"/>
        <v>0</v>
      </c>
      <c r="Q111" s="27">
        <f t="shared" si="279"/>
        <v>0</v>
      </c>
      <c r="R111" s="27">
        <f t="shared" si="279"/>
        <v>0</v>
      </c>
      <c r="S111" s="27">
        <f t="shared" si="279"/>
        <v>0</v>
      </c>
      <c r="T111" s="27">
        <f t="shared" si="279"/>
        <v>0</v>
      </c>
      <c r="W111" s="27">
        <f t="shared" ref="W111:AH120" si="280">SUMIF($G111,W$109,$D111)</f>
        <v>0</v>
      </c>
      <c r="X111" s="27">
        <f t="shared" si="280"/>
        <v>0</v>
      </c>
      <c r="Y111" s="27">
        <f t="shared" si="280"/>
        <v>0</v>
      </c>
      <c r="Z111" s="27">
        <f t="shared" si="280"/>
        <v>0</v>
      </c>
      <c r="AA111" s="27">
        <f t="shared" si="280"/>
        <v>0</v>
      </c>
      <c r="AB111" s="27">
        <f t="shared" si="280"/>
        <v>0</v>
      </c>
      <c r="AC111" s="27">
        <f t="shared" si="280"/>
        <v>0</v>
      </c>
      <c r="AD111" s="27">
        <f t="shared" si="280"/>
        <v>0</v>
      </c>
      <c r="AE111" s="27">
        <f t="shared" si="280"/>
        <v>0</v>
      </c>
      <c r="AF111" s="27">
        <f t="shared" si="280"/>
        <v>0</v>
      </c>
      <c r="AG111" s="27">
        <f t="shared" si="280"/>
        <v>0</v>
      </c>
      <c r="AH111" s="27">
        <f t="shared" si="280"/>
        <v>0</v>
      </c>
      <c r="AI111" s="27">
        <f t="shared" ref="AI111:AI116" si="281">SUM(W111:AH111)</f>
        <v>0</v>
      </c>
      <c r="AL111" s="27">
        <f t="shared" ref="AL111:AW111" si="282">SUMIF($G111,AL$109,$E158)</f>
        <v>0</v>
      </c>
      <c r="AM111" s="27">
        <f t="shared" si="282"/>
        <v>0</v>
      </c>
      <c r="AN111" s="27">
        <f t="shared" si="282"/>
        <v>0</v>
      </c>
      <c r="AO111" s="27">
        <f t="shared" si="282"/>
        <v>0</v>
      </c>
      <c r="AP111" s="27">
        <f t="shared" si="282"/>
        <v>0</v>
      </c>
      <c r="AQ111" s="27">
        <f t="shared" si="282"/>
        <v>0</v>
      </c>
      <c r="AR111" s="27">
        <f t="shared" si="282"/>
        <v>0</v>
      </c>
      <c r="AS111" s="27">
        <f t="shared" si="282"/>
        <v>0</v>
      </c>
      <c r="AT111" s="27">
        <f t="shared" si="282"/>
        <v>0</v>
      </c>
      <c r="AU111" s="27">
        <f t="shared" si="282"/>
        <v>0</v>
      </c>
      <c r="AV111" s="27">
        <f t="shared" si="282"/>
        <v>0</v>
      </c>
      <c r="AW111" s="27">
        <f t="shared" si="282"/>
        <v>0</v>
      </c>
      <c r="AY111" s="61">
        <f>SUMIF($G111,V$109,$E158)</f>
        <v>0</v>
      </c>
      <c r="BD111" s="61"/>
    </row>
    <row r="112" spans="2:56" s="27" customFormat="1" ht="11.25" hidden="1" x14ac:dyDescent="0.2">
      <c r="B112" s="60"/>
      <c r="C112" s="27">
        <f>Amortizaciones!C61</f>
        <v>0</v>
      </c>
      <c r="D112" s="27">
        <f>IF(C$108=SANDBOX!G152,SANDBOX!F152,0)</f>
        <v>0</v>
      </c>
      <c r="E112" s="27">
        <f>SANDBOX!O152</f>
        <v>0</v>
      </c>
      <c r="F112" s="27">
        <f>SANDBOX!P152</f>
        <v>0</v>
      </c>
      <c r="G112" s="27" t="str">
        <f>IF(SANDBOX!N152=0,SB!$B$6,SANDBOX!N152)</f>
        <v>Enero</v>
      </c>
      <c r="H112" s="27">
        <f>+E163</f>
        <v>0</v>
      </c>
      <c r="I112" s="27">
        <f>SUMIF($G112,I$109,$E164)</f>
        <v>0</v>
      </c>
      <c r="J112" s="27">
        <f t="shared" ref="J112:T112" si="283">SUMIF($G112,J$109,$E164)</f>
        <v>0</v>
      </c>
      <c r="K112" s="27">
        <f t="shared" si="283"/>
        <v>0</v>
      </c>
      <c r="L112" s="27">
        <f t="shared" si="283"/>
        <v>0</v>
      </c>
      <c r="M112" s="27">
        <f t="shared" si="283"/>
        <v>0</v>
      </c>
      <c r="N112" s="27">
        <f t="shared" si="283"/>
        <v>0</v>
      </c>
      <c r="O112" s="27">
        <f t="shared" si="283"/>
        <v>0</v>
      </c>
      <c r="P112" s="27">
        <f t="shared" si="283"/>
        <v>0</v>
      </c>
      <c r="Q112" s="27">
        <f t="shared" si="283"/>
        <v>0</v>
      </c>
      <c r="R112" s="27">
        <f t="shared" si="283"/>
        <v>0</v>
      </c>
      <c r="S112" s="27">
        <f t="shared" si="283"/>
        <v>0</v>
      </c>
      <c r="T112" s="27">
        <f t="shared" si="283"/>
        <v>0</v>
      </c>
      <c r="W112" s="27">
        <f t="shared" si="280"/>
        <v>0</v>
      </c>
      <c r="X112" s="27">
        <f t="shared" si="280"/>
        <v>0</v>
      </c>
      <c r="Y112" s="27">
        <f t="shared" si="280"/>
        <v>0</v>
      </c>
      <c r="Z112" s="27">
        <f t="shared" si="280"/>
        <v>0</v>
      </c>
      <c r="AA112" s="27">
        <f t="shared" si="280"/>
        <v>0</v>
      </c>
      <c r="AB112" s="27">
        <f t="shared" si="280"/>
        <v>0</v>
      </c>
      <c r="AC112" s="27">
        <f t="shared" si="280"/>
        <v>0</v>
      </c>
      <c r="AD112" s="27">
        <f t="shared" si="280"/>
        <v>0</v>
      </c>
      <c r="AE112" s="27">
        <f t="shared" si="280"/>
        <v>0</v>
      </c>
      <c r="AF112" s="27">
        <f t="shared" si="280"/>
        <v>0</v>
      </c>
      <c r="AG112" s="27">
        <f t="shared" si="280"/>
        <v>0</v>
      </c>
      <c r="AH112" s="27">
        <f t="shared" si="280"/>
        <v>0</v>
      </c>
      <c r="AI112" s="27">
        <f t="shared" si="281"/>
        <v>0</v>
      </c>
      <c r="AL112" s="27">
        <f t="shared" ref="AL112:AW112" si="284">SUMIF($G112,AL$109,$E163)</f>
        <v>0</v>
      </c>
      <c r="AM112" s="27">
        <f t="shared" si="284"/>
        <v>0</v>
      </c>
      <c r="AN112" s="27">
        <f t="shared" si="284"/>
        <v>0</v>
      </c>
      <c r="AO112" s="27">
        <f t="shared" si="284"/>
        <v>0</v>
      </c>
      <c r="AP112" s="27">
        <f t="shared" si="284"/>
        <v>0</v>
      </c>
      <c r="AQ112" s="27">
        <f t="shared" si="284"/>
        <v>0</v>
      </c>
      <c r="AR112" s="27">
        <f t="shared" si="284"/>
        <v>0</v>
      </c>
      <c r="AS112" s="27">
        <f t="shared" si="284"/>
        <v>0</v>
      </c>
      <c r="AT112" s="27">
        <f t="shared" si="284"/>
        <v>0</v>
      </c>
      <c r="AU112" s="27">
        <f t="shared" si="284"/>
        <v>0</v>
      </c>
      <c r="AV112" s="27">
        <f t="shared" si="284"/>
        <v>0</v>
      </c>
      <c r="AW112" s="27">
        <f t="shared" si="284"/>
        <v>0</v>
      </c>
      <c r="AY112" s="61">
        <f>SUMIF($G112,V$109,$E163)</f>
        <v>0</v>
      </c>
      <c r="BD112" s="61"/>
    </row>
    <row r="113" spans="2:56" s="27" customFormat="1" ht="11.25" hidden="1" x14ac:dyDescent="0.2">
      <c r="B113" s="60"/>
      <c r="C113" s="27">
        <f>Amortizaciones!C62</f>
        <v>0</v>
      </c>
      <c r="D113" s="27">
        <f>IF(C$108=SANDBOX!G153,SANDBOX!F153,0)</f>
        <v>0</v>
      </c>
      <c r="E113" s="27">
        <f>SANDBOX!O153</f>
        <v>0</v>
      </c>
      <c r="F113" s="27">
        <f>SANDBOX!P153</f>
        <v>0</v>
      </c>
      <c r="G113" s="27" t="str">
        <f>IF(SANDBOX!N153=0,SB!$B$6,SANDBOX!N153)</f>
        <v>Enero</v>
      </c>
      <c r="H113" s="27">
        <f>+E168</f>
        <v>0</v>
      </c>
      <c r="I113" s="27">
        <f>SUMIF($G113,I$109,$E169)</f>
        <v>0</v>
      </c>
      <c r="J113" s="27">
        <f t="shared" ref="J113:T113" si="285">SUMIF($G113,J$109,$E169)</f>
        <v>0</v>
      </c>
      <c r="K113" s="27">
        <f t="shared" si="285"/>
        <v>0</v>
      </c>
      <c r="L113" s="27">
        <f t="shared" si="285"/>
        <v>0</v>
      </c>
      <c r="M113" s="27">
        <f t="shared" si="285"/>
        <v>0</v>
      </c>
      <c r="N113" s="27">
        <f t="shared" si="285"/>
        <v>0</v>
      </c>
      <c r="O113" s="27">
        <f t="shared" si="285"/>
        <v>0</v>
      </c>
      <c r="P113" s="27">
        <f t="shared" si="285"/>
        <v>0</v>
      </c>
      <c r="Q113" s="27">
        <f t="shared" si="285"/>
        <v>0</v>
      </c>
      <c r="R113" s="27">
        <f t="shared" si="285"/>
        <v>0</v>
      </c>
      <c r="S113" s="27">
        <f t="shared" si="285"/>
        <v>0</v>
      </c>
      <c r="T113" s="27">
        <f t="shared" si="285"/>
        <v>0</v>
      </c>
      <c r="W113" s="27">
        <f t="shared" si="280"/>
        <v>0</v>
      </c>
      <c r="X113" s="27">
        <f t="shared" si="280"/>
        <v>0</v>
      </c>
      <c r="Y113" s="27">
        <f t="shared" si="280"/>
        <v>0</v>
      </c>
      <c r="Z113" s="27">
        <f t="shared" si="280"/>
        <v>0</v>
      </c>
      <c r="AA113" s="27">
        <f t="shared" si="280"/>
        <v>0</v>
      </c>
      <c r="AB113" s="27">
        <f t="shared" si="280"/>
        <v>0</v>
      </c>
      <c r="AC113" s="27">
        <f t="shared" si="280"/>
        <v>0</v>
      </c>
      <c r="AD113" s="27">
        <f t="shared" si="280"/>
        <v>0</v>
      </c>
      <c r="AE113" s="27">
        <f t="shared" si="280"/>
        <v>0</v>
      </c>
      <c r="AF113" s="27">
        <f t="shared" si="280"/>
        <v>0</v>
      </c>
      <c r="AG113" s="27">
        <f t="shared" si="280"/>
        <v>0</v>
      </c>
      <c r="AH113" s="27">
        <f t="shared" si="280"/>
        <v>0</v>
      </c>
      <c r="AI113" s="27">
        <f t="shared" si="281"/>
        <v>0</v>
      </c>
      <c r="AL113" s="27">
        <f t="shared" ref="AL113:AW113" si="286">SUMIF($G113,AL$109,$E168)</f>
        <v>0</v>
      </c>
      <c r="AM113" s="27">
        <f t="shared" si="286"/>
        <v>0</v>
      </c>
      <c r="AN113" s="27">
        <f t="shared" si="286"/>
        <v>0</v>
      </c>
      <c r="AO113" s="27">
        <f t="shared" si="286"/>
        <v>0</v>
      </c>
      <c r="AP113" s="27">
        <f t="shared" si="286"/>
        <v>0</v>
      </c>
      <c r="AQ113" s="27">
        <f t="shared" si="286"/>
        <v>0</v>
      </c>
      <c r="AR113" s="27">
        <f t="shared" si="286"/>
        <v>0</v>
      </c>
      <c r="AS113" s="27">
        <f t="shared" si="286"/>
        <v>0</v>
      </c>
      <c r="AT113" s="27">
        <f t="shared" si="286"/>
        <v>0</v>
      </c>
      <c r="AU113" s="27">
        <f t="shared" si="286"/>
        <v>0</v>
      </c>
      <c r="AV113" s="27">
        <f t="shared" si="286"/>
        <v>0</v>
      </c>
      <c r="AW113" s="27">
        <f t="shared" si="286"/>
        <v>0</v>
      </c>
      <c r="AY113" s="61">
        <f>SUMIF($G113,V$109,$E168)</f>
        <v>0</v>
      </c>
      <c r="BD113" s="61"/>
    </row>
    <row r="114" spans="2:56" s="27" customFormat="1" ht="11.25" hidden="1" x14ac:dyDescent="0.2">
      <c r="B114" s="60"/>
      <c r="C114" s="27">
        <f>Amortizaciones!C63</f>
        <v>0</v>
      </c>
      <c r="D114" s="27">
        <f>IF(C$108=SANDBOX!G154,SANDBOX!F154,0)</f>
        <v>0</v>
      </c>
      <c r="E114" s="27">
        <f>SANDBOX!O154</f>
        <v>0</v>
      </c>
      <c r="F114" s="27">
        <f>SANDBOX!P154</f>
        <v>0</v>
      </c>
      <c r="G114" s="27" t="str">
        <f>IF(SANDBOX!N154=0,SB!$B$6,SANDBOX!N154)</f>
        <v>Enero</v>
      </c>
      <c r="H114" s="27">
        <f>+E173</f>
        <v>0</v>
      </c>
      <c r="I114" s="27">
        <f>SUMIF($G114,I$109,$E174)</f>
        <v>0</v>
      </c>
      <c r="J114" s="27">
        <f t="shared" ref="J114:T114" si="287">SUMIF($G114,J$109,$E174)</f>
        <v>0</v>
      </c>
      <c r="K114" s="27">
        <f t="shared" si="287"/>
        <v>0</v>
      </c>
      <c r="L114" s="27">
        <f t="shared" si="287"/>
        <v>0</v>
      </c>
      <c r="M114" s="27">
        <f t="shared" si="287"/>
        <v>0</v>
      </c>
      <c r="N114" s="27">
        <f t="shared" si="287"/>
        <v>0</v>
      </c>
      <c r="O114" s="27">
        <f t="shared" si="287"/>
        <v>0</v>
      </c>
      <c r="P114" s="27">
        <f t="shared" si="287"/>
        <v>0</v>
      </c>
      <c r="Q114" s="27">
        <f t="shared" si="287"/>
        <v>0</v>
      </c>
      <c r="R114" s="27">
        <f t="shared" si="287"/>
        <v>0</v>
      </c>
      <c r="S114" s="27">
        <f t="shared" si="287"/>
        <v>0</v>
      </c>
      <c r="T114" s="27">
        <f t="shared" si="287"/>
        <v>0</v>
      </c>
      <c r="W114" s="27">
        <f t="shared" si="280"/>
        <v>0</v>
      </c>
      <c r="X114" s="27">
        <f t="shared" si="280"/>
        <v>0</v>
      </c>
      <c r="Y114" s="27">
        <f t="shared" si="280"/>
        <v>0</v>
      </c>
      <c r="Z114" s="27">
        <f t="shared" si="280"/>
        <v>0</v>
      </c>
      <c r="AA114" s="27">
        <f t="shared" si="280"/>
        <v>0</v>
      </c>
      <c r="AB114" s="27">
        <f t="shared" si="280"/>
        <v>0</v>
      </c>
      <c r="AC114" s="27">
        <f t="shared" si="280"/>
        <v>0</v>
      </c>
      <c r="AD114" s="27">
        <f t="shared" si="280"/>
        <v>0</v>
      </c>
      <c r="AE114" s="27">
        <f t="shared" si="280"/>
        <v>0</v>
      </c>
      <c r="AF114" s="27">
        <f t="shared" si="280"/>
        <v>0</v>
      </c>
      <c r="AG114" s="27">
        <f t="shared" si="280"/>
        <v>0</v>
      </c>
      <c r="AH114" s="27">
        <f t="shared" si="280"/>
        <v>0</v>
      </c>
      <c r="AI114" s="27">
        <f t="shared" si="281"/>
        <v>0</v>
      </c>
      <c r="AL114" s="27">
        <f t="shared" ref="AL114:AW114" si="288">SUMIF($G114,AL$109,$E173)</f>
        <v>0</v>
      </c>
      <c r="AM114" s="27">
        <f t="shared" si="288"/>
        <v>0</v>
      </c>
      <c r="AN114" s="27">
        <f t="shared" si="288"/>
        <v>0</v>
      </c>
      <c r="AO114" s="27">
        <f t="shared" si="288"/>
        <v>0</v>
      </c>
      <c r="AP114" s="27">
        <f t="shared" si="288"/>
        <v>0</v>
      </c>
      <c r="AQ114" s="27">
        <f t="shared" si="288"/>
        <v>0</v>
      </c>
      <c r="AR114" s="27">
        <f t="shared" si="288"/>
        <v>0</v>
      </c>
      <c r="AS114" s="27">
        <f t="shared" si="288"/>
        <v>0</v>
      </c>
      <c r="AT114" s="27">
        <f t="shared" si="288"/>
        <v>0</v>
      </c>
      <c r="AU114" s="27">
        <f t="shared" si="288"/>
        <v>0</v>
      </c>
      <c r="AV114" s="27">
        <f t="shared" si="288"/>
        <v>0</v>
      </c>
      <c r="AW114" s="27">
        <f t="shared" si="288"/>
        <v>0</v>
      </c>
      <c r="AY114" s="61">
        <f>SUMIF($G114,V$109,$E173)</f>
        <v>0</v>
      </c>
      <c r="BD114" s="61"/>
    </row>
    <row r="115" spans="2:56" s="27" customFormat="1" ht="11.25" hidden="1" x14ac:dyDescent="0.2">
      <c r="B115" s="60"/>
      <c r="C115" s="27">
        <f>Amortizaciones!C64</f>
        <v>0</v>
      </c>
      <c r="D115" s="27">
        <f>IF(C$108=SANDBOX!G155,SANDBOX!F155,0)</f>
        <v>0</v>
      </c>
      <c r="E115" s="27">
        <f>SANDBOX!O155</f>
        <v>0</v>
      </c>
      <c r="F115" s="27">
        <f>SANDBOX!P155</f>
        <v>0</v>
      </c>
      <c r="G115" s="27" t="str">
        <f>IF(SANDBOX!N155=0,SB!$B$6,SANDBOX!N155)</f>
        <v>Enero</v>
      </c>
      <c r="H115" s="27">
        <f>+E178</f>
        <v>0</v>
      </c>
      <c r="I115" s="27">
        <f>SUMIF($G115,I$109,$E179)</f>
        <v>0</v>
      </c>
      <c r="J115" s="27">
        <f t="shared" ref="J115:T115" si="289">SUMIF($G115,J$109,$E179)</f>
        <v>0</v>
      </c>
      <c r="K115" s="27">
        <f t="shared" si="289"/>
        <v>0</v>
      </c>
      <c r="L115" s="27">
        <f t="shared" si="289"/>
        <v>0</v>
      </c>
      <c r="M115" s="27">
        <f t="shared" si="289"/>
        <v>0</v>
      </c>
      <c r="N115" s="27">
        <f t="shared" si="289"/>
        <v>0</v>
      </c>
      <c r="O115" s="27">
        <f t="shared" si="289"/>
        <v>0</v>
      </c>
      <c r="P115" s="27">
        <f t="shared" si="289"/>
        <v>0</v>
      </c>
      <c r="Q115" s="27">
        <f t="shared" si="289"/>
        <v>0</v>
      </c>
      <c r="R115" s="27">
        <f t="shared" si="289"/>
        <v>0</v>
      </c>
      <c r="S115" s="27">
        <f t="shared" si="289"/>
        <v>0</v>
      </c>
      <c r="T115" s="27">
        <f t="shared" si="289"/>
        <v>0</v>
      </c>
      <c r="W115" s="27">
        <f t="shared" si="280"/>
        <v>0</v>
      </c>
      <c r="X115" s="27">
        <f t="shared" si="280"/>
        <v>0</v>
      </c>
      <c r="Y115" s="27">
        <f t="shared" si="280"/>
        <v>0</v>
      </c>
      <c r="Z115" s="27">
        <f t="shared" si="280"/>
        <v>0</v>
      </c>
      <c r="AA115" s="27">
        <f t="shared" si="280"/>
        <v>0</v>
      </c>
      <c r="AB115" s="27">
        <f t="shared" si="280"/>
        <v>0</v>
      </c>
      <c r="AC115" s="27">
        <f t="shared" si="280"/>
        <v>0</v>
      </c>
      <c r="AD115" s="27">
        <f t="shared" si="280"/>
        <v>0</v>
      </c>
      <c r="AE115" s="27">
        <f t="shared" si="280"/>
        <v>0</v>
      </c>
      <c r="AF115" s="27">
        <f t="shared" si="280"/>
        <v>0</v>
      </c>
      <c r="AG115" s="27">
        <f t="shared" si="280"/>
        <v>0</v>
      </c>
      <c r="AH115" s="27">
        <f t="shared" si="280"/>
        <v>0</v>
      </c>
      <c r="AI115" s="27">
        <f t="shared" si="281"/>
        <v>0</v>
      </c>
      <c r="AL115" s="27">
        <f t="shared" ref="AL115:AW115" si="290">SUMIF($G115,AL$109,$E178)</f>
        <v>0</v>
      </c>
      <c r="AM115" s="27">
        <f t="shared" si="290"/>
        <v>0</v>
      </c>
      <c r="AN115" s="27">
        <f t="shared" si="290"/>
        <v>0</v>
      </c>
      <c r="AO115" s="27">
        <f t="shared" si="290"/>
        <v>0</v>
      </c>
      <c r="AP115" s="27">
        <f t="shared" si="290"/>
        <v>0</v>
      </c>
      <c r="AQ115" s="27">
        <f t="shared" si="290"/>
        <v>0</v>
      </c>
      <c r="AR115" s="27">
        <f t="shared" si="290"/>
        <v>0</v>
      </c>
      <c r="AS115" s="27">
        <f t="shared" si="290"/>
        <v>0</v>
      </c>
      <c r="AT115" s="27">
        <f t="shared" si="290"/>
        <v>0</v>
      </c>
      <c r="AU115" s="27">
        <f t="shared" si="290"/>
        <v>0</v>
      </c>
      <c r="AV115" s="27">
        <f t="shared" si="290"/>
        <v>0</v>
      </c>
      <c r="AW115" s="27">
        <f t="shared" si="290"/>
        <v>0</v>
      </c>
      <c r="AY115" s="61">
        <f>SUMIF($G115,V$109,$E178)</f>
        <v>0</v>
      </c>
      <c r="BD115" s="61"/>
    </row>
    <row r="116" spans="2:56" s="27" customFormat="1" ht="11.25" hidden="1" x14ac:dyDescent="0.2">
      <c r="B116" s="60"/>
      <c r="C116" s="27">
        <f>Amortizaciones!C65</f>
        <v>0</v>
      </c>
      <c r="D116" s="27">
        <f>IF(C$108=SANDBOX!G156,SANDBOX!F156,0)</f>
        <v>0</v>
      </c>
      <c r="E116" s="27">
        <f>SANDBOX!O156</f>
        <v>0</v>
      </c>
      <c r="F116" s="27">
        <f>SANDBOX!P156</f>
        <v>0</v>
      </c>
      <c r="G116" s="27" t="str">
        <f>IF(SANDBOX!N156=0,SB!$B$6,SANDBOX!N156)</f>
        <v>Enero</v>
      </c>
      <c r="H116" s="27">
        <f>+E183</f>
        <v>0</v>
      </c>
      <c r="I116" s="27">
        <f>SUMIF($G116,I$109,$E184)</f>
        <v>0</v>
      </c>
      <c r="J116" s="27">
        <f t="shared" ref="J116:T116" si="291">SUMIF($G116,J$109,$E184)</f>
        <v>0</v>
      </c>
      <c r="K116" s="27">
        <f t="shared" si="291"/>
        <v>0</v>
      </c>
      <c r="L116" s="27">
        <f t="shared" si="291"/>
        <v>0</v>
      </c>
      <c r="M116" s="27">
        <f t="shared" si="291"/>
        <v>0</v>
      </c>
      <c r="N116" s="27">
        <f t="shared" si="291"/>
        <v>0</v>
      </c>
      <c r="O116" s="27">
        <f t="shared" si="291"/>
        <v>0</v>
      </c>
      <c r="P116" s="27">
        <f t="shared" si="291"/>
        <v>0</v>
      </c>
      <c r="Q116" s="27">
        <f t="shared" si="291"/>
        <v>0</v>
      </c>
      <c r="R116" s="27">
        <f t="shared" si="291"/>
        <v>0</v>
      </c>
      <c r="S116" s="27">
        <f t="shared" si="291"/>
        <v>0</v>
      </c>
      <c r="T116" s="27">
        <f t="shared" si="291"/>
        <v>0</v>
      </c>
      <c r="W116" s="27">
        <f t="shared" si="280"/>
        <v>0</v>
      </c>
      <c r="X116" s="27">
        <f t="shared" si="280"/>
        <v>0</v>
      </c>
      <c r="Y116" s="27">
        <f t="shared" si="280"/>
        <v>0</v>
      </c>
      <c r="Z116" s="27">
        <f t="shared" si="280"/>
        <v>0</v>
      </c>
      <c r="AA116" s="27">
        <f t="shared" si="280"/>
        <v>0</v>
      </c>
      <c r="AB116" s="27">
        <f t="shared" si="280"/>
        <v>0</v>
      </c>
      <c r="AC116" s="27">
        <f t="shared" si="280"/>
        <v>0</v>
      </c>
      <c r="AD116" s="27">
        <f t="shared" si="280"/>
        <v>0</v>
      </c>
      <c r="AE116" s="27">
        <f t="shared" si="280"/>
        <v>0</v>
      </c>
      <c r="AF116" s="27">
        <f t="shared" si="280"/>
        <v>0</v>
      </c>
      <c r="AG116" s="27">
        <f t="shared" si="280"/>
        <v>0</v>
      </c>
      <c r="AH116" s="27">
        <f t="shared" si="280"/>
        <v>0</v>
      </c>
      <c r="AI116" s="27">
        <f t="shared" si="281"/>
        <v>0</v>
      </c>
      <c r="AL116" s="27">
        <f t="shared" ref="AL116:AW116" si="292">SUMIF($G116,AL$109,$E183)</f>
        <v>0</v>
      </c>
      <c r="AM116" s="27">
        <f t="shared" si="292"/>
        <v>0</v>
      </c>
      <c r="AN116" s="27">
        <f t="shared" si="292"/>
        <v>0</v>
      </c>
      <c r="AO116" s="27">
        <f t="shared" si="292"/>
        <v>0</v>
      </c>
      <c r="AP116" s="27">
        <f t="shared" si="292"/>
        <v>0</v>
      </c>
      <c r="AQ116" s="27">
        <f t="shared" si="292"/>
        <v>0</v>
      </c>
      <c r="AR116" s="27">
        <f t="shared" si="292"/>
        <v>0</v>
      </c>
      <c r="AS116" s="27">
        <f t="shared" si="292"/>
        <v>0</v>
      </c>
      <c r="AT116" s="27">
        <f t="shared" si="292"/>
        <v>0</v>
      </c>
      <c r="AU116" s="27">
        <f t="shared" si="292"/>
        <v>0</v>
      </c>
      <c r="AV116" s="27">
        <f t="shared" si="292"/>
        <v>0</v>
      </c>
      <c r="AW116" s="27">
        <f t="shared" si="292"/>
        <v>0</v>
      </c>
      <c r="AY116" s="61">
        <f>SUMIF($G116,V$109,$E183)</f>
        <v>0</v>
      </c>
      <c r="BD116" s="61"/>
    </row>
    <row r="117" spans="2:56" s="27" customFormat="1" ht="11.25" hidden="1" x14ac:dyDescent="0.2">
      <c r="B117" s="60"/>
      <c r="C117" s="27">
        <f>Amortizaciones!C66</f>
        <v>0</v>
      </c>
      <c r="D117" s="27">
        <f>IF(C$108=SANDBOX!G158,SANDBOX!F158,0)</f>
        <v>0</v>
      </c>
      <c r="E117" s="27">
        <f>SANDBOX!O158</f>
        <v>0</v>
      </c>
      <c r="F117" s="27">
        <f>SANDBOX!P158</f>
        <v>0</v>
      </c>
      <c r="G117" s="27" t="str">
        <f>IF(SANDBOX!N158=0,SB!$B$6,SANDBOX!N158)</f>
        <v>Enero</v>
      </c>
      <c r="H117" s="27">
        <f>+E188</f>
        <v>0</v>
      </c>
      <c r="I117" s="27">
        <f>SUMIF($G117,I$109,$E189)</f>
        <v>0</v>
      </c>
      <c r="J117" s="27">
        <f t="shared" ref="J117:T117" si="293">SUMIF($G117,J$109,$E189)</f>
        <v>0</v>
      </c>
      <c r="K117" s="27">
        <f t="shared" si="293"/>
        <v>0</v>
      </c>
      <c r="L117" s="27">
        <f t="shared" si="293"/>
        <v>0</v>
      </c>
      <c r="M117" s="27">
        <f t="shared" si="293"/>
        <v>0</v>
      </c>
      <c r="N117" s="27">
        <f t="shared" si="293"/>
        <v>0</v>
      </c>
      <c r="O117" s="27">
        <f t="shared" si="293"/>
        <v>0</v>
      </c>
      <c r="P117" s="27">
        <f t="shared" si="293"/>
        <v>0</v>
      </c>
      <c r="Q117" s="27">
        <f t="shared" si="293"/>
        <v>0</v>
      </c>
      <c r="R117" s="27">
        <f t="shared" si="293"/>
        <v>0</v>
      </c>
      <c r="S117" s="27">
        <f t="shared" si="293"/>
        <v>0</v>
      </c>
      <c r="T117" s="27">
        <f t="shared" si="293"/>
        <v>0</v>
      </c>
      <c r="W117" s="27">
        <f t="shared" si="280"/>
        <v>0</v>
      </c>
      <c r="X117" s="27">
        <f t="shared" si="280"/>
        <v>0</v>
      </c>
      <c r="Y117" s="27">
        <f t="shared" si="280"/>
        <v>0</v>
      </c>
      <c r="Z117" s="27">
        <f t="shared" si="280"/>
        <v>0</v>
      </c>
      <c r="AA117" s="27">
        <f t="shared" si="280"/>
        <v>0</v>
      </c>
      <c r="AB117" s="27">
        <f t="shared" si="280"/>
        <v>0</v>
      </c>
      <c r="AC117" s="27">
        <f t="shared" si="280"/>
        <v>0</v>
      </c>
      <c r="AD117" s="27">
        <f t="shared" si="280"/>
        <v>0</v>
      </c>
      <c r="AE117" s="27">
        <f t="shared" si="280"/>
        <v>0</v>
      </c>
      <c r="AF117" s="27">
        <f t="shared" si="280"/>
        <v>0</v>
      </c>
      <c r="AG117" s="27">
        <f t="shared" si="280"/>
        <v>0</v>
      </c>
      <c r="AH117" s="27">
        <f t="shared" si="280"/>
        <v>0</v>
      </c>
      <c r="AI117" s="27">
        <f t="shared" ref="AI117:AI146" si="294">SUM(W117:AH117)</f>
        <v>0</v>
      </c>
      <c r="AL117" s="27">
        <f t="shared" ref="AL117:AW117" si="295">SUMIF($G117,AL$109,$E188)</f>
        <v>0</v>
      </c>
      <c r="AM117" s="27">
        <f t="shared" si="295"/>
        <v>0</v>
      </c>
      <c r="AN117" s="27">
        <f t="shared" si="295"/>
        <v>0</v>
      </c>
      <c r="AO117" s="27">
        <f t="shared" si="295"/>
        <v>0</v>
      </c>
      <c r="AP117" s="27">
        <f t="shared" si="295"/>
        <v>0</v>
      </c>
      <c r="AQ117" s="27">
        <f t="shared" si="295"/>
        <v>0</v>
      </c>
      <c r="AR117" s="27">
        <f t="shared" si="295"/>
        <v>0</v>
      </c>
      <c r="AS117" s="27">
        <f t="shared" si="295"/>
        <v>0</v>
      </c>
      <c r="AT117" s="27">
        <f t="shared" si="295"/>
        <v>0</v>
      </c>
      <c r="AU117" s="27">
        <f t="shared" si="295"/>
        <v>0</v>
      </c>
      <c r="AV117" s="27">
        <f t="shared" si="295"/>
        <v>0</v>
      </c>
      <c r="AW117" s="27">
        <f t="shared" si="295"/>
        <v>0</v>
      </c>
      <c r="AY117" s="61">
        <f>SUMIF($G117,V$109,$E188)</f>
        <v>0</v>
      </c>
      <c r="BD117" s="61"/>
    </row>
    <row r="118" spans="2:56" s="27" customFormat="1" ht="11.25" hidden="1" x14ac:dyDescent="0.2">
      <c r="B118" s="60"/>
      <c r="C118" s="27">
        <f>Amortizaciones!C67</f>
        <v>0</v>
      </c>
      <c r="D118" s="27">
        <f>IF(C$108=SANDBOX!G159,SANDBOX!F159,0)</f>
        <v>0</v>
      </c>
      <c r="E118" s="27">
        <f>SANDBOX!O159</f>
        <v>0</v>
      </c>
      <c r="F118" s="27">
        <f>SANDBOX!P159</f>
        <v>0</v>
      </c>
      <c r="G118" s="27" t="str">
        <f>IF(SANDBOX!N159=0,SB!$B$6,SANDBOX!N159)</f>
        <v>Enero</v>
      </c>
      <c r="H118" s="27">
        <f>+E193</f>
        <v>0</v>
      </c>
      <c r="I118" s="27">
        <f>SUMIF($G118,I$109,$E194)</f>
        <v>0</v>
      </c>
      <c r="J118" s="27">
        <f t="shared" ref="J118:T118" si="296">SUMIF($G118,J$109,$E194)</f>
        <v>0</v>
      </c>
      <c r="K118" s="27">
        <f t="shared" si="296"/>
        <v>0</v>
      </c>
      <c r="L118" s="27">
        <f t="shared" si="296"/>
        <v>0</v>
      </c>
      <c r="M118" s="27">
        <f t="shared" si="296"/>
        <v>0</v>
      </c>
      <c r="N118" s="27">
        <f t="shared" si="296"/>
        <v>0</v>
      </c>
      <c r="O118" s="27">
        <f t="shared" si="296"/>
        <v>0</v>
      </c>
      <c r="P118" s="27">
        <f t="shared" si="296"/>
        <v>0</v>
      </c>
      <c r="Q118" s="27">
        <f t="shared" si="296"/>
        <v>0</v>
      </c>
      <c r="R118" s="27">
        <f t="shared" si="296"/>
        <v>0</v>
      </c>
      <c r="S118" s="27">
        <f t="shared" si="296"/>
        <v>0</v>
      </c>
      <c r="T118" s="27">
        <f t="shared" si="296"/>
        <v>0</v>
      </c>
      <c r="W118" s="27">
        <f t="shared" si="280"/>
        <v>0</v>
      </c>
      <c r="X118" s="27">
        <f t="shared" si="280"/>
        <v>0</v>
      </c>
      <c r="Y118" s="27">
        <f t="shared" si="280"/>
        <v>0</v>
      </c>
      <c r="Z118" s="27">
        <f t="shared" si="280"/>
        <v>0</v>
      </c>
      <c r="AA118" s="27">
        <f t="shared" si="280"/>
        <v>0</v>
      </c>
      <c r="AB118" s="27">
        <f t="shared" si="280"/>
        <v>0</v>
      </c>
      <c r="AC118" s="27">
        <f t="shared" si="280"/>
        <v>0</v>
      </c>
      <c r="AD118" s="27">
        <f t="shared" si="280"/>
        <v>0</v>
      </c>
      <c r="AE118" s="27">
        <f t="shared" si="280"/>
        <v>0</v>
      </c>
      <c r="AF118" s="27">
        <f t="shared" si="280"/>
        <v>0</v>
      </c>
      <c r="AG118" s="27">
        <f t="shared" si="280"/>
        <v>0</v>
      </c>
      <c r="AH118" s="27">
        <f t="shared" si="280"/>
        <v>0</v>
      </c>
      <c r="AI118" s="27">
        <f t="shared" si="294"/>
        <v>0</v>
      </c>
      <c r="AL118" s="27">
        <f t="shared" ref="AL118:AW118" si="297">SUMIF($G118,AL$109,$E193)</f>
        <v>0</v>
      </c>
      <c r="AM118" s="27">
        <f t="shared" si="297"/>
        <v>0</v>
      </c>
      <c r="AN118" s="27">
        <f t="shared" si="297"/>
        <v>0</v>
      </c>
      <c r="AO118" s="27">
        <f t="shared" si="297"/>
        <v>0</v>
      </c>
      <c r="AP118" s="27">
        <f t="shared" si="297"/>
        <v>0</v>
      </c>
      <c r="AQ118" s="27">
        <f t="shared" si="297"/>
        <v>0</v>
      </c>
      <c r="AR118" s="27">
        <f t="shared" si="297"/>
        <v>0</v>
      </c>
      <c r="AS118" s="27">
        <f t="shared" si="297"/>
        <v>0</v>
      </c>
      <c r="AT118" s="27">
        <f t="shared" si="297"/>
        <v>0</v>
      </c>
      <c r="AU118" s="27">
        <f t="shared" si="297"/>
        <v>0</v>
      </c>
      <c r="AV118" s="27">
        <f t="shared" si="297"/>
        <v>0</v>
      </c>
      <c r="AW118" s="27">
        <f t="shared" si="297"/>
        <v>0</v>
      </c>
      <c r="AY118" s="61">
        <f>SUMIF($G118,V$109,$E193)</f>
        <v>0</v>
      </c>
      <c r="BD118" s="61"/>
    </row>
    <row r="119" spans="2:56" s="27" customFormat="1" ht="11.25" hidden="1" x14ac:dyDescent="0.2">
      <c r="B119" s="60"/>
      <c r="C119" s="27">
        <f>Amortizaciones!C68</f>
        <v>0</v>
      </c>
      <c r="D119" s="27">
        <f>IF(C$108=SANDBOX!G160,SANDBOX!F160,0)</f>
        <v>0</v>
      </c>
      <c r="E119" s="27">
        <f>SANDBOX!O160</f>
        <v>0</v>
      </c>
      <c r="F119" s="27">
        <f>SANDBOX!P160</f>
        <v>0</v>
      </c>
      <c r="G119" s="27" t="str">
        <f>IF(SANDBOX!N160=0,SB!$B$6,SANDBOX!N160)</f>
        <v>Enero</v>
      </c>
      <c r="H119" s="27">
        <f>+E198</f>
        <v>0</v>
      </c>
      <c r="I119" s="27">
        <f>SUMIF($G119,I$109,$E199)</f>
        <v>0</v>
      </c>
      <c r="J119" s="27">
        <f t="shared" ref="J119:T119" si="298">SUMIF($G119,J$109,$E199)</f>
        <v>0</v>
      </c>
      <c r="K119" s="27">
        <f t="shared" si="298"/>
        <v>0</v>
      </c>
      <c r="L119" s="27">
        <f t="shared" si="298"/>
        <v>0</v>
      </c>
      <c r="M119" s="27">
        <f t="shared" si="298"/>
        <v>0</v>
      </c>
      <c r="N119" s="27">
        <f t="shared" si="298"/>
        <v>0</v>
      </c>
      <c r="O119" s="27">
        <f t="shared" si="298"/>
        <v>0</v>
      </c>
      <c r="P119" s="27">
        <f t="shared" si="298"/>
        <v>0</v>
      </c>
      <c r="Q119" s="27">
        <f t="shared" si="298"/>
        <v>0</v>
      </c>
      <c r="R119" s="27">
        <f t="shared" si="298"/>
        <v>0</v>
      </c>
      <c r="S119" s="27">
        <f t="shared" si="298"/>
        <v>0</v>
      </c>
      <c r="T119" s="27">
        <f t="shared" si="298"/>
        <v>0</v>
      </c>
      <c r="W119" s="27">
        <f t="shared" si="280"/>
        <v>0</v>
      </c>
      <c r="X119" s="27">
        <f t="shared" si="280"/>
        <v>0</v>
      </c>
      <c r="Y119" s="27">
        <f t="shared" si="280"/>
        <v>0</v>
      </c>
      <c r="Z119" s="27">
        <f t="shared" si="280"/>
        <v>0</v>
      </c>
      <c r="AA119" s="27">
        <f t="shared" si="280"/>
        <v>0</v>
      </c>
      <c r="AB119" s="27">
        <f t="shared" si="280"/>
        <v>0</v>
      </c>
      <c r="AC119" s="27">
        <f t="shared" si="280"/>
        <v>0</v>
      </c>
      <c r="AD119" s="27">
        <f t="shared" si="280"/>
        <v>0</v>
      </c>
      <c r="AE119" s="27">
        <f t="shared" si="280"/>
        <v>0</v>
      </c>
      <c r="AF119" s="27">
        <f t="shared" si="280"/>
        <v>0</v>
      </c>
      <c r="AG119" s="27">
        <f t="shared" si="280"/>
        <v>0</v>
      </c>
      <c r="AH119" s="27">
        <f t="shared" si="280"/>
        <v>0</v>
      </c>
      <c r="AI119" s="27">
        <f t="shared" si="294"/>
        <v>0</v>
      </c>
      <c r="AL119" s="27">
        <f t="shared" ref="AL119:AW119" si="299">SUMIF($G119,AL$109,$E198)</f>
        <v>0</v>
      </c>
      <c r="AM119" s="27">
        <f t="shared" si="299"/>
        <v>0</v>
      </c>
      <c r="AN119" s="27">
        <f t="shared" si="299"/>
        <v>0</v>
      </c>
      <c r="AO119" s="27">
        <f t="shared" si="299"/>
        <v>0</v>
      </c>
      <c r="AP119" s="27">
        <f t="shared" si="299"/>
        <v>0</v>
      </c>
      <c r="AQ119" s="27">
        <f t="shared" si="299"/>
        <v>0</v>
      </c>
      <c r="AR119" s="27">
        <f t="shared" si="299"/>
        <v>0</v>
      </c>
      <c r="AS119" s="27">
        <f t="shared" si="299"/>
        <v>0</v>
      </c>
      <c r="AT119" s="27">
        <f t="shared" si="299"/>
        <v>0</v>
      </c>
      <c r="AU119" s="27">
        <f t="shared" si="299"/>
        <v>0</v>
      </c>
      <c r="AV119" s="27">
        <f t="shared" si="299"/>
        <v>0</v>
      </c>
      <c r="AW119" s="27">
        <f t="shared" si="299"/>
        <v>0</v>
      </c>
      <c r="AY119" s="61">
        <f>SUMIF($G119,V$109,$E198)</f>
        <v>0</v>
      </c>
      <c r="BD119" s="61"/>
    </row>
    <row r="120" spans="2:56" s="27" customFormat="1" ht="11.25" hidden="1" x14ac:dyDescent="0.2">
      <c r="B120" s="60"/>
      <c r="C120" s="27">
        <f>Amortizaciones!C69</f>
        <v>0</v>
      </c>
      <c r="D120" s="27">
        <f>IF(C$108=SANDBOX!G161,SANDBOX!F161,0)</f>
        <v>0</v>
      </c>
      <c r="E120" s="27">
        <f>SANDBOX!O161</f>
        <v>0</v>
      </c>
      <c r="F120" s="27">
        <f>SANDBOX!P161</f>
        <v>0</v>
      </c>
      <c r="G120" s="27" t="str">
        <f>IF(SANDBOX!N161=0,SB!$B$6,SANDBOX!N161)</f>
        <v>Enero</v>
      </c>
      <c r="H120" s="27">
        <f>+E203</f>
        <v>0</v>
      </c>
      <c r="I120" s="27">
        <f>SUMIF($G120,I$109,$E204)</f>
        <v>0</v>
      </c>
      <c r="J120" s="27">
        <f t="shared" ref="J120:T120" si="300">SUMIF($G120,J$109,$E204)</f>
        <v>0</v>
      </c>
      <c r="K120" s="27">
        <f t="shared" si="300"/>
        <v>0</v>
      </c>
      <c r="L120" s="27">
        <f t="shared" si="300"/>
        <v>0</v>
      </c>
      <c r="M120" s="27">
        <f t="shared" si="300"/>
        <v>0</v>
      </c>
      <c r="N120" s="27">
        <f t="shared" si="300"/>
        <v>0</v>
      </c>
      <c r="O120" s="27">
        <f t="shared" si="300"/>
        <v>0</v>
      </c>
      <c r="P120" s="27">
        <f t="shared" si="300"/>
        <v>0</v>
      </c>
      <c r="Q120" s="27">
        <f t="shared" si="300"/>
        <v>0</v>
      </c>
      <c r="R120" s="27">
        <f t="shared" si="300"/>
        <v>0</v>
      </c>
      <c r="S120" s="27">
        <f t="shared" si="300"/>
        <v>0</v>
      </c>
      <c r="T120" s="27">
        <f t="shared" si="300"/>
        <v>0</v>
      </c>
      <c r="W120" s="27">
        <f t="shared" si="280"/>
        <v>0</v>
      </c>
      <c r="X120" s="27">
        <f t="shared" si="280"/>
        <v>0</v>
      </c>
      <c r="Y120" s="27">
        <f t="shared" si="280"/>
        <v>0</v>
      </c>
      <c r="Z120" s="27">
        <f t="shared" si="280"/>
        <v>0</v>
      </c>
      <c r="AA120" s="27">
        <f t="shared" si="280"/>
        <v>0</v>
      </c>
      <c r="AB120" s="27">
        <f t="shared" si="280"/>
        <v>0</v>
      </c>
      <c r="AC120" s="27">
        <f t="shared" si="280"/>
        <v>0</v>
      </c>
      <c r="AD120" s="27">
        <f t="shared" si="280"/>
        <v>0</v>
      </c>
      <c r="AE120" s="27">
        <f t="shared" si="280"/>
        <v>0</v>
      </c>
      <c r="AF120" s="27">
        <f t="shared" si="280"/>
        <v>0</v>
      </c>
      <c r="AG120" s="27">
        <f t="shared" si="280"/>
        <v>0</v>
      </c>
      <c r="AH120" s="27">
        <f t="shared" si="280"/>
        <v>0</v>
      </c>
      <c r="AI120" s="27">
        <f t="shared" si="294"/>
        <v>0</v>
      </c>
      <c r="AL120" s="27">
        <f t="shared" ref="AL120:AW120" si="301">SUMIF($G120,AL$109,$E203)</f>
        <v>0</v>
      </c>
      <c r="AM120" s="27">
        <f t="shared" si="301"/>
        <v>0</v>
      </c>
      <c r="AN120" s="27">
        <f t="shared" si="301"/>
        <v>0</v>
      </c>
      <c r="AO120" s="27">
        <f t="shared" si="301"/>
        <v>0</v>
      </c>
      <c r="AP120" s="27">
        <f t="shared" si="301"/>
        <v>0</v>
      </c>
      <c r="AQ120" s="27">
        <f t="shared" si="301"/>
        <v>0</v>
      </c>
      <c r="AR120" s="27">
        <f t="shared" si="301"/>
        <v>0</v>
      </c>
      <c r="AS120" s="27">
        <f t="shared" si="301"/>
        <v>0</v>
      </c>
      <c r="AT120" s="27">
        <f t="shared" si="301"/>
        <v>0</v>
      </c>
      <c r="AU120" s="27">
        <f t="shared" si="301"/>
        <v>0</v>
      </c>
      <c r="AV120" s="27">
        <f t="shared" si="301"/>
        <v>0</v>
      </c>
      <c r="AW120" s="27">
        <f t="shared" si="301"/>
        <v>0</v>
      </c>
      <c r="AY120" s="61">
        <f>SUMIF($G120,V$109,$E203)</f>
        <v>0</v>
      </c>
      <c r="BD120" s="61"/>
    </row>
    <row r="121" spans="2:56" s="27" customFormat="1" ht="11.25" hidden="1" x14ac:dyDescent="0.2">
      <c r="B121" s="60"/>
      <c r="C121" s="27">
        <f>Amortizaciones!C70</f>
        <v>0</v>
      </c>
      <c r="D121" s="27">
        <f>IF(C$108=SANDBOX!G162,SANDBOX!F162,0)</f>
        <v>0</v>
      </c>
      <c r="E121" s="27">
        <f>SANDBOX!O162</f>
        <v>0</v>
      </c>
      <c r="F121" s="27">
        <f>SANDBOX!P162</f>
        <v>0</v>
      </c>
      <c r="G121" s="27" t="str">
        <f>IF(SANDBOX!N162=0,SB!$B$6,SANDBOX!N162)</f>
        <v>Enero</v>
      </c>
      <c r="H121" s="27">
        <f>+E208</f>
        <v>0</v>
      </c>
      <c r="I121" s="27">
        <f>SUMIF($G121,I$109,$E209)</f>
        <v>0</v>
      </c>
      <c r="J121" s="27">
        <f t="shared" ref="J121:T121" si="302">SUMIF($G121,J$109,$E209)</f>
        <v>0</v>
      </c>
      <c r="K121" s="27">
        <f t="shared" si="302"/>
        <v>0</v>
      </c>
      <c r="L121" s="27">
        <f t="shared" si="302"/>
        <v>0</v>
      </c>
      <c r="M121" s="27">
        <f t="shared" si="302"/>
        <v>0</v>
      </c>
      <c r="N121" s="27">
        <f t="shared" si="302"/>
        <v>0</v>
      </c>
      <c r="O121" s="27">
        <f t="shared" si="302"/>
        <v>0</v>
      </c>
      <c r="P121" s="27">
        <f t="shared" si="302"/>
        <v>0</v>
      </c>
      <c r="Q121" s="27">
        <f t="shared" si="302"/>
        <v>0</v>
      </c>
      <c r="R121" s="27">
        <f t="shared" si="302"/>
        <v>0</v>
      </c>
      <c r="S121" s="27">
        <f t="shared" si="302"/>
        <v>0</v>
      </c>
      <c r="T121" s="27">
        <f t="shared" si="302"/>
        <v>0</v>
      </c>
      <c r="W121" s="27">
        <f t="shared" ref="W121:AH130" si="303">SUMIF($G121,W$109,$D121)</f>
        <v>0</v>
      </c>
      <c r="X121" s="27">
        <f t="shared" si="303"/>
        <v>0</v>
      </c>
      <c r="Y121" s="27">
        <f t="shared" si="303"/>
        <v>0</v>
      </c>
      <c r="Z121" s="27">
        <f t="shared" si="303"/>
        <v>0</v>
      </c>
      <c r="AA121" s="27">
        <f t="shared" si="303"/>
        <v>0</v>
      </c>
      <c r="AB121" s="27">
        <f t="shared" si="303"/>
        <v>0</v>
      </c>
      <c r="AC121" s="27">
        <f t="shared" si="303"/>
        <v>0</v>
      </c>
      <c r="AD121" s="27">
        <f t="shared" si="303"/>
        <v>0</v>
      </c>
      <c r="AE121" s="27">
        <f t="shared" si="303"/>
        <v>0</v>
      </c>
      <c r="AF121" s="27">
        <f t="shared" si="303"/>
        <v>0</v>
      </c>
      <c r="AG121" s="27">
        <f t="shared" si="303"/>
        <v>0</v>
      </c>
      <c r="AH121" s="27">
        <f t="shared" si="303"/>
        <v>0</v>
      </c>
      <c r="AI121" s="27">
        <f t="shared" si="294"/>
        <v>0</v>
      </c>
      <c r="AL121" s="27">
        <f t="shared" ref="AL121:AW121" si="304">SUMIF($G121,AL$109,$E208)</f>
        <v>0</v>
      </c>
      <c r="AM121" s="27">
        <f t="shared" si="304"/>
        <v>0</v>
      </c>
      <c r="AN121" s="27">
        <f t="shared" si="304"/>
        <v>0</v>
      </c>
      <c r="AO121" s="27">
        <f t="shared" si="304"/>
        <v>0</v>
      </c>
      <c r="AP121" s="27">
        <f t="shared" si="304"/>
        <v>0</v>
      </c>
      <c r="AQ121" s="27">
        <f t="shared" si="304"/>
        <v>0</v>
      </c>
      <c r="AR121" s="27">
        <f t="shared" si="304"/>
        <v>0</v>
      </c>
      <c r="AS121" s="27">
        <f t="shared" si="304"/>
        <v>0</v>
      </c>
      <c r="AT121" s="27">
        <f t="shared" si="304"/>
        <v>0</v>
      </c>
      <c r="AU121" s="27">
        <f t="shared" si="304"/>
        <v>0</v>
      </c>
      <c r="AV121" s="27">
        <f t="shared" si="304"/>
        <v>0</v>
      </c>
      <c r="AW121" s="27">
        <f t="shared" si="304"/>
        <v>0</v>
      </c>
      <c r="AY121" s="61">
        <f>SUMIF($G121,V$109,$E208)</f>
        <v>0</v>
      </c>
      <c r="BD121" s="61"/>
    </row>
    <row r="122" spans="2:56" s="27" customFormat="1" ht="11.25" hidden="1" x14ac:dyDescent="0.2">
      <c r="B122" s="60"/>
      <c r="C122" s="27">
        <f>Amortizaciones!C71</f>
        <v>0</v>
      </c>
      <c r="D122" s="27">
        <f>IF(C$108=SANDBOX!G163,SANDBOX!F163,0)</f>
        <v>0</v>
      </c>
      <c r="E122" s="27">
        <f>SANDBOX!O163</f>
        <v>0</v>
      </c>
      <c r="F122" s="27">
        <f>SANDBOX!P163</f>
        <v>0</v>
      </c>
      <c r="G122" s="27" t="str">
        <f>IF(SANDBOX!N163=0,SB!$B$6,SANDBOX!N163)</f>
        <v>Enero</v>
      </c>
      <c r="H122" s="27">
        <f>+E213</f>
        <v>0</v>
      </c>
      <c r="I122" s="27">
        <f>SUMIF($G122,I$109,$E214)</f>
        <v>0</v>
      </c>
      <c r="J122" s="27">
        <f t="shared" ref="J122:T122" si="305">SUMIF($G122,J$109,$E214)</f>
        <v>0</v>
      </c>
      <c r="K122" s="27">
        <f t="shared" si="305"/>
        <v>0</v>
      </c>
      <c r="L122" s="27">
        <f t="shared" si="305"/>
        <v>0</v>
      </c>
      <c r="M122" s="27">
        <f t="shared" si="305"/>
        <v>0</v>
      </c>
      <c r="N122" s="27">
        <f t="shared" si="305"/>
        <v>0</v>
      </c>
      <c r="O122" s="27">
        <f t="shared" si="305"/>
        <v>0</v>
      </c>
      <c r="P122" s="27">
        <f t="shared" si="305"/>
        <v>0</v>
      </c>
      <c r="Q122" s="27">
        <f t="shared" si="305"/>
        <v>0</v>
      </c>
      <c r="R122" s="27">
        <f t="shared" si="305"/>
        <v>0</v>
      </c>
      <c r="S122" s="27">
        <f t="shared" si="305"/>
        <v>0</v>
      </c>
      <c r="T122" s="27">
        <f t="shared" si="305"/>
        <v>0</v>
      </c>
      <c r="W122" s="27">
        <f t="shared" si="303"/>
        <v>0</v>
      </c>
      <c r="X122" s="27">
        <f t="shared" si="303"/>
        <v>0</v>
      </c>
      <c r="Y122" s="27">
        <f t="shared" si="303"/>
        <v>0</v>
      </c>
      <c r="Z122" s="27">
        <f t="shared" si="303"/>
        <v>0</v>
      </c>
      <c r="AA122" s="27">
        <f t="shared" si="303"/>
        <v>0</v>
      </c>
      <c r="AB122" s="27">
        <f t="shared" si="303"/>
        <v>0</v>
      </c>
      <c r="AC122" s="27">
        <f t="shared" si="303"/>
        <v>0</v>
      </c>
      <c r="AD122" s="27">
        <f t="shared" si="303"/>
        <v>0</v>
      </c>
      <c r="AE122" s="27">
        <f t="shared" si="303"/>
        <v>0</v>
      </c>
      <c r="AF122" s="27">
        <f t="shared" si="303"/>
        <v>0</v>
      </c>
      <c r="AG122" s="27">
        <f t="shared" si="303"/>
        <v>0</v>
      </c>
      <c r="AH122" s="27">
        <f t="shared" si="303"/>
        <v>0</v>
      </c>
      <c r="AI122" s="27">
        <f t="shared" si="294"/>
        <v>0</v>
      </c>
      <c r="AL122" s="27">
        <f t="shared" ref="AL122:AW122" si="306">SUMIF($G122,AL$109,$E213)</f>
        <v>0</v>
      </c>
      <c r="AM122" s="27">
        <f t="shared" si="306"/>
        <v>0</v>
      </c>
      <c r="AN122" s="27">
        <f t="shared" si="306"/>
        <v>0</v>
      </c>
      <c r="AO122" s="27">
        <f t="shared" si="306"/>
        <v>0</v>
      </c>
      <c r="AP122" s="27">
        <f t="shared" si="306"/>
        <v>0</v>
      </c>
      <c r="AQ122" s="27">
        <f t="shared" si="306"/>
        <v>0</v>
      </c>
      <c r="AR122" s="27">
        <f t="shared" si="306"/>
        <v>0</v>
      </c>
      <c r="AS122" s="27">
        <f t="shared" si="306"/>
        <v>0</v>
      </c>
      <c r="AT122" s="27">
        <f t="shared" si="306"/>
        <v>0</v>
      </c>
      <c r="AU122" s="27">
        <f t="shared" si="306"/>
        <v>0</v>
      </c>
      <c r="AV122" s="27">
        <f t="shared" si="306"/>
        <v>0</v>
      </c>
      <c r="AW122" s="27">
        <f t="shared" si="306"/>
        <v>0</v>
      </c>
      <c r="AY122" s="61">
        <f>SUMIF($G122,V$109,$E213)</f>
        <v>0</v>
      </c>
      <c r="BD122" s="61"/>
    </row>
    <row r="123" spans="2:56" s="27" customFormat="1" ht="11.25" hidden="1" x14ac:dyDescent="0.2">
      <c r="B123" s="60"/>
      <c r="C123" s="27">
        <f>Amortizaciones!C72</f>
        <v>0</v>
      </c>
      <c r="D123" s="27">
        <f>IF(C$108=SANDBOX!G165,SANDBOX!F165,0)</f>
        <v>0</v>
      </c>
      <c r="E123" s="27">
        <f>SANDBOX!O165</f>
        <v>0</v>
      </c>
      <c r="F123" s="27">
        <f>SANDBOX!P165</f>
        <v>0</v>
      </c>
      <c r="G123" s="27" t="str">
        <f>IF(SANDBOX!N165=0,SB!$B$6,SANDBOX!N165)</f>
        <v>Enero</v>
      </c>
      <c r="H123" s="27">
        <f>+E218</f>
        <v>0</v>
      </c>
      <c r="I123" s="27">
        <f>SUMIF($G123,I$109,$E219)</f>
        <v>0</v>
      </c>
      <c r="J123" s="27">
        <f t="shared" ref="J123:T123" si="307">SUMIF($G123,J$109,$E219)</f>
        <v>0</v>
      </c>
      <c r="K123" s="27">
        <f t="shared" si="307"/>
        <v>0</v>
      </c>
      <c r="L123" s="27">
        <f t="shared" si="307"/>
        <v>0</v>
      </c>
      <c r="M123" s="27">
        <f t="shared" si="307"/>
        <v>0</v>
      </c>
      <c r="N123" s="27">
        <f t="shared" si="307"/>
        <v>0</v>
      </c>
      <c r="O123" s="27">
        <f t="shared" si="307"/>
        <v>0</v>
      </c>
      <c r="P123" s="27">
        <f t="shared" si="307"/>
        <v>0</v>
      </c>
      <c r="Q123" s="27">
        <f t="shared" si="307"/>
        <v>0</v>
      </c>
      <c r="R123" s="27">
        <f t="shared" si="307"/>
        <v>0</v>
      </c>
      <c r="S123" s="27">
        <f t="shared" si="307"/>
        <v>0</v>
      </c>
      <c r="T123" s="27">
        <f t="shared" si="307"/>
        <v>0</v>
      </c>
      <c r="W123" s="27">
        <f t="shared" si="303"/>
        <v>0</v>
      </c>
      <c r="X123" s="27">
        <f t="shared" si="303"/>
        <v>0</v>
      </c>
      <c r="Y123" s="27">
        <f t="shared" si="303"/>
        <v>0</v>
      </c>
      <c r="Z123" s="27">
        <f t="shared" si="303"/>
        <v>0</v>
      </c>
      <c r="AA123" s="27">
        <f t="shared" si="303"/>
        <v>0</v>
      </c>
      <c r="AB123" s="27">
        <f t="shared" si="303"/>
        <v>0</v>
      </c>
      <c r="AC123" s="27">
        <f t="shared" si="303"/>
        <v>0</v>
      </c>
      <c r="AD123" s="27">
        <f t="shared" si="303"/>
        <v>0</v>
      </c>
      <c r="AE123" s="27">
        <f t="shared" si="303"/>
        <v>0</v>
      </c>
      <c r="AF123" s="27">
        <f t="shared" si="303"/>
        <v>0</v>
      </c>
      <c r="AG123" s="27">
        <f t="shared" si="303"/>
        <v>0</v>
      </c>
      <c r="AH123" s="27">
        <f t="shared" si="303"/>
        <v>0</v>
      </c>
      <c r="AI123" s="27">
        <f t="shared" si="294"/>
        <v>0</v>
      </c>
      <c r="AL123" s="27">
        <f t="shared" ref="AL123:AW123" si="308">SUMIF($G123,AL$109,$E218)</f>
        <v>0</v>
      </c>
      <c r="AM123" s="27">
        <f t="shared" si="308"/>
        <v>0</v>
      </c>
      <c r="AN123" s="27">
        <f t="shared" si="308"/>
        <v>0</v>
      </c>
      <c r="AO123" s="27">
        <f t="shared" si="308"/>
        <v>0</v>
      </c>
      <c r="AP123" s="27">
        <f t="shared" si="308"/>
        <v>0</v>
      </c>
      <c r="AQ123" s="27">
        <f t="shared" si="308"/>
        <v>0</v>
      </c>
      <c r="AR123" s="27">
        <f t="shared" si="308"/>
        <v>0</v>
      </c>
      <c r="AS123" s="27">
        <f t="shared" si="308"/>
        <v>0</v>
      </c>
      <c r="AT123" s="27">
        <f t="shared" si="308"/>
        <v>0</v>
      </c>
      <c r="AU123" s="27">
        <f t="shared" si="308"/>
        <v>0</v>
      </c>
      <c r="AV123" s="27">
        <f t="shared" si="308"/>
        <v>0</v>
      </c>
      <c r="AW123" s="27">
        <f t="shared" si="308"/>
        <v>0</v>
      </c>
      <c r="AY123" s="61">
        <f>SUMIF($G123,V$109,$E218)</f>
        <v>0</v>
      </c>
      <c r="BD123" s="61"/>
    </row>
    <row r="124" spans="2:56" s="27" customFormat="1" ht="11.25" hidden="1" x14ac:dyDescent="0.2">
      <c r="B124" s="60"/>
      <c r="C124" s="27">
        <f>Amortizaciones!C73</f>
        <v>0</v>
      </c>
      <c r="D124" s="27">
        <f>IF(C$108=SANDBOX!G166,SANDBOX!F166,0)</f>
        <v>0</v>
      </c>
      <c r="E124" s="27">
        <f>SANDBOX!O166</f>
        <v>0</v>
      </c>
      <c r="F124" s="27">
        <f>SANDBOX!P166</f>
        <v>0</v>
      </c>
      <c r="G124" s="27" t="str">
        <f>IF(SANDBOX!N166=0,SB!$B$6,SANDBOX!N166)</f>
        <v>Enero</v>
      </c>
      <c r="H124" s="27">
        <f>+E223</f>
        <v>0</v>
      </c>
      <c r="I124" s="27">
        <f>SUMIF($G124,I$109,$E224)</f>
        <v>0</v>
      </c>
      <c r="J124" s="27">
        <f t="shared" ref="J124:T124" si="309">SUMIF($G124,J$109,$E224)</f>
        <v>0</v>
      </c>
      <c r="K124" s="27">
        <f t="shared" si="309"/>
        <v>0</v>
      </c>
      <c r="L124" s="27">
        <f t="shared" si="309"/>
        <v>0</v>
      </c>
      <c r="M124" s="27">
        <f t="shared" si="309"/>
        <v>0</v>
      </c>
      <c r="N124" s="27">
        <f t="shared" si="309"/>
        <v>0</v>
      </c>
      <c r="O124" s="27">
        <f t="shared" si="309"/>
        <v>0</v>
      </c>
      <c r="P124" s="27">
        <f t="shared" si="309"/>
        <v>0</v>
      </c>
      <c r="Q124" s="27">
        <f t="shared" si="309"/>
        <v>0</v>
      </c>
      <c r="R124" s="27">
        <f t="shared" si="309"/>
        <v>0</v>
      </c>
      <c r="S124" s="27">
        <f t="shared" si="309"/>
        <v>0</v>
      </c>
      <c r="T124" s="27">
        <f t="shared" si="309"/>
        <v>0</v>
      </c>
      <c r="W124" s="27">
        <f t="shared" si="303"/>
        <v>0</v>
      </c>
      <c r="X124" s="27">
        <f t="shared" si="303"/>
        <v>0</v>
      </c>
      <c r="Y124" s="27">
        <f t="shared" si="303"/>
        <v>0</v>
      </c>
      <c r="Z124" s="27">
        <f t="shared" si="303"/>
        <v>0</v>
      </c>
      <c r="AA124" s="27">
        <f t="shared" si="303"/>
        <v>0</v>
      </c>
      <c r="AB124" s="27">
        <f t="shared" si="303"/>
        <v>0</v>
      </c>
      <c r="AC124" s="27">
        <f t="shared" si="303"/>
        <v>0</v>
      </c>
      <c r="AD124" s="27">
        <f t="shared" si="303"/>
        <v>0</v>
      </c>
      <c r="AE124" s="27">
        <f t="shared" si="303"/>
        <v>0</v>
      </c>
      <c r="AF124" s="27">
        <f t="shared" si="303"/>
        <v>0</v>
      </c>
      <c r="AG124" s="27">
        <f t="shared" si="303"/>
        <v>0</v>
      </c>
      <c r="AH124" s="27">
        <f t="shared" si="303"/>
        <v>0</v>
      </c>
      <c r="AI124" s="27">
        <f t="shared" si="294"/>
        <v>0</v>
      </c>
      <c r="AL124" s="27">
        <f t="shared" ref="AL124:AW124" si="310">SUMIF($G124,AL$109,$E223)</f>
        <v>0</v>
      </c>
      <c r="AM124" s="27">
        <f t="shared" si="310"/>
        <v>0</v>
      </c>
      <c r="AN124" s="27">
        <f t="shared" si="310"/>
        <v>0</v>
      </c>
      <c r="AO124" s="27">
        <f t="shared" si="310"/>
        <v>0</v>
      </c>
      <c r="AP124" s="27">
        <f t="shared" si="310"/>
        <v>0</v>
      </c>
      <c r="AQ124" s="27">
        <f t="shared" si="310"/>
        <v>0</v>
      </c>
      <c r="AR124" s="27">
        <f t="shared" si="310"/>
        <v>0</v>
      </c>
      <c r="AS124" s="27">
        <f t="shared" si="310"/>
        <v>0</v>
      </c>
      <c r="AT124" s="27">
        <f t="shared" si="310"/>
        <v>0</v>
      </c>
      <c r="AU124" s="27">
        <f t="shared" si="310"/>
        <v>0</v>
      </c>
      <c r="AV124" s="27">
        <f t="shared" si="310"/>
        <v>0</v>
      </c>
      <c r="AW124" s="27">
        <f t="shared" si="310"/>
        <v>0</v>
      </c>
      <c r="AY124" s="61">
        <f>SUMIF($G124,V$109,$E223)</f>
        <v>0</v>
      </c>
      <c r="BD124" s="61"/>
    </row>
    <row r="125" spans="2:56" s="27" customFormat="1" ht="11.25" hidden="1" x14ac:dyDescent="0.2">
      <c r="B125" s="60"/>
      <c r="C125" s="27">
        <f>Amortizaciones!C74</f>
        <v>0</v>
      </c>
      <c r="D125" s="27">
        <f>IF(C$108=SANDBOX!G167,SANDBOX!F167,0)</f>
        <v>0</v>
      </c>
      <c r="E125" s="27">
        <f>SANDBOX!O167</f>
        <v>0</v>
      </c>
      <c r="F125" s="27">
        <f>SANDBOX!P167</f>
        <v>0</v>
      </c>
      <c r="G125" s="27" t="str">
        <f>IF(SANDBOX!N167=0,SB!$B$6,SANDBOX!N167)</f>
        <v>Enero</v>
      </c>
      <c r="H125" s="27">
        <f>+E228</f>
        <v>0</v>
      </c>
      <c r="I125" s="27">
        <f>SUMIF($G125,I$109,$E229)</f>
        <v>0</v>
      </c>
      <c r="J125" s="27">
        <f t="shared" ref="J125:T125" si="311">SUMIF($G125,J$109,$E229)</f>
        <v>0</v>
      </c>
      <c r="K125" s="27">
        <f t="shared" si="311"/>
        <v>0</v>
      </c>
      <c r="L125" s="27">
        <f t="shared" si="311"/>
        <v>0</v>
      </c>
      <c r="M125" s="27">
        <f t="shared" si="311"/>
        <v>0</v>
      </c>
      <c r="N125" s="27">
        <f t="shared" si="311"/>
        <v>0</v>
      </c>
      <c r="O125" s="27">
        <f t="shared" si="311"/>
        <v>0</v>
      </c>
      <c r="P125" s="27">
        <f t="shared" si="311"/>
        <v>0</v>
      </c>
      <c r="Q125" s="27">
        <f t="shared" si="311"/>
        <v>0</v>
      </c>
      <c r="R125" s="27">
        <f t="shared" si="311"/>
        <v>0</v>
      </c>
      <c r="S125" s="27">
        <f t="shared" si="311"/>
        <v>0</v>
      </c>
      <c r="T125" s="27">
        <f t="shared" si="311"/>
        <v>0</v>
      </c>
      <c r="W125" s="27">
        <f t="shared" si="303"/>
        <v>0</v>
      </c>
      <c r="X125" s="27">
        <f t="shared" si="303"/>
        <v>0</v>
      </c>
      <c r="Y125" s="27">
        <f t="shared" si="303"/>
        <v>0</v>
      </c>
      <c r="Z125" s="27">
        <f t="shared" si="303"/>
        <v>0</v>
      </c>
      <c r="AA125" s="27">
        <f t="shared" si="303"/>
        <v>0</v>
      </c>
      <c r="AB125" s="27">
        <f t="shared" si="303"/>
        <v>0</v>
      </c>
      <c r="AC125" s="27">
        <f t="shared" si="303"/>
        <v>0</v>
      </c>
      <c r="AD125" s="27">
        <f t="shared" si="303"/>
        <v>0</v>
      </c>
      <c r="AE125" s="27">
        <f t="shared" si="303"/>
        <v>0</v>
      </c>
      <c r="AF125" s="27">
        <f t="shared" si="303"/>
        <v>0</v>
      </c>
      <c r="AG125" s="27">
        <f t="shared" si="303"/>
        <v>0</v>
      </c>
      <c r="AH125" s="27">
        <f t="shared" si="303"/>
        <v>0</v>
      </c>
      <c r="AI125" s="27">
        <f t="shared" si="294"/>
        <v>0</v>
      </c>
      <c r="AL125" s="27">
        <f t="shared" ref="AL125:AW125" si="312">SUMIF($G125,AL$109,$E228)</f>
        <v>0</v>
      </c>
      <c r="AM125" s="27">
        <f t="shared" si="312"/>
        <v>0</v>
      </c>
      <c r="AN125" s="27">
        <f t="shared" si="312"/>
        <v>0</v>
      </c>
      <c r="AO125" s="27">
        <f t="shared" si="312"/>
        <v>0</v>
      </c>
      <c r="AP125" s="27">
        <f t="shared" si="312"/>
        <v>0</v>
      </c>
      <c r="AQ125" s="27">
        <f t="shared" si="312"/>
        <v>0</v>
      </c>
      <c r="AR125" s="27">
        <f t="shared" si="312"/>
        <v>0</v>
      </c>
      <c r="AS125" s="27">
        <f t="shared" si="312"/>
        <v>0</v>
      </c>
      <c r="AT125" s="27">
        <f t="shared" si="312"/>
        <v>0</v>
      </c>
      <c r="AU125" s="27">
        <f t="shared" si="312"/>
        <v>0</v>
      </c>
      <c r="AV125" s="27">
        <f t="shared" si="312"/>
        <v>0</v>
      </c>
      <c r="AW125" s="27">
        <f t="shared" si="312"/>
        <v>0</v>
      </c>
      <c r="AY125" s="61">
        <f>SUMIF($G125,V$109,$E228)</f>
        <v>0</v>
      </c>
      <c r="BD125" s="61"/>
    </row>
    <row r="126" spans="2:56" s="27" customFormat="1" ht="11.25" hidden="1" x14ac:dyDescent="0.2">
      <c r="B126" s="60"/>
      <c r="C126" s="27">
        <f>Amortizaciones!C75</f>
        <v>0</v>
      </c>
      <c r="D126" s="27">
        <f>IF(C$108=SANDBOX!G168,SANDBOX!F168,0)</f>
        <v>0</v>
      </c>
      <c r="E126" s="27">
        <f>SANDBOX!O168</f>
        <v>0</v>
      </c>
      <c r="F126" s="27">
        <f>SANDBOX!P168</f>
        <v>0</v>
      </c>
      <c r="G126" s="27" t="str">
        <f>IF(SANDBOX!N168=0,SB!$B$6,SANDBOX!N168)</f>
        <v>Enero</v>
      </c>
      <c r="H126" s="27">
        <f>+E233</f>
        <v>0</v>
      </c>
      <c r="I126" s="27">
        <f>SUMIF($G126,I$109,$E234)</f>
        <v>0</v>
      </c>
      <c r="J126" s="27">
        <f t="shared" ref="J126:T126" si="313">SUMIF($G126,J$109,$E234)</f>
        <v>0</v>
      </c>
      <c r="K126" s="27">
        <f t="shared" si="313"/>
        <v>0</v>
      </c>
      <c r="L126" s="27">
        <f t="shared" si="313"/>
        <v>0</v>
      </c>
      <c r="M126" s="27">
        <f t="shared" si="313"/>
        <v>0</v>
      </c>
      <c r="N126" s="27">
        <f t="shared" si="313"/>
        <v>0</v>
      </c>
      <c r="O126" s="27">
        <f t="shared" si="313"/>
        <v>0</v>
      </c>
      <c r="P126" s="27">
        <f t="shared" si="313"/>
        <v>0</v>
      </c>
      <c r="Q126" s="27">
        <f t="shared" si="313"/>
        <v>0</v>
      </c>
      <c r="R126" s="27">
        <f t="shared" si="313"/>
        <v>0</v>
      </c>
      <c r="S126" s="27">
        <f t="shared" si="313"/>
        <v>0</v>
      </c>
      <c r="T126" s="27">
        <f t="shared" si="313"/>
        <v>0</v>
      </c>
      <c r="W126" s="27">
        <f t="shared" si="303"/>
        <v>0</v>
      </c>
      <c r="X126" s="27">
        <f t="shared" si="303"/>
        <v>0</v>
      </c>
      <c r="Y126" s="27">
        <f t="shared" si="303"/>
        <v>0</v>
      </c>
      <c r="Z126" s="27">
        <f t="shared" si="303"/>
        <v>0</v>
      </c>
      <c r="AA126" s="27">
        <f t="shared" si="303"/>
        <v>0</v>
      </c>
      <c r="AB126" s="27">
        <f t="shared" si="303"/>
        <v>0</v>
      </c>
      <c r="AC126" s="27">
        <f t="shared" si="303"/>
        <v>0</v>
      </c>
      <c r="AD126" s="27">
        <f t="shared" si="303"/>
        <v>0</v>
      </c>
      <c r="AE126" s="27">
        <f t="shared" si="303"/>
        <v>0</v>
      </c>
      <c r="AF126" s="27">
        <f t="shared" si="303"/>
        <v>0</v>
      </c>
      <c r="AG126" s="27">
        <f t="shared" si="303"/>
        <v>0</v>
      </c>
      <c r="AH126" s="27">
        <f t="shared" si="303"/>
        <v>0</v>
      </c>
      <c r="AI126" s="27">
        <f t="shared" si="294"/>
        <v>0</v>
      </c>
      <c r="AL126" s="27">
        <f t="shared" ref="AL126:AW126" si="314">SUMIF($G126,AL$109,$E233)</f>
        <v>0</v>
      </c>
      <c r="AM126" s="27">
        <f t="shared" si="314"/>
        <v>0</v>
      </c>
      <c r="AN126" s="27">
        <f t="shared" si="314"/>
        <v>0</v>
      </c>
      <c r="AO126" s="27">
        <f t="shared" si="314"/>
        <v>0</v>
      </c>
      <c r="AP126" s="27">
        <f t="shared" si="314"/>
        <v>0</v>
      </c>
      <c r="AQ126" s="27">
        <f t="shared" si="314"/>
        <v>0</v>
      </c>
      <c r="AR126" s="27">
        <f t="shared" si="314"/>
        <v>0</v>
      </c>
      <c r="AS126" s="27">
        <f t="shared" si="314"/>
        <v>0</v>
      </c>
      <c r="AT126" s="27">
        <f t="shared" si="314"/>
        <v>0</v>
      </c>
      <c r="AU126" s="27">
        <f t="shared" si="314"/>
        <v>0</v>
      </c>
      <c r="AV126" s="27">
        <f t="shared" si="314"/>
        <v>0</v>
      </c>
      <c r="AW126" s="27">
        <f t="shared" si="314"/>
        <v>0</v>
      </c>
      <c r="AY126" s="61">
        <f>SUMIF($G126,V$109,$E233)</f>
        <v>0</v>
      </c>
      <c r="BD126" s="61"/>
    </row>
    <row r="127" spans="2:56" s="27" customFormat="1" ht="11.25" hidden="1" x14ac:dyDescent="0.2">
      <c r="B127" s="60"/>
      <c r="C127" s="27">
        <f>Amortizaciones!C76</f>
        <v>0</v>
      </c>
      <c r="D127" s="27">
        <f>IF(C$108=SANDBOX!G169,SANDBOX!F169,0)</f>
        <v>0</v>
      </c>
      <c r="E127" s="27">
        <f>SANDBOX!O169</f>
        <v>0</v>
      </c>
      <c r="F127" s="27">
        <f>SANDBOX!P169</f>
        <v>0</v>
      </c>
      <c r="G127" s="27" t="str">
        <f>IF(SANDBOX!N169=0,SB!$B$6,SANDBOX!N169)</f>
        <v>Enero</v>
      </c>
      <c r="H127" s="27">
        <f>+E238</f>
        <v>0</v>
      </c>
      <c r="I127" s="27">
        <f>SUMIF($G127,I$109,$E239)</f>
        <v>0</v>
      </c>
      <c r="J127" s="27">
        <f t="shared" ref="J127:T127" si="315">SUMIF($G127,J$109,$E239)</f>
        <v>0</v>
      </c>
      <c r="K127" s="27">
        <f t="shared" si="315"/>
        <v>0</v>
      </c>
      <c r="L127" s="27">
        <f t="shared" si="315"/>
        <v>0</v>
      </c>
      <c r="M127" s="27">
        <f t="shared" si="315"/>
        <v>0</v>
      </c>
      <c r="N127" s="27">
        <f t="shared" si="315"/>
        <v>0</v>
      </c>
      <c r="O127" s="27">
        <f t="shared" si="315"/>
        <v>0</v>
      </c>
      <c r="P127" s="27">
        <f t="shared" si="315"/>
        <v>0</v>
      </c>
      <c r="Q127" s="27">
        <f t="shared" si="315"/>
        <v>0</v>
      </c>
      <c r="R127" s="27">
        <f t="shared" si="315"/>
        <v>0</v>
      </c>
      <c r="S127" s="27">
        <f t="shared" si="315"/>
        <v>0</v>
      </c>
      <c r="T127" s="27">
        <f t="shared" si="315"/>
        <v>0</v>
      </c>
      <c r="W127" s="27">
        <f t="shared" si="303"/>
        <v>0</v>
      </c>
      <c r="X127" s="27">
        <f t="shared" si="303"/>
        <v>0</v>
      </c>
      <c r="Y127" s="27">
        <f t="shared" si="303"/>
        <v>0</v>
      </c>
      <c r="Z127" s="27">
        <f t="shared" si="303"/>
        <v>0</v>
      </c>
      <c r="AA127" s="27">
        <f t="shared" si="303"/>
        <v>0</v>
      </c>
      <c r="AB127" s="27">
        <f t="shared" si="303"/>
        <v>0</v>
      </c>
      <c r="AC127" s="27">
        <f t="shared" si="303"/>
        <v>0</v>
      </c>
      <c r="AD127" s="27">
        <f t="shared" si="303"/>
        <v>0</v>
      </c>
      <c r="AE127" s="27">
        <f t="shared" si="303"/>
        <v>0</v>
      </c>
      <c r="AF127" s="27">
        <f t="shared" si="303"/>
        <v>0</v>
      </c>
      <c r="AG127" s="27">
        <f t="shared" si="303"/>
        <v>0</v>
      </c>
      <c r="AH127" s="27">
        <f t="shared" si="303"/>
        <v>0</v>
      </c>
      <c r="AI127" s="27">
        <f t="shared" si="294"/>
        <v>0</v>
      </c>
      <c r="AL127" s="27">
        <f t="shared" ref="AL127:AW127" si="316">SUMIF($G127,AL$109,$E238)</f>
        <v>0</v>
      </c>
      <c r="AM127" s="27">
        <f t="shared" si="316"/>
        <v>0</v>
      </c>
      <c r="AN127" s="27">
        <f t="shared" si="316"/>
        <v>0</v>
      </c>
      <c r="AO127" s="27">
        <f t="shared" si="316"/>
        <v>0</v>
      </c>
      <c r="AP127" s="27">
        <f t="shared" si="316"/>
        <v>0</v>
      </c>
      <c r="AQ127" s="27">
        <f t="shared" si="316"/>
        <v>0</v>
      </c>
      <c r="AR127" s="27">
        <f t="shared" si="316"/>
        <v>0</v>
      </c>
      <c r="AS127" s="27">
        <f t="shared" si="316"/>
        <v>0</v>
      </c>
      <c r="AT127" s="27">
        <f t="shared" si="316"/>
        <v>0</v>
      </c>
      <c r="AU127" s="27">
        <f t="shared" si="316"/>
        <v>0</v>
      </c>
      <c r="AV127" s="27">
        <f t="shared" si="316"/>
        <v>0</v>
      </c>
      <c r="AW127" s="27">
        <f t="shared" si="316"/>
        <v>0</v>
      </c>
      <c r="AY127" s="61">
        <f>SUMIF($G127,V$109,$E238)</f>
        <v>0</v>
      </c>
      <c r="BD127" s="61"/>
    </row>
    <row r="128" spans="2:56" s="27" customFormat="1" ht="11.25" hidden="1" x14ac:dyDescent="0.2">
      <c r="B128" s="60"/>
      <c r="C128" s="27">
        <f>Amortizaciones!C77</f>
        <v>0</v>
      </c>
      <c r="D128" s="27">
        <f>IF(C$108=SANDBOX!G170,SANDBOX!F170,0)</f>
        <v>0</v>
      </c>
      <c r="E128" s="27">
        <f>SANDBOX!O170</f>
        <v>0</v>
      </c>
      <c r="F128" s="27">
        <f>SANDBOX!P170</f>
        <v>0</v>
      </c>
      <c r="G128" s="27" t="str">
        <f>IF(SANDBOX!N170=0,SB!$B$6,SANDBOX!N170)</f>
        <v>Enero</v>
      </c>
      <c r="H128" s="27">
        <f>+E243</f>
        <v>0</v>
      </c>
      <c r="I128" s="27">
        <f>SUMIF($G128,I$109,$E244)</f>
        <v>0</v>
      </c>
      <c r="J128" s="27">
        <f t="shared" ref="J128:T128" si="317">SUMIF($G128,J$109,$E244)</f>
        <v>0</v>
      </c>
      <c r="K128" s="27">
        <f t="shared" si="317"/>
        <v>0</v>
      </c>
      <c r="L128" s="27">
        <f t="shared" si="317"/>
        <v>0</v>
      </c>
      <c r="M128" s="27">
        <f t="shared" si="317"/>
        <v>0</v>
      </c>
      <c r="N128" s="27">
        <f t="shared" si="317"/>
        <v>0</v>
      </c>
      <c r="O128" s="27">
        <f t="shared" si="317"/>
        <v>0</v>
      </c>
      <c r="P128" s="27">
        <f t="shared" si="317"/>
        <v>0</v>
      </c>
      <c r="Q128" s="27">
        <f t="shared" si="317"/>
        <v>0</v>
      </c>
      <c r="R128" s="27">
        <f t="shared" si="317"/>
        <v>0</v>
      </c>
      <c r="S128" s="27">
        <f t="shared" si="317"/>
        <v>0</v>
      </c>
      <c r="T128" s="27">
        <f t="shared" si="317"/>
        <v>0</v>
      </c>
      <c r="W128" s="27">
        <f t="shared" si="303"/>
        <v>0</v>
      </c>
      <c r="X128" s="27">
        <f t="shared" si="303"/>
        <v>0</v>
      </c>
      <c r="Y128" s="27">
        <f t="shared" si="303"/>
        <v>0</v>
      </c>
      <c r="Z128" s="27">
        <f t="shared" si="303"/>
        <v>0</v>
      </c>
      <c r="AA128" s="27">
        <f t="shared" si="303"/>
        <v>0</v>
      </c>
      <c r="AB128" s="27">
        <f t="shared" si="303"/>
        <v>0</v>
      </c>
      <c r="AC128" s="27">
        <f t="shared" si="303"/>
        <v>0</v>
      </c>
      <c r="AD128" s="27">
        <f t="shared" si="303"/>
        <v>0</v>
      </c>
      <c r="AE128" s="27">
        <f t="shared" si="303"/>
        <v>0</v>
      </c>
      <c r="AF128" s="27">
        <f t="shared" si="303"/>
        <v>0</v>
      </c>
      <c r="AG128" s="27">
        <f t="shared" si="303"/>
        <v>0</v>
      </c>
      <c r="AH128" s="27">
        <f t="shared" si="303"/>
        <v>0</v>
      </c>
      <c r="AI128" s="27">
        <f t="shared" si="294"/>
        <v>0</v>
      </c>
      <c r="AL128" s="27">
        <f t="shared" ref="AL128:AW128" si="318">SUMIF($G128,AL$109,$E243)</f>
        <v>0</v>
      </c>
      <c r="AM128" s="27">
        <f t="shared" si="318"/>
        <v>0</v>
      </c>
      <c r="AN128" s="27">
        <f t="shared" si="318"/>
        <v>0</v>
      </c>
      <c r="AO128" s="27">
        <f t="shared" si="318"/>
        <v>0</v>
      </c>
      <c r="AP128" s="27">
        <f t="shared" si="318"/>
        <v>0</v>
      </c>
      <c r="AQ128" s="27">
        <f t="shared" si="318"/>
        <v>0</v>
      </c>
      <c r="AR128" s="27">
        <f t="shared" si="318"/>
        <v>0</v>
      </c>
      <c r="AS128" s="27">
        <f t="shared" si="318"/>
        <v>0</v>
      </c>
      <c r="AT128" s="27">
        <f t="shared" si="318"/>
        <v>0</v>
      </c>
      <c r="AU128" s="27">
        <f t="shared" si="318"/>
        <v>0</v>
      </c>
      <c r="AV128" s="27">
        <f t="shared" si="318"/>
        <v>0</v>
      </c>
      <c r="AW128" s="27">
        <f t="shared" si="318"/>
        <v>0</v>
      </c>
      <c r="AY128" s="61">
        <f>SUMIF($G128,V$109,$E243)</f>
        <v>0</v>
      </c>
      <c r="BD128" s="61"/>
    </row>
    <row r="129" spans="2:56" s="27" customFormat="1" ht="11.25" hidden="1" x14ac:dyDescent="0.2">
      <c r="B129" s="60"/>
      <c r="C129" s="27">
        <f>Amortizaciones!C78</f>
        <v>0</v>
      </c>
      <c r="D129" s="27">
        <f>IF(C$108=SANDBOX!G172,SANDBOX!F172,0)</f>
        <v>0</v>
      </c>
      <c r="E129" s="27">
        <f>SANDBOX!O172</f>
        <v>0</v>
      </c>
      <c r="F129" s="27">
        <f>SANDBOX!P172</f>
        <v>0</v>
      </c>
      <c r="G129" s="27" t="str">
        <f>IF(SANDBOX!N172=0,SB!$B$6,SANDBOX!N172)</f>
        <v>Enero</v>
      </c>
      <c r="H129" s="27">
        <f>+E248</f>
        <v>0</v>
      </c>
      <c r="I129" s="27">
        <f>SUMIF($G129,I$109,$E249)</f>
        <v>0</v>
      </c>
      <c r="J129" s="27">
        <f t="shared" ref="J129:T129" si="319">SUMIF($G129,J$109,$E249)</f>
        <v>0</v>
      </c>
      <c r="K129" s="27">
        <f t="shared" si="319"/>
        <v>0</v>
      </c>
      <c r="L129" s="27">
        <f t="shared" si="319"/>
        <v>0</v>
      </c>
      <c r="M129" s="27">
        <f t="shared" si="319"/>
        <v>0</v>
      </c>
      <c r="N129" s="27">
        <f t="shared" si="319"/>
        <v>0</v>
      </c>
      <c r="O129" s="27">
        <f t="shared" si="319"/>
        <v>0</v>
      </c>
      <c r="P129" s="27">
        <f t="shared" si="319"/>
        <v>0</v>
      </c>
      <c r="Q129" s="27">
        <f t="shared" si="319"/>
        <v>0</v>
      </c>
      <c r="R129" s="27">
        <f t="shared" si="319"/>
        <v>0</v>
      </c>
      <c r="S129" s="27">
        <f t="shared" si="319"/>
        <v>0</v>
      </c>
      <c r="T129" s="27">
        <f t="shared" si="319"/>
        <v>0</v>
      </c>
      <c r="W129" s="27">
        <f t="shared" si="303"/>
        <v>0</v>
      </c>
      <c r="X129" s="27">
        <f t="shared" si="303"/>
        <v>0</v>
      </c>
      <c r="Y129" s="27">
        <f t="shared" si="303"/>
        <v>0</v>
      </c>
      <c r="Z129" s="27">
        <f t="shared" si="303"/>
        <v>0</v>
      </c>
      <c r="AA129" s="27">
        <f t="shared" si="303"/>
        <v>0</v>
      </c>
      <c r="AB129" s="27">
        <f t="shared" si="303"/>
        <v>0</v>
      </c>
      <c r="AC129" s="27">
        <f t="shared" si="303"/>
        <v>0</v>
      </c>
      <c r="AD129" s="27">
        <f t="shared" si="303"/>
        <v>0</v>
      </c>
      <c r="AE129" s="27">
        <f t="shared" si="303"/>
        <v>0</v>
      </c>
      <c r="AF129" s="27">
        <f t="shared" si="303"/>
        <v>0</v>
      </c>
      <c r="AG129" s="27">
        <f t="shared" si="303"/>
        <v>0</v>
      </c>
      <c r="AH129" s="27">
        <f t="shared" si="303"/>
        <v>0</v>
      </c>
      <c r="AI129" s="27">
        <f t="shared" si="294"/>
        <v>0</v>
      </c>
      <c r="AL129" s="27">
        <f t="shared" ref="AL129:AW129" si="320">SUMIF($G129,AL$109,$E248)</f>
        <v>0</v>
      </c>
      <c r="AM129" s="27">
        <f t="shared" si="320"/>
        <v>0</v>
      </c>
      <c r="AN129" s="27">
        <f t="shared" si="320"/>
        <v>0</v>
      </c>
      <c r="AO129" s="27">
        <f t="shared" si="320"/>
        <v>0</v>
      </c>
      <c r="AP129" s="27">
        <f t="shared" si="320"/>
        <v>0</v>
      </c>
      <c r="AQ129" s="27">
        <f t="shared" si="320"/>
        <v>0</v>
      </c>
      <c r="AR129" s="27">
        <f t="shared" si="320"/>
        <v>0</v>
      </c>
      <c r="AS129" s="27">
        <f t="shared" si="320"/>
        <v>0</v>
      </c>
      <c r="AT129" s="27">
        <f t="shared" si="320"/>
        <v>0</v>
      </c>
      <c r="AU129" s="27">
        <f t="shared" si="320"/>
        <v>0</v>
      </c>
      <c r="AV129" s="27">
        <f t="shared" si="320"/>
        <v>0</v>
      </c>
      <c r="AW129" s="27">
        <f t="shared" si="320"/>
        <v>0</v>
      </c>
      <c r="AY129" s="61">
        <f>SUMIF($G129,V$109,$E248)</f>
        <v>0</v>
      </c>
      <c r="BD129" s="61"/>
    </row>
    <row r="130" spans="2:56" s="27" customFormat="1" ht="11.25" hidden="1" x14ac:dyDescent="0.2">
      <c r="B130" s="60"/>
      <c r="C130" s="27">
        <f>Amortizaciones!C79</f>
        <v>0</v>
      </c>
      <c r="D130" s="27">
        <f>IF(C$108=SANDBOX!G173,SANDBOX!F173,0)</f>
        <v>0</v>
      </c>
      <c r="E130" s="27">
        <f>SANDBOX!O173</f>
        <v>0</v>
      </c>
      <c r="F130" s="27">
        <f>SANDBOX!P173</f>
        <v>0</v>
      </c>
      <c r="G130" s="27" t="str">
        <f>IF(SANDBOX!N173=0,SB!$B$6,SANDBOX!N173)</f>
        <v>Enero</v>
      </c>
      <c r="H130" s="27">
        <f>+E253</f>
        <v>0</v>
      </c>
      <c r="I130" s="27">
        <f>SUMIF($G130,I$109,$E254)</f>
        <v>0</v>
      </c>
      <c r="J130" s="27">
        <f t="shared" ref="J130:T130" si="321">SUMIF($G130,J$109,$E254)</f>
        <v>0</v>
      </c>
      <c r="K130" s="27">
        <f t="shared" si="321"/>
        <v>0</v>
      </c>
      <c r="L130" s="27">
        <f t="shared" si="321"/>
        <v>0</v>
      </c>
      <c r="M130" s="27">
        <f t="shared" si="321"/>
        <v>0</v>
      </c>
      <c r="N130" s="27">
        <f t="shared" si="321"/>
        <v>0</v>
      </c>
      <c r="O130" s="27">
        <f t="shared" si="321"/>
        <v>0</v>
      </c>
      <c r="P130" s="27">
        <f t="shared" si="321"/>
        <v>0</v>
      </c>
      <c r="Q130" s="27">
        <f t="shared" si="321"/>
        <v>0</v>
      </c>
      <c r="R130" s="27">
        <f t="shared" si="321"/>
        <v>0</v>
      </c>
      <c r="S130" s="27">
        <f t="shared" si="321"/>
        <v>0</v>
      </c>
      <c r="T130" s="27">
        <f t="shared" si="321"/>
        <v>0</v>
      </c>
      <c r="W130" s="27">
        <f t="shared" si="303"/>
        <v>0</v>
      </c>
      <c r="X130" s="27">
        <f t="shared" si="303"/>
        <v>0</v>
      </c>
      <c r="Y130" s="27">
        <f t="shared" si="303"/>
        <v>0</v>
      </c>
      <c r="Z130" s="27">
        <f t="shared" si="303"/>
        <v>0</v>
      </c>
      <c r="AA130" s="27">
        <f t="shared" si="303"/>
        <v>0</v>
      </c>
      <c r="AB130" s="27">
        <f t="shared" si="303"/>
        <v>0</v>
      </c>
      <c r="AC130" s="27">
        <f t="shared" si="303"/>
        <v>0</v>
      </c>
      <c r="AD130" s="27">
        <f t="shared" si="303"/>
        <v>0</v>
      </c>
      <c r="AE130" s="27">
        <f t="shared" si="303"/>
        <v>0</v>
      </c>
      <c r="AF130" s="27">
        <f t="shared" si="303"/>
        <v>0</v>
      </c>
      <c r="AG130" s="27">
        <f t="shared" si="303"/>
        <v>0</v>
      </c>
      <c r="AH130" s="27">
        <f t="shared" si="303"/>
        <v>0</v>
      </c>
      <c r="AI130" s="27">
        <f t="shared" si="294"/>
        <v>0</v>
      </c>
      <c r="AL130" s="27">
        <f t="shared" ref="AL130:AW130" si="322">SUMIF($G130,AL$109,$E253)</f>
        <v>0</v>
      </c>
      <c r="AM130" s="27">
        <f t="shared" si="322"/>
        <v>0</v>
      </c>
      <c r="AN130" s="27">
        <f t="shared" si="322"/>
        <v>0</v>
      </c>
      <c r="AO130" s="27">
        <f t="shared" si="322"/>
        <v>0</v>
      </c>
      <c r="AP130" s="27">
        <f t="shared" si="322"/>
        <v>0</v>
      </c>
      <c r="AQ130" s="27">
        <f t="shared" si="322"/>
        <v>0</v>
      </c>
      <c r="AR130" s="27">
        <f t="shared" si="322"/>
        <v>0</v>
      </c>
      <c r="AS130" s="27">
        <f t="shared" si="322"/>
        <v>0</v>
      </c>
      <c r="AT130" s="27">
        <f t="shared" si="322"/>
        <v>0</v>
      </c>
      <c r="AU130" s="27">
        <f t="shared" si="322"/>
        <v>0</v>
      </c>
      <c r="AV130" s="27">
        <f t="shared" si="322"/>
        <v>0</v>
      </c>
      <c r="AW130" s="27">
        <f t="shared" si="322"/>
        <v>0</v>
      </c>
      <c r="AY130" s="61">
        <f>SUMIF($G130,V$109,$E253)</f>
        <v>0</v>
      </c>
      <c r="BD130" s="61"/>
    </row>
    <row r="131" spans="2:56" s="27" customFormat="1" ht="11.25" hidden="1" x14ac:dyDescent="0.2">
      <c r="B131" s="60"/>
      <c r="C131" s="27">
        <f>Amortizaciones!C80</f>
        <v>0</v>
      </c>
      <c r="D131" s="27">
        <f>IF(C$108=SANDBOX!G174,SANDBOX!F174,0)</f>
        <v>0</v>
      </c>
      <c r="E131" s="27">
        <f>SANDBOX!O174</f>
        <v>0</v>
      </c>
      <c r="F131" s="27">
        <f>SANDBOX!P174</f>
        <v>0</v>
      </c>
      <c r="G131" s="27" t="str">
        <f>IF(SANDBOX!N174=0,SB!$B$6,SANDBOX!N174)</f>
        <v>Enero</v>
      </c>
      <c r="H131" s="27">
        <f>+E258</f>
        <v>0</v>
      </c>
      <c r="I131" s="27">
        <f>SUMIF($G131,I$109,$E259)</f>
        <v>0</v>
      </c>
      <c r="J131" s="27">
        <f t="shared" ref="J131:T131" si="323">SUMIF($G131,J$109,$E259)</f>
        <v>0</v>
      </c>
      <c r="K131" s="27">
        <f t="shared" si="323"/>
        <v>0</v>
      </c>
      <c r="L131" s="27">
        <f t="shared" si="323"/>
        <v>0</v>
      </c>
      <c r="M131" s="27">
        <f t="shared" si="323"/>
        <v>0</v>
      </c>
      <c r="N131" s="27">
        <f t="shared" si="323"/>
        <v>0</v>
      </c>
      <c r="O131" s="27">
        <f t="shared" si="323"/>
        <v>0</v>
      </c>
      <c r="P131" s="27">
        <f t="shared" si="323"/>
        <v>0</v>
      </c>
      <c r="Q131" s="27">
        <f t="shared" si="323"/>
        <v>0</v>
      </c>
      <c r="R131" s="27">
        <f t="shared" si="323"/>
        <v>0</v>
      </c>
      <c r="S131" s="27">
        <f t="shared" si="323"/>
        <v>0</v>
      </c>
      <c r="T131" s="27">
        <f t="shared" si="323"/>
        <v>0</v>
      </c>
      <c r="W131" s="27">
        <f t="shared" ref="W131:AH140" si="324">SUMIF($G131,W$109,$D131)</f>
        <v>0</v>
      </c>
      <c r="X131" s="27">
        <f t="shared" si="324"/>
        <v>0</v>
      </c>
      <c r="Y131" s="27">
        <f t="shared" si="324"/>
        <v>0</v>
      </c>
      <c r="Z131" s="27">
        <f t="shared" si="324"/>
        <v>0</v>
      </c>
      <c r="AA131" s="27">
        <f t="shared" si="324"/>
        <v>0</v>
      </c>
      <c r="AB131" s="27">
        <f t="shared" si="324"/>
        <v>0</v>
      </c>
      <c r="AC131" s="27">
        <f t="shared" si="324"/>
        <v>0</v>
      </c>
      <c r="AD131" s="27">
        <f t="shared" si="324"/>
        <v>0</v>
      </c>
      <c r="AE131" s="27">
        <f t="shared" si="324"/>
        <v>0</v>
      </c>
      <c r="AF131" s="27">
        <f t="shared" si="324"/>
        <v>0</v>
      </c>
      <c r="AG131" s="27">
        <f t="shared" si="324"/>
        <v>0</v>
      </c>
      <c r="AH131" s="27">
        <f t="shared" si="324"/>
        <v>0</v>
      </c>
      <c r="AI131" s="27">
        <f t="shared" si="294"/>
        <v>0</v>
      </c>
      <c r="AL131" s="27">
        <f t="shared" ref="AL131:AW131" si="325">SUMIF($G131,AL$109,$E258)</f>
        <v>0</v>
      </c>
      <c r="AM131" s="27">
        <f t="shared" si="325"/>
        <v>0</v>
      </c>
      <c r="AN131" s="27">
        <f t="shared" si="325"/>
        <v>0</v>
      </c>
      <c r="AO131" s="27">
        <f t="shared" si="325"/>
        <v>0</v>
      </c>
      <c r="AP131" s="27">
        <f t="shared" si="325"/>
        <v>0</v>
      </c>
      <c r="AQ131" s="27">
        <f t="shared" si="325"/>
        <v>0</v>
      </c>
      <c r="AR131" s="27">
        <f t="shared" si="325"/>
        <v>0</v>
      </c>
      <c r="AS131" s="27">
        <f t="shared" si="325"/>
        <v>0</v>
      </c>
      <c r="AT131" s="27">
        <f t="shared" si="325"/>
        <v>0</v>
      </c>
      <c r="AU131" s="27">
        <f t="shared" si="325"/>
        <v>0</v>
      </c>
      <c r="AV131" s="27">
        <f t="shared" si="325"/>
        <v>0</v>
      </c>
      <c r="AW131" s="27">
        <f t="shared" si="325"/>
        <v>0</v>
      </c>
      <c r="AY131" s="61">
        <f>SUMIF($G131,V$109,$E258)</f>
        <v>0</v>
      </c>
      <c r="BD131" s="61"/>
    </row>
    <row r="132" spans="2:56" s="27" customFormat="1" ht="11.25" hidden="1" x14ac:dyDescent="0.2">
      <c r="B132" s="60"/>
      <c r="C132" s="27">
        <f>Amortizaciones!C81</f>
        <v>0</v>
      </c>
      <c r="D132" s="27">
        <f>IF(C$108=SANDBOX!G175,SANDBOX!F175,0)</f>
        <v>0</v>
      </c>
      <c r="E132" s="27">
        <f>SANDBOX!O175</f>
        <v>0</v>
      </c>
      <c r="F132" s="27">
        <f>SANDBOX!P175</f>
        <v>0</v>
      </c>
      <c r="G132" s="27" t="str">
        <f>IF(SANDBOX!N175=0,SB!$B$6,SANDBOX!N175)</f>
        <v>Enero</v>
      </c>
      <c r="H132" s="27">
        <f>+E263</f>
        <v>0</v>
      </c>
      <c r="I132" s="27">
        <f>SUMIF($G132,I$109,$E264)</f>
        <v>0</v>
      </c>
      <c r="J132" s="27">
        <f t="shared" ref="J132:T132" si="326">SUMIF($G132,J$109,$E264)</f>
        <v>0</v>
      </c>
      <c r="K132" s="27">
        <f t="shared" si="326"/>
        <v>0</v>
      </c>
      <c r="L132" s="27">
        <f t="shared" si="326"/>
        <v>0</v>
      </c>
      <c r="M132" s="27">
        <f t="shared" si="326"/>
        <v>0</v>
      </c>
      <c r="N132" s="27">
        <f t="shared" si="326"/>
        <v>0</v>
      </c>
      <c r="O132" s="27">
        <f t="shared" si="326"/>
        <v>0</v>
      </c>
      <c r="P132" s="27">
        <f t="shared" si="326"/>
        <v>0</v>
      </c>
      <c r="Q132" s="27">
        <f t="shared" si="326"/>
        <v>0</v>
      </c>
      <c r="R132" s="27">
        <f t="shared" si="326"/>
        <v>0</v>
      </c>
      <c r="S132" s="27">
        <f t="shared" si="326"/>
        <v>0</v>
      </c>
      <c r="T132" s="27">
        <f t="shared" si="326"/>
        <v>0</v>
      </c>
      <c r="W132" s="27">
        <f t="shared" si="324"/>
        <v>0</v>
      </c>
      <c r="X132" s="27">
        <f t="shared" si="324"/>
        <v>0</v>
      </c>
      <c r="Y132" s="27">
        <f t="shared" si="324"/>
        <v>0</v>
      </c>
      <c r="Z132" s="27">
        <f t="shared" si="324"/>
        <v>0</v>
      </c>
      <c r="AA132" s="27">
        <f t="shared" si="324"/>
        <v>0</v>
      </c>
      <c r="AB132" s="27">
        <f t="shared" si="324"/>
        <v>0</v>
      </c>
      <c r="AC132" s="27">
        <f t="shared" si="324"/>
        <v>0</v>
      </c>
      <c r="AD132" s="27">
        <f t="shared" si="324"/>
        <v>0</v>
      </c>
      <c r="AE132" s="27">
        <f t="shared" si="324"/>
        <v>0</v>
      </c>
      <c r="AF132" s="27">
        <f t="shared" si="324"/>
        <v>0</v>
      </c>
      <c r="AG132" s="27">
        <f t="shared" si="324"/>
        <v>0</v>
      </c>
      <c r="AH132" s="27">
        <f t="shared" si="324"/>
        <v>0</v>
      </c>
      <c r="AI132" s="27">
        <f t="shared" si="294"/>
        <v>0</v>
      </c>
      <c r="AL132" s="27">
        <f t="shared" ref="AL132:AW132" si="327">SUMIF($G132,AL$109,$E263)</f>
        <v>0</v>
      </c>
      <c r="AM132" s="27">
        <f t="shared" si="327"/>
        <v>0</v>
      </c>
      <c r="AN132" s="27">
        <f t="shared" si="327"/>
        <v>0</v>
      </c>
      <c r="AO132" s="27">
        <f t="shared" si="327"/>
        <v>0</v>
      </c>
      <c r="AP132" s="27">
        <f t="shared" si="327"/>
        <v>0</v>
      </c>
      <c r="AQ132" s="27">
        <f t="shared" si="327"/>
        <v>0</v>
      </c>
      <c r="AR132" s="27">
        <f t="shared" si="327"/>
        <v>0</v>
      </c>
      <c r="AS132" s="27">
        <f t="shared" si="327"/>
        <v>0</v>
      </c>
      <c r="AT132" s="27">
        <f t="shared" si="327"/>
        <v>0</v>
      </c>
      <c r="AU132" s="27">
        <f t="shared" si="327"/>
        <v>0</v>
      </c>
      <c r="AV132" s="27">
        <f t="shared" si="327"/>
        <v>0</v>
      </c>
      <c r="AW132" s="27">
        <f t="shared" si="327"/>
        <v>0</v>
      </c>
      <c r="AY132" s="61">
        <f>SUMIF($G132,V$109,$E263)</f>
        <v>0</v>
      </c>
      <c r="BD132" s="61"/>
    </row>
    <row r="133" spans="2:56" s="27" customFormat="1" ht="11.25" hidden="1" x14ac:dyDescent="0.2">
      <c r="B133" s="60"/>
      <c r="C133" s="27">
        <f>Amortizaciones!C82</f>
        <v>0</v>
      </c>
      <c r="D133" s="27">
        <f>IF(C$108=SANDBOX!G176,SANDBOX!F176,0)</f>
        <v>0</v>
      </c>
      <c r="E133" s="27">
        <f>SANDBOX!O176</f>
        <v>0</v>
      </c>
      <c r="F133" s="27">
        <f>SANDBOX!P176</f>
        <v>0</v>
      </c>
      <c r="G133" s="27" t="str">
        <f>IF(SANDBOX!N176=0,SB!$B$6,SANDBOX!N176)</f>
        <v>Enero</v>
      </c>
      <c r="H133" s="27">
        <f>+E268</f>
        <v>0</v>
      </c>
      <c r="I133" s="27">
        <f>SUMIF($G133,I$109,$E269)</f>
        <v>0</v>
      </c>
      <c r="J133" s="27">
        <f t="shared" ref="J133:T133" si="328">SUMIF($G133,J$109,$E269)</f>
        <v>0</v>
      </c>
      <c r="K133" s="27">
        <f t="shared" si="328"/>
        <v>0</v>
      </c>
      <c r="L133" s="27">
        <f t="shared" si="328"/>
        <v>0</v>
      </c>
      <c r="M133" s="27">
        <f t="shared" si="328"/>
        <v>0</v>
      </c>
      <c r="N133" s="27">
        <f t="shared" si="328"/>
        <v>0</v>
      </c>
      <c r="O133" s="27">
        <f t="shared" si="328"/>
        <v>0</v>
      </c>
      <c r="P133" s="27">
        <f t="shared" si="328"/>
        <v>0</v>
      </c>
      <c r="Q133" s="27">
        <f t="shared" si="328"/>
        <v>0</v>
      </c>
      <c r="R133" s="27">
        <f t="shared" si="328"/>
        <v>0</v>
      </c>
      <c r="S133" s="27">
        <f t="shared" si="328"/>
        <v>0</v>
      </c>
      <c r="T133" s="27">
        <f t="shared" si="328"/>
        <v>0</v>
      </c>
      <c r="W133" s="27">
        <f t="shared" si="324"/>
        <v>0</v>
      </c>
      <c r="X133" s="27">
        <f t="shared" si="324"/>
        <v>0</v>
      </c>
      <c r="Y133" s="27">
        <f t="shared" si="324"/>
        <v>0</v>
      </c>
      <c r="Z133" s="27">
        <f t="shared" si="324"/>
        <v>0</v>
      </c>
      <c r="AA133" s="27">
        <f t="shared" si="324"/>
        <v>0</v>
      </c>
      <c r="AB133" s="27">
        <f t="shared" si="324"/>
        <v>0</v>
      </c>
      <c r="AC133" s="27">
        <f t="shared" si="324"/>
        <v>0</v>
      </c>
      <c r="AD133" s="27">
        <f t="shared" si="324"/>
        <v>0</v>
      </c>
      <c r="AE133" s="27">
        <f t="shared" si="324"/>
        <v>0</v>
      </c>
      <c r="AF133" s="27">
        <f t="shared" si="324"/>
        <v>0</v>
      </c>
      <c r="AG133" s="27">
        <f t="shared" si="324"/>
        <v>0</v>
      </c>
      <c r="AH133" s="27">
        <f t="shared" si="324"/>
        <v>0</v>
      </c>
      <c r="AI133" s="27">
        <f t="shared" si="294"/>
        <v>0</v>
      </c>
      <c r="AL133" s="27">
        <f t="shared" ref="AL133:AW133" si="329">SUMIF($G133,AL$109,$E268)</f>
        <v>0</v>
      </c>
      <c r="AM133" s="27">
        <f t="shared" si="329"/>
        <v>0</v>
      </c>
      <c r="AN133" s="27">
        <f t="shared" si="329"/>
        <v>0</v>
      </c>
      <c r="AO133" s="27">
        <f t="shared" si="329"/>
        <v>0</v>
      </c>
      <c r="AP133" s="27">
        <f t="shared" si="329"/>
        <v>0</v>
      </c>
      <c r="AQ133" s="27">
        <f t="shared" si="329"/>
        <v>0</v>
      </c>
      <c r="AR133" s="27">
        <f t="shared" si="329"/>
        <v>0</v>
      </c>
      <c r="AS133" s="27">
        <f t="shared" si="329"/>
        <v>0</v>
      </c>
      <c r="AT133" s="27">
        <f t="shared" si="329"/>
        <v>0</v>
      </c>
      <c r="AU133" s="27">
        <f t="shared" si="329"/>
        <v>0</v>
      </c>
      <c r="AV133" s="27">
        <f t="shared" si="329"/>
        <v>0</v>
      </c>
      <c r="AW133" s="27">
        <f t="shared" si="329"/>
        <v>0</v>
      </c>
      <c r="AY133" s="61">
        <f>SUMIF($G133,V$109,$E268)</f>
        <v>0</v>
      </c>
      <c r="BD133" s="61"/>
    </row>
    <row r="134" spans="2:56" s="27" customFormat="1" ht="11.25" hidden="1" x14ac:dyDescent="0.2">
      <c r="B134" s="60"/>
      <c r="C134" s="27">
        <f>Amortizaciones!C83</f>
        <v>0</v>
      </c>
      <c r="D134" s="27">
        <f>IF(C$108=SANDBOX!G177,SANDBOX!F177,0)</f>
        <v>0</v>
      </c>
      <c r="E134" s="27">
        <f>SANDBOX!O177</f>
        <v>0</v>
      </c>
      <c r="F134" s="27">
        <f>SANDBOX!P177</f>
        <v>0</v>
      </c>
      <c r="G134" s="27" t="str">
        <f>IF(SANDBOX!N177=0,SB!$B$6,SANDBOX!N177)</f>
        <v>Enero</v>
      </c>
      <c r="H134" s="27">
        <f>+E273</f>
        <v>0</v>
      </c>
      <c r="I134" s="27">
        <f>SUMIF($G134,I$109,$E274)</f>
        <v>0</v>
      </c>
      <c r="J134" s="27">
        <f t="shared" ref="J134:T134" si="330">SUMIF($G134,J$109,$E274)</f>
        <v>0</v>
      </c>
      <c r="K134" s="27">
        <f t="shared" si="330"/>
        <v>0</v>
      </c>
      <c r="L134" s="27">
        <f t="shared" si="330"/>
        <v>0</v>
      </c>
      <c r="M134" s="27">
        <f t="shared" si="330"/>
        <v>0</v>
      </c>
      <c r="N134" s="27">
        <f t="shared" si="330"/>
        <v>0</v>
      </c>
      <c r="O134" s="27">
        <f t="shared" si="330"/>
        <v>0</v>
      </c>
      <c r="P134" s="27">
        <f t="shared" si="330"/>
        <v>0</v>
      </c>
      <c r="Q134" s="27">
        <f t="shared" si="330"/>
        <v>0</v>
      </c>
      <c r="R134" s="27">
        <f t="shared" si="330"/>
        <v>0</v>
      </c>
      <c r="S134" s="27">
        <f t="shared" si="330"/>
        <v>0</v>
      </c>
      <c r="T134" s="27">
        <f t="shared" si="330"/>
        <v>0</v>
      </c>
      <c r="W134" s="27">
        <f t="shared" si="324"/>
        <v>0</v>
      </c>
      <c r="X134" s="27">
        <f t="shared" si="324"/>
        <v>0</v>
      </c>
      <c r="Y134" s="27">
        <f t="shared" si="324"/>
        <v>0</v>
      </c>
      <c r="Z134" s="27">
        <f t="shared" si="324"/>
        <v>0</v>
      </c>
      <c r="AA134" s="27">
        <f t="shared" si="324"/>
        <v>0</v>
      </c>
      <c r="AB134" s="27">
        <f t="shared" si="324"/>
        <v>0</v>
      </c>
      <c r="AC134" s="27">
        <f t="shared" si="324"/>
        <v>0</v>
      </c>
      <c r="AD134" s="27">
        <f t="shared" si="324"/>
        <v>0</v>
      </c>
      <c r="AE134" s="27">
        <f t="shared" si="324"/>
        <v>0</v>
      </c>
      <c r="AF134" s="27">
        <f t="shared" si="324"/>
        <v>0</v>
      </c>
      <c r="AG134" s="27">
        <f t="shared" si="324"/>
        <v>0</v>
      </c>
      <c r="AH134" s="27">
        <f t="shared" si="324"/>
        <v>0</v>
      </c>
      <c r="AI134" s="27">
        <f t="shared" si="294"/>
        <v>0</v>
      </c>
      <c r="AL134" s="27">
        <f t="shared" ref="AL134:AW134" si="331">SUMIF($G134,AL$109,$E273)</f>
        <v>0</v>
      </c>
      <c r="AM134" s="27">
        <f t="shared" si="331"/>
        <v>0</v>
      </c>
      <c r="AN134" s="27">
        <f t="shared" si="331"/>
        <v>0</v>
      </c>
      <c r="AO134" s="27">
        <f t="shared" si="331"/>
        <v>0</v>
      </c>
      <c r="AP134" s="27">
        <f t="shared" si="331"/>
        <v>0</v>
      </c>
      <c r="AQ134" s="27">
        <f t="shared" si="331"/>
        <v>0</v>
      </c>
      <c r="AR134" s="27">
        <f t="shared" si="331"/>
        <v>0</v>
      </c>
      <c r="AS134" s="27">
        <f t="shared" si="331"/>
        <v>0</v>
      </c>
      <c r="AT134" s="27">
        <f t="shared" si="331"/>
        <v>0</v>
      </c>
      <c r="AU134" s="27">
        <f t="shared" si="331"/>
        <v>0</v>
      </c>
      <c r="AV134" s="27">
        <f t="shared" si="331"/>
        <v>0</v>
      </c>
      <c r="AW134" s="27">
        <f t="shared" si="331"/>
        <v>0</v>
      </c>
      <c r="AY134" s="61">
        <f>SUMIF($G134,V$109,$E273)</f>
        <v>0</v>
      </c>
      <c r="BD134" s="61"/>
    </row>
    <row r="135" spans="2:56" s="27" customFormat="1" ht="11.25" hidden="1" x14ac:dyDescent="0.2">
      <c r="B135" s="60"/>
      <c r="C135" s="27">
        <f>Amortizaciones!C84</f>
        <v>0</v>
      </c>
      <c r="D135" s="27">
        <f>IF(C$108=SANDBOX!G179,SANDBOX!F179,0)</f>
        <v>0</v>
      </c>
      <c r="E135" s="27">
        <f>SANDBOX!O179</f>
        <v>0</v>
      </c>
      <c r="F135" s="27">
        <f>SANDBOX!P179</f>
        <v>0</v>
      </c>
      <c r="G135" s="27" t="str">
        <f>IF(SANDBOX!N179=0,SB!$B$6,SANDBOX!N179)</f>
        <v>Enero</v>
      </c>
      <c r="H135" s="27">
        <f>+E278</f>
        <v>0</v>
      </c>
      <c r="I135" s="27">
        <f>SUMIF($G135,I$109,$E279)</f>
        <v>0</v>
      </c>
      <c r="J135" s="27">
        <f t="shared" ref="J135:T135" si="332">SUMIF($G135,J$109,$E279)</f>
        <v>0</v>
      </c>
      <c r="K135" s="27">
        <f t="shared" si="332"/>
        <v>0</v>
      </c>
      <c r="L135" s="27">
        <f t="shared" si="332"/>
        <v>0</v>
      </c>
      <c r="M135" s="27">
        <f t="shared" si="332"/>
        <v>0</v>
      </c>
      <c r="N135" s="27">
        <f t="shared" si="332"/>
        <v>0</v>
      </c>
      <c r="O135" s="27">
        <f t="shared" si="332"/>
        <v>0</v>
      </c>
      <c r="P135" s="27">
        <f t="shared" si="332"/>
        <v>0</v>
      </c>
      <c r="Q135" s="27">
        <f t="shared" si="332"/>
        <v>0</v>
      </c>
      <c r="R135" s="27">
        <f t="shared" si="332"/>
        <v>0</v>
      </c>
      <c r="S135" s="27">
        <f t="shared" si="332"/>
        <v>0</v>
      </c>
      <c r="T135" s="27">
        <f t="shared" si="332"/>
        <v>0</v>
      </c>
      <c r="W135" s="27">
        <f t="shared" si="324"/>
        <v>0</v>
      </c>
      <c r="X135" s="27">
        <f t="shared" si="324"/>
        <v>0</v>
      </c>
      <c r="Y135" s="27">
        <f t="shared" si="324"/>
        <v>0</v>
      </c>
      <c r="Z135" s="27">
        <f t="shared" si="324"/>
        <v>0</v>
      </c>
      <c r="AA135" s="27">
        <f t="shared" si="324"/>
        <v>0</v>
      </c>
      <c r="AB135" s="27">
        <f t="shared" si="324"/>
        <v>0</v>
      </c>
      <c r="AC135" s="27">
        <f t="shared" si="324"/>
        <v>0</v>
      </c>
      <c r="AD135" s="27">
        <f t="shared" si="324"/>
        <v>0</v>
      </c>
      <c r="AE135" s="27">
        <f t="shared" si="324"/>
        <v>0</v>
      </c>
      <c r="AF135" s="27">
        <f t="shared" si="324"/>
        <v>0</v>
      </c>
      <c r="AG135" s="27">
        <f t="shared" si="324"/>
        <v>0</v>
      </c>
      <c r="AH135" s="27">
        <f t="shared" si="324"/>
        <v>0</v>
      </c>
      <c r="AI135" s="27">
        <f t="shared" si="294"/>
        <v>0</v>
      </c>
      <c r="AL135" s="27">
        <f t="shared" ref="AL135:AW135" si="333">SUMIF($G135,AL$109,$E278)</f>
        <v>0</v>
      </c>
      <c r="AM135" s="27">
        <f t="shared" si="333"/>
        <v>0</v>
      </c>
      <c r="AN135" s="27">
        <f t="shared" si="333"/>
        <v>0</v>
      </c>
      <c r="AO135" s="27">
        <f t="shared" si="333"/>
        <v>0</v>
      </c>
      <c r="AP135" s="27">
        <f t="shared" si="333"/>
        <v>0</v>
      </c>
      <c r="AQ135" s="27">
        <f t="shared" si="333"/>
        <v>0</v>
      </c>
      <c r="AR135" s="27">
        <f t="shared" si="333"/>
        <v>0</v>
      </c>
      <c r="AS135" s="27">
        <f t="shared" si="333"/>
        <v>0</v>
      </c>
      <c r="AT135" s="27">
        <f t="shared" si="333"/>
        <v>0</v>
      </c>
      <c r="AU135" s="27">
        <f t="shared" si="333"/>
        <v>0</v>
      </c>
      <c r="AV135" s="27">
        <f t="shared" si="333"/>
        <v>0</v>
      </c>
      <c r="AW135" s="27">
        <f t="shared" si="333"/>
        <v>0</v>
      </c>
      <c r="AY135" s="61">
        <f>SUMIF($G135,V$109,$E278)</f>
        <v>0</v>
      </c>
      <c r="BD135" s="61"/>
    </row>
    <row r="136" spans="2:56" s="27" customFormat="1" ht="11.25" hidden="1" x14ac:dyDescent="0.2">
      <c r="B136" s="60"/>
      <c r="C136" s="27">
        <f>Amortizaciones!C85</f>
        <v>0</v>
      </c>
      <c r="D136" s="27">
        <f>IF(C$108=SANDBOX!G180,SANDBOX!F180,0)</f>
        <v>0</v>
      </c>
      <c r="E136" s="27">
        <f>SANDBOX!O180</f>
        <v>0</v>
      </c>
      <c r="F136" s="27">
        <f>SANDBOX!P180</f>
        <v>0</v>
      </c>
      <c r="G136" s="27" t="str">
        <f>IF(SANDBOX!N180=0,SB!$B$6,SANDBOX!N180)</f>
        <v>Enero</v>
      </c>
      <c r="H136" s="27">
        <f>+E283</f>
        <v>0</v>
      </c>
      <c r="I136" s="27">
        <f>SUMIF($G136,I$109,$E284)</f>
        <v>0</v>
      </c>
      <c r="J136" s="27">
        <f t="shared" ref="J136:T136" si="334">SUMIF($G136,J$109,$E284)</f>
        <v>0</v>
      </c>
      <c r="K136" s="27">
        <f t="shared" si="334"/>
        <v>0</v>
      </c>
      <c r="L136" s="27">
        <f t="shared" si="334"/>
        <v>0</v>
      </c>
      <c r="M136" s="27">
        <f t="shared" si="334"/>
        <v>0</v>
      </c>
      <c r="N136" s="27">
        <f t="shared" si="334"/>
        <v>0</v>
      </c>
      <c r="O136" s="27">
        <f t="shared" si="334"/>
        <v>0</v>
      </c>
      <c r="P136" s="27">
        <f t="shared" si="334"/>
        <v>0</v>
      </c>
      <c r="Q136" s="27">
        <f t="shared" si="334"/>
        <v>0</v>
      </c>
      <c r="R136" s="27">
        <f t="shared" si="334"/>
        <v>0</v>
      </c>
      <c r="S136" s="27">
        <f t="shared" si="334"/>
        <v>0</v>
      </c>
      <c r="T136" s="27">
        <f t="shared" si="334"/>
        <v>0</v>
      </c>
      <c r="W136" s="27">
        <f t="shared" si="324"/>
        <v>0</v>
      </c>
      <c r="X136" s="27">
        <f t="shared" si="324"/>
        <v>0</v>
      </c>
      <c r="Y136" s="27">
        <f t="shared" si="324"/>
        <v>0</v>
      </c>
      <c r="Z136" s="27">
        <f t="shared" si="324"/>
        <v>0</v>
      </c>
      <c r="AA136" s="27">
        <f t="shared" si="324"/>
        <v>0</v>
      </c>
      <c r="AB136" s="27">
        <f t="shared" si="324"/>
        <v>0</v>
      </c>
      <c r="AC136" s="27">
        <f t="shared" si="324"/>
        <v>0</v>
      </c>
      <c r="AD136" s="27">
        <f t="shared" si="324"/>
        <v>0</v>
      </c>
      <c r="AE136" s="27">
        <f t="shared" si="324"/>
        <v>0</v>
      </c>
      <c r="AF136" s="27">
        <f t="shared" si="324"/>
        <v>0</v>
      </c>
      <c r="AG136" s="27">
        <f t="shared" si="324"/>
        <v>0</v>
      </c>
      <c r="AH136" s="27">
        <f t="shared" si="324"/>
        <v>0</v>
      </c>
      <c r="AI136" s="27">
        <f t="shared" si="294"/>
        <v>0</v>
      </c>
      <c r="AL136" s="27">
        <f t="shared" ref="AL136:AW136" si="335">SUMIF($G136,AL$109,$E283)</f>
        <v>0</v>
      </c>
      <c r="AM136" s="27">
        <f t="shared" si="335"/>
        <v>0</v>
      </c>
      <c r="AN136" s="27">
        <f t="shared" si="335"/>
        <v>0</v>
      </c>
      <c r="AO136" s="27">
        <f t="shared" si="335"/>
        <v>0</v>
      </c>
      <c r="AP136" s="27">
        <f t="shared" si="335"/>
        <v>0</v>
      </c>
      <c r="AQ136" s="27">
        <f t="shared" si="335"/>
        <v>0</v>
      </c>
      <c r="AR136" s="27">
        <f t="shared" si="335"/>
        <v>0</v>
      </c>
      <c r="AS136" s="27">
        <f t="shared" si="335"/>
        <v>0</v>
      </c>
      <c r="AT136" s="27">
        <f t="shared" si="335"/>
        <v>0</v>
      </c>
      <c r="AU136" s="27">
        <f t="shared" si="335"/>
        <v>0</v>
      </c>
      <c r="AV136" s="27">
        <f t="shared" si="335"/>
        <v>0</v>
      </c>
      <c r="AW136" s="27">
        <f t="shared" si="335"/>
        <v>0</v>
      </c>
      <c r="AY136" s="61">
        <f>SUMIF($G136,V$109,$E283)</f>
        <v>0</v>
      </c>
      <c r="BD136" s="61"/>
    </row>
    <row r="137" spans="2:56" s="27" customFormat="1" ht="11.25" hidden="1" x14ac:dyDescent="0.2">
      <c r="B137" s="60"/>
      <c r="C137" s="27">
        <f>Amortizaciones!C86</f>
        <v>0</v>
      </c>
      <c r="D137" s="27">
        <f>IF(C$108=SANDBOX!G181,SANDBOX!F181,0)</f>
        <v>0</v>
      </c>
      <c r="E137" s="27">
        <f>SANDBOX!O181</f>
        <v>0</v>
      </c>
      <c r="F137" s="27">
        <f>SANDBOX!P181</f>
        <v>0</v>
      </c>
      <c r="G137" s="27" t="str">
        <f>IF(SANDBOX!N181=0,SB!$B$6,SANDBOX!N181)</f>
        <v>Enero</v>
      </c>
      <c r="H137" s="27">
        <f>+E288</f>
        <v>0</v>
      </c>
      <c r="I137" s="27">
        <f>SUMIF($G137,I$109,$E289)</f>
        <v>0</v>
      </c>
      <c r="J137" s="27">
        <f t="shared" ref="J137:T137" si="336">SUMIF($G137,J$109,$E289)</f>
        <v>0</v>
      </c>
      <c r="K137" s="27">
        <f t="shared" si="336"/>
        <v>0</v>
      </c>
      <c r="L137" s="27">
        <f t="shared" si="336"/>
        <v>0</v>
      </c>
      <c r="M137" s="27">
        <f t="shared" si="336"/>
        <v>0</v>
      </c>
      <c r="N137" s="27">
        <f t="shared" si="336"/>
        <v>0</v>
      </c>
      <c r="O137" s="27">
        <f t="shared" si="336"/>
        <v>0</v>
      </c>
      <c r="P137" s="27">
        <f t="shared" si="336"/>
        <v>0</v>
      </c>
      <c r="Q137" s="27">
        <f t="shared" si="336"/>
        <v>0</v>
      </c>
      <c r="R137" s="27">
        <f t="shared" si="336"/>
        <v>0</v>
      </c>
      <c r="S137" s="27">
        <f t="shared" si="336"/>
        <v>0</v>
      </c>
      <c r="T137" s="27">
        <f t="shared" si="336"/>
        <v>0</v>
      </c>
      <c r="W137" s="27">
        <f t="shared" si="324"/>
        <v>0</v>
      </c>
      <c r="X137" s="27">
        <f t="shared" si="324"/>
        <v>0</v>
      </c>
      <c r="Y137" s="27">
        <f t="shared" si="324"/>
        <v>0</v>
      </c>
      <c r="Z137" s="27">
        <f t="shared" si="324"/>
        <v>0</v>
      </c>
      <c r="AA137" s="27">
        <f t="shared" si="324"/>
        <v>0</v>
      </c>
      <c r="AB137" s="27">
        <f t="shared" si="324"/>
        <v>0</v>
      </c>
      <c r="AC137" s="27">
        <f t="shared" si="324"/>
        <v>0</v>
      </c>
      <c r="AD137" s="27">
        <f t="shared" si="324"/>
        <v>0</v>
      </c>
      <c r="AE137" s="27">
        <f t="shared" si="324"/>
        <v>0</v>
      </c>
      <c r="AF137" s="27">
        <f t="shared" si="324"/>
        <v>0</v>
      </c>
      <c r="AG137" s="27">
        <f t="shared" si="324"/>
        <v>0</v>
      </c>
      <c r="AH137" s="27">
        <f t="shared" si="324"/>
        <v>0</v>
      </c>
      <c r="AI137" s="27">
        <f t="shared" si="294"/>
        <v>0</v>
      </c>
      <c r="AL137" s="27">
        <f t="shared" ref="AL137:AW137" si="337">SUMIF($G137,AL$109,$E288)</f>
        <v>0</v>
      </c>
      <c r="AM137" s="27">
        <f t="shared" si="337"/>
        <v>0</v>
      </c>
      <c r="AN137" s="27">
        <f t="shared" si="337"/>
        <v>0</v>
      </c>
      <c r="AO137" s="27">
        <f t="shared" si="337"/>
        <v>0</v>
      </c>
      <c r="AP137" s="27">
        <f t="shared" si="337"/>
        <v>0</v>
      </c>
      <c r="AQ137" s="27">
        <f t="shared" si="337"/>
        <v>0</v>
      </c>
      <c r="AR137" s="27">
        <f t="shared" si="337"/>
        <v>0</v>
      </c>
      <c r="AS137" s="27">
        <f t="shared" si="337"/>
        <v>0</v>
      </c>
      <c r="AT137" s="27">
        <f t="shared" si="337"/>
        <v>0</v>
      </c>
      <c r="AU137" s="27">
        <f t="shared" si="337"/>
        <v>0</v>
      </c>
      <c r="AV137" s="27">
        <f t="shared" si="337"/>
        <v>0</v>
      </c>
      <c r="AW137" s="27">
        <f t="shared" si="337"/>
        <v>0</v>
      </c>
      <c r="AY137" s="61">
        <f>SUMIF($G137,V$109,$E288)</f>
        <v>0</v>
      </c>
      <c r="BD137" s="61"/>
    </row>
    <row r="138" spans="2:56" s="27" customFormat="1" ht="11.25" hidden="1" x14ac:dyDescent="0.2">
      <c r="B138" s="60"/>
      <c r="C138" s="27">
        <f>Amortizaciones!C87</f>
        <v>0</v>
      </c>
      <c r="D138" s="27">
        <f>IF(C$108=SANDBOX!G182,SANDBOX!F182,0)</f>
        <v>0</v>
      </c>
      <c r="E138" s="27">
        <f>SANDBOX!O182</f>
        <v>0</v>
      </c>
      <c r="F138" s="27">
        <f>SANDBOX!P182</f>
        <v>0</v>
      </c>
      <c r="G138" s="27" t="str">
        <f>IF(SANDBOX!N182=0,SB!$B$6,SANDBOX!N182)</f>
        <v>Enero</v>
      </c>
      <c r="H138" s="27">
        <f>+E293</f>
        <v>0</v>
      </c>
      <c r="I138" s="27">
        <f>SUMIF($G138,I$109,$E294)</f>
        <v>0</v>
      </c>
      <c r="J138" s="27">
        <f t="shared" ref="J138:T138" si="338">SUMIF($G138,J$109,$E294)</f>
        <v>0</v>
      </c>
      <c r="K138" s="27">
        <f t="shared" si="338"/>
        <v>0</v>
      </c>
      <c r="L138" s="27">
        <f t="shared" si="338"/>
        <v>0</v>
      </c>
      <c r="M138" s="27">
        <f t="shared" si="338"/>
        <v>0</v>
      </c>
      <c r="N138" s="27">
        <f t="shared" si="338"/>
        <v>0</v>
      </c>
      <c r="O138" s="27">
        <f t="shared" si="338"/>
        <v>0</v>
      </c>
      <c r="P138" s="27">
        <f t="shared" si="338"/>
        <v>0</v>
      </c>
      <c r="Q138" s="27">
        <f t="shared" si="338"/>
        <v>0</v>
      </c>
      <c r="R138" s="27">
        <f t="shared" si="338"/>
        <v>0</v>
      </c>
      <c r="S138" s="27">
        <f t="shared" si="338"/>
        <v>0</v>
      </c>
      <c r="T138" s="27">
        <f t="shared" si="338"/>
        <v>0</v>
      </c>
      <c r="W138" s="27">
        <f t="shared" si="324"/>
        <v>0</v>
      </c>
      <c r="X138" s="27">
        <f t="shared" si="324"/>
        <v>0</v>
      </c>
      <c r="Y138" s="27">
        <f t="shared" si="324"/>
        <v>0</v>
      </c>
      <c r="Z138" s="27">
        <f t="shared" si="324"/>
        <v>0</v>
      </c>
      <c r="AA138" s="27">
        <f t="shared" si="324"/>
        <v>0</v>
      </c>
      <c r="AB138" s="27">
        <f t="shared" si="324"/>
        <v>0</v>
      </c>
      <c r="AC138" s="27">
        <f t="shared" si="324"/>
        <v>0</v>
      </c>
      <c r="AD138" s="27">
        <f t="shared" si="324"/>
        <v>0</v>
      </c>
      <c r="AE138" s="27">
        <f t="shared" si="324"/>
        <v>0</v>
      </c>
      <c r="AF138" s="27">
        <f t="shared" si="324"/>
        <v>0</v>
      </c>
      <c r="AG138" s="27">
        <f t="shared" si="324"/>
        <v>0</v>
      </c>
      <c r="AH138" s="27">
        <f t="shared" si="324"/>
        <v>0</v>
      </c>
      <c r="AI138" s="27">
        <f t="shared" si="294"/>
        <v>0</v>
      </c>
      <c r="AL138" s="27">
        <f t="shared" ref="AL138:AW138" si="339">SUMIF($G138,AL$109,$E293)</f>
        <v>0</v>
      </c>
      <c r="AM138" s="27">
        <f t="shared" si="339"/>
        <v>0</v>
      </c>
      <c r="AN138" s="27">
        <f t="shared" si="339"/>
        <v>0</v>
      </c>
      <c r="AO138" s="27">
        <f t="shared" si="339"/>
        <v>0</v>
      </c>
      <c r="AP138" s="27">
        <f t="shared" si="339"/>
        <v>0</v>
      </c>
      <c r="AQ138" s="27">
        <f t="shared" si="339"/>
        <v>0</v>
      </c>
      <c r="AR138" s="27">
        <f t="shared" si="339"/>
        <v>0</v>
      </c>
      <c r="AS138" s="27">
        <f t="shared" si="339"/>
        <v>0</v>
      </c>
      <c r="AT138" s="27">
        <f t="shared" si="339"/>
        <v>0</v>
      </c>
      <c r="AU138" s="27">
        <f t="shared" si="339"/>
        <v>0</v>
      </c>
      <c r="AV138" s="27">
        <f t="shared" si="339"/>
        <v>0</v>
      </c>
      <c r="AW138" s="27">
        <f t="shared" si="339"/>
        <v>0</v>
      </c>
      <c r="AY138" s="61">
        <f>SUMIF($G138,V$109,$E293)</f>
        <v>0</v>
      </c>
      <c r="BD138" s="61"/>
    </row>
    <row r="139" spans="2:56" s="27" customFormat="1" ht="11.25" hidden="1" x14ac:dyDescent="0.2">
      <c r="B139" s="60"/>
      <c r="C139" s="27">
        <f>Amortizaciones!C88</f>
        <v>0</v>
      </c>
      <c r="D139" s="27">
        <f>IF(C$108=SANDBOX!G183,SANDBOX!F183,0)</f>
        <v>0</v>
      </c>
      <c r="E139" s="27">
        <f>SANDBOX!O183</f>
        <v>0</v>
      </c>
      <c r="F139" s="27">
        <f>SANDBOX!P183</f>
        <v>0</v>
      </c>
      <c r="G139" s="27" t="str">
        <f>IF(SANDBOX!N183=0,SB!$B$6,SANDBOX!N183)</f>
        <v>Enero</v>
      </c>
      <c r="H139" s="27">
        <f>+E298</f>
        <v>0</v>
      </c>
      <c r="I139" s="27">
        <f>SUMIF($G139,I$109,$E299)</f>
        <v>0</v>
      </c>
      <c r="J139" s="27">
        <f t="shared" ref="J139:T139" si="340">SUMIF($G139,J$109,$E299)</f>
        <v>0</v>
      </c>
      <c r="K139" s="27">
        <f t="shared" si="340"/>
        <v>0</v>
      </c>
      <c r="L139" s="27">
        <f t="shared" si="340"/>
        <v>0</v>
      </c>
      <c r="M139" s="27">
        <f t="shared" si="340"/>
        <v>0</v>
      </c>
      <c r="N139" s="27">
        <f t="shared" si="340"/>
        <v>0</v>
      </c>
      <c r="O139" s="27">
        <f t="shared" si="340"/>
        <v>0</v>
      </c>
      <c r="P139" s="27">
        <f t="shared" si="340"/>
        <v>0</v>
      </c>
      <c r="Q139" s="27">
        <f t="shared" si="340"/>
        <v>0</v>
      </c>
      <c r="R139" s="27">
        <f t="shared" si="340"/>
        <v>0</v>
      </c>
      <c r="S139" s="27">
        <f t="shared" si="340"/>
        <v>0</v>
      </c>
      <c r="T139" s="27">
        <f t="shared" si="340"/>
        <v>0</v>
      </c>
      <c r="W139" s="27">
        <f t="shared" si="324"/>
        <v>0</v>
      </c>
      <c r="X139" s="27">
        <f t="shared" si="324"/>
        <v>0</v>
      </c>
      <c r="Y139" s="27">
        <f t="shared" si="324"/>
        <v>0</v>
      </c>
      <c r="Z139" s="27">
        <f t="shared" si="324"/>
        <v>0</v>
      </c>
      <c r="AA139" s="27">
        <f t="shared" si="324"/>
        <v>0</v>
      </c>
      <c r="AB139" s="27">
        <f t="shared" si="324"/>
        <v>0</v>
      </c>
      <c r="AC139" s="27">
        <f t="shared" si="324"/>
        <v>0</v>
      </c>
      <c r="AD139" s="27">
        <f t="shared" si="324"/>
        <v>0</v>
      </c>
      <c r="AE139" s="27">
        <f t="shared" si="324"/>
        <v>0</v>
      </c>
      <c r="AF139" s="27">
        <f t="shared" si="324"/>
        <v>0</v>
      </c>
      <c r="AG139" s="27">
        <f t="shared" si="324"/>
        <v>0</v>
      </c>
      <c r="AH139" s="27">
        <f t="shared" si="324"/>
        <v>0</v>
      </c>
      <c r="AI139" s="27">
        <f t="shared" si="294"/>
        <v>0</v>
      </c>
      <c r="AL139" s="27">
        <f t="shared" ref="AL139:AW139" si="341">SUMIF($G139,AL$109,$E298)</f>
        <v>0</v>
      </c>
      <c r="AM139" s="27">
        <f t="shared" si="341"/>
        <v>0</v>
      </c>
      <c r="AN139" s="27">
        <f t="shared" si="341"/>
        <v>0</v>
      </c>
      <c r="AO139" s="27">
        <f t="shared" si="341"/>
        <v>0</v>
      </c>
      <c r="AP139" s="27">
        <f t="shared" si="341"/>
        <v>0</v>
      </c>
      <c r="AQ139" s="27">
        <f t="shared" si="341"/>
        <v>0</v>
      </c>
      <c r="AR139" s="27">
        <f t="shared" si="341"/>
        <v>0</v>
      </c>
      <c r="AS139" s="27">
        <f t="shared" si="341"/>
        <v>0</v>
      </c>
      <c r="AT139" s="27">
        <f t="shared" si="341"/>
        <v>0</v>
      </c>
      <c r="AU139" s="27">
        <f t="shared" si="341"/>
        <v>0</v>
      </c>
      <c r="AV139" s="27">
        <f t="shared" si="341"/>
        <v>0</v>
      </c>
      <c r="AW139" s="27">
        <f t="shared" si="341"/>
        <v>0</v>
      </c>
      <c r="AY139" s="61">
        <f>SUMIF($G139,V$109,$E298)</f>
        <v>0</v>
      </c>
      <c r="BD139" s="61"/>
    </row>
    <row r="140" spans="2:56" s="27" customFormat="1" ht="11.25" hidden="1" x14ac:dyDescent="0.2">
      <c r="B140" s="60"/>
      <c r="C140" s="27">
        <f>Amortizaciones!C89</f>
        <v>0</v>
      </c>
      <c r="D140" s="27">
        <f>IF(C$108=SANDBOX!G184,SANDBOX!F184,0)</f>
        <v>0</v>
      </c>
      <c r="E140" s="27">
        <f>SANDBOX!O184</f>
        <v>0</v>
      </c>
      <c r="F140" s="27">
        <f>SANDBOX!P184</f>
        <v>0</v>
      </c>
      <c r="G140" s="27" t="str">
        <f>IF(SANDBOX!N184=0,SB!$B$6,SANDBOX!N184)</f>
        <v>Enero</v>
      </c>
      <c r="H140" s="27">
        <f>+E303</f>
        <v>0</v>
      </c>
      <c r="I140" s="27">
        <f>SUMIF($G140,I$109,$E304)</f>
        <v>0</v>
      </c>
      <c r="J140" s="27">
        <f t="shared" ref="J140:T140" si="342">SUMIF($G140,J$109,$E304)</f>
        <v>0</v>
      </c>
      <c r="K140" s="27">
        <f t="shared" si="342"/>
        <v>0</v>
      </c>
      <c r="L140" s="27">
        <f t="shared" si="342"/>
        <v>0</v>
      </c>
      <c r="M140" s="27">
        <f t="shared" si="342"/>
        <v>0</v>
      </c>
      <c r="N140" s="27">
        <f t="shared" si="342"/>
        <v>0</v>
      </c>
      <c r="O140" s="27">
        <f t="shared" si="342"/>
        <v>0</v>
      </c>
      <c r="P140" s="27">
        <f t="shared" si="342"/>
        <v>0</v>
      </c>
      <c r="Q140" s="27">
        <f t="shared" si="342"/>
        <v>0</v>
      </c>
      <c r="R140" s="27">
        <f t="shared" si="342"/>
        <v>0</v>
      </c>
      <c r="S140" s="27">
        <f t="shared" si="342"/>
        <v>0</v>
      </c>
      <c r="T140" s="27">
        <f t="shared" si="342"/>
        <v>0</v>
      </c>
      <c r="W140" s="27">
        <f t="shared" si="324"/>
        <v>0</v>
      </c>
      <c r="X140" s="27">
        <f t="shared" si="324"/>
        <v>0</v>
      </c>
      <c r="Y140" s="27">
        <f t="shared" si="324"/>
        <v>0</v>
      </c>
      <c r="Z140" s="27">
        <f t="shared" si="324"/>
        <v>0</v>
      </c>
      <c r="AA140" s="27">
        <f t="shared" si="324"/>
        <v>0</v>
      </c>
      <c r="AB140" s="27">
        <f t="shared" si="324"/>
        <v>0</v>
      </c>
      <c r="AC140" s="27">
        <f t="shared" si="324"/>
        <v>0</v>
      </c>
      <c r="AD140" s="27">
        <f t="shared" si="324"/>
        <v>0</v>
      </c>
      <c r="AE140" s="27">
        <f t="shared" si="324"/>
        <v>0</v>
      </c>
      <c r="AF140" s="27">
        <f t="shared" si="324"/>
        <v>0</v>
      </c>
      <c r="AG140" s="27">
        <f t="shared" si="324"/>
        <v>0</v>
      </c>
      <c r="AH140" s="27">
        <f t="shared" si="324"/>
        <v>0</v>
      </c>
      <c r="AI140" s="27">
        <f t="shared" si="294"/>
        <v>0</v>
      </c>
      <c r="AL140" s="27">
        <f t="shared" ref="AL140:AW140" si="343">SUMIF($G140,AL$109,$E303)</f>
        <v>0</v>
      </c>
      <c r="AM140" s="27">
        <f t="shared" si="343"/>
        <v>0</v>
      </c>
      <c r="AN140" s="27">
        <f t="shared" si="343"/>
        <v>0</v>
      </c>
      <c r="AO140" s="27">
        <f t="shared" si="343"/>
        <v>0</v>
      </c>
      <c r="AP140" s="27">
        <f t="shared" si="343"/>
        <v>0</v>
      </c>
      <c r="AQ140" s="27">
        <f t="shared" si="343"/>
        <v>0</v>
      </c>
      <c r="AR140" s="27">
        <f t="shared" si="343"/>
        <v>0</v>
      </c>
      <c r="AS140" s="27">
        <f t="shared" si="343"/>
        <v>0</v>
      </c>
      <c r="AT140" s="27">
        <f t="shared" si="343"/>
        <v>0</v>
      </c>
      <c r="AU140" s="27">
        <f t="shared" si="343"/>
        <v>0</v>
      </c>
      <c r="AV140" s="27">
        <f t="shared" si="343"/>
        <v>0</v>
      </c>
      <c r="AW140" s="27">
        <f t="shared" si="343"/>
        <v>0</v>
      </c>
      <c r="AY140" s="61">
        <f>SUMIF($G140,V$109,$E303)</f>
        <v>0</v>
      </c>
      <c r="BD140" s="61"/>
    </row>
    <row r="141" spans="2:56" s="27" customFormat="1" ht="11.25" hidden="1" x14ac:dyDescent="0.2">
      <c r="B141" s="60"/>
      <c r="C141" s="27">
        <f>Amortizaciones!C90</f>
        <v>0</v>
      </c>
      <c r="D141" s="27">
        <f>IF(C$108=SANDBOX!G186,SANDBOX!F186,0)</f>
        <v>0</v>
      </c>
      <c r="E141" s="27">
        <f>SANDBOX!O186</f>
        <v>0</v>
      </c>
      <c r="F141" s="27">
        <f>SANDBOX!P186</f>
        <v>0</v>
      </c>
      <c r="G141" s="27" t="str">
        <f>IF(SANDBOX!N186=0,SB!$B$6,SANDBOX!N186)</f>
        <v>Enero</v>
      </c>
      <c r="H141" s="27">
        <f>+E308</f>
        <v>0</v>
      </c>
      <c r="I141" s="27">
        <f>SUMIF($G141,I$109,$E309)</f>
        <v>0</v>
      </c>
      <c r="J141" s="27">
        <f t="shared" ref="J141:T141" si="344">SUMIF($G141,J$109,$E309)</f>
        <v>0</v>
      </c>
      <c r="K141" s="27">
        <f t="shared" si="344"/>
        <v>0</v>
      </c>
      <c r="L141" s="27">
        <f t="shared" si="344"/>
        <v>0</v>
      </c>
      <c r="M141" s="27">
        <f t="shared" si="344"/>
        <v>0</v>
      </c>
      <c r="N141" s="27">
        <f t="shared" si="344"/>
        <v>0</v>
      </c>
      <c r="O141" s="27">
        <f t="shared" si="344"/>
        <v>0</v>
      </c>
      <c r="P141" s="27">
        <f t="shared" si="344"/>
        <v>0</v>
      </c>
      <c r="Q141" s="27">
        <f t="shared" si="344"/>
        <v>0</v>
      </c>
      <c r="R141" s="27">
        <f t="shared" si="344"/>
        <v>0</v>
      </c>
      <c r="S141" s="27">
        <f t="shared" si="344"/>
        <v>0</v>
      </c>
      <c r="T141" s="27">
        <f t="shared" si="344"/>
        <v>0</v>
      </c>
      <c r="W141" s="27">
        <f t="shared" ref="W141:AH152" si="345">SUMIF($G141,W$109,$D141)</f>
        <v>0</v>
      </c>
      <c r="X141" s="27">
        <f t="shared" si="345"/>
        <v>0</v>
      </c>
      <c r="Y141" s="27">
        <f t="shared" si="345"/>
        <v>0</v>
      </c>
      <c r="Z141" s="27">
        <f t="shared" si="345"/>
        <v>0</v>
      </c>
      <c r="AA141" s="27">
        <f t="shared" si="345"/>
        <v>0</v>
      </c>
      <c r="AB141" s="27">
        <f t="shared" si="345"/>
        <v>0</v>
      </c>
      <c r="AC141" s="27">
        <f t="shared" si="345"/>
        <v>0</v>
      </c>
      <c r="AD141" s="27">
        <f t="shared" si="345"/>
        <v>0</v>
      </c>
      <c r="AE141" s="27">
        <f t="shared" si="345"/>
        <v>0</v>
      </c>
      <c r="AF141" s="27">
        <f t="shared" si="345"/>
        <v>0</v>
      </c>
      <c r="AG141" s="27">
        <f t="shared" si="345"/>
        <v>0</v>
      </c>
      <c r="AH141" s="27">
        <f t="shared" si="345"/>
        <v>0</v>
      </c>
      <c r="AI141" s="27">
        <f t="shared" si="294"/>
        <v>0</v>
      </c>
      <c r="AL141" s="27">
        <f t="shared" ref="AL141:AW141" si="346">SUMIF($G141,AL$109,$E308)</f>
        <v>0</v>
      </c>
      <c r="AM141" s="27">
        <f t="shared" si="346"/>
        <v>0</v>
      </c>
      <c r="AN141" s="27">
        <f t="shared" si="346"/>
        <v>0</v>
      </c>
      <c r="AO141" s="27">
        <f t="shared" si="346"/>
        <v>0</v>
      </c>
      <c r="AP141" s="27">
        <f t="shared" si="346"/>
        <v>0</v>
      </c>
      <c r="AQ141" s="27">
        <f t="shared" si="346"/>
        <v>0</v>
      </c>
      <c r="AR141" s="27">
        <f t="shared" si="346"/>
        <v>0</v>
      </c>
      <c r="AS141" s="27">
        <f t="shared" si="346"/>
        <v>0</v>
      </c>
      <c r="AT141" s="27">
        <f t="shared" si="346"/>
        <v>0</v>
      </c>
      <c r="AU141" s="27">
        <f t="shared" si="346"/>
        <v>0</v>
      </c>
      <c r="AV141" s="27">
        <f t="shared" si="346"/>
        <v>0</v>
      </c>
      <c r="AW141" s="27">
        <f t="shared" si="346"/>
        <v>0</v>
      </c>
      <c r="AY141" s="61">
        <f>SUMIF($G141,V$109,$E308)</f>
        <v>0</v>
      </c>
      <c r="BD141" s="61"/>
    </row>
    <row r="142" spans="2:56" s="27" customFormat="1" ht="11.25" hidden="1" x14ac:dyDescent="0.2">
      <c r="B142" s="60"/>
      <c r="C142" s="27">
        <f>Amortizaciones!C91</f>
        <v>0</v>
      </c>
      <c r="D142" s="27">
        <f>IF(C$108=SANDBOX!G187,SANDBOX!F187,0)</f>
        <v>0</v>
      </c>
      <c r="E142" s="27">
        <f>SANDBOX!O187</f>
        <v>0</v>
      </c>
      <c r="F142" s="27">
        <f>SANDBOX!P187</f>
        <v>0</v>
      </c>
      <c r="G142" s="27" t="str">
        <f>IF(SANDBOX!N187=0,SB!$B$6,SANDBOX!N187)</f>
        <v>Enero</v>
      </c>
      <c r="H142" s="27">
        <f>+E313</f>
        <v>0</v>
      </c>
      <c r="I142" s="27">
        <f>SUMIF($G142,I$109,$E314)</f>
        <v>0</v>
      </c>
      <c r="J142" s="27">
        <f t="shared" ref="J142:T142" si="347">SUMIF($G142,J$109,$E314)</f>
        <v>0</v>
      </c>
      <c r="K142" s="27">
        <f t="shared" si="347"/>
        <v>0</v>
      </c>
      <c r="L142" s="27">
        <f t="shared" si="347"/>
        <v>0</v>
      </c>
      <c r="M142" s="27">
        <f t="shared" si="347"/>
        <v>0</v>
      </c>
      <c r="N142" s="27">
        <f t="shared" si="347"/>
        <v>0</v>
      </c>
      <c r="O142" s="27">
        <f t="shared" si="347"/>
        <v>0</v>
      </c>
      <c r="P142" s="27">
        <f t="shared" si="347"/>
        <v>0</v>
      </c>
      <c r="Q142" s="27">
        <f t="shared" si="347"/>
        <v>0</v>
      </c>
      <c r="R142" s="27">
        <f t="shared" si="347"/>
        <v>0</v>
      </c>
      <c r="S142" s="27">
        <f t="shared" si="347"/>
        <v>0</v>
      </c>
      <c r="T142" s="27">
        <f t="shared" si="347"/>
        <v>0</v>
      </c>
      <c r="W142" s="27">
        <f t="shared" si="345"/>
        <v>0</v>
      </c>
      <c r="X142" s="27">
        <f t="shared" si="345"/>
        <v>0</v>
      </c>
      <c r="Y142" s="27">
        <f t="shared" si="345"/>
        <v>0</v>
      </c>
      <c r="Z142" s="27">
        <f t="shared" si="345"/>
        <v>0</v>
      </c>
      <c r="AA142" s="27">
        <f t="shared" si="345"/>
        <v>0</v>
      </c>
      <c r="AB142" s="27">
        <f t="shared" si="345"/>
        <v>0</v>
      </c>
      <c r="AC142" s="27">
        <f t="shared" si="345"/>
        <v>0</v>
      </c>
      <c r="AD142" s="27">
        <f t="shared" si="345"/>
        <v>0</v>
      </c>
      <c r="AE142" s="27">
        <f t="shared" si="345"/>
        <v>0</v>
      </c>
      <c r="AF142" s="27">
        <f t="shared" si="345"/>
        <v>0</v>
      </c>
      <c r="AG142" s="27">
        <f t="shared" si="345"/>
        <v>0</v>
      </c>
      <c r="AH142" s="27">
        <f t="shared" si="345"/>
        <v>0</v>
      </c>
      <c r="AI142" s="27">
        <f t="shared" si="294"/>
        <v>0</v>
      </c>
      <c r="AL142" s="27">
        <f t="shared" ref="AL142:AW142" si="348">SUMIF($G142,AL$109,$E313)</f>
        <v>0</v>
      </c>
      <c r="AM142" s="27">
        <f t="shared" si="348"/>
        <v>0</v>
      </c>
      <c r="AN142" s="27">
        <f t="shared" si="348"/>
        <v>0</v>
      </c>
      <c r="AO142" s="27">
        <f t="shared" si="348"/>
        <v>0</v>
      </c>
      <c r="AP142" s="27">
        <f t="shared" si="348"/>
        <v>0</v>
      </c>
      <c r="AQ142" s="27">
        <f t="shared" si="348"/>
        <v>0</v>
      </c>
      <c r="AR142" s="27">
        <f t="shared" si="348"/>
        <v>0</v>
      </c>
      <c r="AS142" s="27">
        <f t="shared" si="348"/>
        <v>0</v>
      </c>
      <c r="AT142" s="27">
        <f t="shared" si="348"/>
        <v>0</v>
      </c>
      <c r="AU142" s="27">
        <f t="shared" si="348"/>
        <v>0</v>
      </c>
      <c r="AV142" s="27">
        <f t="shared" si="348"/>
        <v>0</v>
      </c>
      <c r="AW142" s="27">
        <f t="shared" si="348"/>
        <v>0</v>
      </c>
      <c r="AY142" s="61">
        <f>SUMIF($G142,V$109,$E313)</f>
        <v>0</v>
      </c>
      <c r="BD142" s="61"/>
    </row>
    <row r="143" spans="2:56" s="27" customFormat="1" ht="11.25" hidden="1" x14ac:dyDescent="0.2">
      <c r="B143" s="60"/>
      <c r="C143" s="27">
        <f>Amortizaciones!C92</f>
        <v>0</v>
      </c>
      <c r="D143" s="27">
        <f>IF(C$108=SANDBOX!G188,SANDBOX!F188,0)</f>
        <v>0</v>
      </c>
      <c r="E143" s="27">
        <f>SANDBOX!O188</f>
        <v>0</v>
      </c>
      <c r="F143" s="27">
        <f>SANDBOX!P188</f>
        <v>0</v>
      </c>
      <c r="G143" s="27" t="str">
        <f>IF(SANDBOX!N188=0,SB!$B$6,SANDBOX!N188)</f>
        <v>Enero</v>
      </c>
      <c r="H143" s="27">
        <f>+E318</f>
        <v>0</v>
      </c>
      <c r="I143" s="27">
        <f>SUMIF($G143,I$109,$E319)</f>
        <v>0</v>
      </c>
      <c r="J143" s="27">
        <f t="shared" ref="J143:T143" si="349">SUMIF($G143,J$109,$E319)</f>
        <v>0</v>
      </c>
      <c r="K143" s="27">
        <f t="shared" si="349"/>
        <v>0</v>
      </c>
      <c r="L143" s="27">
        <f t="shared" si="349"/>
        <v>0</v>
      </c>
      <c r="M143" s="27">
        <f t="shared" si="349"/>
        <v>0</v>
      </c>
      <c r="N143" s="27">
        <f t="shared" si="349"/>
        <v>0</v>
      </c>
      <c r="O143" s="27">
        <f t="shared" si="349"/>
        <v>0</v>
      </c>
      <c r="P143" s="27">
        <f t="shared" si="349"/>
        <v>0</v>
      </c>
      <c r="Q143" s="27">
        <f t="shared" si="349"/>
        <v>0</v>
      </c>
      <c r="R143" s="27">
        <f t="shared" si="349"/>
        <v>0</v>
      </c>
      <c r="S143" s="27">
        <f t="shared" si="349"/>
        <v>0</v>
      </c>
      <c r="T143" s="27">
        <f t="shared" si="349"/>
        <v>0</v>
      </c>
      <c r="W143" s="27">
        <f t="shared" si="345"/>
        <v>0</v>
      </c>
      <c r="X143" s="27">
        <f t="shared" si="345"/>
        <v>0</v>
      </c>
      <c r="Y143" s="27">
        <f t="shared" si="345"/>
        <v>0</v>
      </c>
      <c r="Z143" s="27">
        <f t="shared" si="345"/>
        <v>0</v>
      </c>
      <c r="AA143" s="27">
        <f t="shared" si="345"/>
        <v>0</v>
      </c>
      <c r="AB143" s="27">
        <f t="shared" si="345"/>
        <v>0</v>
      </c>
      <c r="AC143" s="27">
        <f t="shared" si="345"/>
        <v>0</v>
      </c>
      <c r="AD143" s="27">
        <f t="shared" si="345"/>
        <v>0</v>
      </c>
      <c r="AE143" s="27">
        <f t="shared" si="345"/>
        <v>0</v>
      </c>
      <c r="AF143" s="27">
        <f t="shared" si="345"/>
        <v>0</v>
      </c>
      <c r="AG143" s="27">
        <f t="shared" si="345"/>
        <v>0</v>
      </c>
      <c r="AH143" s="27">
        <f t="shared" si="345"/>
        <v>0</v>
      </c>
      <c r="AI143" s="27">
        <f t="shared" si="294"/>
        <v>0</v>
      </c>
      <c r="AL143" s="27">
        <f t="shared" ref="AL143:AW143" si="350">SUMIF($G143,AL$109,$E318)</f>
        <v>0</v>
      </c>
      <c r="AM143" s="27">
        <f t="shared" si="350"/>
        <v>0</v>
      </c>
      <c r="AN143" s="27">
        <f t="shared" si="350"/>
        <v>0</v>
      </c>
      <c r="AO143" s="27">
        <f t="shared" si="350"/>
        <v>0</v>
      </c>
      <c r="AP143" s="27">
        <f t="shared" si="350"/>
        <v>0</v>
      </c>
      <c r="AQ143" s="27">
        <f t="shared" si="350"/>
        <v>0</v>
      </c>
      <c r="AR143" s="27">
        <f t="shared" si="350"/>
        <v>0</v>
      </c>
      <c r="AS143" s="27">
        <f t="shared" si="350"/>
        <v>0</v>
      </c>
      <c r="AT143" s="27">
        <f t="shared" si="350"/>
        <v>0</v>
      </c>
      <c r="AU143" s="27">
        <f t="shared" si="350"/>
        <v>0</v>
      </c>
      <c r="AV143" s="27">
        <f t="shared" si="350"/>
        <v>0</v>
      </c>
      <c r="AW143" s="27">
        <f t="shared" si="350"/>
        <v>0</v>
      </c>
      <c r="AY143" s="61">
        <f>SUMIF($G143,V$109,$E318)</f>
        <v>0</v>
      </c>
      <c r="BD143" s="61"/>
    </row>
    <row r="144" spans="2:56" s="27" customFormat="1" ht="11.25" hidden="1" x14ac:dyDescent="0.2">
      <c r="B144" s="60"/>
      <c r="C144" s="27">
        <f>Amortizaciones!C93</f>
        <v>0</v>
      </c>
      <c r="D144" s="27">
        <f>IF(C$108=SANDBOX!G189,SANDBOX!F189,0)</f>
        <v>0</v>
      </c>
      <c r="E144" s="27">
        <f>SANDBOX!O189</f>
        <v>0</v>
      </c>
      <c r="F144" s="27">
        <f>SANDBOX!P189</f>
        <v>0</v>
      </c>
      <c r="G144" s="27" t="str">
        <f>IF(SANDBOX!N189=0,SB!$B$6,SANDBOX!N189)</f>
        <v>Enero</v>
      </c>
      <c r="H144" s="27">
        <f>+E323</f>
        <v>0</v>
      </c>
      <c r="I144" s="27">
        <f>SUMIF($G144,I$109,$E324)</f>
        <v>0</v>
      </c>
      <c r="J144" s="27">
        <f t="shared" ref="J144:T144" si="351">SUMIF($G144,J$109,$E324)</f>
        <v>0</v>
      </c>
      <c r="K144" s="27">
        <f t="shared" si="351"/>
        <v>0</v>
      </c>
      <c r="L144" s="27">
        <f t="shared" si="351"/>
        <v>0</v>
      </c>
      <c r="M144" s="27">
        <f t="shared" si="351"/>
        <v>0</v>
      </c>
      <c r="N144" s="27">
        <f t="shared" si="351"/>
        <v>0</v>
      </c>
      <c r="O144" s="27">
        <f t="shared" si="351"/>
        <v>0</v>
      </c>
      <c r="P144" s="27">
        <f t="shared" si="351"/>
        <v>0</v>
      </c>
      <c r="Q144" s="27">
        <f t="shared" si="351"/>
        <v>0</v>
      </c>
      <c r="R144" s="27">
        <f t="shared" si="351"/>
        <v>0</v>
      </c>
      <c r="S144" s="27">
        <f t="shared" si="351"/>
        <v>0</v>
      </c>
      <c r="T144" s="27">
        <f t="shared" si="351"/>
        <v>0</v>
      </c>
      <c r="W144" s="27">
        <f t="shared" si="345"/>
        <v>0</v>
      </c>
      <c r="X144" s="27">
        <f t="shared" si="345"/>
        <v>0</v>
      </c>
      <c r="Y144" s="27">
        <f t="shared" si="345"/>
        <v>0</v>
      </c>
      <c r="Z144" s="27">
        <f t="shared" si="345"/>
        <v>0</v>
      </c>
      <c r="AA144" s="27">
        <f t="shared" si="345"/>
        <v>0</v>
      </c>
      <c r="AB144" s="27">
        <f t="shared" si="345"/>
        <v>0</v>
      </c>
      <c r="AC144" s="27">
        <f t="shared" si="345"/>
        <v>0</v>
      </c>
      <c r="AD144" s="27">
        <f t="shared" si="345"/>
        <v>0</v>
      </c>
      <c r="AE144" s="27">
        <f t="shared" si="345"/>
        <v>0</v>
      </c>
      <c r="AF144" s="27">
        <f t="shared" si="345"/>
        <v>0</v>
      </c>
      <c r="AG144" s="27">
        <f t="shared" si="345"/>
        <v>0</v>
      </c>
      <c r="AH144" s="27">
        <f t="shared" si="345"/>
        <v>0</v>
      </c>
      <c r="AI144" s="27">
        <f t="shared" si="294"/>
        <v>0</v>
      </c>
      <c r="AL144" s="27">
        <f t="shared" ref="AL144:AW144" si="352">SUMIF($G144,AL$109,$E323)</f>
        <v>0</v>
      </c>
      <c r="AM144" s="27">
        <f t="shared" si="352"/>
        <v>0</v>
      </c>
      <c r="AN144" s="27">
        <f t="shared" si="352"/>
        <v>0</v>
      </c>
      <c r="AO144" s="27">
        <f t="shared" si="352"/>
        <v>0</v>
      </c>
      <c r="AP144" s="27">
        <f t="shared" si="352"/>
        <v>0</v>
      </c>
      <c r="AQ144" s="27">
        <f t="shared" si="352"/>
        <v>0</v>
      </c>
      <c r="AR144" s="27">
        <f t="shared" si="352"/>
        <v>0</v>
      </c>
      <c r="AS144" s="27">
        <f t="shared" si="352"/>
        <v>0</v>
      </c>
      <c r="AT144" s="27">
        <f t="shared" si="352"/>
        <v>0</v>
      </c>
      <c r="AU144" s="27">
        <f t="shared" si="352"/>
        <v>0</v>
      </c>
      <c r="AV144" s="27">
        <f t="shared" si="352"/>
        <v>0</v>
      </c>
      <c r="AW144" s="27">
        <f t="shared" si="352"/>
        <v>0</v>
      </c>
      <c r="AY144" s="61">
        <f>SUMIF($G144,V$109,$E323)</f>
        <v>0</v>
      </c>
      <c r="BD144" s="61"/>
    </row>
    <row r="145" spans="2:166" s="27" customFormat="1" ht="11.25" hidden="1" x14ac:dyDescent="0.2">
      <c r="B145" s="60"/>
      <c r="C145" s="27">
        <f>Amortizaciones!C94</f>
        <v>0</v>
      </c>
      <c r="D145" s="27">
        <f>IF(C$108=SANDBOX!G190,SANDBOX!F190,0)</f>
        <v>0</v>
      </c>
      <c r="E145" s="27">
        <f>SANDBOX!O190</f>
        <v>0</v>
      </c>
      <c r="F145" s="27">
        <f>SANDBOX!P190</f>
        <v>0</v>
      </c>
      <c r="G145" s="27" t="str">
        <f>IF(SANDBOX!N190=0,SB!$B$6,SANDBOX!N190)</f>
        <v>Enero</v>
      </c>
      <c r="H145" s="27">
        <f>+E328</f>
        <v>0</v>
      </c>
      <c r="I145" s="27">
        <f>SUMIF($G145,I$109,$E329)</f>
        <v>0</v>
      </c>
      <c r="J145" s="27">
        <f t="shared" ref="J145:T145" si="353">SUMIF($G145,J$109,$E329)</f>
        <v>0</v>
      </c>
      <c r="K145" s="27">
        <f t="shared" si="353"/>
        <v>0</v>
      </c>
      <c r="L145" s="27">
        <f t="shared" si="353"/>
        <v>0</v>
      </c>
      <c r="M145" s="27">
        <f t="shared" si="353"/>
        <v>0</v>
      </c>
      <c r="N145" s="27">
        <f t="shared" si="353"/>
        <v>0</v>
      </c>
      <c r="O145" s="27">
        <f t="shared" si="353"/>
        <v>0</v>
      </c>
      <c r="P145" s="27">
        <f t="shared" si="353"/>
        <v>0</v>
      </c>
      <c r="Q145" s="27">
        <f t="shared" si="353"/>
        <v>0</v>
      </c>
      <c r="R145" s="27">
        <f t="shared" si="353"/>
        <v>0</v>
      </c>
      <c r="S145" s="27">
        <f t="shared" si="353"/>
        <v>0</v>
      </c>
      <c r="T145" s="27">
        <f t="shared" si="353"/>
        <v>0</v>
      </c>
      <c r="W145" s="27">
        <f t="shared" si="345"/>
        <v>0</v>
      </c>
      <c r="X145" s="27">
        <f t="shared" si="345"/>
        <v>0</v>
      </c>
      <c r="Y145" s="27">
        <f t="shared" si="345"/>
        <v>0</v>
      </c>
      <c r="Z145" s="27">
        <f t="shared" si="345"/>
        <v>0</v>
      </c>
      <c r="AA145" s="27">
        <f t="shared" si="345"/>
        <v>0</v>
      </c>
      <c r="AB145" s="27">
        <f t="shared" si="345"/>
        <v>0</v>
      </c>
      <c r="AC145" s="27">
        <f t="shared" si="345"/>
        <v>0</v>
      </c>
      <c r="AD145" s="27">
        <f t="shared" si="345"/>
        <v>0</v>
      </c>
      <c r="AE145" s="27">
        <f t="shared" si="345"/>
        <v>0</v>
      </c>
      <c r="AF145" s="27">
        <f t="shared" si="345"/>
        <v>0</v>
      </c>
      <c r="AG145" s="27">
        <f t="shared" si="345"/>
        <v>0</v>
      </c>
      <c r="AH145" s="27">
        <f t="shared" si="345"/>
        <v>0</v>
      </c>
      <c r="AI145" s="27">
        <f t="shared" si="294"/>
        <v>0</v>
      </c>
      <c r="AL145" s="27">
        <f t="shared" ref="AL145:AW145" si="354">SUMIF($G145,AL$109,$E328)</f>
        <v>0</v>
      </c>
      <c r="AM145" s="27">
        <f t="shared" si="354"/>
        <v>0</v>
      </c>
      <c r="AN145" s="27">
        <f t="shared" si="354"/>
        <v>0</v>
      </c>
      <c r="AO145" s="27">
        <f t="shared" si="354"/>
        <v>0</v>
      </c>
      <c r="AP145" s="27">
        <f t="shared" si="354"/>
        <v>0</v>
      </c>
      <c r="AQ145" s="27">
        <f t="shared" si="354"/>
        <v>0</v>
      </c>
      <c r="AR145" s="27">
        <f t="shared" si="354"/>
        <v>0</v>
      </c>
      <c r="AS145" s="27">
        <f t="shared" si="354"/>
        <v>0</v>
      </c>
      <c r="AT145" s="27">
        <f t="shared" si="354"/>
        <v>0</v>
      </c>
      <c r="AU145" s="27">
        <f t="shared" si="354"/>
        <v>0</v>
      </c>
      <c r="AV145" s="27">
        <f t="shared" si="354"/>
        <v>0</v>
      </c>
      <c r="AW145" s="27">
        <f t="shared" si="354"/>
        <v>0</v>
      </c>
      <c r="AY145" s="61">
        <f>SUMIF($G145,V$109,$E328)</f>
        <v>0</v>
      </c>
      <c r="BD145" s="61"/>
    </row>
    <row r="146" spans="2:166" s="27" customFormat="1" ht="11.25" hidden="1" x14ac:dyDescent="0.2">
      <c r="B146" s="60"/>
      <c r="C146" s="27">
        <f>Amortizaciones!C95</f>
        <v>0</v>
      </c>
      <c r="D146" s="27">
        <f>IF(C$108=SANDBOX!G191,SANDBOX!F191,0)</f>
        <v>0</v>
      </c>
      <c r="E146" s="27">
        <f>SANDBOX!O191</f>
        <v>0</v>
      </c>
      <c r="F146" s="27">
        <f>SANDBOX!P191</f>
        <v>0</v>
      </c>
      <c r="G146" s="27" t="str">
        <f>IF(SANDBOX!N191=0,SB!$B$6,SANDBOX!N191)</f>
        <v>Enero</v>
      </c>
      <c r="H146" s="27">
        <f>+E333</f>
        <v>0</v>
      </c>
      <c r="I146" s="27">
        <f>SUMIF($G146,I$109,$E334)</f>
        <v>0</v>
      </c>
      <c r="J146" s="27">
        <f t="shared" ref="J146:T146" si="355">SUMIF($G146,J$109,$E334)</f>
        <v>0</v>
      </c>
      <c r="K146" s="27">
        <f t="shared" si="355"/>
        <v>0</v>
      </c>
      <c r="L146" s="27">
        <f t="shared" si="355"/>
        <v>0</v>
      </c>
      <c r="M146" s="27">
        <f t="shared" si="355"/>
        <v>0</v>
      </c>
      <c r="N146" s="27">
        <f t="shared" si="355"/>
        <v>0</v>
      </c>
      <c r="O146" s="27">
        <f t="shared" si="355"/>
        <v>0</v>
      </c>
      <c r="P146" s="27">
        <f t="shared" si="355"/>
        <v>0</v>
      </c>
      <c r="Q146" s="27">
        <f t="shared" si="355"/>
        <v>0</v>
      </c>
      <c r="R146" s="27">
        <f t="shared" si="355"/>
        <v>0</v>
      </c>
      <c r="S146" s="27">
        <f t="shared" si="355"/>
        <v>0</v>
      </c>
      <c r="T146" s="27">
        <f t="shared" si="355"/>
        <v>0</v>
      </c>
      <c r="W146" s="27">
        <f t="shared" si="345"/>
        <v>0</v>
      </c>
      <c r="X146" s="27">
        <f t="shared" si="345"/>
        <v>0</v>
      </c>
      <c r="Y146" s="27">
        <f t="shared" si="345"/>
        <v>0</v>
      </c>
      <c r="Z146" s="27">
        <f t="shared" si="345"/>
        <v>0</v>
      </c>
      <c r="AA146" s="27">
        <f t="shared" si="345"/>
        <v>0</v>
      </c>
      <c r="AB146" s="27">
        <f t="shared" si="345"/>
        <v>0</v>
      </c>
      <c r="AC146" s="27">
        <f t="shared" si="345"/>
        <v>0</v>
      </c>
      <c r="AD146" s="27">
        <f t="shared" si="345"/>
        <v>0</v>
      </c>
      <c r="AE146" s="27">
        <f t="shared" si="345"/>
        <v>0</v>
      </c>
      <c r="AF146" s="27">
        <f t="shared" si="345"/>
        <v>0</v>
      </c>
      <c r="AG146" s="27">
        <f t="shared" si="345"/>
        <v>0</v>
      </c>
      <c r="AH146" s="27">
        <f t="shared" si="345"/>
        <v>0</v>
      </c>
      <c r="AI146" s="27">
        <f t="shared" si="294"/>
        <v>0</v>
      </c>
      <c r="AL146" s="27">
        <f t="shared" ref="AL146:AW146" si="356">SUMIF($G146,AL$109,$E333)</f>
        <v>0</v>
      </c>
      <c r="AM146" s="27">
        <f t="shared" si="356"/>
        <v>0</v>
      </c>
      <c r="AN146" s="27">
        <f t="shared" si="356"/>
        <v>0</v>
      </c>
      <c r="AO146" s="27">
        <f t="shared" si="356"/>
        <v>0</v>
      </c>
      <c r="AP146" s="27">
        <f t="shared" si="356"/>
        <v>0</v>
      </c>
      <c r="AQ146" s="27">
        <f t="shared" si="356"/>
        <v>0</v>
      </c>
      <c r="AR146" s="27">
        <f t="shared" si="356"/>
        <v>0</v>
      </c>
      <c r="AS146" s="27">
        <f t="shared" si="356"/>
        <v>0</v>
      </c>
      <c r="AT146" s="27">
        <f t="shared" si="356"/>
        <v>0</v>
      </c>
      <c r="AU146" s="27">
        <f t="shared" si="356"/>
        <v>0</v>
      </c>
      <c r="AV146" s="27">
        <f t="shared" si="356"/>
        <v>0</v>
      </c>
      <c r="AW146" s="27">
        <f t="shared" si="356"/>
        <v>0</v>
      </c>
      <c r="AY146" s="61">
        <f>SUMIF($G146,V$109,$E333)</f>
        <v>0</v>
      </c>
      <c r="BD146" s="61"/>
    </row>
    <row r="147" spans="2:166" s="27" customFormat="1" ht="11.25" hidden="1" x14ac:dyDescent="0.2">
      <c r="B147" s="60"/>
      <c r="C147" s="27" t="str">
        <f>Amortizaciones!C96</f>
        <v>Página web</v>
      </c>
      <c r="D147" s="27">
        <f>IF(C$108=SANDBOX!G193,SANDBOX!F193,0)</f>
        <v>0</v>
      </c>
      <c r="E147" s="27">
        <f>SANDBOX!O193</f>
        <v>0</v>
      </c>
      <c r="F147" s="27">
        <f>SANDBOX!P193</f>
        <v>0</v>
      </c>
      <c r="G147" s="27" t="str">
        <f>IF(SANDBOX!N193=0,SB!$B$6,SANDBOX!N193)</f>
        <v>Enero</v>
      </c>
      <c r="H147" s="27">
        <f>+E338</f>
        <v>0</v>
      </c>
      <c r="I147" s="27">
        <f>SUMIF($G147,I$109,$E339)</f>
        <v>0</v>
      </c>
      <c r="J147" s="27">
        <f t="shared" ref="J147:T147" si="357">SUMIF($G147,J$109,$E339)</f>
        <v>0</v>
      </c>
      <c r="K147" s="27">
        <f t="shared" si="357"/>
        <v>0</v>
      </c>
      <c r="L147" s="27">
        <f t="shared" si="357"/>
        <v>0</v>
      </c>
      <c r="M147" s="27">
        <f t="shared" si="357"/>
        <v>0</v>
      </c>
      <c r="N147" s="27">
        <f t="shared" si="357"/>
        <v>0</v>
      </c>
      <c r="O147" s="27">
        <f t="shared" si="357"/>
        <v>0</v>
      </c>
      <c r="P147" s="27">
        <f t="shared" si="357"/>
        <v>0</v>
      </c>
      <c r="Q147" s="27">
        <f t="shared" si="357"/>
        <v>0</v>
      </c>
      <c r="R147" s="27">
        <f t="shared" si="357"/>
        <v>0</v>
      </c>
      <c r="S147" s="27">
        <f t="shared" si="357"/>
        <v>0</v>
      </c>
      <c r="T147" s="27">
        <f t="shared" si="357"/>
        <v>0</v>
      </c>
      <c r="W147" s="27">
        <f t="shared" si="345"/>
        <v>0</v>
      </c>
      <c r="X147" s="27">
        <f t="shared" si="345"/>
        <v>0</v>
      </c>
      <c r="Y147" s="27">
        <f t="shared" si="345"/>
        <v>0</v>
      </c>
      <c r="Z147" s="27">
        <f t="shared" si="345"/>
        <v>0</v>
      </c>
      <c r="AA147" s="27">
        <f t="shared" si="345"/>
        <v>0</v>
      </c>
      <c r="AB147" s="27">
        <f t="shared" si="345"/>
        <v>0</v>
      </c>
      <c r="AC147" s="27">
        <f t="shared" si="345"/>
        <v>0</v>
      </c>
      <c r="AD147" s="27">
        <f t="shared" si="345"/>
        <v>0</v>
      </c>
      <c r="AE147" s="27">
        <f t="shared" si="345"/>
        <v>0</v>
      </c>
      <c r="AF147" s="27">
        <f t="shared" si="345"/>
        <v>0</v>
      </c>
      <c r="AG147" s="27">
        <f t="shared" si="345"/>
        <v>0</v>
      </c>
      <c r="AH147" s="27">
        <f t="shared" si="345"/>
        <v>0</v>
      </c>
      <c r="AI147" s="27">
        <f t="shared" ref="AI147:AI152" si="358">SUM(W147:AH147)</f>
        <v>0</v>
      </c>
      <c r="AL147" s="27">
        <f t="shared" ref="AL147:AW147" si="359">SUMIF($G147,AL$109,$E338)</f>
        <v>0</v>
      </c>
      <c r="AM147" s="27">
        <f t="shared" si="359"/>
        <v>0</v>
      </c>
      <c r="AN147" s="27">
        <f t="shared" si="359"/>
        <v>0</v>
      </c>
      <c r="AO147" s="27">
        <f t="shared" si="359"/>
        <v>0</v>
      </c>
      <c r="AP147" s="27">
        <f t="shared" si="359"/>
        <v>0</v>
      </c>
      <c r="AQ147" s="27">
        <f t="shared" si="359"/>
        <v>0</v>
      </c>
      <c r="AR147" s="27">
        <f t="shared" si="359"/>
        <v>0</v>
      </c>
      <c r="AS147" s="27">
        <f t="shared" si="359"/>
        <v>0</v>
      </c>
      <c r="AT147" s="27">
        <f t="shared" si="359"/>
        <v>0</v>
      </c>
      <c r="AU147" s="27">
        <f t="shared" si="359"/>
        <v>0</v>
      </c>
      <c r="AV147" s="27">
        <f t="shared" si="359"/>
        <v>0</v>
      </c>
      <c r="AW147" s="27">
        <f t="shared" si="359"/>
        <v>0</v>
      </c>
      <c r="AY147" s="61">
        <f>SUMIF($G147,V$109,$E338)</f>
        <v>0</v>
      </c>
      <c r="BD147" s="61"/>
    </row>
    <row r="148" spans="2:166" s="27" customFormat="1" ht="11.25" hidden="1" x14ac:dyDescent="0.2">
      <c r="B148" s="60"/>
      <c r="C148" s="27" t="str">
        <f>Amortizaciones!C97</f>
        <v>Software standard</v>
      </c>
      <c r="D148" s="27">
        <f>IF(C$108=SANDBOX!G194,SANDBOX!F194,0)</f>
        <v>0</v>
      </c>
      <c r="E148" s="27">
        <f>SANDBOX!O194</f>
        <v>0</v>
      </c>
      <c r="F148" s="27">
        <f>SANDBOX!P194</f>
        <v>0</v>
      </c>
      <c r="G148" s="27" t="str">
        <f>IF(SANDBOX!N194=0,SB!$B$6,SANDBOX!N194)</f>
        <v>Enero</v>
      </c>
      <c r="H148" s="27">
        <f>+E343</f>
        <v>0</v>
      </c>
      <c r="I148" s="27">
        <f>SUMIF($G148,I$109,$E344)</f>
        <v>0</v>
      </c>
      <c r="J148" s="27">
        <f t="shared" ref="J148:T148" si="360">SUMIF($G148,J$109,$E344)</f>
        <v>0</v>
      </c>
      <c r="K148" s="27">
        <f t="shared" si="360"/>
        <v>0</v>
      </c>
      <c r="L148" s="27">
        <f t="shared" si="360"/>
        <v>0</v>
      </c>
      <c r="M148" s="27">
        <f t="shared" si="360"/>
        <v>0</v>
      </c>
      <c r="N148" s="27">
        <f t="shared" si="360"/>
        <v>0</v>
      </c>
      <c r="O148" s="27">
        <f t="shared" si="360"/>
        <v>0</v>
      </c>
      <c r="P148" s="27">
        <f t="shared" si="360"/>
        <v>0</v>
      </c>
      <c r="Q148" s="27">
        <f t="shared" si="360"/>
        <v>0</v>
      </c>
      <c r="R148" s="27">
        <f t="shared" si="360"/>
        <v>0</v>
      </c>
      <c r="S148" s="27">
        <f t="shared" si="360"/>
        <v>0</v>
      </c>
      <c r="T148" s="27">
        <f t="shared" si="360"/>
        <v>0</v>
      </c>
      <c r="W148" s="27">
        <f t="shared" si="345"/>
        <v>0</v>
      </c>
      <c r="X148" s="27">
        <f t="shared" si="345"/>
        <v>0</v>
      </c>
      <c r="Y148" s="27">
        <f t="shared" si="345"/>
        <v>0</v>
      </c>
      <c r="Z148" s="27">
        <f t="shared" si="345"/>
        <v>0</v>
      </c>
      <c r="AA148" s="27">
        <f t="shared" si="345"/>
        <v>0</v>
      </c>
      <c r="AB148" s="27">
        <f t="shared" si="345"/>
        <v>0</v>
      </c>
      <c r="AC148" s="27">
        <f t="shared" si="345"/>
        <v>0</v>
      </c>
      <c r="AD148" s="27">
        <f t="shared" si="345"/>
        <v>0</v>
      </c>
      <c r="AE148" s="27">
        <f t="shared" si="345"/>
        <v>0</v>
      </c>
      <c r="AF148" s="27">
        <f t="shared" si="345"/>
        <v>0</v>
      </c>
      <c r="AG148" s="27">
        <f t="shared" si="345"/>
        <v>0</v>
      </c>
      <c r="AH148" s="27">
        <f t="shared" si="345"/>
        <v>0</v>
      </c>
      <c r="AI148" s="27">
        <f t="shared" si="358"/>
        <v>0</v>
      </c>
      <c r="AL148" s="27">
        <f t="shared" ref="AL148:AW148" si="361">SUMIF($G148,AL$109,$E343)</f>
        <v>0</v>
      </c>
      <c r="AM148" s="27">
        <f t="shared" si="361"/>
        <v>0</v>
      </c>
      <c r="AN148" s="27">
        <f t="shared" si="361"/>
        <v>0</v>
      </c>
      <c r="AO148" s="27">
        <f t="shared" si="361"/>
        <v>0</v>
      </c>
      <c r="AP148" s="27">
        <f t="shared" si="361"/>
        <v>0</v>
      </c>
      <c r="AQ148" s="27">
        <f t="shared" si="361"/>
        <v>0</v>
      </c>
      <c r="AR148" s="27">
        <f t="shared" si="361"/>
        <v>0</v>
      </c>
      <c r="AS148" s="27">
        <f t="shared" si="361"/>
        <v>0</v>
      </c>
      <c r="AT148" s="27">
        <f t="shared" si="361"/>
        <v>0</v>
      </c>
      <c r="AU148" s="27">
        <f t="shared" si="361"/>
        <v>0</v>
      </c>
      <c r="AV148" s="27">
        <f t="shared" si="361"/>
        <v>0</v>
      </c>
      <c r="AW148" s="27">
        <f t="shared" si="361"/>
        <v>0</v>
      </c>
      <c r="AY148" s="61">
        <f>SUMIF($G148,V$109,$E343)</f>
        <v>0</v>
      </c>
      <c r="BD148" s="61"/>
    </row>
    <row r="149" spans="2:166" s="27" customFormat="1" ht="11.25" hidden="1" x14ac:dyDescent="0.2">
      <c r="B149" s="60"/>
      <c r="C149" s="27" t="str">
        <f>Amortizaciones!C98</f>
        <v>Traspaso</v>
      </c>
      <c r="D149" s="27">
        <f>IF(C$108=SANDBOX!G195,SANDBOX!F195,0)</f>
        <v>0</v>
      </c>
      <c r="E149" s="27">
        <f>SANDBOX!O195</f>
        <v>0</v>
      </c>
      <c r="F149" s="27">
        <f>SANDBOX!P195</f>
        <v>0</v>
      </c>
      <c r="G149" s="27" t="str">
        <f>IF(SANDBOX!N195=0,SB!$B$6,SANDBOX!N195)</f>
        <v>Enero</v>
      </c>
      <c r="H149" s="27">
        <f>+E348</f>
        <v>0</v>
      </c>
      <c r="I149" s="27">
        <f>SUMIF($G149,I$109,$E349)</f>
        <v>0</v>
      </c>
      <c r="J149" s="27">
        <f t="shared" ref="J149:T149" si="362">SUMIF($G149,J$109,$E349)</f>
        <v>0</v>
      </c>
      <c r="K149" s="27">
        <f t="shared" si="362"/>
        <v>0</v>
      </c>
      <c r="L149" s="27">
        <f t="shared" si="362"/>
        <v>0</v>
      </c>
      <c r="M149" s="27">
        <f t="shared" si="362"/>
        <v>0</v>
      </c>
      <c r="N149" s="27">
        <f t="shared" si="362"/>
        <v>0</v>
      </c>
      <c r="O149" s="27">
        <f t="shared" si="362"/>
        <v>0</v>
      </c>
      <c r="P149" s="27">
        <f t="shared" si="362"/>
        <v>0</v>
      </c>
      <c r="Q149" s="27">
        <f t="shared" si="362"/>
        <v>0</v>
      </c>
      <c r="R149" s="27">
        <f t="shared" si="362"/>
        <v>0</v>
      </c>
      <c r="S149" s="27">
        <f t="shared" si="362"/>
        <v>0</v>
      </c>
      <c r="T149" s="27">
        <f t="shared" si="362"/>
        <v>0</v>
      </c>
      <c r="W149" s="27">
        <f t="shared" si="345"/>
        <v>0</v>
      </c>
      <c r="X149" s="27">
        <f t="shared" si="345"/>
        <v>0</v>
      </c>
      <c r="Y149" s="27">
        <f t="shared" si="345"/>
        <v>0</v>
      </c>
      <c r="Z149" s="27">
        <f t="shared" si="345"/>
        <v>0</v>
      </c>
      <c r="AA149" s="27">
        <f t="shared" si="345"/>
        <v>0</v>
      </c>
      <c r="AB149" s="27">
        <f t="shared" si="345"/>
        <v>0</v>
      </c>
      <c r="AC149" s="27">
        <f t="shared" si="345"/>
        <v>0</v>
      </c>
      <c r="AD149" s="27">
        <f t="shared" si="345"/>
        <v>0</v>
      </c>
      <c r="AE149" s="27">
        <f t="shared" si="345"/>
        <v>0</v>
      </c>
      <c r="AF149" s="27">
        <f t="shared" si="345"/>
        <v>0</v>
      </c>
      <c r="AG149" s="27">
        <f t="shared" si="345"/>
        <v>0</v>
      </c>
      <c r="AH149" s="27">
        <f t="shared" si="345"/>
        <v>0</v>
      </c>
      <c r="AI149" s="27">
        <f t="shared" si="358"/>
        <v>0</v>
      </c>
      <c r="AL149" s="27">
        <f t="shared" ref="AL149:AW149" si="363">SUMIF($G149,AL$109,$E348)</f>
        <v>0</v>
      </c>
      <c r="AM149" s="27">
        <f t="shared" si="363"/>
        <v>0</v>
      </c>
      <c r="AN149" s="27">
        <f t="shared" si="363"/>
        <v>0</v>
      </c>
      <c r="AO149" s="27">
        <f t="shared" si="363"/>
        <v>0</v>
      </c>
      <c r="AP149" s="27">
        <f t="shared" si="363"/>
        <v>0</v>
      </c>
      <c r="AQ149" s="27">
        <f t="shared" si="363"/>
        <v>0</v>
      </c>
      <c r="AR149" s="27">
        <f t="shared" si="363"/>
        <v>0</v>
      </c>
      <c r="AS149" s="27">
        <f t="shared" si="363"/>
        <v>0</v>
      </c>
      <c r="AT149" s="27">
        <f t="shared" si="363"/>
        <v>0</v>
      </c>
      <c r="AU149" s="27">
        <f t="shared" si="363"/>
        <v>0</v>
      </c>
      <c r="AV149" s="27">
        <f t="shared" si="363"/>
        <v>0</v>
      </c>
      <c r="AW149" s="27">
        <f t="shared" si="363"/>
        <v>0</v>
      </c>
      <c r="AY149" s="61">
        <f>SUMIF($G149,V$109,$E348)</f>
        <v>0</v>
      </c>
      <c r="BD149" s="61"/>
    </row>
    <row r="150" spans="2:166" s="27" customFormat="1" ht="11.25" hidden="1" x14ac:dyDescent="0.2">
      <c r="B150" s="60"/>
      <c r="C150" s="27" t="str">
        <f>Amortizaciones!C99</f>
        <v>Patentes y marca</v>
      </c>
      <c r="D150" s="27">
        <f>IF(C$108=SANDBOX!G196,SANDBOX!F196,0)</f>
        <v>0</v>
      </c>
      <c r="E150" s="27">
        <f>SANDBOX!O196</f>
        <v>0</v>
      </c>
      <c r="F150" s="27">
        <f>SANDBOX!P196</f>
        <v>0</v>
      </c>
      <c r="G150" s="27" t="str">
        <f>IF(SANDBOX!N196=0,SB!$B$6,SANDBOX!N196)</f>
        <v>Enero</v>
      </c>
      <c r="H150" s="27">
        <f>+E353</f>
        <v>0</v>
      </c>
      <c r="I150" s="27">
        <f>SUMIF($G150,I$109,$E354)</f>
        <v>0</v>
      </c>
      <c r="J150" s="27">
        <f t="shared" ref="J150:T150" si="364">SUMIF($G150,J$109,$E354)</f>
        <v>0</v>
      </c>
      <c r="K150" s="27">
        <f t="shared" si="364"/>
        <v>0</v>
      </c>
      <c r="L150" s="27">
        <f t="shared" si="364"/>
        <v>0</v>
      </c>
      <c r="M150" s="27">
        <f t="shared" si="364"/>
        <v>0</v>
      </c>
      <c r="N150" s="27">
        <f t="shared" si="364"/>
        <v>0</v>
      </c>
      <c r="O150" s="27">
        <f t="shared" si="364"/>
        <v>0</v>
      </c>
      <c r="P150" s="27">
        <f t="shared" si="364"/>
        <v>0</v>
      </c>
      <c r="Q150" s="27">
        <f t="shared" si="364"/>
        <v>0</v>
      </c>
      <c r="R150" s="27">
        <f t="shared" si="364"/>
        <v>0</v>
      </c>
      <c r="S150" s="27">
        <f t="shared" si="364"/>
        <v>0</v>
      </c>
      <c r="T150" s="27">
        <f t="shared" si="364"/>
        <v>0</v>
      </c>
      <c r="W150" s="27">
        <f t="shared" si="345"/>
        <v>0</v>
      </c>
      <c r="X150" s="27">
        <f t="shared" si="345"/>
        <v>0</v>
      </c>
      <c r="Y150" s="27">
        <f t="shared" si="345"/>
        <v>0</v>
      </c>
      <c r="Z150" s="27">
        <f t="shared" si="345"/>
        <v>0</v>
      </c>
      <c r="AA150" s="27">
        <f t="shared" si="345"/>
        <v>0</v>
      </c>
      <c r="AB150" s="27">
        <f t="shared" si="345"/>
        <v>0</v>
      </c>
      <c r="AC150" s="27">
        <f t="shared" si="345"/>
        <v>0</v>
      </c>
      <c r="AD150" s="27">
        <f t="shared" si="345"/>
        <v>0</v>
      </c>
      <c r="AE150" s="27">
        <f t="shared" si="345"/>
        <v>0</v>
      </c>
      <c r="AF150" s="27">
        <f t="shared" si="345"/>
        <v>0</v>
      </c>
      <c r="AG150" s="27">
        <f t="shared" si="345"/>
        <v>0</v>
      </c>
      <c r="AH150" s="27">
        <f t="shared" si="345"/>
        <v>0</v>
      </c>
      <c r="AI150" s="27">
        <f t="shared" si="358"/>
        <v>0</v>
      </c>
      <c r="AL150" s="27">
        <f t="shared" ref="AL150:AW150" si="365">SUMIF($G150,AL$109,$E353)</f>
        <v>0</v>
      </c>
      <c r="AM150" s="27">
        <f t="shared" si="365"/>
        <v>0</v>
      </c>
      <c r="AN150" s="27">
        <f t="shared" si="365"/>
        <v>0</v>
      </c>
      <c r="AO150" s="27">
        <f t="shared" si="365"/>
        <v>0</v>
      </c>
      <c r="AP150" s="27">
        <f t="shared" si="365"/>
        <v>0</v>
      </c>
      <c r="AQ150" s="27">
        <f t="shared" si="365"/>
        <v>0</v>
      </c>
      <c r="AR150" s="27">
        <f t="shared" si="365"/>
        <v>0</v>
      </c>
      <c r="AS150" s="27">
        <f t="shared" si="365"/>
        <v>0</v>
      </c>
      <c r="AT150" s="27">
        <f t="shared" si="365"/>
        <v>0</v>
      </c>
      <c r="AU150" s="27">
        <f t="shared" si="365"/>
        <v>0</v>
      </c>
      <c r="AV150" s="27">
        <f t="shared" si="365"/>
        <v>0</v>
      </c>
      <c r="AW150" s="27">
        <f t="shared" si="365"/>
        <v>0</v>
      </c>
      <c r="AY150" s="61">
        <f>SUMIF($G150,V$109,$E353)</f>
        <v>0</v>
      </c>
      <c r="BD150" s="61"/>
    </row>
    <row r="151" spans="2:166" s="27" customFormat="1" ht="11.25" hidden="1" x14ac:dyDescent="0.2">
      <c r="B151" s="60"/>
      <c r="C151" s="27" t="str">
        <f>Amortizaciones!C100</f>
        <v>Otros activos intangibles</v>
      </c>
      <c r="D151" s="27">
        <f>IF(C$108=SANDBOX!G197,SANDBOX!F197,0)</f>
        <v>0</v>
      </c>
      <c r="E151" s="27">
        <f>SANDBOX!O197</f>
        <v>0</v>
      </c>
      <c r="F151" s="27">
        <f>SANDBOX!P197</f>
        <v>0</v>
      </c>
      <c r="G151" s="27" t="str">
        <f>IF(SANDBOX!N197=0,SB!$B$6,SANDBOX!N197)</f>
        <v>Enero</v>
      </c>
      <c r="H151" s="27">
        <f>+E358</f>
        <v>0</v>
      </c>
      <c r="I151" s="27">
        <f>SUMIF($G151,I$109,$E359)</f>
        <v>0</v>
      </c>
      <c r="J151" s="27">
        <f t="shared" ref="J151:T151" si="366">SUMIF($G151,J$109,$E359)</f>
        <v>0</v>
      </c>
      <c r="K151" s="27">
        <f t="shared" si="366"/>
        <v>0</v>
      </c>
      <c r="L151" s="27">
        <f t="shared" si="366"/>
        <v>0</v>
      </c>
      <c r="M151" s="27">
        <f t="shared" si="366"/>
        <v>0</v>
      </c>
      <c r="N151" s="27">
        <f t="shared" si="366"/>
        <v>0</v>
      </c>
      <c r="O151" s="27">
        <f t="shared" si="366"/>
        <v>0</v>
      </c>
      <c r="P151" s="27">
        <f t="shared" si="366"/>
        <v>0</v>
      </c>
      <c r="Q151" s="27">
        <f t="shared" si="366"/>
        <v>0</v>
      </c>
      <c r="R151" s="27">
        <f t="shared" si="366"/>
        <v>0</v>
      </c>
      <c r="S151" s="27">
        <f t="shared" si="366"/>
        <v>0</v>
      </c>
      <c r="T151" s="27">
        <f t="shared" si="366"/>
        <v>0</v>
      </c>
      <c r="W151" s="27">
        <f t="shared" si="345"/>
        <v>0</v>
      </c>
      <c r="X151" s="27">
        <f t="shared" si="345"/>
        <v>0</v>
      </c>
      <c r="Y151" s="27">
        <f t="shared" si="345"/>
        <v>0</v>
      </c>
      <c r="Z151" s="27">
        <f t="shared" si="345"/>
        <v>0</v>
      </c>
      <c r="AA151" s="27">
        <f t="shared" si="345"/>
        <v>0</v>
      </c>
      <c r="AB151" s="27">
        <f t="shared" si="345"/>
        <v>0</v>
      </c>
      <c r="AC151" s="27">
        <f t="shared" si="345"/>
        <v>0</v>
      </c>
      <c r="AD151" s="27">
        <f t="shared" si="345"/>
        <v>0</v>
      </c>
      <c r="AE151" s="27">
        <f t="shared" si="345"/>
        <v>0</v>
      </c>
      <c r="AF151" s="27">
        <f t="shared" si="345"/>
        <v>0</v>
      </c>
      <c r="AG151" s="27">
        <f t="shared" si="345"/>
        <v>0</v>
      </c>
      <c r="AH151" s="27">
        <f t="shared" si="345"/>
        <v>0</v>
      </c>
      <c r="AI151" s="27">
        <f t="shared" si="358"/>
        <v>0</v>
      </c>
      <c r="AL151" s="27">
        <f t="shared" ref="AL151:AW151" si="367">SUMIF($G151,AL$109,$E358)</f>
        <v>0</v>
      </c>
      <c r="AM151" s="27">
        <f t="shared" si="367"/>
        <v>0</v>
      </c>
      <c r="AN151" s="27">
        <f t="shared" si="367"/>
        <v>0</v>
      </c>
      <c r="AO151" s="27">
        <f t="shared" si="367"/>
        <v>0</v>
      </c>
      <c r="AP151" s="27">
        <f t="shared" si="367"/>
        <v>0</v>
      </c>
      <c r="AQ151" s="27">
        <f t="shared" si="367"/>
        <v>0</v>
      </c>
      <c r="AR151" s="27">
        <f t="shared" si="367"/>
        <v>0</v>
      </c>
      <c r="AS151" s="27">
        <f t="shared" si="367"/>
        <v>0</v>
      </c>
      <c r="AT151" s="27">
        <f t="shared" si="367"/>
        <v>0</v>
      </c>
      <c r="AU151" s="27">
        <f t="shared" si="367"/>
        <v>0</v>
      </c>
      <c r="AV151" s="27">
        <f t="shared" si="367"/>
        <v>0</v>
      </c>
      <c r="AW151" s="27">
        <f t="shared" si="367"/>
        <v>0</v>
      </c>
      <c r="AY151" s="61">
        <f>SUMIF($G151,V$109,$E358)</f>
        <v>0</v>
      </c>
      <c r="BD151" s="61"/>
    </row>
    <row r="152" spans="2:166" s="27" customFormat="1" ht="11.25" hidden="1" x14ac:dyDescent="0.2">
      <c r="B152" s="60"/>
      <c r="C152" s="27" t="str">
        <f>Amortizaciones!C101</f>
        <v>Activos intangibles 2</v>
      </c>
      <c r="D152" s="27">
        <f>IF(C$108=SANDBOX!G198,SANDBOX!F198,0)</f>
        <v>0</v>
      </c>
      <c r="E152" s="27">
        <f>SANDBOX!O198</f>
        <v>0</v>
      </c>
      <c r="F152" s="27">
        <f>SANDBOX!P198</f>
        <v>0</v>
      </c>
      <c r="G152" s="27" t="str">
        <f>IF(SANDBOX!N198=0,SB!$B$6,SANDBOX!N198)</f>
        <v>Enero</v>
      </c>
      <c r="H152" s="27">
        <f>+E363</f>
        <v>0</v>
      </c>
      <c r="I152" s="27">
        <f>SUMIF($G152,I$109,$E364)</f>
        <v>0</v>
      </c>
      <c r="J152" s="27">
        <f t="shared" ref="J152:T152" si="368">SUMIF($G152,J$109,$E364)</f>
        <v>0</v>
      </c>
      <c r="K152" s="27">
        <f t="shared" si="368"/>
        <v>0</v>
      </c>
      <c r="L152" s="27">
        <f t="shared" si="368"/>
        <v>0</v>
      </c>
      <c r="M152" s="27">
        <f t="shared" si="368"/>
        <v>0</v>
      </c>
      <c r="N152" s="27">
        <f t="shared" si="368"/>
        <v>0</v>
      </c>
      <c r="O152" s="27">
        <f t="shared" si="368"/>
        <v>0</v>
      </c>
      <c r="P152" s="27">
        <f t="shared" si="368"/>
        <v>0</v>
      </c>
      <c r="Q152" s="27">
        <f t="shared" si="368"/>
        <v>0</v>
      </c>
      <c r="R152" s="27">
        <f t="shared" si="368"/>
        <v>0</v>
      </c>
      <c r="S152" s="27">
        <f t="shared" si="368"/>
        <v>0</v>
      </c>
      <c r="T152" s="27">
        <f t="shared" si="368"/>
        <v>0</v>
      </c>
      <c r="W152" s="27">
        <f t="shared" si="345"/>
        <v>0</v>
      </c>
      <c r="X152" s="27">
        <f t="shared" si="345"/>
        <v>0</v>
      </c>
      <c r="Y152" s="27">
        <f t="shared" si="345"/>
        <v>0</v>
      </c>
      <c r="Z152" s="27">
        <f t="shared" si="345"/>
        <v>0</v>
      </c>
      <c r="AA152" s="27">
        <f t="shared" si="345"/>
        <v>0</v>
      </c>
      <c r="AB152" s="27">
        <f t="shared" si="345"/>
        <v>0</v>
      </c>
      <c r="AC152" s="27">
        <f t="shared" si="345"/>
        <v>0</v>
      </c>
      <c r="AD152" s="27">
        <f t="shared" si="345"/>
        <v>0</v>
      </c>
      <c r="AE152" s="27">
        <f t="shared" si="345"/>
        <v>0</v>
      </c>
      <c r="AF152" s="27">
        <f t="shared" si="345"/>
        <v>0</v>
      </c>
      <c r="AG152" s="27">
        <f t="shared" si="345"/>
        <v>0</v>
      </c>
      <c r="AH152" s="27">
        <f t="shared" si="345"/>
        <v>0</v>
      </c>
      <c r="AI152" s="27">
        <f t="shared" si="358"/>
        <v>0</v>
      </c>
      <c r="AL152" s="27">
        <f t="shared" ref="AL152:AW152" si="369">SUMIF($G152,AL$109,$E363)</f>
        <v>0</v>
      </c>
      <c r="AM152" s="27">
        <f t="shared" si="369"/>
        <v>0</v>
      </c>
      <c r="AN152" s="27">
        <f t="shared" si="369"/>
        <v>0</v>
      </c>
      <c r="AO152" s="27">
        <f t="shared" si="369"/>
        <v>0</v>
      </c>
      <c r="AP152" s="27">
        <f t="shared" si="369"/>
        <v>0</v>
      </c>
      <c r="AQ152" s="27">
        <f t="shared" si="369"/>
        <v>0</v>
      </c>
      <c r="AR152" s="27">
        <f t="shared" si="369"/>
        <v>0</v>
      </c>
      <c r="AS152" s="27">
        <f t="shared" si="369"/>
        <v>0</v>
      </c>
      <c r="AT152" s="27">
        <f t="shared" si="369"/>
        <v>0</v>
      </c>
      <c r="AU152" s="27">
        <f t="shared" si="369"/>
        <v>0</v>
      </c>
      <c r="AV152" s="27">
        <f t="shared" si="369"/>
        <v>0</v>
      </c>
      <c r="AW152" s="27">
        <f t="shared" si="369"/>
        <v>0</v>
      </c>
      <c r="AY152" s="61">
        <f>SUMIF($G152,V$109,$E363)</f>
        <v>0</v>
      </c>
      <c r="BD152" s="61"/>
    </row>
    <row r="153" spans="2:166" s="27" customFormat="1" ht="11.25" hidden="1" x14ac:dyDescent="0.2">
      <c r="B153" s="62"/>
      <c r="C153" s="63"/>
      <c r="D153" s="63"/>
      <c r="E153" s="63"/>
      <c r="F153" s="63"/>
      <c r="G153" s="63"/>
      <c r="H153" s="63">
        <f>SUM(H111:H152)</f>
        <v>0</v>
      </c>
      <c r="I153" s="63"/>
      <c r="J153" s="63"/>
      <c r="K153" s="63"/>
      <c r="L153" s="63"/>
      <c r="M153" s="63"/>
      <c r="N153" s="63"/>
      <c r="O153" s="63"/>
      <c r="P153" s="63"/>
      <c r="Q153" s="63"/>
      <c r="R153" s="63"/>
      <c r="S153" s="63"/>
      <c r="T153" s="63"/>
      <c r="U153" s="63"/>
      <c r="V153" s="63"/>
      <c r="W153" s="63">
        <f>SUM(W111:W152)</f>
        <v>0</v>
      </c>
      <c r="X153" s="63">
        <f t="shared" ref="X153:AH153" si="370">SUM(X111:X152)</f>
        <v>0</v>
      </c>
      <c r="Y153" s="63">
        <f t="shared" si="370"/>
        <v>0</v>
      </c>
      <c r="Z153" s="63">
        <f t="shared" si="370"/>
        <v>0</v>
      </c>
      <c r="AA153" s="63">
        <f t="shared" si="370"/>
        <v>0</v>
      </c>
      <c r="AB153" s="63">
        <f t="shared" si="370"/>
        <v>0</v>
      </c>
      <c r="AC153" s="63">
        <f t="shared" si="370"/>
        <v>0</v>
      </c>
      <c r="AD153" s="63">
        <f t="shared" si="370"/>
        <v>0</v>
      </c>
      <c r="AE153" s="63">
        <f t="shared" si="370"/>
        <v>0</v>
      </c>
      <c r="AF153" s="63">
        <f t="shared" si="370"/>
        <v>0</v>
      </c>
      <c r="AG153" s="63">
        <f t="shared" si="370"/>
        <v>0</v>
      </c>
      <c r="AH153" s="63">
        <f t="shared" si="370"/>
        <v>0</v>
      </c>
      <c r="AI153" s="63">
        <f>SUM(AI110:AI152)</f>
        <v>0</v>
      </c>
      <c r="AJ153" s="63"/>
      <c r="AK153" s="63"/>
      <c r="AL153" s="63"/>
      <c r="AM153" s="63"/>
      <c r="AN153" s="63"/>
      <c r="AO153" s="63"/>
      <c r="AP153" s="63"/>
      <c r="AQ153" s="63"/>
      <c r="AR153" s="63"/>
      <c r="AS153" s="63"/>
      <c r="AT153" s="63"/>
      <c r="AU153" s="63"/>
      <c r="AV153" s="63"/>
      <c r="AW153" s="63"/>
      <c r="AX153" s="63"/>
      <c r="AY153" s="63"/>
      <c r="AZ153" s="63"/>
      <c r="BA153" s="63"/>
      <c r="BB153" s="63"/>
      <c r="BC153" s="63"/>
      <c r="BD153" s="64"/>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4"/>
    </row>
    <row r="154" spans="2:166" s="27" customFormat="1" ht="11.25" hidden="1" x14ac:dyDescent="0.2">
      <c r="B154" s="60"/>
      <c r="C154" s="27" t="s">
        <v>59</v>
      </c>
      <c r="D154" s="27" t="s">
        <v>1305</v>
      </c>
      <c r="E154" s="27" t="s">
        <v>305</v>
      </c>
      <c r="F154" s="27" t="s">
        <v>629</v>
      </c>
      <c r="G154" s="27" t="s">
        <v>631</v>
      </c>
      <c r="H154" s="27" t="s">
        <v>229</v>
      </c>
      <c r="I154" s="27">
        <v>1</v>
      </c>
      <c r="J154" s="27" t="s">
        <v>229</v>
      </c>
      <c r="K154" s="27">
        <f>+I154+1</f>
        <v>2</v>
      </c>
      <c r="L154" s="27" t="s">
        <v>229</v>
      </c>
      <c r="M154" s="27">
        <f>+K154+1</f>
        <v>3</v>
      </c>
      <c r="N154" s="27" t="s">
        <v>229</v>
      </c>
      <c r="O154" s="27">
        <f>+M154+1</f>
        <v>4</v>
      </c>
      <c r="P154" s="27" t="s">
        <v>229</v>
      </c>
      <c r="Q154" s="27">
        <f>+O154+1</f>
        <v>5</v>
      </c>
      <c r="R154" s="27" t="s">
        <v>229</v>
      </c>
      <c r="S154" s="27">
        <f>+Q154+1</f>
        <v>6</v>
      </c>
      <c r="T154" s="27" t="s">
        <v>229</v>
      </c>
      <c r="U154" s="27">
        <f>+S154+1</f>
        <v>7</v>
      </c>
      <c r="V154" s="27" t="s">
        <v>229</v>
      </c>
      <c r="W154" s="27">
        <f>+U154+1</f>
        <v>8</v>
      </c>
      <c r="X154" s="27" t="s">
        <v>229</v>
      </c>
      <c r="Y154" s="27">
        <f>+W154+1</f>
        <v>9</v>
      </c>
      <c r="Z154" s="27" t="s">
        <v>229</v>
      </c>
      <c r="AA154" s="27">
        <f>+Y154+1</f>
        <v>10</v>
      </c>
      <c r="AB154" s="27" t="s">
        <v>229</v>
      </c>
      <c r="AC154" s="27">
        <f>+AA154+1</f>
        <v>11</v>
      </c>
      <c r="AD154" s="27" t="s">
        <v>229</v>
      </c>
      <c r="AE154" s="27">
        <f>+AC154+1</f>
        <v>12</v>
      </c>
      <c r="AF154" s="27" t="s">
        <v>229</v>
      </c>
      <c r="AG154" s="27">
        <f>+AE154+1</f>
        <v>13</v>
      </c>
      <c r="AH154" s="27" t="s">
        <v>229</v>
      </c>
      <c r="AI154" s="27">
        <f>+AG154+1</f>
        <v>14</v>
      </c>
      <c r="AJ154" s="27" t="s">
        <v>229</v>
      </c>
      <c r="AK154" s="27">
        <f>+AI154+1</f>
        <v>15</v>
      </c>
      <c r="AL154" s="27" t="s">
        <v>229</v>
      </c>
      <c r="AM154" s="27">
        <f>+AK154+1</f>
        <v>16</v>
      </c>
      <c r="AN154" s="27" t="s">
        <v>229</v>
      </c>
      <c r="AO154" s="27">
        <f>+AM154+1</f>
        <v>17</v>
      </c>
      <c r="AP154" s="27" t="s">
        <v>229</v>
      </c>
      <c r="AQ154" s="27">
        <f>+AO154+1</f>
        <v>18</v>
      </c>
      <c r="AR154" s="27" t="s">
        <v>229</v>
      </c>
      <c r="AS154" s="27">
        <f>+AQ154+1</f>
        <v>19</v>
      </c>
      <c r="AT154" s="27" t="s">
        <v>229</v>
      </c>
      <c r="AU154" s="27">
        <f>+AS154+1</f>
        <v>20</v>
      </c>
      <c r="AV154" s="27" t="s">
        <v>229</v>
      </c>
      <c r="AW154" s="27">
        <f>+AU154+1</f>
        <v>21</v>
      </c>
      <c r="AX154" s="27" t="s">
        <v>229</v>
      </c>
      <c r="AY154" s="27">
        <f>+AW154+1</f>
        <v>22</v>
      </c>
      <c r="AZ154" s="27" t="s">
        <v>229</v>
      </c>
      <c r="BA154" s="27">
        <v>25</v>
      </c>
      <c r="BB154" s="27" t="s">
        <v>229</v>
      </c>
      <c r="BC154" s="27">
        <v>30</v>
      </c>
      <c r="BD154" s="61" t="s">
        <v>229</v>
      </c>
      <c r="BE154" s="27">
        <v>50</v>
      </c>
      <c r="BF154" s="27" t="s">
        <v>229</v>
      </c>
      <c r="BG154" s="27">
        <f>+BE154+1</f>
        <v>51</v>
      </c>
      <c r="BI154" s="27" t="str">
        <f t="shared" ref="BI154:CO154" si="371">H154</f>
        <v>AÑO</v>
      </c>
      <c r="BJ154" s="27">
        <f t="shared" si="371"/>
        <v>1</v>
      </c>
      <c r="BK154" s="27" t="str">
        <f t="shared" si="371"/>
        <v>AÑO</v>
      </c>
      <c r="BL154" s="27">
        <f t="shared" si="371"/>
        <v>2</v>
      </c>
      <c r="BM154" s="27" t="str">
        <f t="shared" si="371"/>
        <v>AÑO</v>
      </c>
      <c r="BN154" s="27">
        <f t="shared" si="371"/>
        <v>3</v>
      </c>
      <c r="BO154" s="27" t="str">
        <f t="shared" si="371"/>
        <v>AÑO</v>
      </c>
      <c r="BP154" s="27">
        <f t="shared" si="371"/>
        <v>4</v>
      </c>
      <c r="BQ154" s="27" t="str">
        <f t="shared" si="371"/>
        <v>AÑO</v>
      </c>
      <c r="BR154" s="27">
        <f t="shared" si="371"/>
        <v>5</v>
      </c>
      <c r="BS154" s="27" t="str">
        <f t="shared" si="371"/>
        <v>AÑO</v>
      </c>
      <c r="BT154" s="27">
        <f t="shared" si="371"/>
        <v>6</v>
      </c>
      <c r="BU154" s="27" t="str">
        <f t="shared" si="371"/>
        <v>AÑO</v>
      </c>
      <c r="BV154" s="27">
        <f t="shared" si="371"/>
        <v>7</v>
      </c>
      <c r="BW154" s="27" t="str">
        <f t="shared" si="371"/>
        <v>AÑO</v>
      </c>
      <c r="BX154" s="27">
        <f t="shared" si="371"/>
        <v>8</v>
      </c>
      <c r="BY154" s="27" t="str">
        <f t="shared" si="371"/>
        <v>AÑO</v>
      </c>
      <c r="BZ154" s="27">
        <f t="shared" si="371"/>
        <v>9</v>
      </c>
      <c r="CA154" s="27" t="str">
        <f t="shared" si="371"/>
        <v>AÑO</v>
      </c>
      <c r="CB154" s="27">
        <f t="shared" si="371"/>
        <v>10</v>
      </c>
      <c r="CC154" s="27" t="str">
        <f t="shared" si="371"/>
        <v>AÑO</v>
      </c>
      <c r="CD154" s="27">
        <f t="shared" si="371"/>
        <v>11</v>
      </c>
      <c r="CE154" s="27" t="str">
        <f t="shared" si="371"/>
        <v>AÑO</v>
      </c>
      <c r="CF154" s="27">
        <f t="shared" si="371"/>
        <v>12</v>
      </c>
      <c r="CG154" s="27" t="str">
        <f t="shared" si="371"/>
        <v>AÑO</v>
      </c>
      <c r="CH154" s="27">
        <f t="shared" si="371"/>
        <v>13</v>
      </c>
      <c r="CI154" s="27" t="str">
        <f t="shared" si="371"/>
        <v>AÑO</v>
      </c>
      <c r="CJ154" s="27">
        <f t="shared" si="371"/>
        <v>14</v>
      </c>
      <c r="CK154" s="27" t="str">
        <f t="shared" si="371"/>
        <v>AÑO</v>
      </c>
      <c r="CL154" s="27">
        <f t="shared" si="371"/>
        <v>15</v>
      </c>
      <c r="CM154" s="27" t="str">
        <f t="shared" si="371"/>
        <v>AÑO</v>
      </c>
      <c r="CN154" s="27">
        <f t="shared" si="371"/>
        <v>16</v>
      </c>
      <c r="CO154" s="27" t="str">
        <f t="shared" si="371"/>
        <v>AÑO</v>
      </c>
      <c r="CP154" s="27">
        <f t="shared" ref="CP154:DH154" si="372">AO154</f>
        <v>17</v>
      </c>
      <c r="CQ154" s="27" t="str">
        <f t="shared" si="372"/>
        <v>AÑO</v>
      </c>
      <c r="CR154" s="27">
        <f t="shared" si="372"/>
        <v>18</v>
      </c>
      <c r="CS154" s="27" t="str">
        <f t="shared" si="372"/>
        <v>AÑO</v>
      </c>
      <c r="CT154" s="27">
        <f t="shared" si="372"/>
        <v>19</v>
      </c>
      <c r="CU154" s="27" t="str">
        <f t="shared" si="372"/>
        <v>AÑO</v>
      </c>
      <c r="CV154" s="27">
        <f t="shared" si="372"/>
        <v>20</v>
      </c>
      <c r="CW154" s="27" t="str">
        <f t="shared" si="372"/>
        <v>AÑO</v>
      </c>
      <c r="CX154" s="27">
        <f t="shared" si="372"/>
        <v>21</v>
      </c>
      <c r="CY154" s="27" t="str">
        <f t="shared" si="372"/>
        <v>AÑO</v>
      </c>
      <c r="CZ154" s="27">
        <f t="shared" si="372"/>
        <v>22</v>
      </c>
      <c r="DA154" s="27" t="str">
        <f t="shared" si="372"/>
        <v>AÑO</v>
      </c>
      <c r="DB154" s="27">
        <f t="shared" si="372"/>
        <v>25</v>
      </c>
      <c r="DC154" s="27" t="str">
        <f t="shared" si="372"/>
        <v>AÑO</v>
      </c>
      <c r="DD154" s="27">
        <f t="shared" si="372"/>
        <v>30</v>
      </c>
      <c r="DE154" s="27" t="str">
        <f t="shared" si="372"/>
        <v>AÑO</v>
      </c>
      <c r="DF154" s="27">
        <f t="shared" si="372"/>
        <v>50</v>
      </c>
      <c r="DG154" s="27" t="str">
        <f t="shared" si="372"/>
        <v>AÑO</v>
      </c>
      <c r="DH154" s="27">
        <f t="shared" si="372"/>
        <v>51</v>
      </c>
      <c r="DI154" s="27" t="str">
        <f t="shared" ref="DI154:EO154" si="373">H154</f>
        <v>AÑO</v>
      </c>
      <c r="DJ154" s="27">
        <f t="shared" si="373"/>
        <v>1</v>
      </c>
      <c r="DK154" s="27" t="str">
        <f t="shared" si="373"/>
        <v>AÑO</v>
      </c>
      <c r="DL154" s="27">
        <f t="shared" si="373"/>
        <v>2</v>
      </c>
      <c r="DM154" s="27" t="str">
        <f t="shared" si="373"/>
        <v>AÑO</v>
      </c>
      <c r="DN154" s="27">
        <f t="shared" si="373"/>
        <v>3</v>
      </c>
      <c r="DO154" s="27" t="str">
        <f t="shared" si="373"/>
        <v>AÑO</v>
      </c>
      <c r="DP154" s="27">
        <f t="shared" si="373"/>
        <v>4</v>
      </c>
      <c r="DQ154" s="27" t="str">
        <f t="shared" si="373"/>
        <v>AÑO</v>
      </c>
      <c r="DR154" s="27">
        <f t="shared" si="373"/>
        <v>5</v>
      </c>
      <c r="DS154" s="27" t="str">
        <f t="shared" si="373"/>
        <v>AÑO</v>
      </c>
      <c r="DT154" s="27">
        <f t="shared" si="373"/>
        <v>6</v>
      </c>
      <c r="DU154" s="27" t="str">
        <f t="shared" si="373"/>
        <v>AÑO</v>
      </c>
      <c r="DV154" s="27">
        <f t="shared" si="373"/>
        <v>7</v>
      </c>
      <c r="DW154" s="27" t="str">
        <f t="shared" si="373"/>
        <v>AÑO</v>
      </c>
      <c r="DX154" s="27">
        <f t="shared" si="373"/>
        <v>8</v>
      </c>
      <c r="DY154" s="27" t="str">
        <f t="shared" si="373"/>
        <v>AÑO</v>
      </c>
      <c r="DZ154" s="27">
        <f t="shared" si="373"/>
        <v>9</v>
      </c>
      <c r="EA154" s="27" t="str">
        <f t="shared" si="373"/>
        <v>AÑO</v>
      </c>
      <c r="EB154" s="27">
        <f t="shared" si="373"/>
        <v>10</v>
      </c>
      <c r="EC154" s="27" t="str">
        <f t="shared" si="373"/>
        <v>AÑO</v>
      </c>
      <c r="ED154" s="27">
        <f t="shared" si="373"/>
        <v>11</v>
      </c>
      <c r="EE154" s="27" t="str">
        <f t="shared" si="373"/>
        <v>AÑO</v>
      </c>
      <c r="EF154" s="27">
        <f t="shared" si="373"/>
        <v>12</v>
      </c>
      <c r="EG154" s="27" t="str">
        <f t="shared" si="373"/>
        <v>AÑO</v>
      </c>
      <c r="EH154" s="27">
        <f t="shared" si="373"/>
        <v>13</v>
      </c>
      <c r="EI154" s="27" t="str">
        <f t="shared" si="373"/>
        <v>AÑO</v>
      </c>
      <c r="EJ154" s="27">
        <f t="shared" si="373"/>
        <v>14</v>
      </c>
      <c r="EK154" s="27" t="str">
        <f t="shared" si="373"/>
        <v>AÑO</v>
      </c>
      <c r="EL154" s="27">
        <f t="shared" si="373"/>
        <v>15</v>
      </c>
      <c r="EM154" s="27" t="str">
        <f t="shared" si="373"/>
        <v>AÑO</v>
      </c>
      <c r="EN154" s="27">
        <f t="shared" si="373"/>
        <v>16</v>
      </c>
      <c r="EO154" s="27" t="str">
        <f t="shared" si="373"/>
        <v>AÑO</v>
      </c>
      <c r="EP154" s="27">
        <f t="shared" ref="EP154:FH154" si="374">AO154</f>
        <v>17</v>
      </c>
      <c r="EQ154" s="27" t="str">
        <f t="shared" si="374"/>
        <v>AÑO</v>
      </c>
      <c r="ER154" s="27">
        <f t="shared" si="374"/>
        <v>18</v>
      </c>
      <c r="ES154" s="27" t="str">
        <f t="shared" si="374"/>
        <v>AÑO</v>
      </c>
      <c r="ET154" s="27">
        <f t="shared" si="374"/>
        <v>19</v>
      </c>
      <c r="EU154" s="27" t="str">
        <f t="shared" si="374"/>
        <v>AÑO</v>
      </c>
      <c r="EV154" s="27">
        <f t="shared" si="374"/>
        <v>20</v>
      </c>
      <c r="EW154" s="27" t="str">
        <f t="shared" si="374"/>
        <v>AÑO</v>
      </c>
      <c r="EX154" s="27">
        <f t="shared" si="374"/>
        <v>21</v>
      </c>
      <c r="EY154" s="27" t="str">
        <f t="shared" si="374"/>
        <v>AÑO</v>
      </c>
      <c r="EZ154" s="27">
        <f t="shared" si="374"/>
        <v>22</v>
      </c>
      <c r="FA154" s="27" t="str">
        <f t="shared" si="374"/>
        <v>AÑO</v>
      </c>
      <c r="FB154" s="27">
        <f t="shared" si="374"/>
        <v>25</v>
      </c>
      <c r="FC154" s="27" t="str">
        <f t="shared" si="374"/>
        <v>AÑO</v>
      </c>
      <c r="FD154" s="27">
        <f t="shared" si="374"/>
        <v>30</v>
      </c>
      <c r="FE154" s="27" t="str">
        <f t="shared" si="374"/>
        <v>AÑO</v>
      </c>
      <c r="FF154" s="27">
        <f t="shared" si="374"/>
        <v>50</v>
      </c>
      <c r="FG154" s="27" t="str">
        <f t="shared" si="374"/>
        <v>AÑO</v>
      </c>
      <c r="FH154" s="27">
        <f t="shared" si="374"/>
        <v>51</v>
      </c>
      <c r="FJ154" s="61"/>
    </row>
    <row r="155" spans="2:166" s="27" customFormat="1" ht="11.25" hidden="1" x14ac:dyDescent="0.2">
      <c r="B155" s="60">
        <f>+BI157*12</f>
        <v>0</v>
      </c>
      <c r="C155" s="27">
        <f>C111</f>
        <v>0</v>
      </c>
      <c r="D155" s="27">
        <f>D111</f>
        <v>0</v>
      </c>
      <c r="E155" s="27">
        <f>$E$111</f>
        <v>0</v>
      </c>
      <c r="F155" s="27">
        <f>F111</f>
        <v>0</v>
      </c>
      <c r="G155" s="27">
        <f>+$E155*12</f>
        <v>0</v>
      </c>
      <c r="H155" s="27">
        <f>SUMIF($W111:$AH111,$D111,$W$108:$AH$108)</f>
        <v>78</v>
      </c>
      <c r="I155" s="27">
        <f>13-H155</f>
        <v>-65</v>
      </c>
      <c r="J155" s="27">
        <f>IF(I155+1&lt;=$G155,I155+1,($G155-I155)+I155)</f>
        <v>-64</v>
      </c>
      <c r="K155" s="27">
        <f>IF(J155+11&lt;=$G155,J155+11,($G155-J155)+J155)</f>
        <v>-53</v>
      </c>
      <c r="L155" s="27">
        <f>IF(K155+1&lt;=$G155,K155+1,($G155-K155)+K155)</f>
        <v>-52</v>
      </c>
      <c r="M155" s="27">
        <f>IF(L155+11&lt;=$G155,L155+11,($G155-L155)+L155)</f>
        <v>-41</v>
      </c>
      <c r="N155" s="27">
        <f>IF(M155+1&lt;=$G155,M155+1,($G155-M155)+M155)</f>
        <v>-40</v>
      </c>
      <c r="O155" s="27">
        <f>IF(N155+11&lt;=$G155,N155+11,($G155-N155)+N155)</f>
        <v>-29</v>
      </c>
      <c r="P155" s="27">
        <f>IF(O155+1&lt;=$G155,O155+1,($G155-O155)+O155)</f>
        <v>-28</v>
      </c>
      <c r="Q155" s="27">
        <f>IF(P155+11&lt;=$G155,P155+11,($G155-P155)+P155)</f>
        <v>-17</v>
      </c>
      <c r="R155" s="27">
        <f>IF(Q155+1&lt;=$G155,Q155+1,($G155-Q155)+Q155)</f>
        <v>-16</v>
      </c>
      <c r="S155" s="27">
        <f>IF(R155+11&lt;=$G155,R155+11,($G155-R155)+R155)</f>
        <v>-5</v>
      </c>
      <c r="T155" s="27">
        <f>IF(S155+1&lt;=$G155,S155+1,($G155-S155)+S155)</f>
        <v>-4</v>
      </c>
      <c r="U155" s="27">
        <f>IF(T155+11&lt;=$G155,T155+11,($G155-T155)+T155)</f>
        <v>0</v>
      </c>
      <c r="V155" s="27">
        <f>IF(U155+1&lt;=$G155,U155+1,($G155-U155)+U155)</f>
        <v>0</v>
      </c>
      <c r="W155" s="27">
        <f>IF(V155+11&lt;=$G155,V155+11,($G155-V155)+V155)</f>
        <v>0</v>
      </c>
      <c r="X155" s="27">
        <f>IF(W155+1&lt;=$G155,W155+1,($G155-W155)+W155)</f>
        <v>0</v>
      </c>
      <c r="Y155" s="27">
        <f>IF(X155+11&lt;=$G155,X155+11,($G155-X155)+X155)</f>
        <v>0</v>
      </c>
      <c r="Z155" s="27">
        <f>IF(Y155+1&lt;=$G155,Y155+1,($G155-Y155)+Y155)</f>
        <v>0</v>
      </c>
      <c r="AA155" s="27">
        <f>IF(Z155+11&lt;=$G155,Z155+11,($G155-Z155)+Z155)</f>
        <v>0</v>
      </c>
      <c r="AB155" s="27">
        <f>IF(AA155+1&lt;=$G155,AA155+1,($G155-AA155)+AA155)</f>
        <v>0</v>
      </c>
      <c r="AC155" s="27">
        <f>IF(AB155+11&lt;=$G155,AB155+11,($G155-AB155)+AB155)</f>
        <v>0</v>
      </c>
      <c r="AD155" s="27">
        <f>IF(AC155+1&lt;=$G155,AC155+1,($G155-AC155)+AC155)</f>
        <v>0</v>
      </c>
      <c r="AE155" s="27">
        <f>IF(AD155+11&lt;=$G155,AD155+11,($G155-AD155)+AD155)</f>
        <v>0</v>
      </c>
      <c r="AF155" s="27">
        <f>IF(AE155+1&lt;=$G155,AE155+1,($G155-AE155)+AE155)</f>
        <v>0</v>
      </c>
      <c r="AG155" s="27">
        <f>IF(AF155+11&lt;=$G155,AF155+11,($G155-AF155)+AF155)</f>
        <v>0</v>
      </c>
      <c r="AH155" s="27">
        <f>IF(AG155+1&lt;=$G155,AG155+1,($G155-AG155)+AG155)</f>
        <v>0</v>
      </c>
      <c r="AI155" s="27">
        <f>IF(AH155+11&lt;=$G155,AH155+11,($G155-AH155)+AH155)</f>
        <v>0</v>
      </c>
      <c r="AJ155" s="27">
        <f>IF(AI155+1&lt;=$G155,AI155+1,($G155-AI155)+AI155)</f>
        <v>0</v>
      </c>
      <c r="AK155" s="27">
        <f>IF(AJ155+11&lt;=$G155,AJ155+11,($G155-AJ155)+AJ155)</f>
        <v>0</v>
      </c>
      <c r="AL155" s="27">
        <f>IF(AK155+1&lt;=$G155,AK155+1,($G155-AK155)+AK155)</f>
        <v>0</v>
      </c>
      <c r="AM155" s="27">
        <f>IF(AL155+11&lt;=$G155,AL155+11,($G155-AL155)+AL155)</f>
        <v>0</v>
      </c>
      <c r="AN155" s="27">
        <f>IF(AM155+1&lt;=$G155,AM155+1,($G155-AM155)+AM155)</f>
        <v>0</v>
      </c>
      <c r="AO155" s="27">
        <f>IF(AN155+11&lt;=$G155,AN155+11,($G155-AN155)+AN155)</f>
        <v>0</v>
      </c>
      <c r="AP155" s="27">
        <f>IF(AO155+1&lt;=$G155,AO155+1,($G155-AO155)+AO155)</f>
        <v>0</v>
      </c>
      <c r="AQ155" s="27">
        <f>IF(AP155+11&lt;=$G155,AP155+11,($G155-AP155)+AP155)</f>
        <v>0</v>
      </c>
      <c r="AR155" s="27">
        <f>IF(AQ155+1&lt;=$G155,AQ155+1,($G155-AQ155)+AQ155)</f>
        <v>0</v>
      </c>
      <c r="AS155" s="27">
        <f>IF(AR155+11&lt;=$G155,AR155+11,($G155-AR155)+AR155)</f>
        <v>0</v>
      </c>
      <c r="AT155" s="27">
        <f>IF(AS155+1&lt;=$G155,AS155+1,($G155-AS155)+AS155)</f>
        <v>0</v>
      </c>
      <c r="AU155" s="27">
        <f>IF(AT155+11&lt;=$G155,AT155+11,($G155-AT155)+AT155)</f>
        <v>0</v>
      </c>
      <c r="AV155" s="27">
        <f>IF(AU155+1&lt;=$G155,AU155+1,($G155-AU155)+AU155)</f>
        <v>0</v>
      </c>
      <c r="AW155" s="27">
        <f>IF(AV155+11&lt;=$G155,AV155+11,($G155-AV155)+AV155)</f>
        <v>0</v>
      </c>
      <c r="AX155" s="27">
        <f>IF(AW155+1&lt;=$G155,AW155+1,($G155-AW155)+AW155)</f>
        <v>0</v>
      </c>
      <c r="AY155" s="27">
        <f>IF(AX155+11&lt;=$G155,AX155+11,($G155-AX155)+AX155)</f>
        <v>0</v>
      </c>
      <c r="AZ155" s="27">
        <f>IF(AY155+1&lt;=$G155,AY155+1,($G155-AY155)+AY155)</f>
        <v>0</v>
      </c>
      <c r="BA155" s="27">
        <f>IF(AZ155+35&lt;=$G155,AZ155+35,($G155-AZ155)+AZ155)</f>
        <v>0</v>
      </c>
      <c r="BB155" s="27">
        <f>IF(BA155+1&lt;=$G155,BA155+1,($G155-BA155)+BA155)</f>
        <v>0</v>
      </c>
      <c r="BC155" s="27">
        <f>IF(BB155+59&lt;=$G155,BB155+59,($G155-BB155)+BB155)</f>
        <v>0</v>
      </c>
      <c r="BD155" s="61">
        <f>IF(BC155+1&lt;=$G155,BC155+1,($G155-BC155)+BC155)</f>
        <v>0</v>
      </c>
      <c r="BE155" s="27">
        <f>IF(BD155+239&lt;=$G155,BD155+239,($G155-BD155)+BD155)</f>
        <v>0</v>
      </c>
      <c r="BF155" s="27">
        <f>IF(BE155+1&lt;=$G155,BE155+1,($G155-BE155)+BE155)</f>
        <v>0</v>
      </c>
      <c r="BG155" s="27">
        <f>IF(BF155+11&lt;=$G155,BF155+11,($G155-BF155)+BF155)</f>
        <v>0</v>
      </c>
      <c r="FJ155" s="61"/>
    </row>
    <row r="156" spans="2:166" s="27" customFormat="1" ht="11.25" hidden="1" x14ac:dyDescent="0.2">
      <c r="B156" s="60"/>
      <c r="H156" s="27">
        <v>1</v>
      </c>
      <c r="I156" s="27">
        <f>+I155</f>
        <v>-65</v>
      </c>
      <c r="J156" s="27">
        <f>IF(I156=$G155,0,J155)</f>
        <v>-64</v>
      </c>
      <c r="K156" s="27">
        <f>+K155</f>
        <v>-53</v>
      </c>
      <c r="L156" s="27">
        <f>IF(K156=$G155,0,L155)</f>
        <v>-52</v>
      </c>
      <c r="M156" s="27">
        <f>+M155</f>
        <v>-41</v>
      </c>
      <c r="N156" s="27">
        <f>IF(M156=$G155,0,N155)</f>
        <v>-40</v>
      </c>
      <c r="O156" s="27">
        <f>+O155</f>
        <v>-29</v>
      </c>
      <c r="P156" s="27">
        <f>IF(O156=$G155,0,P155)</f>
        <v>-28</v>
      </c>
      <c r="Q156" s="27">
        <f>+Q155</f>
        <v>-17</v>
      </c>
      <c r="R156" s="27">
        <f>IF(Q156=$G155,0,R155)</f>
        <v>-16</v>
      </c>
      <c r="S156" s="27">
        <f>+S155</f>
        <v>-5</v>
      </c>
      <c r="T156" s="27">
        <f>IF(S156=$G155,0,T155)</f>
        <v>-4</v>
      </c>
      <c r="U156" s="27">
        <f>+U155</f>
        <v>0</v>
      </c>
      <c r="V156" s="27">
        <f>IF(U156=$G155,0,V155)</f>
        <v>0</v>
      </c>
      <c r="W156" s="27">
        <f>+W155</f>
        <v>0</v>
      </c>
      <c r="X156" s="27">
        <f>IF(W156=$G155,0,X155)</f>
        <v>0</v>
      </c>
      <c r="Y156" s="27">
        <f>+Y155</f>
        <v>0</v>
      </c>
      <c r="Z156" s="27">
        <f>IF(Y156=$G155,0,Z155)</f>
        <v>0</v>
      </c>
      <c r="AA156" s="27">
        <f>+AA155</f>
        <v>0</v>
      </c>
      <c r="AB156" s="27">
        <f>IF(AA156=$G155,0,AB155)</f>
        <v>0</v>
      </c>
      <c r="AC156" s="27">
        <f>+AC155</f>
        <v>0</v>
      </c>
      <c r="AD156" s="27">
        <f>IF(AC156=$G155,0,AD155)</f>
        <v>0</v>
      </c>
      <c r="AE156" s="27">
        <f>+AE155</f>
        <v>0</v>
      </c>
      <c r="AF156" s="27">
        <f>IF(AE156=$G155,0,AF155)</f>
        <v>0</v>
      </c>
      <c r="AG156" s="27">
        <f>+AG155</f>
        <v>0</v>
      </c>
      <c r="AH156" s="27">
        <f>IF(AG156=$G155,0,AH155)</f>
        <v>0</v>
      </c>
      <c r="AI156" s="27">
        <f>+AI155</f>
        <v>0</v>
      </c>
      <c r="AJ156" s="27">
        <f>IF(AI156=$G155,0,AJ155)</f>
        <v>0</v>
      </c>
      <c r="AK156" s="27">
        <f>+AK155</f>
        <v>0</v>
      </c>
      <c r="AL156" s="27">
        <f>IF(AK156=$G155,0,AL155)</f>
        <v>0</v>
      </c>
      <c r="AM156" s="27">
        <f>+AM155</f>
        <v>0</v>
      </c>
      <c r="AN156" s="27">
        <f>IF(AM156=$G155,0,AN155)</f>
        <v>0</v>
      </c>
      <c r="AO156" s="27">
        <f>+AO155</f>
        <v>0</v>
      </c>
      <c r="AP156" s="27">
        <f>IF(AO156=$G155,0,AP155)</f>
        <v>0</v>
      </c>
      <c r="AQ156" s="27">
        <f>+AQ155</f>
        <v>0</v>
      </c>
      <c r="AR156" s="27">
        <f>IF(AQ156=$G155,0,AR155)</f>
        <v>0</v>
      </c>
      <c r="AS156" s="27">
        <f>+AS155</f>
        <v>0</v>
      </c>
      <c r="AT156" s="27">
        <f>IF(AS156=$G155,0,AT155)</f>
        <v>0</v>
      </c>
      <c r="AU156" s="27">
        <f>+AU155</f>
        <v>0</v>
      </c>
      <c r="AV156" s="27">
        <f>IF(AU156=$G155,0,AV155)</f>
        <v>0</v>
      </c>
      <c r="AW156" s="27">
        <f>+AW155</f>
        <v>0</v>
      </c>
      <c r="AX156" s="27">
        <f>IF(AW156=$G155,0,AX155)</f>
        <v>0</v>
      </c>
      <c r="AY156" s="27">
        <f>+AY155</f>
        <v>0</v>
      </c>
      <c r="AZ156" s="27">
        <f>IF(AY156=$G155,0,AZ155)</f>
        <v>0</v>
      </c>
      <c r="BA156" s="27">
        <f>+BA155</f>
        <v>0</v>
      </c>
      <c r="BB156" s="27">
        <f>IF(BA156=$G155,0,BB155)</f>
        <v>0</v>
      </c>
      <c r="BC156" s="27">
        <f>+BC155</f>
        <v>0</v>
      </c>
      <c r="BD156" s="61">
        <f>IF(BC156=$G155,0,BD155)</f>
        <v>0</v>
      </c>
      <c r="BE156" s="27">
        <f>+BE155</f>
        <v>0</v>
      </c>
      <c r="BF156" s="27">
        <f>IF(BE156=$G155,0,BF155)</f>
        <v>0</v>
      </c>
      <c r="BG156" s="27">
        <f>+BG155</f>
        <v>0</v>
      </c>
      <c r="FJ156" s="61"/>
    </row>
    <row r="157" spans="2:166" s="27" customFormat="1" ht="11.25" hidden="1" x14ac:dyDescent="0.2">
      <c r="B157" s="60"/>
      <c r="F157" s="27">
        <f>SUMIF(H157:BG157,"&gt;0")</f>
        <v>0</v>
      </c>
      <c r="G157" s="27" t="s">
        <v>632</v>
      </c>
      <c r="I157" s="27" t="e">
        <f>-CUMPRINC($F155/12,$E155*12,$D155,H156,I156,0)</f>
        <v>#NUM!</v>
      </c>
      <c r="K157" s="27" t="e">
        <f>-CUMPRINC($F155/12,$E155*12,$D155,J156,K156,0)</f>
        <v>#NUM!</v>
      </c>
      <c r="M157" s="27" t="e">
        <f>-CUMPRINC($F155/12,$E155*12,$D155,L156,M156,0)</f>
        <v>#NUM!</v>
      </c>
      <c r="O157" s="27" t="e">
        <f>-CUMPRINC($F155/12,$E155*12,$D155,N156,O156,0)</f>
        <v>#NUM!</v>
      </c>
      <c r="Q157" s="27" t="e">
        <f>-CUMPRINC($F155/12,$E155*12,$D155,P156,Q156,0)</f>
        <v>#NUM!</v>
      </c>
      <c r="S157" s="27" t="e">
        <f>-CUMPRINC($F155/12,$E155*12,$D155,R156,S156,0)</f>
        <v>#NUM!</v>
      </c>
      <c r="U157" s="27" t="e">
        <f>-CUMPRINC($F155/12,$E155*12,$D155,T156,U156,0)</f>
        <v>#NUM!</v>
      </c>
      <c r="W157" s="27" t="e">
        <f>-CUMPRINC($F155/12,$E155*12,$D155,V156,W156,0)</f>
        <v>#NUM!</v>
      </c>
      <c r="Y157" s="27" t="e">
        <f>-CUMPRINC($F155/12,$E155*12,$D155,X156,Y156,0)</f>
        <v>#NUM!</v>
      </c>
      <c r="AA157" s="27" t="e">
        <f>-CUMPRINC($F155/12,$E155*12,$D155,Z156,AA156,0)</f>
        <v>#NUM!</v>
      </c>
      <c r="AC157" s="27" t="e">
        <f>-CUMPRINC($F155/12,$E155*12,$D155,AB156,AC156,0)</f>
        <v>#NUM!</v>
      </c>
      <c r="AE157" s="27" t="e">
        <f>-CUMPRINC($F155/12,$E155*12,$D155,AD156,AE156,0)</f>
        <v>#NUM!</v>
      </c>
      <c r="AG157" s="27" t="e">
        <f>-CUMPRINC($F155/12,$E155*12,$D155,AF156,AG156,0)</f>
        <v>#NUM!</v>
      </c>
      <c r="AI157" s="27" t="e">
        <f>-CUMPRINC($F155/12,$E155*12,$D155,AH156,AI156,0)</f>
        <v>#NUM!</v>
      </c>
      <c r="AK157" s="27" t="e">
        <f>-CUMPRINC($F155/12,$E155*12,$D155,AJ156,AK156,0)</f>
        <v>#NUM!</v>
      </c>
      <c r="AM157" s="27" t="e">
        <f>-CUMPRINC($F155/12,$E155*12,$D155,AL156,AM156,0)</f>
        <v>#NUM!</v>
      </c>
      <c r="AO157" s="27" t="e">
        <f>-CUMPRINC($F155/12,$E155*12,$D155,AN156,AO156,0)</f>
        <v>#NUM!</v>
      </c>
      <c r="AQ157" s="27" t="e">
        <f>-CUMPRINC($F155/12,$E155*12,$D155,AP156,AQ156,0)</f>
        <v>#NUM!</v>
      </c>
      <c r="AS157" s="27" t="e">
        <f>-CUMPRINC($F155/12,$E155*12,$D155,AR156,AS156,0)</f>
        <v>#NUM!</v>
      </c>
      <c r="AU157" s="27" t="e">
        <f>-CUMPRINC($F155/12,$E155*12,$D155,AT156,AU156,0)</f>
        <v>#NUM!</v>
      </c>
      <c r="AW157" s="27" t="e">
        <f>-CUMPRINC($F155/12,$E155*12,$D155,AV156,AW156,0)</f>
        <v>#NUM!</v>
      </c>
      <c r="AY157" s="27" t="e">
        <f>-CUMPRINC($F155/12,$E155*12,$D155,AX156,AY156,0)</f>
        <v>#NUM!</v>
      </c>
      <c r="BA157" s="27" t="e">
        <f>-CUMPRINC($F155/12,$E155*12,$D155,AZ156,BA156,0)</f>
        <v>#NUM!</v>
      </c>
      <c r="BC157" s="27" t="e">
        <f>-CUMPRINC($F155/12,$E155*12,$D155,BB156,BC156,0)</f>
        <v>#NUM!</v>
      </c>
      <c r="BD157" s="61"/>
      <c r="BE157" s="27" t="e">
        <f>-CUMPRINC($F155/12,$E155*12,$D155,BD156,BE156,0)</f>
        <v>#NUM!</v>
      </c>
      <c r="BG157" s="27" t="e">
        <f>-CUMPRINC($F155/12,$E155*12,$D155,BF156,BG156,0)</f>
        <v>#NUM!</v>
      </c>
      <c r="BH157" s="27" t="s">
        <v>783</v>
      </c>
      <c r="BJ157" s="27" t="e">
        <f>-CUMIPMT($F155/12,$E155*12,$D155,H156,I156,0)</f>
        <v>#NUM!</v>
      </c>
      <c r="BL157" s="27" t="e">
        <f>-CUMIPMT($F155/12,$E155*12,$D155,J156,K156,0)</f>
        <v>#NUM!</v>
      </c>
      <c r="BN157" s="27" t="e">
        <f>-CUMIPMT($F155/12,$E155*12,$D155,L156,M156,0)</f>
        <v>#NUM!</v>
      </c>
      <c r="BP157" s="27" t="e">
        <f>-CUMIPMT($F155/12,$E155*12,$D155,N156,O156,0)</f>
        <v>#NUM!</v>
      </c>
      <c r="BR157" s="27" t="e">
        <f>-CUMIPMT($F155/12,$E155*12,$D155,P156,Q156,0)</f>
        <v>#NUM!</v>
      </c>
      <c r="BT157" s="27" t="e">
        <f>-CUMIPMT($F155/12,$E155*12,$D155,R156,S156,0)</f>
        <v>#NUM!</v>
      </c>
      <c r="BV157" s="27" t="e">
        <f>-CUMIPMT($F155/12,$E155*12,$D155,T156,U156,0)</f>
        <v>#NUM!</v>
      </c>
      <c r="BX157" s="27" t="e">
        <f>-CUMIPMT($F155/12,$E155*12,$D155,V156,W156,0)</f>
        <v>#NUM!</v>
      </c>
      <c r="BZ157" s="27" t="e">
        <f>-CUMIPMT($F155/12,$E155*12,$D155,X156,Y156,0)</f>
        <v>#NUM!</v>
      </c>
      <c r="CB157" s="27" t="e">
        <f>-CUMIPMT($F155/12,$E155*12,$D155,Z156,AA156,0)</f>
        <v>#NUM!</v>
      </c>
      <c r="CD157" s="27" t="e">
        <f>-CUMIPMT($F155/12,$E155*12,$D155,AB156,AC156,0)</f>
        <v>#NUM!</v>
      </c>
      <c r="CF157" s="27" t="e">
        <f>-CUMIPMT($F155/12,$E155*12,$D155,AD156,AE156,0)</f>
        <v>#NUM!</v>
      </c>
      <c r="CH157" s="27" t="e">
        <f>-CUMIPMT($F155/12,$E155*12,$D155,AF156,AG156,0)</f>
        <v>#NUM!</v>
      </c>
      <c r="CJ157" s="27" t="e">
        <f>-CUMIPMT($F155/12,$E155*12,$D155,AH156,AI156,0)</f>
        <v>#NUM!</v>
      </c>
      <c r="CL157" s="27" t="e">
        <f>-CUMIPMT($F155/12,$E155*12,$D155,AJ156,AK156,0)</f>
        <v>#NUM!</v>
      </c>
      <c r="CN157" s="27" t="e">
        <f>-CUMIPMT($F155/12,$E155*12,$D155,AL156,AM156,0)</f>
        <v>#NUM!</v>
      </c>
      <c r="CP157" s="27" t="e">
        <f>-CUMIPMT($F155/12,$E155*12,$D155,AN156,AO156,0)</f>
        <v>#NUM!</v>
      </c>
      <c r="CR157" s="27" t="e">
        <f>-CUMIPMT($F155/12,$E155*12,$D155,AP156,AQ156,0)</f>
        <v>#NUM!</v>
      </c>
      <c r="CT157" s="27" t="e">
        <f>-CUMIPMT($F155/12,$E155*12,$D155,AR156,AS156,0)</f>
        <v>#NUM!</v>
      </c>
      <c r="CV157" s="27" t="e">
        <f>-CUMIPMT($F155/12,$E155*12,$D155,AT156,AU156,0)</f>
        <v>#NUM!</v>
      </c>
      <c r="CX157" s="27" t="e">
        <f>-CUMIPMT($F155/12,$E155*12,$D155,AV156,AW156,0)</f>
        <v>#NUM!</v>
      </c>
      <c r="CZ157" s="27" t="e">
        <f>-CUMIPMT($F155/12,$E155*12,$D155,AX156,AY156,0)</f>
        <v>#NUM!</v>
      </c>
      <c r="DB157" s="27" t="e">
        <f>-CUMIPMT($F155/12,$E155*12,$D155,AZ156,BA156,0)</f>
        <v>#NUM!</v>
      </c>
      <c r="DD157" s="27" t="e">
        <f>-CUMIPMT($F155/12,$E155*12,$D155,BB156,BC156,0)</f>
        <v>#NUM!</v>
      </c>
      <c r="DF157" s="27" t="e">
        <f>-CUMIPMT($F155/12,$E155*12,$D155,BD156,BE156,0)</f>
        <v>#NUM!</v>
      </c>
      <c r="DH157" s="27" t="e">
        <f>-CUMIPMT($F155/12,$E155*12,$D155,BF156,BG156,0)</f>
        <v>#NUM!</v>
      </c>
      <c r="DI157" s="27" t="s">
        <v>784</v>
      </c>
      <c r="DJ157" s="27" t="s">
        <v>785</v>
      </c>
      <c r="DK157" s="27">
        <f>+F157</f>
        <v>0</v>
      </c>
      <c r="DL157" s="27" t="e">
        <f>+DK157-I157</f>
        <v>#NUM!</v>
      </c>
      <c r="DN157" s="27" t="e">
        <f>+DL157-K157</f>
        <v>#NUM!</v>
      </c>
      <c r="DP157" s="27" t="e">
        <f>+DN157-M157</f>
        <v>#NUM!</v>
      </c>
      <c r="DR157" s="27" t="e">
        <f>+DP157-O157</f>
        <v>#NUM!</v>
      </c>
      <c r="DT157" s="27" t="e">
        <f>+DR157-Q157</f>
        <v>#NUM!</v>
      </c>
      <c r="DV157" s="27" t="e">
        <f>+DT157-S157</f>
        <v>#NUM!</v>
      </c>
      <c r="DX157" s="27" t="e">
        <f>+DV157-U157</f>
        <v>#NUM!</v>
      </c>
      <c r="DZ157" s="27" t="e">
        <f>+DX157-W157</f>
        <v>#NUM!</v>
      </c>
      <c r="EB157" s="27" t="e">
        <f>+DZ157-Y157</f>
        <v>#NUM!</v>
      </c>
      <c r="ED157" s="27" t="e">
        <f>+EB157-AA157</f>
        <v>#NUM!</v>
      </c>
      <c r="EF157" s="27" t="e">
        <f>+ED157-AC157</f>
        <v>#NUM!</v>
      </c>
      <c r="EH157" s="27" t="e">
        <f>+EF157-AE157</f>
        <v>#NUM!</v>
      </c>
      <c r="EJ157" s="27" t="e">
        <f>+EH157-AG157</f>
        <v>#NUM!</v>
      </c>
      <c r="EL157" s="27" t="e">
        <f>+EJ157-AI157</f>
        <v>#NUM!</v>
      </c>
      <c r="EN157" s="27" t="e">
        <f>+EL157-AK157</f>
        <v>#NUM!</v>
      </c>
      <c r="EP157" s="27" t="e">
        <f>+EN157-AM157</f>
        <v>#NUM!</v>
      </c>
      <c r="ER157" s="27" t="e">
        <f>+EP157-AO157</f>
        <v>#NUM!</v>
      </c>
      <c r="ET157" s="27" t="e">
        <f>+ER157-AQ157</f>
        <v>#NUM!</v>
      </c>
      <c r="EV157" s="27" t="e">
        <f>+ET157-AS157</f>
        <v>#NUM!</v>
      </c>
      <c r="EX157" s="27" t="e">
        <f>+EV157-AU157</f>
        <v>#NUM!</v>
      </c>
      <c r="EZ157" s="27" t="e">
        <f>+EX157-AW157</f>
        <v>#NUM!</v>
      </c>
      <c r="FB157" s="27" t="e">
        <f>+EZ157-AY157</f>
        <v>#NUM!</v>
      </c>
      <c r="FD157" s="27" t="e">
        <f>+FB157-BA157</f>
        <v>#NUM!</v>
      </c>
      <c r="FF157" s="27" t="e">
        <f>+FD157-BC157</f>
        <v>#NUM!</v>
      </c>
      <c r="FH157" s="27" t="e">
        <f>+FF157-BE157</f>
        <v>#NUM!</v>
      </c>
      <c r="FJ157" s="61" t="e">
        <f>+FH157-BG157</f>
        <v>#NUM!</v>
      </c>
    </row>
    <row r="158" spans="2:166" s="27" customFormat="1" ht="11.25" hidden="1" x14ac:dyDescent="0.2">
      <c r="B158" s="60"/>
      <c r="E158" s="27">
        <f>+F157+F158</f>
        <v>0</v>
      </c>
      <c r="F158" s="27">
        <f>SUMIF(BI157:DH157,"&gt;0")</f>
        <v>0</v>
      </c>
      <c r="I158" s="27">
        <f>IF(ISERROR(I157)=FALSE,I157,0)</f>
        <v>0</v>
      </c>
      <c r="K158" s="27">
        <f>IF(ISERROR(K157)=FALSE,K157,0)</f>
        <v>0</v>
      </c>
      <c r="M158" s="27">
        <f>IF(ISERROR(M157)=FALSE,M157,0)</f>
        <v>0</v>
      </c>
      <c r="O158" s="27">
        <f>IF(ISERROR(O157)=FALSE,O157,0)</f>
        <v>0</v>
      </c>
      <c r="Q158" s="27">
        <f>IF(ISERROR(Q157)=FALSE,Q157,0)</f>
        <v>0</v>
      </c>
      <c r="S158" s="27">
        <f>IF(ISERROR(S157)=FALSE,S157,0)</f>
        <v>0</v>
      </c>
      <c r="U158" s="27">
        <f>IF(ISERROR(U157)=FALSE,U157,0)</f>
        <v>0</v>
      </c>
      <c r="W158" s="27">
        <f>IF(ISERROR(W157)=FALSE,W157,0)</f>
        <v>0</v>
      </c>
      <c r="Y158" s="27">
        <f>IF(ISERROR(Y157)=FALSE,Y157,0)</f>
        <v>0</v>
      </c>
      <c r="AA158" s="27">
        <f>IF(ISERROR(AA157)=FALSE,AA157,0)</f>
        <v>0</v>
      </c>
      <c r="AC158" s="27">
        <f>IF(ISERROR(AC157)=FALSE,AC157,0)</f>
        <v>0</v>
      </c>
      <c r="AE158" s="27">
        <f>IF(ISERROR(AE157)=FALSE,AE157,0)</f>
        <v>0</v>
      </c>
      <c r="AG158" s="27">
        <f>IF(ISERROR(AG157)=FALSE,AG157,0)</f>
        <v>0</v>
      </c>
      <c r="AI158" s="27">
        <f>IF(ISERROR(AI157)=FALSE,AI157,0)</f>
        <v>0</v>
      </c>
      <c r="AK158" s="27">
        <f>IF(ISERROR(AK157)=FALSE,AK157,0)</f>
        <v>0</v>
      </c>
      <c r="AM158" s="27">
        <f>IF(ISERROR(AM157)=FALSE,AM157,0)</f>
        <v>0</v>
      </c>
      <c r="AO158" s="27">
        <f>IF(ISERROR(AO157)=FALSE,AO157,0)</f>
        <v>0</v>
      </c>
      <c r="AQ158" s="27">
        <f>IF(ISERROR(AQ157)=FALSE,AQ157,0)</f>
        <v>0</v>
      </c>
      <c r="AS158" s="27">
        <f>IF(ISERROR(AS157)=FALSE,AS157,0)</f>
        <v>0</v>
      </c>
      <c r="AU158" s="27">
        <f>IF(ISERROR(AU157)=FALSE,AU157,0)</f>
        <v>0</v>
      </c>
      <c r="AW158" s="27">
        <f>IF(ISERROR(AW157)=FALSE,AW157,0)</f>
        <v>0</v>
      </c>
      <c r="AY158" s="27">
        <f>IF(ISERROR(AY157)=FALSE,AY157,0)</f>
        <v>0</v>
      </c>
      <c r="BA158" s="27">
        <f>IF(ISERROR(BA157)=FALSE,BA157,0)</f>
        <v>0</v>
      </c>
      <c r="BC158" s="27">
        <f>IF(ISERROR(BC157)=FALSE,BC157,0)</f>
        <v>0</v>
      </c>
      <c r="BD158" s="61"/>
      <c r="BE158" s="27">
        <f>IF(ISERROR(BE157)=FALSE,BE157,0)</f>
        <v>0</v>
      </c>
      <c r="BG158" s="27">
        <f>IF(ISERROR(BG157)=FALSE,BG157,0)</f>
        <v>0</v>
      </c>
      <c r="FJ158" s="61"/>
    </row>
    <row r="159" spans="2:166" s="27" customFormat="1" ht="11.25" hidden="1" x14ac:dyDescent="0.2">
      <c r="B159" s="60"/>
      <c r="D159" s="27" t="s">
        <v>630</v>
      </c>
      <c r="E159" s="27">
        <f>IF(E155=0,0,E158/(E155*12))</f>
        <v>0</v>
      </c>
      <c r="BD159" s="61"/>
      <c r="FJ159" s="61"/>
    </row>
    <row r="160" spans="2:166" s="27" customFormat="1" ht="11.25" hidden="1" x14ac:dyDescent="0.2">
      <c r="B160" s="60"/>
      <c r="C160" s="27">
        <f>C112</f>
        <v>0</v>
      </c>
      <c r="D160" s="27">
        <f>D112</f>
        <v>0</v>
      </c>
      <c r="E160" s="27">
        <f>E112</f>
        <v>0</v>
      </c>
      <c r="F160" s="27">
        <f>F112</f>
        <v>0</v>
      </c>
      <c r="G160" s="27">
        <f>+$E160*12</f>
        <v>0</v>
      </c>
      <c r="H160" s="27">
        <f>SUMIF($W112:$AH112,$D112,$W$108:$AH$108)</f>
        <v>78</v>
      </c>
      <c r="I160" s="27">
        <f>13-H160</f>
        <v>-65</v>
      </c>
      <c r="J160" s="27">
        <f>IF(I160+1&lt;=$G160,I160+1,($G160-I160)+I160)</f>
        <v>-64</v>
      </c>
      <c r="K160" s="27">
        <f>IF(J160+11&lt;=$G160,J160+11,($G160-J160)+J160)</f>
        <v>-53</v>
      </c>
      <c r="L160" s="27">
        <f>IF(K160+1&lt;=$G160,K160+1,($G160-K160)+K160)</f>
        <v>-52</v>
      </c>
      <c r="M160" s="27">
        <f>IF(L160+11&lt;=$G160,L160+11,($G160-L160)+L160)</f>
        <v>-41</v>
      </c>
      <c r="N160" s="27">
        <f>IF(M160+1&lt;=$G160,M160+1,($G160-M160)+M160)</f>
        <v>-40</v>
      </c>
      <c r="O160" s="27">
        <f>IF(N160+11&lt;=$G160,N160+11,($G160-N160)+N160)</f>
        <v>-29</v>
      </c>
      <c r="P160" s="27">
        <f>IF(O160+1&lt;=$G160,O160+1,($G160-O160)+O160)</f>
        <v>-28</v>
      </c>
      <c r="Q160" s="27">
        <f>IF(P160+11&lt;=$G160,P160+11,($G160-P160)+P160)</f>
        <v>-17</v>
      </c>
      <c r="R160" s="27">
        <f>IF(Q160+1&lt;=$G160,Q160+1,($G160-Q160)+Q160)</f>
        <v>-16</v>
      </c>
      <c r="S160" s="27">
        <f>IF(R160+11&lt;=$G160,R160+11,($G160-R160)+R160)</f>
        <v>-5</v>
      </c>
      <c r="T160" s="27">
        <f>IF(S160+1&lt;=$G160,S160+1,($G160-S160)+S160)</f>
        <v>-4</v>
      </c>
      <c r="U160" s="27">
        <f>IF(T160+11&lt;=$G160,T160+11,($G160-T160)+T160)</f>
        <v>0</v>
      </c>
      <c r="V160" s="27">
        <f>IF(U160+1&lt;=$G160,U160+1,($G160-U160)+U160)</f>
        <v>0</v>
      </c>
      <c r="W160" s="27">
        <f>IF(V160+11&lt;=$G160,V160+11,($G160-V160)+V160)</f>
        <v>0</v>
      </c>
      <c r="X160" s="27">
        <f>IF(W160+1&lt;=$G160,W160+1,($G160-W160)+W160)</f>
        <v>0</v>
      </c>
      <c r="Y160" s="27">
        <f>IF(X160+11&lt;=$G160,X160+11,($G160-X160)+X160)</f>
        <v>0</v>
      </c>
      <c r="Z160" s="27">
        <f>IF(Y160+1&lt;=$G160,Y160+1,($G160-Y160)+Y160)</f>
        <v>0</v>
      </c>
      <c r="AA160" s="27">
        <f>IF(Z160+11&lt;=$G160,Z160+11,($G160-Z160)+Z160)</f>
        <v>0</v>
      </c>
      <c r="AB160" s="27">
        <f>IF(AA160+1&lt;=$G160,AA160+1,($G160-AA160)+AA160)</f>
        <v>0</v>
      </c>
      <c r="AC160" s="27">
        <f>IF(AB160+11&lt;=$G160,AB160+11,($G160-AB160)+AB160)</f>
        <v>0</v>
      </c>
      <c r="AD160" s="27">
        <f>IF(AC160+1&lt;=$G160,AC160+1,($G160-AC160)+AC160)</f>
        <v>0</v>
      </c>
      <c r="AE160" s="27">
        <f>IF(AD160+11&lt;=$G160,AD160+11,($G160-AD160)+AD160)</f>
        <v>0</v>
      </c>
      <c r="AF160" s="27">
        <f>IF(AE160+1&lt;=$G160,AE160+1,($G160-AE160)+AE160)</f>
        <v>0</v>
      </c>
      <c r="AG160" s="27">
        <f>IF(AF160+11&lt;=$G160,AF160+11,($G160-AF160)+AF160)</f>
        <v>0</v>
      </c>
      <c r="AH160" s="27">
        <f>IF(AG160+1&lt;=$G160,AG160+1,($G160-AG160)+AG160)</f>
        <v>0</v>
      </c>
      <c r="AI160" s="27">
        <f>IF(AH160+11&lt;=$G160,AH160+11,($G160-AH160)+AH160)</f>
        <v>0</v>
      </c>
      <c r="AJ160" s="27">
        <f>IF(AI160+1&lt;=$G160,AI160+1,($G160-AI160)+AI160)</f>
        <v>0</v>
      </c>
      <c r="AK160" s="27">
        <f>IF(AJ160+11&lt;=$G160,AJ160+11,($G160-AJ160)+AJ160)</f>
        <v>0</v>
      </c>
      <c r="AL160" s="27">
        <f>IF(AK160+1&lt;=$G160,AK160+1,($G160-AK160)+AK160)</f>
        <v>0</v>
      </c>
      <c r="AM160" s="27">
        <f>IF(AL160+11&lt;=$G160,AL160+11,($G160-AL160)+AL160)</f>
        <v>0</v>
      </c>
      <c r="AN160" s="27">
        <f>IF(AM160+1&lt;=$G160,AM160+1,($G160-AM160)+AM160)</f>
        <v>0</v>
      </c>
      <c r="AO160" s="27">
        <f>IF(AN160+11&lt;=$G160,AN160+11,($G160-AN160)+AN160)</f>
        <v>0</v>
      </c>
      <c r="AP160" s="27">
        <f>IF(AO160+1&lt;=$G160,AO160+1,($G160-AO160)+AO160)</f>
        <v>0</v>
      </c>
      <c r="AQ160" s="27">
        <f>IF(AP160+11&lt;=$G160,AP160+11,($G160-AP160)+AP160)</f>
        <v>0</v>
      </c>
      <c r="AR160" s="27">
        <f>IF(AQ160+1&lt;=$G160,AQ160+1,($G160-AQ160)+AQ160)</f>
        <v>0</v>
      </c>
      <c r="AS160" s="27">
        <f>IF(AR160+11&lt;=$G160,AR160+11,($G160-AR160)+AR160)</f>
        <v>0</v>
      </c>
      <c r="AT160" s="27">
        <f>IF(AS160+1&lt;=$G160,AS160+1,($G160-AS160)+AS160)</f>
        <v>0</v>
      </c>
      <c r="AU160" s="27">
        <f>IF(AT160+11&lt;=$G160,AT160+11,($G160-AT160)+AT160)</f>
        <v>0</v>
      </c>
      <c r="AV160" s="27">
        <f>IF(AU160+1&lt;=$G160,AU160+1,($G160-AU160)+AU160)</f>
        <v>0</v>
      </c>
      <c r="AW160" s="27">
        <f>IF(AV160+11&lt;=$G160,AV160+11,($G160-AV160)+AV160)</f>
        <v>0</v>
      </c>
      <c r="AX160" s="27">
        <f>IF(AW160+1&lt;=$G160,AW160+1,($G160-AW160)+AW160)</f>
        <v>0</v>
      </c>
      <c r="AY160" s="27">
        <f>IF(AX160+11&lt;=$G160,AX160+11,($G160-AX160)+AX160)</f>
        <v>0</v>
      </c>
      <c r="AZ160" s="27">
        <f>IF(AY160+1&lt;=$G160,AY160+1,($G160-AY160)+AY160)</f>
        <v>0</v>
      </c>
      <c r="BA160" s="27">
        <f>IF(AZ160+35&lt;=$G160,AZ160+35,($G160-AZ160)+AZ160)</f>
        <v>0</v>
      </c>
      <c r="BB160" s="27">
        <f>IF(BA160+1&lt;=$G160,BA160+1,($G160-BA160)+BA160)</f>
        <v>0</v>
      </c>
      <c r="BC160" s="27">
        <f>IF(BB160+59&lt;=$G160,BB160+59,($G160-BB160)+BB160)</f>
        <v>0</v>
      </c>
      <c r="BD160" s="61">
        <f>IF(BC160+1&lt;=$G160,BC160+1,($G160-BC160)+BC160)</f>
        <v>0</v>
      </c>
      <c r="BE160" s="27">
        <f>IF(BD160+239&lt;=$G160,BD160+239,($G160-BD160)+BD160)</f>
        <v>0</v>
      </c>
      <c r="BF160" s="27">
        <f>IF(BE160+1&lt;=$G160,BE160+1,($G160-BE160)+BE160)</f>
        <v>0</v>
      </c>
      <c r="BG160" s="27">
        <f>IF(BF160+11&lt;=$G160,BF160+11,($G160-BF160)+BF160)</f>
        <v>0</v>
      </c>
      <c r="FJ160" s="61"/>
    </row>
    <row r="161" spans="2:166" s="27" customFormat="1" ht="11.25" hidden="1" x14ac:dyDescent="0.2">
      <c r="B161" s="60"/>
      <c r="H161" s="27">
        <v>1</v>
      </c>
      <c r="I161" s="27">
        <f>+I160</f>
        <v>-65</v>
      </c>
      <c r="J161" s="27">
        <f t="shared" ref="J161:AN161" si="375">IF(I161=$G160,0,J160)</f>
        <v>-64</v>
      </c>
      <c r="K161" s="27">
        <f>+K160</f>
        <v>-53</v>
      </c>
      <c r="L161" s="27">
        <f t="shared" si="375"/>
        <v>-52</v>
      </c>
      <c r="M161" s="27">
        <f>+M160</f>
        <v>-41</v>
      </c>
      <c r="N161" s="27">
        <f t="shared" si="375"/>
        <v>-40</v>
      </c>
      <c r="O161" s="27">
        <f>+O160</f>
        <v>-29</v>
      </c>
      <c r="P161" s="27">
        <f t="shared" si="375"/>
        <v>-28</v>
      </c>
      <c r="Q161" s="27">
        <f>+Q160</f>
        <v>-17</v>
      </c>
      <c r="R161" s="27">
        <f t="shared" si="375"/>
        <v>-16</v>
      </c>
      <c r="S161" s="27">
        <f>+S160</f>
        <v>-5</v>
      </c>
      <c r="T161" s="27">
        <f t="shared" si="375"/>
        <v>-4</v>
      </c>
      <c r="U161" s="27">
        <f>+U160</f>
        <v>0</v>
      </c>
      <c r="V161" s="27">
        <f t="shared" si="375"/>
        <v>0</v>
      </c>
      <c r="W161" s="27">
        <f>+W160</f>
        <v>0</v>
      </c>
      <c r="X161" s="27">
        <f t="shared" si="375"/>
        <v>0</v>
      </c>
      <c r="Y161" s="27">
        <f>+Y160</f>
        <v>0</v>
      </c>
      <c r="Z161" s="27">
        <f t="shared" si="375"/>
        <v>0</v>
      </c>
      <c r="AA161" s="27">
        <f>+AA160</f>
        <v>0</v>
      </c>
      <c r="AB161" s="27">
        <f t="shared" si="375"/>
        <v>0</v>
      </c>
      <c r="AC161" s="27">
        <f>+AC160</f>
        <v>0</v>
      </c>
      <c r="AD161" s="27">
        <f t="shared" si="375"/>
        <v>0</v>
      </c>
      <c r="AE161" s="27">
        <f>+AE160</f>
        <v>0</v>
      </c>
      <c r="AF161" s="27">
        <f t="shared" si="375"/>
        <v>0</v>
      </c>
      <c r="AG161" s="27">
        <f>+AG160</f>
        <v>0</v>
      </c>
      <c r="AH161" s="27">
        <f t="shared" si="375"/>
        <v>0</v>
      </c>
      <c r="AI161" s="27">
        <f>+AI160</f>
        <v>0</v>
      </c>
      <c r="AJ161" s="27">
        <f t="shared" si="375"/>
        <v>0</v>
      </c>
      <c r="AK161" s="27">
        <f>+AK160</f>
        <v>0</v>
      </c>
      <c r="AL161" s="27">
        <f t="shared" si="375"/>
        <v>0</v>
      </c>
      <c r="AM161" s="27">
        <f>+AM160</f>
        <v>0</v>
      </c>
      <c r="AN161" s="27">
        <f t="shared" si="375"/>
        <v>0</v>
      </c>
      <c r="AO161" s="27">
        <f>+AO160</f>
        <v>0</v>
      </c>
      <c r="AP161" s="27">
        <f t="shared" ref="AP161:BF161" si="376">IF(AO161=$G160,0,AP160)</f>
        <v>0</v>
      </c>
      <c r="AQ161" s="27">
        <f>+AQ160</f>
        <v>0</v>
      </c>
      <c r="AR161" s="27">
        <f t="shared" si="376"/>
        <v>0</v>
      </c>
      <c r="AS161" s="27">
        <f>+AS160</f>
        <v>0</v>
      </c>
      <c r="AT161" s="27">
        <f t="shared" si="376"/>
        <v>0</v>
      </c>
      <c r="AU161" s="27">
        <f>+AU160</f>
        <v>0</v>
      </c>
      <c r="AV161" s="27">
        <f t="shared" si="376"/>
        <v>0</v>
      </c>
      <c r="AW161" s="27">
        <f>+AW160</f>
        <v>0</v>
      </c>
      <c r="AX161" s="27">
        <f t="shared" si="376"/>
        <v>0</v>
      </c>
      <c r="AY161" s="27">
        <f>+AY160</f>
        <v>0</v>
      </c>
      <c r="AZ161" s="27">
        <f t="shared" si="376"/>
        <v>0</v>
      </c>
      <c r="BA161" s="27">
        <f>+BA160</f>
        <v>0</v>
      </c>
      <c r="BB161" s="27">
        <f t="shared" si="376"/>
        <v>0</v>
      </c>
      <c r="BC161" s="27">
        <f>+BC160</f>
        <v>0</v>
      </c>
      <c r="BD161" s="61">
        <f t="shared" si="376"/>
        <v>0</v>
      </c>
      <c r="BE161" s="27">
        <f>+BE160</f>
        <v>0</v>
      </c>
      <c r="BF161" s="27">
        <f t="shared" si="376"/>
        <v>0</v>
      </c>
      <c r="BG161" s="27">
        <f>+BG160</f>
        <v>0</v>
      </c>
      <c r="FJ161" s="61"/>
    </row>
    <row r="162" spans="2:166" s="27" customFormat="1" ht="11.25" hidden="1" x14ac:dyDescent="0.2">
      <c r="B162" s="60"/>
      <c r="F162" s="27">
        <f>SUMIF(H162:BG162,"&gt;0")</f>
        <v>0</v>
      </c>
      <c r="G162" s="27" t="s">
        <v>632</v>
      </c>
      <c r="I162" s="27" t="e">
        <f>-CUMPRINC($F160/12,$E160*12,$D160,H161,I161,0)</f>
        <v>#NUM!</v>
      </c>
      <c r="K162" s="27" t="e">
        <f>-CUMPRINC($F160/12,$E160*12,$D160,J161,K161,0)</f>
        <v>#NUM!</v>
      </c>
      <c r="M162" s="27" t="e">
        <f>-CUMPRINC($F160/12,$E160*12,$D160,L161,M161,0)</f>
        <v>#NUM!</v>
      </c>
      <c r="O162" s="27" t="e">
        <f>-CUMPRINC($F160/12,$E160*12,$D160,N161,O161,0)</f>
        <v>#NUM!</v>
      </c>
      <c r="Q162" s="27" t="e">
        <f>-CUMPRINC($F160/12,$E160*12,$D160,P161,Q161,0)</f>
        <v>#NUM!</v>
      </c>
      <c r="S162" s="27" t="e">
        <f>-CUMPRINC($F160/12,$E160*12,$D160,R161,S161,0)</f>
        <v>#NUM!</v>
      </c>
      <c r="U162" s="27" t="e">
        <f>-CUMPRINC($F160/12,$E160*12,$D160,T161,U161,0)</f>
        <v>#NUM!</v>
      </c>
      <c r="W162" s="27" t="e">
        <f>-CUMPRINC($F160/12,$E160*12,$D160,V161,W161,0)</f>
        <v>#NUM!</v>
      </c>
      <c r="Y162" s="27" t="e">
        <f>-CUMPRINC($F160/12,$E160*12,$D160,X161,Y161,0)</f>
        <v>#NUM!</v>
      </c>
      <c r="AA162" s="27" t="e">
        <f>-CUMPRINC($F160/12,$E160*12,$D160,Z161,AA161,0)</f>
        <v>#NUM!</v>
      </c>
      <c r="AC162" s="27" t="e">
        <f>-CUMPRINC($F160/12,$E160*12,$D160,AB161,AC161,0)</f>
        <v>#NUM!</v>
      </c>
      <c r="AE162" s="27" t="e">
        <f>-CUMPRINC($F160/12,$E160*12,$D160,AD161,AE161,0)</f>
        <v>#NUM!</v>
      </c>
      <c r="AG162" s="27" t="e">
        <f>-CUMPRINC($F160/12,$E160*12,$D160,AF161,AG161,0)</f>
        <v>#NUM!</v>
      </c>
      <c r="AI162" s="27" t="e">
        <f>-CUMPRINC($F160/12,$E160*12,$D160,AH161,AI161,0)</f>
        <v>#NUM!</v>
      </c>
      <c r="AK162" s="27" t="e">
        <f>-CUMPRINC($F160/12,$E160*12,$D160,AJ161,AK161,0)</f>
        <v>#NUM!</v>
      </c>
      <c r="AM162" s="27" t="e">
        <f>-CUMPRINC($F160/12,$E160*12,$D160,AL161,AM161,0)</f>
        <v>#NUM!</v>
      </c>
      <c r="AO162" s="27" t="e">
        <f>-CUMPRINC($F160/12,$E160*12,$D160,AN161,AO161,0)</f>
        <v>#NUM!</v>
      </c>
      <c r="AQ162" s="27" t="e">
        <f>-CUMPRINC($F160/12,$E160*12,$D160,AP161,AQ161,0)</f>
        <v>#NUM!</v>
      </c>
      <c r="AS162" s="27" t="e">
        <f>-CUMPRINC($F160/12,$E160*12,$D160,AR161,AS161,0)</f>
        <v>#NUM!</v>
      </c>
      <c r="AU162" s="27" t="e">
        <f>-CUMPRINC($F160/12,$E160*12,$D160,AT161,AU161,0)</f>
        <v>#NUM!</v>
      </c>
      <c r="AW162" s="27" t="e">
        <f>-CUMPRINC($F160/12,$E160*12,$D160,AV161,AW161,0)</f>
        <v>#NUM!</v>
      </c>
      <c r="AY162" s="27" t="e">
        <f>-CUMPRINC($F160/12,$E160*12,$D160,AX161,AY161,0)</f>
        <v>#NUM!</v>
      </c>
      <c r="BA162" s="27" t="e">
        <f>-CUMPRINC($F160/12,$E160*12,$D160,AZ161,BA161,0)</f>
        <v>#NUM!</v>
      </c>
      <c r="BC162" s="27" t="e">
        <f>-CUMPRINC($F160/12,$E160*12,$D160,BB161,BC161,0)</f>
        <v>#NUM!</v>
      </c>
      <c r="BD162" s="61"/>
      <c r="BE162" s="27" t="e">
        <f>-CUMPRINC($F160/12,$E160*12,$D160,BD161,BE161,0)</f>
        <v>#NUM!</v>
      </c>
      <c r="BG162" s="27" t="e">
        <f>-CUMPRINC($F160/12,$E160*12,$D160,BF161,BG161,0)</f>
        <v>#NUM!</v>
      </c>
      <c r="FJ162" s="61"/>
    </row>
    <row r="163" spans="2:166" s="27" customFormat="1" ht="11.25" hidden="1" x14ac:dyDescent="0.2">
      <c r="B163" s="60"/>
      <c r="E163" s="27">
        <f>+F162+F163</f>
        <v>0</v>
      </c>
      <c r="F163" s="27">
        <f>SUMIF(BI163:DH163,"&gt;0")</f>
        <v>0</v>
      </c>
      <c r="I163" s="27">
        <f>IF(ISERROR(I162)=FALSE,I162,0)</f>
        <v>0</v>
      </c>
      <c r="K163" s="27">
        <f>IF(ISERROR(K162)=FALSE,K162,0)</f>
        <v>0</v>
      </c>
      <c r="M163" s="27">
        <f>IF(ISERROR(M162)=FALSE,M162,0)</f>
        <v>0</v>
      </c>
      <c r="O163" s="27">
        <f>IF(ISERROR(O162)=FALSE,O162,0)</f>
        <v>0</v>
      </c>
      <c r="Q163" s="27">
        <f>IF(ISERROR(Q162)=FALSE,Q162,0)</f>
        <v>0</v>
      </c>
      <c r="S163" s="27">
        <f>IF(ISERROR(S162)=FALSE,S162,0)</f>
        <v>0</v>
      </c>
      <c r="U163" s="27">
        <f>IF(ISERROR(U162)=FALSE,U162,0)</f>
        <v>0</v>
      </c>
      <c r="W163" s="27">
        <f>IF(ISERROR(W162)=FALSE,W162,0)</f>
        <v>0</v>
      </c>
      <c r="Y163" s="27">
        <f>IF(ISERROR(Y162)=FALSE,Y162,0)</f>
        <v>0</v>
      </c>
      <c r="AA163" s="27">
        <f>IF(ISERROR(AA162)=FALSE,AA162,0)</f>
        <v>0</v>
      </c>
      <c r="AC163" s="27">
        <f>IF(ISERROR(AC162)=FALSE,AC162,0)</f>
        <v>0</v>
      </c>
      <c r="AE163" s="27">
        <f>IF(ISERROR(AE162)=FALSE,AE162,0)</f>
        <v>0</v>
      </c>
      <c r="AG163" s="27">
        <f>IF(ISERROR(AG162)=FALSE,AG162,0)</f>
        <v>0</v>
      </c>
      <c r="AI163" s="27">
        <f>IF(ISERROR(AI162)=FALSE,AI162,0)</f>
        <v>0</v>
      </c>
      <c r="AK163" s="27">
        <f>IF(ISERROR(AK162)=FALSE,AK162,0)</f>
        <v>0</v>
      </c>
      <c r="AM163" s="27">
        <f>IF(ISERROR(AM162)=FALSE,AM162,0)</f>
        <v>0</v>
      </c>
      <c r="AO163" s="27">
        <f>IF(ISERROR(AO162)=FALSE,AO162,0)</f>
        <v>0</v>
      </c>
      <c r="AQ163" s="27">
        <f>IF(ISERROR(AQ162)=FALSE,AQ162,0)</f>
        <v>0</v>
      </c>
      <c r="AS163" s="27">
        <f>IF(ISERROR(AS162)=FALSE,AS162,0)</f>
        <v>0</v>
      </c>
      <c r="AU163" s="27">
        <f>IF(ISERROR(AU162)=FALSE,AU162,0)</f>
        <v>0</v>
      </c>
      <c r="AW163" s="27">
        <f>IF(ISERROR(AW162)=FALSE,AW162,0)</f>
        <v>0</v>
      </c>
      <c r="AY163" s="27">
        <f>IF(ISERROR(AY162)=FALSE,AY162,0)</f>
        <v>0</v>
      </c>
      <c r="BA163" s="27">
        <f>IF(ISERROR(BA162)=FALSE,BA162,0)</f>
        <v>0</v>
      </c>
      <c r="BC163" s="27">
        <f>IF(ISERROR(BC162)=FALSE,BC162,0)</f>
        <v>0</v>
      </c>
      <c r="BD163" s="61"/>
      <c r="BE163" s="27">
        <f>IF(ISERROR(BE162)=FALSE,BE162,0)</f>
        <v>0</v>
      </c>
      <c r="BG163" s="27">
        <f>IF(ISERROR(BG162)=FALSE,BG162,0)</f>
        <v>0</v>
      </c>
      <c r="BH163" s="27" t="s">
        <v>783</v>
      </c>
      <c r="BJ163" s="27" t="e">
        <f>-CUMIPMT($F160/12,$E160*12,$D160,H161,I161,0)</f>
        <v>#NUM!</v>
      </c>
      <c r="BL163" s="27" t="e">
        <f>-CUMIPMT($F160/12,$E160*12,$D160,J161,K161,0)</f>
        <v>#NUM!</v>
      </c>
      <c r="BN163" s="27" t="e">
        <f>-CUMIPMT($F160/12,$E160*12,$D160,L161,M161,0)</f>
        <v>#NUM!</v>
      </c>
      <c r="BP163" s="27" t="e">
        <f>-CUMIPMT($F160/12,$E160*12,$D160,N161,O161,0)</f>
        <v>#NUM!</v>
      </c>
      <c r="BR163" s="27" t="e">
        <f>-CUMIPMT($F160/12,$E160*12,$D160,P161,Q161,0)</f>
        <v>#NUM!</v>
      </c>
      <c r="BT163" s="27" t="e">
        <f>-CUMIPMT($F160/12,$E160*12,$D160,R161,S161,0)</f>
        <v>#NUM!</v>
      </c>
      <c r="BV163" s="27" t="e">
        <f>-CUMIPMT($F160/12,$E160*12,$D160,T161,U161,0)</f>
        <v>#NUM!</v>
      </c>
      <c r="BX163" s="27" t="e">
        <f>-CUMIPMT($F160/12,$E160*12,$D160,V161,W161,0)</f>
        <v>#NUM!</v>
      </c>
      <c r="BZ163" s="27" t="e">
        <f>-CUMIPMT($F160/12,$E160*12,$D160,X161,Y161,0)</f>
        <v>#NUM!</v>
      </c>
      <c r="CB163" s="27" t="e">
        <f>-CUMIPMT($F160/12,$E160*12,$D160,Z161,AA161,0)</f>
        <v>#NUM!</v>
      </c>
      <c r="CD163" s="27" t="e">
        <f>-CUMIPMT($F160/12,$E160*12,$D160,AB161,AC161,0)</f>
        <v>#NUM!</v>
      </c>
      <c r="CF163" s="27" t="e">
        <f>-CUMIPMT($F160/12,$E160*12,$D160,AD161,AE161,0)</f>
        <v>#NUM!</v>
      </c>
      <c r="CH163" s="27" t="e">
        <f>-CUMIPMT($F160/12,$E160*12,$D160,AF161,AG161,0)</f>
        <v>#NUM!</v>
      </c>
      <c r="CJ163" s="27" t="e">
        <f>-CUMIPMT($F160/12,$E160*12,$D160,AH161,AI161,0)</f>
        <v>#NUM!</v>
      </c>
      <c r="CL163" s="27" t="e">
        <f>-CUMIPMT($F160/12,$E160*12,$D160,AJ161,AK161,0)</f>
        <v>#NUM!</v>
      </c>
      <c r="CN163" s="27" t="e">
        <f>-CUMIPMT($F160/12,$E160*12,$D160,AL161,AM161,0)</f>
        <v>#NUM!</v>
      </c>
      <c r="CP163" s="27" t="e">
        <f>-CUMIPMT($F160/12,$E160*12,$D160,AN161,AO161,0)</f>
        <v>#NUM!</v>
      </c>
      <c r="CR163" s="27" t="e">
        <f>-CUMIPMT($F160/12,$E160*12,$D160,AP161,AQ161,0)</f>
        <v>#NUM!</v>
      </c>
      <c r="CT163" s="27" t="e">
        <f>-CUMIPMT($F160/12,$E160*12,$D160,AR161,AS161,0)</f>
        <v>#NUM!</v>
      </c>
      <c r="CV163" s="27" t="e">
        <f>-CUMIPMT($F160/12,$E160*12,$D160,AT161,AU161,0)</f>
        <v>#NUM!</v>
      </c>
      <c r="CX163" s="27" t="e">
        <f>-CUMIPMT($F160/12,$E160*12,$D160,AV161,AW161,0)</f>
        <v>#NUM!</v>
      </c>
      <c r="CZ163" s="27" t="e">
        <f>-CUMIPMT($F160/12,$E160*12,$D160,AX161,AY161,0)</f>
        <v>#NUM!</v>
      </c>
      <c r="DB163" s="27" t="e">
        <f>-CUMIPMT($F160/12,$E160*12,$D160,AZ161,BA161,0)</f>
        <v>#NUM!</v>
      </c>
      <c r="DD163" s="27" t="e">
        <f>-CUMIPMT($F160/12,$E160*12,$D160,BB161,BC161,0)</f>
        <v>#NUM!</v>
      </c>
      <c r="DF163" s="27" t="e">
        <f>-CUMIPMT($F160/12,$E160*12,$D160,BD161,BE161,0)</f>
        <v>#NUM!</v>
      </c>
      <c r="DH163" s="27" t="e">
        <f>-CUMIPMT($F160/12,$E160*12,$D160,BF161,BG161,0)</f>
        <v>#NUM!</v>
      </c>
      <c r="DI163" s="27" t="s">
        <v>784</v>
      </c>
      <c r="DJ163" s="27" t="s">
        <v>785</v>
      </c>
      <c r="DK163" s="27">
        <f>+F162</f>
        <v>0</v>
      </c>
      <c r="DL163" s="27" t="e">
        <f>+DK163-I162</f>
        <v>#NUM!</v>
      </c>
      <c r="DN163" s="27" t="e">
        <f>+DL163-K162</f>
        <v>#NUM!</v>
      </c>
      <c r="DP163" s="27" t="e">
        <f>+DN163-M162</f>
        <v>#NUM!</v>
      </c>
      <c r="DR163" s="27" t="e">
        <f>+DP163-O162</f>
        <v>#NUM!</v>
      </c>
      <c r="DT163" s="27" t="e">
        <f>+DR163-Q162</f>
        <v>#NUM!</v>
      </c>
      <c r="DV163" s="27" t="e">
        <f>+DT163-S162</f>
        <v>#NUM!</v>
      </c>
      <c r="DX163" s="27" t="e">
        <f>+DV163-U162</f>
        <v>#NUM!</v>
      </c>
      <c r="DZ163" s="27" t="e">
        <f>+DX163-W162</f>
        <v>#NUM!</v>
      </c>
      <c r="EB163" s="27" t="e">
        <f>+DZ163-Y162</f>
        <v>#NUM!</v>
      </c>
      <c r="ED163" s="27" t="e">
        <f>+EB163-AA162</f>
        <v>#NUM!</v>
      </c>
      <c r="EF163" s="27" t="e">
        <f>+ED163-AC162</f>
        <v>#NUM!</v>
      </c>
      <c r="EH163" s="27" t="e">
        <f>+EF163-AE162</f>
        <v>#NUM!</v>
      </c>
      <c r="EJ163" s="27" t="e">
        <f>+EH163-AG162</f>
        <v>#NUM!</v>
      </c>
      <c r="EL163" s="27" t="e">
        <f>+EJ163-AI162</f>
        <v>#NUM!</v>
      </c>
      <c r="EN163" s="27" t="e">
        <f>+EL163-AK162</f>
        <v>#NUM!</v>
      </c>
      <c r="EP163" s="27" t="e">
        <f>+EN163-AM162</f>
        <v>#NUM!</v>
      </c>
      <c r="ER163" s="27" t="e">
        <f>+EP163-AO162</f>
        <v>#NUM!</v>
      </c>
      <c r="ET163" s="27" t="e">
        <f>+ER163-AQ162</f>
        <v>#NUM!</v>
      </c>
      <c r="EV163" s="27" t="e">
        <f>+ET163-AS162</f>
        <v>#NUM!</v>
      </c>
      <c r="EX163" s="27" t="e">
        <f>+EV163-AU162</f>
        <v>#NUM!</v>
      </c>
      <c r="EZ163" s="27" t="e">
        <f>+EX163-AW162</f>
        <v>#NUM!</v>
      </c>
      <c r="FB163" s="27" t="e">
        <f>+EZ163-AY162</f>
        <v>#NUM!</v>
      </c>
      <c r="FD163" s="27" t="e">
        <f>+FB163-BA162</f>
        <v>#NUM!</v>
      </c>
      <c r="FF163" s="27" t="e">
        <f>+FD163-BC162</f>
        <v>#NUM!</v>
      </c>
      <c r="FH163" s="27" t="e">
        <f>+FF163-BE162</f>
        <v>#NUM!</v>
      </c>
      <c r="FJ163" s="61" t="e">
        <f>+FH163-BG162</f>
        <v>#NUM!</v>
      </c>
    </row>
    <row r="164" spans="2:166" s="27" customFormat="1" ht="11.25" hidden="1" x14ac:dyDescent="0.2">
      <c r="B164" s="60"/>
      <c r="D164" s="27" t="s">
        <v>630</v>
      </c>
      <c r="E164" s="27">
        <f>IF(E160=0,0,E163/(E160*12))</f>
        <v>0</v>
      </c>
      <c r="BD164" s="61"/>
      <c r="FJ164" s="61"/>
    </row>
    <row r="165" spans="2:166" s="27" customFormat="1" ht="11.25" hidden="1" x14ac:dyDescent="0.2">
      <c r="B165" s="60"/>
      <c r="C165" s="27">
        <f>C113</f>
        <v>0</v>
      </c>
      <c r="D165" s="27">
        <f>D113</f>
        <v>0</v>
      </c>
      <c r="E165" s="27">
        <f>E113</f>
        <v>0</v>
      </c>
      <c r="F165" s="27">
        <f>F113</f>
        <v>0</v>
      </c>
      <c r="G165" s="27">
        <f>+$E165*12</f>
        <v>0</v>
      </c>
      <c r="H165" s="27">
        <f>SUMIF($W113:$AH113,$D113,$W$108:$AH$108)</f>
        <v>78</v>
      </c>
      <c r="I165" s="27">
        <f>13-H165</f>
        <v>-65</v>
      </c>
      <c r="J165" s="27">
        <f>IF(I165+1&lt;=$G165,I165+1,($G165-I165)+I165)</f>
        <v>-64</v>
      </c>
      <c r="K165" s="27">
        <f>IF(J165+11&lt;=$G165,J165+11,($G165-J165)+J165)</f>
        <v>-53</v>
      </c>
      <c r="L165" s="27">
        <f>IF(K165+1&lt;=$G165,K165+1,($G165-K165)+K165)</f>
        <v>-52</v>
      </c>
      <c r="M165" s="27">
        <f>IF(L165+11&lt;=$G165,L165+11,($G165-L165)+L165)</f>
        <v>-41</v>
      </c>
      <c r="N165" s="27">
        <f>IF(M165+1&lt;=$G165,M165+1,($G165-M165)+M165)</f>
        <v>-40</v>
      </c>
      <c r="O165" s="27">
        <f>IF(N165+11&lt;=$G165,N165+11,($G165-N165)+N165)</f>
        <v>-29</v>
      </c>
      <c r="P165" s="27">
        <f>IF(O165+1&lt;=$G165,O165+1,($G165-O165)+O165)</f>
        <v>-28</v>
      </c>
      <c r="Q165" s="27">
        <f>IF(P165+11&lt;=$G165,P165+11,($G165-P165)+P165)</f>
        <v>-17</v>
      </c>
      <c r="R165" s="27">
        <f>IF(Q165+1&lt;=$G165,Q165+1,($G165-Q165)+Q165)</f>
        <v>-16</v>
      </c>
      <c r="S165" s="27">
        <f>IF(R165+11&lt;=$G165,R165+11,($G165-R165)+R165)</f>
        <v>-5</v>
      </c>
      <c r="T165" s="27">
        <f>IF(S165+1&lt;=$G165,S165+1,($G165-S165)+S165)</f>
        <v>-4</v>
      </c>
      <c r="U165" s="27">
        <f>IF(T165+11&lt;=$G165,T165+11,($G165-T165)+T165)</f>
        <v>0</v>
      </c>
      <c r="V165" s="27">
        <f>IF(U165+1&lt;=$G165,U165+1,($G165-U165)+U165)</f>
        <v>0</v>
      </c>
      <c r="W165" s="27">
        <f>IF(V165+11&lt;=$G165,V165+11,($G165-V165)+V165)</f>
        <v>0</v>
      </c>
      <c r="X165" s="27">
        <f>IF(W165+1&lt;=$G165,W165+1,($G165-W165)+W165)</f>
        <v>0</v>
      </c>
      <c r="Y165" s="27">
        <f>IF(X165+11&lt;=$G165,X165+11,($G165-X165)+X165)</f>
        <v>0</v>
      </c>
      <c r="Z165" s="27">
        <f>IF(Y165+1&lt;=$G165,Y165+1,($G165-Y165)+Y165)</f>
        <v>0</v>
      </c>
      <c r="AA165" s="27">
        <f>IF(Z165+11&lt;=$G165,Z165+11,($G165-Z165)+Z165)</f>
        <v>0</v>
      </c>
      <c r="AB165" s="27">
        <f>IF(AA165+1&lt;=$G165,AA165+1,($G165-AA165)+AA165)</f>
        <v>0</v>
      </c>
      <c r="AC165" s="27">
        <f>IF(AB165+11&lt;=$G165,AB165+11,($G165-AB165)+AB165)</f>
        <v>0</v>
      </c>
      <c r="AD165" s="27">
        <f>IF(AC165+1&lt;=$G165,AC165+1,($G165-AC165)+AC165)</f>
        <v>0</v>
      </c>
      <c r="AE165" s="27">
        <f>IF(AD165+11&lt;=$G165,AD165+11,($G165-AD165)+AD165)</f>
        <v>0</v>
      </c>
      <c r="AF165" s="27">
        <f>IF(AE165+1&lt;=$G165,AE165+1,($G165-AE165)+AE165)</f>
        <v>0</v>
      </c>
      <c r="AG165" s="27">
        <f>IF(AF165+11&lt;=$G165,AF165+11,($G165-AF165)+AF165)</f>
        <v>0</v>
      </c>
      <c r="AH165" s="27">
        <f>IF(AG165+1&lt;=$G165,AG165+1,($G165-AG165)+AG165)</f>
        <v>0</v>
      </c>
      <c r="AI165" s="27">
        <f>IF(AH165+11&lt;=$G165,AH165+11,($G165-AH165)+AH165)</f>
        <v>0</v>
      </c>
      <c r="AJ165" s="27">
        <f>IF(AI165+1&lt;=$G165,AI165+1,($G165-AI165)+AI165)</f>
        <v>0</v>
      </c>
      <c r="AK165" s="27">
        <f>IF(AJ165+11&lt;=$G165,AJ165+11,($G165-AJ165)+AJ165)</f>
        <v>0</v>
      </c>
      <c r="AL165" s="27">
        <f>IF(AK165+1&lt;=$G165,AK165+1,($G165-AK165)+AK165)</f>
        <v>0</v>
      </c>
      <c r="AM165" s="27">
        <f>IF(AL165+11&lt;=$G165,AL165+11,($G165-AL165)+AL165)</f>
        <v>0</v>
      </c>
      <c r="AN165" s="27">
        <f>IF(AM165+1&lt;=$G165,AM165+1,($G165-AM165)+AM165)</f>
        <v>0</v>
      </c>
      <c r="AO165" s="27">
        <f>IF(AN165+11&lt;=$G165,AN165+11,($G165-AN165)+AN165)</f>
        <v>0</v>
      </c>
      <c r="AP165" s="27">
        <f>IF(AO165+1&lt;=$G165,AO165+1,($G165-AO165)+AO165)</f>
        <v>0</v>
      </c>
      <c r="AQ165" s="27">
        <f>IF(AP165+11&lt;=$G165,AP165+11,($G165-AP165)+AP165)</f>
        <v>0</v>
      </c>
      <c r="AR165" s="27">
        <f>IF(AQ165+1&lt;=$G165,AQ165+1,($G165-AQ165)+AQ165)</f>
        <v>0</v>
      </c>
      <c r="AS165" s="27">
        <f>IF(AR165+11&lt;=$G165,AR165+11,($G165-AR165)+AR165)</f>
        <v>0</v>
      </c>
      <c r="AT165" s="27">
        <f>IF(AS165+1&lt;=$G165,AS165+1,($G165-AS165)+AS165)</f>
        <v>0</v>
      </c>
      <c r="AU165" s="27">
        <f>IF(AT165+11&lt;=$G165,AT165+11,($G165-AT165)+AT165)</f>
        <v>0</v>
      </c>
      <c r="AV165" s="27">
        <f>IF(AU165+1&lt;=$G165,AU165+1,($G165-AU165)+AU165)</f>
        <v>0</v>
      </c>
      <c r="AW165" s="27">
        <f>IF(AV165+11&lt;=$G165,AV165+11,($G165-AV165)+AV165)</f>
        <v>0</v>
      </c>
      <c r="AX165" s="27">
        <f>IF(AW165+1&lt;=$G165,AW165+1,($G165-AW165)+AW165)</f>
        <v>0</v>
      </c>
      <c r="AY165" s="27">
        <f>IF(AX165+11&lt;=$G165,AX165+11,($G165-AX165)+AX165)</f>
        <v>0</v>
      </c>
      <c r="AZ165" s="27">
        <f>IF(AY165+1&lt;=$G165,AY165+1,($G165-AY165)+AY165)</f>
        <v>0</v>
      </c>
      <c r="BA165" s="27">
        <f>IF(AZ165+35&lt;=$G165,AZ165+35,($G165-AZ165)+AZ165)</f>
        <v>0</v>
      </c>
      <c r="BB165" s="27">
        <f>IF(BA165+1&lt;=$G165,BA165+1,($G165-BA165)+BA165)</f>
        <v>0</v>
      </c>
      <c r="BC165" s="27">
        <f>IF(BB165+59&lt;=$G165,BB165+59,($G165-BB165)+BB165)</f>
        <v>0</v>
      </c>
      <c r="BD165" s="61">
        <f>IF(BC165+1&lt;=$G165,BC165+1,($G165-BC165)+BC165)</f>
        <v>0</v>
      </c>
      <c r="BE165" s="27">
        <f>IF(BD165+239&lt;=$G165,BD165+239,($G165-BD165)+BD165)</f>
        <v>0</v>
      </c>
      <c r="BF165" s="27">
        <f>IF(BE165+1&lt;=$G165,BE165+1,($G165-BE165)+BE165)</f>
        <v>0</v>
      </c>
      <c r="BG165" s="27">
        <f>IF(BF165+11&lt;=$G165,BF165+11,($G165-BF165)+BF165)</f>
        <v>0</v>
      </c>
      <c r="FJ165" s="61"/>
    </row>
    <row r="166" spans="2:166" s="27" customFormat="1" ht="11.25" hidden="1" x14ac:dyDescent="0.2">
      <c r="B166" s="60"/>
      <c r="H166" s="27">
        <v>1</v>
      </c>
      <c r="I166" s="27">
        <f>+I165</f>
        <v>-65</v>
      </c>
      <c r="J166" s="27">
        <f>IF(I166=$G165,0,J165)</f>
        <v>-64</v>
      </c>
      <c r="K166" s="27">
        <f>+K165</f>
        <v>-53</v>
      </c>
      <c r="L166" s="27">
        <f>IF(K166=$G165,0,L165)</f>
        <v>-52</v>
      </c>
      <c r="M166" s="27">
        <f>+M165</f>
        <v>-41</v>
      </c>
      <c r="N166" s="27">
        <f>IF(M166=$G165,0,N165)</f>
        <v>-40</v>
      </c>
      <c r="O166" s="27">
        <f>+O165</f>
        <v>-29</v>
      </c>
      <c r="P166" s="27">
        <f>IF(O166=$G165,0,P165)</f>
        <v>-28</v>
      </c>
      <c r="Q166" s="27">
        <f>+Q165</f>
        <v>-17</v>
      </c>
      <c r="R166" s="27">
        <f>IF(Q166=$G165,0,R165)</f>
        <v>-16</v>
      </c>
      <c r="S166" s="27">
        <f>+S165</f>
        <v>-5</v>
      </c>
      <c r="T166" s="27">
        <f>IF(S166=$G165,0,T165)</f>
        <v>-4</v>
      </c>
      <c r="U166" s="27">
        <f>+U165</f>
        <v>0</v>
      </c>
      <c r="V166" s="27">
        <f>IF(U166=$G165,0,V165)</f>
        <v>0</v>
      </c>
      <c r="W166" s="27">
        <f>+W165</f>
        <v>0</v>
      </c>
      <c r="X166" s="27">
        <f>IF(W166=$G165,0,X165)</f>
        <v>0</v>
      </c>
      <c r="Y166" s="27">
        <f>+Y165</f>
        <v>0</v>
      </c>
      <c r="Z166" s="27">
        <f>IF(Y166=$G165,0,Z165)</f>
        <v>0</v>
      </c>
      <c r="AA166" s="27">
        <f>+AA165</f>
        <v>0</v>
      </c>
      <c r="AB166" s="27">
        <f>IF(AA166=$G165,0,AB165)</f>
        <v>0</v>
      </c>
      <c r="AC166" s="27">
        <f>+AC165</f>
        <v>0</v>
      </c>
      <c r="AD166" s="27">
        <f>IF(AC166=$G165,0,AD165)</f>
        <v>0</v>
      </c>
      <c r="AE166" s="27">
        <f>+AE165</f>
        <v>0</v>
      </c>
      <c r="AF166" s="27">
        <f>IF(AE166=$G165,0,AF165)</f>
        <v>0</v>
      </c>
      <c r="AG166" s="27">
        <f>+AG165</f>
        <v>0</v>
      </c>
      <c r="AH166" s="27">
        <f>IF(AG166=$G165,0,AH165)</f>
        <v>0</v>
      </c>
      <c r="AI166" s="27">
        <f>+AI165</f>
        <v>0</v>
      </c>
      <c r="AJ166" s="27">
        <f>IF(AI166=$G165,0,AJ165)</f>
        <v>0</v>
      </c>
      <c r="AK166" s="27">
        <f>+AK165</f>
        <v>0</v>
      </c>
      <c r="AL166" s="27">
        <f>IF(AK166=$G165,0,AL165)</f>
        <v>0</v>
      </c>
      <c r="AM166" s="27">
        <f>+AM165</f>
        <v>0</v>
      </c>
      <c r="AN166" s="27">
        <f>IF(AM166=$G165,0,AN165)</f>
        <v>0</v>
      </c>
      <c r="AO166" s="27">
        <f>+AO165</f>
        <v>0</v>
      </c>
      <c r="AP166" s="27">
        <f>IF(AO166=$G165,0,AP165)</f>
        <v>0</v>
      </c>
      <c r="AQ166" s="27">
        <f>+AQ165</f>
        <v>0</v>
      </c>
      <c r="AR166" s="27">
        <f>IF(AQ166=$G165,0,AR165)</f>
        <v>0</v>
      </c>
      <c r="AS166" s="27">
        <f>+AS165</f>
        <v>0</v>
      </c>
      <c r="AT166" s="27">
        <f>IF(AS166=$G165,0,AT165)</f>
        <v>0</v>
      </c>
      <c r="AU166" s="27">
        <f>+AU165</f>
        <v>0</v>
      </c>
      <c r="AV166" s="27">
        <f>IF(AU166=$G165,0,AV165)</f>
        <v>0</v>
      </c>
      <c r="AW166" s="27">
        <f>+AW165</f>
        <v>0</v>
      </c>
      <c r="AX166" s="27">
        <f>IF(AW166=$G165,0,AX165)</f>
        <v>0</v>
      </c>
      <c r="AY166" s="27">
        <f>+AY165</f>
        <v>0</v>
      </c>
      <c r="AZ166" s="27">
        <f>IF(AY166=$G165,0,AZ165)</f>
        <v>0</v>
      </c>
      <c r="BA166" s="27">
        <f>+BA165</f>
        <v>0</v>
      </c>
      <c r="BB166" s="27">
        <f>IF(BA166=$G165,0,BB165)</f>
        <v>0</v>
      </c>
      <c r="BC166" s="27">
        <f>+BC165</f>
        <v>0</v>
      </c>
      <c r="BD166" s="61">
        <f>IF(BC166=$G165,0,BD165)</f>
        <v>0</v>
      </c>
      <c r="BE166" s="27">
        <f>+BE165</f>
        <v>0</v>
      </c>
      <c r="BF166" s="27">
        <f>IF(BE166=$G165,0,BF165)</f>
        <v>0</v>
      </c>
      <c r="BG166" s="27">
        <f>+BG165</f>
        <v>0</v>
      </c>
      <c r="FJ166" s="61"/>
    </row>
    <row r="167" spans="2:166" s="27" customFormat="1" ht="11.25" hidden="1" x14ac:dyDescent="0.2">
      <c r="B167" s="60"/>
      <c r="F167" s="27">
        <f>SUMIF(H167:BG167,"&gt;0")</f>
        <v>0</v>
      </c>
      <c r="G167" s="27" t="s">
        <v>632</v>
      </c>
      <c r="I167" s="27" t="e">
        <f>-CUMPRINC($F165/12,$E165*12,$D165,H166,I166,0)</f>
        <v>#NUM!</v>
      </c>
      <c r="K167" s="27" t="e">
        <f>-CUMPRINC($F165/12,$E165*12,$D165,J166,K166,0)</f>
        <v>#NUM!</v>
      </c>
      <c r="M167" s="27" t="e">
        <f>-CUMPRINC($F165/12,$E165*12,$D165,L166,M166,0)</f>
        <v>#NUM!</v>
      </c>
      <c r="O167" s="27" t="e">
        <f>-CUMPRINC($F165/12,$E165*12,$D165,N166,O166,0)</f>
        <v>#NUM!</v>
      </c>
      <c r="Q167" s="27" t="e">
        <f>-CUMPRINC($F165/12,$E165*12,$D165,P166,Q166,0)</f>
        <v>#NUM!</v>
      </c>
      <c r="S167" s="27" t="e">
        <f>-CUMPRINC($F165/12,$E165*12,$D165,R166,S166,0)</f>
        <v>#NUM!</v>
      </c>
      <c r="U167" s="27" t="e">
        <f>-CUMPRINC($F165/12,$E165*12,$D165,T166,U166,0)</f>
        <v>#NUM!</v>
      </c>
      <c r="W167" s="27" t="e">
        <f>-CUMPRINC($F165/12,$E165*12,$D165,V166,W166,0)</f>
        <v>#NUM!</v>
      </c>
      <c r="Y167" s="27" t="e">
        <f>-CUMPRINC($F165/12,$E165*12,$D165,X166,Y166,0)</f>
        <v>#NUM!</v>
      </c>
      <c r="AA167" s="27" t="e">
        <f>-CUMPRINC($F165/12,$E165*12,$D165,Z166,AA166,0)</f>
        <v>#NUM!</v>
      </c>
      <c r="AC167" s="27" t="e">
        <f>-CUMPRINC($F165/12,$E165*12,$D165,AB166,AC166,0)</f>
        <v>#NUM!</v>
      </c>
      <c r="AE167" s="27" t="e">
        <f>-CUMPRINC($F165/12,$E165*12,$D165,AD166,AE166,0)</f>
        <v>#NUM!</v>
      </c>
      <c r="AG167" s="27" t="e">
        <f>-CUMPRINC($F165/12,$E165*12,$D165,AF166,AG166,0)</f>
        <v>#NUM!</v>
      </c>
      <c r="AI167" s="27" t="e">
        <f>-CUMPRINC($F165/12,$E165*12,$D165,AH166,AI166,0)</f>
        <v>#NUM!</v>
      </c>
      <c r="AK167" s="27" t="e">
        <f>-CUMPRINC($F165/12,$E165*12,$D165,AJ166,AK166,0)</f>
        <v>#NUM!</v>
      </c>
      <c r="AM167" s="27" t="e">
        <f>-CUMPRINC($F165/12,$E165*12,$D165,AL166,AM166,0)</f>
        <v>#NUM!</v>
      </c>
      <c r="AO167" s="27" t="e">
        <f>-CUMPRINC($F165/12,$E165*12,$D165,AN166,AO166,0)</f>
        <v>#NUM!</v>
      </c>
      <c r="AQ167" s="27" t="e">
        <f>-CUMPRINC($F165/12,$E165*12,$D165,AP166,AQ166,0)</f>
        <v>#NUM!</v>
      </c>
      <c r="AS167" s="27" t="e">
        <f>-CUMPRINC($F165/12,$E165*12,$D165,AR166,AS166,0)</f>
        <v>#NUM!</v>
      </c>
      <c r="AU167" s="27" t="e">
        <f>-CUMPRINC($F165/12,$E165*12,$D165,AT166,AU166,0)</f>
        <v>#NUM!</v>
      </c>
      <c r="AW167" s="27" t="e">
        <f>-CUMPRINC($F165/12,$E165*12,$D165,AV166,AW166,0)</f>
        <v>#NUM!</v>
      </c>
      <c r="AY167" s="27" t="e">
        <f>-CUMPRINC($F165/12,$E165*12,$D165,AX166,AY166,0)</f>
        <v>#NUM!</v>
      </c>
      <c r="BA167" s="27" t="e">
        <f>-CUMPRINC($F165/12,$E165*12,$D165,AZ166,BA166,0)</f>
        <v>#NUM!</v>
      </c>
      <c r="BC167" s="27" t="e">
        <f>-CUMPRINC($F165/12,$E165*12,$D165,BB166,BC166,0)</f>
        <v>#NUM!</v>
      </c>
      <c r="BD167" s="61"/>
      <c r="BE167" s="27" t="e">
        <f>-CUMPRINC($F165/12,$E165*12,$D165,BD166,BE166,0)</f>
        <v>#NUM!</v>
      </c>
      <c r="BG167" s="27" t="e">
        <f>-CUMPRINC($F165/12,$E165*12,$D165,BF166,BG166,0)</f>
        <v>#NUM!</v>
      </c>
      <c r="BH167" s="27" t="s">
        <v>783</v>
      </c>
      <c r="BJ167" s="27" t="e">
        <f>-CUMIPMT($F165/12,$E165*12,$D165,H166,I166,0)</f>
        <v>#NUM!</v>
      </c>
      <c r="BL167" s="27" t="e">
        <f>-CUMIPMT($F165/12,$E165*12,$D165,J166,K166,0)</f>
        <v>#NUM!</v>
      </c>
      <c r="BN167" s="27" t="e">
        <f>-CUMIPMT($F165/12,$E165*12,$D165,L166,M166,0)</f>
        <v>#NUM!</v>
      </c>
      <c r="BP167" s="27" t="e">
        <f>-CUMIPMT($F165/12,$E165*12,$D165,N166,O166,0)</f>
        <v>#NUM!</v>
      </c>
      <c r="BR167" s="27" t="e">
        <f>-CUMIPMT($F165/12,$E165*12,$D165,P166,Q166,0)</f>
        <v>#NUM!</v>
      </c>
      <c r="BT167" s="27" t="e">
        <f>-CUMIPMT($F165/12,$E165*12,$D165,R166,S166,0)</f>
        <v>#NUM!</v>
      </c>
      <c r="BV167" s="27" t="e">
        <f>-CUMIPMT($F165/12,$E165*12,$D165,T166,U166,0)</f>
        <v>#NUM!</v>
      </c>
      <c r="BX167" s="27" t="e">
        <f>-CUMIPMT($F165/12,$E165*12,$D165,V166,W166,0)</f>
        <v>#NUM!</v>
      </c>
      <c r="BZ167" s="27" t="e">
        <f>-CUMIPMT($F165/12,$E165*12,$D165,X166,Y166,0)</f>
        <v>#NUM!</v>
      </c>
      <c r="CB167" s="27" t="e">
        <f>-CUMIPMT($F165/12,$E165*12,$D165,Z166,AA166,0)</f>
        <v>#NUM!</v>
      </c>
      <c r="CD167" s="27" t="e">
        <f>-CUMIPMT($F165/12,$E165*12,$D165,AB166,AC166,0)</f>
        <v>#NUM!</v>
      </c>
      <c r="CF167" s="27" t="e">
        <f>-CUMIPMT($F165/12,$E165*12,$D165,AD166,AE166,0)</f>
        <v>#NUM!</v>
      </c>
      <c r="CH167" s="27" t="e">
        <f>-CUMIPMT($F165/12,$E165*12,$D165,AF166,AG166,0)</f>
        <v>#NUM!</v>
      </c>
      <c r="CJ167" s="27" t="e">
        <f>-CUMIPMT($F165/12,$E165*12,$D165,AH166,AI166,0)</f>
        <v>#NUM!</v>
      </c>
      <c r="CL167" s="27" t="e">
        <f>-CUMIPMT($F165/12,$E165*12,$D165,AJ166,AK166,0)</f>
        <v>#NUM!</v>
      </c>
      <c r="CN167" s="27" t="e">
        <f>-CUMIPMT($F165/12,$E165*12,$D165,AL166,AM166,0)</f>
        <v>#NUM!</v>
      </c>
      <c r="CP167" s="27" t="e">
        <f>-CUMIPMT($F165/12,$E165*12,$D165,AN166,AO166,0)</f>
        <v>#NUM!</v>
      </c>
      <c r="CR167" s="27" t="e">
        <f>-CUMIPMT($F165/12,$E165*12,$D165,AP166,AQ166,0)</f>
        <v>#NUM!</v>
      </c>
      <c r="CT167" s="27" t="e">
        <f>-CUMIPMT($F165/12,$E165*12,$D165,AR166,AS166,0)</f>
        <v>#NUM!</v>
      </c>
      <c r="CV167" s="27" t="e">
        <f>-CUMIPMT($F165/12,$E165*12,$D165,AT166,AU166,0)</f>
        <v>#NUM!</v>
      </c>
      <c r="CX167" s="27" t="e">
        <f>-CUMIPMT($F165/12,$E165*12,$D165,AV166,AW166,0)</f>
        <v>#NUM!</v>
      </c>
      <c r="CZ167" s="27" t="e">
        <f>-CUMIPMT($F165/12,$E165*12,$D165,AX166,AY166,0)</f>
        <v>#NUM!</v>
      </c>
      <c r="DB167" s="27" t="e">
        <f>-CUMIPMT($F165/12,$E165*12,$D165,AZ166,BA166,0)</f>
        <v>#NUM!</v>
      </c>
      <c r="DD167" s="27" t="e">
        <f>-CUMIPMT($F165/12,$E165*12,$D165,BB166,BC166,0)</f>
        <v>#NUM!</v>
      </c>
      <c r="DF167" s="27" t="e">
        <f>-CUMIPMT($F165/12,$E165*12,$D165,BD166,BE166,0)</f>
        <v>#NUM!</v>
      </c>
      <c r="DH167" s="27" t="e">
        <f>-CUMIPMT($F165/12,$E165*12,$D165,BF166,BG166,0)</f>
        <v>#NUM!</v>
      </c>
      <c r="DI167" s="27" t="s">
        <v>784</v>
      </c>
      <c r="DJ167" s="27" t="s">
        <v>785</v>
      </c>
      <c r="DK167" s="27">
        <f>+F167</f>
        <v>0</v>
      </c>
      <c r="DL167" s="27" t="e">
        <f>+DK167-I167</f>
        <v>#NUM!</v>
      </c>
      <c r="DN167" s="27" t="e">
        <f>+DL167-K167</f>
        <v>#NUM!</v>
      </c>
      <c r="DP167" s="27" t="e">
        <f>+DN167-M167</f>
        <v>#NUM!</v>
      </c>
      <c r="DR167" s="27" t="e">
        <f>+DP167-O167</f>
        <v>#NUM!</v>
      </c>
      <c r="DT167" s="27" t="e">
        <f>+DR167-Q167</f>
        <v>#NUM!</v>
      </c>
      <c r="DV167" s="27" t="e">
        <f>+DT167-S167</f>
        <v>#NUM!</v>
      </c>
      <c r="DX167" s="27" t="e">
        <f>+DV167-U167</f>
        <v>#NUM!</v>
      </c>
      <c r="DZ167" s="27" t="e">
        <f>+DX167-W167</f>
        <v>#NUM!</v>
      </c>
      <c r="EB167" s="27" t="e">
        <f>+DZ167-Y167</f>
        <v>#NUM!</v>
      </c>
      <c r="ED167" s="27" t="e">
        <f>+EB167-AA167</f>
        <v>#NUM!</v>
      </c>
      <c r="EF167" s="27" t="e">
        <f>+ED167-AC167</f>
        <v>#NUM!</v>
      </c>
      <c r="EH167" s="27" t="e">
        <f>+EF167-AE167</f>
        <v>#NUM!</v>
      </c>
      <c r="EJ167" s="27" t="e">
        <f>+EH167-AG167</f>
        <v>#NUM!</v>
      </c>
      <c r="EL167" s="27" t="e">
        <f>+EJ167-AI167</f>
        <v>#NUM!</v>
      </c>
      <c r="EN167" s="27" t="e">
        <f>+EL167-AK167</f>
        <v>#NUM!</v>
      </c>
      <c r="EP167" s="27" t="e">
        <f>+EN167-AM167</f>
        <v>#NUM!</v>
      </c>
      <c r="ER167" s="27" t="e">
        <f>+EP167-AO167</f>
        <v>#NUM!</v>
      </c>
      <c r="ET167" s="27" t="e">
        <f>+ER167-AQ167</f>
        <v>#NUM!</v>
      </c>
      <c r="EV167" s="27" t="e">
        <f>+ET167-AS167</f>
        <v>#NUM!</v>
      </c>
      <c r="EX167" s="27" t="e">
        <f>+EV167-AU167</f>
        <v>#NUM!</v>
      </c>
      <c r="EZ167" s="27" t="e">
        <f>+EX167-AW167</f>
        <v>#NUM!</v>
      </c>
      <c r="FB167" s="27" t="e">
        <f>+EZ167-AY167</f>
        <v>#NUM!</v>
      </c>
      <c r="FD167" s="27" t="e">
        <f>+FB167-BA167</f>
        <v>#NUM!</v>
      </c>
      <c r="FF167" s="27" t="e">
        <f>+FD167-BC167</f>
        <v>#NUM!</v>
      </c>
      <c r="FH167" s="27" t="e">
        <f>+FF167-BE167</f>
        <v>#NUM!</v>
      </c>
      <c r="FJ167" s="61" t="e">
        <f>+FH167-BG167</f>
        <v>#NUM!</v>
      </c>
    </row>
    <row r="168" spans="2:166" s="27" customFormat="1" ht="11.25" hidden="1" x14ac:dyDescent="0.2">
      <c r="B168" s="60"/>
      <c r="E168" s="27">
        <f>+F167+F168</f>
        <v>0</v>
      </c>
      <c r="F168" s="27">
        <f>SUMIF(BI167:DH167,"&gt;0")</f>
        <v>0</v>
      </c>
      <c r="I168" s="27">
        <f>IF(ISERROR(I167)=FALSE,I167,0)</f>
        <v>0</v>
      </c>
      <c r="K168" s="27">
        <f>IF(ISERROR(K167)=FALSE,K167,0)</f>
        <v>0</v>
      </c>
      <c r="M168" s="27">
        <f>IF(ISERROR(M167)=FALSE,M167,0)</f>
        <v>0</v>
      </c>
      <c r="O168" s="27">
        <f>IF(ISERROR(O167)=FALSE,O167,0)</f>
        <v>0</v>
      </c>
      <c r="Q168" s="27">
        <f>IF(ISERROR(Q167)=FALSE,Q167,0)</f>
        <v>0</v>
      </c>
      <c r="S168" s="27">
        <f>IF(ISERROR(S167)=FALSE,S167,0)</f>
        <v>0</v>
      </c>
      <c r="U168" s="27">
        <f>IF(ISERROR(U167)=FALSE,U167,0)</f>
        <v>0</v>
      </c>
      <c r="W168" s="27">
        <f>IF(ISERROR(W167)=FALSE,W167,0)</f>
        <v>0</v>
      </c>
      <c r="Y168" s="27">
        <f>IF(ISERROR(Y167)=FALSE,Y167,0)</f>
        <v>0</v>
      </c>
      <c r="AA168" s="27">
        <f>IF(ISERROR(AA167)=FALSE,AA167,0)</f>
        <v>0</v>
      </c>
      <c r="AC168" s="27">
        <f>IF(ISERROR(AC167)=FALSE,AC167,0)</f>
        <v>0</v>
      </c>
      <c r="AE168" s="27">
        <f>IF(ISERROR(AE167)=FALSE,AE167,0)</f>
        <v>0</v>
      </c>
      <c r="AG168" s="27">
        <f>IF(ISERROR(AG167)=FALSE,AG167,0)</f>
        <v>0</v>
      </c>
      <c r="AI168" s="27">
        <f>IF(ISERROR(AI167)=FALSE,AI167,0)</f>
        <v>0</v>
      </c>
      <c r="AK168" s="27">
        <f>IF(ISERROR(AK167)=FALSE,AK167,0)</f>
        <v>0</v>
      </c>
      <c r="AM168" s="27">
        <f>IF(ISERROR(AM167)=FALSE,AM167,0)</f>
        <v>0</v>
      </c>
      <c r="AO168" s="27">
        <f>IF(ISERROR(AO167)=FALSE,AO167,0)</f>
        <v>0</v>
      </c>
      <c r="AQ168" s="27">
        <f>IF(ISERROR(AQ167)=FALSE,AQ167,0)</f>
        <v>0</v>
      </c>
      <c r="AS168" s="27">
        <f>IF(ISERROR(AS167)=FALSE,AS167,0)</f>
        <v>0</v>
      </c>
      <c r="AU168" s="27">
        <f>IF(ISERROR(AU167)=FALSE,AU167,0)</f>
        <v>0</v>
      </c>
      <c r="AW168" s="27">
        <f>IF(ISERROR(AW167)=FALSE,AW167,0)</f>
        <v>0</v>
      </c>
      <c r="AY168" s="27">
        <f>IF(ISERROR(AY167)=FALSE,AY167,0)</f>
        <v>0</v>
      </c>
      <c r="BA168" s="27">
        <f>IF(ISERROR(BA167)=FALSE,BA167,0)</f>
        <v>0</v>
      </c>
      <c r="BC168" s="27">
        <f>IF(ISERROR(BC167)=FALSE,BC167,0)</f>
        <v>0</v>
      </c>
      <c r="BD168" s="61"/>
      <c r="BE168" s="27">
        <f>IF(ISERROR(BE167)=FALSE,BE167,0)</f>
        <v>0</v>
      </c>
      <c r="BG168" s="27">
        <f>IF(ISERROR(BG167)=FALSE,BG167,0)</f>
        <v>0</v>
      </c>
      <c r="FJ168" s="61"/>
    </row>
    <row r="169" spans="2:166" s="27" customFormat="1" ht="11.25" hidden="1" x14ac:dyDescent="0.2">
      <c r="B169" s="60"/>
      <c r="D169" s="27" t="s">
        <v>630</v>
      </c>
      <c r="E169" s="27">
        <f>IF(E165=0,0,E168/(E165*12))</f>
        <v>0</v>
      </c>
      <c r="BD169" s="61"/>
      <c r="FJ169" s="61"/>
    </row>
    <row r="170" spans="2:166" s="27" customFormat="1" ht="11.25" hidden="1" x14ac:dyDescent="0.2">
      <c r="B170" s="60"/>
      <c r="C170" s="27">
        <f>C114</f>
        <v>0</v>
      </c>
      <c r="D170" s="27">
        <f>D114</f>
        <v>0</v>
      </c>
      <c r="E170" s="27">
        <f>E114</f>
        <v>0</v>
      </c>
      <c r="F170" s="27">
        <f>F114</f>
        <v>0</v>
      </c>
      <c r="G170" s="27">
        <f>+$E170*12</f>
        <v>0</v>
      </c>
      <c r="H170" s="27">
        <f>SUMIF($W114:$AH114,$D114,$W$108:$AH$108)</f>
        <v>78</v>
      </c>
      <c r="I170" s="27">
        <f>13-H170</f>
        <v>-65</v>
      </c>
      <c r="J170" s="27">
        <f>IF(I170+1&lt;=$G170,I170+1,($G170-I170)+I170)</f>
        <v>-64</v>
      </c>
      <c r="K170" s="27">
        <f>IF(J170+11&lt;=$G170,J170+11,($G170-J170)+J170)</f>
        <v>-53</v>
      </c>
      <c r="L170" s="27">
        <f>IF(K170+1&lt;=$G170,K170+1,($G170-K170)+K170)</f>
        <v>-52</v>
      </c>
      <c r="M170" s="27">
        <f>IF(L170+11&lt;=$G170,L170+11,($G170-L170)+L170)</f>
        <v>-41</v>
      </c>
      <c r="N170" s="27">
        <f>IF(M170+1&lt;=$G170,M170+1,($G170-M170)+M170)</f>
        <v>-40</v>
      </c>
      <c r="O170" s="27">
        <f>IF(N170+11&lt;=$G170,N170+11,($G170-N170)+N170)</f>
        <v>-29</v>
      </c>
      <c r="P170" s="27">
        <f>IF(O170+1&lt;=$G170,O170+1,($G170-O170)+O170)</f>
        <v>-28</v>
      </c>
      <c r="Q170" s="27">
        <f>IF(P170+11&lt;=$G170,P170+11,($G170-P170)+P170)</f>
        <v>-17</v>
      </c>
      <c r="R170" s="27">
        <f>IF(Q170+1&lt;=$G170,Q170+1,($G170-Q170)+Q170)</f>
        <v>-16</v>
      </c>
      <c r="S170" s="27">
        <f>IF(R170+11&lt;=$G170,R170+11,($G170-R170)+R170)</f>
        <v>-5</v>
      </c>
      <c r="T170" s="27">
        <f>IF(S170+1&lt;=$G170,S170+1,($G170-S170)+S170)</f>
        <v>-4</v>
      </c>
      <c r="U170" s="27">
        <f>IF(T170+11&lt;=$G170,T170+11,($G170-T170)+T170)</f>
        <v>0</v>
      </c>
      <c r="V170" s="27">
        <f>IF(U170+1&lt;=$G170,U170+1,($G170-U170)+U170)</f>
        <v>0</v>
      </c>
      <c r="W170" s="27">
        <f>IF(V170+11&lt;=$G170,V170+11,($G170-V170)+V170)</f>
        <v>0</v>
      </c>
      <c r="X170" s="27">
        <f>IF(W170+1&lt;=$G170,W170+1,($G170-W170)+W170)</f>
        <v>0</v>
      </c>
      <c r="Y170" s="27">
        <f>IF(X170+11&lt;=$G170,X170+11,($G170-X170)+X170)</f>
        <v>0</v>
      </c>
      <c r="Z170" s="27">
        <f>IF(Y170+1&lt;=$G170,Y170+1,($G170-Y170)+Y170)</f>
        <v>0</v>
      </c>
      <c r="AA170" s="27">
        <f>IF(Z170+11&lt;=$G170,Z170+11,($G170-Z170)+Z170)</f>
        <v>0</v>
      </c>
      <c r="AB170" s="27">
        <f>IF(AA170+1&lt;=$G170,AA170+1,($G170-AA170)+AA170)</f>
        <v>0</v>
      </c>
      <c r="AC170" s="27">
        <f>IF(AB170+11&lt;=$G170,AB170+11,($G170-AB170)+AB170)</f>
        <v>0</v>
      </c>
      <c r="AD170" s="27">
        <f>IF(AC170+1&lt;=$G170,AC170+1,($G170-AC170)+AC170)</f>
        <v>0</v>
      </c>
      <c r="AE170" s="27">
        <f>IF(AD170+11&lt;=$G170,AD170+11,($G170-AD170)+AD170)</f>
        <v>0</v>
      </c>
      <c r="AF170" s="27">
        <f>IF(AE170+1&lt;=$G170,AE170+1,($G170-AE170)+AE170)</f>
        <v>0</v>
      </c>
      <c r="AG170" s="27">
        <f>IF(AF170+11&lt;=$G170,AF170+11,($G170-AF170)+AF170)</f>
        <v>0</v>
      </c>
      <c r="AH170" s="27">
        <f>IF(AG170+1&lt;=$G170,AG170+1,($G170-AG170)+AG170)</f>
        <v>0</v>
      </c>
      <c r="AI170" s="27">
        <f>IF(AH170+11&lt;=$G170,AH170+11,($G170-AH170)+AH170)</f>
        <v>0</v>
      </c>
      <c r="AJ170" s="27">
        <f>IF(AI170+1&lt;=$G170,AI170+1,($G170-AI170)+AI170)</f>
        <v>0</v>
      </c>
      <c r="AK170" s="27">
        <f>IF(AJ170+11&lt;=$G170,AJ170+11,($G170-AJ170)+AJ170)</f>
        <v>0</v>
      </c>
      <c r="AL170" s="27">
        <f>IF(AK170+1&lt;=$G170,AK170+1,($G170-AK170)+AK170)</f>
        <v>0</v>
      </c>
      <c r="AM170" s="27">
        <f>IF(AL170+11&lt;=$G170,AL170+11,($G170-AL170)+AL170)</f>
        <v>0</v>
      </c>
      <c r="AN170" s="27">
        <f>IF(AM170+1&lt;=$G170,AM170+1,($G170-AM170)+AM170)</f>
        <v>0</v>
      </c>
      <c r="AO170" s="27">
        <f>IF(AN170+11&lt;=$G170,AN170+11,($G170-AN170)+AN170)</f>
        <v>0</v>
      </c>
      <c r="AP170" s="27">
        <f>IF(AO170+1&lt;=$G170,AO170+1,($G170-AO170)+AO170)</f>
        <v>0</v>
      </c>
      <c r="AQ170" s="27">
        <f>IF(AP170+11&lt;=$G170,AP170+11,($G170-AP170)+AP170)</f>
        <v>0</v>
      </c>
      <c r="AR170" s="27">
        <f>IF(AQ170+1&lt;=$G170,AQ170+1,($G170-AQ170)+AQ170)</f>
        <v>0</v>
      </c>
      <c r="AS170" s="27">
        <f>IF(AR170+11&lt;=$G170,AR170+11,($G170-AR170)+AR170)</f>
        <v>0</v>
      </c>
      <c r="AT170" s="27">
        <f>IF(AS170+1&lt;=$G170,AS170+1,($G170-AS170)+AS170)</f>
        <v>0</v>
      </c>
      <c r="AU170" s="27">
        <f>IF(AT170+11&lt;=$G170,AT170+11,($G170-AT170)+AT170)</f>
        <v>0</v>
      </c>
      <c r="AV170" s="27">
        <f>IF(AU170+1&lt;=$G170,AU170+1,($G170-AU170)+AU170)</f>
        <v>0</v>
      </c>
      <c r="AW170" s="27">
        <f>IF(AV170+11&lt;=$G170,AV170+11,($G170-AV170)+AV170)</f>
        <v>0</v>
      </c>
      <c r="AX170" s="27">
        <f>IF(AW170+1&lt;=$G170,AW170+1,($G170-AW170)+AW170)</f>
        <v>0</v>
      </c>
      <c r="AY170" s="27">
        <f>IF(AX170+11&lt;=$G170,AX170+11,($G170-AX170)+AX170)</f>
        <v>0</v>
      </c>
      <c r="AZ170" s="27">
        <f>IF(AY170+1&lt;=$G170,AY170+1,($G170-AY170)+AY170)</f>
        <v>0</v>
      </c>
      <c r="BA170" s="27">
        <f>IF(AZ170+35&lt;=$G170,AZ170+35,($G170-AZ170)+AZ170)</f>
        <v>0</v>
      </c>
      <c r="BB170" s="27">
        <f>IF(BA170+1&lt;=$G170,BA170+1,($G170-BA170)+BA170)</f>
        <v>0</v>
      </c>
      <c r="BC170" s="27">
        <f>IF(BB170+59&lt;=$G170,BB170+59,($G170-BB170)+BB170)</f>
        <v>0</v>
      </c>
      <c r="BD170" s="61">
        <f>IF(BC170+1&lt;=$G170,BC170+1,($G170-BC170)+BC170)</f>
        <v>0</v>
      </c>
      <c r="BE170" s="27">
        <f>IF(BD170+239&lt;=$G170,BD170+239,($G170-BD170)+BD170)</f>
        <v>0</v>
      </c>
      <c r="BF170" s="27">
        <f>IF(BE170+1&lt;=$G170,BE170+1,($G170-BE170)+BE170)</f>
        <v>0</v>
      </c>
      <c r="BG170" s="27">
        <f>IF(BF170+11&lt;=$G170,BF170+11,($G170-BF170)+BF170)</f>
        <v>0</v>
      </c>
      <c r="FJ170" s="61"/>
    </row>
    <row r="171" spans="2:166" s="27" customFormat="1" ht="11.25" hidden="1" x14ac:dyDescent="0.2">
      <c r="B171" s="60"/>
      <c r="H171" s="27">
        <v>1</v>
      </c>
      <c r="I171" s="27">
        <f>+I170</f>
        <v>-65</v>
      </c>
      <c r="J171" s="27">
        <f>IF(I171=$G170,0,J170)</f>
        <v>-64</v>
      </c>
      <c r="K171" s="27">
        <f>+K170</f>
        <v>-53</v>
      </c>
      <c r="L171" s="27">
        <f>IF(K171=$G170,0,L170)</f>
        <v>-52</v>
      </c>
      <c r="M171" s="27">
        <f>+M170</f>
        <v>-41</v>
      </c>
      <c r="N171" s="27">
        <f>IF(M171=$G170,0,N170)</f>
        <v>-40</v>
      </c>
      <c r="O171" s="27">
        <f>+O170</f>
        <v>-29</v>
      </c>
      <c r="P171" s="27">
        <f>IF(O171=$G170,0,P170)</f>
        <v>-28</v>
      </c>
      <c r="Q171" s="27">
        <f>+Q170</f>
        <v>-17</v>
      </c>
      <c r="R171" s="27">
        <f>IF(Q171=$G170,0,R170)</f>
        <v>-16</v>
      </c>
      <c r="S171" s="27">
        <f>+S170</f>
        <v>-5</v>
      </c>
      <c r="T171" s="27">
        <f>IF(S171=$G170,0,T170)</f>
        <v>-4</v>
      </c>
      <c r="U171" s="27">
        <f>+U170</f>
        <v>0</v>
      </c>
      <c r="V171" s="27">
        <f>IF(U171=$G170,0,V170)</f>
        <v>0</v>
      </c>
      <c r="W171" s="27">
        <f>+W170</f>
        <v>0</v>
      </c>
      <c r="X171" s="27">
        <f>IF(W171=$G170,0,X170)</f>
        <v>0</v>
      </c>
      <c r="Y171" s="27">
        <f>+Y170</f>
        <v>0</v>
      </c>
      <c r="Z171" s="27">
        <f>IF(Y171=$G170,0,Z170)</f>
        <v>0</v>
      </c>
      <c r="AA171" s="27">
        <f>+AA170</f>
        <v>0</v>
      </c>
      <c r="AB171" s="27">
        <f>IF(AA171=$G170,0,AB170)</f>
        <v>0</v>
      </c>
      <c r="AC171" s="27">
        <f>+AC170</f>
        <v>0</v>
      </c>
      <c r="AD171" s="27">
        <f>IF(AC171=$G170,0,AD170)</f>
        <v>0</v>
      </c>
      <c r="AE171" s="27">
        <f>+AE170</f>
        <v>0</v>
      </c>
      <c r="AF171" s="27">
        <f>IF(AE171=$G170,0,AF170)</f>
        <v>0</v>
      </c>
      <c r="AG171" s="27">
        <f>+AG170</f>
        <v>0</v>
      </c>
      <c r="AH171" s="27">
        <f>IF(AG171=$G170,0,AH170)</f>
        <v>0</v>
      </c>
      <c r="AI171" s="27">
        <f>+AI170</f>
        <v>0</v>
      </c>
      <c r="AJ171" s="27">
        <f>IF(AI171=$G170,0,AJ170)</f>
        <v>0</v>
      </c>
      <c r="AK171" s="27">
        <f>+AK170</f>
        <v>0</v>
      </c>
      <c r="AL171" s="27">
        <f>IF(AK171=$G170,0,AL170)</f>
        <v>0</v>
      </c>
      <c r="AM171" s="27">
        <f>+AM170</f>
        <v>0</v>
      </c>
      <c r="AN171" s="27">
        <f>IF(AM171=$G170,0,AN170)</f>
        <v>0</v>
      </c>
      <c r="AO171" s="27">
        <f>+AO170</f>
        <v>0</v>
      </c>
      <c r="AP171" s="27">
        <f>IF(AO171=$G170,0,AP170)</f>
        <v>0</v>
      </c>
      <c r="AQ171" s="27">
        <f>+AQ170</f>
        <v>0</v>
      </c>
      <c r="AR171" s="27">
        <f>IF(AQ171=$G170,0,AR170)</f>
        <v>0</v>
      </c>
      <c r="AS171" s="27">
        <f>+AS170</f>
        <v>0</v>
      </c>
      <c r="AT171" s="27">
        <f>IF(AS171=$G170,0,AT170)</f>
        <v>0</v>
      </c>
      <c r="AU171" s="27">
        <f>+AU170</f>
        <v>0</v>
      </c>
      <c r="AV171" s="27">
        <f>IF(AU171=$G170,0,AV170)</f>
        <v>0</v>
      </c>
      <c r="AW171" s="27">
        <f>+AW170</f>
        <v>0</v>
      </c>
      <c r="AX171" s="27">
        <f>IF(AW171=$G170,0,AX170)</f>
        <v>0</v>
      </c>
      <c r="AY171" s="27">
        <f>+AY170</f>
        <v>0</v>
      </c>
      <c r="AZ171" s="27">
        <f>IF(AY171=$G170,0,AZ170)</f>
        <v>0</v>
      </c>
      <c r="BA171" s="27">
        <f>+BA170</f>
        <v>0</v>
      </c>
      <c r="BB171" s="27">
        <f>IF(BA171=$G170,0,BB170)</f>
        <v>0</v>
      </c>
      <c r="BC171" s="27">
        <f>+BC170</f>
        <v>0</v>
      </c>
      <c r="BD171" s="61">
        <f>IF(BC171=$G170,0,BD170)</f>
        <v>0</v>
      </c>
      <c r="BE171" s="27">
        <f>+BE170</f>
        <v>0</v>
      </c>
      <c r="BF171" s="27">
        <f>IF(BE171=$G170,0,BF170)</f>
        <v>0</v>
      </c>
      <c r="BG171" s="27">
        <f>+BG170</f>
        <v>0</v>
      </c>
      <c r="FJ171" s="61"/>
    </row>
    <row r="172" spans="2:166" s="27" customFormat="1" ht="11.25" hidden="1" x14ac:dyDescent="0.2">
      <c r="B172" s="60"/>
      <c r="F172" s="27">
        <f>SUMIF(H172:BG172,"&gt;0")</f>
        <v>0</v>
      </c>
      <c r="G172" s="27" t="s">
        <v>632</v>
      </c>
      <c r="I172" s="27" t="e">
        <f>-CUMPRINC($F170/12,$E170*12,$D170,H171,I171,0)</f>
        <v>#NUM!</v>
      </c>
      <c r="K172" s="27" t="e">
        <f>-CUMPRINC($F170/12,$E170*12,$D170,J171,K171,0)</f>
        <v>#NUM!</v>
      </c>
      <c r="M172" s="27" t="e">
        <f>-CUMPRINC($F170/12,$E170*12,$D170,L171,M171,0)</f>
        <v>#NUM!</v>
      </c>
      <c r="O172" s="27" t="e">
        <f>-CUMPRINC($F170/12,$E170*12,$D170,N171,O171,0)</f>
        <v>#NUM!</v>
      </c>
      <c r="Q172" s="27" t="e">
        <f>-CUMPRINC($F170/12,$E170*12,$D170,P171,Q171,0)</f>
        <v>#NUM!</v>
      </c>
      <c r="S172" s="27" t="e">
        <f>-CUMPRINC($F170/12,$E170*12,$D170,R171,S171,0)</f>
        <v>#NUM!</v>
      </c>
      <c r="U172" s="27" t="e">
        <f>-CUMPRINC($F170/12,$E170*12,$D170,T171,U171,0)</f>
        <v>#NUM!</v>
      </c>
      <c r="W172" s="27" t="e">
        <f>-CUMPRINC($F170/12,$E170*12,$D170,V171,W171,0)</f>
        <v>#NUM!</v>
      </c>
      <c r="Y172" s="27" t="e">
        <f>-CUMPRINC($F170/12,$E170*12,$D170,X171,Y171,0)</f>
        <v>#NUM!</v>
      </c>
      <c r="AA172" s="27" t="e">
        <f>-CUMPRINC($F170/12,$E170*12,$D170,Z171,AA171,0)</f>
        <v>#NUM!</v>
      </c>
      <c r="AC172" s="27" t="e">
        <f>-CUMPRINC($F170/12,$E170*12,$D170,AB171,AC171,0)</f>
        <v>#NUM!</v>
      </c>
      <c r="AE172" s="27" t="e">
        <f>-CUMPRINC($F170/12,$E170*12,$D170,AD171,AE171,0)</f>
        <v>#NUM!</v>
      </c>
      <c r="AG172" s="27" t="e">
        <f>-CUMPRINC($F170/12,$E170*12,$D170,AF171,AG171,0)</f>
        <v>#NUM!</v>
      </c>
      <c r="AI172" s="27" t="e">
        <f>-CUMPRINC($F170/12,$E170*12,$D170,AH171,AI171,0)</f>
        <v>#NUM!</v>
      </c>
      <c r="AK172" s="27" t="e">
        <f>-CUMPRINC($F170/12,$E170*12,$D170,AJ171,AK171,0)</f>
        <v>#NUM!</v>
      </c>
      <c r="AM172" s="27" t="e">
        <f>-CUMPRINC($F170/12,$E170*12,$D170,AL171,AM171,0)</f>
        <v>#NUM!</v>
      </c>
      <c r="AO172" s="27" t="e">
        <f>-CUMPRINC($F170/12,$E170*12,$D170,AN171,AO171,0)</f>
        <v>#NUM!</v>
      </c>
      <c r="AQ172" s="27" t="e">
        <f>-CUMPRINC($F170/12,$E170*12,$D170,AP171,AQ171,0)</f>
        <v>#NUM!</v>
      </c>
      <c r="AS172" s="27" t="e">
        <f>-CUMPRINC($F170/12,$E170*12,$D170,AR171,AS171,0)</f>
        <v>#NUM!</v>
      </c>
      <c r="AU172" s="27" t="e">
        <f>-CUMPRINC($F170/12,$E170*12,$D170,AT171,AU171,0)</f>
        <v>#NUM!</v>
      </c>
      <c r="AW172" s="27" t="e">
        <f>-CUMPRINC($F170/12,$E170*12,$D170,AV171,AW171,0)</f>
        <v>#NUM!</v>
      </c>
      <c r="AY172" s="27" t="e">
        <f>-CUMPRINC($F170/12,$E170*12,$D170,AX171,AY171,0)</f>
        <v>#NUM!</v>
      </c>
      <c r="BA172" s="27" t="e">
        <f>-CUMPRINC($F170/12,$E170*12,$D170,AZ171,BA171,0)</f>
        <v>#NUM!</v>
      </c>
      <c r="BC172" s="27" t="e">
        <f>-CUMPRINC($F170/12,$E170*12,$D170,BB171,BC171,0)</f>
        <v>#NUM!</v>
      </c>
      <c r="BD172" s="61"/>
      <c r="BE172" s="27" t="e">
        <f>-CUMPRINC($F170/12,$E170*12,$D170,BD171,BE171,0)</f>
        <v>#NUM!</v>
      </c>
      <c r="BG172" s="27" t="e">
        <f>-CUMPRINC($F170/12,$E170*12,$D170,BF171,BG171,0)</f>
        <v>#NUM!</v>
      </c>
      <c r="BH172" s="27" t="s">
        <v>783</v>
      </c>
      <c r="BJ172" s="27" t="e">
        <f>-CUMIPMT($F170/12,$E170*12,$D170,H171,I171,0)</f>
        <v>#NUM!</v>
      </c>
      <c r="BL172" s="27" t="e">
        <f>-CUMIPMT($F170/12,$E170*12,$D170,J171,K171,0)</f>
        <v>#NUM!</v>
      </c>
      <c r="BN172" s="27" t="e">
        <f>-CUMIPMT($F170/12,$E170*12,$D170,L171,M171,0)</f>
        <v>#NUM!</v>
      </c>
      <c r="BP172" s="27" t="e">
        <f>-CUMIPMT($F170/12,$E170*12,$D170,N171,O171,0)</f>
        <v>#NUM!</v>
      </c>
      <c r="BR172" s="27" t="e">
        <f>-CUMIPMT($F170/12,$E170*12,$D170,P171,Q171,0)</f>
        <v>#NUM!</v>
      </c>
      <c r="BT172" s="27" t="e">
        <f>-CUMIPMT($F170/12,$E170*12,$D170,R171,S171,0)</f>
        <v>#NUM!</v>
      </c>
      <c r="BV172" s="27" t="e">
        <f>-CUMIPMT($F170/12,$E170*12,$D170,T171,U171,0)</f>
        <v>#NUM!</v>
      </c>
      <c r="BX172" s="27" t="e">
        <f>-CUMIPMT($F170/12,$E170*12,$D170,V171,W171,0)</f>
        <v>#NUM!</v>
      </c>
      <c r="BZ172" s="27" t="e">
        <f>-CUMIPMT($F170/12,$E170*12,$D170,X171,Y171,0)</f>
        <v>#NUM!</v>
      </c>
      <c r="CB172" s="27" t="e">
        <f>-CUMIPMT($F170/12,$E170*12,$D170,Z171,AA171,0)</f>
        <v>#NUM!</v>
      </c>
      <c r="CD172" s="27" t="e">
        <f>-CUMIPMT($F170/12,$E170*12,$D170,AB171,AC171,0)</f>
        <v>#NUM!</v>
      </c>
      <c r="CF172" s="27" t="e">
        <f>-CUMIPMT($F170/12,$E170*12,$D170,AD171,AE171,0)</f>
        <v>#NUM!</v>
      </c>
      <c r="CH172" s="27" t="e">
        <f>-CUMIPMT($F170/12,$E170*12,$D170,AF171,AG171,0)</f>
        <v>#NUM!</v>
      </c>
      <c r="CJ172" s="27" t="e">
        <f>-CUMIPMT($F170/12,$E170*12,$D170,AH171,AI171,0)</f>
        <v>#NUM!</v>
      </c>
      <c r="CL172" s="27" t="e">
        <f>-CUMIPMT($F170/12,$E170*12,$D170,AJ171,AK171,0)</f>
        <v>#NUM!</v>
      </c>
      <c r="CN172" s="27" t="e">
        <f>-CUMIPMT($F170/12,$E170*12,$D170,AL171,AM171,0)</f>
        <v>#NUM!</v>
      </c>
      <c r="CP172" s="27" t="e">
        <f>-CUMIPMT($F170/12,$E170*12,$D170,AN171,AO171,0)</f>
        <v>#NUM!</v>
      </c>
      <c r="CR172" s="27" t="e">
        <f>-CUMIPMT($F170/12,$E170*12,$D170,AP171,AQ171,0)</f>
        <v>#NUM!</v>
      </c>
      <c r="CT172" s="27" t="e">
        <f>-CUMIPMT($F170/12,$E170*12,$D170,AR171,AS171,0)</f>
        <v>#NUM!</v>
      </c>
      <c r="CV172" s="27" t="e">
        <f>-CUMIPMT($F170/12,$E170*12,$D170,AT171,AU171,0)</f>
        <v>#NUM!</v>
      </c>
      <c r="CX172" s="27" t="e">
        <f>-CUMIPMT($F170/12,$E170*12,$D170,AV171,AW171,0)</f>
        <v>#NUM!</v>
      </c>
      <c r="CZ172" s="27" t="e">
        <f>-CUMIPMT($F170/12,$E170*12,$D170,AX171,AY171,0)</f>
        <v>#NUM!</v>
      </c>
      <c r="DB172" s="27" t="e">
        <f>-CUMIPMT($F170/12,$E170*12,$D170,AZ171,BA171,0)</f>
        <v>#NUM!</v>
      </c>
      <c r="DD172" s="27" t="e">
        <f>-CUMIPMT($F170/12,$E170*12,$D170,BB171,BC171,0)</f>
        <v>#NUM!</v>
      </c>
      <c r="DF172" s="27" t="e">
        <f>-CUMIPMT($F170/12,$E170*12,$D170,BD171,BE171,0)</f>
        <v>#NUM!</v>
      </c>
      <c r="DH172" s="27" t="e">
        <f>-CUMIPMT($F170/12,$E170*12,$D170,BF171,BG171,0)</f>
        <v>#NUM!</v>
      </c>
      <c r="DI172" s="27" t="s">
        <v>784</v>
      </c>
      <c r="DJ172" s="27" t="s">
        <v>785</v>
      </c>
      <c r="DK172" s="27">
        <f>+F172</f>
        <v>0</v>
      </c>
      <c r="DL172" s="27" t="e">
        <f>+DK172-I172</f>
        <v>#NUM!</v>
      </c>
      <c r="DN172" s="27" t="e">
        <f>+DL172-K172</f>
        <v>#NUM!</v>
      </c>
      <c r="DP172" s="27" t="e">
        <f>+DN172-M172</f>
        <v>#NUM!</v>
      </c>
      <c r="DR172" s="27" t="e">
        <f>+DP172-O172</f>
        <v>#NUM!</v>
      </c>
      <c r="DT172" s="27" t="e">
        <f>+DR172-Q172</f>
        <v>#NUM!</v>
      </c>
      <c r="DV172" s="27" t="e">
        <f>+DT172-S172</f>
        <v>#NUM!</v>
      </c>
      <c r="DX172" s="27" t="e">
        <f>+DV172-U172</f>
        <v>#NUM!</v>
      </c>
      <c r="DZ172" s="27" t="e">
        <f>+DX172-W172</f>
        <v>#NUM!</v>
      </c>
      <c r="EB172" s="27" t="e">
        <f>+DZ172-Y172</f>
        <v>#NUM!</v>
      </c>
      <c r="ED172" s="27" t="e">
        <f>+EB172-AA172</f>
        <v>#NUM!</v>
      </c>
      <c r="EF172" s="27" t="e">
        <f>+ED172-AC172</f>
        <v>#NUM!</v>
      </c>
      <c r="EH172" s="27" t="e">
        <f>+EF172-AE172</f>
        <v>#NUM!</v>
      </c>
      <c r="EJ172" s="27" t="e">
        <f>+EH172-AG172</f>
        <v>#NUM!</v>
      </c>
      <c r="EL172" s="27" t="e">
        <f>+EJ172-AI172</f>
        <v>#NUM!</v>
      </c>
      <c r="EN172" s="27" t="e">
        <f>+EL172-AK172</f>
        <v>#NUM!</v>
      </c>
      <c r="EP172" s="27" t="e">
        <f>+EN172-AM172</f>
        <v>#NUM!</v>
      </c>
      <c r="ER172" s="27" t="e">
        <f>+EP172-AO172</f>
        <v>#NUM!</v>
      </c>
      <c r="ET172" s="27" t="e">
        <f>+ER172-AQ172</f>
        <v>#NUM!</v>
      </c>
      <c r="EV172" s="27" t="e">
        <f>+ET172-AS172</f>
        <v>#NUM!</v>
      </c>
      <c r="EX172" s="27" t="e">
        <f>+EV172-AU172</f>
        <v>#NUM!</v>
      </c>
      <c r="EZ172" s="27" t="e">
        <f>+EX172-AW172</f>
        <v>#NUM!</v>
      </c>
      <c r="FB172" s="27" t="e">
        <f>+EZ172-AY172</f>
        <v>#NUM!</v>
      </c>
      <c r="FD172" s="27" t="e">
        <f>+FB172-BA172</f>
        <v>#NUM!</v>
      </c>
      <c r="FF172" s="27" t="e">
        <f>+FD172-BC172</f>
        <v>#NUM!</v>
      </c>
      <c r="FH172" s="27" t="e">
        <f>+FF172-BE172</f>
        <v>#NUM!</v>
      </c>
      <c r="FJ172" s="61" t="e">
        <f>+FH172-BG172</f>
        <v>#NUM!</v>
      </c>
    </row>
    <row r="173" spans="2:166" s="27" customFormat="1" ht="11.25" hidden="1" x14ac:dyDescent="0.2">
      <c r="B173" s="60"/>
      <c r="E173" s="27">
        <f>+F172+F173</f>
        <v>0</v>
      </c>
      <c r="F173" s="27">
        <f>SUMIF(BI172:DH172,"&gt;0")</f>
        <v>0</v>
      </c>
      <c r="I173" s="27">
        <f>IF(ISERROR(I172)=FALSE,I172,0)</f>
        <v>0</v>
      </c>
      <c r="K173" s="27">
        <f>IF(ISERROR(K172)=FALSE,K172,0)</f>
        <v>0</v>
      </c>
      <c r="M173" s="27">
        <f>IF(ISERROR(M172)=FALSE,M172,0)</f>
        <v>0</v>
      </c>
      <c r="O173" s="27">
        <f>IF(ISERROR(O172)=FALSE,O172,0)</f>
        <v>0</v>
      </c>
      <c r="Q173" s="27">
        <f>IF(ISERROR(Q172)=FALSE,Q172,0)</f>
        <v>0</v>
      </c>
      <c r="S173" s="27">
        <f>IF(ISERROR(S172)=FALSE,S172,0)</f>
        <v>0</v>
      </c>
      <c r="U173" s="27">
        <f>IF(ISERROR(U172)=FALSE,U172,0)</f>
        <v>0</v>
      </c>
      <c r="W173" s="27">
        <f>IF(ISERROR(W172)=FALSE,W172,0)</f>
        <v>0</v>
      </c>
      <c r="Y173" s="27">
        <f>IF(ISERROR(Y172)=FALSE,Y172,0)</f>
        <v>0</v>
      </c>
      <c r="AA173" s="27">
        <f>IF(ISERROR(AA172)=FALSE,AA172,0)</f>
        <v>0</v>
      </c>
      <c r="AC173" s="27">
        <f>IF(ISERROR(AC172)=FALSE,AC172,0)</f>
        <v>0</v>
      </c>
      <c r="AE173" s="27">
        <f>IF(ISERROR(AE172)=FALSE,AE172,0)</f>
        <v>0</v>
      </c>
      <c r="AG173" s="27">
        <f>IF(ISERROR(AG172)=FALSE,AG172,0)</f>
        <v>0</v>
      </c>
      <c r="AI173" s="27">
        <f>IF(ISERROR(AI172)=FALSE,AI172,0)</f>
        <v>0</v>
      </c>
      <c r="AK173" s="27">
        <f>IF(ISERROR(AK172)=FALSE,AK172,0)</f>
        <v>0</v>
      </c>
      <c r="AM173" s="27">
        <f>IF(ISERROR(AM172)=FALSE,AM172,0)</f>
        <v>0</v>
      </c>
      <c r="AO173" s="27">
        <f>IF(ISERROR(AO172)=FALSE,AO172,0)</f>
        <v>0</v>
      </c>
      <c r="AQ173" s="27">
        <f>IF(ISERROR(AQ172)=FALSE,AQ172,0)</f>
        <v>0</v>
      </c>
      <c r="AS173" s="27">
        <f>IF(ISERROR(AS172)=FALSE,AS172,0)</f>
        <v>0</v>
      </c>
      <c r="AU173" s="27">
        <f>IF(ISERROR(AU172)=FALSE,AU172,0)</f>
        <v>0</v>
      </c>
      <c r="AW173" s="27">
        <f>IF(ISERROR(AW172)=FALSE,AW172,0)</f>
        <v>0</v>
      </c>
      <c r="AY173" s="27">
        <f>IF(ISERROR(AY172)=FALSE,AY172,0)</f>
        <v>0</v>
      </c>
      <c r="BA173" s="27">
        <f>IF(ISERROR(BA172)=FALSE,BA172,0)</f>
        <v>0</v>
      </c>
      <c r="BC173" s="27">
        <f>IF(ISERROR(BC172)=FALSE,BC172,0)</f>
        <v>0</v>
      </c>
      <c r="BD173" s="61"/>
      <c r="BE173" s="27">
        <f>IF(ISERROR(BE172)=FALSE,BE172,0)</f>
        <v>0</v>
      </c>
      <c r="BG173" s="27">
        <f>IF(ISERROR(BG172)=FALSE,BG172,0)</f>
        <v>0</v>
      </c>
      <c r="FJ173" s="61"/>
    </row>
    <row r="174" spans="2:166" s="27" customFormat="1" ht="11.25" hidden="1" x14ac:dyDescent="0.2">
      <c r="B174" s="60"/>
      <c r="D174" s="27" t="s">
        <v>630</v>
      </c>
      <c r="E174" s="27">
        <f>IF(E170=0,0,E173/(E170*12))</f>
        <v>0</v>
      </c>
      <c r="BD174" s="61"/>
      <c r="FJ174" s="61"/>
    </row>
    <row r="175" spans="2:166" s="27" customFormat="1" ht="11.25" hidden="1" x14ac:dyDescent="0.2">
      <c r="B175" s="60"/>
      <c r="C175" s="27">
        <f>C115</f>
        <v>0</v>
      </c>
      <c r="D175" s="27">
        <f>D115</f>
        <v>0</v>
      </c>
      <c r="E175" s="27">
        <f>E115</f>
        <v>0</v>
      </c>
      <c r="F175" s="27">
        <f>F115</f>
        <v>0</v>
      </c>
      <c r="G175" s="27">
        <f>+$E175*12</f>
        <v>0</v>
      </c>
      <c r="H175" s="27">
        <f>SUMIF($W115:$AH115,$D115,$W$108:$AH$108)</f>
        <v>78</v>
      </c>
      <c r="I175" s="27">
        <f>13-H175</f>
        <v>-65</v>
      </c>
      <c r="J175" s="27">
        <f>IF(I175+1&lt;=$G175,I175+1,($G175-I175)+I175)</f>
        <v>-64</v>
      </c>
      <c r="K175" s="27">
        <f>IF(J175+11&lt;=$G175,J175+11,($G175-J175)+J175)</f>
        <v>-53</v>
      </c>
      <c r="L175" s="27">
        <f>IF(K175+1&lt;=$G175,K175+1,($G175-K175)+K175)</f>
        <v>-52</v>
      </c>
      <c r="M175" s="27">
        <f>IF(L175+11&lt;=$G175,L175+11,($G175-L175)+L175)</f>
        <v>-41</v>
      </c>
      <c r="N175" s="27">
        <f>IF(M175+1&lt;=$G175,M175+1,($G175-M175)+M175)</f>
        <v>-40</v>
      </c>
      <c r="O175" s="27">
        <f>IF(N175+11&lt;=$G175,N175+11,($G175-N175)+N175)</f>
        <v>-29</v>
      </c>
      <c r="P175" s="27">
        <f>IF(O175+1&lt;=$G175,O175+1,($G175-O175)+O175)</f>
        <v>-28</v>
      </c>
      <c r="Q175" s="27">
        <f>IF(P175+11&lt;=$G175,P175+11,($G175-P175)+P175)</f>
        <v>-17</v>
      </c>
      <c r="R175" s="27">
        <f>IF(Q175+1&lt;=$G175,Q175+1,($G175-Q175)+Q175)</f>
        <v>-16</v>
      </c>
      <c r="S175" s="27">
        <f>IF(R175+11&lt;=$G175,R175+11,($G175-R175)+R175)</f>
        <v>-5</v>
      </c>
      <c r="T175" s="27">
        <f>IF(S175+1&lt;=$G175,S175+1,($G175-S175)+S175)</f>
        <v>-4</v>
      </c>
      <c r="U175" s="27">
        <f>IF(T175+11&lt;=$G175,T175+11,($G175-T175)+T175)</f>
        <v>0</v>
      </c>
      <c r="V175" s="27">
        <f>IF(U175+1&lt;=$G175,U175+1,($G175-U175)+U175)</f>
        <v>0</v>
      </c>
      <c r="W175" s="27">
        <f>IF(V175+11&lt;=$G175,V175+11,($G175-V175)+V175)</f>
        <v>0</v>
      </c>
      <c r="X175" s="27">
        <f>IF(W175+1&lt;=$G175,W175+1,($G175-W175)+W175)</f>
        <v>0</v>
      </c>
      <c r="Y175" s="27">
        <f>IF(X175+11&lt;=$G175,X175+11,($G175-X175)+X175)</f>
        <v>0</v>
      </c>
      <c r="Z175" s="27">
        <f>IF(Y175+1&lt;=$G175,Y175+1,($G175-Y175)+Y175)</f>
        <v>0</v>
      </c>
      <c r="AA175" s="27">
        <f>IF(Z175+11&lt;=$G175,Z175+11,($G175-Z175)+Z175)</f>
        <v>0</v>
      </c>
      <c r="AB175" s="27">
        <f>IF(AA175+1&lt;=$G175,AA175+1,($G175-AA175)+AA175)</f>
        <v>0</v>
      </c>
      <c r="AC175" s="27">
        <f>IF(AB175+11&lt;=$G175,AB175+11,($G175-AB175)+AB175)</f>
        <v>0</v>
      </c>
      <c r="AD175" s="27">
        <f>IF(AC175+1&lt;=$G175,AC175+1,($G175-AC175)+AC175)</f>
        <v>0</v>
      </c>
      <c r="AE175" s="27">
        <f>IF(AD175+11&lt;=$G175,AD175+11,($G175-AD175)+AD175)</f>
        <v>0</v>
      </c>
      <c r="AF175" s="27">
        <f>IF(AE175+1&lt;=$G175,AE175+1,($G175-AE175)+AE175)</f>
        <v>0</v>
      </c>
      <c r="AG175" s="27">
        <f>IF(AF175+11&lt;=$G175,AF175+11,($G175-AF175)+AF175)</f>
        <v>0</v>
      </c>
      <c r="AH175" s="27">
        <f>IF(AG175+1&lt;=$G175,AG175+1,($G175-AG175)+AG175)</f>
        <v>0</v>
      </c>
      <c r="AI175" s="27">
        <f>IF(AH175+11&lt;=$G175,AH175+11,($G175-AH175)+AH175)</f>
        <v>0</v>
      </c>
      <c r="AJ175" s="27">
        <f>IF(AI175+1&lt;=$G175,AI175+1,($G175-AI175)+AI175)</f>
        <v>0</v>
      </c>
      <c r="AK175" s="27">
        <f>IF(AJ175+11&lt;=$G175,AJ175+11,($G175-AJ175)+AJ175)</f>
        <v>0</v>
      </c>
      <c r="AL175" s="27">
        <f>IF(AK175+1&lt;=$G175,AK175+1,($G175-AK175)+AK175)</f>
        <v>0</v>
      </c>
      <c r="AM175" s="27">
        <f>IF(AL175+11&lt;=$G175,AL175+11,($G175-AL175)+AL175)</f>
        <v>0</v>
      </c>
      <c r="AN175" s="27">
        <f>IF(AM175+1&lt;=$G175,AM175+1,($G175-AM175)+AM175)</f>
        <v>0</v>
      </c>
      <c r="AO175" s="27">
        <f>IF(AN175+11&lt;=$G175,AN175+11,($G175-AN175)+AN175)</f>
        <v>0</v>
      </c>
      <c r="AP175" s="27">
        <f>IF(AO175+1&lt;=$G175,AO175+1,($G175-AO175)+AO175)</f>
        <v>0</v>
      </c>
      <c r="AQ175" s="27">
        <f>IF(AP175+11&lt;=$G175,AP175+11,($G175-AP175)+AP175)</f>
        <v>0</v>
      </c>
      <c r="AR175" s="27">
        <f>IF(AQ175+1&lt;=$G175,AQ175+1,($G175-AQ175)+AQ175)</f>
        <v>0</v>
      </c>
      <c r="AS175" s="27">
        <f>IF(AR175+11&lt;=$G175,AR175+11,($G175-AR175)+AR175)</f>
        <v>0</v>
      </c>
      <c r="AT175" s="27">
        <f>IF(AS175+1&lt;=$G175,AS175+1,($G175-AS175)+AS175)</f>
        <v>0</v>
      </c>
      <c r="AU175" s="27">
        <f>IF(AT175+11&lt;=$G175,AT175+11,($G175-AT175)+AT175)</f>
        <v>0</v>
      </c>
      <c r="AV175" s="27">
        <f>IF(AU175+1&lt;=$G175,AU175+1,($G175-AU175)+AU175)</f>
        <v>0</v>
      </c>
      <c r="AW175" s="27">
        <f>IF(AV175+11&lt;=$G175,AV175+11,($G175-AV175)+AV175)</f>
        <v>0</v>
      </c>
      <c r="AX175" s="27">
        <f>IF(AW175+1&lt;=$G175,AW175+1,($G175-AW175)+AW175)</f>
        <v>0</v>
      </c>
      <c r="AY175" s="27">
        <f>IF(AX175+11&lt;=$G175,AX175+11,($G175-AX175)+AX175)</f>
        <v>0</v>
      </c>
      <c r="AZ175" s="27">
        <f>IF(AY175+1&lt;=$G175,AY175+1,($G175-AY175)+AY175)</f>
        <v>0</v>
      </c>
      <c r="BA175" s="27">
        <f>IF(AZ175+35&lt;=$G175,AZ175+35,($G175-AZ175)+AZ175)</f>
        <v>0</v>
      </c>
      <c r="BB175" s="27">
        <f>IF(BA175+1&lt;=$G175,BA175+1,($G175-BA175)+BA175)</f>
        <v>0</v>
      </c>
      <c r="BC175" s="27">
        <f>IF(BB175+59&lt;=$G175,BB175+59,($G175-BB175)+BB175)</f>
        <v>0</v>
      </c>
      <c r="BD175" s="61">
        <f>IF(BC175+1&lt;=$G175,BC175+1,($G175-BC175)+BC175)</f>
        <v>0</v>
      </c>
      <c r="BE175" s="27">
        <f>IF(BD175+239&lt;=$G175,BD175+239,($G175-BD175)+BD175)</f>
        <v>0</v>
      </c>
      <c r="BF175" s="27">
        <f>IF(BE175+1&lt;=$G175,BE175+1,($G175-BE175)+BE175)</f>
        <v>0</v>
      </c>
      <c r="BG175" s="27">
        <f>IF(BF175+11&lt;=$G175,BF175+11,($G175-BF175)+BF175)</f>
        <v>0</v>
      </c>
      <c r="FJ175" s="61"/>
    </row>
    <row r="176" spans="2:166" s="27" customFormat="1" ht="11.25" hidden="1" x14ac:dyDescent="0.2">
      <c r="B176" s="60"/>
      <c r="H176" s="27">
        <v>1</v>
      </c>
      <c r="I176" s="27">
        <f>+I175</f>
        <v>-65</v>
      </c>
      <c r="J176" s="27">
        <f>IF(I176=$G175,0,J175)</f>
        <v>-64</v>
      </c>
      <c r="K176" s="27">
        <f>+K175</f>
        <v>-53</v>
      </c>
      <c r="L176" s="27">
        <f>IF(K176=$G175,0,L175)</f>
        <v>-52</v>
      </c>
      <c r="M176" s="27">
        <f>+M175</f>
        <v>-41</v>
      </c>
      <c r="N176" s="27">
        <f>IF(M176=$G175,0,N175)</f>
        <v>-40</v>
      </c>
      <c r="O176" s="27">
        <f>+O175</f>
        <v>-29</v>
      </c>
      <c r="P176" s="27">
        <f>IF(O176=$G175,0,P175)</f>
        <v>-28</v>
      </c>
      <c r="Q176" s="27">
        <f>+Q175</f>
        <v>-17</v>
      </c>
      <c r="R176" s="27">
        <f>IF(Q176=$G175,0,R175)</f>
        <v>-16</v>
      </c>
      <c r="S176" s="27">
        <f>+S175</f>
        <v>-5</v>
      </c>
      <c r="T176" s="27">
        <f>IF(S176=$G175,0,T175)</f>
        <v>-4</v>
      </c>
      <c r="U176" s="27">
        <f>+U175</f>
        <v>0</v>
      </c>
      <c r="V176" s="27">
        <f>IF(U176=$G175,0,V175)</f>
        <v>0</v>
      </c>
      <c r="W176" s="27">
        <f>+W175</f>
        <v>0</v>
      </c>
      <c r="X176" s="27">
        <f>IF(W176=$G175,0,X175)</f>
        <v>0</v>
      </c>
      <c r="Y176" s="27">
        <f>+Y175</f>
        <v>0</v>
      </c>
      <c r="Z176" s="27">
        <f>IF(Y176=$G175,0,Z175)</f>
        <v>0</v>
      </c>
      <c r="AA176" s="27">
        <f>+AA175</f>
        <v>0</v>
      </c>
      <c r="AB176" s="27">
        <f>IF(AA176=$G175,0,AB175)</f>
        <v>0</v>
      </c>
      <c r="AC176" s="27">
        <f>+AC175</f>
        <v>0</v>
      </c>
      <c r="AD176" s="27">
        <f>IF(AC176=$G175,0,AD175)</f>
        <v>0</v>
      </c>
      <c r="AE176" s="27">
        <f>+AE175</f>
        <v>0</v>
      </c>
      <c r="AF176" s="27">
        <f>IF(AE176=$G175,0,AF175)</f>
        <v>0</v>
      </c>
      <c r="AG176" s="27">
        <f>+AG175</f>
        <v>0</v>
      </c>
      <c r="AH176" s="27">
        <f>IF(AG176=$G175,0,AH175)</f>
        <v>0</v>
      </c>
      <c r="AI176" s="27">
        <f>+AI175</f>
        <v>0</v>
      </c>
      <c r="AJ176" s="27">
        <f>IF(AI176=$G175,0,AJ175)</f>
        <v>0</v>
      </c>
      <c r="AK176" s="27">
        <f>+AK175</f>
        <v>0</v>
      </c>
      <c r="AL176" s="27">
        <f>IF(AK176=$G175,0,AL175)</f>
        <v>0</v>
      </c>
      <c r="AM176" s="27">
        <f>+AM175</f>
        <v>0</v>
      </c>
      <c r="AN176" s="27">
        <f>IF(AM176=$G175,0,AN175)</f>
        <v>0</v>
      </c>
      <c r="AO176" s="27">
        <f>+AO175</f>
        <v>0</v>
      </c>
      <c r="AP176" s="27">
        <f>IF(AO176=$G175,0,AP175)</f>
        <v>0</v>
      </c>
      <c r="AQ176" s="27">
        <f>+AQ175</f>
        <v>0</v>
      </c>
      <c r="AR176" s="27">
        <f>IF(AQ176=$G175,0,AR175)</f>
        <v>0</v>
      </c>
      <c r="AS176" s="27">
        <f>+AS175</f>
        <v>0</v>
      </c>
      <c r="AT176" s="27">
        <f>IF(AS176=$G175,0,AT175)</f>
        <v>0</v>
      </c>
      <c r="AU176" s="27">
        <f>+AU175</f>
        <v>0</v>
      </c>
      <c r="AV176" s="27">
        <f>IF(AU176=$G175,0,AV175)</f>
        <v>0</v>
      </c>
      <c r="AW176" s="27">
        <f>+AW175</f>
        <v>0</v>
      </c>
      <c r="AX176" s="27">
        <f>IF(AW176=$G175,0,AX175)</f>
        <v>0</v>
      </c>
      <c r="AY176" s="27">
        <f>+AY175</f>
        <v>0</v>
      </c>
      <c r="AZ176" s="27">
        <f>IF(AY176=$G175,0,AZ175)</f>
        <v>0</v>
      </c>
      <c r="BA176" s="27">
        <f>+BA175</f>
        <v>0</v>
      </c>
      <c r="BB176" s="27">
        <f>IF(BA176=$G175,0,BB175)</f>
        <v>0</v>
      </c>
      <c r="BC176" s="27">
        <f>+BC175</f>
        <v>0</v>
      </c>
      <c r="BD176" s="61">
        <f>IF(BC176=$G175,0,BD175)</f>
        <v>0</v>
      </c>
      <c r="BE176" s="27">
        <f>+BE175</f>
        <v>0</v>
      </c>
      <c r="BF176" s="27">
        <f>IF(BE176=$G175,0,BF175)</f>
        <v>0</v>
      </c>
      <c r="BG176" s="27">
        <f>+BG175</f>
        <v>0</v>
      </c>
      <c r="FJ176" s="61"/>
    </row>
    <row r="177" spans="2:166" s="27" customFormat="1" ht="11.25" hidden="1" x14ac:dyDescent="0.2">
      <c r="B177" s="60"/>
      <c r="F177" s="27">
        <f>SUMIF(H177:BG177,"&gt;0")</f>
        <v>0</v>
      </c>
      <c r="G177" s="27" t="s">
        <v>632</v>
      </c>
      <c r="I177" s="27" t="e">
        <f>-CUMPRINC($F175/12,$E175*12,$D175,H176,I176,0)</f>
        <v>#NUM!</v>
      </c>
      <c r="K177" s="27" t="e">
        <f>-CUMPRINC($F175/12,$E175*12,$D175,J176,K176,0)</f>
        <v>#NUM!</v>
      </c>
      <c r="M177" s="27" t="e">
        <f>-CUMPRINC($F175/12,$E175*12,$D175,L176,M176,0)</f>
        <v>#NUM!</v>
      </c>
      <c r="O177" s="27" t="e">
        <f>-CUMPRINC($F175/12,$E175*12,$D175,N176,O176,0)</f>
        <v>#NUM!</v>
      </c>
      <c r="Q177" s="27" t="e">
        <f>-CUMPRINC($F175/12,$E175*12,$D175,P176,Q176,0)</f>
        <v>#NUM!</v>
      </c>
      <c r="S177" s="27" t="e">
        <f>-CUMPRINC($F175/12,$E175*12,$D175,R176,S176,0)</f>
        <v>#NUM!</v>
      </c>
      <c r="U177" s="27" t="e">
        <f>-CUMPRINC($F175/12,$E175*12,$D175,T176,U176,0)</f>
        <v>#NUM!</v>
      </c>
      <c r="W177" s="27" t="e">
        <f>-CUMPRINC($F175/12,$E175*12,$D175,V176,W176,0)</f>
        <v>#NUM!</v>
      </c>
      <c r="Y177" s="27" t="e">
        <f>-CUMPRINC($F175/12,$E175*12,$D175,X176,Y176,0)</f>
        <v>#NUM!</v>
      </c>
      <c r="AA177" s="27" t="e">
        <f>-CUMPRINC($F175/12,$E175*12,$D175,Z176,AA176,0)</f>
        <v>#NUM!</v>
      </c>
      <c r="AC177" s="27" t="e">
        <f>-CUMPRINC($F175/12,$E175*12,$D175,AB176,AC176,0)</f>
        <v>#NUM!</v>
      </c>
      <c r="AE177" s="27" t="e">
        <f>-CUMPRINC($F175/12,$E175*12,$D175,AD176,AE176,0)</f>
        <v>#NUM!</v>
      </c>
      <c r="AG177" s="27" t="e">
        <f>-CUMPRINC($F175/12,$E175*12,$D175,AF176,AG176,0)</f>
        <v>#NUM!</v>
      </c>
      <c r="AI177" s="27" t="e">
        <f>-CUMPRINC($F175/12,$E175*12,$D175,AH176,AI176,0)</f>
        <v>#NUM!</v>
      </c>
      <c r="AK177" s="27" t="e">
        <f>-CUMPRINC($F175/12,$E175*12,$D175,AJ176,AK176,0)</f>
        <v>#NUM!</v>
      </c>
      <c r="AM177" s="27" t="e">
        <f>-CUMPRINC($F175/12,$E175*12,$D175,AL176,AM176,0)</f>
        <v>#NUM!</v>
      </c>
      <c r="AO177" s="27" t="e">
        <f>-CUMPRINC($F175/12,$E175*12,$D175,AN176,AO176,0)</f>
        <v>#NUM!</v>
      </c>
      <c r="AQ177" s="27" t="e">
        <f>-CUMPRINC($F175/12,$E175*12,$D175,AP176,AQ176,0)</f>
        <v>#NUM!</v>
      </c>
      <c r="AS177" s="27" t="e">
        <f>-CUMPRINC($F175/12,$E175*12,$D175,AR176,AS176,0)</f>
        <v>#NUM!</v>
      </c>
      <c r="AU177" s="27" t="e">
        <f>-CUMPRINC($F175/12,$E175*12,$D175,AT176,AU176,0)</f>
        <v>#NUM!</v>
      </c>
      <c r="AW177" s="27" t="e">
        <f>-CUMPRINC($F175/12,$E175*12,$D175,AV176,AW176,0)</f>
        <v>#NUM!</v>
      </c>
      <c r="AY177" s="27" t="e">
        <f>-CUMPRINC($F175/12,$E175*12,$D175,AX176,AY176,0)</f>
        <v>#NUM!</v>
      </c>
      <c r="BA177" s="27" t="e">
        <f>-CUMPRINC($F175/12,$E175*12,$D175,AZ176,BA176,0)</f>
        <v>#NUM!</v>
      </c>
      <c r="BC177" s="27" t="e">
        <f>-CUMPRINC($F175/12,$E175*12,$D175,BB176,BC176,0)</f>
        <v>#NUM!</v>
      </c>
      <c r="BD177" s="61"/>
      <c r="BE177" s="27" t="e">
        <f>-CUMPRINC($F175/12,$E175*12,$D175,BD176,BE176,0)</f>
        <v>#NUM!</v>
      </c>
      <c r="BG177" s="27" t="e">
        <f>-CUMPRINC($F175/12,$E175*12,$D175,BF176,BG176,0)</f>
        <v>#NUM!</v>
      </c>
      <c r="BH177" s="27" t="s">
        <v>783</v>
      </c>
      <c r="BJ177" s="27" t="e">
        <f>-CUMIPMT($F175/12,$E175*12,$D175,H176,I176,0)</f>
        <v>#NUM!</v>
      </c>
      <c r="BL177" s="27" t="e">
        <f>-CUMIPMT($F175/12,$E175*12,$D175,J176,K176,0)</f>
        <v>#NUM!</v>
      </c>
      <c r="BN177" s="27" t="e">
        <f>-CUMIPMT($F175/12,$E175*12,$D175,L176,M176,0)</f>
        <v>#NUM!</v>
      </c>
      <c r="BP177" s="27" t="e">
        <f>-CUMIPMT($F175/12,$E175*12,$D175,N176,O176,0)</f>
        <v>#NUM!</v>
      </c>
      <c r="BR177" s="27" t="e">
        <f>-CUMIPMT($F175/12,$E175*12,$D175,P176,Q176,0)</f>
        <v>#NUM!</v>
      </c>
      <c r="BT177" s="27" t="e">
        <f>-CUMIPMT($F175/12,$E175*12,$D175,R176,S176,0)</f>
        <v>#NUM!</v>
      </c>
      <c r="BV177" s="27" t="e">
        <f>-CUMIPMT($F175/12,$E175*12,$D175,T176,U176,0)</f>
        <v>#NUM!</v>
      </c>
      <c r="BX177" s="27" t="e">
        <f>-CUMIPMT($F175/12,$E175*12,$D175,V176,W176,0)</f>
        <v>#NUM!</v>
      </c>
      <c r="BZ177" s="27" t="e">
        <f>-CUMIPMT($F175/12,$E175*12,$D175,X176,Y176,0)</f>
        <v>#NUM!</v>
      </c>
      <c r="CB177" s="27" t="e">
        <f>-CUMIPMT($F175/12,$E175*12,$D175,Z176,AA176,0)</f>
        <v>#NUM!</v>
      </c>
      <c r="CD177" s="27" t="e">
        <f>-CUMIPMT($F175/12,$E175*12,$D175,AB176,AC176,0)</f>
        <v>#NUM!</v>
      </c>
      <c r="CF177" s="27" t="e">
        <f>-CUMIPMT($F175/12,$E175*12,$D175,AD176,AE176,0)</f>
        <v>#NUM!</v>
      </c>
      <c r="CH177" s="27" t="e">
        <f>-CUMIPMT($F175/12,$E175*12,$D175,AF176,AG176,0)</f>
        <v>#NUM!</v>
      </c>
      <c r="CJ177" s="27" t="e">
        <f>-CUMIPMT($F175/12,$E175*12,$D175,AH176,AI176,0)</f>
        <v>#NUM!</v>
      </c>
      <c r="CL177" s="27" t="e">
        <f>-CUMIPMT($F175/12,$E175*12,$D175,AJ176,AK176,0)</f>
        <v>#NUM!</v>
      </c>
      <c r="CN177" s="27" t="e">
        <f>-CUMIPMT($F175/12,$E175*12,$D175,AL176,AM176,0)</f>
        <v>#NUM!</v>
      </c>
      <c r="CP177" s="27" t="e">
        <f>-CUMIPMT($F175/12,$E175*12,$D175,AN176,AO176,0)</f>
        <v>#NUM!</v>
      </c>
      <c r="CR177" s="27" t="e">
        <f>-CUMIPMT($F175/12,$E175*12,$D175,AP176,AQ176,0)</f>
        <v>#NUM!</v>
      </c>
      <c r="CT177" s="27" t="e">
        <f>-CUMIPMT($F175/12,$E175*12,$D175,AR176,AS176,0)</f>
        <v>#NUM!</v>
      </c>
      <c r="CV177" s="27" t="e">
        <f>-CUMIPMT($F175/12,$E175*12,$D175,AT176,AU176,0)</f>
        <v>#NUM!</v>
      </c>
      <c r="CX177" s="27" t="e">
        <f>-CUMIPMT($F175/12,$E175*12,$D175,AV176,AW176,0)</f>
        <v>#NUM!</v>
      </c>
      <c r="CZ177" s="27" t="e">
        <f>-CUMIPMT($F175/12,$E175*12,$D175,AX176,AY176,0)</f>
        <v>#NUM!</v>
      </c>
      <c r="DB177" s="27" t="e">
        <f>-CUMIPMT($F175/12,$E175*12,$D175,AZ176,BA176,0)</f>
        <v>#NUM!</v>
      </c>
      <c r="DD177" s="27" t="e">
        <f>-CUMIPMT($F175/12,$E175*12,$D175,BB176,BC176,0)</f>
        <v>#NUM!</v>
      </c>
      <c r="DF177" s="27" t="e">
        <f>-CUMIPMT($F175/12,$E175*12,$D175,BD176,BE176,0)</f>
        <v>#NUM!</v>
      </c>
      <c r="DH177" s="27" t="e">
        <f>-CUMIPMT($F175/12,$E175*12,$D175,BF176,BG176,0)</f>
        <v>#NUM!</v>
      </c>
      <c r="DI177" s="27" t="s">
        <v>784</v>
      </c>
      <c r="DJ177" s="27" t="s">
        <v>785</v>
      </c>
      <c r="DK177" s="27">
        <f>+F177</f>
        <v>0</v>
      </c>
      <c r="DL177" s="27" t="e">
        <f>+DK177-I177</f>
        <v>#NUM!</v>
      </c>
      <c r="DN177" s="27" t="e">
        <f>+DL177-K177</f>
        <v>#NUM!</v>
      </c>
      <c r="DP177" s="27" t="e">
        <f>+DN177-M177</f>
        <v>#NUM!</v>
      </c>
      <c r="DR177" s="27" t="e">
        <f>+DP177-O177</f>
        <v>#NUM!</v>
      </c>
      <c r="DT177" s="27" t="e">
        <f>+DR177-Q177</f>
        <v>#NUM!</v>
      </c>
      <c r="DV177" s="27" t="e">
        <f>+DT177-S177</f>
        <v>#NUM!</v>
      </c>
      <c r="DX177" s="27" t="e">
        <f>+DV177-U177</f>
        <v>#NUM!</v>
      </c>
      <c r="DZ177" s="27" t="e">
        <f>+DX177-W177</f>
        <v>#NUM!</v>
      </c>
      <c r="EB177" s="27" t="e">
        <f>+DZ177-Y177</f>
        <v>#NUM!</v>
      </c>
      <c r="ED177" s="27" t="e">
        <f>+EB177-AA177</f>
        <v>#NUM!</v>
      </c>
      <c r="EF177" s="27" t="e">
        <f>+ED177-AC177</f>
        <v>#NUM!</v>
      </c>
      <c r="EH177" s="27" t="e">
        <f>+EF177-AE177</f>
        <v>#NUM!</v>
      </c>
      <c r="EJ177" s="27" t="e">
        <f>+EH177-AG177</f>
        <v>#NUM!</v>
      </c>
      <c r="EL177" s="27" t="e">
        <f>+EJ177-AI177</f>
        <v>#NUM!</v>
      </c>
      <c r="EN177" s="27" t="e">
        <f>+EL177-AK177</f>
        <v>#NUM!</v>
      </c>
      <c r="EP177" s="27" t="e">
        <f>+EN177-AM177</f>
        <v>#NUM!</v>
      </c>
      <c r="ER177" s="27" t="e">
        <f>+EP177-AO177</f>
        <v>#NUM!</v>
      </c>
      <c r="ET177" s="27" t="e">
        <f>+ER177-AQ177</f>
        <v>#NUM!</v>
      </c>
      <c r="EV177" s="27" t="e">
        <f>+ET177-AS177</f>
        <v>#NUM!</v>
      </c>
      <c r="EX177" s="27" t="e">
        <f>+EV177-AU177</f>
        <v>#NUM!</v>
      </c>
      <c r="EZ177" s="27" t="e">
        <f>+EX177-AW177</f>
        <v>#NUM!</v>
      </c>
      <c r="FB177" s="27" t="e">
        <f>+EZ177-AY177</f>
        <v>#NUM!</v>
      </c>
      <c r="FD177" s="27" t="e">
        <f>+FB177-BA177</f>
        <v>#NUM!</v>
      </c>
      <c r="FF177" s="27" t="e">
        <f>+FD177-BC177</f>
        <v>#NUM!</v>
      </c>
      <c r="FH177" s="27" t="e">
        <f>+FF177-BE177</f>
        <v>#NUM!</v>
      </c>
      <c r="FJ177" s="61" t="e">
        <f>+FH177-BG177</f>
        <v>#NUM!</v>
      </c>
    </row>
    <row r="178" spans="2:166" s="27" customFormat="1" ht="11.25" hidden="1" x14ac:dyDescent="0.2">
      <c r="B178" s="60"/>
      <c r="E178" s="27">
        <f>+F177+F178</f>
        <v>0</v>
      </c>
      <c r="F178" s="27">
        <f>SUMIF(BI177:DH177,"&gt;0")</f>
        <v>0</v>
      </c>
      <c r="I178" s="27">
        <f>IF(ISERROR(I177)=FALSE,I177,0)</f>
        <v>0</v>
      </c>
      <c r="K178" s="27">
        <f>IF(ISERROR(K177)=FALSE,K177,0)</f>
        <v>0</v>
      </c>
      <c r="M178" s="27">
        <f>IF(ISERROR(M177)=FALSE,M177,0)</f>
        <v>0</v>
      </c>
      <c r="O178" s="27">
        <f>IF(ISERROR(O177)=FALSE,O177,0)</f>
        <v>0</v>
      </c>
      <c r="Q178" s="27">
        <f>IF(ISERROR(Q177)=FALSE,Q177,0)</f>
        <v>0</v>
      </c>
      <c r="S178" s="27">
        <f>IF(ISERROR(S177)=FALSE,S177,0)</f>
        <v>0</v>
      </c>
      <c r="U178" s="27">
        <f>IF(ISERROR(U177)=FALSE,U177,0)</f>
        <v>0</v>
      </c>
      <c r="W178" s="27">
        <f>IF(ISERROR(W177)=FALSE,W177,0)</f>
        <v>0</v>
      </c>
      <c r="Y178" s="27">
        <f>IF(ISERROR(Y177)=FALSE,Y177,0)</f>
        <v>0</v>
      </c>
      <c r="AA178" s="27">
        <f>IF(ISERROR(AA177)=FALSE,AA177,0)</f>
        <v>0</v>
      </c>
      <c r="AC178" s="27">
        <f>IF(ISERROR(AC177)=FALSE,AC177,0)</f>
        <v>0</v>
      </c>
      <c r="AE178" s="27">
        <f>IF(ISERROR(AE177)=FALSE,AE177,0)</f>
        <v>0</v>
      </c>
      <c r="AG178" s="27">
        <f>IF(ISERROR(AG177)=FALSE,AG177,0)</f>
        <v>0</v>
      </c>
      <c r="AI178" s="27">
        <f>IF(ISERROR(AI177)=FALSE,AI177,0)</f>
        <v>0</v>
      </c>
      <c r="AK178" s="27">
        <f>IF(ISERROR(AK177)=FALSE,AK177,0)</f>
        <v>0</v>
      </c>
      <c r="AM178" s="27">
        <f>IF(ISERROR(AM177)=FALSE,AM177,0)</f>
        <v>0</v>
      </c>
      <c r="AO178" s="27">
        <f>IF(ISERROR(AO177)=FALSE,AO177,0)</f>
        <v>0</v>
      </c>
      <c r="AQ178" s="27">
        <f>IF(ISERROR(AQ177)=FALSE,AQ177,0)</f>
        <v>0</v>
      </c>
      <c r="AS178" s="27">
        <f>IF(ISERROR(AS177)=FALSE,AS177,0)</f>
        <v>0</v>
      </c>
      <c r="AU178" s="27">
        <f>IF(ISERROR(AU177)=FALSE,AU177,0)</f>
        <v>0</v>
      </c>
      <c r="AW178" s="27">
        <f>IF(ISERROR(AW177)=FALSE,AW177,0)</f>
        <v>0</v>
      </c>
      <c r="AY178" s="27">
        <f>IF(ISERROR(AY177)=FALSE,AY177,0)</f>
        <v>0</v>
      </c>
      <c r="BA178" s="27">
        <f>IF(ISERROR(BA177)=FALSE,BA177,0)</f>
        <v>0</v>
      </c>
      <c r="BC178" s="27">
        <f>IF(ISERROR(BC177)=FALSE,BC177,0)</f>
        <v>0</v>
      </c>
      <c r="BD178" s="61"/>
      <c r="BE178" s="27">
        <f>IF(ISERROR(BE177)=FALSE,BE177,0)</f>
        <v>0</v>
      </c>
      <c r="BG178" s="27">
        <f>IF(ISERROR(BG177)=FALSE,BG177,0)</f>
        <v>0</v>
      </c>
      <c r="FJ178" s="61"/>
    </row>
    <row r="179" spans="2:166" s="27" customFormat="1" ht="11.25" hidden="1" x14ac:dyDescent="0.2">
      <c r="B179" s="60"/>
      <c r="D179" s="27" t="s">
        <v>630</v>
      </c>
      <c r="E179" s="27">
        <f>IF(E175=0,0,E178/(E175*12))</f>
        <v>0</v>
      </c>
      <c r="BD179" s="61"/>
      <c r="FJ179" s="61"/>
    </row>
    <row r="180" spans="2:166" s="27" customFormat="1" ht="11.25" hidden="1" x14ac:dyDescent="0.2">
      <c r="B180" s="60"/>
      <c r="C180" s="27">
        <f>C116</f>
        <v>0</v>
      </c>
      <c r="D180" s="27">
        <f>D116</f>
        <v>0</v>
      </c>
      <c r="E180" s="27">
        <f>E116</f>
        <v>0</v>
      </c>
      <c r="F180" s="27">
        <f>F116</f>
        <v>0</v>
      </c>
      <c r="G180" s="27">
        <f>+$E180*12</f>
        <v>0</v>
      </c>
      <c r="H180" s="27">
        <f>SUMIF($W116:$AH116,$D116,$W$108:$AH$108)</f>
        <v>78</v>
      </c>
      <c r="I180" s="27">
        <f>13-H180</f>
        <v>-65</v>
      </c>
      <c r="J180" s="27">
        <f>IF(I180+1&lt;=$G180,I180+1,($G180-I180)+I180)</f>
        <v>-64</v>
      </c>
      <c r="K180" s="27">
        <f>IF(J180+11&lt;=$G180,J180+11,($G180-J180)+J180)</f>
        <v>-53</v>
      </c>
      <c r="L180" s="27">
        <f>IF(K180+1&lt;=$G180,K180+1,($G180-K180)+K180)</f>
        <v>-52</v>
      </c>
      <c r="M180" s="27">
        <f>IF(L180+11&lt;=$G180,L180+11,($G180-L180)+L180)</f>
        <v>-41</v>
      </c>
      <c r="N180" s="27">
        <f>IF(M180+1&lt;=$G180,M180+1,($G180-M180)+M180)</f>
        <v>-40</v>
      </c>
      <c r="O180" s="27">
        <f>IF(N180+11&lt;=$G180,N180+11,($G180-N180)+N180)</f>
        <v>-29</v>
      </c>
      <c r="P180" s="27">
        <f>IF(O180+1&lt;=$G180,O180+1,($G180-O180)+O180)</f>
        <v>-28</v>
      </c>
      <c r="Q180" s="27">
        <f>IF(P180+11&lt;=$G180,P180+11,($G180-P180)+P180)</f>
        <v>-17</v>
      </c>
      <c r="R180" s="27">
        <f>IF(Q180+1&lt;=$G180,Q180+1,($G180-Q180)+Q180)</f>
        <v>-16</v>
      </c>
      <c r="S180" s="27">
        <f>IF(R180+11&lt;=$G180,R180+11,($G180-R180)+R180)</f>
        <v>-5</v>
      </c>
      <c r="T180" s="27">
        <f>IF(S180+1&lt;=$G180,S180+1,($G180-S180)+S180)</f>
        <v>-4</v>
      </c>
      <c r="U180" s="27">
        <f>IF(T180+11&lt;=$G180,T180+11,($G180-T180)+T180)</f>
        <v>0</v>
      </c>
      <c r="V180" s="27">
        <f>IF(U180+1&lt;=$G180,U180+1,($G180-U180)+U180)</f>
        <v>0</v>
      </c>
      <c r="W180" s="27">
        <f>IF(V180+11&lt;=$G180,V180+11,($G180-V180)+V180)</f>
        <v>0</v>
      </c>
      <c r="X180" s="27">
        <f>IF(W180+1&lt;=$G180,W180+1,($G180-W180)+W180)</f>
        <v>0</v>
      </c>
      <c r="Y180" s="27">
        <f>IF(X180+11&lt;=$G180,X180+11,($G180-X180)+X180)</f>
        <v>0</v>
      </c>
      <c r="Z180" s="27">
        <f>IF(Y180+1&lt;=$G180,Y180+1,($G180-Y180)+Y180)</f>
        <v>0</v>
      </c>
      <c r="AA180" s="27">
        <f>IF(Z180+11&lt;=$G180,Z180+11,($G180-Z180)+Z180)</f>
        <v>0</v>
      </c>
      <c r="AB180" s="27">
        <f>IF(AA180+1&lt;=$G180,AA180+1,($G180-AA180)+AA180)</f>
        <v>0</v>
      </c>
      <c r="AC180" s="27">
        <f>IF(AB180+11&lt;=$G180,AB180+11,($G180-AB180)+AB180)</f>
        <v>0</v>
      </c>
      <c r="AD180" s="27">
        <f>IF(AC180+1&lt;=$G180,AC180+1,($G180-AC180)+AC180)</f>
        <v>0</v>
      </c>
      <c r="AE180" s="27">
        <f>IF(AD180+11&lt;=$G180,AD180+11,($G180-AD180)+AD180)</f>
        <v>0</v>
      </c>
      <c r="AF180" s="27">
        <f>IF(AE180+1&lt;=$G180,AE180+1,($G180-AE180)+AE180)</f>
        <v>0</v>
      </c>
      <c r="AG180" s="27">
        <f>IF(AF180+11&lt;=$G180,AF180+11,($G180-AF180)+AF180)</f>
        <v>0</v>
      </c>
      <c r="AH180" s="27">
        <f>IF(AG180+1&lt;=$G180,AG180+1,($G180-AG180)+AG180)</f>
        <v>0</v>
      </c>
      <c r="AI180" s="27">
        <f>IF(AH180+11&lt;=$G180,AH180+11,($G180-AH180)+AH180)</f>
        <v>0</v>
      </c>
      <c r="AJ180" s="27">
        <f>IF(AI180+1&lt;=$G180,AI180+1,($G180-AI180)+AI180)</f>
        <v>0</v>
      </c>
      <c r="AK180" s="27">
        <f>IF(AJ180+11&lt;=$G180,AJ180+11,($G180-AJ180)+AJ180)</f>
        <v>0</v>
      </c>
      <c r="AL180" s="27">
        <f>IF(AK180+1&lt;=$G180,AK180+1,($G180-AK180)+AK180)</f>
        <v>0</v>
      </c>
      <c r="AM180" s="27">
        <f>IF(AL180+11&lt;=$G180,AL180+11,($G180-AL180)+AL180)</f>
        <v>0</v>
      </c>
      <c r="AN180" s="27">
        <f>IF(AM180+1&lt;=$G180,AM180+1,($G180-AM180)+AM180)</f>
        <v>0</v>
      </c>
      <c r="AO180" s="27">
        <f>IF(AN180+11&lt;=$G180,AN180+11,($G180-AN180)+AN180)</f>
        <v>0</v>
      </c>
      <c r="AP180" s="27">
        <f>IF(AO180+1&lt;=$G180,AO180+1,($G180-AO180)+AO180)</f>
        <v>0</v>
      </c>
      <c r="AQ180" s="27">
        <f>IF(AP180+11&lt;=$G180,AP180+11,($G180-AP180)+AP180)</f>
        <v>0</v>
      </c>
      <c r="AR180" s="27">
        <f>IF(AQ180+1&lt;=$G180,AQ180+1,($G180-AQ180)+AQ180)</f>
        <v>0</v>
      </c>
      <c r="AS180" s="27">
        <f>IF(AR180+11&lt;=$G180,AR180+11,($G180-AR180)+AR180)</f>
        <v>0</v>
      </c>
      <c r="AT180" s="27">
        <f>IF(AS180+1&lt;=$G180,AS180+1,($G180-AS180)+AS180)</f>
        <v>0</v>
      </c>
      <c r="AU180" s="27">
        <f>IF(AT180+11&lt;=$G180,AT180+11,($G180-AT180)+AT180)</f>
        <v>0</v>
      </c>
      <c r="AV180" s="27">
        <f>IF(AU180+1&lt;=$G180,AU180+1,($G180-AU180)+AU180)</f>
        <v>0</v>
      </c>
      <c r="AW180" s="27">
        <f>IF(AV180+11&lt;=$G180,AV180+11,($G180-AV180)+AV180)</f>
        <v>0</v>
      </c>
      <c r="AX180" s="27">
        <f>IF(AW180+1&lt;=$G180,AW180+1,($G180-AW180)+AW180)</f>
        <v>0</v>
      </c>
      <c r="AY180" s="27">
        <f>IF(AX180+11&lt;=$G180,AX180+11,($G180-AX180)+AX180)</f>
        <v>0</v>
      </c>
      <c r="AZ180" s="27">
        <f>IF(AY180+1&lt;=$G180,AY180+1,($G180-AY180)+AY180)</f>
        <v>0</v>
      </c>
      <c r="BA180" s="27">
        <f>IF(AZ180+35&lt;=$G180,AZ180+35,($G180-AZ180)+AZ180)</f>
        <v>0</v>
      </c>
      <c r="BB180" s="27">
        <f>IF(BA180+1&lt;=$G180,BA180+1,($G180-BA180)+BA180)</f>
        <v>0</v>
      </c>
      <c r="BC180" s="27">
        <f>IF(BB180+59&lt;=$G180,BB180+59,($G180-BB180)+BB180)</f>
        <v>0</v>
      </c>
      <c r="BD180" s="61">
        <f>IF(BC180+1&lt;=$G180,BC180+1,($G180-BC180)+BC180)</f>
        <v>0</v>
      </c>
      <c r="BE180" s="27">
        <f>IF(BD180+239&lt;=$G180,BD180+239,($G180-BD180)+BD180)</f>
        <v>0</v>
      </c>
      <c r="BF180" s="27">
        <f>IF(BE180+1&lt;=$G180,BE180+1,($G180-BE180)+BE180)</f>
        <v>0</v>
      </c>
      <c r="BG180" s="27">
        <f>IF(BF180+11&lt;=$G180,BF180+11,($G180-BF180)+BF180)</f>
        <v>0</v>
      </c>
      <c r="FJ180" s="61"/>
    </row>
    <row r="181" spans="2:166" s="27" customFormat="1" ht="11.25" hidden="1" x14ac:dyDescent="0.2">
      <c r="B181" s="60"/>
      <c r="H181" s="27">
        <v>1</v>
      </c>
      <c r="I181" s="27">
        <f>+I180</f>
        <v>-65</v>
      </c>
      <c r="J181" s="27">
        <f>IF(I181=$G180,0,J180)</f>
        <v>-64</v>
      </c>
      <c r="K181" s="27">
        <f>+K180</f>
        <v>-53</v>
      </c>
      <c r="L181" s="27">
        <f>IF(K181=$G180,0,L180)</f>
        <v>-52</v>
      </c>
      <c r="M181" s="27">
        <f>+M180</f>
        <v>-41</v>
      </c>
      <c r="N181" s="27">
        <f>IF(M181=$G180,0,N180)</f>
        <v>-40</v>
      </c>
      <c r="O181" s="27">
        <f>+O180</f>
        <v>-29</v>
      </c>
      <c r="P181" s="27">
        <f>IF(O181=$G180,0,P180)</f>
        <v>-28</v>
      </c>
      <c r="Q181" s="27">
        <f>+Q180</f>
        <v>-17</v>
      </c>
      <c r="R181" s="27">
        <f>IF(Q181=$G180,0,R180)</f>
        <v>-16</v>
      </c>
      <c r="S181" s="27">
        <f>+S180</f>
        <v>-5</v>
      </c>
      <c r="T181" s="27">
        <f>IF(S181=$G180,0,T180)</f>
        <v>-4</v>
      </c>
      <c r="U181" s="27">
        <f>+U180</f>
        <v>0</v>
      </c>
      <c r="V181" s="27">
        <f>IF(U181=$G180,0,V180)</f>
        <v>0</v>
      </c>
      <c r="W181" s="27">
        <f>+W180</f>
        <v>0</v>
      </c>
      <c r="X181" s="27">
        <f>IF(W181=$G180,0,X180)</f>
        <v>0</v>
      </c>
      <c r="Y181" s="27">
        <f>+Y180</f>
        <v>0</v>
      </c>
      <c r="Z181" s="27">
        <f>IF(Y181=$G180,0,Z180)</f>
        <v>0</v>
      </c>
      <c r="AA181" s="27">
        <f>+AA180</f>
        <v>0</v>
      </c>
      <c r="AB181" s="27">
        <f>IF(AA181=$G180,0,AB180)</f>
        <v>0</v>
      </c>
      <c r="AC181" s="27">
        <f>+AC180</f>
        <v>0</v>
      </c>
      <c r="AD181" s="27">
        <f>IF(AC181=$G180,0,AD180)</f>
        <v>0</v>
      </c>
      <c r="AE181" s="27">
        <f>+AE180</f>
        <v>0</v>
      </c>
      <c r="AF181" s="27">
        <f>IF(AE181=$G180,0,AF180)</f>
        <v>0</v>
      </c>
      <c r="AG181" s="27">
        <f>+AG180</f>
        <v>0</v>
      </c>
      <c r="AH181" s="27">
        <f>IF(AG181=$G180,0,AH180)</f>
        <v>0</v>
      </c>
      <c r="AI181" s="27">
        <f>+AI180</f>
        <v>0</v>
      </c>
      <c r="AJ181" s="27">
        <f>IF(AI181=$G180,0,AJ180)</f>
        <v>0</v>
      </c>
      <c r="AK181" s="27">
        <f>+AK180</f>
        <v>0</v>
      </c>
      <c r="AL181" s="27">
        <f>IF(AK181=$G180,0,AL180)</f>
        <v>0</v>
      </c>
      <c r="AM181" s="27">
        <f>+AM180</f>
        <v>0</v>
      </c>
      <c r="AN181" s="27">
        <f>IF(AM181=$G180,0,AN180)</f>
        <v>0</v>
      </c>
      <c r="AO181" s="27">
        <f>+AO180</f>
        <v>0</v>
      </c>
      <c r="AP181" s="27">
        <f>IF(AO181=$G180,0,AP180)</f>
        <v>0</v>
      </c>
      <c r="AQ181" s="27">
        <f>+AQ180</f>
        <v>0</v>
      </c>
      <c r="AR181" s="27">
        <f>IF(AQ181=$G180,0,AR180)</f>
        <v>0</v>
      </c>
      <c r="AS181" s="27">
        <f>+AS180</f>
        <v>0</v>
      </c>
      <c r="AT181" s="27">
        <f>IF(AS181=$G180,0,AT180)</f>
        <v>0</v>
      </c>
      <c r="AU181" s="27">
        <f>+AU180</f>
        <v>0</v>
      </c>
      <c r="AV181" s="27">
        <f>IF(AU181=$G180,0,AV180)</f>
        <v>0</v>
      </c>
      <c r="AW181" s="27">
        <f>+AW180</f>
        <v>0</v>
      </c>
      <c r="AX181" s="27">
        <f>IF(AW181=$G180,0,AX180)</f>
        <v>0</v>
      </c>
      <c r="AY181" s="27">
        <f>+AY180</f>
        <v>0</v>
      </c>
      <c r="AZ181" s="27">
        <f>IF(AY181=$G180,0,AZ180)</f>
        <v>0</v>
      </c>
      <c r="BA181" s="27">
        <f>+BA180</f>
        <v>0</v>
      </c>
      <c r="BB181" s="27">
        <f>IF(BA181=$G180,0,BB180)</f>
        <v>0</v>
      </c>
      <c r="BC181" s="27">
        <f>+BC180</f>
        <v>0</v>
      </c>
      <c r="BD181" s="61">
        <f>IF(BC181=$G180,0,BD180)</f>
        <v>0</v>
      </c>
      <c r="BE181" s="27">
        <f>+BE180</f>
        <v>0</v>
      </c>
      <c r="BF181" s="27">
        <f>IF(BE181=$G180,0,BF180)</f>
        <v>0</v>
      </c>
      <c r="BG181" s="27">
        <f>+BG180</f>
        <v>0</v>
      </c>
      <c r="FJ181" s="61"/>
    </row>
    <row r="182" spans="2:166" s="27" customFormat="1" ht="11.25" hidden="1" x14ac:dyDescent="0.2">
      <c r="B182" s="60"/>
      <c r="F182" s="27">
        <f>SUMIF(H182:BG182,"&gt;0")</f>
        <v>0</v>
      </c>
      <c r="G182" s="27" t="s">
        <v>632</v>
      </c>
      <c r="I182" s="27" t="e">
        <f>-CUMPRINC($F180/12,$E180*12,$D180,H181,I181,0)</f>
        <v>#NUM!</v>
      </c>
      <c r="K182" s="27" t="e">
        <f>-CUMPRINC($F180/12,$E180*12,$D180,J181,K181,0)</f>
        <v>#NUM!</v>
      </c>
      <c r="M182" s="27" t="e">
        <f>-CUMPRINC($F180/12,$E180*12,$D180,L181,M181,0)</f>
        <v>#NUM!</v>
      </c>
      <c r="O182" s="27" t="e">
        <f>-CUMPRINC($F180/12,$E180*12,$D180,N181,O181,0)</f>
        <v>#NUM!</v>
      </c>
      <c r="Q182" s="27" t="e">
        <f>-CUMPRINC($F180/12,$E180*12,$D180,P181,Q181,0)</f>
        <v>#NUM!</v>
      </c>
      <c r="S182" s="27" t="e">
        <f>-CUMPRINC($F180/12,$E180*12,$D180,R181,S181,0)</f>
        <v>#NUM!</v>
      </c>
      <c r="U182" s="27" t="e">
        <f>-CUMPRINC($F180/12,$E180*12,$D180,T181,U181,0)</f>
        <v>#NUM!</v>
      </c>
      <c r="W182" s="27" t="e">
        <f>-CUMPRINC($F180/12,$E180*12,$D180,V181,W181,0)</f>
        <v>#NUM!</v>
      </c>
      <c r="Y182" s="27" t="e">
        <f>-CUMPRINC($F180/12,$E180*12,$D180,X181,Y181,0)</f>
        <v>#NUM!</v>
      </c>
      <c r="AA182" s="27" t="e">
        <f>-CUMPRINC($F180/12,$E180*12,$D180,Z181,AA181,0)</f>
        <v>#NUM!</v>
      </c>
      <c r="AC182" s="27" t="e">
        <f>-CUMPRINC($F180/12,$E180*12,$D180,AB181,AC181,0)</f>
        <v>#NUM!</v>
      </c>
      <c r="AE182" s="27" t="e">
        <f>-CUMPRINC($F180/12,$E180*12,$D180,AD181,AE181,0)</f>
        <v>#NUM!</v>
      </c>
      <c r="AG182" s="27" t="e">
        <f>-CUMPRINC($F180/12,$E180*12,$D180,AF181,AG181,0)</f>
        <v>#NUM!</v>
      </c>
      <c r="AI182" s="27" t="e">
        <f>-CUMPRINC($F180/12,$E180*12,$D180,AH181,AI181,0)</f>
        <v>#NUM!</v>
      </c>
      <c r="AK182" s="27" t="e">
        <f>-CUMPRINC($F180/12,$E180*12,$D180,AJ181,AK181,0)</f>
        <v>#NUM!</v>
      </c>
      <c r="AM182" s="27" t="e">
        <f>-CUMPRINC($F180/12,$E180*12,$D180,AL181,AM181,0)</f>
        <v>#NUM!</v>
      </c>
      <c r="AO182" s="27" t="e">
        <f>-CUMPRINC($F180/12,$E180*12,$D180,AN181,AO181,0)</f>
        <v>#NUM!</v>
      </c>
      <c r="AQ182" s="27" t="e">
        <f>-CUMPRINC($F180/12,$E180*12,$D180,AP181,AQ181,0)</f>
        <v>#NUM!</v>
      </c>
      <c r="AS182" s="27" t="e">
        <f>-CUMPRINC($F180/12,$E180*12,$D180,AR181,AS181,0)</f>
        <v>#NUM!</v>
      </c>
      <c r="AU182" s="27" t="e">
        <f>-CUMPRINC($F180/12,$E180*12,$D180,AT181,AU181,0)</f>
        <v>#NUM!</v>
      </c>
      <c r="AW182" s="27" t="e">
        <f>-CUMPRINC($F180/12,$E180*12,$D180,AV181,AW181,0)</f>
        <v>#NUM!</v>
      </c>
      <c r="AY182" s="27" t="e">
        <f>-CUMPRINC($F180/12,$E180*12,$D180,AX181,AY181,0)</f>
        <v>#NUM!</v>
      </c>
      <c r="BA182" s="27" t="e">
        <f>-CUMPRINC($F180/12,$E180*12,$D180,AZ181,BA181,0)</f>
        <v>#NUM!</v>
      </c>
      <c r="BC182" s="27" t="e">
        <f>-CUMPRINC($F180/12,$E180*12,$D180,BB181,BC181,0)</f>
        <v>#NUM!</v>
      </c>
      <c r="BD182" s="61"/>
      <c r="BE182" s="27" t="e">
        <f>-CUMPRINC($F180/12,$E180*12,$D180,BD181,BE181,0)</f>
        <v>#NUM!</v>
      </c>
      <c r="BG182" s="27" t="e">
        <f>-CUMPRINC($F180/12,$E180*12,$D180,BF181,BG181,0)</f>
        <v>#NUM!</v>
      </c>
      <c r="BH182" s="27" t="s">
        <v>783</v>
      </c>
      <c r="BJ182" s="27" t="e">
        <f>-CUMIPMT($F180/12,$E180*12,$D180,H181,I181,0)</f>
        <v>#NUM!</v>
      </c>
      <c r="BL182" s="27" t="e">
        <f>-CUMIPMT($F180/12,$E180*12,$D180,J181,K181,0)</f>
        <v>#NUM!</v>
      </c>
      <c r="BN182" s="27" t="e">
        <f>-CUMIPMT($F180/12,$E180*12,$D180,L181,M181,0)</f>
        <v>#NUM!</v>
      </c>
      <c r="BP182" s="27" t="e">
        <f>-CUMIPMT($F180/12,$E180*12,$D180,N181,O181,0)</f>
        <v>#NUM!</v>
      </c>
      <c r="BR182" s="27" t="e">
        <f>-CUMIPMT($F180/12,$E180*12,$D180,P181,Q181,0)</f>
        <v>#NUM!</v>
      </c>
      <c r="BT182" s="27" t="e">
        <f>-CUMIPMT($F180/12,$E180*12,$D180,R181,S181,0)</f>
        <v>#NUM!</v>
      </c>
      <c r="BV182" s="27" t="e">
        <f>-CUMIPMT($F180/12,$E180*12,$D180,T181,U181,0)</f>
        <v>#NUM!</v>
      </c>
      <c r="BX182" s="27" t="e">
        <f>-CUMIPMT($F180/12,$E180*12,$D180,V181,W181,0)</f>
        <v>#NUM!</v>
      </c>
      <c r="BZ182" s="27" t="e">
        <f>-CUMIPMT($F180/12,$E180*12,$D180,X181,Y181,0)</f>
        <v>#NUM!</v>
      </c>
      <c r="CB182" s="27" t="e">
        <f>-CUMIPMT($F180/12,$E180*12,$D180,Z181,AA181,0)</f>
        <v>#NUM!</v>
      </c>
      <c r="CD182" s="27" t="e">
        <f>-CUMIPMT($F180/12,$E180*12,$D180,AB181,AC181,0)</f>
        <v>#NUM!</v>
      </c>
      <c r="CF182" s="27" t="e">
        <f>-CUMIPMT($F180/12,$E180*12,$D180,AD181,AE181,0)</f>
        <v>#NUM!</v>
      </c>
      <c r="CH182" s="27" t="e">
        <f>-CUMIPMT($F180/12,$E180*12,$D180,AF181,AG181,0)</f>
        <v>#NUM!</v>
      </c>
      <c r="CJ182" s="27" t="e">
        <f>-CUMIPMT($F180/12,$E180*12,$D180,AH181,AI181,0)</f>
        <v>#NUM!</v>
      </c>
      <c r="CL182" s="27" t="e">
        <f>-CUMIPMT($F180/12,$E180*12,$D180,AJ181,AK181,0)</f>
        <v>#NUM!</v>
      </c>
      <c r="CN182" s="27" t="e">
        <f>-CUMIPMT($F180/12,$E180*12,$D180,AL181,AM181,0)</f>
        <v>#NUM!</v>
      </c>
      <c r="CP182" s="27" t="e">
        <f>-CUMIPMT($F180/12,$E180*12,$D180,AN181,AO181,0)</f>
        <v>#NUM!</v>
      </c>
      <c r="CR182" s="27" t="e">
        <f>-CUMIPMT($F180/12,$E180*12,$D180,AP181,AQ181,0)</f>
        <v>#NUM!</v>
      </c>
      <c r="CT182" s="27" t="e">
        <f>-CUMIPMT($F180/12,$E180*12,$D180,AR181,AS181,0)</f>
        <v>#NUM!</v>
      </c>
      <c r="CV182" s="27" t="e">
        <f>-CUMIPMT($F180/12,$E180*12,$D180,AT181,AU181,0)</f>
        <v>#NUM!</v>
      </c>
      <c r="CX182" s="27" t="e">
        <f>-CUMIPMT($F180/12,$E180*12,$D180,AV181,AW181,0)</f>
        <v>#NUM!</v>
      </c>
      <c r="CZ182" s="27" t="e">
        <f>-CUMIPMT($F180/12,$E180*12,$D180,AX181,AY181,0)</f>
        <v>#NUM!</v>
      </c>
      <c r="DB182" s="27" t="e">
        <f>-CUMIPMT($F180/12,$E180*12,$D180,AZ181,BA181,0)</f>
        <v>#NUM!</v>
      </c>
      <c r="DD182" s="27" t="e">
        <f>-CUMIPMT($F180/12,$E180*12,$D180,BB181,BC181,0)</f>
        <v>#NUM!</v>
      </c>
      <c r="DF182" s="27" t="e">
        <f>-CUMIPMT($F180/12,$E180*12,$D180,BD181,BE181,0)</f>
        <v>#NUM!</v>
      </c>
      <c r="DH182" s="27" t="e">
        <f>-CUMIPMT($F180/12,$E180*12,$D180,BF181,BG181,0)</f>
        <v>#NUM!</v>
      </c>
      <c r="DI182" s="27" t="s">
        <v>784</v>
      </c>
      <c r="DJ182" s="27" t="s">
        <v>785</v>
      </c>
      <c r="DK182" s="27">
        <f>+F182</f>
        <v>0</v>
      </c>
      <c r="DL182" s="27" t="e">
        <f>+DK182-I182</f>
        <v>#NUM!</v>
      </c>
      <c r="DN182" s="27" t="e">
        <f>+DL182-K182</f>
        <v>#NUM!</v>
      </c>
      <c r="DP182" s="27" t="e">
        <f>+DN182-M182</f>
        <v>#NUM!</v>
      </c>
      <c r="DR182" s="27" t="e">
        <f>+DP182-O182</f>
        <v>#NUM!</v>
      </c>
      <c r="DT182" s="27" t="e">
        <f>+DR182-Q182</f>
        <v>#NUM!</v>
      </c>
      <c r="DV182" s="27" t="e">
        <f>+DT182-S182</f>
        <v>#NUM!</v>
      </c>
      <c r="DX182" s="27" t="e">
        <f>+DV182-U182</f>
        <v>#NUM!</v>
      </c>
      <c r="DZ182" s="27" t="e">
        <f>+DX182-W182</f>
        <v>#NUM!</v>
      </c>
      <c r="EB182" s="27" t="e">
        <f>+DZ182-Y182</f>
        <v>#NUM!</v>
      </c>
      <c r="ED182" s="27" t="e">
        <f>+EB182-AA182</f>
        <v>#NUM!</v>
      </c>
      <c r="EF182" s="27" t="e">
        <f>+ED182-AC182</f>
        <v>#NUM!</v>
      </c>
      <c r="EH182" s="27" t="e">
        <f>+EF182-AE182</f>
        <v>#NUM!</v>
      </c>
      <c r="EJ182" s="27" t="e">
        <f>+EH182-AG182</f>
        <v>#NUM!</v>
      </c>
      <c r="EL182" s="27" t="e">
        <f>+EJ182-AI182</f>
        <v>#NUM!</v>
      </c>
      <c r="EN182" s="27" t="e">
        <f>+EL182-AK182</f>
        <v>#NUM!</v>
      </c>
      <c r="EP182" s="27" t="e">
        <f>+EN182-AM182</f>
        <v>#NUM!</v>
      </c>
      <c r="ER182" s="27" t="e">
        <f>+EP182-AO182</f>
        <v>#NUM!</v>
      </c>
      <c r="ET182" s="27" t="e">
        <f>+ER182-AQ182</f>
        <v>#NUM!</v>
      </c>
      <c r="EV182" s="27" t="e">
        <f>+ET182-AS182</f>
        <v>#NUM!</v>
      </c>
      <c r="EX182" s="27" t="e">
        <f>+EV182-AU182</f>
        <v>#NUM!</v>
      </c>
      <c r="EZ182" s="27" t="e">
        <f>+EX182-AW182</f>
        <v>#NUM!</v>
      </c>
      <c r="FB182" s="27" t="e">
        <f>+EZ182-AY182</f>
        <v>#NUM!</v>
      </c>
      <c r="FD182" s="27" t="e">
        <f>+FB182-BA182</f>
        <v>#NUM!</v>
      </c>
      <c r="FF182" s="27" t="e">
        <f>+FD182-BC182</f>
        <v>#NUM!</v>
      </c>
      <c r="FH182" s="27" t="e">
        <f>+FF182-BE182</f>
        <v>#NUM!</v>
      </c>
      <c r="FJ182" s="61" t="e">
        <f>+FH182-BG182</f>
        <v>#NUM!</v>
      </c>
    </row>
    <row r="183" spans="2:166" s="27" customFormat="1" ht="11.25" hidden="1" x14ac:dyDescent="0.2">
      <c r="B183" s="60"/>
      <c r="E183" s="27">
        <f>+F182+F183</f>
        <v>0</v>
      </c>
      <c r="F183" s="27">
        <f>SUMIF(BI182:DH182,"&gt;0")</f>
        <v>0</v>
      </c>
      <c r="I183" s="27">
        <f>IF(ISERROR(I182)=FALSE,I182,0)</f>
        <v>0</v>
      </c>
      <c r="K183" s="27">
        <f>IF(ISERROR(K182)=FALSE,K182,0)</f>
        <v>0</v>
      </c>
      <c r="M183" s="27">
        <f>IF(ISERROR(M182)=FALSE,M182,0)</f>
        <v>0</v>
      </c>
      <c r="O183" s="27">
        <f>IF(ISERROR(O182)=FALSE,O182,0)</f>
        <v>0</v>
      </c>
      <c r="Q183" s="27">
        <f>IF(ISERROR(Q182)=FALSE,Q182,0)</f>
        <v>0</v>
      </c>
      <c r="S183" s="27">
        <f>IF(ISERROR(S182)=FALSE,S182,0)</f>
        <v>0</v>
      </c>
      <c r="U183" s="27">
        <f>IF(ISERROR(U182)=FALSE,U182,0)</f>
        <v>0</v>
      </c>
      <c r="W183" s="27">
        <f>IF(ISERROR(W182)=FALSE,W182,0)</f>
        <v>0</v>
      </c>
      <c r="Y183" s="27">
        <f>IF(ISERROR(Y182)=FALSE,Y182,0)</f>
        <v>0</v>
      </c>
      <c r="AA183" s="27">
        <f>IF(ISERROR(AA182)=FALSE,AA182,0)</f>
        <v>0</v>
      </c>
      <c r="AC183" s="27">
        <f>IF(ISERROR(AC182)=FALSE,AC182,0)</f>
        <v>0</v>
      </c>
      <c r="AE183" s="27">
        <f>IF(ISERROR(AE182)=FALSE,AE182,0)</f>
        <v>0</v>
      </c>
      <c r="AG183" s="27">
        <f>IF(ISERROR(AG182)=FALSE,AG182,0)</f>
        <v>0</v>
      </c>
      <c r="AI183" s="27">
        <f>IF(ISERROR(AI182)=FALSE,AI182,0)</f>
        <v>0</v>
      </c>
      <c r="AK183" s="27">
        <f>IF(ISERROR(AK182)=FALSE,AK182,0)</f>
        <v>0</v>
      </c>
      <c r="AM183" s="27">
        <f>IF(ISERROR(AM182)=FALSE,AM182,0)</f>
        <v>0</v>
      </c>
      <c r="AO183" s="27">
        <f>IF(ISERROR(AO182)=FALSE,AO182,0)</f>
        <v>0</v>
      </c>
      <c r="AQ183" s="27">
        <f>IF(ISERROR(AQ182)=FALSE,AQ182,0)</f>
        <v>0</v>
      </c>
      <c r="AS183" s="27">
        <f>IF(ISERROR(AS182)=FALSE,AS182,0)</f>
        <v>0</v>
      </c>
      <c r="AU183" s="27">
        <f>IF(ISERROR(AU182)=FALSE,AU182,0)</f>
        <v>0</v>
      </c>
      <c r="AW183" s="27">
        <f>IF(ISERROR(AW182)=FALSE,AW182,0)</f>
        <v>0</v>
      </c>
      <c r="AY183" s="27">
        <f>IF(ISERROR(AY182)=FALSE,AY182,0)</f>
        <v>0</v>
      </c>
      <c r="BA183" s="27">
        <f>IF(ISERROR(BA182)=FALSE,BA182,0)</f>
        <v>0</v>
      </c>
      <c r="BC183" s="27">
        <f>IF(ISERROR(BC182)=FALSE,BC182,0)</f>
        <v>0</v>
      </c>
      <c r="BD183" s="61"/>
      <c r="BE183" s="27">
        <f>IF(ISERROR(BE182)=FALSE,BE182,0)</f>
        <v>0</v>
      </c>
      <c r="BG183" s="27">
        <f>IF(ISERROR(BG182)=FALSE,BG182,0)</f>
        <v>0</v>
      </c>
      <c r="FJ183" s="61"/>
    </row>
    <row r="184" spans="2:166" s="27" customFormat="1" ht="11.25" hidden="1" x14ac:dyDescent="0.2">
      <c r="B184" s="60"/>
      <c r="D184" s="27" t="s">
        <v>630</v>
      </c>
      <c r="E184" s="27">
        <f>IF(E180=0,0,E183/(E180*12))</f>
        <v>0</v>
      </c>
      <c r="BD184" s="61"/>
      <c r="FJ184" s="61"/>
    </row>
    <row r="185" spans="2:166" s="27" customFormat="1" ht="11.25" hidden="1" x14ac:dyDescent="0.2">
      <c r="B185" s="60"/>
      <c r="C185" s="27">
        <f>C117</f>
        <v>0</v>
      </c>
      <c r="D185" s="27">
        <f>D117</f>
        <v>0</v>
      </c>
      <c r="E185" s="27">
        <f>E117</f>
        <v>0</v>
      </c>
      <c r="F185" s="27">
        <f>F117</f>
        <v>0</v>
      </c>
      <c r="G185" s="27">
        <f>+$E185*12</f>
        <v>0</v>
      </c>
      <c r="H185" s="27">
        <f>SUMIF($W117:$AH117,$D117,$W$108:$AH$108)</f>
        <v>78</v>
      </c>
      <c r="I185" s="27">
        <f>13-H185</f>
        <v>-65</v>
      </c>
      <c r="J185" s="27">
        <f>IF(I185+1&lt;=$G185,I185+1,($G185-I185)+I185)</f>
        <v>-64</v>
      </c>
      <c r="K185" s="27">
        <f>IF(J185+11&lt;=$G185,J185+11,($G185-J185)+J185)</f>
        <v>-53</v>
      </c>
      <c r="L185" s="27">
        <f>IF(K185+1&lt;=$G185,K185+1,($G185-K185)+K185)</f>
        <v>-52</v>
      </c>
      <c r="M185" s="27">
        <f>IF(L185+11&lt;=$G185,L185+11,($G185-L185)+L185)</f>
        <v>-41</v>
      </c>
      <c r="N185" s="27">
        <f>IF(M185+1&lt;=$G185,M185+1,($G185-M185)+M185)</f>
        <v>-40</v>
      </c>
      <c r="O185" s="27">
        <f>IF(N185+11&lt;=$G185,N185+11,($G185-N185)+N185)</f>
        <v>-29</v>
      </c>
      <c r="P185" s="27">
        <f>IF(O185+1&lt;=$G185,O185+1,($G185-O185)+O185)</f>
        <v>-28</v>
      </c>
      <c r="Q185" s="27">
        <f>IF(P185+11&lt;=$G185,P185+11,($G185-P185)+P185)</f>
        <v>-17</v>
      </c>
      <c r="R185" s="27">
        <f>IF(Q185+1&lt;=$G185,Q185+1,($G185-Q185)+Q185)</f>
        <v>-16</v>
      </c>
      <c r="S185" s="27">
        <f>IF(R185+11&lt;=$G185,R185+11,($G185-R185)+R185)</f>
        <v>-5</v>
      </c>
      <c r="T185" s="27">
        <f>IF(S185+1&lt;=$G185,S185+1,($G185-S185)+S185)</f>
        <v>-4</v>
      </c>
      <c r="U185" s="27">
        <f>IF(T185+11&lt;=$G185,T185+11,($G185-T185)+T185)</f>
        <v>0</v>
      </c>
      <c r="V185" s="27">
        <f>IF(U185+1&lt;=$G185,U185+1,($G185-U185)+U185)</f>
        <v>0</v>
      </c>
      <c r="W185" s="27">
        <f>IF(V185+11&lt;=$G185,V185+11,($G185-V185)+V185)</f>
        <v>0</v>
      </c>
      <c r="X185" s="27">
        <f>IF(W185+1&lt;=$G185,W185+1,($G185-W185)+W185)</f>
        <v>0</v>
      </c>
      <c r="Y185" s="27">
        <f>IF(X185+11&lt;=$G185,X185+11,($G185-X185)+X185)</f>
        <v>0</v>
      </c>
      <c r="Z185" s="27">
        <f>IF(Y185+1&lt;=$G185,Y185+1,($G185-Y185)+Y185)</f>
        <v>0</v>
      </c>
      <c r="AA185" s="27">
        <f>IF(Z185+11&lt;=$G185,Z185+11,($G185-Z185)+Z185)</f>
        <v>0</v>
      </c>
      <c r="AB185" s="27">
        <f>IF(AA185+1&lt;=$G185,AA185+1,($G185-AA185)+AA185)</f>
        <v>0</v>
      </c>
      <c r="AC185" s="27">
        <f>IF(AB185+11&lt;=$G185,AB185+11,($G185-AB185)+AB185)</f>
        <v>0</v>
      </c>
      <c r="AD185" s="27">
        <f>IF(AC185+1&lt;=$G185,AC185+1,($G185-AC185)+AC185)</f>
        <v>0</v>
      </c>
      <c r="AE185" s="27">
        <f>IF(AD185+11&lt;=$G185,AD185+11,($G185-AD185)+AD185)</f>
        <v>0</v>
      </c>
      <c r="AF185" s="27">
        <f>IF(AE185+1&lt;=$G185,AE185+1,($G185-AE185)+AE185)</f>
        <v>0</v>
      </c>
      <c r="AG185" s="27">
        <f>IF(AF185+11&lt;=$G185,AF185+11,($G185-AF185)+AF185)</f>
        <v>0</v>
      </c>
      <c r="AH185" s="27">
        <f>IF(AG185+1&lt;=$G185,AG185+1,($G185-AG185)+AG185)</f>
        <v>0</v>
      </c>
      <c r="AI185" s="27">
        <f>IF(AH185+11&lt;=$G185,AH185+11,($G185-AH185)+AH185)</f>
        <v>0</v>
      </c>
      <c r="AJ185" s="27">
        <f>IF(AI185+1&lt;=$G185,AI185+1,($G185-AI185)+AI185)</f>
        <v>0</v>
      </c>
      <c r="AK185" s="27">
        <f>IF(AJ185+11&lt;=$G185,AJ185+11,($G185-AJ185)+AJ185)</f>
        <v>0</v>
      </c>
      <c r="AL185" s="27">
        <f>IF(AK185+1&lt;=$G185,AK185+1,($G185-AK185)+AK185)</f>
        <v>0</v>
      </c>
      <c r="AM185" s="27">
        <f>IF(AL185+11&lt;=$G185,AL185+11,($G185-AL185)+AL185)</f>
        <v>0</v>
      </c>
      <c r="AN185" s="27">
        <f>IF(AM185+1&lt;=$G185,AM185+1,($G185-AM185)+AM185)</f>
        <v>0</v>
      </c>
      <c r="AO185" s="27">
        <f>IF(AN185+11&lt;=$G185,AN185+11,($G185-AN185)+AN185)</f>
        <v>0</v>
      </c>
      <c r="AP185" s="27">
        <f>IF(AO185+1&lt;=$G185,AO185+1,($G185-AO185)+AO185)</f>
        <v>0</v>
      </c>
      <c r="AQ185" s="27">
        <f>IF(AP185+11&lt;=$G185,AP185+11,($G185-AP185)+AP185)</f>
        <v>0</v>
      </c>
      <c r="AR185" s="27">
        <f>IF(AQ185+1&lt;=$G185,AQ185+1,($G185-AQ185)+AQ185)</f>
        <v>0</v>
      </c>
      <c r="AS185" s="27">
        <f>IF(AR185+11&lt;=$G185,AR185+11,($G185-AR185)+AR185)</f>
        <v>0</v>
      </c>
      <c r="AT185" s="27">
        <f>IF(AS185+1&lt;=$G185,AS185+1,($G185-AS185)+AS185)</f>
        <v>0</v>
      </c>
      <c r="AU185" s="27">
        <f>IF(AT185+11&lt;=$G185,AT185+11,($G185-AT185)+AT185)</f>
        <v>0</v>
      </c>
      <c r="AV185" s="27">
        <f>IF(AU185+1&lt;=$G185,AU185+1,($G185-AU185)+AU185)</f>
        <v>0</v>
      </c>
      <c r="AW185" s="27">
        <f>IF(AV185+11&lt;=$G185,AV185+11,($G185-AV185)+AV185)</f>
        <v>0</v>
      </c>
      <c r="AX185" s="27">
        <f>IF(AW185+1&lt;=$G185,AW185+1,($G185-AW185)+AW185)</f>
        <v>0</v>
      </c>
      <c r="AY185" s="27">
        <f>IF(AX185+11&lt;=$G185,AX185+11,($G185-AX185)+AX185)</f>
        <v>0</v>
      </c>
      <c r="AZ185" s="27">
        <f>IF(AY185+1&lt;=$G185,AY185+1,($G185-AY185)+AY185)</f>
        <v>0</v>
      </c>
      <c r="BA185" s="27">
        <f>IF(AZ185+35&lt;=$G185,AZ185+35,($G185-AZ185)+AZ185)</f>
        <v>0</v>
      </c>
      <c r="BB185" s="27">
        <f>IF(BA185+1&lt;=$G185,BA185+1,($G185-BA185)+BA185)</f>
        <v>0</v>
      </c>
      <c r="BC185" s="27">
        <f>IF(BB185+59&lt;=$G185,BB185+59,($G185-BB185)+BB185)</f>
        <v>0</v>
      </c>
      <c r="BD185" s="61">
        <f>IF(BC185+1&lt;=$G185,BC185+1,($G185-BC185)+BC185)</f>
        <v>0</v>
      </c>
      <c r="BE185" s="27">
        <f>IF(BD185+239&lt;=$G185,BD185+239,($G185-BD185)+BD185)</f>
        <v>0</v>
      </c>
      <c r="BF185" s="27">
        <f>IF(BE185+1&lt;=$G185,BE185+1,($G185-BE185)+BE185)</f>
        <v>0</v>
      </c>
      <c r="BG185" s="27">
        <f>IF(BF185+11&lt;=$G185,BF185+11,($G185-BF185)+BF185)</f>
        <v>0</v>
      </c>
      <c r="FJ185" s="61"/>
    </row>
    <row r="186" spans="2:166" s="27" customFormat="1" ht="11.25" hidden="1" x14ac:dyDescent="0.2">
      <c r="B186" s="60"/>
      <c r="H186" s="27">
        <v>1</v>
      </c>
      <c r="I186" s="27">
        <f>+I185</f>
        <v>-65</v>
      </c>
      <c r="J186" s="27">
        <f>IF(I186=$G185,0,J185)</f>
        <v>-64</v>
      </c>
      <c r="K186" s="27">
        <f>+K185</f>
        <v>-53</v>
      </c>
      <c r="L186" s="27">
        <f>IF(K186=$G185,0,L185)</f>
        <v>-52</v>
      </c>
      <c r="M186" s="27">
        <f>+M185</f>
        <v>-41</v>
      </c>
      <c r="N186" s="27">
        <f>IF(M186=$G185,0,N185)</f>
        <v>-40</v>
      </c>
      <c r="O186" s="27">
        <f>+O185</f>
        <v>-29</v>
      </c>
      <c r="P186" s="27">
        <f>IF(O186=$G185,0,P185)</f>
        <v>-28</v>
      </c>
      <c r="Q186" s="27">
        <f>+Q185</f>
        <v>-17</v>
      </c>
      <c r="R186" s="27">
        <f>IF(Q186=$G185,0,R185)</f>
        <v>-16</v>
      </c>
      <c r="S186" s="27">
        <f>+S185</f>
        <v>-5</v>
      </c>
      <c r="T186" s="27">
        <f>IF(S186=$G185,0,T185)</f>
        <v>-4</v>
      </c>
      <c r="U186" s="27">
        <f>+U185</f>
        <v>0</v>
      </c>
      <c r="V186" s="27">
        <f>IF(U186=$G185,0,V185)</f>
        <v>0</v>
      </c>
      <c r="W186" s="27">
        <f>+W185</f>
        <v>0</v>
      </c>
      <c r="X186" s="27">
        <f>IF(W186=$G185,0,X185)</f>
        <v>0</v>
      </c>
      <c r="Y186" s="27">
        <f>+Y185</f>
        <v>0</v>
      </c>
      <c r="Z186" s="27">
        <f>IF(Y186=$G185,0,Z185)</f>
        <v>0</v>
      </c>
      <c r="AA186" s="27">
        <f>+AA185</f>
        <v>0</v>
      </c>
      <c r="AB186" s="27">
        <f>IF(AA186=$G185,0,AB185)</f>
        <v>0</v>
      </c>
      <c r="AC186" s="27">
        <f>+AC185</f>
        <v>0</v>
      </c>
      <c r="AD186" s="27">
        <f>IF(AC186=$G185,0,AD185)</f>
        <v>0</v>
      </c>
      <c r="AE186" s="27">
        <f>+AE185</f>
        <v>0</v>
      </c>
      <c r="AF186" s="27">
        <f>IF(AE186=$G185,0,AF185)</f>
        <v>0</v>
      </c>
      <c r="AG186" s="27">
        <f>+AG185</f>
        <v>0</v>
      </c>
      <c r="AH186" s="27">
        <f>IF(AG186=$G185,0,AH185)</f>
        <v>0</v>
      </c>
      <c r="AI186" s="27">
        <f>+AI185</f>
        <v>0</v>
      </c>
      <c r="AJ186" s="27">
        <f>IF(AI186=$G185,0,AJ185)</f>
        <v>0</v>
      </c>
      <c r="AK186" s="27">
        <f>+AK185</f>
        <v>0</v>
      </c>
      <c r="AL186" s="27">
        <f>IF(AK186=$G185,0,AL185)</f>
        <v>0</v>
      </c>
      <c r="AM186" s="27">
        <f>+AM185</f>
        <v>0</v>
      </c>
      <c r="AN186" s="27">
        <f>IF(AM186=$G185,0,AN185)</f>
        <v>0</v>
      </c>
      <c r="AO186" s="27">
        <f>+AO185</f>
        <v>0</v>
      </c>
      <c r="AP186" s="27">
        <f>IF(AO186=$G185,0,AP185)</f>
        <v>0</v>
      </c>
      <c r="AQ186" s="27">
        <f>+AQ185</f>
        <v>0</v>
      </c>
      <c r="AR186" s="27">
        <f>IF(AQ186=$G185,0,AR185)</f>
        <v>0</v>
      </c>
      <c r="AS186" s="27">
        <f>+AS185</f>
        <v>0</v>
      </c>
      <c r="AT186" s="27">
        <f>IF(AS186=$G185,0,AT185)</f>
        <v>0</v>
      </c>
      <c r="AU186" s="27">
        <f>+AU185</f>
        <v>0</v>
      </c>
      <c r="AV186" s="27">
        <f>IF(AU186=$G185,0,AV185)</f>
        <v>0</v>
      </c>
      <c r="AW186" s="27">
        <f>+AW185</f>
        <v>0</v>
      </c>
      <c r="AX186" s="27">
        <f>IF(AW186=$G185,0,AX185)</f>
        <v>0</v>
      </c>
      <c r="AY186" s="27">
        <f>+AY185</f>
        <v>0</v>
      </c>
      <c r="AZ186" s="27">
        <f>IF(AY186=$G185,0,AZ185)</f>
        <v>0</v>
      </c>
      <c r="BA186" s="27">
        <f>+BA185</f>
        <v>0</v>
      </c>
      <c r="BB186" s="27">
        <f>IF(BA186=$G185,0,BB185)</f>
        <v>0</v>
      </c>
      <c r="BC186" s="27">
        <f>+BC185</f>
        <v>0</v>
      </c>
      <c r="BD186" s="61">
        <f>IF(BC186=$G185,0,BD185)</f>
        <v>0</v>
      </c>
      <c r="BE186" s="27">
        <f>+BE185</f>
        <v>0</v>
      </c>
      <c r="BF186" s="27">
        <f>IF(BE186=$G185,0,BF185)</f>
        <v>0</v>
      </c>
      <c r="BG186" s="27">
        <f>+BG185</f>
        <v>0</v>
      </c>
      <c r="FJ186" s="61"/>
    </row>
    <row r="187" spans="2:166" s="27" customFormat="1" ht="11.25" hidden="1" x14ac:dyDescent="0.2">
      <c r="B187" s="60"/>
      <c r="F187" s="27">
        <f>SUMIF(H187:BG187,"&gt;0")</f>
        <v>0</v>
      </c>
      <c r="G187" s="27" t="s">
        <v>632</v>
      </c>
      <c r="I187" s="27" t="e">
        <f>-CUMPRINC($F185/12,$E185*12,$D185,H186,I186,0)</f>
        <v>#NUM!</v>
      </c>
      <c r="K187" s="27" t="e">
        <f>-CUMPRINC($F185/12,$E185*12,$D185,J186,K186,0)</f>
        <v>#NUM!</v>
      </c>
      <c r="M187" s="27" t="e">
        <f>-CUMPRINC($F185/12,$E185*12,$D185,L186,M186,0)</f>
        <v>#NUM!</v>
      </c>
      <c r="O187" s="27" t="e">
        <f>-CUMPRINC($F185/12,$E185*12,$D185,N186,O186,0)</f>
        <v>#NUM!</v>
      </c>
      <c r="Q187" s="27" t="e">
        <f>-CUMPRINC($F185/12,$E185*12,$D185,P186,Q186,0)</f>
        <v>#NUM!</v>
      </c>
      <c r="S187" s="27" t="e">
        <f>-CUMPRINC($F185/12,$E185*12,$D185,R186,S186,0)</f>
        <v>#NUM!</v>
      </c>
      <c r="U187" s="27" t="e">
        <f>-CUMPRINC($F185/12,$E185*12,$D185,T186,U186,0)</f>
        <v>#NUM!</v>
      </c>
      <c r="W187" s="27" t="e">
        <f>-CUMPRINC($F185/12,$E185*12,$D185,V186,W186,0)</f>
        <v>#NUM!</v>
      </c>
      <c r="Y187" s="27" t="e">
        <f>-CUMPRINC($F185/12,$E185*12,$D185,X186,Y186,0)</f>
        <v>#NUM!</v>
      </c>
      <c r="AA187" s="27" t="e">
        <f>-CUMPRINC($F185/12,$E185*12,$D185,Z186,AA186,0)</f>
        <v>#NUM!</v>
      </c>
      <c r="AC187" s="27" t="e">
        <f>-CUMPRINC($F185/12,$E185*12,$D185,AB186,AC186,0)</f>
        <v>#NUM!</v>
      </c>
      <c r="AE187" s="27" t="e">
        <f>-CUMPRINC($F185/12,$E185*12,$D185,AD186,AE186,0)</f>
        <v>#NUM!</v>
      </c>
      <c r="AG187" s="27" t="e">
        <f>-CUMPRINC($F185/12,$E185*12,$D185,AF186,AG186,0)</f>
        <v>#NUM!</v>
      </c>
      <c r="AI187" s="27" t="e">
        <f>-CUMPRINC($F185/12,$E185*12,$D185,AH186,AI186,0)</f>
        <v>#NUM!</v>
      </c>
      <c r="AK187" s="27" t="e">
        <f>-CUMPRINC($F185/12,$E185*12,$D185,AJ186,AK186,0)</f>
        <v>#NUM!</v>
      </c>
      <c r="AM187" s="27" t="e">
        <f>-CUMPRINC($F185/12,$E185*12,$D185,AL186,AM186,0)</f>
        <v>#NUM!</v>
      </c>
      <c r="AO187" s="27" t="e">
        <f>-CUMPRINC($F185/12,$E185*12,$D185,AN186,AO186,0)</f>
        <v>#NUM!</v>
      </c>
      <c r="AQ187" s="27" t="e">
        <f>-CUMPRINC($F185/12,$E185*12,$D185,AP186,AQ186,0)</f>
        <v>#NUM!</v>
      </c>
      <c r="AS187" s="27" t="e">
        <f>-CUMPRINC($F185/12,$E185*12,$D185,AR186,AS186,0)</f>
        <v>#NUM!</v>
      </c>
      <c r="AU187" s="27" t="e">
        <f>-CUMPRINC($F185/12,$E185*12,$D185,AT186,AU186,0)</f>
        <v>#NUM!</v>
      </c>
      <c r="AW187" s="27" t="e">
        <f>-CUMPRINC($F185/12,$E185*12,$D185,AV186,AW186,0)</f>
        <v>#NUM!</v>
      </c>
      <c r="AY187" s="27" t="e">
        <f>-CUMPRINC($F185/12,$E185*12,$D185,AX186,AY186,0)</f>
        <v>#NUM!</v>
      </c>
      <c r="BA187" s="27" t="e">
        <f>-CUMPRINC($F185/12,$E185*12,$D185,AZ186,BA186,0)</f>
        <v>#NUM!</v>
      </c>
      <c r="BC187" s="27" t="e">
        <f>-CUMPRINC($F185/12,$E185*12,$D185,BB186,BC186,0)</f>
        <v>#NUM!</v>
      </c>
      <c r="BD187" s="61"/>
      <c r="BE187" s="27" t="e">
        <f>-CUMPRINC($F185/12,$E185*12,$D185,BD186,BE186,0)</f>
        <v>#NUM!</v>
      </c>
      <c r="BG187" s="27" t="e">
        <f>-CUMPRINC($F185/12,$E185*12,$D185,BF186,BG186,0)</f>
        <v>#NUM!</v>
      </c>
      <c r="BH187" s="27" t="s">
        <v>783</v>
      </c>
      <c r="BJ187" s="27" t="e">
        <f>-CUMIPMT($F185/12,$E185*12,$D185,H186,I186,0)</f>
        <v>#NUM!</v>
      </c>
      <c r="BL187" s="27" t="e">
        <f>-CUMIPMT($F185/12,$E185*12,$D185,J186,K186,0)</f>
        <v>#NUM!</v>
      </c>
      <c r="BN187" s="27" t="e">
        <f>-CUMIPMT($F185/12,$E185*12,$D185,L186,M186,0)</f>
        <v>#NUM!</v>
      </c>
      <c r="BP187" s="27" t="e">
        <f>-CUMIPMT($F185/12,$E185*12,$D185,N186,O186,0)</f>
        <v>#NUM!</v>
      </c>
      <c r="BR187" s="27" t="e">
        <f>-CUMIPMT($F185/12,$E185*12,$D185,P186,Q186,0)</f>
        <v>#NUM!</v>
      </c>
      <c r="BT187" s="27" t="e">
        <f>-CUMIPMT($F185/12,$E185*12,$D185,R186,S186,0)</f>
        <v>#NUM!</v>
      </c>
      <c r="BV187" s="27" t="e">
        <f>-CUMIPMT($F185/12,$E185*12,$D185,T186,U186,0)</f>
        <v>#NUM!</v>
      </c>
      <c r="BX187" s="27" t="e">
        <f>-CUMIPMT($F185/12,$E185*12,$D185,V186,W186,0)</f>
        <v>#NUM!</v>
      </c>
      <c r="BZ187" s="27" t="e">
        <f>-CUMIPMT($F185/12,$E185*12,$D185,X186,Y186,0)</f>
        <v>#NUM!</v>
      </c>
      <c r="CB187" s="27" t="e">
        <f>-CUMIPMT($F185/12,$E185*12,$D185,Z186,AA186,0)</f>
        <v>#NUM!</v>
      </c>
      <c r="CD187" s="27" t="e">
        <f>-CUMIPMT($F185/12,$E185*12,$D185,AB186,AC186,0)</f>
        <v>#NUM!</v>
      </c>
      <c r="CF187" s="27" t="e">
        <f>-CUMIPMT($F185/12,$E185*12,$D185,AD186,AE186,0)</f>
        <v>#NUM!</v>
      </c>
      <c r="CH187" s="27" t="e">
        <f>-CUMIPMT($F185/12,$E185*12,$D185,AF186,AG186,0)</f>
        <v>#NUM!</v>
      </c>
      <c r="CJ187" s="27" t="e">
        <f>-CUMIPMT($F185/12,$E185*12,$D185,AH186,AI186,0)</f>
        <v>#NUM!</v>
      </c>
      <c r="CL187" s="27" t="e">
        <f>-CUMIPMT($F185/12,$E185*12,$D185,AJ186,AK186,0)</f>
        <v>#NUM!</v>
      </c>
      <c r="CN187" s="27" t="e">
        <f>-CUMIPMT($F185/12,$E185*12,$D185,AL186,AM186,0)</f>
        <v>#NUM!</v>
      </c>
      <c r="CP187" s="27" t="e">
        <f>-CUMIPMT($F185/12,$E185*12,$D185,AN186,AO186,0)</f>
        <v>#NUM!</v>
      </c>
      <c r="CR187" s="27" t="e">
        <f>-CUMIPMT($F185/12,$E185*12,$D185,AP186,AQ186,0)</f>
        <v>#NUM!</v>
      </c>
      <c r="CT187" s="27" t="e">
        <f>-CUMIPMT($F185/12,$E185*12,$D185,AR186,AS186,0)</f>
        <v>#NUM!</v>
      </c>
      <c r="CV187" s="27" t="e">
        <f>-CUMIPMT($F185/12,$E185*12,$D185,AT186,AU186,0)</f>
        <v>#NUM!</v>
      </c>
      <c r="CX187" s="27" t="e">
        <f>-CUMIPMT($F185/12,$E185*12,$D185,AV186,AW186,0)</f>
        <v>#NUM!</v>
      </c>
      <c r="CZ187" s="27" t="e">
        <f>-CUMIPMT($F185/12,$E185*12,$D185,AX186,AY186,0)</f>
        <v>#NUM!</v>
      </c>
      <c r="DB187" s="27" t="e">
        <f>-CUMIPMT($F185/12,$E185*12,$D185,AZ186,BA186,0)</f>
        <v>#NUM!</v>
      </c>
      <c r="DD187" s="27" t="e">
        <f>-CUMIPMT($F185/12,$E185*12,$D185,BB186,BC186,0)</f>
        <v>#NUM!</v>
      </c>
      <c r="DF187" s="27" t="e">
        <f>-CUMIPMT($F185/12,$E185*12,$D185,BD186,BE186,0)</f>
        <v>#NUM!</v>
      </c>
      <c r="DH187" s="27" t="e">
        <f>-CUMIPMT($F185/12,$E185*12,$D185,BF186,BG186,0)</f>
        <v>#NUM!</v>
      </c>
      <c r="DI187" s="27" t="s">
        <v>784</v>
      </c>
      <c r="DJ187" s="27" t="s">
        <v>785</v>
      </c>
      <c r="DK187" s="27">
        <f>+F187</f>
        <v>0</v>
      </c>
      <c r="DL187" s="27" t="e">
        <f>+DK187-I187</f>
        <v>#NUM!</v>
      </c>
      <c r="DN187" s="27" t="e">
        <f>+DL187-K187</f>
        <v>#NUM!</v>
      </c>
      <c r="DP187" s="27" t="e">
        <f>+DN187-M187</f>
        <v>#NUM!</v>
      </c>
      <c r="DR187" s="27" t="e">
        <f>+DP187-O187</f>
        <v>#NUM!</v>
      </c>
      <c r="DT187" s="27" t="e">
        <f>+DR187-Q187</f>
        <v>#NUM!</v>
      </c>
      <c r="DV187" s="27" t="e">
        <f>+DT187-S187</f>
        <v>#NUM!</v>
      </c>
      <c r="DX187" s="27" t="e">
        <f>+DV187-U187</f>
        <v>#NUM!</v>
      </c>
      <c r="DZ187" s="27" t="e">
        <f>+DX187-W187</f>
        <v>#NUM!</v>
      </c>
      <c r="EB187" s="27" t="e">
        <f>+DZ187-Y187</f>
        <v>#NUM!</v>
      </c>
      <c r="ED187" s="27" t="e">
        <f>+EB187-AA187</f>
        <v>#NUM!</v>
      </c>
      <c r="EF187" s="27" t="e">
        <f>+ED187-AC187</f>
        <v>#NUM!</v>
      </c>
      <c r="EH187" s="27" t="e">
        <f>+EF187-AE187</f>
        <v>#NUM!</v>
      </c>
      <c r="EJ187" s="27" t="e">
        <f>+EH187-AG187</f>
        <v>#NUM!</v>
      </c>
      <c r="EL187" s="27" t="e">
        <f>+EJ187-AI187</f>
        <v>#NUM!</v>
      </c>
      <c r="EN187" s="27" t="e">
        <f>+EL187-AK187</f>
        <v>#NUM!</v>
      </c>
      <c r="EP187" s="27" t="e">
        <f>+EN187-AM187</f>
        <v>#NUM!</v>
      </c>
      <c r="ER187" s="27" t="e">
        <f>+EP187-AO187</f>
        <v>#NUM!</v>
      </c>
      <c r="ET187" s="27" t="e">
        <f>+ER187-AQ187</f>
        <v>#NUM!</v>
      </c>
      <c r="EV187" s="27" t="e">
        <f>+ET187-AS187</f>
        <v>#NUM!</v>
      </c>
      <c r="EX187" s="27" t="e">
        <f>+EV187-AU187</f>
        <v>#NUM!</v>
      </c>
      <c r="EZ187" s="27" t="e">
        <f>+EX187-AW187</f>
        <v>#NUM!</v>
      </c>
      <c r="FB187" s="27" t="e">
        <f>+EZ187-AY187</f>
        <v>#NUM!</v>
      </c>
      <c r="FD187" s="27" t="e">
        <f>+FB187-BA187</f>
        <v>#NUM!</v>
      </c>
      <c r="FF187" s="27" t="e">
        <f>+FD187-BC187</f>
        <v>#NUM!</v>
      </c>
      <c r="FH187" s="27" t="e">
        <f>+FF187-BE187</f>
        <v>#NUM!</v>
      </c>
      <c r="FJ187" s="61" t="e">
        <f>+FH187-BG187</f>
        <v>#NUM!</v>
      </c>
    </row>
    <row r="188" spans="2:166" s="27" customFormat="1" ht="11.25" hidden="1" x14ac:dyDescent="0.2">
      <c r="B188" s="60"/>
      <c r="E188" s="27">
        <f>+F187+F188</f>
        <v>0</v>
      </c>
      <c r="F188" s="27">
        <f>SUMIF(BI187:DH187,"&gt;0")</f>
        <v>0</v>
      </c>
      <c r="I188" s="27">
        <f>IF(ISERROR(I187)=FALSE,I187,0)</f>
        <v>0</v>
      </c>
      <c r="K188" s="27">
        <f>IF(ISERROR(K187)=FALSE,K187,0)</f>
        <v>0</v>
      </c>
      <c r="M188" s="27">
        <f>IF(ISERROR(M187)=FALSE,M187,0)</f>
        <v>0</v>
      </c>
      <c r="O188" s="27">
        <f>IF(ISERROR(O187)=FALSE,O187,0)</f>
        <v>0</v>
      </c>
      <c r="Q188" s="27">
        <f>IF(ISERROR(Q187)=FALSE,Q187,0)</f>
        <v>0</v>
      </c>
      <c r="S188" s="27">
        <f>IF(ISERROR(S187)=FALSE,S187,0)</f>
        <v>0</v>
      </c>
      <c r="U188" s="27">
        <f>IF(ISERROR(U187)=FALSE,U187,0)</f>
        <v>0</v>
      </c>
      <c r="W188" s="27">
        <f>IF(ISERROR(W187)=FALSE,W187,0)</f>
        <v>0</v>
      </c>
      <c r="Y188" s="27">
        <f>IF(ISERROR(Y187)=FALSE,Y187,0)</f>
        <v>0</v>
      </c>
      <c r="AA188" s="27">
        <f>IF(ISERROR(AA187)=FALSE,AA187,0)</f>
        <v>0</v>
      </c>
      <c r="AC188" s="27">
        <f>IF(ISERROR(AC187)=FALSE,AC187,0)</f>
        <v>0</v>
      </c>
      <c r="AE188" s="27">
        <f>IF(ISERROR(AE187)=FALSE,AE187,0)</f>
        <v>0</v>
      </c>
      <c r="AG188" s="27">
        <f>IF(ISERROR(AG187)=FALSE,AG187,0)</f>
        <v>0</v>
      </c>
      <c r="AI188" s="27">
        <f>IF(ISERROR(AI187)=FALSE,AI187,0)</f>
        <v>0</v>
      </c>
      <c r="AK188" s="27">
        <f>IF(ISERROR(AK187)=FALSE,AK187,0)</f>
        <v>0</v>
      </c>
      <c r="AM188" s="27">
        <f>IF(ISERROR(AM187)=FALSE,AM187,0)</f>
        <v>0</v>
      </c>
      <c r="AO188" s="27">
        <f>IF(ISERROR(AO187)=FALSE,AO187,0)</f>
        <v>0</v>
      </c>
      <c r="AQ188" s="27">
        <f>IF(ISERROR(AQ187)=FALSE,AQ187,0)</f>
        <v>0</v>
      </c>
      <c r="AS188" s="27">
        <f>IF(ISERROR(AS187)=FALSE,AS187,0)</f>
        <v>0</v>
      </c>
      <c r="AU188" s="27">
        <f>IF(ISERROR(AU187)=FALSE,AU187,0)</f>
        <v>0</v>
      </c>
      <c r="AW188" s="27">
        <f>IF(ISERROR(AW187)=FALSE,AW187,0)</f>
        <v>0</v>
      </c>
      <c r="AY188" s="27">
        <f>IF(ISERROR(AY187)=FALSE,AY187,0)</f>
        <v>0</v>
      </c>
      <c r="BA188" s="27">
        <f>IF(ISERROR(BA187)=FALSE,BA187,0)</f>
        <v>0</v>
      </c>
      <c r="BC188" s="27">
        <f>IF(ISERROR(BC187)=FALSE,BC187,0)</f>
        <v>0</v>
      </c>
      <c r="BD188" s="61"/>
      <c r="BE188" s="27">
        <f>IF(ISERROR(BE187)=FALSE,BE187,0)</f>
        <v>0</v>
      </c>
      <c r="BG188" s="27">
        <f>IF(ISERROR(BG187)=FALSE,BG187,0)</f>
        <v>0</v>
      </c>
      <c r="FJ188" s="61"/>
    </row>
    <row r="189" spans="2:166" s="27" customFormat="1" ht="11.25" hidden="1" x14ac:dyDescent="0.2">
      <c r="B189" s="60"/>
      <c r="D189" s="27" t="s">
        <v>630</v>
      </c>
      <c r="E189" s="27">
        <f>IF(E185=0,0,E188/(E185*12))</f>
        <v>0</v>
      </c>
      <c r="BD189" s="61"/>
      <c r="FJ189" s="61"/>
    </row>
    <row r="190" spans="2:166" s="27" customFormat="1" ht="11.25" hidden="1" x14ac:dyDescent="0.2">
      <c r="B190" s="60"/>
      <c r="C190" s="27">
        <f>C118</f>
        <v>0</v>
      </c>
      <c r="D190" s="27">
        <f>D118</f>
        <v>0</v>
      </c>
      <c r="E190" s="27">
        <f>E118</f>
        <v>0</v>
      </c>
      <c r="F190" s="27">
        <f>F118</f>
        <v>0</v>
      </c>
      <c r="G190" s="27">
        <f>+$E190*12</f>
        <v>0</v>
      </c>
      <c r="H190" s="27">
        <f>SUMIF($W118:$AH118,$D118,$W$108:$AH$108)</f>
        <v>78</v>
      </c>
      <c r="I190" s="27">
        <f>13-H190</f>
        <v>-65</v>
      </c>
      <c r="J190" s="27">
        <f>IF(I190+1&lt;=$G190,I190+1,($G190-I190)+I190)</f>
        <v>-64</v>
      </c>
      <c r="K190" s="27">
        <f>IF(J190+11&lt;=$G190,J190+11,($G190-J190)+J190)</f>
        <v>-53</v>
      </c>
      <c r="L190" s="27">
        <f>IF(K190+1&lt;=$G190,K190+1,($G190-K190)+K190)</f>
        <v>-52</v>
      </c>
      <c r="M190" s="27">
        <f>IF(L190+11&lt;=$G190,L190+11,($G190-L190)+L190)</f>
        <v>-41</v>
      </c>
      <c r="N190" s="27">
        <f>IF(M190+1&lt;=$G190,M190+1,($G190-M190)+M190)</f>
        <v>-40</v>
      </c>
      <c r="O190" s="27">
        <f>IF(N190+11&lt;=$G190,N190+11,($G190-N190)+N190)</f>
        <v>-29</v>
      </c>
      <c r="P190" s="27">
        <f>IF(O190+1&lt;=$G190,O190+1,($G190-O190)+O190)</f>
        <v>-28</v>
      </c>
      <c r="Q190" s="27">
        <f>IF(P190+11&lt;=$G190,P190+11,($G190-P190)+P190)</f>
        <v>-17</v>
      </c>
      <c r="R190" s="27">
        <f>IF(Q190+1&lt;=$G190,Q190+1,($G190-Q190)+Q190)</f>
        <v>-16</v>
      </c>
      <c r="S190" s="27">
        <f>IF(R190+11&lt;=$G190,R190+11,($G190-R190)+R190)</f>
        <v>-5</v>
      </c>
      <c r="T190" s="27">
        <f>IF(S190+1&lt;=$G190,S190+1,($G190-S190)+S190)</f>
        <v>-4</v>
      </c>
      <c r="U190" s="27">
        <f>IF(T190+11&lt;=$G190,T190+11,($G190-T190)+T190)</f>
        <v>0</v>
      </c>
      <c r="V190" s="27">
        <f>IF(U190+1&lt;=$G190,U190+1,($G190-U190)+U190)</f>
        <v>0</v>
      </c>
      <c r="W190" s="27">
        <f>IF(V190+11&lt;=$G190,V190+11,($G190-V190)+V190)</f>
        <v>0</v>
      </c>
      <c r="X190" s="27">
        <f>IF(W190+1&lt;=$G190,W190+1,($G190-W190)+W190)</f>
        <v>0</v>
      </c>
      <c r="Y190" s="27">
        <f>IF(X190+11&lt;=$G190,X190+11,($G190-X190)+X190)</f>
        <v>0</v>
      </c>
      <c r="Z190" s="27">
        <f>IF(Y190+1&lt;=$G190,Y190+1,($G190-Y190)+Y190)</f>
        <v>0</v>
      </c>
      <c r="AA190" s="27">
        <f>IF(Z190+11&lt;=$G190,Z190+11,($G190-Z190)+Z190)</f>
        <v>0</v>
      </c>
      <c r="AB190" s="27">
        <f>IF(AA190+1&lt;=$G190,AA190+1,($G190-AA190)+AA190)</f>
        <v>0</v>
      </c>
      <c r="AC190" s="27">
        <f>IF(AB190+11&lt;=$G190,AB190+11,($G190-AB190)+AB190)</f>
        <v>0</v>
      </c>
      <c r="AD190" s="27">
        <f>IF(AC190+1&lt;=$G190,AC190+1,($G190-AC190)+AC190)</f>
        <v>0</v>
      </c>
      <c r="AE190" s="27">
        <f>IF(AD190+11&lt;=$G190,AD190+11,($G190-AD190)+AD190)</f>
        <v>0</v>
      </c>
      <c r="AF190" s="27">
        <f>IF(AE190+1&lt;=$G190,AE190+1,($G190-AE190)+AE190)</f>
        <v>0</v>
      </c>
      <c r="AG190" s="27">
        <f>IF(AF190+11&lt;=$G190,AF190+11,($G190-AF190)+AF190)</f>
        <v>0</v>
      </c>
      <c r="AH190" s="27">
        <f>IF(AG190+1&lt;=$G190,AG190+1,($G190-AG190)+AG190)</f>
        <v>0</v>
      </c>
      <c r="AI190" s="27">
        <f>IF(AH190+11&lt;=$G190,AH190+11,($G190-AH190)+AH190)</f>
        <v>0</v>
      </c>
      <c r="AJ190" s="27">
        <f>IF(AI190+1&lt;=$G190,AI190+1,($G190-AI190)+AI190)</f>
        <v>0</v>
      </c>
      <c r="AK190" s="27">
        <f>IF(AJ190+11&lt;=$G190,AJ190+11,($G190-AJ190)+AJ190)</f>
        <v>0</v>
      </c>
      <c r="AL190" s="27">
        <f>IF(AK190+1&lt;=$G190,AK190+1,($G190-AK190)+AK190)</f>
        <v>0</v>
      </c>
      <c r="AM190" s="27">
        <f>IF(AL190+11&lt;=$G190,AL190+11,($G190-AL190)+AL190)</f>
        <v>0</v>
      </c>
      <c r="AN190" s="27">
        <f>IF(AM190+1&lt;=$G190,AM190+1,($G190-AM190)+AM190)</f>
        <v>0</v>
      </c>
      <c r="AO190" s="27">
        <f>IF(AN190+11&lt;=$G190,AN190+11,($G190-AN190)+AN190)</f>
        <v>0</v>
      </c>
      <c r="AP190" s="27">
        <f>IF(AO190+1&lt;=$G190,AO190+1,($G190-AO190)+AO190)</f>
        <v>0</v>
      </c>
      <c r="AQ190" s="27">
        <f>IF(AP190+11&lt;=$G190,AP190+11,($G190-AP190)+AP190)</f>
        <v>0</v>
      </c>
      <c r="AR190" s="27">
        <f>IF(AQ190+1&lt;=$G190,AQ190+1,($G190-AQ190)+AQ190)</f>
        <v>0</v>
      </c>
      <c r="AS190" s="27">
        <f>IF(AR190+11&lt;=$G190,AR190+11,($G190-AR190)+AR190)</f>
        <v>0</v>
      </c>
      <c r="AT190" s="27">
        <f>IF(AS190+1&lt;=$G190,AS190+1,($G190-AS190)+AS190)</f>
        <v>0</v>
      </c>
      <c r="AU190" s="27">
        <f>IF(AT190+11&lt;=$G190,AT190+11,($G190-AT190)+AT190)</f>
        <v>0</v>
      </c>
      <c r="AV190" s="27">
        <f>IF(AU190+1&lt;=$G190,AU190+1,($G190-AU190)+AU190)</f>
        <v>0</v>
      </c>
      <c r="AW190" s="27">
        <f>IF(AV190+11&lt;=$G190,AV190+11,($G190-AV190)+AV190)</f>
        <v>0</v>
      </c>
      <c r="AX190" s="27">
        <f>IF(AW190+1&lt;=$G190,AW190+1,($G190-AW190)+AW190)</f>
        <v>0</v>
      </c>
      <c r="AY190" s="27">
        <f>IF(AX190+11&lt;=$G190,AX190+11,($G190-AX190)+AX190)</f>
        <v>0</v>
      </c>
      <c r="AZ190" s="27">
        <f>IF(AY190+1&lt;=$G190,AY190+1,($G190-AY190)+AY190)</f>
        <v>0</v>
      </c>
      <c r="BA190" s="27">
        <f>IF(AZ190+35&lt;=$G190,AZ190+35,($G190-AZ190)+AZ190)</f>
        <v>0</v>
      </c>
      <c r="BB190" s="27">
        <f>IF(BA190+1&lt;=$G190,BA190+1,($G190-BA190)+BA190)</f>
        <v>0</v>
      </c>
      <c r="BC190" s="27">
        <f>IF(BB190+59&lt;=$G190,BB190+59,($G190-BB190)+BB190)</f>
        <v>0</v>
      </c>
      <c r="BD190" s="61">
        <f>IF(BC190+1&lt;=$G190,BC190+1,($G190-BC190)+BC190)</f>
        <v>0</v>
      </c>
      <c r="BE190" s="27">
        <f>IF(BD190+239&lt;=$G190,BD190+239,($G190-BD190)+BD190)</f>
        <v>0</v>
      </c>
      <c r="BF190" s="27">
        <f>IF(BE190+1&lt;=$G190,BE190+1,($G190-BE190)+BE190)</f>
        <v>0</v>
      </c>
      <c r="BG190" s="27">
        <f>IF(BF190+11&lt;=$G190,BF190+11,($G190-BF190)+BF190)</f>
        <v>0</v>
      </c>
      <c r="FJ190" s="61"/>
    </row>
    <row r="191" spans="2:166" s="27" customFormat="1" ht="11.25" hidden="1" x14ac:dyDescent="0.2">
      <c r="B191" s="60"/>
      <c r="H191" s="27">
        <v>1</v>
      </c>
      <c r="I191" s="27">
        <f>+I190</f>
        <v>-65</v>
      </c>
      <c r="J191" s="27">
        <f>IF(I191=$G190,0,J190)</f>
        <v>-64</v>
      </c>
      <c r="K191" s="27">
        <f>+K190</f>
        <v>-53</v>
      </c>
      <c r="L191" s="27">
        <f>IF(K191=$G190,0,L190)</f>
        <v>-52</v>
      </c>
      <c r="M191" s="27">
        <f>+M190</f>
        <v>-41</v>
      </c>
      <c r="N191" s="27">
        <f>IF(M191=$G190,0,N190)</f>
        <v>-40</v>
      </c>
      <c r="O191" s="27">
        <f>+O190</f>
        <v>-29</v>
      </c>
      <c r="P191" s="27">
        <f>IF(O191=$G190,0,P190)</f>
        <v>-28</v>
      </c>
      <c r="Q191" s="27">
        <f>+Q190</f>
        <v>-17</v>
      </c>
      <c r="R191" s="27">
        <f>IF(Q191=$G190,0,R190)</f>
        <v>-16</v>
      </c>
      <c r="S191" s="27">
        <f>+S190</f>
        <v>-5</v>
      </c>
      <c r="T191" s="27">
        <f>IF(S191=$G190,0,T190)</f>
        <v>-4</v>
      </c>
      <c r="U191" s="27">
        <f>+U190</f>
        <v>0</v>
      </c>
      <c r="V191" s="27">
        <f>IF(U191=$G190,0,V190)</f>
        <v>0</v>
      </c>
      <c r="W191" s="27">
        <f>+W190</f>
        <v>0</v>
      </c>
      <c r="X191" s="27">
        <f>IF(W191=$G190,0,X190)</f>
        <v>0</v>
      </c>
      <c r="Y191" s="27">
        <f>+Y190</f>
        <v>0</v>
      </c>
      <c r="Z191" s="27">
        <f>IF(Y191=$G190,0,Z190)</f>
        <v>0</v>
      </c>
      <c r="AA191" s="27">
        <f>+AA190</f>
        <v>0</v>
      </c>
      <c r="AB191" s="27">
        <f>IF(AA191=$G190,0,AB190)</f>
        <v>0</v>
      </c>
      <c r="AC191" s="27">
        <f>+AC190</f>
        <v>0</v>
      </c>
      <c r="AD191" s="27">
        <f>IF(AC191=$G190,0,AD190)</f>
        <v>0</v>
      </c>
      <c r="AE191" s="27">
        <f>+AE190</f>
        <v>0</v>
      </c>
      <c r="AF191" s="27">
        <f>IF(AE191=$G190,0,AF190)</f>
        <v>0</v>
      </c>
      <c r="AG191" s="27">
        <f>+AG190</f>
        <v>0</v>
      </c>
      <c r="AH191" s="27">
        <f>IF(AG191=$G190,0,AH190)</f>
        <v>0</v>
      </c>
      <c r="AI191" s="27">
        <f>+AI190</f>
        <v>0</v>
      </c>
      <c r="AJ191" s="27">
        <f>IF(AI191=$G190,0,AJ190)</f>
        <v>0</v>
      </c>
      <c r="AK191" s="27">
        <f>+AK190</f>
        <v>0</v>
      </c>
      <c r="AL191" s="27">
        <f>IF(AK191=$G190,0,AL190)</f>
        <v>0</v>
      </c>
      <c r="AM191" s="27">
        <f>+AM190</f>
        <v>0</v>
      </c>
      <c r="AN191" s="27">
        <f>IF(AM191=$G190,0,AN190)</f>
        <v>0</v>
      </c>
      <c r="AO191" s="27">
        <f>+AO190</f>
        <v>0</v>
      </c>
      <c r="AP191" s="27">
        <f>IF(AO191=$G190,0,AP190)</f>
        <v>0</v>
      </c>
      <c r="AQ191" s="27">
        <f>+AQ190</f>
        <v>0</v>
      </c>
      <c r="AR191" s="27">
        <f>IF(AQ191=$G190,0,AR190)</f>
        <v>0</v>
      </c>
      <c r="AS191" s="27">
        <f>+AS190</f>
        <v>0</v>
      </c>
      <c r="AT191" s="27">
        <f>IF(AS191=$G190,0,AT190)</f>
        <v>0</v>
      </c>
      <c r="AU191" s="27">
        <f>+AU190</f>
        <v>0</v>
      </c>
      <c r="AV191" s="27">
        <f>IF(AU191=$G190,0,AV190)</f>
        <v>0</v>
      </c>
      <c r="AW191" s="27">
        <f>+AW190</f>
        <v>0</v>
      </c>
      <c r="AX191" s="27">
        <f>IF(AW191=$G190,0,AX190)</f>
        <v>0</v>
      </c>
      <c r="AY191" s="27">
        <f>+AY190</f>
        <v>0</v>
      </c>
      <c r="AZ191" s="27">
        <f>IF(AY191=$G190,0,AZ190)</f>
        <v>0</v>
      </c>
      <c r="BA191" s="27">
        <f>+BA190</f>
        <v>0</v>
      </c>
      <c r="BB191" s="27">
        <f>IF(BA191=$G190,0,BB190)</f>
        <v>0</v>
      </c>
      <c r="BC191" s="27">
        <f>+BC190</f>
        <v>0</v>
      </c>
      <c r="BD191" s="61">
        <f>IF(BC191=$G190,0,BD190)</f>
        <v>0</v>
      </c>
      <c r="BE191" s="27">
        <f>+BE190</f>
        <v>0</v>
      </c>
      <c r="BF191" s="27">
        <f>IF(BE191=$G190,0,BF190)</f>
        <v>0</v>
      </c>
      <c r="BG191" s="27">
        <f>+BG190</f>
        <v>0</v>
      </c>
      <c r="FJ191" s="61"/>
    </row>
    <row r="192" spans="2:166" s="27" customFormat="1" ht="11.25" hidden="1" x14ac:dyDescent="0.2">
      <c r="B192" s="60"/>
      <c r="F192" s="27">
        <f>SUMIF(H192:BG192,"&gt;0")</f>
        <v>0</v>
      </c>
      <c r="G192" s="27" t="s">
        <v>632</v>
      </c>
      <c r="I192" s="27" t="e">
        <f>-CUMPRINC($F190/12,$E190*12,$D190,H191,I191,0)</f>
        <v>#NUM!</v>
      </c>
      <c r="K192" s="27" t="e">
        <f>-CUMPRINC($F190/12,$E190*12,$D190,J191,K191,0)</f>
        <v>#NUM!</v>
      </c>
      <c r="M192" s="27" t="e">
        <f>-CUMPRINC($F190/12,$E190*12,$D190,L191,M191,0)</f>
        <v>#NUM!</v>
      </c>
      <c r="O192" s="27" t="e">
        <f>-CUMPRINC($F190/12,$E190*12,$D190,N191,O191,0)</f>
        <v>#NUM!</v>
      </c>
      <c r="Q192" s="27" t="e">
        <f>-CUMPRINC($F190/12,$E190*12,$D190,P191,Q191,0)</f>
        <v>#NUM!</v>
      </c>
      <c r="S192" s="27" t="e">
        <f>-CUMPRINC($F190/12,$E190*12,$D190,R191,S191,0)</f>
        <v>#NUM!</v>
      </c>
      <c r="U192" s="27" t="e">
        <f>-CUMPRINC($F190/12,$E190*12,$D190,T191,U191,0)</f>
        <v>#NUM!</v>
      </c>
      <c r="W192" s="27" t="e">
        <f>-CUMPRINC($F190/12,$E190*12,$D190,V191,W191,0)</f>
        <v>#NUM!</v>
      </c>
      <c r="Y192" s="27" t="e">
        <f>-CUMPRINC($F190/12,$E190*12,$D190,X191,Y191,0)</f>
        <v>#NUM!</v>
      </c>
      <c r="AA192" s="27" t="e">
        <f>-CUMPRINC($F190/12,$E190*12,$D190,Z191,AA191,0)</f>
        <v>#NUM!</v>
      </c>
      <c r="AC192" s="27" t="e">
        <f>-CUMPRINC($F190/12,$E190*12,$D190,AB191,AC191,0)</f>
        <v>#NUM!</v>
      </c>
      <c r="AE192" s="27" t="e">
        <f>-CUMPRINC($F190/12,$E190*12,$D190,AD191,AE191,0)</f>
        <v>#NUM!</v>
      </c>
      <c r="AG192" s="27" t="e">
        <f>-CUMPRINC($F190/12,$E190*12,$D190,AF191,AG191,0)</f>
        <v>#NUM!</v>
      </c>
      <c r="AI192" s="27" t="e">
        <f>-CUMPRINC($F190/12,$E190*12,$D190,AH191,AI191,0)</f>
        <v>#NUM!</v>
      </c>
      <c r="AK192" s="27" t="e">
        <f>-CUMPRINC($F190/12,$E190*12,$D190,AJ191,AK191,0)</f>
        <v>#NUM!</v>
      </c>
      <c r="AM192" s="27" t="e">
        <f>-CUMPRINC($F190/12,$E190*12,$D190,AL191,AM191,0)</f>
        <v>#NUM!</v>
      </c>
      <c r="AO192" s="27" t="e">
        <f>-CUMPRINC($F190/12,$E190*12,$D190,AN191,AO191,0)</f>
        <v>#NUM!</v>
      </c>
      <c r="AQ192" s="27" t="e">
        <f>-CUMPRINC($F190/12,$E190*12,$D190,AP191,AQ191,0)</f>
        <v>#NUM!</v>
      </c>
      <c r="AS192" s="27" t="e">
        <f>-CUMPRINC($F190/12,$E190*12,$D190,AR191,AS191,0)</f>
        <v>#NUM!</v>
      </c>
      <c r="AU192" s="27" t="e">
        <f>-CUMPRINC($F190/12,$E190*12,$D190,AT191,AU191,0)</f>
        <v>#NUM!</v>
      </c>
      <c r="AW192" s="27" t="e">
        <f>-CUMPRINC($F190/12,$E190*12,$D190,AV191,AW191,0)</f>
        <v>#NUM!</v>
      </c>
      <c r="AY192" s="27" t="e">
        <f>-CUMPRINC($F190/12,$E190*12,$D190,AX191,AY191,0)</f>
        <v>#NUM!</v>
      </c>
      <c r="BA192" s="27" t="e">
        <f>-CUMPRINC($F190/12,$E190*12,$D190,AZ191,BA191,0)</f>
        <v>#NUM!</v>
      </c>
      <c r="BC192" s="27" t="e">
        <f>-CUMPRINC($F190/12,$E190*12,$D190,BB191,BC191,0)</f>
        <v>#NUM!</v>
      </c>
      <c r="BD192" s="61"/>
      <c r="BE192" s="27" t="e">
        <f>-CUMPRINC($F190/12,$E190*12,$D190,BD191,BE191,0)</f>
        <v>#NUM!</v>
      </c>
      <c r="BG192" s="27" t="e">
        <f>-CUMPRINC($F190/12,$E190*12,$D190,BF191,BG191,0)</f>
        <v>#NUM!</v>
      </c>
      <c r="BH192" s="27" t="s">
        <v>783</v>
      </c>
      <c r="BJ192" s="27" t="e">
        <f>-CUMIPMT($F190/12,$E190*12,$D190,H191,I191,0)</f>
        <v>#NUM!</v>
      </c>
      <c r="BL192" s="27" t="e">
        <f>-CUMIPMT($F190/12,$E190*12,$D190,J191,K191,0)</f>
        <v>#NUM!</v>
      </c>
      <c r="BN192" s="27" t="e">
        <f>-CUMIPMT($F190/12,$E190*12,$D190,L191,M191,0)</f>
        <v>#NUM!</v>
      </c>
      <c r="BP192" s="27" t="e">
        <f>-CUMIPMT($F190/12,$E190*12,$D190,N191,O191,0)</f>
        <v>#NUM!</v>
      </c>
      <c r="BR192" s="27" t="e">
        <f>-CUMIPMT($F190/12,$E190*12,$D190,P191,Q191,0)</f>
        <v>#NUM!</v>
      </c>
      <c r="BT192" s="27" t="e">
        <f>-CUMIPMT($F190/12,$E190*12,$D190,R191,S191,0)</f>
        <v>#NUM!</v>
      </c>
      <c r="BV192" s="27" t="e">
        <f>-CUMIPMT($F190/12,$E190*12,$D190,T191,U191,0)</f>
        <v>#NUM!</v>
      </c>
      <c r="BX192" s="27" t="e">
        <f>-CUMIPMT($F190/12,$E190*12,$D190,V191,W191,0)</f>
        <v>#NUM!</v>
      </c>
      <c r="BZ192" s="27" t="e">
        <f>-CUMIPMT($F190/12,$E190*12,$D190,X191,Y191,0)</f>
        <v>#NUM!</v>
      </c>
      <c r="CB192" s="27" t="e">
        <f>-CUMIPMT($F190/12,$E190*12,$D190,Z191,AA191,0)</f>
        <v>#NUM!</v>
      </c>
      <c r="CD192" s="27" t="e">
        <f>-CUMIPMT($F190/12,$E190*12,$D190,AB191,AC191,0)</f>
        <v>#NUM!</v>
      </c>
      <c r="CF192" s="27" t="e">
        <f>-CUMIPMT($F190/12,$E190*12,$D190,AD191,AE191,0)</f>
        <v>#NUM!</v>
      </c>
      <c r="CH192" s="27" t="e">
        <f>-CUMIPMT($F190/12,$E190*12,$D190,AF191,AG191,0)</f>
        <v>#NUM!</v>
      </c>
      <c r="CJ192" s="27" t="e">
        <f>-CUMIPMT($F190/12,$E190*12,$D190,AH191,AI191,0)</f>
        <v>#NUM!</v>
      </c>
      <c r="CL192" s="27" t="e">
        <f>-CUMIPMT($F190/12,$E190*12,$D190,AJ191,AK191,0)</f>
        <v>#NUM!</v>
      </c>
      <c r="CN192" s="27" t="e">
        <f>-CUMIPMT($F190/12,$E190*12,$D190,AL191,AM191,0)</f>
        <v>#NUM!</v>
      </c>
      <c r="CP192" s="27" t="e">
        <f>-CUMIPMT($F190/12,$E190*12,$D190,AN191,AO191,0)</f>
        <v>#NUM!</v>
      </c>
      <c r="CR192" s="27" t="e">
        <f>-CUMIPMT($F190/12,$E190*12,$D190,AP191,AQ191,0)</f>
        <v>#NUM!</v>
      </c>
      <c r="CT192" s="27" t="e">
        <f>-CUMIPMT($F190/12,$E190*12,$D190,AR191,AS191,0)</f>
        <v>#NUM!</v>
      </c>
      <c r="CV192" s="27" t="e">
        <f>-CUMIPMT($F190/12,$E190*12,$D190,AT191,AU191,0)</f>
        <v>#NUM!</v>
      </c>
      <c r="CX192" s="27" t="e">
        <f>-CUMIPMT($F190/12,$E190*12,$D190,AV191,AW191,0)</f>
        <v>#NUM!</v>
      </c>
      <c r="CZ192" s="27" t="e">
        <f>-CUMIPMT($F190/12,$E190*12,$D190,AX191,AY191,0)</f>
        <v>#NUM!</v>
      </c>
      <c r="DB192" s="27" t="e">
        <f>-CUMIPMT($F190/12,$E190*12,$D190,AZ191,BA191,0)</f>
        <v>#NUM!</v>
      </c>
      <c r="DD192" s="27" t="e">
        <f>-CUMIPMT($F190/12,$E190*12,$D190,BB191,BC191,0)</f>
        <v>#NUM!</v>
      </c>
      <c r="DF192" s="27" t="e">
        <f>-CUMIPMT($F190/12,$E190*12,$D190,BD191,BE191,0)</f>
        <v>#NUM!</v>
      </c>
      <c r="DH192" s="27" t="e">
        <f>-CUMIPMT($F190/12,$E190*12,$D190,BF191,BG191,0)</f>
        <v>#NUM!</v>
      </c>
      <c r="DI192" s="27" t="s">
        <v>784</v>
      </c>
      <c r="DJ192" s="27" t="s">
        <v>785</v>
      </c>
      <c r="DK192" s="27">
        <f>+F192</f>
        <v>0</v>
      </c>
      <c r="DL192" s="27" t="e">
        <f>+DK192-I192</f>
        <v>#NUM!</v>
      </c>
      <c r="DN192" s="27" t="e">
        <f>+DL192-K192</f>
        <v>#NUM!</v>
      </c>
      <c r="DP192" s="27" t="e">
        <f>+DN192-M192</f>
        <v>#NUM!</v>
      </c>
      <c r="DR192" s="27" t="e">
        <f>+DP192-O192</f>
        <v>#NUM!</v>
      </c>
      <c r="DT192" s="27" t="e">
        <f>+DR192-Q192</f>
        <v>#NUM!</v>
      </c>
      <c r="DV192" s="27" t="e">
        <f>+DT192-S192</f>
        <v>#NUM!</v>
      </c>
      <c r="DX192" s="27" t="e">
        <f>+DV192-U192</f>
        <v>#NUM!</v>
      </c>
      <c r="DZ192" s="27" t="e">
        <f>+DX192-W192</f>
        <v>#NUM!</v>
      </c>
      <c r="EB192" s="27" t="e">
        <f>+DZ192-Y192</f>
        <v>#NUM!</v>
      </c>
      <c r="ED192" s="27" t="e">
        <f>+EB192-AA192</f>
        <v>#NUM!</v>
      </c>
      <c r="EF192" s="27" t="e">
        <f>+ED192-AC192</f>
        <v>#NUM!</v>
      </c>
      <c r="EH192" s="27" t="e">
        <f>+EF192-AE192</f>
        <v>#NUM!</v>
      </c>
      <c r="EJ192" s="27" t="e">
        <f>+EH192-AG192</f>
        <v>#NUM!</v>
      </c>
      <c r="EL192" s="27" t="e">
        <f>+EJ192-AI192</f>
        <v>#NUM!</v>
      </c>
      <c r="EN192" s="27" t="e">
        <f>+EL192-AK192</f>
        <v>#NUM!</v>
      </c>
      <c r="EP192" s="27" t="e">
        <f>+EN192-AM192</f>
        <v>#NUM!</v>
      </c>
      <c r="ER192" s="27" t="e">
        <f>+EP192-AO192</f>
        <v>#NUM!</v>
      </c>
      <c r="ET192" s="27" t="e">
        <f>+ER192-AQ192</f>
        <v>#NUM!</v>
      </c>
      <c r="EV192" s="27" t="e">
        <f>+ET192-AS192</f>
        <v>#NUM!</v>
      </c>
      <c r="EX192" s="27" t="e">
        <f>+EV192-AU192</f>
        <v>#NUM!</v>
      </c>
      <c r="EZ192" s="27" t="e">
        <f>+EX192-AW192</f>
        <v>#NUM!</v>
      </c>
      <c r="FB192" s="27" t="e">
        <f>+EZ192-AY192</f>
        <v>#NUM!</v>
      </c>
      <c r="FD192" s="27" t="e">
        <f>+FB192-BA192</f>
        <v>#NUM!</v>
      </c>
      <c r="FF192" s="27" t="e">
        <f>+FD192-BC192</f>
        <v>#NUM!</v>
      </c>
      <c r="FH192" s="27" t="e">
        <f>+FF192-BE192</f>
        <v>#NUM!</v>
      </c>
      <c r="FJ192" s="61" t="e">
        <f>+FH192-BG192</f>
        <v>#NUM!</v>
      </c>
    </row>
    <row r="193" spans="2:166" s="27" customFormat="1" ht="11.25" hidden="1" x14ac:dyDescent="0.2">
      <c r="B193" s="60"/>
      <c r="E193" s="27">
        <f>+F192+F193</f>
        <v>0</v>
      </c>
      <c r="F193" s="27">
        <f>SUMIF(BI192:DH192,"&gt;0")</f>
        <v>0</v>
      </c>
      <c r="I193" s="27">
        <f>IF(ISERROR(I192)=FALSE,I192,0)</f>
        <v>0</v>
      </c>
      <c r="K193" s="27">
        <f>IF(ISERROR(K192)=FALSE,K192,0)</f>
        <v>0</v>
      </c>
      <c r="M193" s="27">
        <f>IF(ISERROR(M192)=FALSE,M192,0)</f>
        <v>0</v>
      </c>
      <c r="O193" s="27">
        <f>IF(ISERROR(O192)=FALSE,O192,0)</f>
        <v>0</v>
      </c>
      <c r="Q193" s="27">
        <f>IF(ISERROR(Q192)=FALSE,Q192,0)</f>
        <v>0</v>
      </c>
      <c r="S193" s="27">
        <f>IF(ISERROR(S192)=FALSE,S192,0)</f>
        <v>0</v>
      </c>
      <c r="U193" s="27">
        <f>IF(ISERROR(U192)=FALSE,U192,0)</f>
        <v>0</v>
      </c>
      <c r="W193" s="27">
        <f>IF(ISERROR(W192)=FALSE,W192,0)</f>
        <v>0</v>
      </c>
      <c r="Y193" s="27">
        <f>IF(ISERROR(Y192)=FALSE,Y192,0)</f>
        <v>0</v>
      </c>
      <c r="AA193" s="27">
        <f>IF(ISERROR(AA192)=FALSE,AA192,0)</f>
        <v>0</v>
      </c>
      <c r="AC193" s="27">
        <f>IF(ISERROR(AC192)=FALSE,AC192,0)</f>
        <v>0</v>
      </c>
      <c r="AE193" s="27">
        <f>IF(ISERROR(AE192)=FALSE,AE192,0)</f>
        <v>0</v>
      </c>
      <c r="AG193" s="27">
        <f>IF(ISERROR(AG192)=FALSE,AG192,0)</f>
        <v>0</v>
      </c>
      <c r="AI193" s="27">
        <f>IF(ISERROR(AI192)=FALSE,AI192,0)</f>
        <v>0</v>
      </c>
      <c r="AK193" s="27">
        <f>IF(ISERROR(AK192)=FALSE,AK192,0)</f>
        <v>0</v>
      </c>
      <c r="AM193" s="27">
        <f>IF(ISERROR(AM192)=FALSE,AM192,0)</f>
        <v>0</v>
      </c>
      <c r="AO193" s="27">
        <f>IF(ISERROR(AO192)=FALSE,AO192,0)</f>
        <v>0</v>
      </c>
      <c r="AQ193" s="27">
        <f>IF(ISERROR(AQ192)=FALSE,AQ192,0)</f>
        <v>0</v>
      </c>
      <c r="AS193" s="27">
        <f>IF(ISERROR(AS192)=FALSE,AS192,0)</f>
        <v>0</v>
      </c>
      <c r="AU193" s="27">
        <f>IF(ISERROR(AU192)=FALSE,AU192,0)</f>
        <v>0</v>
      </c>
      <c r="AW193" s="27">
        <f>IF(ISERROR(AW192)=FALSE,AW192,0)</f>
        <v>0</v>
      </c>
      <c r="AY193" s="27">
        <f>IF(ISERROR(AY192)=FALSE,AY192,0)</f>
        <v>0</v>
      </c>
      <c r="BA193" s="27">
        <f>IF(ISERROR(BA192)=FALSE,BA192,0)</f>
        <v>0</v>
      </c>
      <c r="BC193" s="27">
        <f>IF(ISERROR(BC192)=FALSE,BC192,0)</f>
        <v>0</v>
      </c>
      <c r="BD193" s="61"/>
      <c r="BE193" s="27">
        <f>IF(ISERROR(BE192)=FALSE,BE192,0)</f>
        <v>0</v>
      </c>
      <c r="BG193" s="27">
        <f>IF(ISERROR(BG192)=FALSE,BG192,0)</f>
        <v>0</v>
      </c>
      <c r="FJ193" s="61"/>
    </row>
    <row r="194" spans="2:166" s="27" customFormat="1" ht="11.25" hidden="1" x14ac:dyDescent="0.2">
      <c r="B194" s="60"/>
      <c r="D194" s="27" t="s">
        <v>630</v>
      </c>
      <c r="E194" s="27">
        <f>IF(E190=0,0,E193/(E190*12))</f>
        <v>0</v>
      </c>
      <c r="BD194" s="61"/>
      <c r="FJ194" s="61"/>
    </row>
    <row r="195" spans="2:166" s="27" customFormat="1" ht="11.25" hidden="1" x14ac:dyDescent="0.2">
      <c r="B195" s="60"/>
      <c r="C195" s="27">
        <f>C119</f>
        <v>0</v>
      </c>
      <c r="D195" s="27">
        <f>D119</f>
        <v>0</v>
      </c>
      <c r="E195" s="27">
        <f>E119</f>
        <v>0</v>
      </c>
      <c r="F195" s="27">
        <f>F119</f>
        <v>0</v>
      </c>
      <c r="G195" s="27">
        <f>+$E195*12</f>
        <v>0</v>
      </c>
      <c r="H195" s="27">
        <f>SUMIF($W119:$AH119,$D119,$W$108:$AH$108)</f>
        <v>78</v>
      </c>
      <c r="I195" s="27">
        <f>13-H195</f>
        <v>-65</v>
      </c>
      <c r="J195" s="27">
        <f>IF(I195+1&lt;=$G195,I195+1,($G195-I195)+I195)</f>
        <v>-64</v>
      </c>
      <c r="K195" s="27">
        <f>IF(J195+11&lt;=$G195,J195+11,($G195-J195)+J195)</f>
        <v>-53</v>
      </c>
      <c r="L195" s="27">
        <f>IF(K195+1&lt;=$G195,K195+1,($G195-K195)+K195)</f>
        <v>-52</v>
      </c>
      <c r="M195" s="27">
        <f>IF(L195+11&lt;=$G195,L195+11,($G195-L195)+L195)</f>
        <v>-41</v>
      </c>
      <c r="N195" s="27">
        <f>IF(M195+1&lt;=$G195,M195+1,($G195-M195)+M195)</f>
        <v>-40</v>
      </c>
      <c r="O195" s="27">
        <f>IF(N195+11&lt;=$G195,N195+11,($G195-N195)+N195)</f>
        <v>-29</v>
      </c>
      <c r="P195" s="27">
        <f>IF(O195+1&lt;=$G195,O195+1,($G195-O195)+O195)</f>
        <v>-28</v>
      </c>
      <c r="Q195" s="27">
        <f>IF(P195+11&lt;=$G195,P195+11,($G195-P195)+P195)</f>
        <v>-17</v>
      </c>
      <c r="R195" s="27">
        <f>IF(Q195+1&lt;=$G195,Q195+1,($G195-Q195)+Q195)</f>
        <v>-16</v>
      </c>
      <c r="S195" s="27">
        <f>IF(R195+11&lt;=$G195,R195+11,($G195-R195)+R195)</f>
        <v>-5</v>
      </c>
      <c r="T195" s="27">
        <f>IF(S195+1&lt;=$G195,S195+1,($G195-S195)+S195)</f>
        <v>-4</v>
      </c>
      <c r="U195" s="27">
        <f>IF(T195+11&lt;=$G195,T195+11,($G195-T195)+T195)</f>
        <v>0</v>
      </c>
      <c r="V195" s="27">
        <f>IF(U195+1&lt;=$G195,U195+1,($G195-U195)+U195)</f>
        <v>0</v>
      </c>
      <c r="W195" s="27">
        <f>IF(V195+11&lt;=$G195,V195+11,($G195-V195)+V195)</f>
        <v>0</v>
      </c>
      <c r="X195" s="27">
        <f>IF(W195+1&lt;=$G195,W195+1,($G195-W195)+W195)</f>
        <v>0</v>
      </c>
      <c r="Y195" s="27">
        <f>IF(X195+11&lt;=$G195,X195+11,($G195-X195)+X195)</f>
        <v>0</v>
      </c>
      <c r="Z195" s="27">
        <f>IF(Y195+1&lt;=$G195,Y195+1,($G195-Y195)+Y195)</f>
        <v>0</v>
      </c>
      <c r="AA195" s="27">
        <f>IF(Z195+11&lt;=$G195,Z195+11,($G195-Z195)+Z195)</f>
        <v>0</v>
      </c>
      <c r="AB195" s="27">
        <f>IF(AA195+1&lt;=$G195,AA195+1,($G195-AA195)+AA195)</f>
        <v>0</v>
      </c>
      <c r="AC195" s="27">
        <f>IF(AB195+11&lt;=$G195,AB195+11,($G195-AB195)+AB195)</f>
        <v>0</v>
      </c>
      <c r="AD195" s="27">
        <f>IF(AC195+1&lt;=$G195,AC195+1,($G195-AC195)+AC195)</f>
        <v>0</v>
      </c>
      <c r="AE195" s="27">
        <f>IF(AD195+11&lt;=$G195,AD195+11,($G195-AD195)+AD195)</f>
        <v>0</v>
      </c>
      <c r="AF195" s="27">
        <f>IF(AE195+1&lt;=$G195,AE195+1,($G195-AE195)+AE195)</f>
        <v>0</v>
      </c>
      <c r="AG195" s="27">
        <f>IF(AF195+11&lt;=$G195,AF195+11,($G195-AF195)+AF195)</f>
        <v>0</v>
      </c>
      <c r="AH195" s="27">
        <f>IF(AG195+1&lt;=$G195,AG195+1,($G195-AG195)+AG195)</f>
        <v>0</v>
      </c>
      <c r="AI195" s="27">
        <f>IF(AH195+11&lt;=$G195,AH195+11,($G195-AH195)+AH195)</f>
        <v>0</v>
      </c>
      <c r="AJ195" s="27">
        <f>IF(AI195+1&lt;=$G195,AI195+1,($G195-AI195)+AI195)</f>
        <v>0</v>
      </c>
      <c r="AK195" s="27">
        <f>IF(AJ195+11&lt;=$G195,AJ195+11,($G195-AJ195)+AJ195)</f>
        <v>0</v>
      </c>
      <c r="AL195" s="27">
        <f>IF(AK195+1&lt;=$G195,AK195+1,($G195-AK195)+AK195)</f>
        <v>0</v>
      </c>
      <c r="AM195" s="27">
        <f>IF(AL195+11&lt;=$G195,AL195+11,($G195-AL195)+AL195)</f>
        <v>0</v>
      </c>
      <c r="AN195" s="27">
        <f>IF(AM195+1&lt;=$G195,AM195+1,($G195-AM195)+AM195)</f>
        <v>0</v>
      </c>
      <c r="AO195" s="27">
        <f>IF(AN195+11&lt;=$G195,AN195+11,($G195-AN195)+AN195)</f>
        <v>0</v>
      </c>
      <c r="AP195" s="27">
        <f>IF(AO195+1&lt;=$G195,AO195+1,($G195-AO195)+AO195)</f>
        <v>0</v>
      </c>
      <c r="AQ195" s="27">
        <f>IF(AP195+11&lt;=$G195,AP195+11,($G195-AP195)+AP195)</f>
        <v>0</v>
      </c>
      <c r="AR195" s="27">
        <f>IF(AQ195+1&lt;=$G195,AQ195+1,($G195-AQ195)+AQ195)</f>
        <v>0</v>
      </c>
      <c r="AS195" s="27">
        <f>IF(AR195+11&lt;=$G195,AR195+11,($G195-AR195)+AR195)</f>
        <v>0</v>
      </c>
      <c r="AT195" s="27">
        <f>IF(AS195+1&lt;=$G195,AS195+1,($G195-AS195)+AS195)</f>
        <v>0</v>
      </c>
      <c r="AU195" s="27">
        <f>IF(AT195+11&lt;=$G195,AT195+11,($G195-AT195)+AT195)</f>
        <v>0</v>
      </c>
      <c r="AV195" s="27">
        <f>IF(AU195+1&lt;=$G195,AU195+1,($G195-AU195)+AU195)</f>
        <v>0</v>
      </c>
      <c r="AW195" s="27">
        <f>IF(AV195+11&lt;=$G195,AV195+11,($G195-AV195)+AV195)</f>
        <v>0</v>
      </c>
      <c r="AX195" s="27">
        <f>IF(AW195+1&lt;=$G195,AW195+1,($G195-AW195)+AW195)</f>
        <v>0</v>
      </c>
      <c r="AY195" s="27">
        <f>IF(AX195+11&lt;=$G195,AX195+11,($G195-AX195)+AX195)</f>
        <v>0</v>
      </c>
      <c r="AZ195" s="27">
        <f>IF(AY195+1&lt;=$G195,AY195+1,($G195-AY195)+AY195)</f>
        <v>0</v>
      </c>
      <c r="BA195" s="27">
        <f>IF(AZ195+35&lt;=$G195,AZ195+35,($G195-AZ195)+AZ195)</f>
        <v>0</v>
      </c>
      <c r="BB195" s="27">
        <f>IF(BA195+1&lt;=$G195,BA195+1,($G195-BA195)+BA195)</f>
        <v>0</v>
      </c>
      <c r="BC195" s="27">
        <f>IF(BB195+59&lt;=$G195,BB195+59,($G195-BB195)+BB195)</f>
        <v>0</v>
      </c>
      <c r="BD195" s="61">
        <f>IF(BC195+1&lt;=$G195,BC195+1,($G195-BC195)+BC195)</f>
        <v>0</v>
      </c>
      <c r="BE195" s="27">
        <f>IF(BD195+239&lt;=$G195,BD195+239,($G195-BD195)+BD195)</f>
        <v>0</v>
      </c>
      <c r="BF195" s="27">
        <f>IF(BE195+1&lt;=$G195,BE195+1,($G195-BE195)+BE195)</f>
        <v>0</v>
      </c>
      <c r="BG195" s="27">
        <f>IF(BF195+11&lt;=$G195,BF195+11,($G195-BF195)+BF195)</f>
        <v>0</v>
      </c>
      <c r="FJ195" s="61"/>
    </row>
    <row r="196" spans="2:166" s="27" customFormat="1" ht="11.25" hidden="1" x14ac:dyDescent="0.2">
      <c r="B196" s="60"/>
      <c r="H196" s="27">
        <v>1</v>
      </c>
      <c r="I196" s="27">
        <f>+I195</f>
        <v>-65</v>
      </c>
      <c r="J196" s="27">
        <f>IF(I196=$G195,0,J195)</f>
        <v>-64</v>
      </c>
      <c r="K196" s="27">
        <f>+K195</f>
        <v>-53</v>
      </c>
      <c r="L196" s="27">
        <f>IF(K196=$G195,0,L195)</f>
        <v>-52</v>
      </c>
      <c r="M196" s="27">
        <f>+M195</f>
        <v>-41</v>
      </c>
      <c r="N196" s="27">
        <f>IF(M196=$G195,0,N195)</f>
        <v>-40</v>
      </c>
      <c r="O196" s="27">
        <f>+O195</f>
        <v>-29</v>
      </c>
      <c r="P196" s="27">
        <f>IF(O196=$G195,0,P195)</f>
        <v>-28</v>
      </c>
      <c r="Q196" s="27">
        <f>+Q195</f>
        <v>-17</v>
      </c>
      <c r="R196" s="27">
        <f>IF(Q196=$G195,0,R195)</f>
        <v>-16</v>
      </c>
      <c r="S196" s="27">
        <f>+S195</f>
        <v>-5</v>
      </c>
      <c r="T196" s="27">
        <f>IF(S196=$G195,0,T195)</f>
        <v>-4</v>
      </c>
      <c r="U196" s="27">
        <f>+U195</f>
        <v>0</v>
      </c>
      <c r="V196" s="27">
        <f>IF(U196=$G195,0,V195)</f>
        <v>0</v>
      </c>
      <c r="W196" s="27">
        <f>+W195</f>
        <v>0</v>
      </c>
      <c r="X196" s="27">
        <f>IF(W196=$G195,0,X195)</f>
        <v>0</v>
      </c>
      <c r="Y196" s="27">
        <f>+Y195</f>
        <v>0</v>
      </c>
      <c r="Z196" s="27">
        <f>IF(Y196=$G195,0,Z195)</f>
        <v>0</v>
      </c>
      <c r="AA196" s="27">
        <f>+AA195</f>
        <v>0</v>
      </c>
      <c r="AB196" s="27">
        <f>IF(AA196=$G195,0,AB195)</f>
        <v>0</v>
      </c>
      <c r="AC196" s="27">
        <f>+AC195</f>
        <v>0</v>
      </c>
      <c r="AD196" s="27">
        <f>IF(AC196=$G195,0,AD195)</f>
        <v>0</v>
      </c>
      <c r="AE196" s="27">
        <f>+AE195</f>
        <v>0</v>
      </c>
      <c r="AF196" s="27">
        <f>IF(AE196=$G195,0,AF195)</f>
        <v>0</v>
      </c>
      <c r="AG196" s="27">
        <f>+AG195</f>
        <v>0</v>
      </c>
      <c r="AH196" s="27">
        <f>IF(AG196=$G195,0,AH195)</f>
        <v>0</v>
      </c>
      <c r="AI196" s="27">
        <f>+AI195</f>
        <v>0</v>
      </c>
      <c r="AJ196" s="27">
        <f>IF(AI196=$G195,0,AJ195)</f>
        <v>0</v>
      </c>
      <c r="AK196" s="27">
        <f>+AK195</f>
        <v>0</v>
      </c>
      <c r="AL196" s="27">
        <f>IF(AK196=$G195,0,AL195)</f>
        <v>0</v>
      </c>
      <c r="AM196" s="27">
        <f>+AM195</f>
        <v>0</v>
      </c>
      <c r="AN196" s="27">
        <f>IF(AM196=$G195,0,AN195)</f>
        <v>0</v>
      </c>
      <c r="AO196" s="27">
        <f>+AO195</f>
        <v>0</v>
      </c>
      <c r="AP196" s="27">
        <f>IF(AO196=$G195,0,AP195)</f>
        <v>0</v>
      </c>
      <c r="AQ196" s="27">
        <f>+AQ195</f>
        <v>0</v>
      </c>
      <c r="AR196" s="27">
        <f>IF(AQ196=$G195,0,AR195)</f>
        <v>0</v>
      </c>
      <c r="AS196" s="27">
        <f>+AS195</f>
        <v>0</v>
      </c>
      <c r="AT196" s="27">
        <f>IF(AS196=$G195,0,AT195)</f>
        <v>0</v>
      </c>
      <c r="AU196" s="27">
        <f>+AU195</f>
        <v>0</v>
      </c>
      <c r="AV196" s="27">
        <f>IF(AU196=$G195,0,AV195)</f>
        <v>0</v>
      </c>
      <c r="AW196" s="27">
        <f>+AW195</f>
        <v>0</v>
      </c>
      <c r="AX196" s="27">
        <f>IF(AW196=$G195,0,AX195)</f>
        <v>0</v>
      </c>
      <c r="AY196" s="27">
        <f>+AY195</f>
        <v>0</v>
      </c>
      <c r="AZ196" s="27">
        <f>IF(AY196=$G195,0,AZ195)</f>
        <v>0</v>
      </c>
      <c r="BA196" s="27">
        <f>+BA195</f>
        <v>0</v>
      </c>
      <c r="BB196" s="27">
        <f>IF(BA196=$G195,0,BB195)</f>
        <v>0</v>
      </c>
      <c r="BC196" s="27">
        <f>+BC195</f>
        <v>0</v>
      </c>
      <c r="BD196" s="61">
        <f>IF(BC196=$G195,0,BD195)</f>
        <v>0</v>
      </c>
      <c r="BE196" s="27">
        <f>+BE195</f>
        <v>0</v>
      </c>
      <c r="BF196" s="27">
        <f>IF(BE196=$G195,0,BF195)</f>
        <v>0</v>
      </c>
      <c r="BG196" s="27">
        <f>+BG195</f>
        <v>0</v>
      </c>
      <c r="FJ196" s="61"/>
    </row>
    <row r="197" spans="2:166" s="27" customFormat="1" ht="11.25" hidden="1" x14ac:dyDescent="0.2">
      <c r="B197" s="60"/>
      <c r="F197" s="27">
        <f>SUMIF(H197:BG197,"&gt;0")</f>
        <v>0</v>
      </c>
      <c r="G197" s="27" t="s">
        <v>632</v>
      </c>
      <c r="I197" s="27" t="e">
        <f>-CUMPRINC($F195/12,$E195*12,$D195,H196,I196,0)</f>
        <v>#NUM!</v>
      </c>
      <c r="K197" s="27" t="e">
        <f>-CUMPRINC($F195/12,$E195*12,$D195,J196,K196,0)</f>
        <v>#NUM!</v>
      </c>
      <c r="M197" s="27" t="e">
        <f>-CUMPRINC($F195/12,$E195*12,$D195,L196,M196,0)</f>
        <v>#NUM!</v>
      </c>
      <c r="O197" s="27" t="e">
        <f>-CUMPRINC($F195/12,$E195*12,$D195,N196,O196,0)</f>
        <v>#NUM!</v>
      </c>
      <c r="Q197" s="27" t="e">
        <f>-CUMPRINC($F195/12,$E195*12,$D195,P196,Q196,0)</f>
        <v>#NUM!</v>
      </c>
      <c r="S197" s="27" t="e">
        <f>-CUMPRINC($F195/12,$E195*12,$D195,R196,S196,0)</f>
        <v>#NUM!</v>
      </c>
      <c r="U197" s="27" t="e">
        <f>-CUMPRINC($F195/12,$E195*12,$D195,T196,U196,0)</f>
        <v>#NUM!</v>
      </c>
      <c r="W197" s="27" t="e">
        <f>-CUMPRINC($F195/12,$E195*12,$D195,V196,W196,0)</f>
        <v>#NUM!</v>
      </c>
      <c r="Y197" s="27" t="e">
        <f>-CUMPRINC($F195/12,$E195*12,$D195,X196,Y196,0)</f>
        <v>#NUM!</v>
      </c>
      <c r="AA197" s="27" t="e">
        <f>-CUMPRINC($F195/12,$E195*12,$D195,Z196,AA196,0)</f>
        <v>#NUM!</v>
      </c>
      <c r="AC197" s="27" t="e">
        <f>-CUMPRINC($F195/12,$E195*12,$D195,AB196,AC196,0)</f>
        <v>#NUM!</v>
      </c>
      <c r="AE197" s="27" t="e">
        <f>-CUMPRINC($F195/12,$E195*12,$D195,AD196,AE196,0)</f>
        <v>#NUM!</v>
      </c>
      <c r="AG197" s="27" t="e">
        <f>-CUMPRINC($F195/12,$E195*12,$D195,AF196,AG196,0)</f>
        <v>#NUM!</v>
      </c>
      <c r="AI197" s="27" t="e">
        <f>-CUMPRINC($F195/12,$E195*12,$D195,AH196,AI196,0)</f>
        <v>#NUM!</v>
      </c>
      <c r="AK197" s="27" t="e">
        <f>-CUMPRINC($F195/12,$E195*12,$D195,AJ196,AK196,0)</f>
        <v>#NUM!</v>
      </c>
      <c r="AM197" s="27" t="e">
        <f>-CUMPRINC($F195/12,$E195*12,$D195,AL196,AM196,0)</f>
        <v>#NUM!</v>
      </c>
      <c r="AO197" s="27" t="e">
        <f>-CUMPRINC($F195/12,$E195*12,$D195,AN196,AO196,0)</f>
        <v>#NUM!</v>
      </c>
      <c r="AQ197" s="27" t="e">
        <f>-CUMPRINC($F195/12,$E195*12,$D195,AP196,AQ196,0)</f>
        <v>#NUM!</v>
      </c>
      <c r="AS197" s="27" t="e">
        <f>-CUMPRINC($F195/12,$E195*12,$D195,AR196,AS196,0)</f>
        <v>#NUM!</v>
      </c>
      <c r="AU197" s="27" t="e">
        <f>-CUMPRINC($F195/12,$E195*12,$D195,AT196,AU196,0)</f>
        <v>#NUM!</v>
      </c>
      <c r="AW197" s="27" t="e">
        <f>-CUMPRINC($F195/12,$E195*12,$D195,AV196,AW196,0)</f>
        <v>#NUM!</v>
      </c>
      <c r="AY197" s="27" t="e">
        <f>-CUMPRINC($F195/12,$E195*12,$D195,AX196,AY196,0)</f>
        <v>#NUM!</v>
      </c>
      <c r="BA197" s="27" t="e">
        <f>-CUMPRINC($F195/12,$E195*12,$D195,AZ196,BA196,0)</f>
        <v>#NUM!</v>
      </c>
      <c r="BC197" s="27" t="e">
        <f>-CUMPRINC($F195/12,$E195*12,$D195,BB196,BC196,0)</f>
        <v>#NUM!</v>
      </c>
      <c r="BD197" s="61"/>
      <c r="BE197" s="27" t="e">
        <f>-CUMPRINC($F195/12,$E195*12,$D195,BD196,BE196,0)</f>
        <v>#NUM!</v>
      </c>
      <c r="BG197" s="27" t="e">
        <f>-CUMPRINC($F195/12,$E195*12,$D195,BF196,BG196,0)</f>
        <v>#NUM!</v>
      </c>
      <c r="BH197" s="27" t="s">
        <v>783</v>
      </c>
      <c r="BJ197" s="27" t="e">
        <f>-CUMIPMT($F195/12,$E195*12,$D195,H196,I196,0)</f>
        <v>#NUM!</v>
      </c>
      <c r="BL197" s="27" t="e">
        <f>-CUMIPMT($F195/12,$E195*12,$D195,J196,K196,0)</f>
        <v>#NUM!</v>
      </c>
      <c r="BN197" s="27" t="e">
        <f>-CUMIPMT($F195/12,$E195*12,$D195,L196,M196,0)</f>
        <v>#NUM!</v>
      </c>
      <c r="BP197" s="27" t="e">
        <f>-CUMIPMT($F195/12,$E195*12,$D195,N196,O196,0)</f>
        <v>#NUM!</v>
      </c>
      <c r="BR197" s="27" t="e">
        <f>-CUMIPMT($F195/12,$E195*12,$D195,P196,Q196,0)</f>
        <v>#NUM!</v>
      </c>
      <c r="BT197" s="27" t="e">
        <f>-CUMIPMT($F195/12,$E195*12,$D195,R196,S196,0)</f>
        <v>#NUM!</v>
      </c>
      <c r="BV197" s="27" t="e">
        <f>-CUMIPMT($F195/12,$E195*12,$D195,T196,U196,0)</f>
        <v>#NUM!</v>
      </c>
      <c r="BX197" s="27" t="e">
        <f>-CUMIPMT($F195/12,$E195*12,$D195,V196,W196,0)</f>
        <v>#NUM!</v>
      </c>
      <c r="BZ197" s="27" t="e">
        <f>-CUMIPMT($F195/12,$E195*12,$D195,X196,Y196,0)</f>
        <v>#NUM!</v>
      </c>
      <c r="CB197" s="27" t="e">
        <f>-CUMIPMT($F195/12,$E195*12,$D195,Z196,AA196,0)</f>
        <v>#NUM!</v>
      </c>
      <c r="CD197" s="27" t="e">
        <f>-CUMIPMT($F195/12,$E195*12,$D195,AB196,AC196,0)</f>
        <v>#NUM!</v>
      </c>
      <c r="CF197" s="27" t="e">
        <f>-CUMIPMT($F195/12,$E195*12,$D195,AD196,AE196,0)</f>
        <v>#NUM!</v>
      </c>
      <c r="CH197" s="27" t="e">
        <f>-CUMIPMT($F195/12,$E195*12,$D195,AF196,AG196,0)</f>
        <v>#NUM!</v>
      </c>
      <c r="CJ197" s="27" t="e">
        <f>-CUMIPMT($F195/12,$E195*12,$D195,AH196,AI196,0)</f>
        <v>#NUM!</v>
      </c>
      <c r="CL197" s="27" t="e">
        <f>-CUMIPMT($F195/12,$E195*12,$D195,AJ196,AK196,0)</f>
        <v>#NUM!</v>
      </c>
      <c r="CN197" s="27" t="e">
        <f>-CUMIPMT($F195/12,$E195*12,$D195,AL196,AM196,0)</f>
        <v>#NUM!</v>
      </c>
      <c r="CP197" s="27" t="e">
        <f>-CUMIPMT($F195/12,$E195*12,$D195,AN196,AO196,0)</f>
        <v>#NUM!</v>
      </c>
      <c r="CR197" s="27" t="e">
        <f>-CUMIPMT($F195/12,$E195*12,$D195,AP196,AQ196,0)</f>
        <v>#NUM!</v>
      </c>
      <c r="CT197" s="27" t="e">
        <f>-CUMIPMT($F195/12,$E195*12,$D195,AR196,AS196,0)</f>
        <v>#NUM!</v>
      </c>
      <c r="CV197" s="27" t="e">
        <f>-CUMIPMT($F195/12,$E195*12,$D195,AT196,AU196,0)</f>
        <v>#NUM!</v>
      </c>
      <c r="CX197" s="27" t="e">
        <f>-CUMIPMT($F195/12,$E195*12,$D195,AV196,AW196,0)</f>
        <v>#NUM!</v>
      </c>
      <c r="CZ197" s="27" t="e">
        <f>-CUMIPMT($F195/12,$E195*12,$D195,AX196,AY196,0)</f>
        <v>#NUM!</v>
      </c>
      <c r="DB197" s="27" t="e">
        <f>-CUMIPMT($F195/12,$E195*12,$D195,AZ196,BA196,0)</f>
        <v>#NUM!</v>
      </c>
      <c r="DD197" s="27" t="e">
        <f>-CUMIPMT($F195/12,$E195*12,$D195,BB196,BC196,0)</f>
        <v>#NUM!</v>
      </c>
      <c r="DF197" s="27" t="e">
        <f>-CUMIPMT($F195/12,$E195*12,$D195,BD196,BE196,0)</f>
        <v>#NUM!</v>
      </c>
      <c r="DH197" s="27" t="e">
        <f>-CUMIPMT($F195/12,$E195*12,$D195,BF196,BG196,0)</f>
        <v>#NUM!</v>
      </c>
      <c r="DI197" s="27" t="s">
        <v>784</v>
      </c>
      <c r="DJ197" s="27" t="s">
        <v>785</v>
      </c>
      <c r="DK197" s="27">
        <f>+F197</f>
        <v>0</v>
      </c>
      <c r="DL197" s="27" t="e">
        <f>+DK197-I197</f>
        <v>#NUM!</v>
      </c>
      <c r="DN197" s="27" t="e">
        <f>+DL197-K197</f>
        <v>#NUM!</v>
      </c>
      <c r="DP197" s="27" t="e">
        <f>+DN197-M197</f>
        <v>#NUM!</v>
      </c>
      <c r="DR197" s="27" t="e">
        <f>+DP197-O197</f>
        <v>#NUM!</v>
      </c>
      <c r="DT197" s="27" t="e">
        <f>+DR197-Q197</f>
        <v>#NUM!</v>
      </c>
      <c r="DV197" s="27" t="e">
        <f>+DT197-S197</f>
        <v>#NUM!</v>
      </c>
      <c r="DX197" s="27" t="e">
        <f>+DV197-U197</f>
        <v>#NUM!</v>
      </c>
      <c r="DZ197" s="27" t="e">
        <f>+DX197-W197</f>
        <v>#NUM!</v>
      </c>
      <c r="EB197" s="27" t="e">
        <f>+DZ197-Y197</f>
        <v>#NUM!</v>
      </c>
      <c r="ED197" s="27" t="e">
        <f>+EB197-AA197</f>
        <v>#NUM!</v>
      </c>
      <c r="EF197" s="27" t="e">
        <f>+ED197-AC197</f>
        <v>#NUM!</v>
      </c>
      <c r="EH197" s="27" t="e">
        <f>+EF197-AE197</f>
        <v>#NUM!</v>
      </c>
      <c r="EJ197" s="27" t="e">
        <f>+EH197-AG197</f>
        <v>#NUM!</v>
      </c>
      <c r="EL197" s="27" t="e">
        <f>+EJ197-AI197</f>
        <v>#NUM!</v>
      </c>
      <c r="EN197" s="27" t="e">
        <f>+EL197-AK197</f>
        <v>#NUM!</v>
      </c>
      <c r="EP197" s="27" t="e">
        <f>+EN197-AM197</f>
        <v>#NUM!</v>
      </c>
      <c r="ER197" s="27" t="e">
        <f>+EP197-AO197</f>
        <v>#NUM!</v>
      </c>
      <c r="ET197" s="27" t="e">
        <f>+ER197-AQ197</f>
        <v>#NUM!</v>
      </c>
      <c r="EV197" s="27" t="e">
        <f>+ET197-AS197</f>
        <v>#NUM!</v>
      </c>
      <c r="EX197" s="27" t="e">
        <f>+EV197-AU197</f>
        <v>#NUM!</v>
      </c>
      <c r="EZ197" s="27" t="e">
        <f>+EX197-AW197</f>
        <v>#NUM!</v>
      </c>
      <c r="FB197" s="27" t="e">
        <f>+EZ197-AY197</f>
        <v>#NUM!</v>
      </c>
      <c r="FD197" s="27" t="e">
        <f>+FB197-BA197</f>
        <v>#NUM!</v>
      </c>
      <c r="FF197" s="27" t="e">
        <f>+FD197-BC197</f>
        <v>#NUM!</v>
      </c>
      <c r="FH197" s="27" t="e">
        <f>+FF197-BE197</f>
        <v>#NUM!</v>
      </c>
      <c r="FJ197" s="61" t="e">
        <f>+FH197-BG197</f>
        <v>#NUM!</v>
      </c>
    </row>
    <row r="198" spans="2:166" s="27" customFormat="1" ht="11.25" hidden="1" x14ac:dyDescent="0.2">
      <c r="B198" s="60"/>
      <c r="E198" s="27">
        <f>+F197+F198</f>
        <v>0</v>
      </c>
      <c r="F198" s="27">
        <f>SUMIF(BI197:DH197,"&gt;0")</f>
        <v>0</v>
      </c>
      <c r="I198" s="27">
        <f>IF(ISERROR(I197)=FALSE,I197,0)</f>
        <v>0</v>
      </c>
      <c r="K198" s="27">
        <f>IF(ISERROR(K197)=FALSE,K197,0)</f>
        <v>0</v>
      </c>
      <c r="M198" s="27">
        <f>IF(ISERROR(M197)=FALSE,M197,0)</f>
        <v>0</v>
      </c>
      <c r="O198" s="27">
        <f>IF(ISERROR(O197)=FALSE,O197,0)</f>
        <v>0</v>
      </c>
      <c r="Q198" s="27">
        <f>IF(ISERROR(Q197)=FALSE,Q197,0)</f>
        <v>0</v>
      </c>
      <c r="S198" s="27">
        <f>IF(ISERROR(S197)=FALSE,S197,0)</f>
        <v>0</v>
      </c>
      <c r="U198" s="27">
        <f>IF(ISERROR(U197)=FALSE,U197,0)</f>
        <v>0</v>
      </c>
      <c r="W198" s="27">
        <f>IF(ISERROR(W197)=FALSE,W197,0)</f>
        <v>0</v>
      </c>
      <c r="Y198" s="27">
        <f>IF(ISERROR(Y197)=FALSE,Y197,0)</f>
        <v>0</v>
      </c>
      <c r="AA198" s="27">
        <f>IF(ISERROR(AA197)=FALSE,AA197,0)</f>
        <v>0</v>
      </c>
      <c r="AC198" s="27">
        <f>IF(ISERROR(AC197)=FALSE,AC197,0)</f>
        <v>0</v>
      </c>
      <c r="AE198" s="27">
        <f>IF(ISERROR(AE197)=FALSE,AE197,0)</f>
        <v>0</v>
      </c>
      <c r="AG198" s="27">
        <f>IF(ISERROR(AG197)=FALSE,AG197,0)</f>
        <v>0</v>
      </c>
      <c r="AI198" s="27">
        <f>IF(ISERROR(AI197)=FALSE,AI197,0)</f>
        <v>0</v>
      </c>
      <c r="AK198" s="27">
        <f>IF(ISERROR(AK197)=FALSE,AK197,0)</f>
        <v>0</v>
      </c>
      <c r="AM198" s="27">
        <f>IF(ISERROR(AM197)=FALSE,AM197,0)</f>
        <v>0</v>
      </c>
      <c r="AO198" s="27">
        <f>IF(ISERROR(AO197)=FALSE,AO197,0)</f>
        <v>0</v>
      </c>
      <c r="AQ198" s="27">
        <f>IF(ISERROR(AQ197)=FALSE,AQ197,0)</f>
        <v>0</v>
      </c>
      <c r="AS198" s="27">
        <f>IF(ISERROR(AS197)=FALSE,AS197,0)</f>
        <v>0</v>
      </c>
      <c r="AU198" s="27">
        <f>IF(ISERROR(AU197)=FALSE,AU197,0)</f>
        <v>0</v>
      </c>
      <c r="AW198" s="27">
        <f>IF(ISERROR(AW197)=FALSE,AW197,0)</f>
        <v>0</v>
      </c>
      <c r="AY198" s="27">
        <f>IF(ISERROR(AY197)=FALSE,AY197,0)</f>
        <v>0</v>
      </c>
      <c r="BA198" s="27">
        <f>IF(ISERROR(BA197)=FALSE,BA197,0)</f>
        <v>0</v>
      </c>
      <c r="BC198" s="27">
        <f>IF(ISERROR(BC197)=FALSE,BC197,0)</f>
        <v>0</v>
      </c>
      <c r="BD198" s="61"/>
      <c r="BE198" s="27">
        <f>IF(ISERROR(BE197)=FALSE,BE197,0)</f>
        <v>0</v>
      </c>
      <c r="BG198" s="27">
        <f>IF(ISERROR(BG197)=FALSE,BG197,0)</f>
        <v>0</v>
      </c>
      <c r="FJ198" s="61"/>
    </row>
    <row r="199" spans="2:166" s="27" customFormat="1" ht="11.25" hidden="1" x14ac:dyDescent="0.2">
      <c r="B199" s="60"/>
      <c r="D199" s="27" t="s">
        <v>630</v>
      </c>
      <c r="E199" s="27">
        <f>IF(E195=0,0,E198/(E195*12))</f>
        <v>0</v>
      </c>
      <c r="BD199" s="61"/>
      <c r="FJ199" s="61"/>
    </row>
    <row r="200" spans="2:166" s="27" customFormat="1" ht="11.25" hidden="1" x14ac:dyDescent="0.2">
      <c r="B200" s="60"/>
      <c r="C200" s="27">
        <f>C120</f>
        <v>0</v>
      </c>
      <c r="D200" s="27">
        <f>D120</f>
        <v>0</v>
      </c>
      <c r="E200" s="27">
        <f>E120</f>
        <v>0</v>
      </c>
      <c r="F200" s="27">
        <f>F120</f>
        <v>0</v>
      </c>
      <c r="G200" s="27">
        <f>+$E200*12</f>
        <v>0</v>
      </c>
      <c r="H200" s="27">
        <f>SUMIF($W120:$AH120,$D120,$W$108:$AH$108)</f>
        <v>78</v>
      </c>
      <c r="I200" s="27">
        <f>13-H200</f>
        <v>-65</v>
      </c>
      <c r="J200" s="27">
        <f>IF(I200+1&lt;=$G200,I200+1,($G200-I200)+I200)</f>
        <v>-64</v>
      </c>
      <c r="K200" s="27">
        <f>IF(J200+11&lt;=$G200,J200+11,($G200-J200)+J200)</f>
        <v>-53</v>
      </c>
      <c r="L200" s="27">
        <f>IF(K200+1&lt;=$G200,K200+1,($G200-K200)+K200)</f>
        <v>-52</v>
      </c>
      <c r="M200" s="27">
        <f>IF(L200+11&lt;=$G200,L200+11,($G200-L200)+L200)</f>
        <v>-41</v>
      </c>
      <c r="N200" s="27">
        <f>IF(M200+1&lt;=$G200,M200+1,($G200-M200)+M200)</f>
        <v>-40</v>
      </c>
      <c r="O200" s="27">
        <f>IF(N200+11&lt;=$G200,N200+11,($G200-N200)+N200)</f>
        <v>-29</v>
      </c>
      <c r="P200" s="27">
        <f>IF(O200+1&lt;=$G200,O200+1,($G200-O200)+O200)</f>
        <v>-28</v>
      </c>
      <c r="Q200" s="27">
        <f>IF(P200+11&lt;=$G200,P200+11,($G200-P200)+P200)</f>
        <v>-17</v>
      </c>
      <c r="R200" s="27">
        <f>IF(Q200+1&lt;=$G200,Q200+1,($G200-Q200)+Q200)</f>
        <v>-16</v>
      </c>
      <c r="S200" s="27">
        <f>IF(R200+11&lt;=$G200,R200+11,($G200-R200)+R200)</f>
        <v>-5</v>
      </c>
      <c r="T200" s="27">
        <f>IF(S200+1&lt;=$G200,S200+1,($G200-S200)+S200)</f>
        <v>-4</v>
      </c>
      <c r="U200" s="27">
        <f>IF(T200+11&lt;=$G200,T200+11,($G200-T200)+T200)</f>
        <v>0</v>
      </c>
      <c r="V200" s="27">
        <f>IF(U200+1&lt;=$G200,U200+1,($G200-U200)+U200)</f>
        <v>0</v>
      </c>
      <c r="W200" s="27">
        <f>IF(V200+11&lt;=$G200,V200+11,($G200-V200)+V200)</f>
        <v>0</v>
      </c>
      <c r="X200" s="27">
        <f>IF(W200+1&lt;=$G200,W200+1,($G200-W200)+W200)</f>
        <v>0</v>
      </c>
      <c r="Y200" s="27">
        <f>IF(X200+11&lt;=$G200,X200+11,($G200-X200)+X200)</f>
        <v>0</v>
      </c>
      <c r="Z200" s="27">
        <f>IF(Y200+1&lt;=$G200,Y200+1,($G200-Y200)+Y200)</f>
        <v>0</v>
      </c>
      <c r="AA200" s="27">
        <f>IF(Z200+11&lt;=$G200,Z200+11,($G200-Z200)+Z200)</f>
        <v>0</v>
      </c>
      <c r="AB200" s="27">
        <f>IF(AA200+1&lt;=$G200,AA200+1,($G200-AA200)+AA200)</f>
        <v>0</v>
      </c>
      <c r="AC200" s="27">
        <f>IF(AB200+11&lt;=$G200,AB200+11,($G200-AB200)+AB200)</f>
        <v>0</v>
      </c>
      <c r="AD200" s="27">
        <f>IF(AC200+1&lt;=$G200,AC200+1,($G200-AC200)+AC200)</f>
        <v>0</v>
      </c>
      <c r="AE200" s="27">
        <f>IF(AD200+11&lt;=$G200,AD200+11,($G200-AD200)+AD200)</f>
        <v>0</v>
      </c>
      <c r="AF200" s="27">
        <f>IF(AE200+1&lt;=$G200,AE200+1,($G200-AE200)+AE200)</f>
        <v>0</v>
      </c>
      <c r="AG200" s="27">
        <f>IF(AF200+11&lt;=$G200,AF200+11,($G200-AF200)+AF200)</f>
        <v>0</v>
      </c>
      <c r="AH200" s="27">
        <f>IF(AG200+1&lt;=$G200,AG200+1,($G200-AG200)+AG200)</f>
        <v>0</v>
      </c>
      <c r="AI200" s="27">
        <f>IF(AH200+11&lt;=$G200,AH200+11,($G200-AH200)+AH200)</f>
        <v>0</v>
      </c>
      <c r="AJ200" s="27">
        <f>IF(AI200+1&lt;=$G200,AI200+1,($G200-AI200)+AI200)</f>
        <v>0</v>
      </c>
      <c r="AK200" s="27">
        <f>IF(AJ200+11&lt;=$G200,AJ200+11,($G200-AJ200)+AJ200)</f>
        <v>0</v>
      </c>
      <c r="AL200" s="27">
        <f>IF(AK200+1&lt;=$G200,AK200+1,($G200-AK200)+AK200)</f>
        <v>0</v>
      </c>
      <c r="AM200" s="27">
        <f>IF(AL200+11&lt;=$G200,AL200+11,($G200-AL200)+AL200)</f>
        <v>0</v>
      </c>
      <c r="AN200" s="27">
        <f>IF(AM200+1&lt;=$G200,AM200+1,($G200-AM200)+AM200)</f>
        <v>0</v>
      </c>
      <c r="AO200" s="27">
        <f>IF(AN200+11&lt;=$G200,AN200+11,($G200-AN200)+AN200)</f>
        <v>0</v>
      </c>
      <c r="AP200" s="27">
        <f>IF(AO200+1&lt;=$G200,AO200+1,($G200-AO200)+AO200)</f>
        <v>0</v>
      </c>
      <c r="AQ200" s="27">
        <f>IF(AP200+11&lt;=$G200,AP200+11,($G200-AP200)+AP200)</f>
        <v>0</v>
      </c>
      <c r="AR200" s="27">
        <f>IF(AQ200+1&lt;=$G200,AQ200+1,($G200-AQ200)+AQ200)</f>
        <v>0</v>
      </c>
      <c r="AS200" s="27">
        <f>IF(AR200+11&lt;=$G200,AR200+11,($G200-AR200)+AR200)</f>
        <v>0</v>
      </c>
      <c r="AT200" s="27">
        <f>IF(AS200+1&lt;=$G200,AS200+1,($G200-AS200)+AS200)</f>
        <v>0</v>
      </c>
      <c r="AU200" s="27">
        <f>IF(AT200+11&lt;=$G200,AT200+11,($G200-AT200)+AT200)</f>
        <v>0</v>
      </c>
      <c r="AV200" s="27">
        <f>IF(AU200+1&lt;=$G200,AU200+1,($G200-AU200)+AU200)</f>
        <v>0</v>
      </c>
      <c r="AW200" s="27">
        <f>IF(AV200+11&lt;=$G200,AV200+11,($G200-AV200)+AV200)</f>
        <v>0</v>
      </c>
      <c r="AX200" s="27">
        <f>IF(AW200+1&lt;=$G200,AW200+1,($G200-AW200)+AW200)</f>
        <v>0</v>
      </c>
      <c r="AY200" s="27">
        <f>IF(AX200+11&lt;=$G200,AX200+11,($G200-AX200)+AX200)</f>
        <v>0</v>
      </c>
      <c r="AZ200" s="27">
        <f>IF(AY200+1&lt;=$G200,AY200+1,($G200-AY200)+AY200)</f>
        <v>0</v>
      </c>
      <c r="BA200" s="27">
        <f>IF(AZ200+35&lt;=$G200,AZ200+35,($G200-AZ200)+AZ200)</f>
        <v>0</v>
      </c>
      <c r="BB200" s="27">
        <f>IF(BA200+1&lt;=$G200,BA200+1,($G200-BA200)+BA200)</f>
        <v>0</v>
      </c>
      <c r="BC200" s="27">
        <f>IF(BB200+59&lt;=$G200,BB200+59,($G200-BB200)+BB200)</f>
        <v>0</v>
      </c>
      <c r="BD200" s="61">
        <f>IF(BC200+1&lt;=$G200,BC200+1,($G200-BC200)+BC200)</f>
        <v>0</v>
      </c>
      <c r="BE200" s="27">
        <f>IF(BD200+239&lt;=$G200,BD200+239,($G200-BD200)+BD200)</f>
        <v>0</v>
      </c>
      <c r="BF200" s="27">
        <f>IF(BE200+1&lt;=$G200,BE200+1,($G200-BE200)+BE200)</f>
        <v>0</v>
      </c>
      <c r="BG200" s="27">
        <f>IF(BF200+11&lt;=$G200,BF200+11,($G200-BF200)+BF200)</f>
        <v>0</v>
      </c>
      <c r="FJ200" s="61"/>
    </row>
    <row r="201" spans="2:166" s="27" customFormat="1" ht="11.25" hidden="1" x14ac:dyDescent="0.2">
      <c r="B201" s="60"/>
      <c r="H201" s="27">
        <v>1</v>
      </c>
      <c r="I201" s="27">
        <f>+I200</f>
        <v>-65</v>
      </c>
      <c r="J201" s="27">
        <f>IF(I201=$G200,0,J200)</f>
        <v>-64</v>
      </c>
      <c r="K201" s="27">
        <f>+K200</f>
        <v>-53</v>
      </c>
      <c r="L201" s="27">
        <f>IF(K201=$G200,0,L200)</f>
        <v>-52</v>
      </c>
      <c r="M201" s="27">
        <f>+M200</f>
        <v>-41</v>
      </c>
      <c r="N201" s="27">
        <f>IF(M201=$G200,0,N200)</f>
        <v>-40</v>
      </c>
      <c r="O201" s="27">
        <f>+O200</f>
        <v>-29</v>
      </c>
      <c r="P201" s="27">
        <f>IF(O201=$G200,0,P200)</f>
        <v>-28</v>
      </c>
      <c r="Q201" s="27">
        <f>+Q200</f>
        <v>-17</v>
      </c>
      <c r="R201" s="27">
        <f>IF(Q201=$G200,0,R200)</f>
        <v>-16</v>
      </c>
      <c r="S201" s="27">
        <f>+S200</f>
        <v>-5</v>
      </c>
      <c r="T201" s="27">
        <f>IF(S201=$G200,0,T200)</f>
        <v>-4</v>
      </c>
      <c r="U201" s="27">
        <f>+U200</f>
        <v>0</v>
      </c>
      <c r="V201" s="27">
        <f>IF(U201=$G200,0,V200)</f>
        <v>0</v>
      </c>
      <c r="W201" s="27">
        <f>+W200</f>
        <v>0</v>
      </c>
      <c r="X201" s="27">
        <f>IF(W201=$G200,0,X200)</f>
        <v>0</v>
      </c>
      <c r="Y201" s="27">
        <f>+Y200</f>
        <v>0</v>
      </c>
      <c r="Z201" s="27">
        <f>IF(Y201=$G200,0,Z200)</f>
        <v>0</v>
      </c>
      <c r="AA201" s="27">
        <f>+AA200</f>
        <v>0</v>
      </c>
      <c r="AB201" s="27">
        <f>IF(AA201=$G200,0,AB200)</f>
        <v>0</v>
      </c>
      <c r="AC201" s="27">
        <f>+AC200</f>
        <v>0</v>
      </c>
      <c r="AD201" s="27">
        <f>IF(AC201=$G200,0,AD200)</f>
        <v>0</v>
      </c>
      <c r="AE201" s="27">
        <f>+AE200</f>
        <v>0</v>
      </c>
      <c r="AF201" s="27">
        <f>IF(AE201=$G200,0,AF200)</f>
        <v>0</v>
      </c>
      <c r="AG201" s="27">
        <f>+AG200</f>
        <v>0</v>
      </c>
      <c r="AH201" s="27">
        <f>IF(AG201=$G200,0,AH200)</f>
        <v>0</v>
      </c>
      <c r="AI201" s="27">
        <f>+AI200</f>
        <v>0</v>
      </c>
      <c r="AJ201" s="27">
        <f>IF(AI201=$G200,0,AJ200)</f>
        <v>0</v>
      </c>
      <c r="AK201" s="27">
        <f>+AK200</f>
        <v>0</v>
      </c>
      <c r="AL201" s="27">
        <f>IF(AK201=$G200,0,AL200)</f>
        <v>0</v>
      </c>
      <c r="AM201" s="27">
        <f>+AM200</f>
        <v>0</v>
      </c>
      <c r="AN201" s="27">
        <f>IF(AM201=$G200,0,AN200)</f>
        <v>0</v>
      </c>
      <c r="AO201" s="27">
        <f>+AO200</f>
        <v>0</v>
      </c>
      <c r="AP201" s="27">
        <f>IF(AO201=$G200,0,AP200)</f>
        <v>0</v>
      </c>
      <c r="AQ201" s="27">
        <f>+AQ200</f>
        <v>0</v>
      </c>
      <c r="AR201" s="27">
        <f>IF(AQ201=$G200,0,AR200)</f>
        <v>0</v>
      </c>
      <c r="AS201" s="27">
        <f>+AS200</f>
        <v>0</v>
      </c>
      <c r="AT201" s="27">
        <f>IF(AS201=$G200,0,AT200)</f>
        <v>0</v>
      </c>
      <c r="AU201" s="27">
        <f>+AU200</f>
        <v>0</v>
      </c>
      <c r="AV201" s="27">
        <f>IF(AU201=$G200,0,AV200)</f>
        <v>0</v>
      </c>
      <c r="AW201" s="27">
        <f>+AW200</f>
        <v>0</v>
      </c>
      <c r="AX201" s="27">
        <f>IF(AW201=$G200,0,AX200)</f>
        <v>0</v>
      </c>
      <c r="AY201" s="27">
        <f>+AY200</f>
        <v>0</v>
      </c>
      <c r="AZ201" s="27">
        <f>IF(AY201=$G200,0,AZ200)</f>
        <v>0</v>
      </c>
      <c r="BA201" s="27">
        <f>+BA200</f>
        <v>0</v>
      </c>
      <c r="BB201" s="27">
        <f>IF(BA201=$G200,0,BB200)</f>
        <v>0</v>
      </c>
      <c r="BC201" s="27">
        <f>+BC200</f>
        <v>0</v>
      </c>
      <c r="BD201" s="61">
        <f>IF(BC201=$G200,0,BD200)</f>
        <v>0</v>
      </c>
      <c r="BE201" s="27">
        <f>+BE200</f>
        <v>0</v>
      </c>
      <c r="BF201" s="27">
        <f>IF(BE201=$G200,0,BF200)</f>
        <v>0</v>
      </c>
      <c r="BG201" s="27">
        <f>+BG200</f>
        <v>0</v>
      </c>
      <c r="FJ201" s="61"/>
    </row>
    <row r="202" spans="2:166" s="27" customFormat="1" ht="11.25" hidden="1" x14ac:dyDescent="0.2">
      <c r="B202" s="60"/>
      <c r="F202" s="27">
        <f>SUMIF(H202:BG202,"&gt;0")</f>
        <v>0</v>
      </c>
      <c r="G202" s="27" t="s">
        <v>632</v>
      </c>
      <c r="I202" s="27" t="e">
        <f>-CUMPRINC($F200/12,$E200*12,$D200,H201,I201,0)</f>
        <v>#NUM!</v>
      </c>
      <c r="K202" s="27" t="e">
        <f>-CUMPRINC($F200/12,$E200*12,$D200,J201,K201,0)</f>
        <v>#NUM!</v>
      </c>
      <c r="M202" s="27" t="e">
        <f>-CUMPRINC($F200/12,$E200*12,$D200,L201,M201,0)</f>
        <v>#NUM!</v>
      </c>
      <c r="O202" s="27" t="e">
        <f>-CUMPRINC($F200/12,$E200*12,$D200,N201,O201,0)</f>
        <v>#NUM!</v>
      </c>
      <c r="Q202" s="27" t="e">
        <f>-CUMPRINC($F200/12,$E200*12,$D200,P201,Q201,0)</f>
        <v>#NUM!</v>
      </c>
      <c r="S202" s="27" t="e">
        <f>-CUMPRINC($F200/12,$E200*12,$D200,R201,S201,0)</f>
        <v>#NUM!</v>
      </c>
      <c r="U202" s="27" t="e">
        <f>-CUMPRINC($F200/12,$E200*12,$D200,T201,U201,0)</f>
        <v>#NUM!</v>
      </c>
      <c r="W202" s="27" t="e">
        <f>-CUMPRINC($F200/12,$E200*12,$D200,V201,W201,0)</f>
        <v>#NUM!</v>
      </c>
      <c r="Y202" s="27" t="e">
        <f>-CUMPRINC($F200/12,$E200*12,$D200,X201,Y201,0)</f>
        <v>#NUM!</v>
      </c>
      <c r="AA202" s="27" t="e">
        <f>-CUMPRINC($F200/12,$E200*12,$D200,Z201,AA201,0)</f>
        <v>#NUM!</v>
      </c>
      <c r="AC202" s="27" t="e">
        <f>-CUMPRINC($F200/12,$E200*12,$D200,AB201,AC201,0)</f>
        <v>#NUM!</v>
      </c>
      <c r="AE202" s="27" t="e">
        <f>-CUMPRINC($F200/12,$E200*12,$D200,AD201,AE201,0)</f>
        <v>#NUM!</v>
      </c>
      <c r="AG202" s="27" t="e">
        <f>-CUMPRINC($F200/12,$E200*12,$D200,AF201,AG201,0)</f>
        <v>#NUM!</v>
      </c>
      <c r="AI202" s="27" t="e">
        <f>-CUMPRINC($F200/12,$E200*12,$D200,AH201,AI201,0)</f>
        <v>#NUM!</v>
      </c>
      <c r="AK202" s="27" t="e">
        <f>-CUMPRINC($F200/12,$E200*12,$D200,AJ201,AK201,0)</f>
        <v>#NUM!</v>
      </c>
      <c r="AM202" s="27" t="e">
        <f>-CUMPRINC($F200/12,$E200*12,$D200,AL201,AM201,0)</f>
        <v>#NUM!</v>
      </c>
      <c r="AO202" s="27" t="e">
        <f>-CUMPRINC($F200/12,$E200*12,$D200,AN201,AO201,0)</f>
        <v>#NUM!</v>
      </c>
      <c r="AQ202" s="27" t="e">
        <f>-CUMPRINC($F200/12,$E200*12,$D200,AP201,AQ201,0)</f>
        <v>#NUM!</v>
      </c>
      <c r="AS202" s="27" t="e">
        <f>-CUMPRINC($F200/12,$E200*12,$D200,AR201,AS201,0)</f>
        <v>#NUM!</v>
      </c>
      <c r="AU202" s="27" t="e">
        <f>-CUMPRINC($F200/12,$E200*12,$D200,AT201,AU201,0)</f>
        <v>#NUM!</v>
      </c>
      <c r="AW202" s="27" t="e">
        <f>-CUMPRINC($F200/12,$E200*12,$D200,AV201,AW201,0)</f>
        <v>#NUM!</v>
      </c>
      <c r="AY202" s="27" t="e">
        <f>-CUMPRINC($F200/12,$E200*12,$D200,AX201,AY201,0)</f>
        <v>#NUM!</v>
      </c>
      <c r="BA202" s="27" t="e">
        <f>-CUMPRINC($F200/12,$E200*12,$D200,AZ201,BA201,0)</f>
        <v>#NUM!</v>
      </c>
      <c r="BC202" s="27" t="e">
        <f>-CUMPRINC($F200/12,$E200*12,$D200,BB201,BC201,0)</f>
        <v>#NUM!</v>
      </c>
      <c r="BD202" s="61"/>
      <c r="BE202" s="27" t="e">
        <f>-CUMPRINC($F200/12,$E200*12,$D200,BD201,BE201,0)</f>
        <v>#NUM!</v>
      </c>
      <c r="BG202" s="27" t="e">
        <f>-CUMPRINC($F200/12,$E200*12,$D200,BF201,BG201,0)</f>
        <v>#NUM!</v>
      </c>
      <c r="BH202" s="27" t="s">
        <v>783</v>
      </c>
      <c r="BJ202" s="27" t="e">
        <f>-CUMIPMT($F200/12,$E200*12,$D200,H201,I201,0)</f>
        <v>#NUM!</v>
      </c>
      <c r="BL202" s="27" t="e">
        <f>-CUMIPMT($F200/12,$E200*12,$D200,J201,K201,0)</f>
        <v>#NUM!</v>
      </c>
      <c r="BN202" s="27" t="e">
        <f>-CUMIPMT($F200/12,$E200*12,$D200,L201,M201,0)</f>
        <v>#NUM!</v>
      </c>
      <c r="BP202" s="27" t="e">
        <f>-CUMIPMT($F200/12,$E200*12,$D200,N201,O201,0)</f>
        <v>#NUM!</v>
      </c>
      <c r="BR202" s="27" t="e">
        <f>-CUMIPMT($F200/12,$E200*12,$D200,P201,Q201,0)</f>
        <v>#NUM!</v>
      </c>
      <c r="BT202" s="27" t="e">
        <f>-CUMIPMT($F200/12,$E200*12,$D200,R201,S201,0)</f>
        <v>#NUM!</v>
      </c>
      <c r="BV202" s="27" t="e">
        <f>-CUMIPMT($F200/12,$E200*12,$D200,T201,U201,0)</f>
        <v>#NUM!</v>
      </c>
      <c r="BX202" s="27" t="e">
        <f>-CUMIPMT($F200/12,$E200*12,$D200,V201,W201,0)</f>
        <v>#NUM!</v>
      </c>
      <c r="BZ202" s="27" t="e">
        <f>-CUMIPMT($F200/12,$E200*12,$D200,X201,Y201,0)</f>
        <v>#NUM!</v>
      </c>
      <c r="CB202" s="27" t="e">
        <f>-CUMIPMT($F200/12,$E200*12,$D200,Z201,AA201,0)</f>
        <v>#NUM!</v>
      </c>
      <c r="CD202" s="27" t="e">
        <f>-CUMIPMT($F200/12,$E200*12,$D200,AB201,AC201,0)</f>
        <v>#NUM!</v>
      </c>
      <c r="CF202" s="27" t="e">
        <f>-CUMIPMT($F200/12,$E200*12,$D200,AD201,AE201,0)</f>
        <v>#NUM!</v>
      </c>
      <c r="CH202" s="27" t="e">
        <f>-CUMIPMT($F200/12,$E200*12,$D200,AF201,AG201,0)</f>
        <v>#NUM!</v>
      </c>
      <c r="CJ202" s="27" t="e">
        <f>-CUMIPMT($F200/12,$E200*12,$D200,AH201,AI201,0)</f>
        <v>#NUM!</v>
      </c>
      <c r="CL202" s="27" t="e">
        <f>-CUMIPMT($F200/12,$E200*12,$D200,AJ201,AK201,0)</f>
        <v>#NUM!</v>
      </c>
      <c r="CN202" s="27" t="e">
        <f>-CUMIPMT($F200/12,$E200*12,$D200,AL201,AM201,0)</f>
        <v>#NUM!</v>
      </c>
      <c r="CP202" s="27" t="e">
        <f>-CUMIPMT($F200/12,$E200*12,$D200,AN201,AO201,0)</f>
        <v>#NUM!</v>
      </c>
      <c r="CR202" s="27" t="e">
        <f>-CUMIPMT($F200/12,$E200*12,$D200,AP201,AQ201,0)</f>
        <v>#NUM!</v>
      </c>
      <c r="CT202" s="27" t="e">
        <f>-CUMIPMT($F200/12,$E200*12,$D200,AR201,AS201,0)</f>
        <v>#NUM!</v>
      </c>
      <c r="CV202" s="27" t="e">
        <f>-CUMIPMT($F200/12,$E200*12,$D200,AT201,AU201,0)</f>
        <v>#NUM!</v>
      </c>
      <c r="CX202" s="27" t="e">
        <f>-CUMIPMT($F200/12,$E200*12,$D200,AV201,AW201,0)</f>
        <v>#NUM!</v>
      </c>
      <c r="CZ202" s="27" t="e">
        <f>-CUMIPMT($F200/12,$E200*12,$D200,AX201,AY201,0)</f>
        <v>#NUM!</v>
      </c>
      <c r="DB202" s="27" t="e">
        <f>-CUMIPMT($F200/12,$E200*12,$D200,AZ201,BA201,0)</f>
        <v>#NUM!</v>
      </c>
      <c r="DD202" s="27" t="e">
        <f>-CUMIPMT($F200/12,$E200*12,$D200,BB201,BC201,0)</f>
        <v>#NUM!</v>
      </c>
      <c r="DF202" s="27" t="e">
        <f>-CUMIPMT($F200/12,$E200*12,$D200,BD201,BE201,0)</f>
        <v>#NUM!</v>
      </c>
      <c r="DH202" s="27" t="e">
        <f>-CUMIPMT($F200/12,$E200*12,$D200,BF201,BG201,0)</f>
        <v>#NUM!</v>
      </c>
      <c r="DI202" s="27" t="s">
        <v>784</v>
      </c>
      <c r="DJ202" s="27" t="s">
        <v>785</v>
      </c>
      <c r="DK202" s="27">
        <f>+F202</f>
        <v>0</v>
      </c>
      <c r="DL202" s="27" t="e">
        <f>+DK202-I202</f>
        <v>#NUM!</v>
      </c>
      <c r="DN202" s="27" t="e">
        <f>+DL202-K202</f>
        <v>#NUM!</v>
      </c>
      <c r="DP202" s="27" t="e">
        <f>+DN202-M202</f>
        <v>#NUM!</v>
      </c>
      <c r="DR202" s="27" t="e">
        <f>+DP202-O202</f>
        <v>#NUM!</v>
      </c>
      <c r="DT202" s="27" t="e">
        <f>+DR202-Q202</f>
        <v>#NUM!</v>
      </c>
      <c r="DV202" s="27" t="e">
        <f>+DT202-S202</f>
        <v>#NUM!</v>
      </c>
      <c r="DX202" s="27" t="e">
        <f>+DV202-U202</f>
        <v>#NUM!</v>
      </c>
      <c r="DZ202" s="27" t="e">
        <f>+DX202-W202</f>
        <v>#NUM!</v>
      </c>
      <c r="EB202" s="27" t="e">
        <f>+DZ202-Y202</f>
        <v>#NUM!</v>
      </c>
      <c r="ED202" s="27" t="e">
        <f>+EB202-AA202</f>
        <v>#NUM!</v>
      </c>
      <c r="EF202" s="27" t="e">
        <f>+ED202-AC202</f>
        <v>#NUM!</v>
      </c>
      <c r="EH202" s="27" t="e">
        <f>+EF202-AE202</f>
        <v>#NUM!</v>
      </c>
      <c r="EJ202" s="27" t="e">
        <f>+EH202-AG202</f>
        <v>#NUM!</v>
      </c>
      <c r="EL202" s="27" t="e">
        <f>+EJ202-AI202</f>
        <v>#NUM!</v>
      </c>
      <c r="EN202" s="27" t="e">
        <f>+EL202-AK202</f>
        <v>#NUM!</v>
      </c>
      <c r="EP202" s="27" t="e">
        <f>+EN202-AM202</f>
        <v>#NUM!</v>
      </c>
      <c r="ER202" s="27" t="e">
        <f>+EP202-AO202</f>
        <v>#NUM!</v>
      </c>
      <c r="ET202" s="27" t="e">
        <f>+ER202-AQ202</f>
        <v>#NUM!</v>
      </c>
      <c r="EV202" s="27" t="e">
        <f>+ET202-AS202</f>
        <v>#NUM!</v>
      </c>
      <c r="EX202" s="27" t="e">
        <f>+EV202-AU202</f>
        <v>#NUM!</v>
      </c>
      <c r="EZ202" s="27" t="e">
        <f>+EX202-AW202</f>
        <v>#NUM!</v>
      </c>
      <c r="FB202" s="27" t="e">
        <f>+EZ202-AY202</f>
        <v>#NUM!</v>
      </c>
      <c r="FD202" s="27" t="e">
        <f>+FB202-BA202</f>
        <v>#NUM!</v>
      </c>
      <c r="FF202" s="27" t="e">
        <f>+FD202-BC202</f>
        <v>#NUM!</v>
      </c>
      <c r="FH202" s="27" t="e">
        <f>+FF202-BE202</f>
        <v>#NUM!</v>
      </c>
      <c r="FJ202" s="61" t="e">
        <f>+FH202-BG202</f>
        <v>#NUM!</v>
      </c>
    </row>
    <row r="203" spans="2:166" s="27" customFormat="1" ht="11.25" hidden="1" x14ac:dyDescent="0.2">
      <c r="B203" s="60"/>
      <c r="E203" s="27">
        <f>+F202+F203</f>
        <v>0</v>
      </c>
      <c r="F203" s="27">
        <f>SUMIF(BI202:DH202,"&gt;0")</f>
        <v>0</v>
      </c>
      <c r="I203" s="27">
        <f>IF(ISERROR(I202)=FALSE,I202,0)</f>
        <v>0</v>
      </c>
      <c r="K203" s="27">
        <f>IF(ISERROR(K202)=FALSE,K202,0)</f>
        <v>0</v>
      </c>
      <c r="M203" s="27">
        <f>IF(ISERROR(M202)=FALSE,M202,0)</f>
        <v>0</v>
      </c>
      <c r="O203" s="27">
        <f>IF(ISERROR(O202)=FALSE,O202,0)</f>
        <v>0</v>
      </c>
      <c r="Q203" s="27">
        <f>IF(ISERROR(Q202)=FALSE,Q202,0)</f>
        <v>0</v>
      </c>
      <c r="S203" s="27">
        <f>IF(ISERROR(S202)=FALSE,S202,0)</f>
        <v>0</v>
      </c>
      <c r="U203" s="27">
        <f>IF(ISERROR(U202)=FALSE,U202,0)</f>
        <v>0</v>
      </c>
      <c r="W203" s="27">
        <f>IF(ISERROR(W202)=FALSE,W202,0)</f>
        <v>0</v>
      </c>
      <c r="Y203" s="27">
        <f>IF(ISERROR(Y202)=FALSE,Y202,0)</f>
        <v>0</v>
      </c>
      <c r="AA203" s="27">
        <f>IF(ISERROR(AA202)=FALSE,AA202,0)</f>
        <v>0</v>
      </c>
      <c r="AC203" s="27">
        <f>IF(ISERROR(AC202)=FALSE,AC202,0)</f>
        <v>0</v>
      </c>
      <c r="AE203" s="27">
        <f>IF(ISERROR(AE202)=FALSE,AE202,0)</f>
        <v>0</v>
      </c>
      <c r="AG203" s="27">
        <f>IF(ISERROR(AG202)=FALSE,AG202,0)</f>
        <v>0</v>
      </c>
      <c r="AI203" s="27">
        <f>IF(ISERROR(AI202)=FALSE,AI202,0)</f>
        <v>0</v>
      </c>
      <c r="AK203" s="27">
        <f>IF(ISERROR(AK202)=FALSE,AK202,0)</f>
        <v>0</v>
      </c>
      <c r="AM203" s="27">
        <f>IF(ISERROR(AM202)=FALSE,AM202,0)</f>
        <v>0</v>
      </c>
      <c r="AO203" s="27">
        <f>IF(ISERROR(AO202)=FALSE,AO202,0)</f>
        <v>0</v>
      </c>
      <c r="AQ203" s="27">
        <f>IF(ISERROR(AQ202)=FALSE,AQ202,0)</f>
        <v>0</v>
      </c>
      <c r="AS203" s="27">
        <f>IF(ISERROR(AS202)=FALSE,AS202,0)</f>
        <v>0</v>
      </c>
      <c r="AU203" s="27">
        <f>IF(ISERROR(AU202)=FALSE,AU202,0)</f>
        <v>0</v>
      </c>
      <c r="AW203" s="27">
        <f>IF(ISERROR(AW202)=FALSE,AW202,0)</f>
        <v>0</v>
      </c>
      <c r="AY203" s="27">
        <f>IF(ISERROR(AY202)=FALSE,AY202,0)</f>
        <v>0</v>
      </c>
      <c r="BA203" s="27">
        <f>IF(ISERROR(BA202)=FALSE,BA202,0)</f>
        <v>0</v>
      </c>
      <c r="BC203" s="27">
        <f>IF(ISERROR(BC202)=FALSE,BC202,0)</f>
        <v>0</v>
      </c>
      <c r="BD203" s="61"/>
      <c r="BE203" s="27">
        <f>IF(ISERROR(BE202)=FALSE,BE202,0)</f>
        <v>0</v>
      </c>
      <c r="BG203" s="27">
        <f>IF(ISERROR(BG202)=FALSE,BG202,0)</f>
        <v>0</v>
      </c>
      <c r="FJ203" s="61"/>
    </row>
    <row r="204" spans="2:166" s="27" customFormat="1" ht="11.25" hidden="1" x14ac:dyDescent="0.2">
      <c r="B204" s="60"/>
      <c r="D204" s="27" t="s">
        <v>630</v>
      </c>
      <c r="E204" s="27">
        <f>IF(E200=0,0,E203/(E200*12))</f>
        <v>0</v>
      </c>
      <c r="BD204" s="61"/>
      <c r="FJ204" s="61"/>
    </row>
    <row r="205" spans="2:166" s="27" customFormat="1" ht="11.25" hidden="1" x14ac:dyDescent="0.2">
      <c r="B205" s="60"/>
      <c r="C205" s="27">
        <f>C121</f>
        <v>0</v>
      </c>
      <c r="D205" s="27">
        <f>D121</f>
        <v>0</v>
      </c>
      <c r="E205" s="27">
        <f>E121</f>
        <v>0</v>
      </c>
      <c r="F205" s="27">
        <f>F121</f>
        <v>0</v>
      </c>
      <c r="G205" s="27">
        <f>+$E205*12</f>
        <v>0</v>
      </c>
      <c r="H205" s="27">
        <f>SUMIF($W121:$AH121,$D121,$W$108:$AH$108)</f>
        <v>78</v>
      </c>
      <c r="I205" s="27">
        <f>13-H205</f>
        <v>-65</v>
      </c>
      <c r="J205" s="27">
        <f>IF(I205+1&lt;=$G205,I205+1,($G205-I205)+I205)</f>
        <v>-64</v>
      </c>
      <c r="K205" s="27">
        <f>IF(J205+11&lt;=$G205,J205+11,($G205-J205)+J205)</f>
        <v>-53</v>
      </c>
      <c r="L205" s="27">
        <f>IF(K205+1&lt;=$G205,K205+1,($G205-K205)+K205)</f>
        <v>-52</v>
      </c>
      <c r="M205" s="27">
        <f>IF(L205+11&lt;=$G205,L205+11,($G205-L205)+L205)</f>
        <v>-41</v>
      </c>
      <c r="N205" s="27">
        <f>IF(M205+1&lt;=$G205,M205+1,($G205-M205)+M205)</f>
        <v>-40</v>
      </c>
      <c r="O205" s="27">
        <f>IF(N205+11&lt;=$G205,N205+11,($G205-N205)+N205)</f>
        <v>-29</v>
      </c>
      <c r="P205" s="27">
        <f>IF(O205+1&lt;=$G205,O205+1,($G205-O205)+O205)</f>
        <v>-28</v>
      </c>
      <c r="Q205" s="27">
        <f>IF(P205+11&lt;=$G205,P205+11,($G205-P205)+P205)</f>
        <v>-17</v>
      </c>
      <c r="R205" s="27">
        <f>IF(Q205+1&lt;=$G205,Q205+1,($G205-Q205)+Q205)</f>
        <v>-16</v>
      </c>
      <c r="S205" s="27">
        <f>IF(R205+11&lt;=$G205,R205+11,($G205-R205)+R205)</f>
        <v>-5</v>
      </c>
      <c r="T205" s="27">
        <f>IF(S205+1&lt;=$G205,S205+1,($G205-S205)+S205)</f>
        <v>-4</v>
      </c>
      <c r="U205" s="27">
        <f>IF(T205+11&lt;=$G205,T205+11,($G205-T205)+T205)</f>
        <v>0</v>
      </c>
      <c r="V205" s="27">
        <f>IF(U205+1&lt;=$G205,U205+1,($G205-U205)+U205)</f>
        <v>0</v>
      </c>
      <c r="W205" s="27">
        <f>IF(V205+11&lt;=$G205,V205+11,($G205-V205)+V205)</f>
        <v>0</v>
      </c>
      <c r="X205" s="27">
        <f>IF(W205+1&lt;=$G205,W205+1,($G205-W205)+W205)</f>
        <v>0</v>
      </c>
      <c r="Y205" s="27">
        <f>IF(X205+11&lt;=$G205,X205+11,($G205-X205)+X205)</f>
        <v>0</v>
      </c>
      <c r="Z205" s="27">
        <f>IF(Y205+1&lt;=$G205,Y205+1,($G205-Y205)+Y205)</f>
        <v>0</v>
      </c>
      <c r="AA205" s="27">
        <f>IF(Z205+11&lt;=$G205,Z205+11,($G205-Z205)+Z205)</f>
        <v>0</v>
      </c>
      <c r="AB205" s="27">
        <f>IF(AA205+1&lt;=$G205,AA205+1,($G205-AA205)+AA205)</f>
        <v>0</v>
      </c>
      <c r="AC205" s="27">
        <f>IF(AB205+11&lt;=$G205,AB205+11,($G205-AB205)+AB205)</f>
        <v>0</v>
      </c>
      <c r="AD205" s="27">
        <f>IF(AC205+1&lt;=$G205,AC205+1,($G205-AC205)+AC205)</f>
        <v>0</v>
      </c>
      <c r="AE205" s="27">
        <f>IF(AD205+11&lt;=$G205,AD205+11,($G205-AD205)+AD205)</f>
        <v>0</v>
      </c>
      <c r="AF205" s="27">
        <f>IF(AE205+1&lt;=$G205,AE205+1,($G205-AE205)+AE205)</f>
        <v>0</v>
      </c>
      <c r="AG205" s="27">
        <f>IF(AF205+11&lt;=$G205,AF205+11,($G205-AF205)+AF205)</f>
        <v>0</v>
      </c>
      <c r="AH205" s="27">
        <f>IF(AG205+1&lt;=$G205,AG205+1,($G205-AG205)+AG205)</f>
        <v>0</v>
      </c>
      <c r="AI205" s="27">
        <f>IF(AH205+11&lt;=$G205,AH205+11,($G205-AH205)+AH205)</f>
        <v>0</v>
      </c>
      <c r="AJ205" s="27">
        <f>IF(AI205+1&lt;=$G205,AI205+1,($G205-AI205)+AI205)</f>
        <v>0</v>
      </c>
      <c r="AK205" s="27">
        <f>IF(AJ205+11&lt;=$G205,AJ205+11,($G205-AJ205)+AJ205)</f>
        <v>0</v>
      </c>
      <c r="AL205" s="27">
        <f>IF(AK205+1&lt;=$G205,AK205+1,($G205-AK205)+AK205)</f>
        <v>0</v>
      </c>
      <c r="AM205" s="27">
        <f>IF(AL205+11&lt;=$G205,AL205+11,($G205-AL205)+AL205)</f>
        <v>0</v>
      </c>
      <c r="AN205" s="27">
        <f>IF(AM205+1&lt;=$G205,AM205+1,($G205-AM205)+AM205)</f>
        <v>0</v>
      </c>
      <c r="AO205" s="27">
        <f>IF(AN205+11&lt;=$G205,AN205+11,($G205-AN205)+AN205)</f>
        <v>0</v>
      </c>
      <c r="AP205" s="27">
        <f>IF(AO205+1&lt;=$G205,AO205+1,($G205-AO205)+AO205)</f>
        <v>0</v>
      </c>
      <c r="AQ205" s="27">
        <f>IF(AP205+11&lt;=$G205,AP205+11,($G205-AP205)+AP205)</f>
        <v>0</v>
      </c>
      <c r="AR205" s="27">
        <f>IF(AQ205+1&lt;=$G205,AQ205+1,($G205-AQ205)+AQ205)</f>
        <v>0</v>
      </c>
      <c r="AS205" s="27">
        <f>IF(AR205+11&lt;=$G205,AR205+11,($G205-AR205)+AR205)</f>
        <v>0</v>
      </c>
      <c r="AT205" s="27">
        <f>IF(AS205+1&lt;=$G205,AS205+1,($G205-AS205)+AS205)</f>
        <v>0</v>
      </c>
      <c r="AU205" s="27">
        <f>IF(AT205+11&lt;=$G205,AT205+11,($G205-AT205)+AT205)</f>
        <v>0</v>
      </c>
      <c r="AV205" s="27">
        <f>IF(AU205+1&lt;=$G205,AU205+1,($G205-AU205)+AU205)</f>
        <v>0</v>
      </c>
      <c r="AW205" s="27">
        <f>IF(AV205+11&lt;=$G205,AV205+11,($G205-AV205)+AV205)</f>
        <v>0</v>
      </c>
      <c r="AX205" s="27">
        <f>IF(AW205+1&lt;=$G205,AW205+1,($G205-AW205)+AW205)</f>
        <v>0</v>
      </c>
      <c r="AY205" s="27">
        <f>IF(AX205+11&lt;=$G205,AX205+11,($G205-AX205)+AX205)</f>
        <v>0</v>
      </c>
      <c r="AZ205" s="27">
        <f>IF(AY205+1&lt;=$G205,AY205+1,($G205-AY205)+AY205)</f>
        <v>0</v>
      </c>
      <c r="BA205" s="27">
        <f>IF(AZ205+35&lt;=$G205,AZ205+35,($G205-AZ205)+AZ205)</f>
        <v>0</v>
      </c>
      <c r="BB205" s="27">
        <f>IF(BA205+1&lt;=$G205,BA205+1,($G205-BA205)+BA205)</f>
        <v>0</v>
      </c>
      <c r="BC205" s="27">
        <f>IF(BB205+59&lt;=$G205,BB205+59,($G205-BB205)+BB205)</f>
        <v>0</v>
      </c>
      <c r="BD205" s="61">
        <f>IF(BC205+1&lt;=$G205,BC205+1,($G205-BC205)+BC205)</f>
        <v>0</v>
      </c>
      <c r="BE205" s="27">
        <f>IF(BD205+239&lt;=$G205,BD205+239,($G205-BD205)+BD205)</f>
        <v>0</v>
      </c>
      <c r="BF205" s="27">
        <f>IF(BE205+1&lt;=$G205,BE205+1,($G205-BE205)+BE205)</f>
        <v>0</v>
      </c>
      <c r="BG205" s="27">
        <f>IF(BF205+11&lt;=$G205,BF205+11,($G205-BF205)+BF205)</f>
        <v>0</v>
      </c>
      <c r="FJ205" s="61"/>
    </row>
    <row r="206" spans="2:166" s="27" customFormat="1" ht="11.25" hidden="1" x14ac:dyDescent="0.2">
      <c r="B206" s="60"/>
      <c r="H206" s="27">
        <v>1</v>
      </c>
      <c r="I206" s="27">
        <f>+I205</f>
        <v>-65</v>
      </c>
      <c r="J206" s="27">
        <f>IF(I206=$G205,0,J205)</f>
        <v>-64</v>
      </c>
      <c r="K206" s="27">
        <f>+K205</f>
        <v>-53</v>
      </c>
      <c r="L206" s="27">
        <f>IF(K206=$G205,0,L205)</f>
        <v>-52</v>
      </c>
      <c r="M206" s="27">
        <f>+M205</f>
        <v>-41</v>
      </c>
      <c r="N206" s="27">
        <f>IF(M206=$G205,0,N205)</f>
        <v>-40</v>
      </c>
      <c r="O206" s="27">
        <f>+O205</f>
        <v>-29</v>
      </c>
      <c r="P206" s="27">
        <f>IF(O206=$G205,0,P205)</f>
        <v>-28</v>
      </c>
      <c r="Q206" s="27">
        <f>+Q205</f>
        <v>-17</v>
      </c>
      <c r="R206" s="27">
        <f>IF(Q206=$G205,0,R205)</f>
        <v>-16</v>
      </c>
      <c r="S206" s="27">
        <f>+S205</f>
        <v>-5</v>
      </c>
      <c r="T206" s="27">
        <f>IF(S206=$G205,0,T205)</f>
        <v>-4</v>
      </c>
      <c r="U206" s="27">
        <f>+U205</f>
        <v>0</v>
      </c>
      <c r="V206" s="27">
        <f>IF(U206=$G205,0,V205)</f>
        <v>0</v>
      </c>
      <c r="W206" s="27">
        <f>+W205</f>
        <v>0</v>
      </c>
      <c r="X206" s="27">
        <f>IF(W206=$G205,0,X205)</f>
        <v>0</v>
      </c>
      <c r="Y206" s="27">
        <f>+Y205</f>
        <v>0</v>
      </c>
      <c r="Z206" s="27">
        <f>IF(Y206=$G205,0,Z205)</f>
        <v>0</v>
      </c>
      <c r="AA206" s="27">
        <f>+AA205</f>
        <v>0</v>
      </c>
      <c r="AB206" s="27">
        <f>IF(AA206=$G205,0,AB205)</f>
        <v>0</v>
      </c>
      <c r="AC206" s="27">
        <f>+AC205</f>
        <v>0</v>
      </c>
      <c r="AD206" s="27">
        <f>IF(AC206=$G205,0,AD205)</f>
        <v>0</v>
      </c>
      <c r="AE206" s="27">
        <f>+AE205</f>
        <v>0</v>
      </c>
      <c r="AF206" s="27">
        <f>IF(AE206=$G205,0,AF205)</f>
        <v>0</v>
      </c>
      <c r="AG206" s="27">
        <f>+AG205</f>
        <v>0</v>
      </c>
      <c r="AH206" s="27">
        <f>IF(AG206=$G205,0,AH205)</f>
        <v>0</v>
      </c>
      <c r="AI206" s="27">
        <f>+AI205</f>
        <v>0</v>
      </c>
      <c r="AJ206" s="27">
        <f>IF(AI206=$G205,0,AJ205)</f>
        <v>0</v>
      </c>
      <c r="AK206" s="27">
        <f>+AK205</f>
        <v>0</v>
      </c>
      <c r="AL206" s="27">
        <f>IF(AK206=$G205,0,AL205)</f>
        <v>0</v>
      </c>
      <c r="AM206" s="27">
        <f>+AM205</f>
        <v>0</v>
      </c>
      <c r="AN206" s="27">
        <f>IF(AM206=$G205,0,AN205)</f>
        <v>0</v>
      </c>
      <c r="AO206" s="27">
        <f>+AO205</f>
        <v>0</v>
      </c>
      <c r="AP206" s="27">
        <f>IF(AO206=$G205,0,AP205)</f>
        <v>0</v>
      </c>
      <c r="AQ206" s="27">
        <f>+AQ205</f>
        <v>0</v>
      </c>
      <c r="AR206" s="27">
        <f>IF(AQ206=$G205,0,AR205)</f>
        <v>0</v>
      </c>
      <c r="AS206" s="27">
        <f>+AS205</f>
        <v>0</v>
      </c>
      <c r="AT206" s="27">
        <f>IF(AS206=$G205,0,AT205)</f>
        <v>0</v>
      </c>
      <c r="AU206" s="27">
        <f>+AU205</f>
        <v>0</v>
      </c>
      <c r="AV206" s="27">
        <f>IF(AU206=$G205,0,AV205)</f>
        <v>0</v>
      </c>
      <c r="AW206" s="27">
        <f>+AW205</f>
        <v>0</v>
      </c>
      <c r="AX206" s="27">
        <f>IF(AW206=$G205,0,AX205)</f>
        <v>0</v>
      </c>
      <c r="AY206" s="27">
        <f>+AY205</f>
        <v>0</v>
      </c>
      <c r="AZ206" s="27">
        <f>IF(AY206=$G205,0,AZ205)</f>
        <v>0</v>
      </c>
      <c r="BA206" s="27">
        <f>+BA205</f>
        <v>0</v>
      </c>
      <c r="BB206" s="27">
        <f>IF(BA206=$G205,0,BB205)</f>
        <v>0</v>
      </c>
      <c r="BC206" s="27">
        <f>+BC205</f>
        <v>0</v>
      </c>
      <c r="BD206" s="61">
        <f>IF(BC206=$G205,0,BD205)</f>
        <v>0</v>
      </c>
      <c r="BE206" s="27">
        <f>+BE205</f>
        <v>0</v>
      </c>
      <c r="BF206" s="27">
        <f>IF(BE206=$G205,0,BF205)</f>
        <v>0</v>
      </c>
      <c r="BG206" s="27">
        <f>+BG205</f>
        <v>0</v>
      </c>
      <c r="FJ206" s="61"/>
    </row>
    <row r="207" spans="2:166" s="27" customFormat="1" ht="11.25" hidden="1" x14ac:dyDescent="0.2">
      <c r="B207" s="60"/>
      <c r="F207" s="27">
        <f>SUMIF(H207:BG207,"&gt;0")</f>
        <v>0</v>
      </c>
      <c r="G207" s="27" t="s">
        <v>632</v>
      </c>
      <c r="I207" s="27" t="e">
        <f>-CUMPRINC($F205/12,$E205*12,$D205,H206,I206,0)</f>
        <v>#NUM!</v>
      </c>
      <c r="K207" s="27" t="e">
        <f>-CUMPRINC($F205/12,$E205*12,$D205,J206,K206,0)</f>
        <v>#NUM!</v>
      </c>
      <c r="M207" s="27" t="e">
        <f>-CUMPRINC($F205/12,$E205*12,$D205,L206,M206,0)</f>
        <v>#NUM!</v>
      </c>
      <c r="O207" s="27" t="e">
        <f>-CUMPRINC($F205/12,$E205*12,$D205,N206,O206,0)</f>
        <v>#NUM!</v>
      </c>
      <c r="Q207" s="27" t="e">
        <f>-CUMPRINC($F205/12,$E205*12,$D205,P206,Q206,0)</f>
        <v>#NUM!</v>
      </c>
      <c r="S207" s="27" t="e">
        <f>-CUMPRINC($F205/12,$E205*12,$D205,R206,S206,0)</f>
        <v>#NUM!</v>
      </c>
      <c r="U207" s="27" t="e">
        <f>-CUMPRINC($F205/12,$E205*12,$D205,T206,U206,0)</f>
        <v>#NUM!</v>
      </c>
      <c r="W207" s="27" t="e">
        <f>-CUMPRINC($F205/12,$E205*12,$D205,V206,W206,0)</f>
        <v>#NUM!</v>
      </c>
      <c r="Y207" s="27" t="e">
        <f>-CUMPRINC($F205/12,$E205*12,$D205,X206,Y206,0)</f>
        <v>#NUM!</v>
      </c>
      <c r="AA207" s="27" t="e">
        <f>-CUMPRINC($F205/12,$E205*12,$D205,Z206,AA206,0)</f>
        <v>#NUM!</v>
      </c>
      <c r="AC207" s="27" t="e">
        <f>-CUMPRINC($F205/12,$E205*12,$D205,AB206,AC206,0)</f>
        <v>#NUM!</v>
      </c>
      <c r="AE207" s="27" t="e">
        <f>-CUMPRINC($F205/12,$E205*12,$D205,AD206,AE206,0)</f>
        <v>#NUM!</v>
      </c>
      <c r="AG207" s="27" t="e">
        <f>-CUMPRINC($F205/12,$E205*12,$D205,AF206,AG206,0)</f>
        <v>#NUM!</v>
      </c>
      <c r="AI207" s="27" t="e">
        <f>-CUMPRINC($F205/12,$E205*12,$D205,AH206,AI206,0)</f>
        <v>#NUM!</v>
      </c>
      <c r="AK207" s="27" t="e">
        <f>-CUMPRINC($F205/12,$E205*12,$D205,AJ206,AK206,0)</f>
        <v>#NUM!</v>
      </c>
      <c r="AM207" s="27" t="e">
        <f>-CUMPRINC($F205/12,$E205*12,$D205,AL206,AM206,0)</f>
        <v>#NUM!</v>
      </c>
      <c r="AO207" s="27" t="e">
        <f>-CUMPRINC($F205/12,$E205*12,$D205,AN206,AO206,0)</f>
        <v>#NUM!</v>
      </c>
      <c r="AQ207" s="27" t="e">
        <f>-CUMPRINC($F205/12,$E205*12,$D205,AP206,AQ206,0)</f>
        <v>#NUM!</v>
      </c>
      <c r="AS207" s="27" t="e">
        <f>-CUMPRINC($F205/12,$E205*12,$D205,AR206,AS206,0)</f>
        <v>#NUM!</v>
      </c>
      <c r="AU207" s="27" t="e">
        <f>-CUMPRINC($F205/12,$E205*12,$D205,AT206,AU206,0)</f>
        <v>#NUM!</v>
      </c>
      <c r="AW207" s="27" t="e">
        <f>-CUMPRINC($F205/12,$E205*12,$D205,AV206,AW206,0)</f>
        <v>#NUM!</v>
      </c>
      <c r="AY207" s="27" t="e">
        <f>-CUMPRINC($F205/12,$E205*12,$D205,AX206,AY206,0)</f>
        <v>#NUM!</v>
      </c>
      <c r="BA207" s="27" t="e">
        <f>-CUMPRINC($F205/12,$E205*12,$D205,AZ206,BA206,0)</f>
        <v>#NUM!</v>
      </c>
      <c r="BC207" s="27" t="e">
        <f>-CUMPRINC($F205/12,$E205*12,$D205,BB206,BC206,0)</f>
        <v>#NUM!</v>
      </c>
      <c r="BD207" s="61"/>
      <c r="BE207" s="27" t="e">
        <f>-CUMPRINC($F205/12,$E205*12,$D205,BD206,BE206,0)</f>
        <v>#NUM!</v>
      </c>
      <c r="BG207" s="27" t="e">
        <f>-CUMPRINC($F205/12,$E205*12,$D205,BF206,BG206,0)</f>
        <v>#NUM!</v>
      </c>
      <c r="BH207" s="27" t="s">
        <v>783</v>
      </c>
      <c r="BJ207" s="27" t="e">
        <f>-CUMIPMT($F205/12,$E205*12,$D205,H206,I206,0)</f>
        <v>#NUM!</v>
      </c>
      <c r="BL207" s="27" t="e">
        <f>-CUMIPMT($F205/12,$E205*12,$D205,J206,K206,0)</f>
        <v>#NUM!</v>
      </c>
      <c r="BN207" s="27" t="e">
        <f>-CUMIPMT($F205/12,$E205*12,$D205,L206,M206,0)</f>
        <v>#NUM!</v>
      </c>
      <c r="BP207" s="27" t="e">
        <f>-CUMIPMT($F205/12,$E205*12,$D205,N206,O206,0)</f>
        <v>#NUM!</v>
      </c>
      <c r="BR207" s="27" t="e">
        <f>-CUMIPMT($F205/12,$E205*12,$D205,P206,Q206,0)</f>
        <v>#NUM!</v>
      </c>
      <c r="BT207" s="27" t="e">
        <f>-CUMIPMT($F205/12,$E205*12,$D205,R206,S206,0)</f>
        <v>#NUM!</v>
      </c>
      <c r="BV207" s="27" t="e">
        <f>-CUMIPMT($F205/12,$E205*12,$D205,T206,U206,0)</f>
        <v>#NUM!</v>
      </c>
      <c r="BX207" s="27" t="e">
        <f>-CUMIPMT($F205/12,$E205*12,$D205,V206,W206,0)</f>
        <v>#NUM!</v>
      </c>
      <c r="BZ207" s="27" t="e">
        <f>-CUMIPMT($F205/12,$E205*12,$D205,X206,Y206,0)</f>
        <v>#NUM!</v>
      </c>
      <c r="CB207" s="27" t="e">
        <f>-CUMIPMT($F205/12,$E205*12,$D205,Z206,AA206,0)</f>
        <v>#NUM!</v>
      </c>
      <c r="CD207" s="27" t="e">
        <f>-CUMIPMT($F205/12,$E205*12,$D205,AB206,AC206,0)</f>
        <v>#NUM!</v>
      </c>
      <c r="CF207" s="27" t="e">
        <f>-CUMIPMT($F205/12,$E205*12,$D205,AD206,AE206,0)</f>
        <v>#NUM!</v>
      </c>
      <c r="CH207" s="27" t="e">
        <f>-CUMIPMT($F205/12,$E205*12,$D205,AF206,AG206,0)</f>
        <v>#NUM!</v>
      </c>
      <c r="CJ207" s="27" t="e">
        <f>-CUMIPMT($F205/12,$E205*12,$D205,AH206,AI206,0)</f>
        <v>#NUM!</v>
      </c>
      <c r="CL207" s="27" t="e">
        <f>-CUMIPMT($F205/12,$E205*12,$D205,AJ206,AK206,0)</f>
        <v>#NUM!</v>
      </c>
      <c r="CN207" s="27" t="e">
        <f>-CUMIPMT($F205/12,$E205*12,$D205,AL206,AM206,0)</f>
        <v>#NUM!</v>
      </c>
      <c r="CP207" s="27" t="e">
        <f>-CUMIPMT($F205/12,$E205*12,$D205,AN206,AO206,0)</f>
        <v>#NUM!</v>
      </c>
      <c r="CR207" s="27" t="e">
        <f>-CUMIPMT($F205/12,$E205*12,$D205,AP206,AQ206,0)</f>
        <v>#NUM!</v>
      </c>
      <c r="CT207" s="27" t="e">
        <f>-CUMIPMT($F205/12,$E205*12,$D205,AR206,AS206,0)</f>
        <v>#NUM!</v>
      </c>
      <c r="CV207" s="27" t="e">
        <f>-CUMIPMT($F205/12,$E205*12,$D205,AT206,AU206,0)</f>
        <v>#NUM!</v>
      </c>
      <c r="CX207" s="27" t="e">
        <f>-CUMIPMT($F205/12,$E205*12,$D205,AV206,AW206,0)</f>
        <v>#NUM!</v>
      </c>
      <c r="CZ207" s="27" t="e">
        <f>-CUMIPMT($F205/12,$E205*12,$D205,AX206,AY206,0)</f>
        <v>#NUM!</v>
      </c>
      <c r="DB207" s="27" t="e">
        <f>-CUMIPMT($F205/12,$E205*12,$D205,AZ206,BA206,0)</f>
        <v>#NUM!</v>
      </c>
      <c r="DD207" s="27" t="e">
        <f>-CUMIPMT($F205/12,$E205*12,$D205,BB206,BC206,0)</f>
        <v>#NUM!</v>
      </c>
      <c r="DF207" s="27" t="e">
        <f>-CUMIPMT($F205/12,$E205*12,$D205,BD206,BE206,0)</f>
        <v>#NUM!</v>
      </c>
      <c r="DH207" s="27" t="e">
        <f>-CUMIPMT($F205/12,$E205*12,$D205,BF206,BG206,0)</f>
        <v>#NUM!</v>
      </c>
      <c r="DI207" s="27" t="s">
        <v>784</v>
      </c>
      <c r="DJ207" s="27" t="s">
        <v>785</v>
      </c>
      <c r="DK207" s="27">
        <f>+F207</f>
        <v>0</v>
      </c>
      <c r="DL207" s="27" t="e">
        <f>+DK207-I207</f>
        <v>#NUM!</v>
      </c>
      <c r="DN207" s="27" t="e">
        <f>+DL207-K207</f>
        <v>#NUM!</v>
      </c>
      <c r="DP207" s="27" t="e">
        <f>+DN207-M207</f>
        <v>#NUM!</v>
      </c>
      <c r="DR207" s="27" t="e">
        <f>+DP207-O207</f>
        <v>#NUM!</v>
      </c>
      <c r="DT207" s="27" t="e">
        <f>+DR207-Q207</f>
        <v>#NUM!</v>
      </c>
      <c r="DV207" s="27" t="e">
        <f>+DT207-S207</f>
        <v>#NUM!</v>
      </c>
      <c r="DX207" s="27" t="e">
        <f>+DV207-U207</f>
        <v>#NUM!</v>
      </c>
      <c r="DZ207" s="27" t="e">
        <f>+DX207-W207</f>
        <v>#NUM!</v>
      </c>
      <c r="EB207" s="27" t="e">
        <f>+DZ207-Y207</f>
        <v>#NUM!</v>
      </c>
      <c r="ED207" s="27" t="e">
        <f>+EB207-AA207</f>
        <v>#NUM!</v>
      </c>
      <c r="EF207" s="27" t="e">
        <f>+ED207-AC207</f>
        <v>#NUM!</v>
      </c>
      <c r="EH207" s="27" t="e">
        <f>+EF207-AE207</f>
        <v>#NUM!</v>
      </c>
      <c r="EJ207" s="27" t="e">
        <f>+EH207-AG207</f>
        <v>#NUM!</v>
      </c>
      <c r="EL207" s="27" t="e">
        <f>+EJ207-AI207</f>
        <v>#NUM!</v>
      </c>
      <c r="EN207" s="27" t="e">
        <f>+EL207-AK207</f>
        <v>#NUM!</v>
      </c>
      <c r="EP207" s="27" t="e">
        <f>+EN207-AM207</f>
        <v>#NUM!</v>
      </c>
      <c r="ER207" s="27" t="e">
        <f>+EP207-AO207</f>
        <v>#NUM!</v>
      </c>
      <c r="ET207" s="27" t="e">
        <f>+ER207-AQ207</f>
        <v>#NUM!</v>
      </c>
      <c r="EV207" s="27" t="e">
        <f>+ET207-AS207</f>
        <v>#NUM!</v>
      </c>
      <c r="EX207" s="27" t="e">
        <f>+EV207-AU207</f>
        <v>#NUM!</v>
      </c>
      <c r="EZ207" s="27" t="e">
        <f>+EX207-AW207</f>
        <v>#NUM!</v>
      </c>
      <c r="FB207" s="27" t="e">
        <f>+EZ207-AY207</f>
        <v>#NUM!</v>
      </c>
      <c r="FD207" s="27" t="e">
        <f>+FB207-BA207</f>
        <v>#NUM!</v>
      </c>
      <c r="FF207" s="27" t="e">
        <f>+FD207-BC207</f>
        <v>#NUM!</v>
      </c>
      <c r="FH207" s="27" t="e">
        <f>+FF207-BE207</f>
        <v>#NUM!</v>
      </c>
      <c r="FJ207" s="61" t="e">
        <f>+FH207-BG207</f>
        <v>#NUM!</v>
      </c>
    </row>
    <row r="208" spans="2:166" s="27" customFormat="1" ht="11.25" hidden="1" x14ac:dyDescent="0.2">
      <c r="B208" s="60"/>
      <c r="E208" s="27">
        <f>+F207+F208</f>
        <v>0</v>
      </c>
      <c r="F208" s="27">
        <f>SUMIF(BI207:DH207,"&gt;0")</f>
        <v>0</v>
      </c>
      <c r="I208" s="27">
        <f>IF(ISERROR(I207)=FALSE,I207,0)</f>
        <v>0</v>
      </c>
      <c r="K208" s="27">
        <f>IF(ISERROR(K207)=FALSE,K207,0)</f>
        <v>0</v>
      </c>
      <c r="M208" s="27">
        <f>IF(ISERROR(M207)=FALSE,M207,0)</f>
        <v>0</v>
      </c>
      <c r="O208" s="27">
        <f>IF(ISERROR(O207)=FALSE,O207,0)</f>
        <v>0</v>
      </c>
      <c r="Q208" s="27">
        <f>IF(ISERROR(Q207)=FALSE,Q207,0)</f>
        <v>0</v>
      </c>
      <c r="S208" s="27">
        <f>IF(ISERROR(S207)=FALSE,S207,0)</f>
        <v>0</v>
      </c>
      <c r="U208" s="27">
        <f>IF(ISERROR(U207)=FALSE,U207,0)</f>
        <v>0</v>
      </c>
      <c r="W208" s="27">
        <f>IF(ISERROR(W207)=FALSE,W207,0)</f>
        <v>0</v>
      </c>
      <c r="Y208" s="27">
        <f>IF(ISERROR(Y207)=FALSE,Y207,0)</f>
        <v>0</v>
      </c>
      <c r="AA208" s="27">
        <f>IF(ISERROR(AA207)=FALSE,AA207,0)</f>
        <v>0</v>
      </c>
      <c r="AC208" s="27">
        <f>IF(ISERROR(AC207)=FALSE,AC207,0)</f>
        <v>0</v>
      </c>
      <c r="AE208" s="27">
        <f>IF(ISERROR(AE207)=FALSE,AE207,0)</f>
        <v>0</v>
      </c>
      <c r="AG208" s="27">
        <f>IF(ISERROR(AG207)=FALSE,AG207,0)</f>
        <v>0</v>
      </c>
      <c r="AI208" s="27">
        <f>IF(ISERROR(AI207)=FALSE,AI207,0)</f>
        <v>0</v>
      </c>
      <c r="AK208" s="27">
        <f>IF(ISERROR(AK207)=FALSE,AK207,0)</f>
        <v>0</v>
      </c>
      <c r="AM208" s="27">
        <f>IF(ISERROR(AM207)=FALSE,AM207,0)</f>
        <v>0</v>
      </c>
      <c r="AO208" s="27">
        <f>IF(ISERROR(AO207)=FALSE,AO207,0)</f>
        <v>0</v>
      </c>
      <c r="AQ208" s="27">
        <f>IF(ISERROR(AQ207)=FALSE,AQ207,0)</f>
        <v>0</v>
      </c>
      <c r="AS208" s="27">
        <f>IF(ISERROR(AS207)=FALSE,AS207,0)</f>
        <v>0</v>
      </c>
      <c r="AU208" s="27">
        <f>IF(ISERROR(AU207)=FALSE,AU207,0)</f>
        <v>0</v>
      </c>
      <c r="AW208" s="27">
        <f>IF(ISERROR(AW207)=FALSE,AW207,0)</f>
        <v>0</v>
      </c>
      <c r="AY208" s="27">
        <f>IF(ISERROR(AY207)=FALSE,AY207,0)</f>
        <v>0</v>
      </c>
      <c r="BA208" s="27">
        <f>IF(ISERROR(BA207)=FALSE,BA207,0)</f>
        <v>0</v>
      </c>
      <c r="BC208" s="27">
        <f>IF(ISERROR(BC207)=FALSE,BC207,0)</f>
        <v>0</v>
      </c>
      <c r="BD208" s="61"/>
      <c r="BE208" s="27">
        <f>IF(ISERROR(BE207)=FALSE,BE207,0)</f>
        <v>0</v>
      </c>
      <c r="BG208" s="27">
        <f>IF(ISERROR(BG207)=FALSE,BG207,0)</f>
        <v>0</v>
      </c>
      <c r="FJ208" s="61"/>
    </row>
    <row r="209" spans="2:166" s="27" customFormat="1" ht="11.25" hidden="1" x14ac:dyDescent="0.2">
      <c r="B209" s="60"/>
      <c r="D209" s="27" t="s">
        <v>630</v>
      </c>
      <c r="E209" s="27">
        <f>IF(E205=0,0,E208/(E205*12))</f>
        <v>0</v>
      </c>
      <c r="BD209" s="61"/>
      <c r="FJ209" s="61"/>
    </row>
    <row r="210" spans="2:166" s="27" customFormat="1" ht="11.25" hidden="1" x14ac:dyDescent="0.2">
      <c r="B210" s="60"/>
      <c r="C210" s="27">
        <f>C122</f>
        <v>0</v>
      </c>
      <c r="D210" s="27">
        <f>D122</f>
        <v>0</v>
      </c>
      <c r="E210" s="27">
        <f>E122</f>
        <v>0</v>
      </c>
      <c r="F210" s="27">
        <f>F122</f>
        <v>0</v>
      </c>
      <c r="G210" s="27">
        <f>+$E210*12</f>
        <v>0</v>
      </c>
      <c r="H210" s="27">
        <f>SUMIF($W122:$AH122,$D122,$W$108:$AH$108)</f>
        <v>78</v>
      </c>
      <c r="I210" s="27">
        <f>13-H210</f>
        <v>-65</v>
      </c>
      <c r="J210" s="27">
        <f>IF(I210+1&lt;=$G210,I210+1,($G210-I210)+I210)</f>
        <v>-64</v>
      </c>
      <c r="K210" s="27">
        <f>IF(J210+11&lt;=$G210,J210+11,($G210-J210)+J210)</f>
        <v>-53</v>
      </c>
      <c r="L210" s="27">
        <f>IF(K210+1&lt;=$G210,K210+1,($G210-K210)+K210)</f>
        <v>-52</v>
      </c>
      <c r="M210" s="27">
        <f>IF(L210+11&lt;=$G210,L210+11,($G210-L210)+L210)</f>
        <v>-41</v>
      </c>
      <c r="N210" s="27">
        <f>IF(M210+1&lt;=$G210,M210+1,($G210-M210)+M210)</f>
        <v>-40</v>
      </c>
      <c r="O210" s="27">
        <f>IF(N210+11&lt;=$G210,N210+11,($G210-N210)+N210)</f>
        <v>-29</v>
      </c>
      <c r="P210" s="27">
        <f>IF(O210+1&lt;=$G210,O210+1,($G210-O210)+O210)</f>
        <v>-28</v>
      </c>
      <c r="Q210" s="27">
        <f>IF(P210+11&lt;=$G210,P210+11,($G210-P210)+P210)</f>
        <v>-17</v>
      </c>
      <c r="R210" s="27">
        <f>IF(Q210+1&lt;=$G210,Q210+1,($G210-Q210)+Q210)</f>
        <v>-16</v>
      </c>
      <c r="S210" s="27">
        <f>IF(R210+11&lt;=$G210,R210+11,($G210-R210)+R210)</f>
        <v>-5</v>
      </c>
      <c r="T210" s="27">
        <f>IF(S210+1&lt;=$G210,S210+1,($G210-S210)+S210)</f>
        <v>-4</v>
      </c>
      <c r="U210" s="27">
        <f>IF(T210+11&lt;=$G210,T210+11,($G210-T210)+T210)</f>
        <v>0</v>
      </c>
      <c r="V210" s="27">
        <f>IF(U210+1&lt;=$G210,U210+1,($G210-U210)+U210)</f>
        <v>0</v>
      </c>
      <c r="W210" s="27">
        <f>IF(V210+11&lt;=$G210,V210+11,($G210-V210)+V210)</f>
        <v>0</v>
      </c>
      <c r="X210" s="27">
        <f>IF(W210+1&lt;=$G210,W210+1,($G210-W210)+W210)</f>
        <v>0</v>
      </c>
      <c r="Y210" s="27">
        <f>IF(X210+11&lt;=$G210,X210+11,($G210-X210)+X210)</f>
        <v>0</v>
      </c>
      <c r="Z210" s="27">
        <f>IF(Y210+1&lt;=$G210,Y210+1,($G210-Y210)+Y210)</f>
        <v>0</v>
      </c>
      <c r="AA210" s="27">
        <f>IF(Z210+11&lt;=$G210,Z210+11,($G210-Z210)+Z210)</f>
        <v>0</v>
      </c>
      <c r="AB210" s="27">
        <f>IF(AA210+1&lt;=$G210,AA210+1,($G210-AA210)+AA210)</f>
        <v>0</v>
      </c>
      <c r="AC210" s="27">
        <f>IF(AB210+11&lt;=$G210,AB210+11,($G210-AB210)+AB210)</f>
        <v>0</v>
      </c>
      <c r="AD210" s="27">
        <f>IF(AC210+1&lt;=$G210,AC210+1,($G210-AC210)+AC210)</f>
        <v>0</v>
      </c>
      <c r="AE210" s="27">
        <f>IF(AD210+11&lt;=$G210,AD210+11,($G210-AD210)+AD210)</f>
        <v>0</v>
      </c>
      <c r="AF210" s="27">
        <f>IF(AE210+1&lt;=$G210,AE210+1,($G210-AE210)+AE210)</f>
        <v>0</v>
      </c>
      <c r="AG210" s="27">
        <f>IF(AF210+11&lt;=$G210,AF210+11,($G210-AF210)+AF210)</f>
        <v>0</v>
      </c>
      <c r="AH210" s="27">
        <f>IF(AG210+1&lt;=$G210,AG210+1,($G210-AG210)+AG210)</f>
        <v>0</v>
      </c>
      <c r="AI210" s="27">
        <f>IF(AH210+11&lt;=$G210,AH210+11,($G210-AH210)+AH210)</f>
        <v>0</v>
      </c>
      <c r="AJ210" s="27">
        <f>IF(AI210+1&lt;=$G210,AI210+1,($G210-AI210)+AI210)</f>
        <v>0</v>
      </c>
      <c r="AK210" s="27">
        <f>IF(AJ210+11&lt;=$G210,AJ210+11,($G210-AJ210)+AJ210)</f>
        <v>0</v>
      </c>
      <c r="AL210" s="27">
        <f>IF(AK210+1&lt;=$G210,AK210+1,($G210-AK210)+AK210)</f>
        <v>0</v>
      </c>
      <c r="AM210" s="27">
        <f>IF(AL210+11&lt;=$G210,AL210+11,($G210-AL210)+AL210)</f>
        <v>0</v>
      </c>
      <c r="AN210" s="27">
        <f>IF(AM210+1&lt;=$G210,AM210+1,($G210-AM210)+AM210)</f>
        <v>0</v>
      </c>
      <c r="AO210" s="27">
        <f>IF(AN210+11&lt;=$G210,AN210+11,($G210-AN210)+AN210)</f>
        <v>0</v>
      </c>
      <c r="AP210" s="27">
        <f>IF(AO210+1&lt;=$G210,AO210+1,($G210-AO210)+AO210)</f>
        <v>0</v>
      </c>
      <c r="AQ210" s="27">
        <f>IF(AP210+11&lt;=$G210,AP210+11,($G210-AP210)+AP210)</f>
        <v>0</v>
      </c>
      <c r="AR210" s="27">
        <f>IF(AQ210+1&lt;=$G210,AQ210+1,($G210-AQ210)+AQ210)</f>
        <v>0</v>
      </c>
      <c r="AS210" s="27">
        <f>IF(AR210+11&lt;=$G210,AR210+11,($G210-AR210)+AR210)</f>
        <v>0</v>
      </c>
      <c r="AT210" s="27">
        <f>IF(AS210+1&lt;=$G210,AS210+1,($G210-AS210)+AS210)</f>
        <v>0</v>
      </c>
      <c r="AU210" s="27">
        <f>IF(AT210+11&lt;=$G210,AT210+11,($G210-AT210)+AT210)</f>
        <v>0</v>
      </c>
      <c r="AV210" s="27">
        <f>IF(AU210+1&lt;=$G210,AU210+1,($G210-AU210)+AU210)</f>
        <v>0</v>
      </c>
      <c r="AW210" s="27">
        <f>IF(AV210+11&lt;=$G210,AV210+11,($G210-AV210)+AV210)</f>
        <v>0</v>
      </c>
      <c r="AX210" s="27">
        <f>IF(AW210+1&lt;=$G210,AW210+1,($G210-AW210)+AW210)</f>
        <v>0</v>
      </c>
      <c r="AY210" s="27">
        <f>IF(AX210+11&lt;=$G210,AX210+11,($G210-AX210)+AX210)</f>
        <v>0</v>
      </c>
      <c r="AZ210" s="27">
        <f>IF(AY210+1&lt;=$G210,AY210+1,($G210-AY210)+AY210)</f>
        <v>0</v>
      </c>
      <c r="BA210" s="27">
        <f>IF(AZ210+35&lt;=$G210,AZ210+35,($G210-AZ210)+AZ210)</f>
        <v>0</v>
      </c>
      <c r="BB210" s="27">
        <f>IF(BA210+1&lt;=$G210,BA210+1,($G210-BA210)+BA210)</f>
        <v>0</v>
      </c>
      <c r="BC210" s="27">
        <f>IF(BB210+59&lt;=$G210,BB210+59,($G210-BB210)+BB210)</f>
        <v>0</v>
      </c>
      <c r="BD210" s="61">
        <f>IF(BC210+1&lt;=$G210,BC210+1,($G210-BC210)+BC210)</f>
        <v>0</v>
      </c>
      <c r="BE210" s="27">
        <f>IF(BD210+239&lt;=$G210,BD210+239,($G210-BD210)+BD210)</f>
        <v>0</v>
      </c>
      <c r="BF210" s="27">
        <f>IF(BE210+1&lt;=$G210,BE210+1,($G210-BE210)+BE210)</f>
        <v>0</v>
      </c>
      <c r="BG210" s="27">
        <f>IF(BF210+11&lt;=$G210,BF210+11,($G210-BF210)+BF210)</f>
        <v>0</v>
      </c>
      <c r="FJ210" s="61"/>
    </row>
    <row r="211" spans="2:166" s="27" customFormat="1" ht="11.25" hidden="1" x14ac:dyDescent="0.2">
      <c r="B211" s="60"/>
      <c r="H211" s="27">
        <v>1</v>
      </c>
      <c r="I211" s="27">
        <f>+I210</f>
        <v>-65</v>
      </c>
      <c r="J211" s="27">
        <f>IF(I211=$G210,0,J210)</f>
        <v>-64</v>
      </c>
      <c r="K211" s="27">
        <f>+K210</f>
        <v>-53</v>
      </c>
      <c r="L211" s="27">
        <f>IF(K211=$G210,0,L210)</f>
        <v>-52</v>
      </c>
      <c r="M211" s="27">
        <f>+M210</f>
        <v>-41</v>
      </c>
      <c r="N211" s="27">
        <f>IF(M211=$G210,0,N210)</f>
        <v>-40</v>
      </c>
      <c r="O211" s="27">
        <f>+O210</f>
        <v>-29</v>
      </c>
      <c r="P211" s="27">
        <f>IF(O211=$G210,0,P210)</f>
        <v>-28</v>
      </c>
      <c r="Q211" s="27">
        <f>+Q210</f>
        <v>-17</v>
      </c>
      <c r="R211" s="27">
        <f>IF(Q211=$G210,0,R210)</f>
        <v>-16</v>
      </c>
      <c r="S211" s="27">
        <f>+S210</f>
        <v>-5</v>
      </c>
      <c r="T211" s="27">
        <f>IF(S211=$G210,0,T210)</f>
        <v>-4</v>
      </c>
      <c r="U211" s="27">
        <f>+U210</f>
        <v>0</v>
      </c>
      <c r="V211" s="27">
        <f>IF(U211=$G210,0,V210)</f>
        <v>0</v>
      </c>
      <c r="W211" s="27">
        <f>+W210</f>
        <v>0</v>
      </c>
      <c r="X211" s="27">
        <f>IF(W211=$G210,0,X210)</f>
        <v>0</v>
      </c>
      <c r="Y211" s="27">
        <f>+Y210</f>
        <v>0</v>
      </c>
      <c r="Z211" s="27">
        <f>IF(Y211=$G210,0,Z210)</f>
        <v>0</v>
      </c>
      <c r="AA211" s="27">
        <f>+AA210</f>
        <v>0</v>
      </c>
      <c r="AB211" s="27">
        <f>IF(AA211=$G210,0,AB210)</f>
        <v>0</v>
      </c>
      <c r="AC211" s="27">
        <f>+AC210</f>
        <v>0</v>
      </c>
      <c r="AD211" s="27">
        <f>IF(AC211=$G210,0,AD210)</f>
        <v>0</v>
      </c>
      <c r="AE211" s="27">
        <f>+AE210</f>
        <v>0</v>
      </c>
      <c r="AF211" s="27">
        <f>IF(AE211=$G210,0,AF210)</f>
        <v>0</v>
      </c>
      <c r="AG211" s="27">
        <f>+AG210</f>
        <v>0</v>
      </c>
      <c r="AH211" s="27">
        <f>IF(AG211=$G210,0,AH210)</f>
        <v>0</v>
      </c>
      <c r="AI211" s="27">
        <f>+AI210</f>
        <v>0</v>
      </c>
      <c r="AJ211" s="27">
        <f>IF(AI211=$G210,0,AJ210)</f>
        <v>0</v>
      </c>
      <c r="AK211" s="27">
        <f>+AK210</f>
        <v>0</v>
      </c>
      <c r="AL211" s="27">
        <f>IF(AK211=$G210,0,AL210)</f>
        <v>0</v>
      </c>
      <c r="AM211" s="27">
        <f>+AM210</f>
        <v>0</v>
      </c>
      <c r="AN211" s="27">
        <f>IF(AM211=$G210,0,AN210)</f>
        <v>0</v>
      </c>
      <c r="AO211" s="27">
        <f>+AO210</f>
        <v>0</v>
      </c>
      <c r="AP211" s="27">
        <f>IF(AO211=$G210,0,AP210)</f>
        <v>0</v>
      </c>
      <c r="AQ211" s="27">
        <f>+AQ210</f>
        <v>0</v>
      </c>
      <c r="AR211" s="27">
        <f>IF(AQ211=$G210,0,AR210)</f>
        <v>0</v>
      </c>
      <c r="AS211" s="27">
        <f>+AS210</f>
        <v>0</v>
      </c>
      <c r="AT211" s="27">
        <f>IF(AS211=$G210,0,AT210)</f>
        <v>0</v>
      </c>
      <c r="AU211" s="27">
        <f>+AU210</f>
        <v>0</v>
      </c>
      <c r="AV211" s="27">
        <f>IF(AU211=$G210,0,AV210)</f>
        <v>0</v>
      </c>
      <c r="AW211" s="27">
        <f>+AW210</f>
        <v>0</v>
      </c>
      <c r="AX211" s="27">
        <f>IF(AW211=$G210,0,AX210)</f>
        <v>0</v>
      </c>
      <c r="AY211" s="27">
        <f>+AY210</f>
        <v>0</v>
      </c>
      <c r="AZ211" s="27">
        <f>IF(AY211=$G210,0,AZ210)</f>
        <v>0</v>
      </c>
      <c r="BA211" s="27">
        <f>+BA210</f>
        <v>0</v>
      </c>
      <c r="BB211" s="27">
        <f>IF(BA211=$G210,0,BB210)</f>
        <v>0</v>
      </c>
      <c r="BC211" s="27">
        <f>+BC210</f>
        <v>0</v>
      </c>
      <c r="BD211" s="61">
        <f>IF(BC211=$G210,0,BD210)</f>
        <v>0</v>
      </c>
      <c r="BE211" s="27">
        <f>+BE210</f>
        <v>0</v>
      </c>
      <c r="BF211" s="27">
        <f>IF(BE211=$G210,0,BF210)</f>
        <v>0</v>
      </c>
      <c r="BG211" s="27">
        <f>+BG210</f>
        <v>0</v>
      </c>
      <c r="FJ211" s="61"/>
    </row>
    <row r="212" spans="2:166" s="27" customFormat="1" ht="11.25" hidden="1" x14ac:dyDescent="0.2">
      <c r="B212" s="60"/>
      <c r="F212" s="27">
        <f>SUMIF(H212:BG212,"&gt;0")</f>
        <v>0</v>
      </c>
      <c r="G212" s="27" t="s">
        <v>632</v>
      </c>
      <c r="I212" s="27" t="e">
        <f>-CUMPRINC($F210/12,$E210*12,$D210,H211,I211,0)</f>
        <v>#NUM!</v>
      </c>
      <c r="K212" s="27" t="e">
        <f>-CUMPRINC($F210/12,$E210*12,$D210,J211,K211,0)</f>
        <v>#NUM!</v>
      </c>
      <c r="M212" s="27" t="e">
        <f>-CUMPRINC($F210/12,$E210*12,$D210,L211,M211,0)</f>
        <v>#NUM!</v>
      </c>
      <c r="O212" s="27" t="e">
        <f>-CUMPRINC($F210/12,$E210*12,$D210,N211,O211,0)</f>
        <v>#NUM!</v>
      </c>
      <c r="Q212" s="27" t="e">
        <f>-CUMPRINC($F210/12,$E210*12,$D210,P211,Q211,0)</f>
        <v>#NUM!</v>
      </c>
      <c r="S212" s="27" t="e">
        <f>-CUMPRINC($F210/12,$E210*12,$D210,R211,S211,0)</f>
        <v>#NUM!</v>
      </c>
      <c r="U212" s="27" t="e">
        <f>-CUMPRINC($F210/12,$E210*12,$D210,T211,U211,0)</f>
        <v>#NUM!</v>
      </c>
      <c r="W212" s="27" t="e">
        <f>-CUMPRINC($F210/12,$E210*12,$D210,V211,W211,0)</f>
        <v>#NUM!</v>
      </c>
      <c r="Y212" s="27" t="e">
        <f>-CUMPRINC($F210/12,$E210*12,$D210,X211,Y211,0)</f>
        <v>#NUM!</v>
      </c>
      <c r="AA212" s="27" t="e">
        <f>-CUMPRINC($F210/12,$E210*12,$D210,Z211,AA211,0)</f>
        <v>#NUM!</v>
      </c>
      <c r="AC212" s="27" t="e">
        <f>-CUMPRINC($F210/12,$E210*12,$D210,AB211,AC211,0)</f>
        <v>#NUM!</v>
      </c>
      <c r="AE212" s="27" t="e">
        <f>-CUMPRINC($F210/12,$E210*12,$D210,AD211,AE211,0)</f>
        <v>#NUM!</v>
      </c>
      <c r="AG212" s="27" t="e">
        <f>-CUMPRINC($F210/12,$E210*12,$D210,AF211,AG211,0)</f>
        <v>#NUM!</v>
      </c>
      <c r="AI212" s="27" t="e">
        <f>-CUMPRINC($F210/12,$E210*12,$D210,AH211,AI211,0)</f>
        <v>#NUM!</v>
      </c>
      <c r="AK212" s="27" t="e">
        <f>-CUMPRINC($F210/12,$E210*12,$D210,AJ211,AK211,0)</f>
        <v>#NUM!</v>
      </c>
      <c r="AM212" s="27" t="e">
        <f>-CUMPRINC($F210/12,$E210*12,$D210,AL211,AM211,0)</f>
        <v>#NUM!</v>
      </c>
      <c r="AO212" s="27" t="e">
        <f>-CUMPRINC($F210/12,$E210*12,$D210,AN211,AO211,0)</f>
        <v>#NUM!</v>
      </c>
      <c r="AQ212" s="27" t="e">
        <f>-CUMPRINC($F210/12,$E210*12,$D210,AP211,AQ211,0)</f>
        <v>#NUM!</v>
      </c>
      <c r="AS212" s="27" t="e">
        <f>-CUMPRINC($F210/12,$E210*12,$D210,AR211,AS211,0)</f>
        <v>#NUM!</v>
      </c>
      <c r="AU212" s="27" t="e">
        <f>-CUMPRINC($F210/12,$E210*12,$D210,AT211,AU211,0)</f>
        <v>#NUM!</v>
      </c>
      <c r="AW212" s="27" t="e">
        <f>-CUMPRINC($F210/12,$E210*12,$D210,AV211,AW211,0)</f>
        <v>#NUM!</v>
      </c>
      <c r="AY212" s="27" t="e">
        <f>-CUMPRINC($F210/12,$E210*12,$D210,AX211,AY211,0)</f>
        <v>#NUM!</v>
      </c>
      <c r="BA212" s="27" t="e">
        <f>-CUMPRINC($F210/12,$E210*12,$D210,AZ211,BA211,0)</f>
        <v>#NUM!</v>
      </c>
      <c r="BC212" s="27" t="e">
        <f>-CUMPRINC($F210/12,$E210*12,$D210,BB211,BC211,0)</f>
        <v>#NUM!</v>
      </c>
      <c r="BD212" s="61"/>
      <c r="BE212" s="27" t="e">
        <f>-CUMPRINC($F210/12,$E210*12,$D210,BD211,BE211,0)</f>
        <v>#NUM!</v>
      </c>
      <c r="BG212" s="27" t="e">
        <f>-CUMPRINC($F210/12,$E210*12,$D210,BF211,BG211,0)</f>
        <v>#NUM!</v>
      </c>
      <c r="BH212" s="27" t="s">
        <v>783</v>
      </c>
      <c r="BJ212" s="27" t="e">
        <f>-CUMIPMT($F210/12,$E210*12,$D210,H211,I211,0)</f>
        <v>#NUM!</v>
      </c>
      <c r="BL212" s="27" t="e">
        <f>-CUMIPMT($F210/12,$E210*12,$D210,J211,K211,0)</f>
        <v>#NUM!</v>
      </c>
      <c r="BN212" s="27" t="e">
        <f>-CUMIPMT($F210/12,$E210*12,$D210,L211,M211,0)</f>
        <v>#NUM!</v>
      </c>
      <c r="BP212" s="27" t="e">
        <f>-CUMIPMT($F210/12,$E210*12,$D210,N211,O211,0)</f>
        <v>#NUM!</v>
      </c>
      <c r="BR212" s="27" t="e">
        <f>-CUMIPMT($F210/12,$E210*12,$D210,P211,Q211,0)</f>
        <v>#NUM!</v>
      </c>
      <c r="BT212" s="27" t="e">
        <f>-CUMIPMT($F210/12,$E210*12,$D210,R211,S211,0)</f>
        <v>#NUM!</v>
      </c>
      <c r="BV212" s="27" t="e">
        <f>-CUMIPMT($F210/12,$E210*12,$D210,T211,U211,0)</f>
        <v>#NUM!</v>
      </c>
      <c r="BX212" s="27" t="e">
        <f>-CUMIPMT($F210/12,$E210*12,$D210,V211,W211,0)</f>
        <v>#NUM!</v>
      </c>
      <c r="BZ212" s="27" t="e">
        <f>-CUMIPMT($F210/12,$E210*12,$D210,X211,Y211,0)</f>
        <v>#NUM!</v>
      </c>
      <c r="CB212" s="27" t="e">
        <f>-CUMIPMT($F210/12,$E210*12,$D210,Z211,AA211,0)</f>
        <v>#NUM!</v>
      </c>
      <c r="CD212" s="27" t="e">
        <f>-CUMIPMT($F210/12,$E210*12,$D210,AB211,AC211,0)</f>
        <v>#NUM!</v>
      </c>
      <c r="CF212" s="27" t="e">
        <f>-CUMIPMT($F210/12,$E210*12,$D210,AD211,AE211,0)</f>
        <v>#NUM!</v>
      </c>
      <c r="CH212" s="27" t="e">
        <f>-CUMIPMT($F210/12,$E210*12,$D210,AF211,AG211,0)</f>
        <v>#NUM!</v>
      </c>
      <c r="CJ212" s="27" t="e">
        <f>-CUMIPMT($F210/12,$E210*12,$D210,AH211,AI211,0)</f>
        <v>#NUM!</v>
      </c>
      <c r="CL212" s="27" t="e">
        <f>-CUMIPMT($F210/12,$E210*12,$D210,AJ211,AK211,0)</f>
        <v>#NUM!</v>
      </c>
      <c r="CN212" s="27" t="e">
        <f>-CUMIPMT($F210/12,$E210*12,$D210,AL211,AM211,0)</f>
        <v>#NUM!</v>
      </c>
      <c r="CP212" s="27" t="e">
        <f>-CUMIPMT($F210/12,$E210*12,$D210,AN211,AO211,0)</f>
        <v>#NUM!</v>
      </c>
      <c r="CR212" s="27" t="e">
        <f>-CUMIPMT($F210/12,$E210*12,$D210,AP211,AQ211,0)</f>
        <v>#NUM!</v>
      </c>
      <c r="CT212" s="27" t="e">
        <f>-CUMIPMT($F210/12,$E210*12,$D210,AR211,AS211,0)</f>
        <v>#NUM!</v>
      </c>
      <c r="CV212" s="27" t="e">
        <f>-CUMIPMT($F210/12,$E210*12,$D210,AT211,AU211,0)</f>
        <v>#NUM!</v>
      </c>
      <c r="CX212" s="27" t="e">
        <f>-CUMIPMT($F210/12,$E210*12,$D210,AV211,AW211,0)</f>
        <v>#NUM!</v>
      </c>
      <c r="CZ212" s="27" t="e">
        <f>-CUMIPMT($F210/12,$E210*12,$D210,AX211,AY211,0)</f>
        <v>#NUM!</v>
      </c>
      <c r="DB212" s="27" t="e">
        <f>-CUMIPMT($F210/12,$E210*12,$D210,AZ211,BA211,0)</f>
        <v>#NUM!</v>
      </c>
      <c r="DD212" s="27" t="e">
        <f>-CUMIPMT($F210/12,$E210*12,$D210,BB211,BC211,0)</f>
        <v>#NUM!</v>
      </c>
      <c r="DF212" s="27" t="e">
        <f>-CUMIPMT($F210/12,$E210*12,$D210,BD211,BE211,0)</f>
        <v>#NUM!</v>
      </c>
      <c r="DH212" s="27" t="e">
        <f>-CUMIPMT($F210/12,$E210*12,$D210,BF211,BG211,0)</f>
        <v>#NUM!</v>
      </c>
      <c r="DI212" s="27" t="s">
        <v>784</v>
      </c>
      <c r="DJ212" s="27" t="s">
        <v>785</v>
      </c>
      <c r="DK212" s="27">
        <f>+F212</f>
        <v>0</v>
      </c>
      <c r="DL212" s="27" t="e">
        <f>+DK212-I212</f>
        <v>#NUM!</v>
      </c>
      <c r="DN212" s="27" t="e">
        <f>+DL212-K212</f>
        <v>#NUM!</v>
      </c>
      <c r="DP212" s="27" t="e">
        <f>+DN212-M212</f>
        <v>#NUM!</v>
      </c>
      <c r="DR212" s="27" t="e">
        <f>+DP212-O212</f>
        <v>#NUM!</v>
      </c>
      <c r="DT212" s="27" t="e">
        <f>+DR212-Q212</f>
        <v>#NUM!</v>
      </c>
      <c r="DV212" s="27" t="e">
        <f>+DT212-S212</f>
        <v>#NUM!</v>
      </c>
      <c r="DX212" s="27" t="e">
        <f>+DV212-U212</f>
        <v>#NUM!</v>
      </c>
      <c r="DZ212" s="27" t="e">
        <f>+DX212-W212</f>
        <v>#NUM!</v>
      </c>
      <c r="EB212" s="27" t="e">
        <f>+DZ212-Y212</f>
        <v>#NUM!</v>
      </c>
      <c r="ED212" s="27" t="e">
        <f>+EB212-AA212</f>
        <v>#NUM!</v>
      </c>
      <c r="EF212" s="27" t="e">
        <f>+ED212-AC212</f>
        <v>#NUM!</v>
      </c>
      <c r="EH212" s="27" t="e">
        <f>+EF212-AE212</f>
        <v>#NUM!</v>
      </c>
      <c r="EJ212" s="27" t="e">
        <f>+EH212-AG212</f>
        <v>#NUM!</v>
      </c>
      <c r="EL212" s="27" t="e">
        <f>+EJ212-AI212</f>
        <v>#NUM!</v>
      </c>
      <c r="EN212" s="27" t="e">
        <f>+EL212-AK212</f>
        <v>#NUM!</v>
      </c>
      <c r="EP212" s="27" t="e">
        <f>+EN212-AM212</f>
        <v>#NUM!</v>
      </c>
      <c r="ER212" s="27" t="e">
        <f>+EP212-AO212</f>
        <v>#NUM!</v>
      </c>
      <c r="ET212" s="27" t="e">
        <f>+ER212-AQ212</f>
        <v>#NUM!</v>
      </c>
      <c r="EV212" s="27" t="e">
        <f>+ET212-AS212</f>
        <v>#NUM!</v>
      </c>
      <c r="EX212" s="27" t="e">
        <f>+EV212-AU212</f>
        <v>#NUM!</v>
      </c>
      <c r="EZ212" s="27" t="e">
        <f>+EX212-AW212</f>
        <v>#NUM!</v>
      </c>
      <c r="FB212" s="27" t="e">
        <f>+EZ212-AY212</f>
        <v>#NUM!</v>
      </c>
      <c r="FD212" s="27" t="e">
        <f>+FB212-BA212</f>
        <v>#NUM!</v>
      </c>
      <c r="FF212" s="27" t="e">
        <f>+FD212-BC212</f>
        <v>#NUM!</v>
      </c>
      <c r="FH212" s="27" t="e">
        <f>+FF212-BE212</f>
        <v>#NUM!</v>
      </c>
      <c r="FJ212" s="61" t="e">
        <f>+FH212-BG212</f>
        <v>#NUM!</v>
      </c>
    </row>
    <row r="213" spans="2:166" s="27" customFormat="1" ht="11.25" hidden="1" x14ac:dyDescent="0.2">
      <c r="B213" s="60"/>
      <c r="E213" s="27">
        <f>+F212+F213</f>
        <v>0</v>
      </c>
      <c r="F213" s="27">
        <f>SUMIF(BI212:DH212,"&gt;0")</f>
        <v>0</v>
      </c>
      <c r="I213" s="27">
        <f>IF(ISERROR(I212)=FALSE,I212,0)</f>
        <v>0</v>
      </c>
      <c r="K213" s="27">
        <f>IF(ISERROR(K212)=FALSE,K212,0)</f>
        <v>0</v>
      </c>
      <c r="M213" s="27">
        <f>IF(ISERROR(M212)=FALSE,M212,0)</f>
        <v>0</v>
      </c>
      <c r="O213" s="27">
        <f>IF(ISERROR(O212)=FALSE,O212,0)</f>
        <v>0</v>
      </c>
      <c r="Q213" s="27">
        <f>IF(ISERROR(Q212)=FALSE,Q212,0)</f>
        <v>0</v>
      </c>
      <c r="S213" s="27">
        <f>IF(ISERROR(S212)=FALSE,S212,0)</f>
        <v>0</v>
      </c>
      <c r="U213" s="27">
        <f>IF(ISERROR(U212)=FALSE,U212,0)</f>
        <v>0</v>
      </c>
      <c r="W213" s="27">
        <f>IF(ISERROR(W212)=FALSE,W212,0)</f>
        <v>0</v>
      </c>
      <c r="Y213" s="27">
        <f>IF(ISERROR(Y212)=FALSE,Y212,0)</f>
        <v>0</v>
      </c>
      <c r="AA213" s="27">
        <f>IF(ISERROR(AA212)=FALSE,AA212,0)</f>
        <v>0</v>
      </c>
      <c r="AC213" s="27">
        <f>IF(ISERROR(AC212)=FALSE,AC212,0)</f>
        <v>0</v>
      </c>
      <c r="AE213" s="27">
        <f>IF(ISERROR(AE212)=FALSE,AE212,0)</f>
        <v>0</v>
      </c>
      <c r="AG213" s="27">
        <f>IF(ISERROR(AG212)=FALSE,AG212,0)</f>
        <v>0</v>
      </c>
      <c r="AI213" s="27">
        <f>IF(ISERROR(AI212)=FALSE,AI212,0)</f>
        <v>0</v>
      </c>
      <c r="AK213" s="27">
        <f>IF(ISERROR(AK212)=FALSE,AK212,0)</f>
        <v>0</v>
      </c>
      <c r="AM213" s="27">
        <f>IF(ISERROR(AM212)=FALSE,AM212,0)</f>
        <v>0</v>
      </c>
      <c r="AO213" s="27">
        <f>IF(ISERROR(AO212)=FALSE,AO212,0)</f>
        <v>0</v>
      </c>
      <c r="AQ213" s="27">
        <f>IF(ISERROR(AQ212)=FALSE,AQ212,0)</f>
        <v>0</v>
      </c>
      <c r="AS213" s="27">
        <f>IF(ISERROR(AS212)=FALSE,AS212,0)</f>
        <v>0</v>
      </c>
      <c r="AU213" s="27">
        <f>IF(ISERROR(AU212)=FALSE,AU212,0)</f>
        <v>0</v>
      </c>
      <c r="AW213" s="27">
        <f>IF(ISERROR(AW212)=FALSE,AW212,0)</f>
        <v>0</v>
      </c>
      <c r="AY213" s="27">
        <f>IF(ISERROR(AY212)=FALSE,AY212,0)</f>
        <v>0</v>
      </c>
      <c r="BA213" s="27">
        <f>IF(ISERROR(BA212)=FALSE,BA212,0)</f>
        <v>0</v>
      </c>
      <c r="BC213" s="27">
        <f>IF(ISERROR(BC212)=FALSE,BC212,0)</f>
        <v>0</v>
      </c>
      <c r="BD213" s="61"/>
      <c r="BE213" s="27">
        <f>IF(ISERROR(BE212)=FALSE,BE212,0)</f>
        <v>0</v>
      </c>
      <c r="BG213" s="27">
        <f>IF(ISERROR(BG212)=FALSE,BG212,0)</f>
        <v>0</v>
      </c>
      <c r="FJ213" s="61"/>
    </row>
    <row r="214" spans="2:166" s="27" customFormat="1" ht="11.25" hidden="1" x14ac:dyDescent="0.2">
      <c r="B214" s="60"/>
      <c r="D214" s="27" t="s">
        <v>630</v>
      </c>
      <c r="E214" s="27">
        <f>IF(E210=0,0,E213/(E210*12))</f>
        <v>0</v>
      </c>
      <c r="BD214" s="61"/>
      <c r="FJ214" s="61"/>
    </row>
    <row r="215" spans="2:166" s="27" customFormat="1" ht="11.25" hidden="1" x14ac:dyDescent="0.2">
      <c r="B215" s="60"/>
      <c r="C215" s="27">
        <f>C123</f>
        <v>0</v>
      </c>
      <c r="D215" s="27">
        <f>D123</f>
        <v>0</v>
      </c>
      <c r="E215" s="27">
        <f>E123</f>
        <v>0</v>
      </c>
      <c r="F215" s="27">
        <f>F123</f>
        <v>0</v>
      </c>
      <c r="G215" s="27">
        <f>+$E215*12</f>
        <v>0</v>
      </c>
      <c r="H215" s="27">
        <f>SUMIF($W123:$AH123,$D123,$W$108:$AH$108)</f>
        <v>78</v>
      </c>
      <c r="I215" s="27">
        <f>13-H215</f>
        <v>-65</v>
      </c>
      <c r="J215" s="27">
        <f>IF(I215+1&lt;=$G215,I215+1,($G215-I215)+I215)</f>
        <v>-64</v>
      </c>
      <c r="K215" s="27">
        <f>IF(J215+11&lt;=$G215,J215+11,($G215-J215)+J215)</f>
        <v>-53</v>
      </c>
      <c r="L215" s="27">
        <f>IF(K215+1&lt;=$G215,K215+1,($G215-K215)+K215)</f>
        <v>-52</v>
      </c>
      <c r="M215" s="27">
        <f>IF(L215+11&lt;=$G215,L215+11,($G215-L215)+L215)</f>
        <v>-41</v>
      </c>
      <c r="N215" s="27">
        <f>IF(M215+1&lt;=$G215,M215+1,($G215-M215)+M215)</f>
        <v>-40</v>
      </c>
      <c r="O215" s="27">
        <f>IF(N215+11&lt;=$G215,N215+11,($G215-N215)+N215)</f>
        <v>-29</v>
      </c>
      <c r="P215" s="27">
        <f>IF(O215+1&lt;=$G215,O215+1,($G215-O215)+O215)</f>
        <v>-28</v>
      </c>
      <c r="Q215" s="27">
        <f>IF(P215+11&lt;=$G215,P215+11,($G215-P215)+P215)</f>
        <v>-17</v>
      </c>
      <c r="R215" s="27">
        <f>IF(Q215+1&lt;=$G215,Q215+1,($G215-Q215)+Q215)</f>
        <v>-16</v>
      </c>
      <c r="S215" s="27">
        <f>IF(R215+11&lt;=$G215,R215+11,($G215-R215)+R215)</f>
        <v>-5</v>
      </c>
      <c r="T215" s="27">
        <f>IF(S215+1&lt;=$G215,S215+1,($G215-S215)+S215)</f>
        <v>-4</v>
      </c>
      <c r="U215" s="27">
        <f>IF(T215+11&lt;=$G215,T215+11,($G215-T215)+T215)</f>
        <v>0</v>
      </c>
      <c r="V215" s="27">
        <f>IF(U215+1&lt;=$G215,U215+1,($G215-U215)+U215)</f>
        <v>0</v>
      </c>
      <c r="W215" s="27">
        <f>IF(V215+11&lt;=$G215,V215+11,($G215-V215)+V215)</f>
        <v>0</v>
      </c>
      <c r="X215" s="27">
        <f>IF(W215+1&lt;=$G215,W215+1,($G215-W215)+W215)</f>
        <v>0</v>
      </c>
      <c r="Y215" s="27">
        <f>IF(X215+11&lt;=$G215,X215+11,($G215-X215)+X215)</f>
        <v>0</v>
      </c>
      <c r="Z215" s="27">
        <f>IF(Y215+1&lt;=$G215,Y215+1,($G215-Y215)+Y215)</f>
        <v>0</v>
      </c>
      <c r="AA215" s="27">
        <f>IF(Z215+11&lt;=$G215,Z215+11,($G215-Z215)+Z215)</f>
        <v>0</v>
      </c>
      <c r="AB215" s="27">
        <f>IF(AA215+1&lt;=$G215,AA215+1,($G215-AA215)+AA215)</f>
        <v>0</v>
      </c>
      <c r="AC215" s="27">
        <f>IF(AB215+11&lt;=$G215,AB215+11,($G215-AB215)+AB215)</f>
        <v>0</v>
      </c>
      <c r="AD215" s="27">
        <f>IF(AC215+1&lt;=$G215,AC215+1,($G215-AC215)+AC215)</f>
        <v>0</v>
      </c>
      <c r="AE215" s="27">
        <f>IF(AD215+11&lt;=$G215,AD215+11,($G215-AD215)+AD215)</f>
        <v>0</v>
      </c>
      <c r="AF215" s="27">
        <f>IF(AE215+1&lt;=$G215,AE215+1,($G215-AE215)+AE215)</f>
        <v>0</v>
      </c>
      <c r="AG215" s="27">
        <f>IF(AF215+11&lt;=$G215,AF215+11,($G215-AF215)+AF215)</f>
        <v>0</v>
      </c>
      <c r="AH215" s="27">
        <f>IF(AG215+1&lt;=$G215,AG215+1,($G215-AG215)+AG215)</f>
        <v>0</v>
      </c>
      <c r="AI215" s="27">
        <f>IF(AH215+11&lt;=$G215,AH215+11,($G215-AH215)+AH215)</f>
        <v>0</v>
      </c>
      <c r="AJ215" s="27">
        <f>IF(AI215+1&lt;=$G215,AI215+1,($G215-AI215)+AI215)</f>
        <v>0</v>
      </c>
      <c r="AK215" s="27">
        <f>IF(AJ215+11&lt;=$G215,AJ215+11,($G215-AJ215)+AJ215)</f>
        <v>0</v>
      </c>
      <c r="AL215" s="27">
        <f>IF(AK215+1&lt;=$G215,AK215+1,($G215-AK215)+AK215)</f>
        <v>0</v>
      </c>
      <c r="AM215" s="27">
        <f>IF(AL215+11&lt;=$G215,AL215+11,($G215-AL215)+AL215)</f>
        <v>0</v>
      </c>
      <c r="AN215" s="27">
        <f>IF(AM215+1&lt;=$G215,AM215+1,($G215-AM215)+AM215)</f>
        <v>0</v>
      </c>
      <c r="AO215" s="27">
        <f>IF(AN215+11&lt;=$G215,AN215+11,($G215-AN215)+AN215)</f>
        <v>0</v>
      </c>
      <c r="AP215" s="27">
        <f>IF(AO215+1&lt;=$G215,AO215+1,($G215-AO215)+AO215)</f>
        <v>0</v>
      </c>
      <c r="AQ215" s="27">
        <f>IF(AP215+11&lt;=$G215,AP215+11,($G215-AP215)+AP215)</f>
        <v>0</v>
      </c>
      <c r="AR215" s="27">
        <f>IF(AQ215+1&lt;=$G215,AQ215+1,($G215-AQ215)+AQ215)</f>
        <v>0</v>
      </c>
      <c r="AS215" s="27">
        <f>IF(AR215+11&lt;=$G215,AR215+11,($G215-AR215)+AR215)</f>
        <v>0</v>
      </c>
      <c r="AT215" s="27">
        <f>IF(AS215+1&lt;=$G215,AS215+1,($G215-AS215)+AS215)</f>
        <v>0</v>
      </c>
      <c r="AU215" s="27">
        <f>IF(AT215+11&lt;=$G215,AT215+11,($G215-AT215)+AT215)</f>
        <v>0</v>
      </c>
      <c r="AV215" s="27">
        <f>IF(AU215+1&lt;=$G215,AU215+1,($G215-AU215)+AU215)</f>
        <v>0</v>
      </c>
      <c r="AW215" s="27">
        <f>IF(AV215+11&lt;=$G215,AV215+11,($G215-AV215)+AV215)</f>
        <v>0</v>
      </c>
      <c r="AX215" s="27">
        <f>IF(AW215+1&lt;=$G215,AW215+1,($G215-AW215)+AW215)</f>
        <v>0</v>
      </c>
      <c r="AY215" s="27">
        <f>IF(AX215+11&lt;=$G215,AX215+11,($G215-AX215)+AX215)</f>
        <v>0</v>
      </c>
      <c r="AZ215" s="27">
        <f>IF(AY215+1&lt;=$G215,AY215+1,($G215-AY215)+AY215)</f>
        <v>0</v>
      </c>
      <c r="BA215" s="27">
        <f>IF(AZ215+35&lt;=$G215,AZ215+35,($G215-AZ215)+AZ215)</f>
        <v>0</v>
      </c>
      <c r="BB215" s="27">
        <f>IF(BA215+1&lt;=$G215,BA215+1,($G215-BA215)+BA215)</f>
        <v>0</v>
      </c>
      <c r="BC215" s="27">
        <f>IF(BB215+59&lt;=$G215,BB215+59,($G215-BB215)+BB215)</f>
        <v>0</v>
      </c>
      <c r="BD215" s="61">
        <f>IF(BC215+1&lt;=$G215,BC215+1,($G215-BC215)+BC215)</f>
        <v>0</v>
      </c>
      <c r="BE215" s="27">
        <f>IF(BD215+239&lt;=$G215,BD215+239,($G215-BD215)+BD215)</f>
        <v>0</v>
      </c>
      <c r="BF215" s="27">
        <f>IF(BE215+1&lt;=$G215,BE215+1,($G215-BE215)+BE215)</f>
        <v>0</v>
      </c>
      <c r="BG215" s="27">
        <f>IF(BF215+11&lt;=$G215,BF215+11,($G215-BF215)+BF215)</f>
        <v>0</v>
      </c>
      <c r="FJ215" s="61"/>
    </row>
    <row r="216" spans="2:166" s="27" customFormat="1" ht="11.25" hidden="1" x14ac:dyDescent="0.2">
      <c r="B216" s="60"/>
      <c r="H216" s="27">
        <v>1</v>
      </c>
      <c r="I216" s="27">
        <f>+I215</f>
        <v>-65</v>
      </c>
      <c r="J216" s="27">
        <f>IF(I216=$G215,0,J215)</f>
        <v>-64</v>
      </c>
      <c r="K216" s="27">
        <f>+K215</f>
        <v>-53</v>
      </c>
      <c r="L216" s="27">
        <f>IF(K216=$G215,0,L215)</f>
        <v>-52</v>
      </c>
      <c r="M216" s="27">
        <f>+M215</f>
        <v>-41</v>
      </c>
      <c r="N216" s="27">
        <f>IF(M216=$G215,0,N215)</f>
        <v>-40</v>
      </c>
      <c r="O216" s="27">
        <f>+O215</f>
        <v>-29</v>
      </c>
      <c r="P216" s="27">
        <f>IF(O216=$G215,0,P215)</f>
        <v>-28</v>
      </c>
      <c r="Q216" s="27">
        <f>+Q215</f>
        <v>-17</v>
      </c>
      <c r="R216" s="27">
        <f>IF(Q216=$G215,0,R215)</f>
        <v>-16</v>
      </c>
      <c r="S216" s="27">
        <f>+S215</f>
        <v>-5</v>
      </c>
      <c r="T216" s="27">
        <f>IF(S216=$G215,0,T215)</f>
        <v>-4</v>
      </c>
      <c r="U216" s="27">
        <f>+U215</f>
        <v>0</v>
      </c>
      <c r="V216" s="27">
        <f>IF(U216=$G215,0,V215)</f>
        <v>0</v>
      </c>
      <c r="W216" s="27">
        <f>+W215</f>
        <v>0</v>
      </c>
      <c r="X216" s="27">
        <f>IF(W216=$G215,0,X215)</f>
        <v>0</v>
      </c>
      <c r="Y216" s="27">
        <f>+Y215</f>
        <v>0</v>
      </c>
      <c r="Z216" s="27">
        <f>IF(Y216=$G215,0,Z215)</f>
        <v>0</v>
      </c>
      <c r="AA216" s="27">
        <f>+AA215</f>
        <v>0</v>
      </c>
      <c r="AB216" s="27">
        <f>IF(AA216=$G215,0,AB215)</f>
        <v>0</v>
      </c>
      <c r="AC216" s="27">
        <f>+AC215</f>
        <v>0</v>
      </c>
      <c r="AD216" s="27">
        <f>IF(AC216=$G215,0,AD215)</f>
        <v>0</v>
      </c>
      <c r="AE216" s="27">
        <f>+AE215</f>
        <v>0</v>
      </c>
      <c r="AF216" s="27">
        <f>IF(AE216=$G215,0,AF215)</f>
        <v>0</v>
      </c>
      <c r="AG216" s="27">
        <f>+AG215</f>
        <v>0</v>
      </c>
      <c r="AH216" s="27">
        <f>IF(AG216=$G215,0,AH215)</f>
        <v>0</v>
      </c>
      <c r="AI216" s="27">
        <f>+AI215</f>
        <v>0</v>
      </c>
      <c r="AJ216" s="27">
        <f>IF(AI216=$G215,0,AJ215)</f>
        <v>0</v>
      </c>
      <c r="AK216" s="27">
        <f>+AK215</f>
        <v>0</v>
      </c>
      <c r="AL216" s="27">
        <f>IF(AK216=$G215,0,AL215)</f>
        <v>0</v>
      </c>
      <c r="AM216" s="27">
        <f>+AM215</f>
        <v>0</v>
      </c>
      <c r="AN216" s="27">
        <f>IF(AM216=$G215,0,AN215)</f>
        <v>0</v>
      </c>
      <c r="AO216" s="27">
        <f>+AO215</f>
        <v>0</v>
      </c>
      <c r="AP216" s="27">
        <f>IF(AO216=$G215,0,AP215)</f>
        <v>0</v>
      </c>
      <c r="AQ216" s="27">
        <f>+AQ215</f>
        <v>0</v>
      </c>
      <c r="AR216" s="27">
        <f>IF(AQ216=$G215,0,AR215)</f>
        <v>0</v>
      </c>
      <c r="AS216" s="27">
        <f>+AS215</f>
        <v>0</v>
      </c>
      <c r="AT216" s="27">
        <f>IF(AS216=$G215,0,AT215)</f>
        <v>0</v>
      </c>
      <c r="AU216" s="27">
        <f>+AU215</f>
        <v>0</v>
      </c>
      <c r="AV216" s="27">
        <f>IF(AU216=$G215,0,AV215)</f>
        <v>0</v>
      </c>
      <c r="AW216" s="27">
        <f>+AW215</f>
        <v>0</v>
      </c>
      <c r="AX216" s="27">
        <f>IF(AW216=$G215,0,AX215)</f>
        <v>0</v>
      </c>
      <c r="AY216" s="27">
        <f>+AY215</f>
        <v>0</v>
      </c>
      <c r="AZ216" s="27">
        <f>IF(AY216=$G215,0,AZ215)</f>
        <v>0</v>
      </c>
      <c r="BA216" s="27">
        <f>+BA215</f>
        <v>0</v>
      </c>
      <c r="BB216" s="27">
        <f>IF(BA216=$G215,0,BB215)</f>
        <v>0</v>
      </c>
      <c r="BC216" s="27">
        <f>+BC215</f>
        <v>0</v>
      </c>
      <c r="BD216" s="61">
        <f>IF(BC216=$G215,0,BD215)</f>
        <v>0</v>
      </c>
      <c r="BE216" s="27">
        <f>+BE215</f>
        <v>0</v>
      </c>
      <c r="BF216" s="27">
        <f>IF(BE216=$G215,0,BF215)</f>
        <v>0</v>
      </c>
      <c r="BG216" s="27">
        <f>+BG215</f>
        <v>0</v>
      </c>
      <c r="FJ216" s="61"/>
    </row>
    <row r="217" spans="2:166" s="27" customFormat="1" ht="11.25" hidden="1" x14ac:dyDescent="0.2">
      <c r="B217" s="60"/>
      <c r="F217" s="27">
        <f>SUMIF(H217:BG217,"&gt;0")</f>
        <v>0</v>
      </c>
      <c r="G217" s="27" t="s">
        <v>632</v>
      </c>
      <c r="I217" s="27" t="e">
        <f>-CUMPRINC($F215/12,$E215*12,$D215,H216,I216,0)</f>
        <v>#NUM!</v>
      </c>
      <c r="K217" s="27" t="e">
        <f>-CUMPRINC($F215/12,$E215*12,$D215,J216,K216,0)</f>
        <v>#NUM!</v>
      </c>
      <c r="M217" s="27" t="e">
        <f>-CUMPRINC($F215/12,$E215*12,$D215,L216,M216,0)</f>
        <v>#NUM!</v>
      </c>
      <c r="O217" s="27" t="e">
        <f>-CUMPRINC($F215/12,$E215*12,$D215,N216,O216,0)</f>
        <v>#NUM!</v>
      </c>
      <c r="Q217" s="27" t="e">
        <f>-CUMPRINC($F215/12,$E215*12,$D215,P216,Q216,0)</f>
        <v>#NUM!</v>
      </c>
      <c r="S217" s="27" t="e">
        <f>-CUMPRINC($F215/12,$E215*12,$D215,R216,S216,0)</f>
        <v>#NUM!</v>
      </c>
      <c r="U217" s="27" t="e">
        <f>-CUMPRINC($F215/12,$E215*12,$D215,T216,U216,0)</f>
        <v>#NUM!</v>
      </c>
      <c r="W217" s="27" t="e">
        <f>-CUMPRINC($F215/12,$E215*12,$D215,V216,W216,0)</f>
        <v>#NUM!</v>
      </c>
      <c r="Y217" s="27" t="e">
        <f>-CUMPRINC($F215/12,$E215*12,$D215,X216,Y216,0)</f>
        <v>#NUM!</v>
      </c>
      <c r="AA217" s="27" t="e">
        <f>-CUMPRINC($F215/12,$E215*12,$D215,Z216,AA216,0)</f>
        <v>#NUM!</v>
      </c>
      <c r="AC217" s="27" t="e">
        <f>-CUMPRINC($F215/12,$E215*12,$D215,AB216,AC216,0)</f>
        <v>#NUM!</v>
      </c>
      <c r="AE217" s="27" t="e">
        <f>-CUMPRINC($F215/12,$E215*12,$D215,AD216,AE216,0)</f>
        <v>#NUM!</v>
      </c>
      <c r="AG217" s="27" t="e">
        <f>-CUMPRINC($F215/12,$E215*12,$D215,AF216,AG216,0)</f>
        <v>#NUM!</v>
      </c>
      <c r="AI217" s="27" t="e">
        <f>-CUMPRINC($F215/12,$E215*12,$D215,AH216,AI216,0)</f>
        <v>#NUM!</v>
      </c>
      <c r="AK217" s="27" t="e">
        <f>-CUMPRINC($F215/12,$E215*12,$D215,AJ216,AK216,0)</f>
        <v>#NUM!</v>
      </c>
      <c r="AM217" s="27" t="e">
        <f>-CUMPRINC($F215/12,$E215*12,$D215,AL216,AM216,0)</f>
        <v>#NUM!</v>
      </c>
      <c r="AO217" s="27" t="e">
        <f>-CUMPRINC($F215/12,$E215*12,$D215,AN216,AO216,0)</f>
        <v>#NUM!</v>
      </c>
      <c r="AQ217" s="27" t="e">
        <f>-CUMPRINC($F215/12,$E215*12,$D215,AP216,AQ216,0)</f>
        <v>#NUM!</v>
      </c>
      <c r="AS217" s="27" t="e">
        <f>-CUMPRINC($F215/12,$E215*12,$D215,AR216,AS216,0)</f>
        <v>#NUM!</v>
      </c>
      <c r="AU217" s="27" t="e">
        <f>-CUMPRINC($F215/12,$E215*12,$D215,AT216,AU216,0)</f>
        <v>#NUM!</v>
      </c>
      <c r="AW217" s="27" t="e">
        <f>-CUMPRINC($F215/12,$E215*12,$D215,AV216,AW216,0)</f>
        <v>#NUM!</v>
      </c>
      <c r="AY217" s="27" t="e">
        <f>-CUMPRINC($F215/12,$E215*12,$D215,AX216,AY216,0)</f>
        <v>#NUM!</v>
      </c>
      <c r="BA217" s="27" t="e">
        <f>-CUMPRINC($F215/12,$E215*12,$D215,AZ216,BA216,0)</f>
        <v>#NUM!</v>
      </c>
      <c r="BC217" s="27" t="e">
        <f>-CUMPRINC($F215/12,$E215*12,$D215,BB216,BC216,0)</f>
        <v>#NUM!</v>
      </c>
      <c r="BD217" s="61"/>
      <c r="BE217" s="27" t="e">
        <f>-CUMPRINC($F215/12,$E215*12,$D215,BD216,BE216,0)</f>
        <v>#NUM!</v>
      </c>
      <c r="BG217" s="27" t="e">
        <f>-CUMPRINC($F215/12,$E215*12,$D215,BF216,BG216,0)</f>
        <v>#NUM!</v>
      </c>
      <c r="BH217" s="27" t="s">
        <v>783</v>
      </c>
      <c r="BJ217" s="27" t="e">
        <f>-CUMIPMT($F215/12,$E215*12,$D215,H216,I216,0)</f>
        <v>#NUM!</v>
      </c>
      <c r="BL217" s="27" t="e">
        <f>-CUMIPMT($F215/12,$E215*12,$D215,J216,K216,0)</f>
        <v>#NUM!</v>
      </c>
      <c r="BN217" s="27" t="e">
        <f>-CUMIPMT($F215/12,$E215*12,$D215,L216,M216,0)</f>
        <v>#NUM!</v>
      </c>
      <c r="BP217" s="27" t="e">
        <f>-CUMIPMT($F215/12,$E215*12,$D215,N216,O216,0)</f>
        <v>#NUM!</v>
      </c>
      <c r="BR217" s="27" t="e">
        <f>-CUMIPMT($F215/12,$E215*12,$D215,P216,Q216,0)</f>
        <v>#NUM!</v>
      </c>
      <c r="BT217" s="27" t="e">
        <f>-CUMIPMT($F215/12,$E215*12,$D215,R216,S216,0)</f>
        <v>#NUM!</v>
      </c>
      <c r="BV217" s="27" t="e">
        <f>-CUMIPMT($F215/12,$E215*12,$D215,T216,U216,0)</f>
        <v>#NUM!</v>
      </c>
      <c r="BX217" s="27" t="e">
        <f>-CUMIPMT($F215/12,$E215*12,$D215,V216,W216,0)</f>
        <v>#NUM!</v>
      </c>
      <c r="BZ217" s="27" t="e">
        <f>-CUMIPMT($F215/12,$E215*12,$D215,X216,Y216,0)</f>
        <v>#NUM!</v>
      </c>
      <c r="CB217" s="27" t="e">
        <f>-CUMIPMT($F215/12,$E215*12,$D215,Z216,AA216,0)</f>
        <v>#NUM!</v>
      </c>
      <c r="CD217" s="27" t="e">
        <f>-CUMIPMT($F215/12,$E215*12,$D215,AB216,AC216,0)</f>
        <v>#NUM!</v>
      </c>
      <c r="CF217" s="27" t="e">
        <f>-CUMIPMT($F215/12,$E215*12,$D215,AD216,AE216,0)</f>
        <v>#NUM!</v>
      </c>
      <c r="CH217" s="27" t="e">
        <f>-CUMIPMT($F215/12,$E215*12,$D215,AF216,AG216,0)</f>
        <v>#NUM!</v>
      </c>
      <c r="CJ217" s="27" t="e">
        <f>-CUMIPMT($F215/12,$E215*12,$D215,AH216,AI216,0)</f>
        <v>#NUM!</v>
      </c>
      <c r="CL217" s="27" t="e">
        <f>-CUMIPMT($F215/12,$E215*12,$D215,AJ216,AK216,0)</f>
        <v>#NUM!</v>
      </c>
      <c r="CN217" s="27" t="e">
        <f>-CUMIPMT($F215/12,$E215*12,$D215,AL216,AM216,0)</f>
        <v>#NUM!</v>
      </c>
      <c r="CP217" s="27" t="e">
        <f>-CUMIPMT($F215/12,$E215*12,$D215,AN216,AO216,0)</f>
        <v>#NUM!</v>
      </c>
      <c r="CR217" s="27" t="e">
        <f>-CUMIPMT($F215/12,$E215*12,$D215,AP216,AQ216,0)</f>
        <v>#NUM!</v>
      </c>
      <c r="CT217" s="27" t="e">
        <f>-CUMIPMT($F215/12,$E215*12,$D215,AR216,AS216,0)</f>
        <v>#NUM!</v>
      </c>
      <c r="CV217" s="27" t="e">
        <f>-CUMIPMT($F215/12,$E215*12,$D215,AT216,AU216,0)</f>
        <v>#NUM!</v>
      </c>
      <c r="CX217" s="27" t="e">
        <f>-CUMIPMT($F215/12,$E215*12,$D215,AV216,AW216,0)</f>
        <v>#NUM!</v>
      </c>
      <c r="CZ217" s="27" t="e">
        <f>-CUMIPMT($F215/12,$E215*12,$D215,AX216,AY216,0)</f>
        <v>#NUM!</v>
      </c>
      <c r="DB217" s="27" t="e">
        <f>-CUMIPMT($F215/12,$E215*12,$D215,AZ216,BA216,0)</f>
        <v>#NUM!</v>
      </c>
      <c r="DD217" s="27" t="e">
        <f>-CUMIPMT($F215/12,$E215*12,$D215,BB216,BC216,0)</f>
        <v>#NUM!</v>
      </c>
      <c r="DF217" s="27" t="e">
        <f>-CUMIPMT($F215/12,$E215*12,$D215,BD216,BE216,0)</f>
        <v>#NUM!</v>
      </c>
      <c r="DH217" s="27" t="e">
        <f>-CUMIPMT($F215/12,$E215*12,$D215,BF216,BG216,0)</f>
        <v>#NUM!</v>
      </c>
      <c r="DI217" s="27" t="s">
        <v>784</v>
      </c>
      <c r="DJ217" s="27" t="s">
        <v>785</v>
      </c>
      <c r="DK217" s="27">
        <f>+F217</f>
        <v>0</v>
      </c>
      <c r="DL217" s="27" t="e">
        <f>+DK217-I217</f>
        <v>#NUM!</v>
      </c>
      <c r="DN217" s="27" t="e">
        <f>+DL217-K217</f>
        <v>#NUM!</v>
      </c>
      <c r="DP217" s="27" t="e">
        <f>+DN217-M217</f>
        <v>#NUM!</v>
      </c>
      <c r="DR217" s="27" t="e">
        <f>+DP217-O217</f>
        <v>#NUM!</v>
      </c>
      <c r="DT217" s="27" t="e">
        <f>+DR217-Q217</f>
        <v>#NUM!</v>
      </c>
      <c r="DV217" s="27" t="e">
        <f>+DT217-S217</f>
        <v>#NUM!</v>
      </c>
      <c r="DX217" s="27" t="e">
        <f>+DV217-U217</f>
        <v>#NUM!</v>
      </c>
      <c r="DZ217" s="27" t="e">
        <f>+DX217-W217</f>
        <v>#NUM!</v>
      </c>
      <c r="EB217" s="27" t="e">
        <f>+DZ217-Y217</f>
        <v>#NUM!</v>
      </c>
      <c r="ED217" s="27" t="e">
        <f>+EB217-AA217</f>
        <v>#NUM!</v>
      </c>
      <c r="EF217" s="27" t="e">
        <f>+ED217-AC217</f>
        <v>#NUM!</v>
      </c>
      <c r="EH217" s="27" t="e">
        <f>+EF217-AE217</f>
        <v>#NUM!</v>
      </c>
      <c r="EJ217" s="27" t="e">
        <f>+EH217-AG217</f>
        <v>#NUM!</v>
      </c>
      <c r="EL217" s="27" t="e">
        <f>+EJ217-AI217</f>
        <v>#NUM!</v>
      </c>
      <c r="EN217" s="27" t="e">
        <f>+EL217-AK217</f>
        <v>#NUM!</v>
      </c>
      <c r="EP217" s="27" t="e">
        <f>+EN217-AM217</f>
        <v>#NUM!</v>
      </c>
      <c r="ER217" s="27" t="e">
        <f>+EP217-AO217</f>
        <v>#NUM!</v>
      </c>
      <c r="ET217" s="27" t="e">
        <f>+ER217-AQ217</f>
        <v>#NUM!</v>
      </c>
      <c r="EV217" s="27" t="e">
        <f>+ET217-AS217</f>
        <v>#NUM!</v>
      </c>
      <c r="EX217" s="27" t="e">
        <f>+EV217-AU217</f>
        <v>#NUM!</v>
      </c>
      <c r="EZ217" s="27" t="e">
        <f>+EX217-AW217</f>
        <v>#NUM!</v>
      </c>
      <c r="FB217" s="27" t="e">
        <f>+EZ217-AY217</f>
        <v>#NUM!</v>
      </c>
      <c r="FD217" s="27" t="e">
        <f>+FB217-BA217</f>
        <v>#NUM!</v>
      </c>
      <c r="FF217" s="27" t="e">
        <f>+FD217-BC217</f>
        <v>#NUM!</v>
      </c>
      <c r="FH217" s="27" t="e">
        <f>+FF217-BE217</f>
        <v>#NUM!</v>
      </c>
      <c r="FJ217" s="61" t="e">
        <f>+FH217-BG217</f>
        <v>#NUM!</v>
      </c>
    </row>
    <row r="218" spans="2:166" s="27" customFormat="1" ht="11.25" hidden="1" x14ac:dyDescent="0.2">
      <c r="B218" s="60"/>
      <c r="E218" s="27">
        <f>+F217+F218</f>
        <v>0</v>
      </c>
      <c r="F218" s="27">
        <f>SUMIF(BI217:DH217,"&gt;0")</f>
        <v>0</v>
      </c>
      <c r="I218" s="27">
        <f>IF(ISERROR(I217)=FALSE,I217,0)</f>
        <v>0</v>
      </c>
      <c r="K218" s="27">
        <f>IF(ISERROR(K217)=FALSE,K217,0)</f>
        <v>0</v>
      </c>
      <c r="M218" s="27">
        <f>IF(ISERROR(M217)=FALSE,M217,0)</f>
        <v>0</v>
      </c>
      <c r="O218" s="27">
        <f>IF(ISERROR(O217)=FALSE,O217,0)</f>
        <v>0</v>
      </c>
      <c r="Q218" s="27">
        <f>IF(ISERROR(Q217)=FALSE,Q217,0)</f>
        <v>0</v>
      </c>
      <c r="S218" s="27">
        <f>IF(ISERROR(S217)=FALSE,S217,0)</f>
        <v>0</v>
      </c>
      <c r="U218" s="27">
        <f>IF(ISERROR(U217)=FALSE,U217,0)</f>
        <v>0</v>
      </c>
      <c r="W218" s="27">
        <f>IF(ISERROR(W217)=FALSE,W217,0)</f>
        <v>0</v>
      </c>
      <c r="Y218" s="27">
        <f>IF(ISERROR(Y217)=FALSE,Y217,0)</f>
        <v>0</v>
      </c>
      <c r="AA218" s="27">
        <f>IF(ISERROR(AA217)=FALSE,AA217,0)</f>
        <v>0</v>
      </c>
      <c r="AC218" s="27">
        <f>IF(ISERROR(AC217)=FALSE,AC217,0)</f>
        <v>0</v>
      </c>
      <c r="AE218" s="27">
        <f>IF(ISERROR(AE217)=FALSE,AE217,0)</f>
        <v>0</v>
      </c>
      <c r="AG218" s="27">
        <f>IF(ISERROR(AG217)=FALSE,AG217,0)</f>
        <v>0</v>
      </c>
      <c r="AI218" s="27">
        <f>IF(ISERROR(AI217)=FALSE,AI217,0)</f>
        <v>0</v>
      </c>
      <c r="AK218" s="27">
        <f>IF(ISERROR(AK217)=FALSE,AK217,0)</f>
        <v>0</v>
      </c>
      <c r="AM218" s="27">
        <f>IF(ISERROR(AM217)=FALSE,AM217,0)</f>
        <v>0</v>
      </c>
      <c r="AO218" s="27">
        <f>IF(ISERROR(AO217)=FALSE,AO217,0)</f>
        <v>0</v>
      </c>
      <c r="AQ218" s="27">
        <f>IF(ISERROR(AQ217)=FALSE,AQ217,0)</f>
        <v>0</v>
      </c>
      <c r="AS218" s="27">
        <f>IF(ISERROR(AS217)=FALSE,AS217,0)</f>
        <v>0</v>
      </c>
      <c r="AU218" s="27">
        <f>IF(ISERROR(AU217)=FALSE,AU217,0)</f>
        <v>0</v>
      </c>
      <c r="AW218" s="27">
        <f>IF(ISERROR(AW217)=FALSE,AW217,0)</f>
        <v>0</v>
      </c>
      <c r="AY218" s="27">
        <f>IF(ISERROR(AY217)=FALSE,AY217,0)</f>
        <v>0</v>
      </c>
      <c r="BA218" s="27">
        <f>IF(ISERROR(BA217)=FALSE,BA217,0)</f>
        <v>0</v>
      </c>
      <c r="BC218" s="27">
        <f>IF(ISERROR(BC217)=FALSE,BC217,0)</f>
        <v>0</v>
      </c>
      <c r="BD218" s="61"/>
      <c r="BE218" s="27">
        <f>IF(ISERROR(BE217)=FALSE,BE217,0)</f>
        <v>0</v>
      </c>
      <c r="BG218" s="27">
        <f>IF(ISERROR(BG217)=FALSE,BG217,0)</f>
        <v>0</v>
      </c>
      <c r="FJ218" s="61"/>
    </row>
    <row r="219" spans="2:166" s="27" customFormat="1" ht="11.25" hidden="1" x14ac:dyDescent="0.2">
      <c r="B219" s="60"/>
      <c r="D219" s="27" t="s">
        <v>630</v>
      </c>
      <c r="E219" s="27">
        <f>IF(E215=0,0,E218/(E215*12))</f>
        <v>0</v>
      </c>
      <c r="BD219" s="61"/>
      <c r="FJ219" s="61"/>
    </row>
    <row r="220" spans="2:166" s="27" customFormat="1" ht="11.25" hidden="1" x14ac:dyDescent="0.2">
      <c r="B220" s="60"/>
      <c r="C220" s="27">
        <f>C124</f>
        <v>0</v>
      </c>
      <c r="D220" s="27">
        <f>D124</f>
        <v>0</v>
      </c>
      <c r="E220" s="27">
        <f>E124</f>
        <v>0</v>
      </c>
      <c r="F220" s="27">
        <f>F124</f>
        <v>0</v>
      </c>
      <c r="G220" s="27">
        <f>+$E220*12</f>
        <v>0</v>
      </c>
      <c r="H220" s="27">
        <f>SUMIF($W124:$AH124,$D124,$W$108:$AH$108)</f>
        <v>78</v>
      </c>
      <c r="I220" s="27">
        <f>13-H220</f>
        <v>-65</v>
      </c>
      <c r="J220" s="27">
        <f>IF(I220+1&lt;=$G220,I220+1,($G220-I220)+I220)</f>
        <v>-64</v>
      </c>
      <c r="K220" s="27">
        <f>IF(J220+11&lt;=$G220,J220+11,($G220-J220)+J220)</f>
        <v>-53</v>
      </c>
      <c r="L220" s="27">
        <f>IF(K220+1&lt;=$G220,K220+1,($G220-K220)+K220)</f>
        <v>-52</v>
      </c>
      <c r="M220" s="27">
        <f>IF(L220+11&lt;=$G220,L220+11,($G220-L220)+L220)</f>
        <v>-41</v>
      </c>
      <c r="N220" s="27">
        <f>IF(M220+1&lt;=$G220,M220+1,($G220-M220)+M220)</f>
        <v>-40</v>
      </c>
      <c r="O220" s="27">
        <f>IF(N220+11&lt;=$G220,N220+11,($G220-N220)+N220)</f>
        <v>-29</v>
      </c>
      <c r="P220" s="27">
        <f>IF(O220+1&lt;=$G220,O220+1,($G220-O220)+O220)</f>
        <v>-28</v>
      </c>
      <c r="Q220" s="27">
        <f>IF(P220+11&lt;=$G220,P220+11,($G220-P220)+P220)</f>
        <v>-17</v>
      </c>
      <c r="R220" s="27">
        <f>IF(Q220+1&lt;=$G220,Q220+1,($G220-Q220)+Q220)</f>
        <v>-16</v>
      </c>
      <c r="S220" s="27">
        <f>IF(R220+11&lt;=$G220,R220+11,($G220-R220)+R220)</f>
        <v>-5</v>
      </c>
      <c r="T220" s="27">
        <f>IF(S220+1&lt;=$G220,S220+1,($G220-S220)+S220)</f>
        <v>-4</v>
      </c>
      <c r="U220" s="27">
        <f>IF(T220+11&lt;=$G220,T220+11,($G220-T220)+T220)</f>
        <v>0</v>
      </c>
      <c r="V220" s="27">
        <f>IF(U220+1&lt;=$G220,U220+1,($G220-U220)+U220)</f>
        <v>0</v>
      </c>
      <c r="W220" s="27">
        <f>IF(V220+11&lt;=$G220,V220+11,($G220-V220)+V220)</f>
        <v>0</v>
      </c>
      <c r="X220" s="27">
        <f>IF(W220+1&lt;=$G220,W220+1,($G220-W220)+W220)</f>
        <v>0</v>
      </c>
      <c r="Y220" s="27">
        <f>IF(X220+11&lt;=$G220,X220+11,($G220-X220)+X220)</f>
        <v>0</v>
      </c>
      <c r="Z220" s="27">
        <f>IF(Y220+1&lt;=$G220,Y220+1,($G220-Y220)+Y220)</f>
        <v>0</v>
      </c>
      <c r="AA220" s="27">
        <f>IF(Z220+11&lt;=$G220,Z220+11,($G220-Z220)+Z220)</f>
        <v>0</v>
      </c>
      <c r="AB220" s="27">
        <f>IF(AA220+1&lt;=$G220,AA220+1,($G220-AA220)+AA220)</f>
        <v>0</v>
      </c>
      <c r="AC220" s="27">
        <f>IF(AB220+11&lt;=$G220,AB220+11,($G220-AB220)+AB220)</f>
        <v>0</v>
      </c>
      <c r="AD220" s="27">
        <f>IF(AC220+1&lt;=$G220,AC220+1,($G220-AC220)+AC220)</f>
        <v>0</v>
      </c>
      <c r="AE220" s="27">
        <f>IF(AD220+11&lt;=$G220,AD220+11,($G220-AD220)+AD220)</f>
        <v>0</v>
      </c>
      <c r="AF220" s="27">
        <f>IF(AE220+1&lt;=$G220,AE220+1,($G220-AE220)+AE220)</f>
        <v>0</v>
      </c>
      <c r="AG220" s="27">
        <f>IF(AF220+11&lt;=$G220,AF220+11,($G220-AF220)+AF220)</f>
        <v>0</v>
      </c>
      <c r="AH220" s="27">
        <f>IF(AG220+1&lt;=$G220,AG220+1,($G220-AG220)+AG220)</f>
        <v>0</v>
      </c>
      <c r="AI220" s="27">
        <f>IF(AH220+11&lt;=$G220,AH220+11,($G220-AH220)+AH220)</f>
        <v>0</v>
      </c>
      <c r="AJ220" s="27">
        <f>IF(AI220+1&lt;=$G220,AI220+1,($G220-AI220)+AI220)</f>
        <v>0</v>
      </c>
      <c r="AK220" s="27">
        <f>IF(AJ220+11&lt;=$G220,AJ220+11,($G220-AJ220)+AJ220)</f>
        <v>0</v>
      </c>
      <c r="AL220" s="27">
        <f>IF(AK220+1&lt;=$G220,AK220+1,($G220-AK220)+AK220)</f>
        <v>0</v>
      </c>
      <c r="AM220" s="27">
        <f>IF(AL220+11&lt;=$G220,AL220+11,($G220-AL220)+AL220)</f>
        <v>0</v>
      </c>
      <c r="AN220" s="27">
        <f>IF(AM220+1&lt;=$G220,AM220+1,($G220-AM220)+AM220)</f>
        <v>0</v>
      </c>
      <c r="AO220" s="27">
        <f>IF(AN220+11&lt;=$G220,AN220+11,($G220-AN220)+AN220)</f>
        <v>0</v>
      </c>
      <c r="AP220" s="27">
        <f>IF(AO220+1&lt;=$G220,AO220+1,($G220-AO220)+AO220)</f>
        <v>0</v>
      </c>
      <c r="AQ220" s="27">
        <f>IF(AP220+11&lt;=$G220,AP220+11,($G220-AP220)+AP220)</f>
        <v>0</v>
      </c>
      <c r="AR220" s="27">
        <f>IF(AQ220+1&lt;=$G220,AQ220+1,($G220-AQ220)+AQ220)</f>
        <v>0</v>
      </c>
      <c r="AS220" s="27">
        <f>IF(AR220+11&lt;=$G220,AR220+11,($G220-AR220)+AR220)</f>
        <v>0</v>
      </c>
      <c r="AT220" s="27">
        <f>IF(AS220+1&lt;=$G220,AS220+1,($G220-AS220)+AS220)</f>
        <v>0</v>
      </c>
      <c r="AU220" s="27">
        <f>IF(AT220+11&lt;=$G220,AT220+11,($G220-AT220)+AT220)</f>
        <v>0</v>
      </c>
      <c r="AV220" s="27">
        <f>IF(AU220+1&lt;=$G220,AU220+1,($G220-AU220)+AU220)</f>
        <v>0</v>
      </c>
      <c r="AW220" s="27">
        <f>IF(AV220+11&lt;=$G220,AV220+11,($G220-AV220)+AV220)</f>
        <v>0</v>
      </c>
      <c r="AX220" s="27">
        <f>IF(AW220+1&lt;=$G220,AW220+1,($G220-AW220)+AW220)</f>
        <v>0</v>
      </c>
      <c r="AY220" s="27">
        <f>IF(AX220+11&lt;=$G220,AX220+11,($G220-AX220)+AX220)</f>
        <v>0</v>
      </c>
      <c r="AZ220" s="27">
        <f>IF(AY220+1&lt;=$G220,AY220+1,($G220-AY220)+AY220)</f>
        <v>0</v>
      </c>
      <c r="BA220" s="27">
        <f>IF(AZ220+35&lt;=$G220,AZ220+35,($G220-AZ220)+AZ220)</f>
        <v>0</v>
      </c>
      <c r="BB220" s="27">
        <f>IF(BA220+1&lt;=$G220,BA220+1,($G220-BA220)+BA220)</f>
        <v>0</v>
      </c>
      <c r="BC220" s="27">
        <f>IF(BB220+59&lt;=$G220,BB220+59,($G220-BB220)+BB220)</f>
        <v>0</v>
      </c>
      <c r="BD220" s="61">
        <f>IF(BC220+1&lt;=$G220,BC220+1,($G220-BC220)+BC220)</f>
        <v>0</v>
      </c>
      <c r="BE220" s="27">
        <f>IF(BD220+239&lt;=$G220,BD220+239,($G220-BD220)+BD220)</f>
        <v>0</v>
      </c>
      <c r="BF220" s="27">
        <f>IF(BE220+1&lt;=$G220,BE220+1,($G220-BE220)+BE220)</f>
        <v>0</v>
      </c>
      <c r="BG220" s="27">
        <f>IF(BF220+11&lt;=$G220,BF220+11,($G220-BF220)+BF220)</f>
        <v>0</v>
      </c>
      <c r="FJ220" s="61"/>
    </row>
    <row r="221" spans="2:166" s="27" customFormat="1" ht="11.25" hidden="1" x14ac:dyDescent="0.2">
      <c r="B221" s="60"/>
      <c r="H221" s="27">
        <v>1</v>
      </c>
      <c r="I221" s="27">
        <f>+I220</f>
        <v>-65</v>
      </c>
      <c r="J221" s="27">
        <f>IF(I221=$G220,0,J220)</f>
        <v>-64</v>
      </c>
      <c r="K221" s="27">
        <f>+K220</f>
        <v>-53</v>
      </c>
      <c r="L221" s="27">
        <f>IF(K221=$G220,0,L220)</f>
        <v>-52</v>
      </c>
      <c r="M221" s="27">
        <f>+M220</f>
        <v>-41</v>
      </c>
      <c r="N221" s="27">
        <f>IF(M221=$G220,0,N220)</f>
        <v>-40</v>
      </c>
      <c r="O221" s="27">
        <f>+O220</f>
        <v>-29</v>
      </c>
      <c r="P221" s="27">
        <f>IF(O221=$G220,0,P220)</f>
        <v>-28</v>
      </c>
      <c r="Q221" s="27">
        <f>+Q220</f>
        <v>-17</v>
      </c>
      <c r="R221" s="27">
        <f>IF(Q221=$G220,0,R220)</f>
        <v>-16</v>
      </c>
      <c r="S221" s="27">
        <f>+S220</f>
        <v>-5</v>
      </c>
      <c r="T221" s="27">
        <f>IF(S221=$G220,0,T220)</f>
        <v>-4</v>
      </c>
      <c r="U221" s="27">
        <f>+U220</f>
        <v>0</v>
      </c>
      <c r="V221" s="27">
        <f>IF(U221=$G220,0,V220)</f>
        <v>0</v>
      </c>
      <c r="W221" s="27">
        <f>+W220</f>
        <v>0</v>
      </c>
      <c r="X221" s="27">
        <f>IF(W221=$G220,0,X220)</f>
        <v>0</v>
      </c>
      <c r="Y221" s="27">
        <f>+Y220</f>
        <v>0</v>
      </c>
      <c r="Z221" s="27">
        <f>IF(Y221=$G220,0,Z220)</f>
        <v>0</v>
      </c>
      <c r="AA221" s="27">
        <f>+AA220</f>
        <v>0</v>
      </c>
      <c r="AB221" s="27">
        <f>IF(AA221=$G220,0,AB220)</f>
        <v>0</v>
      </c>
      <c r="AC221" s="27">
        <f>+AC220</f>
        <v>0</v>
      </c>
      <c r="AD221" s="27">
        <f>IF(AC221=$G220,0,AD220)</f>
        <v>0</v>
      </c>
      <c r="AE221" s="27">
        <f>+AE220</f>
        <v>0</v>
      </c>
      <c r="AF221" s="27">
        <f>IF(AE221=$G220,0,AF220)</f>
        <v>0</v>
      </c>
      <c r="AG221" s="27">
        <f>+AG220</f>
        <v>0</v>
      </c>
      <c r="AH221" s="27">
        <f>IF(AG221=$G220,0,AH220)</f>
        <v>0</v>
      </c>
      <c r="AI221" s="27">
        <f>+AI220</f>
        <v>0</v>
      </c>
      <c r="AJ221" s="27">
        <f>IF(AI221=$G220,0,AJ220)</f>
        <v>0</v>
      </c>
      <c r="AK221" s="27">
        <f>+AK220</f>
        <v>0</v>
      </c>
      <c r="AL221" s="27">
        <f>IF(AK221=$G220,0,AL220)</f>
        <v>0</v>
      </c>
      <c r="AM221" s="27">
        <f>+AM220</f>
        <v>0</v>
      </c>
      <c r="AN221" s="27">
        <f>IF(AM221=$G220,0,AN220)</f>
        <v>0</v>
      </c>
      <c r="AO221" s="27">
        <f>+AO220</f>
        <v>0</v>
      </c>
      <c r="AP221" s="27">
        <f>IF(AO221=$G220,0,AP220)</f>
        <v>0</v>
      </c>
      <c r="AQ221" s="27">
        <f>+AQ220</f>
        <v>0</v>
      </c>
      <c r="AR221" s="27">
        <f>IF(AQ221=$G220,0,AR220)</f>
        <v>0</v>
      </c>
      <c r="AS221" s="27">
        <f>+AS220</f>
        <v>0</v>
      </c>
      <c r="AT221" s="27">
        <f>IF(AS221=$G220,0,AT220)</f>
        <v>0</v>
      </c>
      <c r="AU221" s="27">
        <f>+AU220</f>
        <v>0</v>
      </c>
      <c r="AV221" s="27">
        <f>IF(AU221=$G220,0,AV220)</f>
        <v>0</v>
      </c>
      <c r="AW221" s="27">
        <f>+AW220</f>
        <v>0</v>
      </c>
      <c r="AX221" s="27">
        <f>IF(AW221=$G220,0,AX220)</f>
        <v>0</v>
      </c>
      <c r="AY221" s="27">
        <f>+AY220</f>
        <v>0</v>
      </c>
      <c r="AZ221" s="27">
        <f>IF(AY221=$G220,0,AZ220)</f>
        <v>0</v>
      </c>
      <c r="BA221" s="27">
        <f>+BA220</f>
        <v>0</v>
      </c>
      <c r="BB221" s="27">
        <f>IF(BA221=$G220,0,BB220)</f>
        <v>0</v>
      </c>
      <c r="BC221" s="27">
        <f>+BC220</f>
        <v>0</v>
      </c>
      <c r="BD221" s="61">
        <f>IF(BC221=$G220,0,BD220)</f>
        <v>0</v>
      </c>
      <c r="BE221" s="27">
        <f>+BE220</f>
        <v>0</v>
      </c>
      <c r="BF221" s="27">
        <f>IF(BE221=$G220,0,BF220)</f>
        <v>0</v>
      </c>
      <c r="BG221" s="27">
        <f>+BG220</f>
        <v>0</v>
      </c>
      <c r="FJ221" s="61"/>
    </row>
    <row r="222" spans="2:166" s="27" customFormat="1" ht="11.25" hidden="1" x14ac:dyDescent="0.2">
      <c r="B222" s="60"/>
      <c r="F222" s="27">
        <f>SUMIF(H222:BG222,"&gt;0")</f>
        <v>0</v>
      </c>
      <c r="G222" s="27" t="s">
        <v>632</v>
      </c>
      <c r="I222" s="27" t="e">
        <f>-CUMPRINC($F220/12,$E220*12,$D220,H221,I221,0)</f>
        <v>#NUM!</v>
      </c>
      <c r="K222" s="27" t="e">
        <f>-CUMPRINC($F220/12,$E220*12,$D220,J221,K221,0)</f>
        <v>#NUM!</v>
      </c>
      <c r="M222" s="27" t="e">
        <f>-CUMPRINC($F220/12,$E220*12,$D220,L221,M221,0)</f>
        <v>#NUM!</v>
      </c>
      <c r="O222" s="27" t="e">
        <f>-CUMPRINC($F220/12,$E220*12,$D220,N221,O221,0)</f>
        <v>#NUM!</v>
      </c>
      <c r="Q222" s="27" t="e">
        <f>-CUMPRINC($F220/12,$E220*12,$D220,P221,Q221,0)</f>
        <v>#NUM!</v>
      </c>
      <c r="S222" s="27" t="e">
        <f>-CUMPRINC($F220/12,$E220*12,$D220,R221,S221,0)</f>
        <v>#NUM!</v>
      </c>
      <c r="U222" s="27" t="e">
        <f>-CUMPRINC($F220/12,$E220*12,$D220,T221,U221,0)</f>
        <v>#NUM!</v>
      </c>
      <c r="W222" s="27" t="e">
        <f>-CUMPRINC($F220/12,$E220*12,$D220,V221,W221,0)</f>
        <v>#NUM!</v>
      </c>
      <c r="Y222" s="27" t="e">
        <f>-CUMPRINC($F220/12,$E220*12,$D220,X221,Y221,0)</f>
        <v>#NUM!</v>
      </c>
      <c r="AA222" s="27" t="e">
        <f>-CUMPRINC($F220/12,$E220*12,$D220,Z221,AA221,0)</f>
        <v>#NUM!</v>
      </c>
      <c r="AC222" s="27" t="e">
        <f>-CUMPRINC($F220/12,$E220*12,$D220,AB221,AC221,0)</f>
        <v>#NUM!</v>
      </c>
      <c r="AE222" s="27" t="e">
        <f>-CUMPRINC($F220/12,$E220*12,$D220,AD221,AE221,0)</f>
        <v>#NUM!</v>
      </c>
      <c r="AG222" s="27" t="e">
        <f>-CUMPRINC($F220/12,$E220*12,$D220,AF221,AG221,0)</f>
        <v>#NUM!</v>
      </c>
      <c r="AI222" s="27" t="e">
        <f>-CUMPRINC($F220/12,$E220*12,$D220,AH221,AI221,0)</f>
        <v>#NUM!</v>
      </c>
      <c r="AK222" s="27" t="e">
        <f>-CUMPRINC($F220/12,$E220*12,$D220,AJ221,AK221,0)</f>
        <v>#NUM!</v>
      </c>
      <c r="AM222" s="27" t="e">
        <f>-CUMPRINC($F220/12,$E220*12,$D220,AL221,AM221,0)</f>
        <v>#NUM!</v>
      </c>
      <c r="AO222" s="27" t="e">
        <f>-CUMPRINC($F220/12,$E220*12,$D220,AN221,AO221,0)</f>
        <v>#NUM!</v>
      </c>
      <c r="AQ222" s="27" t="e">
        <f>-CUMPRINC($F220/12,$E220*12,$D220,AP221,AQ221,0)</f>
        <v>#NUM!</v>
      </c>
      <c r="AS222" s="27" t="e">
        <f>-CUMPRINC($F220/12,$E220*12,$D220,AR221,AS221,0)</f>
        <v>#NUM!</v>
      </c>
      <c r="AU222" s="27" t="e">
        <f>-CUMPRINC($F220/12,$E220*12,$D220,AT221,AU221,0)</f>
        <v>#NUM!</v>
      </c>
      <c r="AW222" s="27" t="e">
        <f>-CUMPRINC($F220/12,$E220*12,$D220,AV221,AW221,0)</f>
        <v>#NUM!</v>
      </c>
      <c r="AY222" s="27" t="e">
        <f>-CUMPRINC($F220/12,$E220*12,$D220,AX221,AY221,0)</f>
        <v>#NUM!</v>
      </c>
      <c r="BA222" s="27" t="e">
        <f>-CUMPRINC($F220/12,$E220*12,$D220,AZ221,BA221,0)</f>
        <v>#NUM!</v>
      </c>
      <c r="BC222" s="27" t="e">
        <f>-CUMPRINC($F220/12,$E220*12,$D220,BB221,BC221,0)</f>
        <v>#NUM!</v>
      </c>
      <c r="BD222" s="61"/>
      <c r="BE222" s="27" t="e">
        <f>-CUMPRINC($F220/12,$E220*12,$D220,BD221,BE221,0)</f>
        <v>#NUM!</v>
      </c>
      <c r="BG222" s="27" t="e">
        <f>-CUMPRINC($F220/12,$E220*12,$D220,BF221,BG221,0)</f>
        <v>#NUM!</v>
      </c>
      <c r="BH222" s="27" t="s">
        <v>783</v>
      </c>
      <c r="BJ222" s="27" t="e">
        <f>-CUMIPMT($F220/12,$E220*12,$D220,H221,I221,0)</f>
        <v>#NUM!</v>
      </c>
      <c r="BL222" s="27" t="e">
        <f>-CUMIPMT($F220/12,$E220*12,$D220,J221,K221,0)</f>
        <v>#NUM!</v>
      </c>
      <c r="BN222" s="27" t="e">
        <f>-CUMIPMT($F220/12,$E220*12,$D220,L221,M221,0)</f>
        <v>#NUM!</v>
      </c>
      <c r="BP222" s="27" t="e">
        <f>-CUMIPMT($F220/12,$E220*12,$D220,N221,O221,0)</f>
        <v>#NUM!</v>
      </c>
      <c r="BR222" s="27" t="e">
        <f>-CUMIPMT($F220/12,$E220*12,$D220,P221,Q221,0)</f>
        <v>#NUM!</v>
      </c>
      <c r="BT222" s="27" t="e">
        <f>-CUMIPMT($F220/12,$E220*12,$D220,R221,S221,0)</f>
        <v>#NUM!</v>
      </c>
      <c r="BV222" s="27" t="e">
        <f>-CUMIPMT($F220/12,$E220*12,$D220,T221,U221,0)</f>
        <v>#NUM!</v>
      </c>
      <c r="BX222" s="27" t="e">
        <f>-CUMIPMT($F220/12,$E220*12,$D220,V221,W221,0)</f>
        <v>#NUM!</v>
      </c>
      <c r="BZ222" s="27" t="e">
        <f>-CUMIPMT($F220/12,$E220*12,$D220,X221,Y221,0)</f>
        <v>#NUM!</v>
      </c>
      <c r="CB222" s="27" t="e">
        <f>-CUMIPMT($F220/12,$E220*12,$D220,Z221,AA221,0)</f>
        <v>#NUM!</v>
      </c>
      <c r="CD222" s="27" t="e">
        <f>-CUMIPMT($F220/12,$E220*12,$D220,AB221,AC221,0)</f>
        <v>#NUM!</v>
      </c>
      <c r="CF222" s="27" t="e">
        <f>-CUMIPMT($F220/12,$E220*12,$D220,AD221,AE221,0)</f>
        <v>#NUM!</v>
      </c>
      <c r="CH222" s="27" t="e">
        <f>-CUMIPMT($F220/12,$E220*12,$D220,AF221,AG221,0)</f>
        <v>#NUM!</v>
      </c>
      <c r="CJ222" s="27" t="e">
        <f>-CUMIPMT($F220/12,$E220*12,$D220,AH221,AI221,0)</f>
        <v>#NUM!</v>
      </c>
      <c r="CL222" s="27" t="e">
        <f>-CUMIPMT($F220/12,$E220*12,$D220,AJ221,AK221,0)</f>
        <v>#NUM!</v>
      </c>
      <c r="CN222" s="27" t="e">
        <f>-CUMIPMT($F220/12,$E220*12,$D220,AL221,AM221,0)</f>
        <v>#NUM!</v>
      </c>
      <c r="CP222" s="27" t="e">
        <f>-CUMIPMT($F220/12,$E220*12,$D220,AN221,AO221,0)</f>
        <v>#NUM!</v>
      </c>
      <c r="CR222" s="27" t="e">
        <f>-CUMIPMT($F220/12,$E220*12,$D220,AP221,AQ221,0)</f>
        <v>#NUM!</v>
      </c>
      <c r="CT222" s="27" t="e">
        <f>-CUMIPMT($F220/12,$E220*12,$D220,AR221,AS221,0)</f>
        <v>#NUM!</v>
      </c>
      <c r="CV222" s="27" t="e">
        <f>-CUMIPMT($F220/12,$E220*12,$D220,AT221,AU221,0)</f>
        <v>#NUM!</v>
      </c>
      <c r="CX222" s="27" t="e">
        <f>-CUMIPMT($F220/12,$E220*12,$D220,AV221,AW221,0)</f>
        <v>#NUM!</v>
      </c>
      <c r="CZ222" s="27" t="e">
        <f>-CUMIPMT($F220/12,$E220*12,$D220,AX221,AY221,0)</f>
        <v>#NUM!</v>
      </c>
      <c r="DB222" s="27" t="e">
        <f>-CUMIPMT($F220/12,$E220*12,$D220,AZ221,BA221,0)</f>
        <v>#NUM!</v>
      </c>
      <c r="DD222" s="27" t="e">
        <f>-CUMIPMT($F220/12,$E220*12,$D220,BB221,BC221,0)</f>
        <v>#NUM!</v>
      </c>
      <c r="DF222" s="27" t="e">
        <f>-CUMIPMT($F220/12,$E220*12,$D220,BD221,BE221,0)</f>
        <v>#NUM!</v>
      </c>
      <c r="DH222" s="27" t="e">
        <f>-CUMIPMT($F220/12,$E220*12,$D220,BF221,BG221,0)</f>
        <v>#NUM!</v>
      </c>
      <c r="DI222" s="27" t="s">
        <v>784</v>
      </c>
      <c r="DJ222" s="27" t="s">
        <v>785</v>
      </c>
      <c r="DK222" s="27">
        <f>+F222</f>
        <v>0</v>
      </c>
      <c r="DL222" s="27" t="e">
        <f>+DK222-I222</f>
        <v>#NUM!</v>
      </c>
      <c r="DN222" s="27" t="e">
        <f>+DL222-K222</f>
        <v>#NUM!</v>
      </c>
      <c r="DP222" s="27" t="e">
        <f>+DN222-M222</f>
        <v>#NUM!</v>
      </c>
      <c r="DR222" s="27" t="e">
        <f>+DP222-O222</f>
        <v>#NUM!</v>
      </c>
      <c r="DT222" s="27" t="e">
        <f>+DR222-Q222</f>
        <v>#NUM!</v>
      </c>
      <c r="DV222" s="27" t="e">
        <f>+DT222-S222</f>
        <v>#NUM!</v>
      </c>
      <c r="DX222" s="27" t="e">
        <f>+DV222-U222</f>
        <v>#NUM!</v>
      </c>
      <c r="DZ222" s="27" t="e">
        <f>+DX222-W222</f>
        <v>#NUM!</v>
      </c>
      <c r="EB222" s="27" t="e">
        <f>+DZ222-Y222</f>
        <v>#NUM!</v>
      </c>
      <c r="ED222" s="27" t="e">
        <f>+EB222-AA222</f>
        <v>#NUM!</v>
      </c>
      <c r="EF222" s="27" t="e">
        <f>+ED222-AC222</f>
        <v>#NUM!</v>
      </c>
      <c r="EH222" s="27" t="e">
        <f>+EF222-AE222</f>
        <v>#NUM!</v>
      </c>
      <c r="EJ222" s="27" t="e">
        <f>+EH222-AG222</f>
        <v>#NUM!</v>
      </c>
      <c r="EL222" s="27" t="e">
        <f>+EJ222-AI222</f>
        <v>#NUM!</v>
      </c>
      <c r="EN222" s="27" t="e">
        <f>+EL222-AK222</f>
        <v>#NUM!</v>
      </c>
      <c r="EP222" s="27" t="e">
        <f>+EN222-AM222</f>
        <v>#NUM!</v>
      </c>
      <c r="ER222" s="27" t="e">
        <f>+EP222-AO222</f>
        <v>#NUM!</v>
      </c>
      <c r="ET222" s="27" t="e">
        <f>+ER222-AQ222</f>
        <v>#NUM!</v>
      </c>
      <c r="EV222" s="27" t="e">
        <f>+ET222-AS222</f>
        <v>#NUM!</v>
      </c>
      <c r="EX222" s="27" t="e">
        <f>+EV222-AU222</f>
        <v>#NUM!</v>
      </c>
      <c r="EZ222" s="27" t="e">
        <f>+EX222-AW222</f>
        <v>#NUM!</v>
      </c>
      <c r="FB222" s="27" t="e">
        <f>+EZ222-AY222</f>
        <v>#NUM!</v>
      </c>
      <c r="FD222" s="27" t="e">
        <f>+FB222-BA222</f>
        <v>#NUM!</v>
      </c>
      <c r="FF222" s="27" t="e">
        <f>+FD222-BC222</f>
        <v>#NUM!</v>
      </c>
      <c r="FH222" s="27" t="e">
        <f>+FF222-BE222</f>
        <v>#NUM!</v>
      </c>
      <c r="FJ222" s="61" t="e">
        <f>+FH222-BG222</f>
        <v>#NUM!</v>
      </c>
    </row>
    <row r="223" spans="2:166" s="27" customFormat="1" ht="11.25" hidden="1" x14ac:dyDescent="0.2">
      <c r="B223" s="60"/>
      <c r="E223" s="27">
        <f>+F222+F223</f>
        <v>0</v>
      </c>
      <c r="F223" s="27">
        <f>SUMIF(BI222:DH222,"&gt;0")</f>
        <v>0</v>
      </c>
      <c r="I223" s="27">
        <f>IF(ISERROR(I222)=FALSE,I222,0)</f>
        <v>0</v>
      </c>
      <c r="K223" s="27">
        <f>IF(ISERROR(K222)=FALSE,K222,0)</f>
        <v>0</v>
      </c>
      <c r="M223" s="27">
        <f>IF(ISERROR(M222)=FALSE,M222,0)</f>
        <v>0</v>
      </c>
      <c r="O223" s="27">
        <f>IF(ISERROR(O222)=FALSE,O222,0)</f>
        <v>0</v>
      </c>
      <c r="Q223" s="27">
        <f>IF(ISERROR(Q222)=FALSE,Q222,0)</f>
        <v>0</v>
      </c>
      <c r="S223" s="27">
        <f>IF(ISERROR(S222)=FALSE,S222,0)</f>
        <v>0</v>
      </c>
      <c r="U223" s="27">
        <f>IF(ISERROR(U222)=FALSE,U222,0)</f>
        <v>0</v>
      </c>
      <c r="W223" s="27">
        <f>IF(ISERROR(W222)=FALSE,W222,0)</f>
        <v>0</v>
      </c>
      <c r="Y223" s="27">
        <f>IF(ISERROR(Y222)=FALSE,Y222,0)</f>
        <v>0</v>
      </c>
      <c r="AA223" s="27">
        <f>IF(ISERROR(AA222)=FALSE,AA222,0)</f>
        <v>0</v>
      </c>
      <c r="AC223" s="27">
        <f>IF(ISERROR(AC222)=FALSE,AC222,0)</f>
        <v>0</v>
      </c>
      <c r="AE223" s="27">
        <f>IF(ISERROR(AE222)=FALSE,AE222,0)</f>
        <v>0</v>
      </c>
      <c r="AG223" s="27">
        <f>IF(ISERROR(AG222)=FALSE,AG222,0)</f>
        <v>0</v>
      </c>
      <c r="AI223" s="27">
        <f>IF(ISERROR(AI222)=FALSE,AI222,0)</f>
        <v>0</v>
      </c>
      <c r="AK223" s="27">
        <f>IF(ISERROR(AK222)=FALSE,AK222,0)</f>
        <v>0</v>
      </c>
      <c r="AM223" s="27">
        <f>IF(ISERROR(AM222)=FALSE,AM222,0)</f>
        <v>0</v>
      </c>
      <c r="AO223" s="27">
        <f>IF(ISERROR(AO222)=FALSE,AO222,0)</f>
        <v>0</v>
      </c>
      <c r="AQ223" s="27">
        <f>IF(ISERROR(AQ222)=FALSE,AQ222,0)</f>
        <v>0</v>
      </c>
      <c r="AS223" s="27">
        <f>IF(ISERROR(AS222)=FALSE,AS222,0)</f>
        <v>0</v>
      </c>
      <c r="AU223" s="27">
        <f>IF(ISERROR(AU222)=FALSE,AU222,0)</f>
        <v>0</v>
      </c>
      <c r="AW223" s="27">
        <f>IF(ISERROR(AW222)=FALSE,AW222,0)</f>
        <v>0</v>
      </c>
      <c r="AY223" s="27">
        <f>IF(ISERROR(AY222)=FALSE,AY222,0)</f>
        <v>0</v>
      </c>
      <c r="BA223" s="27">
        <f>IF(ISERROR(BA222)=FALSE,BA222,0)</f>
        <v>0</v>
      </c>
      <c r="BC223" s="27">
        <f>IF(ISERROR(BC222)=FALSE,BC222,0)</f>
        <v>0</v>
      </c>
      <c r="BD223" s="61"/>
      <c r="BE223" s="27">
        <f>IF(ISERROR(BE222)=FALSE,BE222,0)</f>
        <v>0</v>
      </c>
      <c r="BG223" s="27">
        <f>IF(ISERROR(BG222)=FALSE,BG222,0)</f>
        <v>0</v>
      </c>
      <c r="FJ223" s="61"/>
    </row>
    <row r="224" spans="2:166" s="27" customFormat="1" ht="11.25" hidden="1" x14ac:dyDescent="0.2">
      <c r="B224" s="60"/>
      <c r="D224" s="27" t="s">
        <v>630</v>
      </c>
      <c r="E224" s="27">
        <f>IF(E220=0,0,E223/(E220*12))</f>
        <v>0</v>
      </c>
      <c r="BD224" s="61"/>
      <c r="FJ224" s="61"/>
    </row>
    <row r="225" spans="2:166" s="27" customFormat="1" ht="11.25" hidden="1" x14ac:dyDescent="0.2">
      <c r="B225" s="60"/>
      <c r="C225" s="27">
        <f>C125</f>
        <v>0</v>
      </c>
      <c r="D225" s="27">
        <f>D125</f>
        <v>0</v>
      </c>
      <c r="E225" s="27">
        <f>E125</f>
        <v>0</v>
      </c>
      <c r="F225" s="27">
        <f>F125</f>
        <v>0</v>
      </c>
      <c r="G225" s="27">
        <f>+$E225*12</f>
        <v>0</v>
      </c>
      <c r="H225" s="27">
        <f>SUMIF($W125:$AH125,$D125,$W$108:$AH$108)</f>
        <v>78</v>
      </c>
      <c r="I225" s="27">
        <f>13-H225</f>
        <v>-65</v>
      </c>
      <c r="J225" s="27">
        <f>IF(I225+1&lt;=$G225,I225+1,($G225-I225)+I225)</f>
        <v>-64</v>
      </c>
      <c r="K225" s="27">
        <f>IF(J225+11&lt;=$G225,J225+11,($G225-J225)+J225)</f>
        <v>-53</v>
      </c>
      <c r="L225" s="27">
        <f>IF(K225+1&lt;=$G225,K225+1,($G225-K225)+K225)</f>
        <v>-52</v>
      </c>
      <c r="M225" s="27">
        <f>IF(L225+11&lt;=$G225,L225+11,($G225-L225)+L225)</f>
        <v>-41</v>
      </c>
      <c r="N225" s="27">
        <f>IF(M225+1&lt;=$G225,M225+1,($G225-M225)+M225)</f>
        <v>-40</v>
      </c>
      <c r="O225" s="27">
        <f>IF(N225+11&lt;=$G225,N225+11,($G225-N225)+N225)</f>
        <v>-29</v>
      </c>
      <c r="P225" s="27">
        <f>IF(O225+1&lt;=$G225,O225+1,($G225-O225)+O225)</f>
        <v>-28</v>
      </c>
      <c r="Q225" s="27">
        <f>IF(P225+11&lt;=$G225,P225+11,($G225-P225)+P225)</f>
        <v>-17</v>
      </c>
      <c r="R225" s="27">
        <f>IF(Q225+1&lt;=$G225,Q225+1,($G225-Q225)+Q225)</f>
        <v>-16</v>
      </c>
      <c r="S225" s="27">
        <f>IF(R225+11&lt;=$G225,R225+11,($G225-R225)+R225)</f>
        <v>-5</v>
      </c>
      <c r="T225" s="27">
        <f>IF(S225+1&lt;=$G225,S225+1,($G225-S225)+S225)</f>
        <v>-4</v>
      </c>
      <c r="U225" s="27">
        <f>IF(T225+11&lt;=$G225,T225+11,($G225-T225)+T225)</f>
        <v>0</v>
      </c>
      <c r="V225" s="27">
        <f>IF(U225+1&lt;=$G225,U225+1,($G225-U225)+U225)</f>
        <v>0</v>
      </c>
      <c r="W225" s="27">
        <f>IF(V225+11&lt;=$G225,V225+11,($G225-V225)+V225)</f>
        <v>0</v>
      </c>
      <c r="X225" s="27">
        <f>IF(W225+1&lt;=$G225,W225+1,($G225-W225)+W225)</f>
        <v>0</v>
      </c>
      <c r="Y225" s="27">
        <f>IF(X225+11&lt;=$G225,X225+11,($G225-X225)+X225)</f>
        <v>0</v>
      </c>
      <c r="Z225" s="27">
        <f>IF(Y225+1&lt;=$G225,Y225+1,($G225-Y225)+Y225)</f>
        <v>0</v>
      </c>
      <c r="AA225" s="27">
        <f>IF(Z225+11&lt;=$G225,Z225+11,($G225-Z225)+Z225)</f>
        <v>0</v>
      </c>
      <c r="AB225" s="27">
        <f>IF(AA225+1&lt;=$G225,AA225+1,($G225-AA225)+AA225)</f>
        <v>0</v>
      </c>
      <c r="AC225" s="27">
        <f>IF(AB225+11&lt;=$G225,AB225+11,($G225-AB225)+AB225)</f>
        <v>0</v>
      </c>
      <c r="AD225" s="27">
        <f>IF(AC225+1&lt;=$G225,AC225+1,($G225-AC225)+AC225)</f>
        <v>0</v>
      </c>
      <c r="AE225" s="27">
        <f>IF(AD225+11&lt;=$G225,AD225+11,($G225-AD225)+AD225)</f>
        <v>0</v>
      </c>
      <c r="AF225" s="27">
        <f>IF(AE225+1&lt;=$G225,AE225+1,($G225-AE225)+AE225)</f>
        <v>0</v>
      </c>
      <c r="AG225" s="27">
        <f>IF(AF225+11&lt;=$G225,AF225+11,($G225-AF225)+AF225)</f>
        <v>0</v>
      </c>
      <c r="AH225" s="27">
        <f>IF(AG225+1&lt;=$G225,AG225+1,($G225-AG225)+AG225)</f>
        <v>0</v>
      </c>
      <c r="AI225" s="27">
        <f>IF(AH225+11&lt;=$G225,AH225+11,($G225-AH225)+AH225)</f>
        <v>0</v>
      </c>
      <c r="AJ225" s="27">
        <f>IF(AI225+1&lt;=$G225,AI225+1,($G225-AI225)+AI225)</f>
        <v>0</v>
      </c>
      <c r="AK225" s="27">
        <f>IF(AJ225+11&lt;=$G225,AJ225+11,($G225-AJ225)+AJ225)</f>
        <v>0</v>
      </c>
      <c r="AL225" s="27">
        <f>IF(AK225+1&lt;=$G225,AK225+1,($G225-AK225)+AK225)</f>
        <v>0</v>
      </c>
      <c r="AM225" s="27">
        <f>IF(AL225+11&lt;=$G225,AL225+11,($G225-AL225)+AL225)</f>
        <v>0</v>
      </c>
      <c r="AN225" s="27">
        <f>IF(AM225+1&lt;=$G225,AM225+1,($G225-AM225)+AM225)</f>
        <v>0</v>
      </c>
      <c r="AO225" s="27">
        <f>IF(AN225+11&lt;=$G225,AN225+11,($G225-AN225)+AN225)</f>
        <v>0</v>
      </c>
      <c r="AP225" s="27">
        <f>IF(AO225+1&lt;=$G225,AO225+1,($G225-AO225)+AO225)</f>
        <v>0</v>
      </c>
      <c r="AQ225" s="27">
        <f>IF(AP225+11&lt;=$G225,AP225+11,($G225-AP225)+AP225)</f>
        <v>0</v>
      </c>
      <c r="AR225" s="27">
        <f>IF(AQ225+1&lt;=$G225,AQ225+1,($G225-AQ225)+AQ225)</f>
        <v>0</v>
      </c>
      <c r="AS225" s="27">
        <f>IF(AR225+11&lt;=$G225,AR225+11,($G225-AR225)+AR225)</f>
        <v>0</v>
      </c>
      <c r="AT225" s="27">
        <f>IF(AS225+1&lt;=$G225,AS225+1,($G225-AS225)+AS225)</f>
        <v>0</v>
      </c>
      <c r="AU225" s="27">
        <f>IF(AT225+11&lt;=$G225,AT225+11,($G225-AT225)+AT225)</f>
        <v>0</v>
      </c>
      <c r="AV225" s="27">
        <f>IF(AU225+1&lt;=$G225,AU225+1,($G225-AU225)+AU225)</f>
        <v>0</v>
      </c>
      <c r="AW225" s="27">
        <f>IF(AV225+11&lt;=$G225,AV225+11,($G225-AV225)+AV225)</f>
        <v>0</v>
      </c>
      <c r="AX225" s="27">
        <f>IF(AW225+1&lt;=$G225,AW225+1,($G225-AW225)+AW225)</f>
        <v>0</v>
      </c>
      <c r="AY225" s="27">
        <f>IF(AX225+11&lt;=$G225,AX225+11,($G225-AX225)+AX225)</f>
        <v>0</v>
      </c>
      <c r="AZ225" s="27">
        <f>IF(AY225+1&lt;=$G225,AY225+1,($G225-AY225)+AY225)</f>
        <v>0</v>
      </c>
      <c r="BA225" s="27">
        <f>IF(AZ225+35&lt;=$G225,AZ225+35,($G225-AZ225)+AZ225)</f>
        <v>0</v>
      </c>
      <c r="BB225" s="27">
        <f>IF(BA225+1&lt;=$G225,BA225+1,($G225-BA225)+BA225)</f>
        <v>0</v>
      </c>
      <c r="BC225" s="27">
        <f>IF(BB225+59&lt;=$G225,BB225+59,($G225-BB225)+BB225)</f>
        <v>0</v>
      </c>
      <c r="BD225" s="61">
        <f>IF(BC225+1&lt;=$G225,BC225+1,($G225-BC225)+BC225)</f>
        <v>0</v>
      </c>
      <c r="BE225" s="27">
        <f>IF(BD225+239&lt;=$G225,BD225+239,($G225-BD225)+BD225)</f>
        <v>0</v>
      </c>
      <c r="BF225" s="27">
        <f>IF(BE225+1&lt;=$G225,BE225+1,($G225-BE225)+BE225)</f>
        <v>0</v>
      </c>
      <c r="BG225" s="27">
        <f>IF(BF225+11&lt;=$G225,BF225+11,($G225-BF225)+BF225)</f>
        <v>0</v>
      </c>
      <c r="FJ225" s="61"/>
    </row>
    <row r="226" spans="2:166" s="27" customFormat="1" ht="11.25" hidden="1" x14ac:dyDescent="0.2">
      <c r="B226" s="60"/>
      <c r="H226" s="27">
        <v>1</v>
      </c>
      <c r="I226" s="27">
        <f>+I225</f>
        <v>-65</v>
      </c>
      <c r="J226" s="27">
        <f>IF(I226=$G225,0,J225)</f>
        <v>-64</v>
      </c>
      <c r="K226" s="27">
        <f>+K225</f>
        <v>-53</v>
      </c>
      <c r="L226" s="27">
        <f>IF(K226=$G225,0,L225)</f>
        <v>-52</v>
      </c>
      <c r="M226" s="27">
        <f>+M225</f>
        <v>-41</v>
      </c>
      <c r="N226" s="27">
        <f>IF(M226=$G225,0,N225)</f>
        <v>-40</v>
      </c>
      <c r="O226" s="27">
        <f>+O225</f>
        <v>-29</v>
      </c>
      <c r="P226" s="27">
        <f>IF(O226=$G225,0,P225)</f>
        <v>-28</v>
      </c>
      <c r="Q226" s="27">
        <f>+Q225</f>
        <v>-17</v>
      </c>
      <c r="R226" s="27">
        <f>IF(Q226=$G225,0,R225)</f>
        <v>-16</v>
      </c>
      <c r="S226" s="27">
        <f>+S225</f>
        <v>-5</v>
      </c>
      <c r="T226" s="27">
        <f>IF(S226=$G225,0,T225)</f>
        <v>-4</v>
      </c>
      <c r="U226" s="27">
        <f>+U225</f>
        <v>0</v>
      </c>
      <c r="V226" s="27">
        <f>IF(U226=$G225,0,V225)</f>
        <v>0</v>
      </c>
      <c r="W226" s="27">
        <f>+W225</f>
        <v>0</v>
      </c>
      <c r="X226" s="27">
        <f>IF(W226=$G225,0,X225)</f>
        <v>0</v>
      </c>
      <c r="Y226" s="27">
        <f>+Y225</f>
        <v>0</v>
      </c>
      <c r="Z226" s="27">
        <f>IF(Y226=$G225,0,Z225)</f>
        <v>0</v>
      </c>
      <c r="AA226" s="27">
        <f>+AA225</f>
        <v>0</v>
      </c>
      <c r="AB226" s="27">
        <f>IF(AA226=$G225,0,AB225)</f>
        <v>0</v>
      </c>
      <c r="AC226" s="27">
        <f>+AC225</f>
        <v>0</v>
      </c>
      <c r="AD226" s="27">
        <f>IF(AC226=$G225,0,AD225)</f>
        <v>0</v>
      </c>
      <c r="AE226" s="27">
        <f>+AE225</f>
        <v>0</v>
      </c>
      <c r="AF226" s="27">
        <f>IF(AE226=$G225,0,AF225)</f>
        <v>0</v>
      </c>
      <c r="AG226" s="27">
        <f>+AG225</f>
        <v>0</v>
      </c>
      <c r="AH226" s="27">
        <f>IF(AG226=$G225,0,AH225)</f>
        <v>0</v>
      </c>
      <c r="AI226" s="27">
        <f>+AI225</f>
        <v>0</v>
      </c>
      <c r="AJ226" s="27">
        <f>IF(AI226=$G225,0,AJ225)</f>
        <v>0</v>
      </c>
      <c r="AK226" s="27">
        <f>+AK225</f>
        <v>0</v>
      </c>
      <c r="AL226" s="27">
        <f>IF(AK226=$G225,0,AL225)</f>
        <v>0</v>
      </c>
      <c r="AM226" s="27">
        <f>+AM225</f>
        <v>0</v>
      </c>
      <c r="AN226" s="27">
        <f>IF(AM226=$G225,0,AN225)</f>
        <v>0</v>
      </c>
      <c r="AO226" s="27">
        <f>+AO225</f>
        <v>0</v>
      </c>
      <c r="AP226" s="27">
        <f>IF(AO226=$G225,0,AP225)</f>
        <v>0</v>
      </c>
      <c r="AQ226" s="27">
        <f>+AQ225</f>
        <v>0</v>
      </c>
      <c r="AR226" s="27">
        <f>IF(AQ226=$G225,0,AR225)</f>
        <v>0</v>
      </c>
      <c r="AS226" s="27">
        <f>+AS225</f>
        <v>0</v>
      </c>
      <c r="AT226" s="27">
        <f>IF(AS226=$G225,0,AT225)</f>
        <v>0</v>
      </c>
      <c r="AU226" s="27">
        <f>+AU225</f>
        <v>0</v>
      </c>
      <c r="AV226" s="27">
        <f>IF(AU226=$G225,0,AV225)</f>
        <v>0</v>
      </c>
      <c r="AW226" s="27">
        <f>+AW225</f>
        <v>0</v>
      </c>
      <c r="AX226" s="27">
        <f>IF(AW226=$G225,0,AX225)</f>
        <v>0</v>
      </c>
      <c r="AY226" s="27">
        <f>+AY225</f>
        <v>0</v>
      </c>
      <c r="AZ226" s="27">
        <f>IF(AY226=$G225,0,AZ225)</f>
        <v>0</v>
      </c>
      <c r="BA226" s="27">
        <f>+BA225</f>
        <v>0</v>
      </c>
      <c r="BB226" s="27">
        <f>IF(BA226=$G225,0,BB225)</f>
        <v>0</v>
      </c>
      <c r="BC226" s="27">
        <f>+BC225</f>
        <v>0</v>
      </c>
      <c r="BD226" s="61">
        <f>IF(BC226=$G225,0,BD225)</f>
        <v>0</v>
      </c>
      <c r="BE226" s="27">
        <f>+BE225</f>
        <v>0</v>
      </c>
      <c r="BF226" s="27">
        <f>IF(BE226=$G225,0,BF225)</f>
        <v>0</v>
      </c>
      <c r="BG226" s="27">
        <f>+BG225</f>
        <v>0</v>
      </c>
      <c r="FJ226" s="61"/>
    </row>
    <row r="227" spans="2:166" s="27" customFormat="1" ht="11.25" hidden="1" x14ac:dyDescent="0.2">
      <c r="B227" s="60"/>
      <c r="F227" s="27">
        <f>SUMIF(H227:BG227,"&gt;0")</f>
        <v>0</v>
      </c>
      <c r="G227" s="27" t="s">
        <v>632</v>
      </c>
      <c r="I227" s="27" t="e">
        <f>-CUMPRINC($F225/12,$E225*12,$D225,H226,I226,0)</f>
        <v>#NUM!</v>
      </c>
      <c r="K227" s="27" t="e">
        <f>-CUMPRINC($F225/12,$E225*12,$D225,J226,K226,0)</f>
        <v>#NUM!</v>
      </c>
      <c r="M227" s="27" t="e">
        <f>-CUMPRINC($F225/12,$E225*12,$D225,L226,M226,0)</f>
        <v>#NUM!</v>
      </c>
      <c r="O227" s="27" t="e">
        <f>-CUMPRINC($F225/12,$E225*12,$D225,N226,O226,0)</f>
        <v>#NUM!</v>
      </c>
      <c r="Q227" s="27" t="e">
        <f>-CUMPRINC($F225/12,$E225*12,$D225,P226,Q226,0)</f>
        <v>#NUM!</v>
      </c>
      <c r="S227" s="27" t="e">
        <f>-CUMPRINC($F225/12,$E225*12,$D225,R226,S226,0)</f>
        <v>#NUM!</v>
      </c>
      <c r="U227" s="27" t="e">
        <f>-CUMPRINC($F225/12,$E225*12,$D225,T226,U226,0)</f>
        <v>#NUM!</v>
      </c>
      <c r="W227" s="27" t="e">
        <f>-CUMPRINC($F225/12,$E225*12,$D225,V226,W226,0)</f>
        <v>#NUM!</v>
      </c>
      <c r="Y227" s="27" t="e">
        <f>-CUMPRINC($F225/12,$E225*12,$D225,X226,Y226,0)</f>
        <v>#NUM!</v>
      </c>
      <c r="AA227" s="27" t="e">
        <f>-CUMPRINC($F225/12,$E225*12,$D225,Z226,AA226,0)</f>
        <v>#NUM!</v>
      </c>
      <c r="AC227" s="27" t="e">
        <f>-CUMPRINC($F225/12,$E225*12,$D225,AB226,AC226,0)</f>
        <v>#NUM!</v>
      </c>
      <c r="AE227" s="27" t="e">
        <f>-CUMPRINC($F225/12,$E225*12,$D225,AD226,AE226,0)</f>
        <v>#NUM!</v>
      </c>
      <c r="AG227" s="27" t="e">
        <f>-CUMPRINC($F225/12,$E225*12,$D225,AF226,AG226,0)</f>
        <v>#NUM!</v>
      </c>
      <c r="AI227" s="27" t="e">
        <f>-CUMPRINC($F225/12,$E225*12,$D225,AH226,AI226,0)</f>
        <v>#NUM!</v>
      </c>
      <c r="AK227" s="27" t="e">
        <f>-CUMPRINC($F225/12,$E225*12,$D225,AJ226,AK226,0)</f>
        <v>#NUM!</v>
      </c>
      <c r="AM227" s="27" t="e">
        <f>-CUMPRINC($F225/12,$E225*12,$D225,AL226,AM226,0)</f>
        <v>#NUM!</v>
      </c>
      <c r="AO227" s="27" t="e">
        <f>-CUMPRINC($F225/12,$E225*12,$D225,AN226,AO226,0)</f>
        <v>#NUM!</v>
      </c>
      <c r="AQ227" s="27" t="e">
        <f>-CUMPRINC($F225/12,$E225*12,$D225,AP226,AQ226,0)</f>
        <v>#NUM!</v>
      </c>
      <c r="AS227" s="27" t="e">
        <f>-CUMPRINC($F225/12,$E225*12,$D225,AR226,AS226,0)</f>
        <v>#NUM!</v>
      </c>
      <c r="AU227" s="27" t="e">
        <f>-CUMPRINC($F225/12,$E225*12,$D225,AT226,AU226,0)</f>
        <v>#NUM!</v>
      </c>
      <c r="AW227" s="27" t="e">
        <f>-CUMPRINC($F225/12,$E225*12,$D225,AV226,AW226,0)</f>
        <v>#NUM!</v>
      </c>
      <c r="AY227" s="27" t="e">
        <f>-CUMPRINC($F225/12,$E225*12,$D225,AX226,AY226,0)</f>
        <v>#NUM!</v>
      </c>
      <c r="BA227" s="27" t="e">
        <f>-CUMPRINC($F225/12,$E225*12,$D225,AZ226,BA226,0)</f>
        <v>#NUM!</v>
      </c>
      <c r="BC227" s="27" t="e">
        <f>-CUMPRINC($F225/12,$E225*12,$D225,BB226,BC226,0)</f>
        <v>#NUM!</v>
      </c>
      <c r="BD227" s="61"/>
      <c r="BE227" s="27" t="e">
        <f>-CUMPRINC($F225/12,$E225*12,$D225,BD226,BE226,0)</f>
        <v>#NUM!</v>
      </c>
      <c r="BG227" s="27" t="e">
        <f>-CUMPRINC($F225/12,$E225*12,$D225,BF226,BG226,0)</f>
        <v>#NUM!</v>
      </c>
      <c r="BH227" s="27" t="s">
        <v>783</v>
      </c>
      <c r="BJ227" s="27" t="e">
        <f>-CUMIPMT($F225/12,$E225*12,$D225,H226,I226,0)</f>
        <v>#NUM!</v>
      </c>
      <c r="BL227" s="27" t="e">
        <f>-CUMIPMT($F225/12,$E225*12,$D225,J226,K226,0)</f>
        <v>#NUM!</v>
      </c>
      <c r="BN227" s="27" t="e">
        <f>-CUMIPMT($F225/12,$E225*12,$D225,L226,M226,0)</f>
        <v>#NUM!</v>
      </c>
      <c r="BP227" s="27" t="e">
        <f>-CUMIPMT($F225/12,$E225*12,$D225,N226,O226,0)</f>
        <v>#NUM!</v>
      </c>
      <c r="BR227" s="27" t="e">
        <f>-CUMIPMT($F225/12,$E225*12,$D225,P226,Q226,0)</f>
        <v>#NUM!</v>
      </c>
      <c r="BT227" s="27" t="e">
        <f>-CUMIPMT($F225/12,$E225*12,$D225,R226,S226,0)</f>
        <v>#NUM!</v>
      </c>
      <c r="BV227" s="27" t="e">
        <f>-CUMIPMT($F225/12,$E225*12,$D225,T226,U226,0)</f>
        <v>#NUM!</v>
      </c>
      <c r="BX227" s="27" t="e">
        <f>-CUMIPMT($F225/12,$E225*12,$D225,V226,W226,0)</f>
        <v>#NUM!</v>
      </c>
      <c r="BZ227" s="27" t="e">
        <f>-CUMIPMT($F225/12,$E225*12,$D225,X226,Y226,0)</f>
        <v>#NUM!</v>
      </c>
      <c r="CB227" s="27" t="e">
        <f>-CUMIPMT($F225/12,$E225*12,$D225,Z226,AA226,0)</f>
        <v>#NUM!</v>
      </c>
      <c r="CD227" s="27" t="e">
        <f>-CUMIPMT($F225/12,$E225*12,$D225,AB226,AC226,0)</f>
        <v>#NUM!</v>
      </c>
      <c r="CF227" s="27" t="e">
        <f>-CUMIPMT($F225/12,$E225*12,$D225,AD226,AE226,0)</f>
        <v>#NUM!</v>
      </c>
      <c r="CH227" s="27" t="e">
        <f>-CUMIPMT($F225/12,$E225*12,$D225,AF226,AG226,0)</f>
        <v>#NUM!</v>
      </c>
      <c r="CJ227" s="27" t="e">
        <f>-CUMIPMT($F225/12,$E225*12,$D225,AH226,AI226,0)</f>
        <v>#NUM!</v>
      </c>
      <c r="CL227" s="27" t="e">
        <f>-CUMIPMT($F225/12,$E225*12,$D225,AJ226,AK226,0)</f>
        <v>#NUM!</v>
      </c>
      <c r="CN227" s="27" t="e">
        <f>-CUMIPMT($F225/12,$E225*12,$D225,AL226,AM226,0)</f>
        <v>#NUM!</v>
      </c>
      <c r="CP227" s="27" t="e">
        <f>-CUMIPMT($F225/12,$E225*12,$D225,AN226,AO226,0)</f>
        <v>#NUM!</v>
      </c>
      <c r="CR227" s="27" t="e">
        <f>-CUMIPMT($F225/12,$E225*12,$D225,AP226,AQ226,0)</f>
        <v>#NUM!</v>
      </c>
      <c r="CT227" s="27" t="e">
        <f>-CUMIPMT($F225/12,$E225*12,$D225,AR226,AS226,0)</f>
        <v>#NUM!</v>
      </c>
      <c r="CV227" s="27" t="e">
        <f>-CUMIPMT($F225/12,$E225*12,$D225,AT226,AU226,0)</f>
        <v>#NUM!</v>
      </c>
      <c r="CX227" s="27" t="e">
        <f>-CUMIPMT($F225/12,$E225*12,$D225,AV226,AW226,0)</f>
        <v>#NUM!</v>
      </c>
      <c r="CZ227" s="27" t="e">
        <f>-CUMIPMT($F225/12,$E225*12,$D225,AX226,AY226,0)</f>
        <v>#NUM!</v>
      </c>
      <c r="DB227" s="27" t="e">
        <f>-CUMIPMT($F225/12,$E225*12,$D225,AZ226,BA226,0)</f>
        <v>#NUM!</v>
      </c>
      <c r="DD227" s="27" t="e">
        <f>-CUMIPMT($F225/12,$E225*12,$D225,BB226,BC226,0)</f>
        <v>#NUM!</v>
      </c>
      <c r="DF227" s="27" t="e">
        <f>-CUMIPMT($F225/12,$E225*12,$D225,BD226,BE226,0)</f>
        <v>#NUM!</v>
      </c>
      <c r="DH227" s="27" t="e">
        <f>-CUMIPMT($F225/12,$E225*12,$D225,BF226,BG226,0)</f>
        <v>#NUM!</v>
      </c>
      <c r="DI227" s="27" t="s">
        <v>784</v>
      </c>
      <c r="DJ227" s="27" t="s">
        <v>785</v>
      </c>
      <c r="DK227" s="27">
        <f>+F227</f>
        <v>0</v>
      </c>
      <c r="DL227" s="27" t="e">
        <f>+DK227-I227</f>
        <v>#NUM!</v>
      </c>
      <c r="DN227" s="27" t="e">
        <f>+DL227-K227</f>
        <v>#NUM!</v>
      </c>
      <c r="DP227" s="27" t="e">
        <f>+DN227-M227</f>
        <v>#NUM!</v>
      </c>
      <c r="DR227" s="27" t="e">
        <f>+DP227-O227</f>
        <v>#NUM!</v>
      </c>
      <c r="DT227" s="27" t="e">
        <f>+DR227-Q227</f>
        <v>#NUM!</v>
      </c>
      <c r="DV227" s="27" t="e">
        <f>+DT227-S227</f>
        <v>#NUM!</v>
      </c>
      <c r="DX227" s="27" t="e">
        <f>+DV227-U227</f>
        <v>#NUM!</v>
      </c>
      <c r="DZ227" s="27" t="e">
        <f>+DX227-W227</f>
        <v>#NUM!</v>
      </c>
      <c r="EB227" s="27" t="e">
        <f>+DZ227-Y227</f>
        <v>#NUM!</v>
      </c>
      <c r="ED227" s="27" t="e">
        <f>+EB227-AA227</f>
        <v>#NUM!</v>
      </c>
      <c r="EF227" s="27" t="e">
        <f>+ED227-AC227</f>
        <v>#NUM!</v>
      </c>
      <c r="EH227" s="27" t="e">
        <f>+EF227-AE227</f>
        <v>#NUM!</v>
      </c>
      <c r="EJ227" s="27" t="e">
        <f>+EH227-AG227</f>
        <v>#NUM!</v>
      </c>
      <c r="EL227" s="27" t="e">
        <f>+EJ227-AI227</f>
        <v>#NUM!</v>
      </c>
      <c r="EN227" s="27" t="e">
        <f>+EL227-AK227</f>
        <v>#NUM!</v>
      </c>
      <c r="EP227" s="27" t="e">
        <f>+EN227-AM227</f>
        <v>#NUM!</v>
      </c>
      <c r="ER227" s="27" t="e">
        <f>+EP227-AO227</f>
        <v>#NUM!</v>
      </c>
      <c r="ET227" s="27" t="e">
        <f>+ER227-AQ227</f>
        <v>#NUM!</v>
      </c>
      <c r="EV227" s="27" t="e">
        <f>+ET227-AS227</f>
        <v>#NUM!</v>
      </c>
      <c r="EX227" s="27" t="e">
        <f>+EV227-AU227</f>
        <v>#NUM!</v>
      </c>
      <c r="EZ227" s="27" t="e">
        <f>+EX227-AW227</f>
        <v>#NUM!</v>
      </c>
      <c r="FB227" s="27" t="e">
        <f>+EZ227-AY227</f>
        <v>#NUM!</v>
      </c>
      <c r="FD227" s="27" t="e">
        <f>+FB227-BA227</f>
        <v>#NUM!</v>
      </c>
      <c r="FF227" s="27" t="e">
        <f>+FD227-BC227</f>
        <v>#NUM!</v>
      </c>
      <c r="FH227" s="27" t="e">
        <f>+FF227-BE227</f>
        <v>#NUM!</v>
      </c>
      <c r="FJ227" s="61" t="e">
        <f>+FH227-BG227</f>
        <v>#NUM!</v>
      </c>
    </row>
    <row r="228" spans="2:166" s="27" customFormat="1" ht="11.25" hidden="1" x14ac:dyDescent="0.2">
      <c r="B228" s="60"/>
      <c r="E228" s="27">
        <f>+F227+F228</f>
        <v>0</v>
      </c>
      <c r="F228" s="27">
        <f>SUMIF(BI227:DH227,"&gt;0")</f>
        <v>0</v>
      </c>
      <c r="I228" s="27">
        <f>IF(ISERROR(I227)=FALSE,I227,0)</f>
        <v>0</v>
      </c>
      <c r="K228" s="27">
        <f>IF(ISERROR(K227)=FALSE,K227,0)</f>
        <v>0</v>
      </c>
      <c r="M228" s="27">
        <f>IF(ISERROR(M227)=FALSE,M227,0)</f>
        <v>0</v>
      </c>
      <c r="O228" s="27">
        <f>IF(ISERROR(O227)=FALSE,O227,0)</f>
        <v>0</v>
      </c>
      <c r="Q228" s="27">
        <f>IF(ISERROR(Q227)=FALSE,Q227,0)</f>
        <v>0</v>
      </c>
      <c r="S228" s="27">
        <f>IF(ISERROR(S227)=FALSE,S227,0)</f>
        <v>0</v>
      </c>
      <c r="U228" s="27">
        <f>IF(ISERROR(U227)=FALSE,U227,0)</f>
        <v>0</v>
      </c>
      <c r="W228" s="27">
        <f>IF(ISERROR(W227)=FALSE,W227,0)</f>
        <v>0</v>
      </c>
      <c r="Y228" s="27">
        <f>IF(ISERROR(Y227)=FALSE,Y227,0)</f>
        <v>0</v>
      </c>
      <c r="AA228" s="27">
        <f>IF(ISERROR(AA227)=FALSE,AA227,0)</f>
        <v>0</v>
      </c>
      <c r="AC228" s="27">
        <f>IF(ISERROR(AC227)=FALSE,AC227,0)</f>
        <v>0</v>
      </c>
      <c r="AE228" s="27">
        <f>IF(ISERROR(AE227)=FALSE,AE227,0)</f>
        <v>0</v>
      </c>
      <c r="AG228" s="27">
        <f>IF(ISERROR(AG227)=FALSE,AG227,0)</f>
        <v>0</v>
      </c>
      <c r="AI228" s="27">
        <f>IF(ISERROR(AI227)=FALSE,AI227,0)</f>
        <v>0</v>
      </c>
      <c r="AK228" s="27">
        <f>IF(ISERROR(AK227)=FALSE,AK227,0)</f>
        <v>0</v>
      </c>
      <c r="AM228" s="27">
        <f>IF(ISERROR(AM227)=FALSE,AM227,0)</f>
        <v>0</v>
      </c>
      <c r="AO228" s="27">
        <f>IF(ISERROR(AO227)=FALSE,AO227,0)</f>
        <v>0</v>
      </c>
      <c r="AQ228" s="27">
        <f>IF(ISERROR(AQ227)=FALSE,AQ227,0)</f>
        <v>0</v>
      </c>
      <c r="AS228" s="27">
        <f>IF(ISERROR(AS227)=FALSE,AS227,0)</f>
        <v>0</v>
      </c>
      <c r="AU228" s="27">
        <f>IF(ISERROR(AU227)=FALSE,AU227,0)</f>
        <v>0</v>
      </c>
      <c r="AW228" s="27">
        <f>IF(ISERROR(AW227)=FALSE,AW227,0)</f>
        <v>0</v>
      </c>
      <c r="AY228" s="27">
        <f>IF(ISERROR(AY227)=FALSE,AY227,0)</f>
        <v>0</v>
      </c>
      <c r="BA228" s="27">
        <f>IF(ISERROR(BA227)=FALSE,BA227,0)</f>
        <v>0</v>
      </c>
      <c r="BC228" s="27">
        <f>IF(ISERROR(BC227)=FALSE,BC227,0)</f>
        <v>0</v>
      </c>
      <c r="BD228" s="61"/>
      <c r="BE228" s="27">
        <f>IF(ISERROR(BE227)=FALSE,BE227,0)</f>
        <v>0</v>
      </c>
      <c r="BG228" s="27">
        <f>IF(ISERROR(BG227)=FALSE,BG227,0)</f>
        <v>0</v>
      </c>
      <c r="FJ228" s="61"/>
    </row>
    <row r="229" spans="2:166" s="27" customFormat="1" ht="11.25" hidden="1" x14ac:dyDescent="0.2">
      <c r="B229" s="60"/>
      <c r="D229" s="27" t="s">
        <v>630</v>
      </c>
      <c r="E229" s="27">
        <f>IF(E225=0,0,E228/(E225*12))</f>
        <v>0</v>
      </c>
      <c r="BD229" s="61"/>
      <c r="FJ229" s="61"/>
    </row>
    <row r="230" spans="2:166" s="27" customFormat="1" ht="11.25" hidden="1" x14ac:dyDescent="0.2">
      <c r="B230" s="60"/>
      <c r="C230" s="27">
        <f>C126</f>
        <v>0</v>
      </c>
      <c r="D230" s="27">
        <f>D126</f>
        <v>0</v>
      </c>
      <c r="E230" s="27">
        <f>E126</f>
        <v>0</v>
      </c>
      <c r="F230" s="27">
        <f>F126</f>
        <v>0</v>
      </c>
      <c r="G230" s="27">
        <f>+$E230*12</f>
        <v>0</v>
      </c>
      <c r="H230" s="27">
        <f>SUMIF($W126:$AH126,$D126,$W$108:$AH$108)</f>
        <v>78</v>
      </c>
      <c r="I230" s="27">
        <f>13-H230</f>
        <v>-65</v>
      </c>
      <c r="J230" s="27">
        <f>IF(I230+1&lt;=$G230,I230+1,($G230-I230)+I230)</f>
        <v>-64</v>
      </c>
      <c r="K230" s="27">
        <f>IF(J230+11&lt;=$G230,J230+11,($G230-J230)+J230)</f>
        <v>-53</v>
      </c>
      <c r="L230" s="27">
        <f>IF(K230+1&lt;=$G230,K230+1,($G230-K230)+K230)</f>
        <v>-52</v>
      </c>
      <c r="M230" s="27">
        <f>IF(L230+11&lt;=$G230,L230+11,($G230-L230)+L230)</f>
        <v>-41</v>
      </c>
      <c r="N230" s="27">
        <f>IF(M230+1&lt;=$G230,M230+1,($G230-M230)+M230)</f>
        <v>-40</v>
      </c>
      <c r="O230" s="27">
        <f>IF(N230+11&lt;=$G230,N230+11,($G230-N230)+N230)</f>
        <v>-29</v>
      </c>
      <c r="P230" s="27">
        <f>IF(O230+1&lt;=$G230,O230+1,($G230-O230)+O230)</f>
        <v>-28</v>
      </c>
      <c r="Q230" s="27">
        <f>IF(P230+11&lt;=$G230,P230+11,($G230-P230)+P230)</f>
        <v>-17</v>
      </c>
      <c r="R230" s="27">
        <f>IF(Q230+1&lt;=$G230,Q230+1,($G230-Q230)+Q230)</f>
        <v>-16</v>
      </c>
      <c r="S230" s="27">
        <f>IF(R230+11&lt;=$G230,R230+11,($G230-R230)+R230)</f>
        <v>-5</v>
      </c>
      <c r="T230" s="27">
        <f>IF(S230+1&lt;=$G230,S230+1,($G230-S230)+S230)</f>
        <v>-4</v>
      </c>
      <c r="U230" s="27">
        <f>IF(T230+11&lt;=$G230,T230+11,($G230-T230)+T230)</f>
        <v>0</v>
      </c>
      <c r="V230" s="27">
        <f>IF(U230+1&lt;=$G230,U230+1,($G230-U230)+U230)</f>
        <v>0</v>
      </c>
      <c r="W230" s="27">
        <f>IF(V230+11&lt;=$G230,V230+11,($G230-V230)+V230)</f>
        <v>0</v>
      </c>
      <c r="X230" s="27">
        <f>IF(W230+1&lt;=$G230,W230+1,($G230-W230)+W230)</f>
        <v>0</v>
      </c>
      <c r="Y230" s="27">
        <f>IF(X230+11&lt;=$G230,X230+11,($G230-X230)+X230)</f>
        <v>0</v>
      </c>
      <c r="Z230" s="27">
        <f>IF(Y230+1&lt;=$G230,Y230+1,($G230-Y230)+Y230)</f>
        <v>0</v>
      </c>
      <c r="AA230" s="27">
        <f>IF(Z230+11&lt;=$G230,Z230+11,($G230-Z230)+Z230)</f>
        <v>0</v>
      </c>
      <c r="AB230" s="27">
        <f>IF(AA230+1&lt;=$G230,AA230+1,($G230-AA230)+AA230)</f>
        <v>0</v>
      </c>
      <c r="AC230" s="27">
        <f>IF(AB230+11&lt;=$G230,AB230+11,($G230-AB230)+AB230)</f>
        <v>0</v>
      </c>
      <c r="AD230" s="27">
        <f>IF(AC230+1&lt;=$G230,AC230+1,($G230-AC230)+AC230)</f>
        <v>0</v>
      </c>
      <c r="AE230" s="27">
        <f>IF(AD230+11&lt;=$G230,AD230+11,($G230-AD230)+AD230)</f>
        <v>0</v>
      </c>
      <c r="AF230" s="27">
        <f>IF(AE230+1&lt;=$G230,AE230+1,($G230-AE230)+AE230)</f>
        <v>0</v>
      </c>
      <c r="AG230" s="27">
        <f>IF(AF230+11&lt;=$G230,AF230+11,($G230-AF230)+AF230)</f>
        <v>0</v>
      </c>
      <c r="AH230" s="27">
        <f>IF(AG230+1&lt;=$G230,AG230+1,($G230-AG230)+AG230)</f>
        <v>0</v>
      </c>
      <c r="AI230" s="27">
        <f>IF(AH230+11&lt;=$G230,AH230+11,($G230-AH230)+AH230)</f>
        <v>0</v>
      </c>
      <c r="AJ230" s="27">
        <f>IF(AI230+1&lt;=$G230,AI230+1,($G230-AI230)+AI230)</f>
        <v>0</v>
      </c>
      <c r="AK230" s="27">
        <f>IF(AJ230+11&lt;=$G230,AJ230+11,($G230-AJ230)+AJ230)</f>
        <v>0</v>
      </c>
      <c r="AL230" s="27">
        <f>IF(AK230+1&lt;=$G230,AK230+1,($G230-AK230)+AK230)</f>
        <v>0</v>
      </c>
      <c r="AM230" s="27">
        <f>IF(AL230+11&lt;=$G230,AL230+11,($G230-AL230)+AL230)</f>
        <v>0</v>
      </c>
      <c r="AN230" s="27">
        <f>IF(AM230+1&lt;=$G230,AM230+1,($G230-AM230)+AM230)</f>
        <v>0</v>
      </c>
      <c r="AO230" s="27">
        <f>IF(AN230+11&lt;=$G230,AN230+11,($G230-AN230)+AN230)</f>
        <v>0</v>
      </c>
      <c r="AP230" s="27">
        <f>IF(AO230+1&lt;=$G230,AO230+1,($G230-AO230)+AO230)</f>
        <v>0</v>
      </c>
      <c r="AQ230" s="27">
        <f>IF(AP230+11&lt;=$G230,AP230+11,($G230-AP230)+AP230)</f>
        <v>0</v>
      </c>
      <c r="AR230" s="27">
        <f>IF(AQ230+1&lt;=$G230,AQ230+1,($G230-AQ230)+AQ230)</f>
        <v>0</v>
      </c>
      <c r="AS230" s="27">
        <f>IF(AR230+11&lt;=$G230,AR230+11,($G230-AR230)+AR230)</f>
        <v>0</v>
      </c>
      <c r="AT230" s="27">
        <f>IF(AS230+1&lt;=$G230,AS230+1,($G230-AS230)+AS230)</f>
        <v>0</v>
      </c>
      <c r="AU230" s="27">
        <f>IF(AT230+11&lt;=$G230,AT230+11,($G230-AT230)+AT230)</f>
        <v>0</v>
      </c>
      <c r="AV230" s="27">
        <f>IF(AU230+1&lt;=$G230,AU230+1,($G230-AU230)+AU230)</f>
        <v>0</v>
      </c>
      <c r="AW230" s="27">
        <f>IF(AV230+11&lt;=$G230,AV230+11,($G230-AV230)+AV230)</f>
        <v>0</v>
      </c>
      <c r="AX230" s="27">
        <f>IF(AW230+1&lt;=$G230,AW230+1,($G230-AW230)+AW230)</f>
        <v>0</v>
      </c>
      <c r="AY230" s="27">
        <f>IF(AX230+11&lt;=$G230,AX230+11,($G230-AX230)+AX230)</f>
        <v>0</v>
      </c>
      <c r="AZ230" s="27">
        <f>IF(AY230+1&lt;=$G230,AY230+1,($G230-AY230)+AY230)</f>
        <v>0</v>
      </c>
      <c r="BA230" s="27">
        <f>IF(AZ230+35&lt;=$G230,AZ230+35,($G230-AZ230)+AZ230)</f>
        <v>0</v>
      </c>
      <c r="BB230" s="27">
        <f>IF(BA230+1&lt;=$G230,BA230+1,($G230-BA230)+BA230)</f>
        <v>0</v>
      </c>
      <c r="BC230" s="27">
        <f>IF(BB230+59&lt;=$G230,BB230+59,($G230-BB230)+BB230)</f>
        <v>0</v>
      </c>
      <c r="BD230" s="61">
        <f>IF(BC230+1&lt;=$G230,BC230+1,($G230-BC230)+BC230)</f>
        <v>0</v>
      </c>
      <c r="BE230" s="27">
        <f>IF(BD230+239&lt;=$G230,BD230+239,($G230-BD230)+BD230)</f>
        <v>0</v>
      </c>
      <c r="BF230" s="27">
        <f>IF(BE230+1&lt;=$G230,BE230+1,($G230-BE230)+BE230)</f>
        <v>0</v>
      </c>
      <c r="BG230" s="27">
        <f>IF(BF230+11&lt;=$G230,BF230+11,($G230-BF230)+BF230)</f>
        <v>0</v>
      </c>
      <c r="FJ230" s="61"/>
    </row>
    <row r="231" spans="2:166" s="27" customFormat="1" ht="11.25" hidden="1" x14ac:dyDescent="0.2">
      <c r="B231" s="60"/>
      <c r="H231" s="27">
        <v>1</v>
      </c>
      <c r="I231" s="27">
        <f>+I230</f>
        <v>-65</v>
      </c>
      <c r="J231" s="27">
        <f>IF(I231=$G230,0,J230)</f>
        <v>-64</v>
      </c>
      <c r="K231" s="27">
        <f>+K230</f>
        <v>-53</v>
      </c>
      <c r="L231" s="27">
        <f>IF(K231=$G230,0,L230)</f>
        <v>-52</v>
      </c>
      <c r="M231" s="27">
        <f>+M230</f>
        <v>-41</v>
      </c>
      <c r="N231" s="27">
        <f>IF(M231=$G230,0,N230)</f>
        <v>-40</v>
      </c>
      <c r="O231" s="27">
        <f>+O230</f>
        <v>-29</v>
      </c>
      <c r="P231" s="27">
        <f>IF(O231=$G230,0,P230)</f>
        <v>-28</v>
      </c>
      <c r="Q231" s="27">
        <f>+Q230</f>
        <v>-17</v>
      </c>
      <c r="R231" s="27">
        <f>IF(Q231=$G230,0,R230)</f>
        <v>-16</v>
      </c>
      <c r="S231" s="27">
        <f>+S230</f>
        <v>-5</v>
      </c>
      <c r="T231" s="27">
        <f>IF(S231=$G230,0,T230)</f>
        <v>-4</v>
      </c>
      <c r="U231" s="27">
        <f>+U230</f>
        <v>0</v>
      </c>
      <c r="V231" s="27">
        <f>IF(U231=$G230,0,V230)</f>
        <v>0</v>
      </c>
      <c r="W231" s="27">
        <f>+W230</f>
        <v>0</v>
      </c>
      <c r="X231" s="27">
        <f>IF(W231=$G230,0,X230)</f>
        <v>0</v>
      </c>
      <c r="Y231" s="27">
        <f>+Y230</f>
        <v>0</v>
      </c>
      <c r="Z231" s="27">
        <f>IF(Y231=$G230,0,Z230)</f>
        <v>0</v>
      </c>
      <c r="AA231" s="27">
        <f>+AA230</f>
        <v>0</v>
      </c>
      <c r="AB231" s="27">
        <f>IF(AA231=$G230,0,AB230)</f>
        <v>0</v>
      </c>
      <c r="AC231" s="27">
        <f>+AC230</f>
        <v>0</v>
      </c>
      <c r="AD231" s="27">
        <f>IF(AC231=$G230,0,AD230)</f>
        <v>0</v>
      </c>
      <c r="AE231" s="27">
        <f>+AE230</f>
        <v>0</v>
      </c>
      <c r="AF231" s="27">
        <f>IF(AE231=$G230,0,AF230)</f>
        <v>0</v>
      </c>
      <c r="AG231" s="27">
        <f>+AG230</f>
        <v>0</v>
      </c>
      <c r="AH231" s="27">
        <f>IF(AG231=$G230,0,AH230)</f>
        <v>0</v>
      </c>
      <c r="AI231" s="27">
        <f>+AI230</f>
        <v>0</v>
      </c>
      <c r="AJ231" s="27">
        <f>IF(AI231=$G230,0,AJ230)</f>
        <v>0</v>
      </c>
      <c r="AK231" s="27">
        <f>+AK230</f>
        <v>0</v>
      </c>
      <c r="AL231" s="27">
        <f>IF(AK231=$G230,0,AL230)</f>
        <v>0</v>
      </c>
      <c r="AM231" s="27">
        <f>+AM230</f>
        <v>0</v>
      </c>
      <c r="AN231" s="27">
        <f>IF(AM231=$G230,0,AN230)</f>
        <v>0</v>
      </c>
      <c r="AO231" s="27">
        <f>+AO230</f>
        <v>0</v>
      </c>
      <c r="AP231" s="27">
        <f>IF(AO231=$G230,0,AP230)</f>
        <v>0</v>
      </c>
      <c r="AQ231" s="27">
        <f>+AQ230</f>
        <v>0</v>
      </c>
      <c r="AR231" s="27">
        <f>IF(AQ231=$G230,0,AR230)</f>
        <v>0</v>
      </c>
      <c r="AS231" s="27">
        <f>+AS230</f>
        <v>0</v>
      </c>
      <c r="AT231" s="27">
        <f>IF(AS231=$G230,0,AT230)</f>
        <v>0</v>
      </c>
      <c r="AU231" s="27">
        <f>+AU230</f>
        <v>0</v>
      </c>
      <c r="AV231" s="27">
        <f>IF(AU231=$G230,0,AV230)</f>
        <v>0</v>
      </c>
      <c r="AW231" s="27">
        <f>+AW230</f>
        <v>0</v>
      </c>
      <c r="AX231" s="27">
        <f>IF(AW231=$G230,0,AX230)</f>
        <v>0</v>
      </c>
      <c r="AY231" s="27">
        <f>+AY230</f>
        <v>0</v>
      </c>
      <c r="AZ231" s="27">
        <f>IF(AY231=$G230,0,AZ230)</f>
        <v>0</v>
      </c>
      <c r="BA231" s="27">
        <f>+BA230</f>
        <v>0</v>
      </c>
      <c r="BB231" s="27">
        <f>IF(BA231=$G230,0,BB230)</f>
        <v>0</v>
      </c>
      <c r="BC231" s="27">
        <f>+BC230</f>
        <v>0</v>
      </c>
      <c r="BD231" s="61">
        <f>IF(BC231=$G230,0,BD230)</f>
        <v>0</v>
      </c>
      <c r="BE231" s="27">
        <f>+BE230</f>
        <v>0</v>
      </c>
      <c r="BF231" s="27">
        <f>IF(BE231=$G230,0,BF230)</f>
        <v>0</v>
      </c>
      <c r="BG231" s="27">
        <f>+BG230</f>
        <v>0</v>
      </c>
      <c r="FJ231" s="61"/>
    </row>
    <row r="232" spans="2:166" s="27" customFormat="1" ht="11.25" hidden="1" x14ac:dyDescent="0.2">
      <c r="B232" s="60"/>
      <c r="F232" s="27">
        <f>SUMIF(H232:BG232,"&gt;0")</f>
        <v>0</v>
      </c>
      <c r="G232" s="27" t="s">
        <v>632</v>
      </c>
      <c r="I232" s="27" t="e">
        <f>-CUMPRINC($F230/12,$E230*12,$D230,H231,I231,0)</f>
        <v>#NUM!</v>
      </c>
      <c r="K232" s="27" t="e">
        <f>-CUMPRINC($F230/12,$E230*12,$D230,J231,K231,0)</f>
        <v>#NUM!</v>
      </c>
      <c r="M232" s="27" t="e">
        <f>-CUMPRINC($F230/12,$E230*12,$D230,L231,M231,0)</f>
        <v>#NUM!</v>
      </c>
      <c r="O232" s="27" t="e">
        <f>-CUMPRINC($F230/12,$E230*12,$D230,N231,O231,0)</f>
        <v>#NUM!</v>
      </c>
      <c r="Q232" s="27" t="e">
        <f>-CUMPRINC($F230/12,$E230*12,$D230,P231,Q231,0)</f>
        <v>#NUM!</v>
      </c>
      <c r="S232" s="27" t="e">
        <f>-CUMPRINC($F230/12,$E230*12,$D230,R231,S231,0)</f>
        <v>#NUM!</v>
      </c>
      <c r="U232" s="27" t="e">
        <f>-CUMPRINC($F230/12,$E230*12,$D230,T231,U231,0)</f>
        <v>#NUM!</v>
      </c>
      <c r="W232" s="27" t="e">
        <f>-CUMPRINC($F230/12,$E230*12,$D230,V231,W231,0)</f>
        <v>#NUM!</v>
      </c>
      <c r="Y232" s="27" t="e">
        <f>-CUMPRINC($F230/12,$E230*12,$D230,X231,Y231,0)</f>
        <v>#NUM!</v>
      </c>
      <c r="AA232" s="27" t="e">
        <f>-CUMPRINC($F230/12,$E230*12,$D230,Z231,AA231,0)</f>
        <v>#NUM!</v>
      </c>
      <c r="AC232" s="27" t="e">
        <f>-CUMPRINC($F230/12,$E230*12,$D230,AB231,AC231,0)</f>
        <v>#NUM!</v>
      </c>
      <c r="AE232" s="27" t="e">
        <f>-CUMPRINC($F230/12,$E230*12,$D230,AD231,AE231,0)</f>
        <v>#NUM!</v>
      </c>
      <c r="AG232" s="27" t="e">
        <f>-CUMPRINC($F230/12,$E230*12,$D230,AF231,AG231,0)</f>
        <v>#NUM!</v>
      </c>
      <c r="AI232" s="27" t="e">
        <f>-CUMPRINC($F230/12,$E230*12,$D230,AH231,AI231,0)</f>
        <v>#NUM!</v>
      </c>
      <c r="AK232" s="27" t="e">
        <f>-CUMPRINC($F230/12,$E230*12,$D230,AJ231,AK231,0)</f>
        <v>#NUM!</v>
      </c>
      <c r="AM232" s="27" t="e">
        <f>-CUMPRINC($F230/12,$E230*12,$D230,AL231,AM231,0)</f>
        <v>#NUM!</v>
      </c>
      <c r="AO232" s="27" t="e">
        <f>-CUMPRINC($F230/12,$E230*12,$D230,AN231,AO231,0)</f>
        <v>#NUM!</v>
      </c>
      <c r="AQ232" s="27" t="e">
        <f>-CUMPRINC($F230/12,$E230*12,$D230,AP231,AQ231,0)</f>
        <v>#NUM!</v>
      </c>
      <c r="AS232" s="27" t="e">
        <f>-CUMPRINC($F230/12,$E230*12,$D230,AR231,AS231,0)</f>
        <v>#NUM!</v>
      </c>
      <c r="AU232" s="27" t="e">
        <f>-CUMPRINC($F230/12,$E230*12,$D230,AT231,AU231,0)</f>
        <v>#NUM!</v>
      </c>
      <c r="AW232" s="27" t="e">
        <f>-CUMPRINC($F230/12,$E230*12,$D230,AV231,AW231,0)</f>
        <v>#NUM!</v>
      </c>
      <c r="AY232" s="27" t="e">
        <f>-CUMPRINC($F230/12,$E230*12,$D230,AX231,AY231,0)</f>
        <v>#NUM!</v>
      </c>
      <c r="BA232" s="27" t="e">
        <f>-CUMPRINC($F230/12,$E230*12,$D230,AZ231,BA231,0)</f>
        <v>#NUM!</v>
      </c>
      <c r="BC232" s="27" t="e">
        <f>-CUMPRINC($F230/12,$E230*12,$D230,BB231,BC231,0)</f>
        <v>#NUM!</v>
      </c>
      <c r="BD232" s="61"/>
      <c r="BE232" s="27" t="e">
        <f>-CUMPRINC($F230/12,$E230*12,$D230,BD231,BE231,0)</f>
        <v>#NUM!</v>
      </c>
      <c r="BG232" s="27" t="e">
        <f>-CUMPRINC($F230/12,$E230*12,$D230,BF231,BG231,0)</f>
        <v>#NUM!</v>
      </c>
      <c r="BH232" s="27" t="s">
        <v>783</v>
      </c>
      <c r="BJ232" s="27" t="e">
        <f>-CUMIPMT($F230/12,$E230*12,$D230,H231,I231,0)</f>
        <v>#NUM!</v>
      </c>
      <c r="BL232" s="27" t="e">
        <f>-CUMIPMT($F230/12,$E230*12,$D230,J231,K231,0)</f>
        <v>#NUM!</v>
      </c>
      <c r="BN232" s="27" t="e">
        <f>-CUMIPMT($F230/12,$E230*12,$D230,L231,M231,0)</f>
        <v>#NUM!</v>
      </c>
      <c r="BP232" s="27" t="e">
        <f>-CUMIPMT($F230/12,$E230*12,$D230,N231,O231,0)</f>
        <v>#NUM!</v>
      </c>
      <c r="BR232" s="27" t="e">
        <f>-CUMIPMT($F230/12,$E230*12,$D230,P231,Q231,0)</f>
        <v>#NUM!</v>
      </c>
      <c r="BT232" s="27" t="e">
        <f>-CUMIPMT($F230/12,$E230*12,$D230,R231,S231,0)</f>
        <v>#NUM!</v>
      </c>
      <c r="BV232" s="27" t="e">
        <f>-CUMIPMT($F230/12,$E230*12,$D230,T231,U231,0)</f>
        <v>#NUM!</v>
      </c>
      <c r="BX232" s="27" t="e">
        <f>-CUMIPMT($F230/12,$E230*12,$D230,V231,W231,0)</f>
        <v>#NUM!</v>
      </c>
      <c r="BZ232" s="27" t="e">
        <f>-CUMIPMT($F230/12,$E230*12,$D230,X231,Y231,0)</f>
        <v>#NUM!</v>
      </c>
      <c r="CB232" s="27" t="e">
        <f>-CUMIPMT($F230/12,$E230*12,$D230,Z231,AA231,0)</f>
        <v>#NUM!</v>
      </c>
      <c r="CD232" s="27" t="e">
        <f>-CUMIPMT($F230/12,$E230*12,$D230,AB231,AC231,0)</f>
        <v>#NUM!</v>
      </c>
      <c r="CF232" s="27" t="e">
        <f>-CUMIPMT($F230/12,$E230*12,$D230,AD231,AE231,0)</f>
        <v>#NUM!</v>
      </c>
      <c r="CH232" s="27" t="e">
        <f>-CUMIPMT($F230/12,$E230*12,$D230,AF231,AG231,0)</f>
        <v>#NUM!</v>
      </c>
      <c r="CJ232" s="27" t="e">
        <f>-CUMIPMT($F230/12,$E230*12,$D230,AH231,AI231,0)</f>
        <v>#NUM!</v>
      </c>
      <c r="CL232" s="27" t="e">
        <f>-CUMIPMT($F230/12,$E230*12,$D230,AJ231,AK231,0)</f>
        <v>#NUM!</v>
      </c>
      <c r="CN232" s="27" t="e">
        <f>-CUMIPMT($F230/12,$E230*12,$D230,AL231,AM231,0)</f>
        <v>#NUM!</v>
      </c>
      <c r="CP232" s="27" t="e">
        <f>-CUMIPMT($F230/12,$E230*12,$D230,AN231,AO231,0)</f>
        <v>#NUM!</v>
      </c>
      <c r="CR232" s="27" t="e">
        <f>-CUMIPMT($F230/12,$E230*12,$D230,AP231,AQ231,0)</f>
        <v>#NUM!</v>
      </c>
      <c r="CT232" s="27" t="e">
        <f>-CUMIPMT($F230/12,$E230*12,$D230,AR231,AS231,0)</f>
        <v>#NUM!</v>
      </c>
      <c r="CV232" s="27" t="e">
        <f>-CUMIPMT($F230/12,$E230*12,$D230,AT231,AU231,0)</f>
        <v>#NUM!</v>
      </c>
      <c r="CX232" s="27" t="e">
        <f>-CUMIPMT($F230/12,$E230*12,$D230,AV231,AW231,0)</f>
        <v>#NUM!</v>
      </c>
      <c r="CZ232" s="27" t="e">
        <f>-CUMIPMT($F230/12,$E230*12,$D230,AX231,AY231,0)</f>
        <v>#NUM!</v>
      </c>
      <c r="DB232" s="27" t="e">
        <f>-CUMIPMT($F230/12,$E230*12,$D230,AZ231,BA231,0)</f>
        <v>#NUM!</v>
      </c>
      <c r="DD232" s="27" t="e">
        <f>-CUMIPMT($F230/12,$E230*12,$D230,BB231,BC231,0)</f>
        <v>#NUM!</v>
      </c>
      <c r="DF232" s="27" t="e">
        <f>-CUMIPMT($F230/12,$E230*12,$D230,BD231,BE231,0)</f>
        <v>#NUM!</v>
      </c>
      <c r="DH232" s="27" t="e">
        <f>-CUMIPMT($F230/12,$E230*12,$D230,BF231,BG231,0)</f>
        <v>#NUM!</v>
      </c>
      <c r="DI232" s="27" t="s">
        <v>784</v>
      </c>
      <c r="DJ232" s="27" t="s">
        <v>785</v>
      </c>
      <c r="DK232" s="27">
        <f>+F232</f>
        <v>0</v>
      </c>
      <c r="DL232" s="27" t="e">
        <f>+DK232-I232</f>
        <v>#NUM!</v>
      </c>
      <c r="DN232" s="27" t="e">
        <f>+DL232-K232</f>
        <v>#NUM!</v>
      </c>
      <c r="DP232" s="27" t="e">
        <f>+DN232-M232</f>
        <v>#NUM!</v>
      </c>
      <c r="DR232" s="27" t="e">
        <f>+DP232-O232</f>
        <v>#NUM!</v>
      </c>
      <c r="DT232" s="27" t="e">
        <f>+DR232-Q232</f>
        <v>#NUM!</v>
      </c>
      <c r="DV232" s="27" t="e">
        <f>+DT232-S232</f>
        <v>#NUM!</v>
      </c>
      <c r="DX232" s="27" t="e">
        <f>+DV232-U232</f>
        <v>#NUM!</v>
      </c>
      <c r="DZ232" s="27" t="e">
        <f>+DX232-W232</f>
        <v>#NUM!</v>
      </c>
      <c r="EB232" s="27" t="e">
        <f>+DZ232-Y232</f>
        <v>#NUM!</v>
      </c>
      <c r="ED232" s="27" t="e">
        <f>+EB232-AA232</f>
        <v>#NUM!</v>
      </c>
      <c r="EF232" s="27" t="e">
        <f>+ED232-AC232</f>
        <v>#NUM!</v>
      </c>
      <c r="EH232" s="27" t="e">
        <f>+EF232-AE232</f>
        <v>#NUM!</v>
      </c>
      <c r="EJ232" s="27" t="e">
        <f>+EH232-AG232</f>
        <v>#NUM!</v>
      </c>
      <c r="EL232" s="27" t="e">
        <f>+EJ232-AI232</f>
        <v>#NUM!</v>
      </c>
      <c r="EN232" s="27" t="e">
        <f>+EL232-AK232</f>
        <v>#NUM!</v>
      </c>
      <c r="EP232" s="27" t="e">
        <f>+EN232-AM232</f>
        <v>#NUM!</v>
      </c>
      <c r="ER232" s="27" t="e">
        <f>+EP232-AO232</f>
        <v>#NUM!</v>
      </c>
      <c r="ET232" s="27" t="e">
        <f>+ER232-AQ232</f>
        <v>#NUM!</v>
      </c>
      <c r="EV232" s="27" t="e">
        <f>+ET232-AS232</f>
        <v>#NUM!</v>
      </c>
      <c r="EX232" s="27" t="e">
        <f>+EV232-AU232</f>
        <v>#NUM!</v>
      </c>
      <c r="EZ232" s="27" t="e">
        <f>+EX232-AW232</f>
        <v>#NUM!</v>
      </c>
      <c r="FB232" s="27" t="e">
        <f>+EZ232-AY232</f>
        <v>#NUM!</v>
      </c>
      <c r="FD232" s="27" t="e">
        <f>+FB232-BA232</f>
        <v>#NUM!</v>
      </c>
      <c r="FF232" s="27" t="e">
        <f>+FD232-BC232</f>
        <v>#NUM!</v>
      </c>
      <c r="FH232" s="27" t="e">
        <f>+FF232-BE232</f>
        <v>#NUM!</v>
      </c>
      <c r="FJ232" s="61" t="e">
        <f>+FH232-BG232</f>
        <v>#NUM!</v>
      </c>
    </row>
    <row r="233" spans="2:166" s="27" customFormat="1" ht="11.25" hidden="1" x14ac:dyDescent="0.2">
      <c r="B233" s="60"/>
      <c r="E233" s="27">
        <f>+F232+F233</f>
        <v>0</v>
      </c>
      <c r="F233" s="27">
        <f>SUMIF(BI232:DH232,"&gt;0")</f>
        <v>0</v>
      </c>
      <c r="I233" s="27">
        <f>IF(ISERROR(I232)=FALSE,I232,0)</f>
        <v>0</v>
      </c>
      <c r="K233" s="27">
        <f>IF(ISERROR(K232)=FALSE,K232,0)</f>
        <v>0</v>
      </c>
      <c r="M233" s="27">
        <f>IF(ISERROR(M232)=FALSE,M232,0)</f>
        <v>0</v>
      </c>
      <c r="O233" s="27">
        <f>IF(ISERROR(O232)=FALSE,O232,0)</f>
        <v>0</v>
      </c>
      <c r="Q233" s="27">
        <f>IF(ISERROR(Q232)=FALSE,Q232,0)</f>
        <v>0</v>
      </c>
      <c r="S233" s="27">
        <f>IF(ISERROR(S232)=FALSE,S232,0)</f>
        <v>0</v>
      </c>
      <c r="U233" s="27">
        <f>IF(ISERROR(U232)=FALSE,U232,0)</f>
        <v>0</v>
      </c>
      <c r="W233" s="27">
        <f>IF(ISERROR(W232)=FALSE,W232,0)</f>
        <v>0</v>
      </c>
      <c r="Y233" s="27">
        <f>IF(ISERROR(Y232)=FALSE,Y232,0)</f>
        <v>0</v>
      </c>
      <c r="AA233" s="27">
        <f>IF(ISERROR(AA232)=FALSE,AA232,0)</f>
        <v>0</v>
      </c>
      <c r="AC233" s="27">
        <f>IF(ISERROR(AC232)=FALSE,AC232,0)</f>
        <v>0</v>
      </c>
      <c r="AE233" s="27">
        <f>IF(ISERROR(AE232)=FALSE,AE232,0)</f>
        <v>0</v>
      </c>
      <c r="AG233" s="27">
        <f>IF(ISERROR(AG232)=FALSE,AG232,0)</f>
        <v>0</v>
      </c>
      <c r="AI233" s="27">
        <f>IF(ISERROR(AI232)=FALSE,AI232,0)</f>
        <v>0</v>
      </c>
      <c r="AK233" s="27">
        <f>IF(ISERROR(AK232)=FALSE,AK232,0)</f>
        <v>0</v>
      </c>
      <c r="AM233" s="27">
        <f>IF(ISERROR(AM232)=FALSE,AM232,0)</f>
        <v>0</v>
      </c>
      <c r="AO233" s="27">
        <f>IF(ISERROR(AO232)=FALSE,AO232,0)</f>
        <v>0</v>
      </c>
      <c r="AQ233" s="27">
        <f>IF(ISERROR(AQ232)=FALSE,AQ232,0)</f>
        <v>0</v>
      </c>
      <c r="AS233" s="27">
        <f>IF(ISERROR(AS232)=FALSE,AS232,0)</f>
        <v>0</v>
      </c>
      <c r="AU233" s="27">
        <f>IF(ISERROR(AU232)=FALSE,AU232,0)</f>
        <v>0</v>
      </c>
      <c r="AW233" s="27">
        <f>IF(ISERROR(AW232)=FALSE,AW232,0)</f>
        <v>0</v>
      </c>
      <c r="AY233" s="27">
        <f>IF(ISERROR(AY232)=FALSE,AY232,0)</f>
        <v>0</v>
      </c>
      <c r="BA233" s="27">
        <f>IF(ISERROR(BA232)=FALSE,BA232,0)</f>
        <v>0</v>
      </c>
      <c r="BC233" s="27">
        <f>IF(ISERROR(BC232)=FALSE,BC232,0)</f>
        <v>0</v>
      </c>
      <c r="BD233" s="61"/>
      <c r="BE233" s="27">
        <f>IF(ISERROR(BE232)=FALSE,BE232,0)</f>
        <v>0</v>
      </c>
      <c r="BG233" s="27">
        <f>IF(ISERROR(BG232)=FALSE,BG232,0)</f>
        <v>0</v>
      </c>
      <c r="FJ233" s="61"/>
    </row>
    <row r="234" spans="2:166" s="27" customFormat="1" ht="11.25" hidden="1" x14ac:dyDescent="0.2">
      <c r="B234" s="60"/>
      <c r="D234" s="27" t="s">
        <v>630</v>
      </c>
      <c r="E234" s="27">
        <f>IF(E230=0,0,E233/(E230*12))</f>
        <v>0</v>
      </c>
      <c r="BD234" s="61"/>
      <c r="FJ234" s="61"/>
    </row>
    <row r="235" spans="2:166" s="27" customFormat="1" ht="11.25" hidden="1" x14ac:dyDescent="0.2">
      <c r="B235" s="60"/>
      <c r="C235" s="27">
        <f>C127</f>
        <v>0</v>
      </c>
      <c r="D235" s="27">
        <f>D127</f>
        <v>0</v>
      </c>
      <c r="E235" s="27">
        <f>E127</f>
        <v>0</v>
      </c>
      <c r="F235" s="27">
        <f>F127</f>
        <v>0</v>
      </c>
      <c r="G235" s="27">
        <f>+$E235*12</f>
        <v>0</v>
      </c>
      <c r="H235" s="27">
        <f>SUMIF($W127:$AH127,$D127,$W$108:$AH$108)</f>
        <v>78</v>
      </c>
      <c r="I235" s="27">
        <f>13-H235</f>
        <v>-65</v>
      </c>
      <c r="J235" s="27">
        <f>IF(I235+1&lt;=$G235,I235+1,($G235-I235)+I235)</f>
        <v>-64</v>
      </c>
      <c r="K235" s="27">
        <f>IF(J235+11&lt;=$G235,J235+11,($G235-J235)+J235)</f>
        <v>-53</v>
      </c>
      <c r="L235" s="27">
        <f>IF(K235+1&lt;=$G235,K235+1,($G235-K235)+K235)</f>
        <v>-52</v>
      </c>
      <c r="M235" s="27">
        <f>IF(L235+11&lt;=$G235,L235+11,($G235-L235)+L235)</f>
        <v>-41</v>
      </c>
      <c r="N235" s="27">
        <f>IF(M235+1&lt;=$G235,M235+1,($G235-M235)+M235)</f>
        <v>-40</v>
      </c>
      <c r="O235" s="27">
        <f>IF(N235+11&lt;=$G235,N235+11,($G235-N235)+N235)</f>
        <v>-29</v>
      </c>
      <c r="P235" s="27">
        <f>IF(O235+1&lt;=$G235,O235+1,($G235-O235)+O235)</f>
        <v>-28</v>
      </c>
      <c r="Q235" s="27">
        <f>IF(P235+11&lt;=$G235,P235+11,($G235-P235)+P235)</f>
        <v>-17</v>
      </c>
      <c r="R235" s="27">
        <f>IF(Q235+1&lt;=$G235,Q235+1,($G235-Q235)+Q235)</f>
        <v>-16</v>
      </c>
      <c r="S235" s="27">
        <f>IF(R235+11&lt;=$G235,R235+11,($G235-R235)+R235)</f>
        <v>-5</v>
      </c>
      <c r="T235" s="27">
        <f>IF(S235+1&lt;=$G235,S235+1,($G235-S235)+S235)</f>
        <v>-4</v>
      </c>
      <c r="U235" s="27">
        <f>IF(T235+11&lt;=$G235,T235+11,($G235-T235)+T235)</f>
        <v>0</v>
      </c>
      <c r="V235" s="27">
        <f>IF(U235+1&lt;=$G235,U235+1,($G235-U235)+U235)</f>
        <v>0</v>
      </c>
      <c r="W235" s="27">
        <f>IF(V235+11&lt;=$G235,V235+11,($G235-V235)+V235)</f>
        <v>0</v>
      </c>
      <c r="X235" s="27">
        <f>IF(W235+1&lt;=$G235,W235+1,($G235-W235)+W235)</f>
        <v>0</v>
      </c>
      <c r="Y235" s="27">
        <f>IF(X235+11&lt;=$G235,X235+11,($G235-X235)+X235)</f>
        <v>0</v>
      </c>
      <c r="Z235" s="27">
        <f>IF(Y235+1&lt;=$G235,Y235+1,($G235-Y235)+Y235)</f>
        <v>0</v>
      </c>
      <c r="AA235" s="27">
        <f>IF(Z235+11&lt;=$G235,Z235+11,($G235-Z235)+Z235)</f>
        <v>0</v>
      </c>
      <c r="AB235" s="27">
        <f>IF(AA235+1&lt;=$G235,AA235+1,($G235-AA235)+AA235)</f>
        <v>0</v>
      </c>
      <c r="AC235" s="27">
        <f>IF(AB235+11&lt;=$G235,AB235+11,($G235-AB235)+AB235)</f>
        <v>0</v>
      </c>
      <c r="AD235" s="27">
        <f>IF(AC235+1&lt;=$G235,AC235+1,($G235-AC235)+AC235)</f>
        <v>0</v>
      </c>
      <c r="AE235" s="27">
        <f>IF(AD235+11&lt;=$G235,AD235+11,($G235-AD235)+AD235)</f>
        <v>0</v>
      </c>
      <c r="AF235" s="27">
        <f>IF(AE235+1&lt;=$G235,AE235+1,($G235-AE235)+AE235)</f>
        <v>0</v>
      </c>
      <c r="AG235" s="27">
        <f>IF(AF235+11&lt;=$G235,AF235+11,($G235-AF235)+AF235)</f>
        <v>0</v>
      </c>
      <c r="AH235" s="27">
        <f>IF(AG235+1&lt;=$G235,AG235+1,($G235-AG235)+AG235)</f>
        <v>0</v>
      </c>
      <c r="AI235" s="27">
        <f>IF(AH235+11&lt;=$G235,AH235+11,($G235-AH235)+AH235)</f>
        <v>0</v>
      </c>
      <c r="AJ235" s="27">
        <f>IF(AI235+1&lt;=$G235,AI235+1,($G235-AI235)+AI235)</f>
        <v>0</v>
      </c>
      <c r="AK235" s="27">
        <f>IF(AJ235+11&lt;=$G235,AJ235+11,($G235-AJ235)+AJ235)</f>
        <v>0</v>
      </c>
      <c r="AL235" s="27">
        <f>IF(AK235+1&lt;=$G235,AK235+1,($G235-AK235)+AK235)</f>
        <v>0</v>
      </c>
      <c r="AM235" s="27">
        <f>IF(AL235+11&lt;=$G235,AL235+11,($G235-AL235)+AL235)</f>
        <v>0</v>
      </c>
      <c r="AN235" s="27">
        <f>IF(AM235+1&lt;=$G235,AM235+1,($G235-AM235)+AM235)</f>
        <v>0</v>
      </c>
      <c r="AO235" s="27">
        <f>IF(AN235+11&lt;=$G235,AN235+11,($G235-AN235)+AN235)</f>
        <v>0</v>
      </c>
      <c r="AP235" s="27">
        <f>IF(AO235+1&lt;=$G235,AO235+1,($G235-AO235)+AO235)</f>
        <v>0</v>
      </c>
      <c r="AQ235" s="27">
        <f>IF(AP235+11&lt;=$G235,AP235+11,($G235-AP235)+AP235)</f>
        <v>0</v>
      </c>
      <c r="AR235" s="27">
        <f>IF(AQ235+1&lt;=$G235,AQ235+1,($G235-AQ235)+AQ235)</f>
        <v>0</v>
      </c>
      <c r="AS235" s="27">
        <f>IF(AR235+11&lt;=$G235,AR235+11,($G235-AR235)+AR235)</f>
        <v>0</v>
      </c>
      <c r="AT235" s="27">
        <f>IF(AS235+1&lt;=$G235,AS235+1,($G235-AS235)+AS235)</f>
        <v>0</v>
      </c>
      <c r="AU235" s="27">
        <f>IF(AT235+11&lt;=$G235,AT235+11,($G235-AT235)+AT235)</f>
        <v>0</v>
      </c>
      <c r="AV235" s="27">
        <f>IF(AU235+1&lt;=$G235,AU235+1,($G235-AU235)+AU235)</f>
        <v>0</v>
      </c>
      <c r="AW235" s="27">
        <f>IF(AV235+11&lt;=$G235,AV235+11,($G235-AV235)+AV235)</f>
        <v>0</v>
      </c>
      <c r="AX235" s="27">
        <f>IF(AW235+1&lt;=$G235,AW235+1,($G235-AW235)+AW235)</f>
        <v>0</v>
      </c>
      <c r="AY235" s="27">
        <f>IF(AX235+11&lt;=$G235,AX235+11,($G235-AX235)+AX235)</f>
        <v>0</v>
      </c>
      <c r="AZ235" s="27">
        <f>IF(AY235+1&lt;=$G235,AY235+1,($G235-AY235)+AY235)</f>
        <v>0</v>
      </c>
      <c r="BA235" s="27">
        <f>IF(AZ235+35&lt;=$G235,AZ235+35,($G235-AZ235)+AZ235)</f>
        <v>0</v>
      </c>
      <c r="BB235" s="27">
        <f>IF(BA235+1&lt;=$G235,BA235+1,($G235-BA235)+BA235)</f>
        <v>0</v>
      </c>
      <c r="BC235" s="27">
        <f>IF(BB235+59&lt;=$G235,BB235+59,($G235-BB235)+BB235)</f>
        <v>0</v>
      </c>
      <c r="BD235" s="61">
        <f>IF(BC235+1&lt;=$G235,BC235+1,($G235-BC235)+BC235)</f>
        <v>0</v>
      </c>
      <c r="BE235" s="27">
        <f>IF(BD235+239&lt;=$G235,BD235+239,($G235-BD235)+BD235)</f>
        <v>0</v>
      </c>
      <c r="BF235" s="27">
        <f>IF(BE235+1&lt;=$G235,BE235+1,($G235-BE235)+BE235)</f>
        <v>0</v>
      </c>
      <c r="BG235" s="27">
        <f>IF(BF235+11&lt;=$G235,BF235+11,($G235-BF235)+BF235)</f>
        <v>0</v>
      </c>
      <c r="FJ235" s="61"/>
    </row>
    <row r="236" spans="2:166" s="27" customFormat="1" ht="11.25" hidden="1" x14ac:dyDescent="0.2">
      <c r="B236" s="60"/>
      <c r="H236" s="27">
        <v>1</v>
      </c>
      <c r="I236" s="27">
        <f>+I235</f>
        <v>-65</v>
      </c>
      <c r="J236" s="27">
        <f>IF(I236=$G235,0,J235)</f>
        <v>-64</v>
      </c>
      <c r="K236" s="27">
        <f>+K235</f>
        <v>-53</v>
      </c>
      <c r="L236" s="27">
        <f>IF(K236=$G235,0,L235)</f>
        <v>-52</v>
      </c>
      <c r="M236" s="27">
        <f>+M235</f>
        <v>-41</v>
      </c>
      <c r="N236" s="27">
        <f>IF(M236=$G235,0,N235)</f>
        <v>-40</v>
      </c>
      <c r="O236" s="27">
        <f>+O235</f>
        <v>-29</v>
      </c>
      <c r="P236" s="27">
        <f>IF(O236=$G235,0,P235)</f>
        <v>-28</v>
      </c>
      <c r="Q236" s="27">
        <f>+Q235</f>
        <v>-17</v>
      </c>
      <c r="R236" s="27">
        <f>IF(Q236=$G235,0,R235)</f>
        <v>-16</v>
      </c>
      <c r="S236" s="27">
        <f>+S235</f>
        <v>-5</v>
      </c>
      <c r="T236" s="27">
        <f>IF(S236=$G235,0,T235)</f>
        <v>-4</v>
      </c>
      <c r="U236" s="27">
        <f>+U235</f>
        <v>0</v>
      </c>
      <c r="V236" s="27">
        <f>IF(U236=$G235,0,V235)</f>
        <v>0</v>
      </c>
      <c r="W236" s="27">
        <f>+W235</f>
        <v>0</v>
      </c>
      <c r="X236" s="27">
        <f>IF(W236=$G235,0,X235)</f>
        <v>0</v>
      </c>
      <c r="Y236" s="27">
        <f>+Y235</f>
        <v>0</v>
      </c>
      <c r="Z236" s="27">
        <f>IF(Y236=$G235,0,Z235)</f>
        <v>0</v>
      </c>
      <c r="AA236" s="27">
        <f>+AA235</f>
        <v>0</v>
      </c>
      <c r="AB236" s="27">
        <f>IF(AA236=$G235,0,AB235)</f>
        <v>0</v>
      </c>
      <c r="AC236" s="27">
        <f>+AC235</f>
        <v>0</v>
      </c>
      <c r="AD236" s="27">
        <f>IF(AC236=$G235,0,AD235)</f>
        <v>0</v>
      </c>
      <c r="AE236" s="27">
        <f>+AE235</f>
        <v>0</v>
      </c>
      <c r="AF236" s="27">
        <f>IF(AE236=$G235,0,AF235)</f>
        <v>0</v>
      </c>
      <c r="AG236" s="27">
        <f>+AG235</f>
        <v>0</v>
      </c>
      <c r="AH236" s="27">
        <f>IF(AG236=$G235,0,AH235)</f>
        <v>0</v>
      </c>
      <c r="AI236" s="27">
        <f>+AI235</f>
        <v>0</v>
      </c>
      <c r="AJ236" s="27">
        <f>IF(AI236=$G235,0,AJ235)</f>
        <v>0</v>
      </c>
      <c r="AK236" s="27">
        <f>+AK235</f>
        <v>0</v>
      </c>
      <c r="AL236" s="27">
        <f>IF(AK236=$G235,0,AL235)</f>
        <v>0</v>
      </c>
      <c r="AM236" s="27">
        <f>+AM235</f>
        <v>0</v>
      </c>
      <c r="AN236" s="27">
        <f>IF(AM236=$G235,0,AN235)</f>
        <v>0</v>
      </c>
      <c r="AO236" s="27">
        <f>+AO235</f>
        <v>0</v>
      </c>
      <c r="AP236" s="27">
        <f>IF(AO236=$G235,0,AP235)</f>
        <v>0</v>
      </c>
      <c r="AQ236" s="27">
        <f>+AQ235</f>
        <v>0</v>
      </c>
      <c r="AR236" s="27">
        <f>IF(AQ236=$G235,0,AR235)</f>
        <v>0</v>
      </c>
      <c r="AS236" s="27">
        <f>+AS235</f>
        <v>0</v>
      </c>
      <c r="AT236" s="27">
        <f>IF(AS236=$G235,0,AT235)</f>
        <v>0</v>
      </c>
      <c r="AU236" s="27">
        <f>+AU235</f>
        <v>0</v>
      </c>
      <c r="AV236" s="27">
        <f>IF(AU236=$G235,0,AV235)</f>
        <v>0</v>
      </c>
      <c r="AW236" s="27">
        <f>+AW235</f>
        <v>0</v>
      </c>
      <c r="AX236" s="27">
        <f>IF(AW236=$G235,0,AX235)</f>
        <v>0</v>
      </c>
      <c r="AY236" s="27">
        <f>+AY235</f>
        <v>0</v>
      </c>
      <c r="AZ236" s="27">
        <f>IF(AY236=$G235,0,AZ235)</f>
        <v>0</v>
      </c>
      <c r="BA236" s="27">
        <f>+BA235</f>
        <v>0</v>
      </c>
      <c r="BB236" s="27">
        <f>IF(BA236=$G235,0,BB235)</f>
        <v>0</v>
      </c>
      <c r="BC236" s="27">
        <f>+BC235</f>
        <v>0</v>
      </c>
      <c r="BD236" s="61">
        <f>IF(BC236=$G235,0,BD235)</f>
        <v>0</v>
      </c>
      <c r="BE236" s="27">
        <f>+BE235</f>
        <v>0</v>
      </c>
      <c r="BF236" s="27">
        <f>IF(BE236=$G235,0,BF235)</f>
        <v>0</v>
      </c>
      <c r="BG236" s="27">
        <f>+BG235</f>
        <v>0</v>
      </c>
      <c r="FJ236" s="61"/>
    </row>
    <row r="237" spans="2:166" s="27" customFormat="1" ht="11.25" hidden="1" x14ac:dyDescent="0.2">
      <c r="B237" s="60"/>
      <c r="F237" s="27">
        <f>SUMIF(H237:BG237,"&gt;0")</f>
        <v>0</v>
      </c>
      <c r="G237" s="27" t="s">
        <v>632</v>
      </c>
      <c r="I237" s="27" t="e">
        <f>-CUMPRINC($F235/12,$E235*12,$D235,H236,I236,0)</f>
        <v>#NUM!</v>
      </c>
      <c r="K237" s="27" t="e">
        <f>-CUMPRINC($F235/12,$E235*12,$D235,J236,K236,0)</f>
        <v>#NUM!</v>
      </c>
      <c r="M237" s="27" t="e">
        <f>-CUMPRINC($F235/12,$E235*12,$D235,L236,M236,0)</f>
        <v>#NUM!</v>
      </c>
      <c r="O237" s="27" t="e">
        <f>-CUMPRINC($F235/12,$E235*12,$D235,N236,O236,0)</f>
        <v>#NUM!</v>
      </c>
      <c r="Q237" s="27" t="e">
        <f>-CUMPRINC($F235/12,$E235*12,$D235,P236,Q236,0)</f>
        <v>#NUM!</v>
      </c>
      <c r="S237" s="27" t="e">
        <f>-CUMPRINC($F235/12,$E235*12,$D235,R236,S236,0)</f>
        <v>#NUM!</v>
      </c>
      <c r="U237" s="27" t="e">
        <f>-CUMPRINC($F235/12,$E235*12,$D235,T236,U236,0)</f>
        <v>#NUM!</v>
      </c>
      <c r="W237" s="27" t="e">
        <f>-CUMPRINC($F235/12,$E235*12,$D235,V236,W236,0)</f>
        <v>#NUM!</v>
      </c>
      <c r="Y237" s="27" t="e">
        <f>-CUMPRINC($F235/12,$E235*12,$D235,X236,Y236,0)</f>
        <v>#NUM!</v>
      </c>
      <c r="AA237" s="27" t="e">
        <f>-CUMPRINC($F235/12,$E235*12,$D235,Z236,AA236,0)</f>
        <v>#NUM!</v>
      </c>
      <c r="AC237" s="27" t="e">
        <f>-CUMPRINC($F235/12,$E235*12,$D235,AB236,AC236,0)</f>
        <v>#NUM!</v>
      </c>
      <c r="AE237" s="27" t="e">
        <f>-CUMPRINC($F235/12,$E235*12,$D235,AD236,AE236,0)</f>
        <v>#NUM!</v>
      </c>
      <c r="AG237" s="27" t="e">
        <f>-CUMPRINC($F235/12,$E235*12,$D235,AF236,AG236,0)</f>
        <v>#NUM!</v>
      </c>
      <c r="AI237" s="27" t="e">
        <f>-CUMPRINC($F235/12,$E235*12,$D235,AH236,AI236,0)</f>
        <v>#NUM!</v>
      </c>
      <c r="AK237" s="27" t="e">
        <f>-CUMPRINC($F235/12,$E235*12,$D235,AJ236,AK236,0)</f>
        <v>#NUM!</v>
      </c>
      <c r="AM237" s="27" t="e">
        <f>-CUMPRINC($F235/12,$E235*12,$D235,AL236,AM236,0)</f>
        <v>#NUM!</v>
      </c>
      <c r="AO237" s="27" t="e">
        <f>-CUMPRINC($F235/12,$E235*12,$D235,AN236,AO236,0)</f>
        <v>#NUM!</v>
      </c>
      <c r="AQ237" s="27" t="e">
        <f>-CUMPRINC($F235/12,$E235*12,$D235,AP236,AQ236,0)</f>
        <v>#NUM!</v>
      </c>
      <c r="AS237" s="27" t="e">
        <f>-CUMPRINC($F235/12,$E235*12,$D235,AR236,AS236,0)</f>
        <v>#NUM!</v>
      </c>
      <c r="AU237" s="27" t="e">
        <f>-CUMPRINC($F235/12,$E235*12,$D235,AT236,AU236,0)</f>
        <v>#NUM!</v>
      </c>
      <c r="AW237" s="27" t="e">
        <f>-CUMPRINC($F235/12,$E235*12,$D235,AV236,AW236,0)</f>
        <v>#NUM!</v>
      </c>
      <c r="AY237" s="27" t="e">
        <f>-CUMPRINC($F235/12,$E235*12,$D235,AX236,AY236,0)</f>
        <v>#NUM!</v>
      </c>
      <c r="BA237" s="27" t="e">
        <f>-CUMPRINC($F235/12,$E235*12,$D235,AZ236,BA236,0)</f>
        <v>#NUM!</v>
      </c>
      <c r="BC237" s="27" t="e">
        <f>-CUMPRINC($F235/12,$E235*12,$D235,BB236,BC236,0)</f>
        <v>#NUM!</v>
      </c>
      <c r="BD237" s="61"/>
      <c r="BE237" s="27" t="e">
        <f>-CUMPRINC($F235/12,$E235*12,$D235,BD236,BE236,0)</f>
        <v>#NUM!</v>
      </c>
      <c r="BG237" s="27" t="e">
        <f>-CUMPRINC($F235/12,$E235*12,$D235,BF236,BG236,0)</f>
        <v>#NUM!</v>
      </c>
      <c r="BH237" s="27" t="s">
        <v>783</v>
      </c>
      <c r="BJ237" s="27" t="e">
        <f>-CUMIPMT($F235/12,$E235*12,$D235,H236,I236,0)</f>
        <v>#NUM!</v>
      </c>
      <c r="BL237" s="27" t="e">
        <f>-CUMIPMT($F235/12,$E235*12,$D235,J236,K236,0)</f>
        <v>#NUM!</v>
      </c>
      <c r="BN237" s="27" t="e">
        <f>-CUMIPMT($F235/12,$E235*12,$D235,L236,M236,0)</f>
        <v>#NUM!</v>
      </c>
      <c r="BP237" s="27" t="e">
        <f>-CUMIPMT($F235/12,$E235*12,$D235,N236,O236,0)</f>
        <v>#NUM!</v>
      </c>
      <c r="BR237" s="27" t="e">
        <f>-CUMIPMT($F235/12,$E235*12,$D235,P236,Q236,0)</f>
        <v>#NUM!</v>
      </c>
      <c r="BT237" s="27" t="e">
        <f>-CUMIPMT($F235/12,$E235*12,$D235,R236,S236,0)</f>
        <v>#NUM!</v>
      </c>
      <c r="BV237" s="27" t="e">
        <f>-CUMIPMT($F235/12,$E235*12,$D235,T236,U236,0)</f>
        <v>#NUM!</v>
      </c>
      <c r="BX237" s="27" t="e">
        <f>-CUMIPMT($F235/12,$E235*12,$D235,V236,W236,0)</f>
        <v>#NUM!</v>
      </c>
      <c r="BZ237" s="27" t="e">
        <f>-CUMIPMT($F235/12,$E235*12,$D235,X236,Y236,0)</f>
        <v>#NUM!</v>
      </c>
      <c r="CB237" s="27" t="e">
        <f>-CUMIPMT($F235/12,$E235*12,$D235,Z236,AA236,0)</f>
        <v>#NUM!</v>
      </c>
      <c r="CD237" s="27" t="e">
        <f>-CUMIPMT($F235/12,$E235*12,$D235,AB236,AC236,0)</f>
        <v>#NUM!</v>
      </c>
      <c r="CF237" s="27" t="e">
        <f>-CUMIPMT($F235/12,$E235*12,$D235,AD236,AE236,0)</f>
        <v>#NUM!</v>
      </c>
      <c r="CH237" s="27" t="e">
        <f>-CUMIPMT($F235/12,$E235*12,$D235,AF236,AG236,0)</f>
        <v>#NUM!</v>
      </c>
      <c r="CJ237" s="27" t="e">
        <f>-CUMIPMT($F235/12,$E235*12,$D235,AH236,AI236,0)</f>
        <v>#NUM!</v>
      </c>
      <c r="CL237" s="27" t="e">
        <f>-CUMIPMT($F235/12,$E235*12,$D235,AJ236,AK236,0)</f>
        <v>#NUM!</v>
      </c>
      <c r="CN237" s="27" t="e">
        <f>-CUMIPMT($F235/12,$E235*12,$D235,AL236,AM236,0)</f>
        <v>#NUM!</v>
      </c>
      <c r="CP237" s="27" t="e">
        <f>-CUMIPMT($F235/12,$E235*12,$D235,AN236,AO236,0)</f>
        <v>#NUM!</v>
      </c>
      <c r="CR237" s="27" t="e">
        <f>-CUMIPMT($F235/12,$E235*12,$D235,AP236,AQ236,0)</f>
        <v>#NUM!</v>
      </c>
      <c r="CT237" s="27" t="e">
        <f>-CUMIPMT($F235/12,$E235*12,$D235,AR236,AS236,0)</f>
        <v>#NUM!</v>
      </c>
      <c r="CV237" s="27" t="e">
        <f>-CUMIPMT($F235/12,$E235*12,$D235,AT236,AU236,0)</f>
        <v>#NUM!</v>
      </c>
      <c r="CX237" s="27" t="e">
        <f>-CUMIPMT($F235/12,$E235*12,$D235,AV236,AW236,0)</f>
        <v>#NUM!</v>
      </c>
      <c r="CZ237" s="27" t="e">
        <f>-CUMIPMT($F235/12,$E235*12,$D235,AX236,AY236,0)</f>
        <v>#NUM!</v>
      </c>
      <c r="DB237" s="27" t="e">
        <f>-CUMIPMT($F235/12,$E235*12,$D235,AZ236,BA236,0)</f>
        <v>#NUM!</v>
      </c>
      <c r="DD237" s="27" t="e">
        <f>-CUMIPMT($F235/12,$E235*12,$D235,BB236,BC236,0)</f>
        <v>#NUM!</v>
      </c>
      <c r="DF237" s="27" t="e">
        <f>-CUMIPMT($F235/12,$E235*12,$D235,BD236,BE236,0)</f>
        <v>#NUM!</v>
      </c>
      <c r="DH237" s="27" t="e">
        <f>-CUMIPMT($F235/12,$E235*12,$D235,BF236,BG236,0)</f>
        <v>#NUM!</v>
      </c>
      <c r="DI237" s="27" t="s">
        <v>784</v>
      </c>
      <c r="DJ237" s="27" t="s">
        <v>785</v>
      </c>
      <c r="DK237" s="27">
        <f>+F237</f>
        <v>0</v>
      </c>
      <c r="DL237" s="27" t="e">
        <f>+DK237-I237</f>
        <v>#NUM!</v>
      </c>
      <c r="DN237" s="27" t="e">
        <f>+DL237-K237</f>
        <v>#NUM!</v>
      </c>
      <c r="DP237" s="27" t="e">
        <f>+DN237-M237</f>
        <v>#NUM!</v>
      </c>
      <c r="DR237" s="27" t="e">
        <f>+DP237-O237</f>
        <v>#NUM!</v>
      </c>
      <c r="DT237" s="27" t="e">
        <f>+DR237-Q237</f>
        <v>#NUM!</v>
      </c>
      <c r="DV237" s="27" t="e">
        <f>+DT237-S237</f>
        <v>#NUM!</v>
      </c>
      <c r="DX237" s="27" t="e">
        <f>+DV237-U237</f>
        <v>#NUM!</v>
      </c>
      <c r="DZ237" s="27" t="e">
        <f>+DX237-W237</f>
        <v>#NUM!</v>
      </c>
      <c r="EB237" s="27" t="e">
        <f>+DZ237-Y237</f>
        <v>#NUM!</v>
      </c>
      <c r="ED237" s="27" t="e">
        <f>+EB237-AA237</f>
        <v>#NUM!</v>
      </c>
      <c r="EF237" s="27" t="e">
        <f>+ED237-AC237</f>
        <v>#NUM!</v>
      </c>
      <c r="EH237" s="27" t="e">
        <f>+EF237-AE237</f>
        <v>#NUM!</v>
      </c>
      <c r="EJ237" s="27" t="e">
        <f>+EH237-AG237</f>
        <v>#NUM!</v>
      </c>
      <c r="EL237" s="27" t="e">
        <f>+EJ237-AI237</f>
        <v>#NUM!</v>
      </c>
      <c r="EN237" s="27" t="e">
        <f>+EL237-AK237</f>
        <v>#NUM!</v>
      </c>
      <c r="EP237" s="27" t="e">
        <f>+EN237-AM237</f>
        <v>#NUM!</v>
      </c>
      <c r="ER237" s="27" t="e">
        <f>+EP237-AO237</f>
        <v>#NUM!</v>
      </c>
      <c r="ET237" s="27" t="e">
        <f>+ER237-AQ237</f>
        <v>#NUM!</v>
      </c>
      <c r="EV237" s="27" t="e">
        <f>+ET237-AS237</f>
        <v>#NUM!</v>
      </c>
      <c r="EX237" s="27" t="e">
        <f>+EV237-AU237</f>
        <v>#NUM!</v>
      </c>
      <c r="EZ237" s="27" t="e">
        <f>+EX237-AW237</f>
        <v>#NUM!</v>
      </c>
      <c r="FB237" s="27" t="e">
        <f>+EZ237-AY237</f>
        <v>#NUM!</v>
      </c>
      <c r="FD237" s="27" t="e">
        <f>+FB237-BA237</f>
        <v>#NUM!</v>
      </c>
      <c r="FF237" s="27" t="e">
        <f>+FD237-BC237</f>
        <v>#NUM!</v>
      </c>
      <c r="FH237" s="27" t="e">
        <f>+FF237-BE237</f>
        <v>#NUM!</v>
      </c>
      <c r="FJ237" s="61" t="e">
        <f>+FH237-BG237</f>
        <v>#NUM!</v>
      </c>
    </row>
    <row r="238" spans="2:166" s="27" customFormat="1" ht="11.25" hidden="1" x14ac:dyDescent="0.2">
      <c r="B238" s="60"/>
      <c r="E238" s="27">
        <f>+F237+F238</f>
        <v>0</v>
      </c>
      <c r="F238" s="27">
        <f>SUMIF(BI237:DH237,"&gt;0")</f>
        <v>0</v>
      </c>
      <c r="I238" s="27">
        <f>IF(ISERROR(I237)=FALSE,I237,0)</f>
        <v>0</v>
      </c>
      <c r="K238" s="27">
        <f>IF(ISERROR(K237)=FALSE,K237,0)</f>
        <v>0</v>
      </c>
      <c r="M238" s="27">
        <f>IF(ISERROR(M237)=FALSE,M237,0)</f>
        <v>0</v>
      </c>
      <c r="O238" s="27">
        <f>IF(ISERROR(O237)=FALSE,O237,0)</f>
        <v>0</v>
      </c>
      <c r="Q238" s="27">
        <f>IF(ISERROR(Q237)=FALSE,Q237,0)</f>
        <v>0</v>
      </c>
      <c r="S238" s="27">
        <f>IF(ISERROR(S237)=FALSE,S237,0)</f>
        <v>0</v>
      </c>
      <c r="U238" s="27">
        <f>IF(ISERROR(U237)=FALSE,U237,0)</f>
        <v>0</v>
      </c>
      <c r="W238" s="27">
        <f>IF(ISERROR(W237)=FALSE,W237,0)</f>
        <v>0</v>
      </c>
      <c r="Y238" s="27">
        <f>IF(ISERROR(Y237)=FALSE,Y237,0)</f>
        <v>0</v>
      </c>
      <c r="AA238" s="27">
        <f>IF(ISERROR(AA237)=FALSE,AA237,0)</f>
        <v>0</v>
      </c>
      <c r="AC238" s="27">
        <f>IF(ISERROR(AC237)=FALSE,AC237,0)</f>
        <v>0</v>
      </c>
      <c r="AE238" s="27">
        <f>IF(ISERROR(AE237)=FALSE,AE237,0)</f>
        <v>0</v>
      </c>
      <c r="AG238" s="27">
        <f>IF(ISERROR(AG237)=FALSE,AG237,0)</f>
        <v>0</v>
      </c>
      <c r="AI238" s="27">
        <f>IF(ISERROR(AI237)=FALSE,AI237,0)</f>
        <v>0</v>
      </c>
      <c r="AK238" s="27">
        <f>IF(ISERROR(AK237)=FALSE,AK237,0)</f>
        <v>0</v>
      </c>
      <c r="AM238" s="27">
        <f>IF(ISERROR(AM237)=FALSE,AM237,0)</f>
        <v>0</v>
      </c>
      <c r="AO238" s="27">
        <f>IF(ISERROR(AO237)=FALSE,AO237,0)</f>
        <v>0</v>
      </c>
      <c r="AQ238" s="27">
        <f>IF(ISERROR(AQ237)=FALSE,AQ237,0)</f>
        <v>0</v>
      </c>
      <c r="AS238" s="27">
        <f>IF(ISERROR(AS237)=FALSE,AS237,0)</f>
        <v>0</v>
      </c>
      <c r="AU238" s="27">
        <f>IF(ISERROR(AU237)=FALSE,AU237,0)</f>
        <v>0</v>
      </c>
      <c r="AW238" s="27">
        <f>IF(ISERROR(AW237)=FALSE,AW237,0)</f>
        <v>0</v>
      </c>
      <c r="AY238" s="27">
        <f>IF(ISERROR(AY237)=FALSE,AY237,0)</f>
        <v>0</v>
      </c>
      <c r="BA238" s="27">
        <f>IF(ISERROR(BA237)=FALSE,BA237,0)</f>
        <v>0</v>
      </c>
      <c r="BC238" s="27">
        <f>IF(ISERROR(BC237)=FALSE,BC237,0)</f>
        <v>0</v>
      </c>
      <c r="BD238" s="61"/>
      <c r="BE238" s="27">
        <f>IF(ISERROR(BE237)=FALSE,BE237,0)</f>
        <v>0</v>
      </c>
      <c r="BG238" s="27">
        <f>IF(ISERROR(BG237)=FALSE,BG237,0)</f>
        <v>0</v>
      </c>
      <c r="FJ238" s="61"/>
    </row>
    <row r="239" spans="2:166" s="27" customFormat="1" ht="11.25" hidden="1" x14ac:dyDescent="0.2">
      <c r="B239" s="60"/>
      <c r="D239" s="27" t="s">
        <v>630</v>
      </c>
      <c r="E239" s="27">
        <f>IF(E235=0,0,E238/(E235*12))</f>
        <v>0</v>
      </c>
      <c r="BD239" s="61"/>
      <c r="FJ239" s="61"/>
    </row>
    <row r="240" spans="2:166" s="27" customFormat="1" ht="11.25" hidden="1" x14ac:dyDescent="0.2">
      <c r="B240" s="60"/>
      <c r="C240" s="27">
        <f>C128</f>
        <v>0</v>
      </c>
      <c r="D240" s="27">
        <f>D128</f>
        <v>0</v>
      </c>
      <c r="E240" s="27">
        <f>E128</f>
        <v>0</v>
      </c>
      <c r="F240" s="27">
        <f>F128</f>
        <v>0</v>
      </c>
      <c r="G240" s="27">
        <f>+$E240*12</f>
        <v>0</v>
      </c>
      <c r="H240" s="27">
        <f>SUMIF($W128:$AH128,$D128,$W$108:$AH$108)</f>
        <v>78</v>
      </c>
      <c r="I240" s="27">
        <f>13-H240</f>
        <v>-65</v>
      </c>
      <c r="J240" s="27">
        <f>IF(I240+1&lt;=$G240,I240+1,($G240-I240)+I240)</f>
        <v>-64</v>
      </c>
      <c r="K240" s="27">
        <f>IF(J240+11&lt;=$G240,J240+11,($G240-J240)+J240)</f>
        <v>-53</v>
      </c>
      <c r="L240" s="27">
        <f>IF(K240+1&lt;=$G240,K240+1,($G240-K240)+K240)</f>
        <v>-52</v>
      </c>
      <c r="M240" s="27">
        <f>IF(L240+11&lt;=$G240,L240+11,($G240-L240)+L240)</f>
        <v>-41</v>
      </c>
      <c r="N240" s="27">
        <f>IF(M240+1&lt;=$G240,M240+1,($G240-M240)+M240)</f>
        <v>-40</v>
      </c>
      <c r="O240" s="27">
        <f>IF(N240+11&lt;=$G240,N240+11,($G240-N240)+N240)</f>
        <v>-29</v>
      </c>
      <c r="P240" s="27">
        <f>IF(O240+1&lt;=$G240,O240+1,($G240-O240)+O240)</f>
        <v>-28</v>
      </c>
      <c r="Q240" s="27">
        <f>IF(P240+11&lt;=$G240,P240+11,($G240-P240)+P240)</f>
        <v>-17</v>
      </c>
      <c r="R240" s="27">
        <f>IF(Q240+1&lt;=$G240,Q240+1,($G240-Q240)+Q240)</f>
        <v>-16</v>
      </c>
      <c r="S240" s="27">
        <f>IF(R240+11&lt;=$G240,R240+11,($G240-R240)+R240)</f>
        <v>-5</v>
      </c>
      <c r="T240" s="27">
        <f>IF(S240+1&lt;=$G240,S240+1,($G240-S240)+S240)</f>
        <v>-4</v>
      </c>
      <c r="U240" s="27">
        <f>IF(T240+11&lt;=$G240,T240+11,($G240-T240)+T240)</f>
        <v>0</v>
      </c>
      <c r="V240" s="27">
        <f>IF(U240+1&lt;=$G240,U240+1,($G240-U240)+U240)</f>
        <v>0</v>
      </c>
      <c r="W240" s="27">
        <f>IF(V240+11&lt;=$G240,V240+11,($G240-V240)+V240)</f>
        <v>0</v>
      </c>
      <c r="X240" s="27">
        <f>IF(W240+1&lt;=$G240,W240+1,($G240-W240)+W240)</f>
        <v>0</v>
      </c>
      <c r="Y240" s="27">
        <f>IF(X240+11&lt;=$G240,X240+11,($G240-X240)+X240)</f>
        <v>0</v>
      </c>
      <c r="Z240" s="27">
        <f>IF(Y240+1&lt;=$G240,Y240+1,($G240-Y240)+Y240)</f>
        <v>0</v>
      </c>
      <c r="AA240" s="27">
        <f>IF(Z240+11&lt;=$G240,Z240+11,($G240-Z240)+Z240)</f>
        <v>0</v>
      </c>
      <c r="AB240" s="27">
        <f>IF(AA240+1&lt;=$G240,AA240+1,($G240-AA240)+AA240)</f>
        <v>0</v>
      </c>
      <c r="AC240" s="27">
        <f>IF(AB240+11&lt;=$G240,AB240+11,($G240-AB240)+AB240)</f>
        <v>0</v>
      </c>
      <c r="AD240" s="27">
        <f>IF(AC240+1&lt;=$G240,AC240+1,($G240-AC240)+AC240)</f>
        <v>0</v>
      </c>
      <c r="AE240" s="27">
        <f>IF(AD240+11&lt;=$G240,AD240+11,($G240-AD240)+AD240)</f>
        <v>0</v>
      </c>
      <c r="AF240" s="27">
        <f>IF(AE240+1&lt;=$G240,AE240+1,($G240-AE240)+AE240)</f>
        <v>0</v>
      </c>
      <c r="AG240" s="27">
        <f>IF(AF240+11&lt;=$G240,AF240+11,($G240-AF240)+AF240)</f>
        <v>0</v>
      </c>
      <c r="AH240" s="27">
        <f>IF(AG240+1&lt;=$G240,AG240+1,($G240-AG240)+AG240)</f>
        <v>0</v>
      </c>
      <c r="AI240" s="27">
        <f>IF(AH240+11&lt;=$G240,AH240+11,($G240-AH240)+AH240)</f>
        <v>0</v>
      </c>
      <c r="AJ240" s="27">
        <f>IF(AI240+1&lt;=$G240,AI240+1,($G240-AI240)+AI240)</f>
        <v>0</v>
      </c>
      <c r="AK240" s="27">
        <f>IF(AJ240+11&lt;=$G240,AJ240+11,($G240-AJ240)+AJ240)</f>
        <v>0</v>
      </c>
      <c r="AL240" s="27">
        <f>IF(AK240+1&lt;=$G240,AK240+1,($G240-AK240)+AK240)</f>
        <v>0</v>
      </c>
      <c r="AM240" s="27">
        <f>IF(AL240+11&lt;=$G240,AL240+11,($G240-AL240)+AL240)</f>
        <v>0</v>
      </c>
      <c r="AN240" s="27">
        <f>IF(AM240+1&lt;=$G240,AM240+1,($G240-AM240)+AM240)</f>
        <v>0</v>
      </c>
      <c r="AO240" s="27">
        <f>IF(AN240+11&lt;=$G240,AN240+11,($G240-AN240)+AN240)</f>
        <v>0</v>
      </c>
      <c r="AP240" s="27">
        <f>IF(AO240+1&lt;=$G240,AO240+1,($G240-AO240)+AO240)</f>
        <v>0</v>
      </c>
      <c r="AQ240" s="27">
        <f>IF(AP240+11&lt;=$G240,AP240+11,($G240-AP240)+AP240)</f>
        <v>0</v>
      </c>
      <c r="AR240" s="27">
        <f>IF(AQ240+1&lt;=$G240,AQ240+1,($G240-AQ240)+AQ240)</f>
        <v>0</v>
      </c>
      <c r="AS240" s="27">
        <f>IF(AR240+11&lt;=$G240,AR240+11,($G240-AR240)+AR240)</f>
        <v>0</v>
      </c>
      <c r="AT240" s="27">
        <f>IF(AS240+1&lt;=$G240,AS240+1,($G240-AS240)+AS240)</f>
        <v>0</v>
      </c>
      <c r="AU240" s="27">
        <f>IF(AT240+11&lt;=$G240,AT240+11,($G240-AT240)+AT240)</f>
        <v>0</v>
      </c>
      <c r="AV240" s="27">
        <f>IF(AU240+1&lt;=$G240,AU240+1,($G240-AU240)+AU240)</f>
        <v>0</v>
      </c>
      <c r="AW240" s="27">
        <f>IF(AV240+11&lt;=$G240,AV240+11,($G240-AV240)+AV240)</f>
        <v>0</v>
      </c>
      <c r="AX240" s="27">
        <f>IF(AW240+1&lt;=$G240,AW240+1,($G240-AW240)+AW240)</f>
        <v>0</v>
      </c>
      <c r="AY240" s="27">
        <f>IF(AX240+11&lt;=$G240,AX240+11,($G240-AX240)+AX240)</f>
        <v>0</v>
      </c>
      <c r="AZ240" s="27">
        <f>IF(AY240+1&lt;=$G240,AY240+1,($G240-AY240)+AY240)</f>
        <v>0</v>
      </c>
      <c r="BA240" s="27">
        <f>IF(AZ240+35&lt;=$G240,AZ240+35,($G240-AZ240)+AZ240)</f>
        <v>0</v>
      </c>
      <c r="BB240" s="27">
        <f>IF(BA240+1&lt;=$G240,BA240+1,($G240-BA240)+BA240)</f>
        <v>0</v>
      </c>
      <c r="BC240" s="27">
        <f>IF(BB240+59&lt;=$G240,BB240+59,($G240-BB240)+BB240)</f>
        <v>0</v>
      </c>
      <c r="BD240" s="61">
        <f>IF(BC240+1&lt;=$G240,BC240+1,($G240-BC240)+BC240)</f>
        <v>0</v>
      </c>
      <c r="BE240" s="27">
        <f>IF(BD240+239&lt;=$G240,BD240+239,($G240-BD240)+BD240)</f>
        <v>0</v>
      </c>
      <c r="BF240" s="27">
        <f>IF(BE240+1&lt;=$G240,BE240+1,($G240-BE240)+BE240)</f>
        <v>0</v>
      </c>
      <c r="BG240" s="27">
        <f>IF(BF240+11&lt;=$G240,BF240+11,($G240-BF240)+BF240)</f>
        <v>0</v>
      </c>
      <c r="FJ240" s="61"/>
    </row>
    <row r="241" spans="2:166" s="27" customFormat="1" ht="11.25" hidden="1" x14ac:dyDescent="0.2">
      <c r="B241" s="60"/>
      <c r="H241" s="27">
        <v>1</v>
      </c>
      <c r="I241" s="27">
        <f>+I240</f>
        <v>-65</v>
      </c>
      <c r="J241" s="27">
        <f>IF(I241=$G240,0,J240)</f>
        <v>-64</v>
      </c>
      <c r="K241" s="27">
        <f>+K240</f>
        <v>-53</v>
      </c>
      <c r="L241" s="27">
        <f>IF(K241=$G240,0,L240)</f>
        <v>-52</v>
      </c>
      <c r="M241" s="27">
        <f>+M240</f>
        <v>-41</v>
      </c>
      <c r="N241" s="27">
        <f>IF(M241=$G240,0,N240)</f>
        <v>-40</v>
      </c>
      <c r="O241" s="27">
        <f>+O240</f>
        <v>-29</v>
      </c>
      <c r="P241" s="27">
        <f>IF(O241=$G240,0,P240)</f>
        <v>-28</v>
      </c>
      <c r="Q241" s="27">
        <f>+Q240</f>
        <v>-17</v>
      </c>
      <c r="R241" s="27">
        <f>IF(Q241=$G240,0,R240)</f>
        <v>-16</v>
      </c>
      <c r="S241" s="27">
        <f>+S240</f>
        <v>-5</v>
      </c>
      <c r="T241" s="27">
        <f>IF(S241=$G240,0,T240)</f>
        <v>-4</v>
      </c>
      <c r="U241" s="27">
        <f>+U240</f>
        <v>0</v>
      </c>
      <c r="V241" s="27">
        <f>IF(U241=$G240,0,V240)</f>
        <v>0</v>
      </c>
      <c r="W241" s="27">
        <f>+W240</f>
        <v>0</v>
      </c>
      <c r="X241" s="27">
        <f>IF(W241=$G240,0,X240)</f>
        <v>0</v>
      </c>
      <c r="Y241" s="27">
        <f>+Y240</f>
        <v>0</v>
      </c>
      <c r="Z241" s="27">
        <f>IF(Y241=$G240,0,Z240)</f>
        <v>0</v>
      </c>
      <c r="AA241" s="27">
        <f>+AA240</f>
        <v>0</v>
      </c>
      <c r="AB241" s="27">
        <f>IF(AA241=$G240,0,AB240)</f>
        <v>0</v>
      </c>
      <c r="AC241" s="27">
        <f>+AC240</f>
        <v>0</v>
      </c>
      <c r="AD241" s="27">
        <f>IF(AC241=$G240,0,AD240)</f>
        <v>0</v>
      </c>
      <c r="AE241" s="27">
        <f>+AE240</f>
        <v>0</v>
      </c>
      <c r="AF241" s="27">
        <f>IF(AE241=$G240,0,AF240)</f>
        <v>0</v>
      </c>
      <c r="AG241" s="27">
        <f>+AG240</f>
        <v>0</v>
      </c>
      <c r="AH241" s="27">
        <f>IF(AG241=$G240,0,AH240)</f>
        <v>0</v>
      </c>
      <c r="AI241" s="27">
        <f>+AI240</f>
        <v>0</v>
      </c>
      <c r="AJ241" s="27">
        <f>IF(AI241=$G240,0,AJ240)</f>
        <v>0</v>
      </c>
      <c r="AK241" s="27">
        <f>+AK240</f>
        <v>0</v>
      </c>
      <c r="AL241" s="27">
        <f>IF(AK241=$G240,0,AL240)</f>
        <v>0</v>
      </c>
      <c r="AM241" s="27">
        <f>+AM240</f>
        <v>0</v>
      </c>
      <c r="AN241" s="27">
        <f>IF(AM241=$G240,0,AN240)</f>
        <v>0</v>
      </c>
      <c r="AO241" s="27">
        <f>+AO240</f>
        <v>0</v>
      </c>
      <c r="AP241" s="27">
        <f>IF(AO241=$G240,0,AP240)</f>
        <v>0</v>
      </c>
      <c r="AQ241" s="27">
        <f>+AQ240</f>
        <v>0</v>
      </c>
      <c r="AR241" s="27">
        <f>IF(AQ241=$G240,0,AR240)</f>
        <v>0</v>
      </c>
      <c r="AS241" s="27">
        <f>+AS240</f>
        <v>0</v>
      </c>
      <c r="AT241" s="27">
        <f>IF(AS241=$G240,0,AT240)</f>
        <v>0</v>
      </c>
      <c r="AU241" s="27">
        <f>+AU240</f>
        <v>0</v>
      </c>
      <c r="AV241" s="27">
        <f>IF(AU241=$G240,0,AV240)</f>
        <v>0</v>
      </c>
      <c r="AW241" s="27">
        <f>+AW240</f>
        <v>0</v>
      </c>
      <c r="AX241" s="27">
        <f>IF(AW241=$G240,0,AX240)</f>
        <v>0</v>
      </c>
      <c r="AY241" s="27">
        <f>+AY240</f>
        <v>0</v>
      </c>
      <c r="AZ241" s="27">
        <f>IF(AY241=$G240,0,AZ240)</f>
        <v>0</v>
      </c>
      <c r="BA241" s="27">
        <f>+BA240</f>
        <v>0</v>
      </c>
      <c r="BB241" s="27">
        <f>IF(BA241=$G240,0,BB240)</f>
        <v>0</v>
      </c>
      <c r="BC241" s="27">
        <f>+BC240</f>
        <v>0</v>
      </c>
      <c r="BD241" s="61">
        <f>IF(BC241=$G240,0,BD240)</f>
        <v>0</v>
      </c>
      <c r="BE241" s="27">
        <f>+BE240</f>
        <v>0</v>
      </c>
      <c r="BF241" s="27">
        <f>IF(BE241=$G240,0,BF240)</f>
        <v>0</v>
      </c>
      <c r="BG241" s="27">
        <f>+BG240</f>
        <v>0</v>
      </c>
      <c r="FJ241" s="61"/>
    </row>
    <row r="242" spans="2:166" s="27" customFormat="1" ht="11.25" hidden="1" x14ac:dyDescent="0.2">
      <c r="B242" s="60"/>
      <c r="F242" s="27">
        <f>SUMIF(H242:BG242,"&gt;0")</f>
        <v>0</v>
      </c>
      <c r="G242" s="27" t="s">
        <v>632</v>
      </c>
      <c r="I242" s="27" t="e">
        <f>-CUMPRINC($F240/12,$E240*12,$D240,H241,I241,0)</f>
        <v>#NUM!</v>
      </c>
      <c r="K242" s="27" t="e">
        <f>-CUMPRINC($F240/12,$E240*12,$D240,J241,K241,0)</f>
        <v>#NUM!</v>
      </c>
      <c r="M242" s="27" t="e">
        <f>-CUMPRINC($F240/12,$E240*12,$D240,L241,M241,0)</f>
        <v>#NUM!</v>
      </c>
      <c r="O242" s="27" t="e">
        <f>-CUMPRINC($F240/12,$E240*12,$D240,N241,O241,0)</f>
        <v>#NUM!</v>
      </c>
      <c r="Q242" s="27" t="e">
        <f>-CUMPRINC($F240/12,$E240*12,$D240,P241,Q241,0)</f>
        <v>#NUM!</v>
      </c>
      <c r="S242" s="27" t="e">
        <f>-CUMPRINC($F240/12,$E240*12,$D240,R241,S241,0)</f>
        <v>#NUM!</v>
      </c>
      <c r="U242" s="27" t="e">
        <f>-CUMPRINC($F240/12,$E240*12,$D240,T241,U241,0)</f>
        <v>#NUM!</v>
      </c>
      <c r="W242" s="27" t="e">
        <f>-CUMPRINC($F240/12,$E240*12,$D240,V241,W241,0)</f>
        <v>#NUM!</v>
      </c>
      <c r="Y242" s="27" t="e">
        <f>-CUMPRINC($F240/12,$E240*12,$D240,X241,Y241,0)</f>
        <v>#NUM!</v>
      </c>
      <c r="AA242" s="27" t="e">
        <f>-CUMPRINC($F240/12,$E240*12,$D240,Z241,AA241,0)</f>
        <v>#NUM!</v>
      </c>
      <c r="AC242" s="27" t="e">
        <f>-CUMPRINC($F240/12,$E240*12,$D240,AB241,AC241,0)</f>
        <v>#NUM!</v>
      </c>
      <c r="AE242" s="27" t="e">
        <f>-CUMPRINC($F240/12,$E240*12,$D240,AD241,AE241,0)</f>
        <v>#NUM!</v>
      </c>
      <c r="AG242" s="27" t="e">
        <f>-CUMPRINC($F240/12,$E240*12,$D240,AF241,AG241,0)</f>
        <v>#NUM!</v>
      </c>
      <c r="AI242" s="27" t="e">
        <f>-CUMPRINC($F240/12,$E240*12,$D240,AH241,AI241,0)</f>
        <v>#NUM!</v>
      </c>
      <c r="AK242" s="27" t="e">
        <f>-CUMPRINC($F240/12,$E240*12,$D240,AJ241,AK241,0)</f>
        <v>#NUM!</v>
      </c>
      <c r="AM242" s="27" t="e">
        <f>-CUMPRINC($F240/12,$E240*12,$D240,AL241,AM241,0)</f>
        <v>#NUM!</v>
      </c>
      <c r="AO242" s="27" t="e">
        <f>-CUMPRINC($F240/12,$E240*12,$D240,AN241,AO241,0)</f>
        <v>#NUM!</v>
      </c>
      <c r="AQ242" s="27" t="e">
        <f>-CUMPRINC($F240/12,$E240*12,$D240,AP241,AQ241,0)</f>
        <v>#NUM!</v>
      </c>
      <c r="AS242" s="27" t="e">
        <f>-CUMPRINC($F240/12,$E240*12,$D240,AR241,AS241,0)</f>
        <v>#NUM!</v>
      </c>
      <c r="AU242" s="27" t="e">
        <f>-CUMPRINC($F240/12,$E240*12,$D240,AT241,AU241,0)</f>
        <v>#NUM!</v>
      </c>
      <c r="AW242" s="27" t="e">
        <f>-CUMPRINC($F240/12,$E240*12,$D240,AV241,AW241,0)</f>
        <v>#NUM!</v>
      </c>
      <c r="AY242" s="27" t="e">
        <f>-CUMPRINC($F240/12,$E240*12,$D240,AX241,AY241,0)</f>
        <v>#NUM!</v>
      </c>
      <c r="BA242" s="27" t="e">
        <f>-CUMPRINC($F240/12,$E240*12,$D240,AZ241,BA241,0)</f>
        <v>#NUM!</v>
      </c>
      <c r="BC242" s="27" t="e">
        <f>-CUMPRINC($F240/12,$E240*12,$D240,BB241,BC241,0)</f>
        <v>#NUM!</v>
      </c>
      <c r="BD242" s="61"/>
      <c r="BE242" s="27" t="e">
        <f>-CUMPRINC($F240/12,$E240*12,$D240,BD241,BE241,0)</f>
        <v>#NUM!</v>
      </c>
      <c r="BG242" s="27" t="e">
        <f>-CUMPRINC($F240/12,$E240*12,$D240,BF241,BG241,0)</f>
        <v>#NUM!</v>
      </c>
      <c r="BH242" s="27" t="s">
        <v>783</v>
      </c>
      <c r="BJ242" s="27" t="e">
        <f>-CUMIPMT($F240/12,$E240*12,$D240,H241,I241,0)</f>
        <v>#NUM!</v>
      </c>
      <c r="BL242" s="27" t="e">
        <f>-CUMIPMT($F240/12,$E240*12,$D240,J241,K241,0)</f>
        <v>#NUM!</v>
      </c>
      <c r="BN242" s="27" t="e">
        <f>-CUMIPMT($F240/12,$E240*12,$D240,L241,M241,0)</f>
        <v>#NUM!</v>
      </c>
      <c r="BP242" s="27" t="e">
        <f>-CUMIPMT($F240/12,$E240*12,$D240,N241,O241,0)</f>
        <v>#NUM!</v>
      </c>
      <c r="BR242" s="27" t="e">
        <f>-CUMIPMT($F240/12,$E240*12,$D240,P241,Q241,0)</f>
        <v>#NUM!</v>
      </c>
      <c r="BT242" s="27" t="e">
        <f>-CUMIPMT($F240/12,$E240*12,$D240,R241,S241,0)</f>
        <v>#NUM!</v>
      </c>
      <c r="BV242" s="27" t="e">
        <f>-CUMIPMT($F240/12,$E240*12,$D240,T241,U241,0)</f>
        <v>#NUM!</v>
      </c>
      <c r="BX242" s="27" t="e">
        <f>-CUMIPMT($F240/12,$E240*12,$D240,V241,W241,0)</f>
        <v>#NUM!</v>
      </c>
      <c r="BZ242" s="27" t="e">
        <f>-CUMIPMT($F240/12,$E240*12,$D240,X241,Y241,0)</f>
        <v>#NUM!</v>
      </c>
      <c r="CB242" s="27" t="e">
        <f>-CUMIPMT($F240/12,$E240*12,$D240,Z241,AA241,0)</f>
        <v>#NUM!</v>
      </c>
      <c r="CD242" s="27" t="e">
        <f>-CUMIPMT($F240/12,$E240*12,$D240,AB241,AC241,0)</f>
        <v>#NUM!</v>
      </c>
      <c r="CF242" s="27" t="e">
        <f>-CUMIPMT($F240/12,$E240*12,$D240,AD241,AE241,0)</f>
        <v>#NUM!</v>
      </c>
      <c r="CH242" s="27" t="e">
        <f>-CUMIPMT($F240/12,$E240*12,$D240,AF241,AG241,0)</f>
        <v>#NUM!</v>
      </c>
      <c r="CJ242" s="27" t="e">
        <f>-CUMIPMT($F240/12,$E240*12,$D240,AH241,AI241,0)</f>
        <v>#NUM!</v>
      </c>
      <c r="CL242" s="27" t="e">
        <f>-CUMIPMT($F240/12,$E240*12,$D240,AJ241,AK241,0)</f>
        <v>#NUM!</v>
      </c>
      <c r="CN242" s="27" t="e">
        <f>-CUMIPMT($F240/12,$E240*12,$D240,AL241,AM241,0)</f>
        <v>#NUM!</v>
      </c>
      <c r="CP242" s="27" t="e">
        <f>-CUMIPMT($F240/12,$E240*12,$D240,AN241,AO241,0)</f>
        <v>#NUM!</v>
      </c>
      <c r="CR242" s="27" t="e">
        <f>-CUMIPMT($F240/12,$E240*12,$D240,AP241,AQ241,0)</f>
        <v>#NUM!</v>
      </c>
      <c r="CT242" s="27" t="e">
        <f>-CUMIPMT($F240/12,$E240*12,$D240,AR241,AS241,0)</f>
        <v>#NUM!</v>
      </c>
      <c r="CV242" s="27" t="e">
        <f>-CUMIPMT($F240/12,$E240*12,$D240,AT241,AU241,0)</f>
        <v>#NUM!</v>
      </c>
      <c r="CX242" s="27" t="e">
        <f>-CUMIPMT($F240/12,$E240*12,$D240,AV241,AW241,0)</f>
        <v>#NUM!</v>
      </c>
      <c r="CZ242" s="27" t="e">
        <f>-CUMIPMT($F240/12,$E240*12,$D240,AX241,AY241,0)</f>
        <v>#NUM!</v>
      </c>
      <c r="DB242" s="27" t="e">
        <f>-CUMIPMT($F240/12,$E240*12,$D240,AZ241,BA241,0)</f>
        <v>#NUM!</v>
      </c>
      <c r="DD242" s="27" t="e">
        <f>-CUMIPMT($F240/12,$E240*12,$D240,BB241,BC241,0)</f>
        <v>#NUM!</v>
      </c>
      <c r="DF242" s="27" t="e">
        <f>-CUMIPMT($F240/12,$E240*12,$D240,BD241,BE241,0)</f>
        <v>#NUM!</v>
      </c>
      <c r="DH242" s="27" t="e">
        <f>-CUMIPMT($F240/12,$E240*12,$D240,BF241,BG241,0)</f>
        <v>#NUM!</v>
      </c>
      <c r="DI242" s="27" t="s">
        <v>784</v>
      </c>
      <c r="DJ242" s="27" t="s">
        <v>785</v>
      </c>
      <c r="DK242" s="27">
        <f>+F242</f>
        <v>0</v>
      </c>
      <c r="DL242" s="27" t="e">
        <f>+DK242-I242</f>
        <v>#NUM!</v>
      </c>
      <c r="DN242" s="27" t="e">
        <f>+DL242-K242</f>
        <v>#NUM!</v>
      </c>
      <c r="DP242" s="27" t="e">
        <f>+DN242-M242</f>
        <v>#NUM!</v>
      </c>
      <c r="DR242" s="27" t="e">
        <f>+DP242-O242</f>
        <v>#NUM!</v>
      </c>
      <c r="DT242" s="27" t="e">
        <f>+DR242-Q242</f>
        <v>#NUM!</v>
      </c>
      <c r="DV242" s="27" t="e">
        <f>+DT242-S242</f>
        <v>#NUM!</v>
      </c>
      <c r="DX242" s="27" t="e">
        <f>+DV242-U242</f>
        <v>#NUM!</v>
      </c>
      <c r="DZ242" s="27" t="e">
        <f>+DX242-W242</f>
        <v>#NUM!</v>
      </c>
      <c r="EB242" s="27" t="e">
        <f>+DZ242-Y242</f>
        <v>#NUM!</v>
      </c>
      <c r="ED242" s="27" t="e">
        <f>+EB242-AA242</f>
        <v>#NUM!</v>
      </c>
      <c r="EF242" s="27" t="e">
        <f>+ED242-AC242</f>
        <v>#NUM!</v>
      </c>
      <c r="EH242" s="27" t="e">
        <f>+EF242-AE242</f>
        <v>#NUM!</v>
      </c>
      <c r="EJ242" s="27" t="e">
        <f>+EH242-AG242</f>
        <v>#NUM!</v>
      </c>
      <c r="EL242" s="27" t="e">
        <f>+EJ242-AI242</f>
        <v>#NUM!</v>
      </c>
      <c r="EN242" s="27" t="e">
        <f>+EL242-AK242</f>
        <v>#NUM!</v>
      </c>
      <c r="EP242" s="27" t="e">
        <f>+EN242-AM242</f>
        <v>#NUM!</v>
      </c>
      <c r="ER242" s="27" t="e">
        <f>+EP242-AO242</f>
        <v>#NUM!</v>
      </c>
      <c r="ET242" s="27" t="e">
        <f>+ER242-AQ242</f>
        <v>#NUM!</v>
      </c>
      <c r="EV242" s="27" t="e">
        <f>+ET242-AS242</f>
        <v>#NUM!</v>
      </c>
      <c r="EX242" s="27" t="e">
        <f>+EV242-AU242</f>
        <v>#NUM!</v>
      </c>
      <c r="EZ242" s="27" t="e">
        <f>+EX242-AW242</f>
        <v>#NUM!</v>
      </c>
      <c r="FB242" s="27" t="e">
        <f>+EZ242-AY242</f>
        <v>#NUM!</v>
      </c>
      <c r="FD242" s="27" t="e">
        <f>+FB242-BA242</f>
        <v>#NUM!</v>
      </c>
      <c r="FF242" s="27" t="e">
        <f>+FD242-BC242</f>
        <v>#NUM!</v>
      </c>
      <c r="FH242" s="27" t="e">
        <f>+FF242-BE242</f>
        <v>#NUM!</v>
      </c>
      <c r="FJ242" s="61" t="e">
        <f>+FH242-BG242</f>
        <v>#NUM!</v>
      </c>
    </row>
    <row r="243" spans="2:166" s="27" customFormat="1" ht="11.25" hidden="1" x14ac:dyDescent="0.2">
      <c r="B243" s="60"/>
      <c r="E243" s="27">
        <f>+F242+F243</f>
        <v>0</v>
      </c>
      <c r="F243" s="27">
        <f>SUMIF(BI242:DH242,"&gt;0")</f>
        <v>0</v>
      </c>
      <c r="I243" s="27">
        <f>IF(ISERROR(I242)=FALSE,I242,0)</f>
        <v>0</v>
      </c>
      <c r="K243" s="27">
        <f>IF(ISERROR(K242)=FALSE,K242,0)</f>
        <v>0</v>
      </c>
      <c r="M243" s="27">
        <f>IF(ISERROR(M242)=FALSE,M242,0)</f>
        <v>0</v>
      </c>
      <c r="O243" s="27">
        <f>IF(ISERROR(O242)=FALSE,O242,0)</f>
        <v>0</v>
      </c>
      <c r="Q243" s="27">
        <f>IF(ISERROR(Q242)=FALSE,Q242,0)</f>
        <v>0</v>
      </c>
      <c r="S243" s="27">
        <f>IF(ISERROR(S242)=FALSE,S242,0)</f>
        <v>0</v>
      </c>
      <c r="U243" s="27">
        <f>IF(ISERROR(U242)=FALSE,U242,0)</f>
        <v>0</v>
      </c>
      <c r="W243" s="27">
        <f>IF(ISERROR(W242)=FALSE,W242,0)</f>
        <v>0</v>
      </c>
      <c r="Y243" s="27">
        <f>IF(ISERROR(Y242)=FALSE,Y242,0)</f>
        <v>0</v>
      </c>
      <c r="AA243" s="27">
        <f>IF(ISERROR(AA242)=FALSE,AA242,0)</f>
        <v>0</v>
      </c>
      <c r="AC243" s="27">
        <f>IF(ISERROR(AC242)=FALSE,AC242,0)</f>
        <v>0</v>
      </c>
      <c r="AE243" s="27">
        <f>IF(ISERROR(AE242)=FALSE,AE242,0)</f>
        <v>0</v>
      </c>
      <c r="AG243" s="27">
        <f>IF(ISERROR(AG242)=FALSE,AG242,0)</f>
        <v>0</v>
      </c>
      <c r="AI243" s="27">
        <f>IF(ISERROR(AI242)=FALSE,AI242,0)</f>
        <v>0</v>
      </c>
      <c r="AK243" s="27">
        <f>IF(ISERROR(AK242)=FALSE,AK242,0)</f>
        <v>0</v>
      </c>
      <c r="AM243" s="27">
        <f>IF(ISERROR(AM242)=FALSE,AM242,0)</f>
        <v>0</v>
      </c>
      <c r="AO243" s="27">
        <f>IF(ISERROR(AO242)=FALSE,AO242,0)</f>
        <v>0</v>
      </c>
      <c r="AQ243" s="27">
        <f>IF(ISERROR(AQ242)=FALSE,AQ242,0)</f>
        <v>0</v>
      </c>
      <c r="AS243" s="27">
        <f>IF(ISERROR(AS242)=FALSE,AS242,0)</f>
        <v>0</v>
      </c>
      <c r="AU243" s="27">
        <f>IF(ISERROR(AU242)=FALSE,AU242,0)</f>
        <v>0</v>
      </c>
      <c r="AW243" s="27">
        <f>IF(ISERROR(AW242)=FALSE,AW242,0)</f>
        <v>0</v>
      </c>
      <c r="AY243" s="27">
        <f>IF(ISERROR(AY242)=FALSE,AY242,0)</f>
        <v>0</v>
      </c>
      <c r="BA243" s="27">
        <f>IF(ISERROR(BA242)=FALSE,BA242,0)</f>
        <v>0</v>
      </c>
      <c r="BC243" s="27">
        <f>IF(ISERROR(BC242)=FALSE,BC242,0)</f>
        <v>0</v>
      </c>
      <c r="BD243" s="61"/>
      <c r="BE243" s="27">
        <f>IF(ISERROR(BE242)=FALSE,BE242,0)</f>
        <v>0</v>
      </c>
      <c r="BG243" s="27">
        <f>IF(ISERROR(BG242)=FALSE,BG242,0)</f>
        <v>0</v>
      </c>
      <c r="FJ243" s="61"/>
    </row>
    <row r="244" spans="2:166" s="27" customFormat="1" ht="11.25" hidden="1" x14ac:dyDescent="0.2">
      <c r="B244" s="60"/>
      <c r="D244" s="27" t="s">
        <v>630</v>
      </c>
      <c r="E244" s="27">
        <f>IF(E240=0,0,E243/(E240*12))</f>
        <v>0</v>
      </c>
      <c r="BD244" s="61"/>
      <c r="FJ244" s="61"/>
    </row>
    <row r="245" spans="2:166" s="27" customFormat="1" ht="11.25" hidden="1" x14ac:dyDescent="0.2">
      <c r="B245" s="60"/>
      <c r="C245" s="27">
        <f>C129</f>
        <v>0</v>
      </c>
      <c r="D245" s="27">
        <f>D129</f>
        <v>0</v>
      </c>
      <c r="E245" s="27">
        <f>E129</f>
        <v>0</v>
      </c>
      <c r="F245" s="27">
        <f>F129</f>
        <v>0</v>
      </c>
      <c r="G245" s="27">
        <f>+$E245*12</f>
        <v>0</v>
      </c>
      <c r="H245" s="27">
        <f>SUMIF($W129:$AH129,$D129,$W$108:$AH$108)</f>
        <v>78</v>
      </c>
      <c r="I245" s="27">
        <f>13-H245</f>
        <v>-65</v>
      </c>
      <c r="J245" s="27">
        <f>IF(I245+1&lt;=$G245,I245+1,($G245-I245)+I245)</f>
        <v>-64</v>
      </c>
      <c r="K245" s="27">
        <f>IF(J245+11&lt;=$G245,J245+11,($G245-J245)+J245)</f>
        <v>-53</v>
      </c>
      <c r="L245" s="27">
        <f>IF(K245+1&lt;=$G245,K245+1,($G245-K245)+K245)</f>
        <v>-52</v>
      </c>
      <c r="M245" s="27">
        <f>IF(L245+11&lt;=$G245,L245+11,($G245-L245)+L245)</f>
        <v>-41</v>
      </c>
      <c r="N245" s="27">
        <f>IF(M245+1&lt;=$G245,M245+1,($G245-M245)+M245)</f>
        <v>-40</v>
      </c>
      <c r="O245" s="27">
        <f>IF(N245+11&lt;=$G245,N245+11,($G245-N245)+N245)</f>
        <v>-29</v>
      </c>
      <c r="P245" s="27">
        <f>IF(O245+1&lt;=$G245,O245+1,($G245-O245)+O245)</f>
        <v>-28</v>
      </c>
      <c r="Q245" s="27">
        <f>IF(P245+11&lt;=$G245,P245+11,($G245-P245)+P245)</f>
        <v>-17</v>
      </c>
      <c r="R245" s="27">
        <f>IF(Q245+1&lt;=$G245,Q245+1,($G245-Q245)+Q245)</f>
        <v>-16</v>
      </c>
      <c r="S245" s="27">
        <f>IF(R245+11&lt;=$G245,R245+11,($G245-R245)+R245)</f>
        <v>-5</v>
      </c>
      <c r="T245" s="27">
        <f>IF(S245+1&lt;=$G245,S245+1,($G245-S245)+S245)</f>
        <v>-4</v>
      </c>
      <c r="U245" s="27">
        <f>IF(T245+11&lt;=$G245,T245+11,($G245-T245)+T245)</f>
        <v>0</v>
      </c>
      <c r="V245" s="27">
        <f>IF(U245+1&lt;=$G245,U245+1,($G245-U245)+U245)</f>
        <v>0</v>
      </c>
      <c r="W245" s="27">
        <f>IF(V245+11&lt;=$G245,V245+11,($G245-V245)+V245)</f>
        <v>0</v>
      </c>
      <c r="X245" s="27">
        <f>IF(W245+1&lt;=$G245,W245+1,($G245-W245)+W245)</f>
        <v>0</v>
      </c>
      <c r="Y245" s="27">
        <f>IF(X245+11&lt;=$G245,X245+11,($G245-X245)+X245)</f>
        <v>0</v>
      </c>
      <c r="Z245" s="27">
        <f>IF(Y245+1&lt;=$G245,Y245+1,($G245-Y245)+Y245)</f>
        <v>0</v>
      </c>
      <c r="AA245" s="27">
        <f>IF(Z245+11&lt;=$G245,Z245+11,($G245-Z245)+Z245)</f>
        <v>0</v>
      </c>
      <c r="AB245" s="27">
        <f>IF(AA245+1&lt;=$G245,AA245+1,($G245-AA245)+AA245)</f>
        <v>0</v>
      </c>
      <c r="AC245" s="27">
        <f>IF(AB245+11&lt;=$G245,AB245+11,($G245-AB245)+AB245)</f>
        <v>0</v>
      </c>
      <c r="AD245" s="27">
        <f>IF(AC245+1&lt;=$G245,AC245+1,($G245-AC245)+AC245)</f>
        <v>0</v>
      </c>
      <c r="AE245" s="27">
        <f>IF(AD245+11&lt;=$G245,AD245+11,($G245-AD245)+AD245)</f>
        <v>0</v>
      </c>
      <c r="AF245" s="27">
        <f>IF(AE245+1&lt;=$G245,AE245+1,($G245-AE245)+AE245)</f>
        <v>0</v>
      </c>
      <c r="AG245" s="27">
        <f>IF(AF245+11&lt;=$G245,AF245+11,($G245-AF245)+AF245)</f>
        <v>0</v>
      </c>
      <c r="AH245" s="27">
        <f>IF(AG245+1&lt;=$G245,AG245+1,($G245-AG245)+AG245)</f>
        <v>0</v>
      </c>
      <c r="AI245" s="27">
        <f>IF(AH245+11&lt;=$G245,AH245+11,($G245-AH245)+AH245)</f>
        <v>0</v>
      </c>
      <c r="AJ245" s="27">
        <f>IF(AI245+1&lt;=$G245,AI245+1,($G245-AI245)+AI245)</f>
        <v>0</v>
      </c>
      <c r="AK245" s="27">
        <f>IF(AJ245+11&lt;=$G245,AJ245+11,($G245-AJ245)+AJ245)</f>
        <v>0</v>
      </c>
      <c r="AL245" s="27">
        <f>IF(AK245+1&lt;=$G245,AK245+1,($G245-AK245)+AK245)</f>
        <v>0</v>
      </c>
      <c r="AM245" s="27">
        <f>IF(AL245+11&lt;=$G245,AL245+11,($G245-AL245)+AL245)</f>
        <v>0</v>
      </c>
      <c r="AN245" s="27">
        <f>IF(AM245+1&lt;=$G245,AM245+1,($G245-AM245)+AM245)</f>
        <v>0</v>
      </c>
      <c r="AO245" s="27">
        <f>IF(AN245+11&lt;=$G245,AN245+11,($G245-AN245)+AN245)</f>
        <v>0</v>
      </c>
      <c r="AP245" s="27">
        <f>IF(AO245+1&lt;=$G245,AO245+1,($G245-AO245)+AO245)</f>
        <v>0</v>
      </c>
      <c r="AQ245" s="27">
        <f>IF(AP245+11&lt;=$G245,AP245+11,($G245-AP245)+AP245)</f>
        <v>0</v>
      </c>
      <c r="AR245" s="27">
        <f>IF(AQ245+1&lt;=$G245,AQ245+1,($G245-AQ245)+AQ245)</f>
        <v>0</v>
      </c>
      <c r="AS245" s="27">
        <f>IF(AR245+11&lt;=$G245,AR245+11,($G245-AR245)+AR245)</f>
        <v>0</v>
      </c>
      <c r="AT245" s="27">
        <f>IF(AS245+1&lt;=$G245,AS245+1,($G245-AS245)+AS245)</f>
        <v>0</v>
      </c>
      <c r="AU245" s="27">
        <f>IF(AT245+11&lt;=$G245,AT245+11,($G245-AT245)+AT245)</f>
        <v>0</v>
      </c>
      <c r="AV245" s="27">
        <f>IF(AU245+1&lt;=$G245,AU245+1,($G245-AU245)+AU245)</f>
        <v>0</v>
      </c>
      <c r="AW245" s="27">
        <f>IF(AV245+11&lt;=$G245,AV245+11,($G245-AV245)+AV245)</f>
        <v>0</v>
      </c>
      <c r="AX245" s="27">
        <f>IF(AW245+1&lt;=$G245,AW245+1,($G245-AW245)+AW245)</f>
        <v>0</v>
      </c>
      <c r="AY245" s="27">
        <f>IF(AX245+11&lt;=$G245,AX245+11,($G245-AX245)+AX245)</f>
        <v>0</v>
      </c>
      <c r="AZ245" s="27">
        <f>IF(AY245+1&lt;=$G245,AY245+1,($G245-AY245)+AY245)</f>
        <v>0</v>
      </c>
      <c r="BA245" s="27">
        <f>IF(AZ245+35&lt;=$G245,AZ245+35,($G245-AZ245)+AZ245)</f>
        <v>0</v>
      </c>
      <c r="BB245" s="27">
        <f>IF(BA245+1&lt;=$G245,BA245+1,($G245-BA245)+BA245)</f>
        <v>0</v>
      </c>
      <c r="BC245" s="27">
        <f>IF(BB245+59&lt;=$G245,BB245+59,($G245-BB245)+BB245)</f>
        <v>0</v>
      </c>
      <c r="BD245" s="61">
        <f>IF(BC245+1&lt;=$G245,BC245+1,($G245-BC245)+BC245)</f>
        <v>0</v>
      </c>
      <c r="BE245" s="27">
        <f>IF(BD245+239&lt;=$G245,BD245+239,($G245-BD245)+BD245)</f>
        <v>0</v>
      </c>
      <c r="BF245" s="27">
        <f>IF(BE245+1&lt;=$G245,BE245+1,($G245-BE245)+BE245)</f>
        <v>0</v>
      </c>
      <c r="BG245" s="27">
        <f>IF(BF245+11&lt;=$G245,BF245+11,($G245-BF245)+BF245)</f>
        <v>0</v>
      </c>
      <c r="FJ245" s="61"/>
    </row>
    <row r="246" spans="2:166" s="27" customFormat="1" ht="11.25" hidden="1" x14ac:dyDescent="0.2">
      <c r="B246" s="60"/>
      <c r="H246" s="27">
        <v>1</v>
      </c>
      <c r="I246" s="27">
        <f>+I245</f>
        <v>-65</v>
      </c>
      <c r="J246" s="27">
        <f>IF(I246=$G245,0,J245)</f>
        <v>-64</v>
      </c>
      <c r="K246" s="27">
        <f>+K245</f>
        <v>-53</v>
      </c>
      <c r="L246" s="27">
        <f>IF(K246=$G245,0,L245)</f>
        <v>-52</v>
      </c>
      <c r="M246" s="27">
        <f>+M245</f>
        <v>-41</v>
      </c>
      <c r="N246" s="27">
        <f>IF(M246=$G245,0,N245)</f>
        <v>-40</v>
      </c>
      <c r="O246" s="27">
        <f>+O245</f>
        <v>-29</v>
      </c>
      <c r="P246" s="27">
        <f>IF(O246=$G245,0,P245)</f>
        <v>-28</v>
      </c>
      <c r="Q246" s="27">
        <f>+Q245</f>
        <v>-17</v>
      </c>
      <c r="R246" s="27">
        <f>IF(Q246=$G245,0,R245)</f>
        <v>-16</v>
      </c>
      <c r="S246" s="27">
        <f>+S245</f>
        <v>-5</v>
      </c>
      <c r="T246" s="27">
        <f>IF(S246=$G245,0,T245)</f>
        <v>-4</v>
      </c>
      <c r="U246" s="27">
        <f>+U245</f>
        <v>0</v>
      </c>
      <c r="V246" s="27">
        <f>IF(U246=$G245,0,V245)</f>
        <v>0</v>
      </c>
      <c r="W246" s="27">
        <f>+W245</f>
        <v>0</v>
      </c>
      <c r="X246" s="27">
        <f>IF(W246=$G245,0,X245)</f>
        <v>0</v>
      </c>
      <c r="Y246" s="27">
        <f>+Y245</f>
        <v>0</v>
      </c>
      <c r="Z246" s="27">
        <f>IF(Y246=$G245,0,Z245)</f>
        <v>0</v>
      </c>
      <c r="AA246" s="27">
        <f>+AA245</f>
        <v>0</v>
      </c>
      <c r="AB246" s="27">
        <f>IF(AA246=$G245,0,AB245)</f>
        <v>0</v>
      </c>
      <c r="AC246" s="27">
        <f>+AC245</f>
        <v>0</v>
      </c>
      <c r="AD246" s="27">
        <f>IF(AC246=$G245,0,AD245)</f>
        <v>0</v>
      </c>
      <c r="AE246" s="27">
        <f>+AE245</f>
        <v>0</v>
      </c>
      <c r="AF246" s="27">
        <f>IF(AE246=$G245,0,AF245)</f>
        <v>0</v>
      </c>
      <c r="AG246" s="27">
        <f>+AG245</f>
        <v>0</v>
      </c>
      <c r="AH246" s="27">
        <f>IF(AG246=$G245,0,AH245)</f>
        <v>0</v>
      </c>
      <c r="AI246" s="27">
        <f>+AI245</f>
        <v>0</v>
      </c>
      <c r="AJ246" s="27">
        <f>IF(AI246=$G245,0,AJ245)</f>
        <v>0</v>
      </c>
      <c r="AK246" s="27">
        <f>+AK245</f>
        <v>0</v>
      </c>
      <c r="AL246" s="27">
        <f>IF(AK246=$G245,0,AL245)</f>
        <v>0</v>
      </c>
      <c r="AM246" s="27">
        <f>+AM245</f>
        <v>0</v>
      </c>
      <c r="AN246" s="27">
        <f>IF(AM246=$G245,0,AN245)</f>
        <v>0</v>
      </c>
      <c r="AO246" s="27">
        <f>+AO245</f>
        <v>0</v>
      </c>
      <c r="AP246" s="27">
        <f>IF(AO246=$G245,0,AP245)</f>
        <v>0</v>
      </c>
      <c r="AQ246" s="27">
        <f>+AQ245</f>
        <v>0</v>
      </c>
      <c r="AR246" s="27">
        <f>IF(AQ246=$G245,0,AR245)</f>
        <v>0</v>
      </c>
      <c r="AS246" s="27">
        <f>+AS245</f>
        <v>0</v>
      </c>
      <c r="AT246" s="27">
        <f>IF(AS246=$G245,0,AT245)</f>
        <v>0</v>
      </c>
      <c r="AU246" s="27">
        <f>+AU245</f>
        <v>0</v>
      </c>
      <c r="AV246" s="27">
        <f>IF(AU246=$G245,0,AV245)</f>
        <v>0</v>
      </c>
      <c r="AW246" s="27">
        <f>+AW245</f>
        <v>0</v>
      </c>
      <c r="AX246" s="27">
        <f>IF(AW246=$G245,0,AX245)</f>
        <v>0</v>
      </c>
      <c r="AY246" s="27">
        <f>+AY245</f>
        <v>0</v>
      </c>
      <c r="AZ246" s="27">
        <f>IF(AY246=$G245,0,AZ245)</f>
        <v>0</v>
      </c>
      <c r="BA246" s="27">
        <f>+BA245</f>
        <v>0</v>
      </c>
      <c r="BB246" s="27">
        <f>IF(BA246=$G245,0,BB245)</f>
        <v>0</v>
      </c>
      <c r="BC246" s="27">
        <f>+BC245</f>
        <v>0</v>
      </c>
      <c r="BD246" s="61">
        <f>IF(BC246=$G245,0,BD245)</f>
        <v>0</v>
      </c>
      <c r="BE246" s="27">
        <f>+BE245</f>
        <v>0</v>
      </c>
      <c r="BF246" s="27">
        <f>IF(BE246=$G245,0,BF245)</f>
        <v>0</v>
      </c>
      <c r="BG246" s="27">
        <f>+BG245</f>
        <v>0</v>
      </c>
      <c r="FJ246" s="61"/>
    </row>
    <row r="247" spans="2:166" s="27" customFormat="1" ht="11.25" hidden="1" x14ac:dyDescent="0.2">
      <c r="B247" s="60"/>
      <c r="F247" s="27">
        <f>SUMIF(H247:BG247,"&gt;0")</f>
        <v>0</v>
      </c>
      <c r="G247" s="27" t="s">
        <v>632</v>
      </c>
      <c r="I247" s="27" t="e">
        <f>-CUMPRINC($F245/12,$E245*12,$D245,H246,I246,0)</f>
        <v>#NUM!</v>
      </c>
      <c r="K247" s="27" t="e">
        <f>-CUMPRINC($F245/12,$E245*12,$D245,J246,K246,0)</f>
        <v>#NUM!</v>
      </c>
      <c r="M247" s="27" t="e">
        <f>-CUMPRINC($F245/12,$E245*12,$D245,L246,M246,0)</f>
        <v>#NUM!</v>
      </c>
      <c r="O247" s="27" t="e">
        <f>-CUMPRINC($F245/12,$E245*12,$D245,N246,O246,0)</f>
        <v>#NUM!</v>
      </c>
      <c r="Q247" s="27" t="e">
        <f>-CUMPRINC($F245/12,$E245*12,$D245,P246,Q246,0)</f>
        <v>#NUM!</v>
      </c>
      <c r="S247" s="27" t="e">
        <f>-CUMPRINC($F245/12,$E245*12,$D245,R246,S246,0)</f>
        <v>#NUM!</v>
      </c>
      <c r="U247" s="27" t="e">
        <f>-CUMPRINC($F245/12,$E245*12,$D245,T246,U246,0)</f>
        <v>#NUM!</v>
      </c>
      <c r="W247" s="27" t="e">
        <f>-CUMPRINC($F245/12,$E245*12,$D245,V246,W246,0)</f>
        <v>#NUM!</v>
      </c>
      <c r="Y247" s="27" t="e">
        <f>-CUMPRINC($F245/12,$E245*12,$D245,X246,Y246,0)</f>
        <v>#NUM!</v>
      </c>
      <c r="AA247" s="27" t="e">
        <f>-CUMPRINC($F245/12,$E245*12,$D245,Z246,AA246,0)</f>
        <v>#NUM!</v>
      </c>
      <c r="AC247" s="27" t="e">
        <f>-CUMPRINC($F245/12,$E245*12,$D245,AB246,AC246,0)</f>
        <v>#NUM!</v>
      </c>
      <c r="AE247" s="27" t="e">
        <f>-CUMPRINC($F245/12,$E245*12,$D245,AD246,AE246,0)</f>
        <v>#NUM!</v>
      </c>
      <c r="AG247" s="27" t="e">
        <f>-CUMPRINC($F245/12,$E245*12,$D245,AF246,AG246,0)</f>
        <v>#NUM!</v>
      </c>
      <c r="AI247" s="27" t="e">
        <f>-CUMPRINC($F245/12,$E245*12,$D245,AH246,AI246,0)</f>
        <v>#NUM!</v>
      </c>
      <c r="AK247" s="27" t="e">
        <f>-CUMPRINC($F245/12,$E245*12,$D245,AJ246,AK246,0)</f>
        <v>#NUM!</v>
      </c>
      <c r="AM247" s="27" t="e">
        <f>-CUMPRINC($F245/12,$E245*12,$D245,AL246,AM246,0)</f>
        <v>#NUM!</v>
      </c>
      <c r="AO247" s="27" t="e">
        <f>-CUMPRINC($F245/12,$E245*12,$D245,AN246,AO246,0)</f>
        <v>#NUM!</v>
      </c>
      <c r="AQ247" s="27" t="e">
        <f>-CUMPRINC($F245/12,$E245*12,$D245,AP246,AQ246,0)</f>
        <v>#NUM!</v>
      </c>
      <c r="AS247" s="27" t="e">
        <f>-CUMPRINC($F245/12,$E245*12,$D245,AR246,AS246,0)</f>
        <v>#NUM!</v>
      </c>
      <c r="AU247" s="27" t="e">
        <f>-CUMPRINC($F245/12,$E245*12,$D245,AT246,AU246,0)</f>
        <v>#NUM!</v>
      </c>
      <c r="AW247" s="27" t="e">
        <f>-CUMPRINC($F245/12,$E245*12,$D245,AV246,AW246,0)</f>
        <v>#NUM!</v>
      </c>
      <c r="AY247" s="27" t="e">
        <f>-CUMPRINC($F245/12,$E245*12,$D245,AX246,AY246,0)</f>
        <v>#NUM!</v>
      </c>
      <c r="BA247" s="27" t="e">
        <f>-CUMPRINC($F245/12,$E245*12,$D245,AZ246,BA246,0)</f>
        <v>#NUM!</v>
      </c>
      <c r="BC247" s="27" t="e">
        <f>-CUMPRINC($F245/12,$E245*12,$D245,BB246,BC246,0)</f>
        <v>#NUM!</v>
      </c>
      <c r="BD247" s="61"/>
      <c r="BE247" s="27" t="e">
        <f>-CUMPRINC($F245/12,$E245*12,$D245,BD246,BE246,0)</f>
        <v>#NUM!</v>
      </c>
      <c r="BG247" s="27" t="e">
        <f>-CUMPRINC($F245/12,$E245*12,$D245,BF246,BG246,0)</f>
        <v>#NUM!</v>
      </c>
      <c r="FJ247" s="61"/>
    </row>
    <row r="248" spans="2:166" s="27" customFormat="1" ht="11.25" hidden="1" x14ac:dyDescent="0.2">
      <c r="B248" s="60"/>
      <c r="E248" s="27">
        <f>+F247+F248</f>
        <v>0</v>
      </c>
      <c r="F248" s="27">
        <f>SUMIF(BI248:DH248,"&gt;0")</f>
        <v>0</v>
      </c>
      <c r="I248" s="27">
        <f>IF(ISERROR(I247)=FALSE,I247,0)</f>
        <v>0</v>
      </c>
      <c r="K248" s="27">
        <f>IF(ISERROR(K247)=FALSE,K247,0)</f>
        <v>0</v>
      </c>
      <c r="M248" s="27">
        <f>IF(ISERROR(M247)=FALSE,M247,0)</f>
        <v>0</v>
      </c>
      <c r="O248" s="27">
        <f>IF(ISERROR(O247)=FALSE,O247,0)</f>
        <v>0</v>
      </c>
      <c r="Q248" s="27">
        <f>IF(ISERROR(Q247)=FALSE,Q247,0)</f>
        <v>0</v>
      </c>
      <c r="S248" s="27">
        <f>IF(ISERROR(S247)=FALSE,S247,0)</f>
        <v>0</v>
      </c>
      <c r="U248" s="27">
        <f>IF(ISERROR(U247)=FALSE,U247,0)</f>
        <v>0</v>
      </c>
      <c r="W248" s="27">
        <f>IF(ISERROR(W247)=FALSE,W247,0)</f>
        <v>0</v>
      </c>
      <c r="Y248" s="27">
        <f>IF(ISERROR(Y247)=FALSE,Y247,0)</f>
        <v>0</v>
      </c>
      <c r="AA248" s="27">
        <f>IF(ISERROR(AA247)=FALSE,AA247,0)</f>
        <v>0</v>
      </c>
      <c r="AC248" s="27">
        <f>IF(ISERROR(AC247)=FALSE,AC247,0)</f>
        <v>0</v>
      </c>
      <c r="AE248" s="27">
        <f>IF(ISERROR(AE247)=FALSE,AE247,0)</f>
        <v>0</v>
      </c>
      <c r="AG248" s="27">
        <f>IF(ISERROR(AG247)=FALSE,AG247,0)</f>
        <v>0</v>
      </c>
      <c r="AI248" s="27">
        <f>IF(ISERROR(AI247)=FALSE,AI247,0)</f>
        <v>0</v>
      </c>
      <c r="AK248" s="27">
        <f>IF(ISERROR(AK247)=FALSE,AK247,0)</f>
        <v>0</v>
      </c>
      <c r="AM248" s="27">
        <f>IF(ISERROR(AM247)=FALSE,AM247,0)</f>
        <v>0</v>
      </c>
      <c r="AO248" s="27">
        <f>IF(ISERROR(AO247)=FALSE,AO247,0)</f>
        <v>0</v>
      </c>
      <c r="AQ248" s="27">
        <f>IF(ISERROR(AQ247)=FALSE,AQ247,0)</f>
        <v>0</v>
      </c>
      <c r="AS248" s="27">
        <f>IF(ISERROR(AS247)=FALSE,AS247,0)</f>
        <v>0</v>
      </c>
      <c r="AU248" s="27">
        <f>IF(ISERROR(AU247)=FALSE,AU247,0)</f>
        <v>0</v>
      </c>
      <c r="AW248" s="27">
        <f>IF(ISERROR(AW247)=FALSE,AW247,0)</f>
        <v>0</v>
      </c>
      <c r="AY248" s="27">
        <f>IF(ISERROR(AY247)=FALSE,AY247,0)</f>
        <v>0</v>
      </c>
      <c r="BA248" s="27">
        <f>IF(ISERROR(BA247)=FALSE,BA247,0)</f>
        <v>0</v>
      </c>
      <c r="BC248" s="27">
        <f>IF(ISERROR(BC247)=FALSE,BC247,0)</f>
        <v>0</v>
      </c>
      <c r="BD248" s="61"/>
      <c r="BE248" s="27">
        <f>IF(ISERROR(BE247)=FALSE,BE247,0)</f>
        <v>0</v>
      </c>
      <c r="BG248" s="27">
        <f>IF(ISERROR(BG247)=FALSE,BG247,0)</f>
        <v>0</v>
      </c>
      <c r="BH248" s="27" t="s">
        <v>783</v>
      </c>
      <c r="BJ248" s="27" t="e">
        <f>-CUMIPMT($F245/12,$E245*12,$D245,H246,I246,0)</f>
        <v>#NUM!</v>
      </c>
      <c r="BL248" s="27" t="e">
        <f>-CUMIPMT($F245/12,$E245*12,$D245,J246,K246,0)</f>
        <v>#NUM!</v>
      </c>
      <c r="BN248" s="27" t="e">
        <f>-CUMIPMT($F245/12,$E245*12,$D245,L246,M246,0)</f>
        <v>#NUM!</v>
      </c>
      <c r="BP248" s="27" t="e">
        <f>-CUMIPMT($F245/12,$E245*12,$D245,N246,O246,0)</f>
        <v>#NUM!</v>
      </c>
      <c r="BR248" s="27" t="e">
        <f>-CUMIPMT($F245/12,$E245*12,$D245,P246,Q246,0)</f>
        <v>#NUM!</v>
      </c>
      <c r="BT248" s="27" t="e">
        <f>-CUMIPMT($F245/12,$E245*12,$D245,R246,S246,0)</f>
        <v>#NUM!</v>
      </c>
      <c r="BV248" s="27" t="e">
        <f>-CUMIPMT($F245/12,$E245*12,$D245,T246,U246,0)</f>
        <v>#NUM!</v>
      </c>
      <c r="BX248" s="27" t="e">
        <f>-CUMIPMT($F245/12,$E245*12,$D245,V246,W246,0)</f>
        <v>#NUM!</v>
      </c>
      <c r="BZ248" s="27" t="e">
        <f>-CUMIPMT($F245/12,$E245*12,$D245,X246,Y246,0)</f>
        <v>#NUM!</v>
      </c>
      <c r="CB248" s="27" t="e">
        <f>-CUMIPMT($F245/12,$E245*12,$D245,Z246,AA246,0)</f>
        <v>#NUM!</v>
      </c>
      <c r="CD248" s="27" t="e">
        <f>-CUMIPMT($F245/12,$E245*12,$D245,AB246,AC246,0)</f>
        <v>#NUM!</v>
      </c>
      <c r="CF248" s="27" t="e">
        <f>-CUMIPMT($F245/12,$E245*12,$D245,AD246,AE246,0)</f>
        <v>#NUM!</v>
      </c>
      <c r="CH248" s="27" t="e">
        <f>-CUMIPMT($F245/12,$E245*12,$D245,AF246,AG246,0)</f>
        <v>#NUM!</v>
      </c>
      <c r="CJ248" s="27" t="e">
        <f>-CUMIPMT($F245/12,$E245*12,$D245,AH246,AI246,0)</f>
        <v>#NUM!</v>
      </c>
      <c r="CL248" s="27" t="e">
        <f>-CUMIPMT($F245/12,$E245*12,$D245,AJ246,AK246,0)</f>
        <v>#NUM!</v>
      </c>
      <c r="CN248" s="27" t="e">
        <f>-CUMIPMT($F245/12,$E245*12,$D245,AL246,AM246,0)</f>
        <v>#NUM!</v>
      </c>
      <c r="CP248" s="27" t="e">
        <f>-CUMIPMT($F245/12,$E245*12,$D245,AN246,AO246,0)</f>
        <v>#NUM!</v>
      </c>
      <c r="CR248" s="27" t="e">
        <f>-CUMIPMT($F245/12,$E245*12,$D245,AP246,AQ246,0)</f>
        <v>#NUM!</v>
      </c>
      <c r="CT248" s="27" t="e">
        <f>-CUMIPMT($F245/12,$E245*12,$D245,AR246,AS246,0)</f>
        <v>#NUM!</v>
      </c>
      <c r="CV248" s="27" t="e">
        <f>-CUMIPMT($F245/12,$E245*12,$D245,AT246,AU246,0)</f>
        <v>#NUM!</v>
      </c>
      <c r="CX248" s="27" t="e">
        <f>-CUMIPMT($F245/12,$E245*12,$D245,AV246,AW246,0)</f>
        <v>#NUM!</v>
      </c>
      <c r="CZ248" s="27" t="e">
        <f>-CUMIPMT($F245/12,$E245*12,$D245,AX246,AY246,0)</f>
        <v>#NUM!</v>
      </c>
      <c r="DB248" s="27" t="e">
        <f>-CUMIPMT($F245/12,$E245*12,$D245,AZ246,BA246,0)</f>
        <v>#NUM!</v>
      </c>
      <c r="DD248" s="27" t="e">
        <f>-CUMIPMT($F245/12,$E245*12,$D245,BB246,BC246,0)</f>
        <v>#NUM!</v>
      </c>
      <c r="DF248" s="27" t="e">
        <f>-CUMIPMT($F245/12,$E245*12,$D245,BD246,BE246,0)</f>
        <v>#NUM!</v>
      </c>
      <c r="DH248" s="27" t="e">
        <f>-CUMIPMT($F245/12,$E245*12,$D245,BF246,BG246,0)</f>
        <v>#NUM!</v>
      </c>
      <c r="DI248" s="27" t="s">
        <v>784</v>
      </c>
      <c r="DJ248" s="27" t="s">
        <v>785</v>
      </c>
      <c r="DK248" s="27">
        <f>+F247</f>
        <v>0</v>
      </c>
      <c r="DL248" s="27" t="e">
        <f>+DK248-I247</f>
        <v>#NUM!</v>
      </c>
      <c r="DN248" s="27" t="e">
        <f>+DL248-K247</f>
        <v>#NUM!</v>
      </c>
      <c r="DP248" s="27" t="e">
        <f>+DN248-M247</f>
        <v>#NUM!</v>
      </c>
      <c r="DR248" s="27" t="e">
        <f>+DP248-O247</f>
        <v>#NUM!</v>
      </c>
      <c r="DT248" s="27" t="e">
        <f>+DR248-Q247</f>
        <v>#NUM!</v>
      </c>
      <c r="DV248" s="27" t="e">
        <f>+DT248-S247</f>
        <v>#NUM!</v>
      </c>
      <c r="DX248" s="27" t="e">
        <f>+DV248-U247</f>
        <v>#NUM!</v>
      </c>
      <c r="DZ248" s="27" t="e">
        <f>+DX248-W247</f>
        <v>#NUM!</v>
      </c>
      <c r="EB248" s="27" t="e">
        <f>+DZ248-Y247</f>
        <v>#NUM!</v>
      </c>
      <c r="ED248" s="27" t="e">
        <f>+EB248-AA247</f>
        <v>#NUM!</v>
      </c>
      <c r="EF248" s="27" t="e">
        <f>+ED248-AC247</f>
        <v>#NUM!</v>
      </c>
      <c r="EH248" s="27" t="e">
        <f>+EF248-AE247</f>
        <v>#NUM!</v>
      </c>
      <c r="EJ248" s="27" t="e">
        <f>+EH248-AG247</f>
        <v>#NUM!</v>
      </c>
      <c r="EL248" s="27" t="e">
        <f>+EJ248-AI247</f>
        <v>#NUM!</v>
      </c>
      <c r="EN248" s="27" t="e">
        <f>+EL248-AK247</f>
        <v>#NUM!</v>
      </c>
      <c r="EP248" s="27" t="e">
        <f>+EN248-AM247</f>
        <v>#NUM!</v>
      </c>
      <c r="ER248" s="27" t="e">
        <f>+EP248-AO247</f>
        <v>#NUM!</v>
      </c>
      <c r="ET248" s="27" t="e">
        <f>+ER248-AQ247</f>
        <v>#NUM!</v>
      </c>
      <c r="EV248" s="27" t="e">
        <f>+ET248-AS247</f>
        <v>#NUM!</v>
      </c>
      <c r="EX248" s="27" t="e">
        <f>+EV248-AU247</f>
        <v>#NUM!</v>
      </c>
      <c r="EZ248" s="27" t="e">
        <f>+EX248-AW247</f>
        <v>#NUM!</v>
      </c>
      <c r="FB248" s="27" t="e">
        <f>+EZ248-AY247</f>
        <v>#NUM!</v>
      </c>
      <c r="FD248" s="27" t="e">
        <f>+FB248-BA247</f>
        <v>#NUM!</v>
      </c>
      <c r="FF248" s="27" t="e">
        <f>+FD248-BC247</f>
        <v>#NUM!</v>
      </c>
      <c r="FH248" s="27" t="e">
        <f>+FF248-BE247</f>
        <v>#NUM!</v>
      </c>
      <c r="FJ248" s="61" t="e">
        <f>+FH248-BG247</f>
        <v>#NUM!</v>
      </c>
    </row>
    <row r="249" spans="2:166" s="27" customFormat="1" ht="11.25" hidden="1" x14ac:dyDescent="0.2">
      <c r="B249" s="60"/>
      <c r="D249" s="27" t="s">
        <v>630</v>
      </c>
      <c r="E249" s="27">
        <f>IF(E245=0,0,E248/(E245*12))</f>
        <v>0</v>
      </c>
      <c r="BD249" s="61"/>
      <c r="FJ249" s="61"/>
    </row>
    <row r="250" spans="2:166" s="27" customFormat="1" ht="11.25" hidden="1" x14ac:dyDescent="0.2">
      <c r="B250" s="60"/>
      <c r="C250" s="27">
        <f>C130</f>
        <v>0</v>
      </c>
      <c r="D250" s="27">
        <f>D130</f>
        <v>0</v>
      </c>
      <c r="E250" s="27">
        <f>E130</f>
        <v>0</v>
      </c>
      <c r="F250" s="27">
        <f>F130</f>
        <v>0</v>
      </c>
      <c r="G250" s="27">
        <f>+$E250*12</f>
        <v>0</v>
      </c>
      <c r="H250" s="27">
        <f>SUMIF($W130:$AH130,$D130,$W$108:$AH$108)</f>
        <v>78</v>
      </c>
      <c r="I250" s="27">
        <f>13-H250</f>
        <v>-65</v>
      </c>
      <c r="J250" s="27">
        <f>IF(I250+1&lt;=$G250,I250+1,($G250-I250)+I250)</f>
        <v>-64</v>
      </c>
      <c r="K250" s="27">
        <f>IF(J250+11&lt;=$G250,J250+11,($G250-J250)+J250)</f>
        <v>-53</v>
      </c>
      <c r="L250" s="27">
        <f>IF(K250+1&lt;=$G250,K250+1,($G250-K250)+K250)</f>
        <v>-52</v>
      </c>
      <c r="M250" s="27">
        <f>IF(L250+11&lt;=$G250,L250+11,($G250-L250)+L250)</f>
        <v>-41</v>
      </c>
      <c r="N250" s="27">
        <f>IF(M250+1&lt;=$G250,M250+1,($G250-M250)+M250)</f>
        <v>-40</v>
      </c>
      <c r="O250" s="27">
        <f>IF(N250+11&lt;=$G250,N250+11,($G250-N250)+N250)</f>
        <v>-29</v>
      </c>
      <c r="P250" s="27">
        <f>IF(O250+1&lt;=$G250,O250+1,($G250-O250)+O250)</f>
        <v>-28</v>
      </c>
      <c r="Q250" s="27">
        <f>IF(P250+11&lt;=$G250,P250+11,($G250-P250)+P250)</f>
        <v>-17</v>
      </c>
      <c r="R250" s="27">
        <f>IF(Q250+1&lt;=$G250,Q250+1,($G250-Q250)+Q250)</f>
        <v>-16</v>
      </c>
      <c r="S250" s="27">
        <f>IF(R250+11&lt;=$G250,R250+11,($G250-R250)+R250)</f>
        <v>-5</v>
      </c>
      <c r="T250" s="27">
        <f>IF(S250+1&lt;=$G250,S250+1,($G250-S250)+S250)</f>
        <v>-4</v>
      </c>
      <c r="U250" s="27">
        <f>IF(T250+11&lt;=$G250,T250+11,($G250-T250)+T250)</f>
        <v>0</v>
      </c>
      <c r="V250" s="27">
        <f>IF(U250+1&lt;=$G250,U250+1,($G250-U250)+U250)</f>
        <v>0</v>
      </c>
      <c r="W250" s="27">
        <f>IF(V250+11&lt;=$G250,V250+11,($G250-V250)+V250)</f>
        <v>0</v>
      </c>
      <c r="X250" s="27">
        <f>IF(W250+1&lt;=$G250,W250+1,($G250-W250)+W250)</f>
        <v>0</v>
      </c>
      <c r="Y250" s="27">
        <f>IF(X250+11&lt;=$G250,X250+11,($G250-X250)+X250)</f>
        <v>0</v>
      </c>
      <c r="Z250" s="27">
        <f>IF(Y250+1&lt;=$G250,Y250+1,($G250-Y250)+Y250)</f>
        <v>0</v>
      </c>
      <c r="AA250" s="27">
        <f>IF(Z250+11&lt;=$G250,Z250+11,($G250-Z250)+Z250)</f>
        <v>0</v>
      </c>
      <c r="AB250" s="27">
        <f>IF(AA250+1&lt;=$G250,AA250+1,($G250-AA250)+AA250)</f>
        <v>0</v>
      </c>
      <c r="AC250" s="27">
        <f>IF(AB250+11&lt;=$G250,AB250+11,($G250-AB250)+AB250)</f>
        <v>0</v>
      </c>
      <c r="AD250" s="27">
        <f>IF(AC250+1&lt;=$G250,AC250+1,($G250-AC250)+AC250)</f>
        <v>0</v>
      </c>
      <c r="AE250" s="27">
        <f>IF(AD250+11&lt;=$G250,AD250+11,($G250-AD250)+AD250)</f>
        <v>0</v>
      </c>
      <c r="AF250" s="27">
        <f>IF(AE250+1&lt;=$G250,AE250+1,($G250-AE250)+AE250)</f>
        <v>0</v>
      </c>
      <c r="AG250" s="27">
        <f>IF(AF250+11&lt;=$G250,AF250+11,($G250-AF250)+AF250)</f>
        <v>0</v>
      </c>
      <c r="AH250" s="27">
        <f>IF(AG250+1&lt;=$G250,AG250+1,($G250-AG250)+AG250)</f>
        <v>0</v>
      </c>
      <c r="AI250" s="27">
        <f>IF(AH250+11&lt;=$G250,AH250+11,($G250-AH250)+AH250)</f>
        <v>0</v>
      </c>
      <c r="AJ250" s="27">
        <f>IF(AI250+1&lt;=$G250,AI250+1,($G250-AI250)+AI250)</f>
        <v>0</v>
      </c>
      <c r="AK250" s="27">
        <f>IF(AJ250+11&lt;=$G250,AJ250+11,($G250-AJ250)+AJ250)</f>
        <v>0</v>
      </c>
      <c r="AL250" s="27">
        <f>IF(AK250+1&lt;=$G250,AK250+1,($G250-AK250)+AK250)</f>
        <v>0</v>
      </c>
      <c r="AM250" s="27">
        <f>IF(AL250+11&lt;=$G250,AL250+11,($G250-AL250)+AL250)</f>
        <v>0</v>
      </c>
      <c r="AN250" s="27">
        <f>IF(AM250+1&lt;=$G250,AM250+1,($G250-AM250)+AM250)</f>
        <v>0</v>
      </c>
      <c r="AO250" s="27">
        <f>IF(AN250+11&lt;=$G250,AN250+11,($G250-AN250)+AN250)</f>
        <v>0</v>
      </c>
      <c r="AP250" s="27">
        <f>IF(AO250+1&lt;=$G250,AO250+1,($G250-AO250)+AO250)</f>
        <v>0</v>
      </c>
      <c r="AQ250" s="27">
        <f>IF(AP250+11&lt;=$G250,AP250+11,($G250-AP250)+AP250)</f>
        <v>0</v>
      </c>
      <c r="AR250" s="27">
        <f>IF(AQ250+1&lt;=$G250,AQ250+1,($G250-AQ250)+AQ250)</f>
        <v>0</v>
      </c>
      <c r="AS250" s="27">
        <f>IF(AR250+11&lt;=$G250,AR250+11,($G250-AR250)+AR250)</f>
        <v>0</v>
      </c>
      <c r="AT250" s="27">
        <f>IF(AS250+1&lt;=$G250,AS250+1,($G250-AS250)+AS250)</f>
        <v>0</v>
      </c>
      <c r="AU250" s="27">
        <f>IF(AT250+11&lt;=$G250,AT250+11,($G250-AT250)+AT250)</f>
        <v>0</v>
      </c>
      <c r="AV250" s="27">
        <f>IF(AU250+1&lt;=$G250,AU250+1,($G250-AU250)+AU250)</f>
        <v>0</v>
      </c>
      <c r="AW250" s="27">
        <f>IF(AV250+11&lt;=$G250,AV250+11,($G250-AV250)+AV250)</f>
        <v>0</v>
      </c>
      <c r="AX250" s="27">
        <f>IF(AW250+1&lt;=$G250,AW250+1,($G250-AW250)+AW250)</f>
        <v>0</v>
      </c>
      <c r="AY250" s="27">
        <f>IF(AX250+11&lt;=$G250,AX250+11,($G250-AX250)+AX250)</f>
        <v>0</v>
      </c>
      <c r="AZ250" s="27">
        <f>IF(AY250+1&lt;=$G250,AY250+1,($G250-AY250)+AY250)</f>
        <v>0</v>
      </c>
      <c r="BA250" s="27">
        <f>IF(AZ250+35&lt;=$G250,AZ250+35,($G250-AZ250)+AZ250)</f>
        <v>0</v>
      </c>
      <c r="BB250" s="27">
        <f>IF(BA250+1&lt;=$G250,BA250+1,($G250-BA250)+BA250)</f>
        <v>0</v>
      </c>
      <c r="BC250" s="27">
        <f>IF(BB250+59&lt;=$G250,BB250+59,($G250-BB250)+BB250)</f>
        <v>0</v>
      </c>
      <c r="BD250" s="61">
        <f>IF(BC250+1&lt;=$G250,BC250+1,($G250-BC250)+BC250)</f>
        <v>0</v>
      </c>
      <c r="BE250" s="27">
        <f>IF(BD250+239&lt;=$G250,BD250+239,($G250-BD250)+BD250)</f>
        <v>0</v>
      </c>
      <c r="BF250" s="27">
        <f>IF(BE250+1&lt;=$G250,BE250+1,($G250-BE250)+BE250)</f>
        <v>0</v>
      </c>
      <c r="BG250" s="27">
        <f>IF(BF250+11&lt;=$G250,BF250+11,($G250-BF250)+BF250)</f>
        <v>0</v>
      </c>
      <c r="FJ250" s="61"/>
    </row>
    <row r="251" spans="2:166" s="27" customFormat="1" ht="11.25" hidden="1" x14ac:dyDescent="0.2">
      <c r="B251" s="60"/>
      <c r="H251" s="27">
        <v>1</v>
      </c>
      <c r="I251" s="27">
        <f>+I250</f>
        <v>-65</v>
      </c>
      <c r="J251" s="27">
        <f>IF(I251=$G250,0,J250)</f>
        <v>-64</v>
      </c>
      <c r="K251" s="27">
        <f>+K250</f>
        <v>-53</v>
      </c>
      <c r="L251" s="27">
        <f>IF(K251=$G250,0,L250)</f>
        <v>-52</v>
      </c>
      <c r="M251" s="27">
        <f>+M250</f>
        <v>-41</v>
      </c>
      <c r="N251" s="27">
        <f>IF(M251=$G250,0,N250)</f>
        <v>-40</v>
      </c>
      <c r="O251" s="27">
        <f>+O250</f>
        <v>-29</v>
      </c>
      <c r="P251" s="27">
        <f>IF(O251=$G250,0,P250)</f>
        <v>-28</v>
      </c>
      <c r="Q251" s="27">
        <f>+Q250</f>
        <v>-17</v>
      </c>
      <c r="R251" s="27">
        <f>IF(Q251=$G250,0,R250)</f>
        <v>-16</v>
      </c>
      <c r="S251" s="27">
        <f>+S250</f>
        <v>-5</v>
      </c>
      <c r="T251" s="27">
        <f>IF(S251=$G250,0,T250)</f>
        <v>-4</v>
      </c>
      <c r="U251" s="27">
        <f>+U250</f>
        <v>0</v>
      </c>
      <c r="V251" s="27">
        <f>IF(U251=$G250,0,V250)</f>
        <v>0</v>
      </c>
      <c r="W251" s="27">
        <f>+W250</f>
        <v>0</v>
      </c>
      <c r="X251" s="27">
        <f>IF(W251=$G250,0,X250)</f>
        <v>0</v>
      </c>
      <c r="Y251" s="27">
        <f>+Y250</f>
        <v>0</v>
      </c>
      <c r="Z251" s="27">
        <f>IF(Y251=$G250,0,Z250)</f>
        <v>0</v>
      </c>
      <c r="AA251" s="27">
        <f>+AA250</f>
        <v>0</v>
      </c>
      <c r="AB251" s="27">
        <f>IF(AA251=$G250,0,AB250)</f>
        <v>0</v>
      </c>
      <c r="AC251" s="27">
        <f>+AC250</f>
        <v>0</v>
      </c>
      <c r="AD251" s="27">
        <f>IF(AC251=$G250,0,AD250)</f>
        <v>0</v>
      </c>
      <c r="AE251" s="27">
        <f>+AE250</f>
        <v>0</v>
      </c>
      <c r="AF251" s="27">
        <f>IF(AE251=$G250,0,AF250)</f>
        <v>0</v>
      </c>
      <c r="AG251" s="27">
        <f>+AG250</f>
        <v>0</v>
      </c>
      <c r="AH251" s="27">
        <f>IF(AG251=$G250,0,AH250)</f>
        <v>0</v>
      </c>
      <c r="AI251" s="27">
        <f>+AI250</f>
        <v>0</v>
      </c>
      <c r="AJ251" s="27">
        <f>IF(AI251=$G250,0,AJ250)</f>
        <v>0</v>
      </c>
      <c r="AK251" s="27">
        <f>+AK250</f>
        <v>0</v>
      </c>
      <c r="AL251" s="27">
        <f>IF(AK251=$G250,0,AL250)</f>
        <v>0</v>
      </c>
      <c r="AM251" s="27">
        <f>+AM250</f>
        <v>0</v>
      </c>
      <c r="AN251" s="27">
        <f>IF(AM251=$G250,0,AN250)</f>
        <v>0</v>
      </c>
      <c r="AO251" s="27">
        <f>+AO250</f>
        <v>0</v>
      </c>
      <c r="AP251" s="27">
        <f>IF(AO251=$G250,0,AP250)</f>
        <v>0</v>
      </c>
      <c r="AQ251" s="27">
        <f>+AQ250</f>
        <v>0</v>
      </c>
      <c r="AR251" s="27">
        <f>IF(AQ251=$G250,0,AR250)</f>
        <v>0</v>
      </c>
      <c r="AS251" s="27">
        <f>+AS250</f>
        <v>0</v>
      </c>
      <c r="AT251" s="27">
        <f>IF(AS251=$G250,0,AT250)</f>
        <v>0</v>
      </c>
      <c r="AU251" s="27">
        <f>+AU250</f>
        <v>0</v>
      </c>
      <c r="AV251" s="27">
        <f>IF(AU251=$G250,0,AV250)</f>
        <v>0</v>
      </c>
      <c r="AW251" s="27">
        <f>+AW250</f>
        <v>0</v>
      </c>
      <c r="AX251" s="27">
        <f>IF(AW251=$G250,0,AX250)</f>
        <v>0</v>
      </c>
      <c r="AY251" s="27">
        <f>+AY250</f>
        <v>0</v>
      </c>
      <c r="AZ251" s="27">
        <f>IF(AY251=$G250,0,AZ250)</f>
        <v>0</v>
      </c>
      <c r="BA251" s="27">
        <f>+BA250</f>
        <v>0</v>
      </c>
      <c r="BB251" s="27">
        <f>IF(BA251=$G250,0,BB250)</f>
        <v>0</v>
      </c>
      <c r="BC251" s="27">
        <f>+BC250</f>
        <v>0</v>
      </c>
      <c r="BD251" s="61">
        <f>IF(BC251=$G250,0,BD250)</f>
        <v>0</v>
      </c>
      <c r="BE251" s="27">
        <f>+BE250</f>
        <v>0</v>
      </c>
      <c r="BF251" s="27">
        <f>IF(BE251=$G250,0,BF250)</f>
        <v>0</v>
      </c>
      <c r="BG251" s="27">
        <f>+BG250</f>
        <v>0</v>
      </c>
      <c r="FJ251" s="61"/>
    </row>
    <row r="252" spans="2:166" s="27" customFormat="1" ht="11.25" hidden="1" x14ac:dyDescent="0.2">
      <c r="B252" s="60"/>
      <c r="F252" s="27">
        <f>SUMIF(H252:BG252,"&gt;0")</f>
        <v>0</v>
      </c>
      <c r="G252" s="27" t="s">
        <v>632</v>
      </c>
      <c r="I252" s="27" t="e">
        <f>-CUMPRINC($F250/12,$E250*12,$D250,H251,I251,0)</f>
        <v>#NUM!</v>
      </c>
      <c r="K252" s="27" t="e">
        <f>-CUMPRINC($F250/12,$E250*12,$D250,J251,K251,0)</f>
        <v>#NUM!</v>
      </c>
      <c r="M252" s="27" t="e">
        <f>-CUMPRINC($F250/12,$E250*12,$D250,L251,M251,0)</f>
        <v>#NUM!</v>
      </c>
      <c r="O252" s="27" t="e">
        <f>-CUMPRINC($F250/12,$E250*12,$D250,N251,O251,0)</f>
        <v>#NUM!</v>
      </c>
      <c r="Q252" s="27" t="e">
        <f>-CUMPRINC($F250/12,$E250*12,$D250,P251,Q251,0)</f>
        <v>#NUM!</v>
      </c>
      <c r="S252" s="27" t="e">
        <f>-CUMPRINC($F250/12,$E250*12,$D250,R251,S251,0)</f>
        <v>#NUM!</v>
      </c>
      <c r="U252" s="27" t="e">
        <f>-CUMPRINC($F250/12,$E250*12,$D250,T251,U251,0)</f>
        <v>#NUM!</v>
      </c>
      <c r="W252" s="27" t="e">
        <f>-CUMPRINC($F250/12,$E250*12,$D250,V251,W251,0)</f>
        <v>#NUM!</v>
      </c>
      <c r="Y252" s="27" t="e">
        <f>-CUMPRINC($F250/12,$E250*12,$D250,X251,Y251,0)</f>
        <v>#NUM!</v>
      </c>
      <c r="AA252" s="27" t="e">
        <f>-CUMPRINC($F250/12,$E250*12,$D250,Z251,AA251,0)</f>
        <v>#NUM!</v>
      </c>
      <c r="AC252" s="27" t="e">
        <f>-CUMPRINC($F250/12,$E250*12,$D250,AB251,AC251,0)</f>
        <v>#NUM!</v>
      </c>
      <c r="AE252" s="27" t="e">
        <f>-CUMPRINC($F250/12,$E250*12,$D250,AD251,AE251,0)</f>
        <v>#NUM!</v>
      </c>
      <c r="AG252" s="27" t="e">
        <f>-CUMPRINC($F250/12,$E250*12,$D250,AF251,AG251,0)</f>
        <v>#NUM!</v>
      </c>
      <c r="AI252" s="27" t="e">
        <f>-CUMPRINC($F250/12,$E250*12,$D250,AH251,AI251,0)</f>
        <v>#NUM!</v>
      </c>
      <c r="AK252" s="27" t="e">
        <f>-CUMPRINC($F250/12,$E250*12,$D250,AJ251,AK251,0)</f>
        <v>#NUM!</v>
      </c>
      <c r="AM252" s="27" t="e">
        <f>-CUMPRINC($F250/12,$E250*12,$D250,AL251,AM251,0)</f>
        <v>#NUM!</v>
      </c>
      <c r="AO252" s="27" t="e">
        <f>-CUMPRINC($F250/12,$E250*12,$D250,AN251,AO251,0)</f>
        <v>#NUM!</v>
      </c>
      <c r="AQ252" s="27" t="e">
        <f>-CUMPRINC($F250/12,$E250*12,$D250,AP251,AQ251,0)</f>
        <v>#NUM!</v>
      </c>
      <c r="AS252" s="27" t="e">
        <f>-CUMPRINC($F250/12,$E250*12,$D250,AR251,AS251,0)</f>
        <v>#NUM!</v>
      </c>
      <c r="AU252" s="27" t="e">
        <f>-CUMPRINC($F250/12,$E250*12,$D250,AT251,AU251,0)</f>
        <v>#NUM!</v>
      </c>
      <c r="AW252" s="27" t="e">
        <f>-CUMPRINC($F250/12,$E250*12,$D250,AV251,AW251,0)</f>
        <v>#NUM!</v>
      </c>
      <c r="AY252" s="27" t="e">
        <f>-CUMPRINC($F250/12,$E250*12,$D250,AX251,AY251,0)</f>
        <v>#NUM!</v>
      </c>
      <c r="BA252" s="27" t="e">
        <f>-CUMPRINC($F250/12,$E250*12,$D250,AZ251,BA251,0)</f>
        <v>#NUM!</v>
      </c>
      <c r="BC252" s="27" t="e">
        <f>-CUMPRINC($F250/12,$E250*12,$D250,BB251,BC251,0)</f>
        <v>#NUM!</v>
      </c>
      <c r="BD252" s="61"/>
      <c r="BE252" s="27" t="e">
        <f>-CUMPRINC($F250/12,$E250*12,$D250,BD251,BE251,0)</f>
        <v>#NUM!</v>
      </c>
      <c r="BG252" s="27" t="e">
        <f>-CUMPRINC($F250/12,$E250*12,$D250,BF251,BG251,0)</f>
        <v>#NUM!</v>
      </c>
      <c r="BH252" s="27" t="s">
        <v>783</v>
      </c>
      <c r="BJ252" s="27" t="e">
        <f>-CUMIPMT($F250/12,$E250*12,$D250,H251,I251,0)</f>
        <v>#NUM!</v>
      </c>
      <c r="BL252" s="27" t="e">
        <f>-CUMIPMT($F250/12,$E250*12,$D250,J251,K251,0)</f>
        <v>#NUM!</v>
      </c>
      <c r="BN252" s="27" t="e">
        <f>-CUMIPMT($F250/12,$E250*12,$D250,L251,M251,0)</f>
        <v>#NUM!</v>
      </c>
      <c r="BP252" s="27" t="e">
        <f>-CUMIPMT($F250/12,$E250*12,$D250,N251,O251,0)</f>
        <v>#NUM!</v>
      </c>
      <c r="BR252" s="27" t="e">
        <f>-CUMIPMT($F250/12,$E250*12,$D250,P251,Q251,0)</f>
        <v>#NUM!</v>
      </c>
      <c r="BT252" s="27" t="e">
        <f>-CUMIPMT($F250/12,$E250*12,$D250,R251,S251,0)</f>
        <v>#NUM!</v>
      </c>
      <c r="BV252" s="27" t="e">
        <f>-CUMIPMT($F250/12,$E250*12,$D250,T251,U251,0)</f>
        <v>#NUM!</v>
      </c>
      <c r="BX252" s="27" t="e">
        <f>-CUMIPMT($F250/12,$E250*12,$D250,V251,W251,0)</f>
        <v>#NUM!</v>
      </c>
      <c r="BZ252" s="27" t="e">
        <f>-CUMIPMT($F250/12,$E250*12,$D250,X251,Y251,0)</f>
        <v>#NUM!</v>
      </c>
      <c r="CB252" s="27" t="e">
        <f>-CUMIPMT($F250/12,$E250*12,$D250,Z251,AA251,0)</f>
        <v>#NUM!</v>
      </c>
      <c r="CD252" s="27" t="e">
        <f>-CUMIPMT($F250/12,$E250*12,$D250,AB251,AC251,0)</f>
        <v>#NUM!</v>
      </c>
      <c r="CF252" s="27" t="e">
        <f>-CUMIPMT($F250/12,$E250*12,$D250,AD251,AE251,0)</f>
        <v>#NUM!</v>
      </c>
      <c r="CH252" s="27" t="e">
        <f>-CUMIPMT($F250/12,$E250*12,$D250,AF251,AG251,0)</f>
        <v>#NUM!</v>
      </c>
      <c r="CJ252" s="27" t="e">
        <f>-CUMIPMT($F250/12,$E250*12,$D250,AH251,AI251,0)</f>
        <v>#NUM!</v>
      </c>
      <c r="CL252" s="27" t="e">
        <f>-CUMIPMT($F250/12,$E250*12,$D250,AJ251,AK251,0)</f>
        <v>#NUM!</v>
      </c>
      <c r="CN252" s="27" t="e">
        <f>-CUMIPMT($F250/12,$E250*12,$D250,AL251,AM251,0)</f>
        <v>#NUM!</v>
      </c>
      <c r="CP252" s="27" t="e">
        <f>-CUMIPMT($F250/12,$E250*12,$D250,AN251,AO251,0)</f>
        <v>#NUM!</v>
      </c>
      <c r="CR252" s="27" t="e">
        <f>-CUMIPMT($F250/12,$E250*12,$D250,AP251,AQ251,0)</f>
        <v>#NUM!</v>
      </c>
      <c r="CT252" s="27" t="e">
        <f>-CUMIPMT($F250/12,$E250*12,$D250,AR251,AS251,0)</f>
        <v>#NUM!</v>
      </c>
      <c r="CV252" s="27" t="e">
        <f>-CUMIPMT($F250/12,$E250*12,$D250,AT251,AU251,0)</f>
        <v>#NUM!</v>
      </c>
      <c r="CX252" s="27" t="e">
        <f>-CUMIPMT($F250/12,$E250*12,$D250,AV251,AW251,0)</f>
        <v>#NUM!</v>
      </c>
      <c r="CZ252" s="27" t="e">
        <f>-CUMIPMT($F250/12,$E250*12,$D250,AX251,AY251,0)</f>
        <v>#NUM!</v>
      </c>
      <c r="DB252" s="27" t="e">
        <f>-CUMIPMT($F250/12,$E250*12,$D250,AZ251,BA251,0)</f>
        <v>#NUM!</v>
      </c>
      <c r="DD252" s="27" t="e">
        <f>-CUMIPMT($F250/12,$E250*12,$D250,BB251,BC251,0)</f>
        <v>#NUM!</v>
      </c>
      <c r="DF252" s="27" t="e">
        <f>-CUMIPMT($F250/12,$E250*12,$D250,BD251,BE251,0)</f>
        <v>#NUM!</v>
      </c>
      <c r="DH252" s="27" t="e">
        <f>-CUMIPMT($F250/12,$E250*12,$D250,BF251,BG251,0)</f>
        <v>#NUM!</v>
      </c>
      <c r="DI252" s="27" t="s">
        <v>784</v>
      </c>
      <c r="DJ252" s="27" t="s">
        <v>785</v>
      </c>
      <c r="DK252" s="27">
        <f>+F252</f>
        <v>0</v>
      </c>
      <c r="DL252" s="27" t="e">
        <f>+DK252-I252</f>
        <v>#NUM!</v>
      </c>
      <c r="DN252" s="27" t="e">
        <f>+DL252-K252</f>
        <v>#NUM!</v>
      </c>
      <c r="DP252" s="27" t="e">
        <f>+DN252-M252</f>
        <v>#NUM!</v>
      </c>
      <c r="DR252" s="27" t="e">
        <f>+DP252-O252</f>
        <v>#NUM!</v>
      </c>
      <c r="DT252" s="27" t="e">
        <f>+DR252-Q252</f>
        <v>#NUM!</v>
      </c>
      <c r="DV252" s="27" t="e">
        <f>+DT252-S252</f>
        <v>#NUM!</v>
      </c>
      <c r="DX252" s="27" t="e">
        <f>+DV252-U252</f>
        <v>#NUM!</v>
      </c>
      <c r="DZ252" s="27" t="e">
        <f>+DX252-W252</f>
        <v>#NUM!</v>
      </c>
      <c r="EB252" s="27" t="e">
        <f>+DZ252-Y252</f>
        <v>#NUM!</v>
      </c>
      <c r="ED252" s="27" t="e">
        <f>+EB252-AA252</f>
        <v>#NUM!</v>
      </c>
      <c r="EF252" s="27" t="e">
        <f>+ED252-AC252</f>
        <v>#NUM!</v>
      </c>
      <c r="EH252" s="27" t="e">
        <f>+EF252-AE252</f>
        <v>#NUM!</v>
      </c>
      <c r="EJ252" s="27" t="e">
        <f>+EH252-AG252</f>
        <v>#NUM!</v>
      </c>
      <c r="EL252" s="27" t="e">
        <f>+EJ252-AI252</f>
        <v>#NUM!</v>
      </c>
      <c r="EN252" s="27" t="e">
        <f>+EL252-AK252</f>
        <v>#NUM!</v>
      </c>
      <c r="EP252" s="27" t="e">
        <f>+EN252-AM252</f>
        <v>#NUM!</v>
      </c>
      <c r="ER252" s="27" t="e">
        <f>+EP252-AO252</f>
        <v>#NUM!</v>
      </c>
      <c r="ET252" s="27" t="e">
        <f>+ER252-AQ252</f>
        <v>#NUM!</v>
      </c>
      <c r="EV252" s="27" t="e">
        <f>+ET252-AS252</f>
        <v>#NUM!</v>
      </c>
      <c r="EX252" s="27" t="e">
        <f>+EV252-AU252</f>
        <v>#NUM!</v>
      </c>
      <c r="EZ252" s="27" t="e">
        <f>+EX252-AW252</f>
        <v>#NUM!</v>
      </c>
      <c r="FB252" s="27" t="e">
        <f>+EZ252-AY252</f>
        <v>#NUM!</v>
      </c>
      <c r="FD252" s="27" t="e">
        <f>+FB252-BA252</f>
        <v>#NUM!</v>
      </c>
      <c r="FF252" s="27" t="e">
        <f>+FD252-BC252</f>
        <v>#NUM!</v>
      </c>
      <c r="FH252" s="27" t="e">
        <f>+FF252-BE252</f>
        <v>#NUM!</v>
      </c>
      <c r="FJ252" s="61" t="e">
        <f>+FH252-BG252</f>
        <v>#NUM!</v>
      </c>
    </row>
    <row r="253" spans="2:166" s="27" customFormat="1" ht="11.25" hidden="1" x14ac:dyDescent="0.2">
      <c r="B253" s="60"/>
      <c r="E253" s="27">
        <f>+F252+F253</f>
        <v>0</v>
      </c>
      <c r="F253" s="27">
        <f>SUMIF(BI252:DH252,"&gt;0")</f>
        <v>0</v>
      </c>
      <c r="I253" s="27">
        <f>IF(ISERROR(I252)=FALSE,I252,0)</f>
        <v>0</v>
      </c>
      <c r="K253" s="27">
        <f>IF(ISERROR(K252)=FALSE,K252,0)</f>
        <v>0</v>
      </c>
      <c r="M253" s="27">
        <f>IF(ISERROR(M252)=FALSE,M252,0)</f>
        <v>0</v>
      </c>
      <c r="O253" s="27">
        <f>IF(ISERROR(O252)=FALSE,O252,0)</f>
        <v>0</v>
      </c>
      <c r="Q253" s="27">
        <f>IF(ISERROR(Q252)=FALSE,Q252,0)</f>
        <v>0</v>
      </c>
      <c r="S253" s="27">
        <f>IF(ISERROR(S252)=FALSE,S252,0)</f>
        <v>0</v>
      </c>
      <c r="U253" s="27">
        <f>IF(ISERROR(U252)=FALSE,U252,0)</f>
        <v>0</v>
      </c>
      <c r="W253" s="27">
        <f>IF(ISERROR(W252)=FALSE,W252,0)</f>
        <v>0</v>
      </c>
      <c r="Y253" s="27">
        <f>IF(ISERROR(Y252)=FALSE,Y252,0)</f>
        <v>0</v>
      </c>
      <c r="AA253" s="27">
        <f>IF(ISERROR(AA252)=FALSE,AA252,0)</f>
        <v>0</v>
      </c>
      <c r="AC253" s="27">
        <f>IF(ISERROR(AC252)=FALSE,AC252,0)</f>
        <v>0</v>
      </c>
      <c r="AE253" s="27">
        <f>IF(ISERROR(AE252)=FALSE,AE252,0)</f>
        <v>0</v>
      </c>
      <c r="AG253" s="27">
        <f>IF(ISERROR(AG252)=FALSE,AG252,0)</f>
        <v>0</v>
      </c>
      <c r="AI253" s="27">
        <f>IF(ISERROR(AI252)=FALSE,AI252,0)</f>
        <v>0</v>
      </c>
      <c r="AK253" s="27">
        <f>IF(ISERROR(AK252)=FALSE,AK252,0)</f>
        <v>0</v>
      </c>
      <c r="AM253" s="27">
        <f>IF(ISERROR(AM252)=FALSE,AM252,0)</f>
        <v>0</v>
      </c>
      <c r="AO253" s="27">
        <f>IF(ISERROR(AO252)=FALSE,AO252,0)</f>
        <v>0</v>
      </c>
      <c r="AQ253" s="27">
        <f>IF(ISERROR(AQ252)=FALSE,AQ252,0)</f>
        <v>0</v>
      </c>
      <c r="AS253" s="27">
        <f>IF(ISERROR(AS252)=FALSE,AS252,0)</f>
        <v>0</v>
      </c>
      <c r="AU253" s="27">
        <f>IF(ISERROR(AU252)=FALSE,AU252,0)</f>
        <v>0</v>
      </c>
      <c r="AW253" s="27">
        <f>IF(ISERROR(AW252)=FALSE,AW252,0)</f>
        <v>0</v>
      </c>
      <c r="AY253" s="27">
        <f>IF(ISERROR(AY252)=FALSE,AY252,0)</f>
        <v>0</v>
      </c>
      <c r="BA253" s="27">
        <f>IF(ISERROR(BA252)=FALSE,BA252,0)</f>
        <v>0</v>
      </c>
      <c r="BC253" s="27">
        <f>IF(ISERROR(BC252)=FALSE,BC252,0)</f>
        <v>0</v>
      </c>
      <c r="BD253" s="61"/>
      <c r="BE253" s="27">
        <f>IF(ISERROR(BE252)=FALSE,BE252,0)</f>
        <v>0</v>
      </c>
      <c r="BG253" s="27">
        <f>IF(ISERROR(BG252)=FALSE,BG252,0)</f>
        <v>0</v>
      </c>
      <c r="FJ253" s="61"/>
    </row>
    <row r="254" spans="2:166" s="27" customFormat="1" ht="11.25" hidden="1" x14ac:dyDescent="0.2">
      <c r="B254" s="60"/>
      <c r="D254" s="27" t="s">
        <v>630</v>
      </c>
      <c r="E254" s="27">
        <f>IF(E250=0,0,E253/(E250*12))</f>
        <v>0</v>
      </c>
      <c r="BD254" s="61"/>
      <c r="FJ254" s="61"/>
    </row>
    <row r="255" spans="2:166" s="27" customFormat="1" ht="11.25" hidden="1" x14ac:dyDescent="0.2">
      <c r="B255" s="60"/>
      <c r="C255" s="27">
        <f>C131</f>
        <v>0</v>
      </c>
      <c r="D255" s="27">
        <f>D131</f>
        <v>0</v>
      </c>
      <c r="E255" s="27">
        <f>E131</f>
        <v>0</v>
      </c>
      <c r="F255" s="27">
        <f>F131</f>
        <v>0</v>
      </c>
      <c r="G255" s="27">
        <f>+$E255*12</f>
        <v>0</v>
      </c>
      <c r="H255" s="27">
        <f>SUMIF($W131:$AH131,$D131,$W$108:$AH$108)</f>
        <v>78</v>
      </c>
      <c r="I255" s="27">
        <f>13-H255</f>
        <v>-65</v>
      </c>
      <c r="J255" s="27">
        <f>IF(I255+1&lt;=$G255,I255+1,($G255-I255)+I255)</f>
        <v>-64</v>
      </c>
      <c r="K255" s="27">
        <f>IF(J255+11&lt;=$G255,J255+11,($G255-J255)+J255)</f>
        <v>-53</v>
      </c>
      <c r="L255" s="27">
        <f>IF(K255+1&lt;=$G255,K255+1,($G255-K255)+K255)</f>
        <v>-52</v>
      </c>
      <c r="M255" s="27">
        <f>IF(L255+11&lt;=$G255,L255+11,($G255-L255)+L255)</f>
        <v>-41</v>
      </c>
      <c r="N255" s="27">
        <f>IF(M255+1&lt;=$G255,M255+1,($G255-M255)+M255)</f>
        <v>-40</v>
      </c>
      <c r="O255" s="27">
        <f>IF(N255+11&lt;=$G255,N255+11,($G255-N255)+N255)</f>
        <v>-29</v>
      </c>
      <c r="P255" s="27">
        <f>IF(O255+1&lt;=$G255,O255+1,($G255-O255)+O255)</f>
        <v>-28</v>
      </c>
      <c r="Q255" s="27">
        <f>IF(P255+11&lt;=$G255,P255+11,($G255-P255)+P255)</f>
        <v>-17</v>
      </c>
      <c r="R255" s="27">
        <f>IF(Q255+1&lt;=$G255,Q255+1,($G255-Q255)+Q255)</f>
        <v>-16</v>
      </c>
      <c r="S255" s="27">
        <f>IF(R255+11&lt;=$G255,R255+11,($G255-R255)+R255)</f>
        <v>-5</v>
      </c>
      <c r="T255" s="27">
        <f>IF(S255+1&lt;=$G255,S255+1,($G255-S255)+S255)</f>
        <v>-4</v>
      </c>
      <c r="U255" s="27">
        <f>IF(T255+11&lt;=$G255,T255+11,($G255-T255)+T255)</f>
        <v>0</v>
      </c>
      <c r="V255" s="27">
        <f>IF(U255+1&lt;=$G255,U255+1,($G255-U255)+U255)</f>
        <v>0</v>
      </c>
      <c r="W255" s="27">
        <f>IF(V255+11&lt;=$G255,V255+11,($G255-V255)+V255)</f>
        <v>0</v>
      </c>
      <c r="X255" s="27">
        <f>IF(W255+1&lt;=$G255,W255+1,($G255-W255)+W255)</f>
        <v>0</v>
      </c>
      <c r="Y255" s="27">
        <f>IF(X255+11&lt;=$G255,X255+11,($G255-X255)+X255)</f>
        <v>0</v>
      </c>
      <c r="Z255" s="27">
        <f>IF(Y255+1&lt;=$G255,Y255+1,($G255-Y255)+Y255)</f>
        <v>0</v>
      </c>
      <c r="AA255" s="27">
        <f>IF(Z255+11&lt;=$G255,Z255+11,($G255-Z255)+Z255)</f>
        <v>0</v>
      </c>
      <c r="AB255" s="27">
        <f>IF(AA255+1&lt;=$G255,AA255+1,($G255-AA255)+AA255)</f>
        <v>0</v>
      </c>
      <c r="AC255" s="27">
        <f>IF(AB255+11&lt;=$G255,AB255+11,($G255-AB255)+AB255)</f>
        <v>0</v>
      </c>
      <c r="AD255" s="27">
        <f>IF(AC255+1&lt;=$G255,AC255+1,($G255-AC255)+AC255)</f>
        <v>0</v>
      </c>
      <c r="AE255" s="27">
        <f>IF(AD255+11&lt;=$G255,AD255+11,($G255-AD255)+AD255)</f>
        <v>0</v>
      </c>
      <c r="AF255" s="27">
        <f>IF(AE255+1&lt;=$G255,AE255+1,($G255-AE255)+AE255)</f>
        <v>0</v>
      </c>
      <c r="AG255" s="27">
        <f>IF(AF255+11&lt;=$G255,AF255+11,($G255-AF255)+AF255)</f>
        <v>0</v>
      </c>
      <c r="AH255" s="27">
        <f>IF(AG255+1&lt;=$G255,AG255+1,($G255-AG255)+AG255)</f>
        <v>0</v>
      </c>
      <c r="AI255" s="27">
        <f>IF(AH255+11&lt;=$G255,AH255+11,($G255-AH255)+AH255)</f>
        <v>0</v>
      </c>
      <c r="AJ255" s="27">
        <f>IF(AI255+1&lt;=$G255,AI255+1,($G255-AI255)+AI255)</f>
        <v>0</v>
      </c>
      <c r="AK255" s="27">
        <f>IF(AJ255+11&lt;=$G255,AJ255+11,($G255-AJ255)+AJ255)</f>
        <v>0</v>
      </c>
      <c r="AL255" s="27">
        <f>IF(AK255+1&lt;=$G255,AK255+1,($G255-AK255)+AK255)</f>
        <v>0</v>
      </c>
      <c r="AM255" s="27">
        <f>IF(AL255+11&lt;=$G255,AL255+11,($G255-AL255)+AL255)</f>
        <v>0</v>
      </c>
      <c r="AN255" s="27">
        <f>IF(AM255+1&lt;=$G255,AM255+1,($G255-AM255)+AM255)</f>
        <v>0</v>
      </c>
      <c r="AO255" s="27">
        <f>IF(AN255+11&lt;=$G255,AN255+11,($G255-AN255)+AN255)</f>
        <v>0</v>
      </c>
      <c r="AP255" s="27">
        <f>IF(AO255+1&lt;=$G255,AO255+1,($G255-AO255)+AO255)</f>
        <v>0</v>
      </c>
      <c r="AQ255" s="27">
        <f>IF(AP255+11&lt;=$G255,AP255+11,($G255-AP255)+AP255)</f>
        <v>0</v>
      </c>
      <c r="AR255" s="27">
        <f>IF(AQ255+1&lt;=$G255,AQ255+1,($G255-AQ255)+AQ255)</f>
        <v>0</v>
      </c>
      <c r="AS255" s="27">
        <f>IF(AR255+11&lt;=$G255,AR255+11,($G255-AR255)+AR255)</f>
        <v>0</v>
      </c>
      <c r="AT255" s="27">
        <f>IF(AS255+1&lt;=$G255,AS255+1,($G255-AS255)+AS255)</f>
        <v>0</v>
      </c>
      <c r="AU255" s="27">
        <f>IF(AT255+11&lt;=$G255,AT255+11,($G255-AT255)+AT255)</f>
        <v>0</v>
      </c>
      <c r="AV255" s="27">
        <f>IF(AU255+1&lt;=$G255,AU255+1,($G255-AU255)+AU255)</f>
        <v>0</v>
      </c>
      <c r="AW255" s="27">
        <f>IF(AV255+11&lt;=$G255,AV255+11,($G255-AV255)+AV255)</f>
        <v>0</v>
      </c>
      <c r="AX255" s="27">
        <f>IF(AW255+1&lt;=$G255,AW255+1,($G255-AW255)+AW255)</f>
        <v>0</v>
      </c>
      <c r="AY255" s="27">
        <f>IF(AX255+11&lt;=$G255,AX255+11,($G255-AX255)+AX255)</f>
        <v>0</v>
      </c>
      <c r="AZ255" s="27">
        <f>IF(AY255+1&lt;=$G255,AY255+1,($G255-AY255)+AY255)</f>
        <v>0</v>
      </c>
      <c r="BA255" s="27">
        <f>IF(AZ255+35&lt;=$G255,AZ255+35,($G255-AZ255)+AZ255)</f>
        <v>0</v>
      </c>
      <c r="BB255" s="27">
        <f>IF(BA255+1&lt;=$G255,BA255+1,($G255-BA255)+BA255)</f>
        <v>0</v>
      </c>
      <c r="BC255" s="27">
        <f>IF(BB255+59&lt;=$G255,BB255+59,($G255-BB255)+BB255)</f>
        <v>0</v>
      </c>
      <c r="BD255" s="61">
        <f>IF(BC255+1&lt;=$G255,BC255+1,($G255-BC255)+BC255)</f>
        <v>0</v>
      </c>
      <c r="BE255" s="27">
        <f>IF(BD255+239&lt;=$G255,BD255+239,($G255-BD255)+BD255)</f>
        <v>0</v>
      </c>
      <c r="BF255" s="27">
        <f>IF(BE255+1&lt;=$G255,BE255+1,($G255-BE255)+BE255)</f>
        <v>0</v>
      </c>
      <c r="BG255" s="27">
        <f>IF(BF255+11&lt;=$G255,BF255+11,($G255-BF255)+BF255)</f>
        <v>0</v>
      </c>
      <c r="FJ255" s="61"/>
    </row>
    <row r="256" spans="2:166" s="27" customFormat="1" ht="11.25" hidden="1" x14ac:dyDescent="0.2">
      <c r="B256" s="60"/>
      <c r="H256" s="27">
        <v>1</v>
      </c>
      <c r="I256" s="27">
        <f>+I255</f>
        <v>-65</v>
      </c>
      <c r="J256" s="27">
        <f>IF(I256=$G255,0,J255)</f>
        <v>-64</v>
      </c>
      <c r="K256" s="27">
        <f>+K255</f>
        <v>-53</v>
      </c>
      <c r="L256" s="27">
        <f>IF(K256=$G255,0,L255)</f>
        <v>-52</v>
      </c>
      <c r="M256" s="27">
        <f>+M255</f>
        <v>-41</v>
      </c>
      <c r="N256" s="27">
        <f>IF(M256=$G255,0,N255)</f>
        <v>-40</v>
      </c>
      <c r="O256" s="27">
        <f>+O255</f>
        <v>-29</v>
      </c>
      <c r="P256" s="27">
        <f>IF(O256=$G255,0,P255)</f>
        <v>-28</v>
      </c>
      <c r="Q256" s="27">
        <f>+Q255</f>
        <v>-17</v>
      </c>
      <c r="R256" s="27">
        <f>IF(Q256=$G255,0,R255)</f>
        <v>-16</v>
      </c>
      <c r="S256" s="27">
        <f>+S255</f>
        <v>-5</v>
      </c>
      <c r="T256" s="27">
        <f>IF(S256=$G255,0,T255)</f>
        <v>-4</v>
      </c>
      <c r="U256" s="27">
        <f>+U255</f>
        <v>0</v>
      </c>
      <c r="V256" s="27">
        <f>IF(U256=$G255,0,V255)</f>
        <v>0</v>
      </c>
      <c r="W256" s="27">
        <f>+W255</f>
        <v>0</v>
      </c>
      <c r="X256" s="27">
        <f>IF(W256=$G255,0,X255)</f>
        <v>0</v>
      </c>
      <c r="Y256" s="27">
        <f>+Y255</f>
        <v>0</v>
      </c>
      <c r="Z256" s="27">
        <f>IF(Y256=$G255,0,Z255)</f>
        <v>0</v>
      </c>
      <c r="AA256" s="27">
        <f>+AA255</f>
        <v>0</v>
      </c>
      <c r="AB256" s="27">
        <f>IF(AA256=$G255,0,AB255)</f>
        <v>0</v>
      </c>
      <c r="AC256" s="27">
        <f>+AC255</f>
        <v>0</v>
      </c>
      <c r="AD256" s="27">
        <f>IF(AC256=$G255,0,AD255)</f>
        <v>0</v>
      </c>
      <c r="AE256" s="27">
        <f>+AE255</f>
        <v>0</v>
      </c>
      <c r="AF256" s="27">
        <f>IF(AE256=$G255,0,AF255)</f>
        <v>0</v>
      </c>
      <c r="AG256" s="27">
        <f>+AG255</f>
        <v>0</v>
      </c>
      <c r="AH256" s="27">
        <f>IF(AG256=$G255,0,AH255)</f>
        <v>0</v>
      </c>
      <c r="AI256" s="27">
        <f>+AI255</f>
        <v>0</v>
      </c>
      <c r="AJ256" s="27">
        <f>IF(AI256=$G255,0,AJ255)</f>
        <v>0</v>
      </c>
      <c r="AK256" s="27">
        <f>+AK255</f>
        <v>0</v>
      </c>
      <c r="AL256" s="27">
        <f>IF(AK256=$G255,0,AL255)</f>
        <v>0</v>
      </c>
      <c r="AM256" s="27">
        <f>+AM255</f>
        <v>0</v>
      </c>
      <c r="AN256" s="27">
        <f>IF(AM256=$G255,0,AN255)</f>
        <v>0</v>
      </c>
      <c r="AO256" s="27">
        <f>+AO255</f>
        <v>0</v>
      </c>
      <c r="AP256" s="27">
        <f>IF(AO256=$G255,0,AP255)</f>
        <v>0</v>
      </c>
      <c r="AQ256" s="27">
        <f>+AQ255</f>
        <v>0</v>
      </c>
      <c r="AR256" s="27">
        <f>IF(AQ256=$G255,0,AR255)</f>
        <v>0</v>
      </c>
      <c r="AS256" s="27">
        <f>+AS255</f>
        <v>0</v>
      </c>
      <c r="AT256" s="27">
        <f>IF(AS256=$G255,0,AT255)</f>
        <v>0</v>
      </c>
      <c r="AU256" s="27">
        <f>+AU255</f>
        <v>0</v>
      </c>
      <c r="AV256" s="27">
        <f>IF(AU256=$G255,0,AV255)</f>
        <v>0</v>
      </c>
      <c r="AW256" s="27">
        <f>+AW255</f>
        <v>0</v>
      </c>
      <c r="AX256" s="27">
        <f>IF(AW256=$G255,0,AX255)</f>
        <v>0</v>
      </c>
      <c r="AY256" s="27">
        <f>+AY255</f>
        <v>0</v>
      </c>
      <c r="AZ256" s="27">
        <f>IF(AY256=$G255,0,AZ255)</f>
        <v>0</v>
      </c>
      <c r="BA256" s="27">
        <f>+BA255</f>
        <v>0</v>
      </c>
      <c r="BB256" s="27">
        <f>IF(BA256=$G255,0,BB255)</f>
        <v>0</v>
      </c>
      <c r="BC256" s="27">
        <f>+BC255</f>
        <v>0</v>
      </c>
      <c r="BD256" s="61">
        <f>IF(BC256=$G255,0,BD255)</f>
        <v>0</v>
      </c>
      <c r="BE256" s="27">
        <f>+BE255</f>
        <v>0</v>
      </c>
      <c r="BF256" s="27">
        <f>IF(BE256=$G255,0,BF255)</f>
        <v>0</v>
      </c>
      <c r="BG256" s="27">
        <f>+BG255</f>
        <v>0</v>
      </c>
      <c r="FJ256" s="61"/>
    </row>
    <row r="257" spans="2:166" s="27" customFormat="1" ht="11.25" hidden="1" x14ac:dyDescent="0.2">
      <c r="B257" s="60"/>
      <c r="F257" s="27">
        <f>SUMIF(H257:BG257,"&gt;0")</f>
        <v>0</v>
      </c>
      <c r="G257" s="27" t="s">
        <v>632</v>
      </c>
      <c r="I257" s="27" t="e">
        <f>-CUMPRINC($F255/12,$E255*12,$D255,H256,I256,0)</f>
        <v>#NUM!</v>
      </c>
      <c r="K257" s="27" t="e">
        <f>-CUMPRINC($F255/12,$E255*12,$D255,J256,K256,0)</f>
        <v>#NUM!</v>
      </c>
      <c r="M257" s="27" t="e">
        <f>-CUMPRINC($F255/12,$E255*12,$D255,L256,M256,0)</f>
        <v>#NUM!</v>
      </c>
      <c r="O257" s="27" t="e">
        <f>-CUMPRINC($F255/12,$E255*12,$D255,N256,O256,0)</f>
        <v>#NUM!</v>
      </c>
      <c r="Q257" s="27" t="e">
        <f>-CUMPRINC($F255/12,$E255*12,$D255,P256,Q256,0)</f>
        <v>#NUM!</v>
      </c>
      <c r="S257" s="27" t="e">
        <f>-CUMPRINC($F255/12,$E255*12,$D255,R256,S256,0)</f>
        <v>#NUM!</v>
      </c>
      <c r="U257" s="27" t="e">
        <f>-CUMPRINC($F255/12,$E255*12,$D255,T256,U256,0)</f>
        <v>#NUM!</v>
      </c>
      <c r="W257" s="27" t="e">
        <f>-CUMPRINC($F255/12,$E255*12,$D255,V256,W256,0)</f>
        <v>#NUM!</v>
      </c>
      <c r="Y257" s="27" t="e">
        <f>-CUMPRINC($F255/12,$E255*12,$D255,X256,Y256,0)</f>
        <v>#NUM!</v>
      </c>
      <c r="AA257" s="27" t="e">
        <f>-CUMPRINC($F255/12,$E255*12,$D255,Z256,AA256,0)</f>
        <v>#NUM!</v>
      </c>
      <c r="AC257" s="27" t="e">
        <f>-CUMPRINC($F255/12,$E255*12,$D255,AB256,AC256,0)</f>
        <v>#NUM!</v>
      </c>
      <c r="AE257" s="27" t="e">
        <f>-CUMPRINC($F255/12,$E255*12,$D255,AD256,AE256,0)</f>
        <v>#NUM!</v>
      </c>
      <c r="AG257" s="27" t="e">
        <f>-CUMPRINC($F255/12,$E255*12,$D255,AF256,AG256,0)</f>
        <v>#NUM!</v>
      </c>
      <c r="AI257" s="27" t="e">
        <f>-CUMPRINC($F255/12,$E255*12,$D255,AH256,AI256,0)</f>
        <v>#NUM!</v>
      </c>
      <c r="AK257" s="27" t="e">
        <f>-CUMPRINC($F255/12,$E255*12,$D255,AJ256,AK256,0)</f>
        <v>#NUM!</v>
      </c>
      <c r="AM257" s="27" t="e">
        <f>-CUMPRINC($F255/12,$E255*12,$D255,AL256,AM256,0)</f>
        <v>#NUM!</v>
      </c>
      <c r="AO257" s="27" t="e">
        <f>-CUMPRINC($F255/12,$E255*12,$D255,AN256,AO256,0)</f>
        <v>#NUM!</v>
      </c>
      <c r="AQ257" s="27" t="e">
        <f>-CUMPRINC($F255/12,$E255*12,$D255,AP256,AQ256,0)</f>
        <v>#NUM!</v>
      </c>
      <c r="AS257" s="27" t="e">
        <f>-CUMPRINC($F255/12,$E255*12,$D255,AR256,AS256,0)</f>
        <v>#NUM!</v>
      </c>
      <c r="AU257" s="27" t="e">
        <f>-CUMPRINC($F255/12,$E255*12,$D255,AT256,AU256,0)</f>
        <v>#NUM!</v>
      </c>
      <c r="AW257" s="27" t="e">
        <f>-CUMPRINC($F255/12,$E255*12,$D255,AV256,AW256,0)</f>
        <v>#NUM!</v>
      </c>
      <c r="AY257" s="27" t="e">
        <f>-CUMPRINC($F255/12,$E255*12,$D255,AX256,AY256,0)</f>
        <v>#NUM!</v>
      </c>
      <c r="BA257" s="27" t="e">
        <f>-CUMPRINC($F255/12,$E255*12,$D255,AZ256,BA256,0)</f>
        <v>#NUM!</v>
      </c>
      <c r="BC257" s="27" t="e">
        <f>-CUMPRINC($F255/12,$E255*12,$D255,BB256,BC256,0)</f>
        <v>#NUM!</v>
      </c>
      <c r="BD257" s="61"/>
      <c r="BE257" s="27" t="e">
        <f>-CUMPRINC($F255/12,$E255*12,$D255,BD256,BE256,0)</f>
        <v>#NUM!</v>
      </c>
      <c r="BG257" s="27" t="e">
        <f>-CUMPRINC($F255/12,$E255*12,$D255,BF256,BG256,0)</f>
        <v>#NUM!</v>
      </c>
      <c r="BH257" s="27" t="s">
        <v>783</v>
      </c>
      <c r="BJ257" s="27" t="e">
        <f>-CUMIPMT($F255/12,$E255*12,$D255,H256,I256,0)</f>
        <v>#NUM!</v>
      </c>
      <c r="BL257" s="27" t="e">
        <f>-CUMIPMT($F255/12,$E255*12,$D255,J256,K256,0)</f>
        <v>#NUM!</v>
      </c>
      <c r="BN257" s="27" t="e">
        <f>-CUMIPMT($F255/12,$E255*12,$D255,L256,M256,0)</f>
        <v>#NUM!</v>
      </c>
      <c r="BP257" s="27" t="e">
        <f>-CUMIPMT($F255/12,$E255*12,$D255,N256,O256,0)</f>
        <v>#NUM!</v>
      </c>
      <c r="BR257" s="27" t="e">
        <f>-CUMIPMT($F255/12,$E255*12,$D255,P256,Q256,0)</f>
        <v>#NUM!</v>
      </c>
      <c r="BT257" s="27" t="e">
        <f>-CUMIPMT($F255/12,$E255*12,$D255,R256,S256,0)</f>
        <v>#NUM!</v>
      </c>
      <c r="BV257" s="27" t="e">
        <f>-CUMIPMT($F255/12,$E255*12,$D255,T256,U256,0)</f>
        <v>#NUM!</v>
      </c>
      <c r="BX257" s="27" t="e">
        <f>-CUMIPMT($F255/12,$E255*12,$D255,V256,W256,0)</f>
        <v>#NUM!</v>
      </c>
      <c r="BZ257" s="27" t="e">
        <f>-CUMIPMT($F255/12,$E255*12,$D255,X256,Y256,0)</f>
        <v>#NUM!</v>
      </c>
      <c r="CB257" s="27" t="e">
        <f>-CUMIPMT($F255/12,$E255*12,$D255,Z256,AA256,0)</f>
        <v>#NUM!</v>
      </c>
      <c r="CD257" s="27" t="e">
        <f>-CUMIPMT($F255/12,$E255*12,$D255,AB256,AC256,0)</f>
        <v>#NUM!</v>
      </c>
      <c r="CF257" s="27" t="e">
        <f>-CUMIPMT($F255/12,$E255*12,$D255,AD256,AE256,0)</f>
        <v>#NUM!</v>
      </c>
      <c r="CH257" s="27" t="e">
        <f>-CUMIPMT($F255/12,$E255*12,$D255,AF256,AG256,0)</f>
        <v>#NUM!</v>
      </c>
      <c r="CJ257" s="27" t="e">
        <f>-CUMIPMT($F255/12,$E255*12,$D255,AH256,AI256,0)</f>
        <v>#NUM!</v>
      </c>
      <c r="CL257" s="27" t="e">
        <f>-CUMIPMT($F255/12,$E255*12,$D255,AJ256,AK256,0)</f>
        <v>#NUM!</v>
      </c>
      <c r="CN257" s="27" t="e">
        <f>-CUMIPMT($F255/12,$E255*12,$D255,AL256,AM256,0)</f>
        <v>#NUM!</v>
      </c>
      <c r="CP257" s="27" t="e">
        <f>-CUMIPMT($F255/12,$E255*12,$D255,AN256,AO256,0)</f>
        <v>#NUM!</v>
      </c>
      <c r="CR257" s="27" t="e">
        <f>-CUMIPMT($F255/12,$E255*12,$D255,AP256,AQ256,0)</f>
        <v>#NUM!</v>
      </c>
      <c r="CT257" s="27" t="e">
        <f>-CUMIPMT($F255/12,$E255*12,$D255,AR256,AS256,0)</f>
        <v>#NUM!</v>
      </c>
      <c r="CV257" s="27" t="e">
        <f>-CUMIPMT($F255/12,$E255*12,$D255,AT256,AU256,0)</f>
        <v>#NUM!</v>
      </c>
      <c r="CX257" s="27" t="e">
        <f>-CUMIPMT($F255/12,$E255*12,$D255,AV256,AW256,0)</f>
        <v>#NUM!</v>
      </c>
      <c r="CZ257" s="27" t="e">
        <f>-CUMIPMT($F255/12,$E255*12,$D255,AX256,AY256,0)</f>
        <v>#NUM!</v>
      </c>
      <c r="DB257" s="27" t="e">
        <f>-CUMIPMT($F255/12,$E255*12,$D255,AZ256,BA256,0)</f>
        <v>#NUM!</v>
      </c>
      <c r="DD257" s="27" t="e">
        <f>-CUMIPMT($F255/12,$E255*12,$D255,BB256,BC256,0)</f>
        <v>#NUM!</v>
      </c>
      <c r="DF257" s="27" t="e">
        <f>-CUMIPMT($F255/12,$E255*12,$D255,BD256,BE256,0)</f>
        <v>#NUM!</v>
      </c>
      <c r="DH257" s="27" t="e">
        <f>-CUMIPMT($F255/12,$E255*12,$D255,BF256,BG256,0)</f>
        <v>#NUM!</v>
      </c>
      <c r="DI257" s="27" t="s">
        <v>784</v>
      </c>
      <c r="DJ257" s="27" t="s">
        <v>785</v>
      </c>
      <c r="DK257" s="27">
        <f>+F257</f>
        <v>0</v>
      </c>
      <c r="DL257" s="27" t="e">
        <f>+DK257-I257</f>
        <v>#NUM!</v>
      </c>
      <c r="DN257" s="27" t="e">
        <f>+DL257-K257</f>
        <v>#NUM!</v>
      </c>
      <c r="DP257" s="27" t="e">
        <f>+DN257-M257</f>
        <v>#NUM!</v>
      </c>
      <c r="DR257" s="27" t="e">
        <f>+DP257-O257</f>
        <v>#NUM!</v>
      </c>
      <c r="DT257" s="27" t="e">
        <f>+DR257-Q257</f>
        <v>#NUM!</v>
      </c>
      <c r="DV257" s="27" t="e">
        <f>+DT257-S257</f>
        <v>#NUM!</v>
      </c>
      <c r="DX257" s="27" t="e">
        <f>+DV257-U257</f>
        <v>#NUM!</v>
      </c>
      <c r="DZ257" s="27" t="e">
        <f>+DX257-W257</f>
        <v>#NUM!</v>
      </c>
      <c r="EB257" s="27" t="e">
        <f>+DZ257-Y257</f>
        <v>#NUM!</v>
      </c>
      <c r="ED257" s="27" t="e">
        <f>+EB257-AA257</f>
        <v>#NUM!</v>
      </c>
      <c r="EF257" s="27" t="e">
        <f>+ED257-AC257</f>
        <v>#NUM!</v>
      </c>
      <c r="EH257" s="27" t="e">
        <f>+EF257-AE257</f>
        <v>#NUM!</v>
      </c>
      <c r="EJ257" s="27" t="e">
        <f>+EH257-AG257</f>
        <v>#NUM!</v>
      </c>
      <c r="EL257" s="27" t="e">
        <f>+EJ257-AI257</f>
        <v>#NUM!</v>
      </c>
      <c r="EN257" s="27" t="e">
        <f>+EL257-AK257</f>
        <v>#NUM!</v>
      </c>
      <c r="EP257" s="27" t="e">
        <f>+EN257-AM257</f>
        <v>#NUM!</v>
      </c>
      <c r="ER257" s="27" t="e">
        <f>+EP257-AO257</f>
        <v>#NUM!</v>
      </c>
      <c r="ET257" s="27" t="e">
        <f>+ER257-AQ257</f>
        <v>#NUM!</v>
      </c>
      <c r="EV257" s="27" t="e">
        <f>+ET257-AS257</f>
        <v>#NUM!</v>
      </c>
      <c r="EX257" s="27" t="e">
        <f>+EV257-AU257</f>
        <v>#NUM!</v>
      </c>
      <c r="EZ257" s="27" t="e">
        <f>+EX257-AW257</f>
        <v>#NUM!</v>
      </c>
      <c r="FB257" s="27" t="e">
        <f>+EZ257-AY257</f>
        <v>#NUM!</v>
      </c>
      <c r="FD257" s="27" t="e">
        <f>+FB257-BA257</f>
        <v>#NUM!</v>
      </c>
      <c r="FF257" s="27" t="e">
        <f>+FD257-BC257</f>
        <v>#NUM!</v>
      </c>
      <c r="FH257" s="27" t="e">
        <f>+FF257-BE257</f>
        <v>#NUM!</v>
      </c>
      <c r="FJ257" s="61" t="e">
        <f>+FH257-BG257</f>
        <v>#NUM!</v>
      </c>
    </row>
    <row r="258" spans="2:166" s="27" customFormat="1" ht="11.25" hidden="1" x14ac:dyDescent="0.2">
      <c r="B258" s="60"/>
      <c r="E258" s="27">
        <f>+F257+F258</f>
        <v>0</v>
      </c>
      <c r="F258" s="27">
        <f>SUMIF(BI257:DH257,"&gt;0")</f>
        <v>0</v>
      </c>
      <c r="I258" s="27">
        <f>IF(ISERROR(I257)=FALSE,I257,0)</f>
        <v>0</v>
      </c>
      <c r="K258" s="27">
        <f>IF(ISERROR(K257)=FALSE,K257,0)</f>
        <v>0</v>
      </c>
      <c r="M258" s="27">
        <f>IF(ISERROR(M257)=FALSE,M257,0)</f>
        <v>0</v>
      </c>
      <c r="O258" s="27">
        <f>IF(ISERROR(O257)=FALSE,O257,0)</f>
        <v>0</v>
      </c>
      <c r="Q258" s="27">
        <f>IF(ISERROR(Q257)=FALSE,Q257,0)</f>
        <v>0</v>
      </c>
      <c r="S258" s="27">
        <f>IF(ISERROR(S257)=FALSE,S257,0)</f>
        <v>0</v>
      </c>
      <c r="U258" s="27">
        <f>IF(ISERROR(U257)=FALSE,U257,0)</f>
        <v>0</v>
      </c>
      <c r="W258" s="27">
        <f>IF(ISERROR(W257)=FALSE,W257,0)</f>
        <v>0</v>
      </c>
      <c r="Y258" s="27">
        <f>IF(ISERROR(Y257)=FALSE,Y257,0)</f>
        <v>0</v>
      </c>
      <c r="AA258" s="27">
        <f>IF(ISERROR(AA257)=FALSE,AA257,0)</f>
        <v>0</v>
      </c>
      <c r="AC258" s="27">
        <f>IF(ISERROR(AC257)=FALSE,AC257,0)</f>
        <v>0</v>
      </c>
      <c r="AE258" s="27">
        <f>IF(ISERROR(AE257)=FALSE,AE257,0)</f>
        <v>0</v>
      </c>
      <c r="AG258" s="27">
        <f>IF(ISERROR(AG257)=FALSE,AG257,0)</f>
        <v>0</v>
      </c>
      <c r="AI258" s="27">
        <f>IF(ISERROR(AI257)=FALSE,AI257,0)</f>
        <v>0</v>
      </c>
      <c r="AK258" s="27">
        <f>IF(ISERROR(AK257)=FALSE,AK257,0)</f>
        <v>0</v>
      </c>
      <c r="AM258" s="27">
        <f>IF(ISERROR(AM257)=FALSE,AM257,0)</f>
        <v>0</v>
      </c>
      <c r="AO258" s="27">
        <f>IF(ISERROR(AO257)=FALSE,AO257,0)</f>
        <v>0</v>
      </c>
      <c r="AQ258" s="27">
        <f>IF(ISERROR(AQ257)=FALSE,AQ257,0)</f>
        <v>0</v>
      </c>
      <c r="AS258" s="27">
        <f>IF(ISERROR(AS257)=FALSE,AS257,0)</f>
        <v>0</v>
      </c>
      <c r="AU258" s="27">
        <f>IF(ISERROR(AU257)=FALSE,AU257,0)</f>
        <v>0</v>
      </c>
      <c r="AW258" s="27">
        <f>IF(ISERROR(AW257)=FALSE,AW257,0)</f>
        <v>0</v>
      </c>
      <c r="AY258" s="27">
        <f>IF(ISERROR(AY257)=FALSE,AY257,0)</f>
        <v>0</v>
      </c>
      <c r="BA258" s="27">
        <f>IF(ISERROR(BA257)=FALSE,BA257,0)</f>
        <v>0</v>
      </c>
      <c r="BC258" s="27">
        <f>IF(ISERROR(BC257)=FALSE,BC257,0)</f>
        <v>0</v>
      </c>
      <c r="BD258" s="61"/>
      <c r="BE258" s="27">
        <f>IF(ISERROR(BE257)=FALSE,BE257,0)</f>
        <v>0</v>
      </c>
      <c r="BG258" s="27">
        <f>IF(ISERROR(BG257)=FALSE,BG257,0)</f>
        <v>0</v>
      </c>
      <c r="FJ258" s="61"/>
    </row>
    <row r="259" spans="2:166" s="27" customFormat="1" ht="11.25" hidden="1" x14ac:dyDescent="0.2">
      <c r="B259" s="60"/>
      <c r="D259" s="27" t="s">
        <v>630</v>
      </c>
      <c r="E259" s="27">
        <f>IF(E255=0,0,E258/(E255*12))</f>
        <v>0</v>
      </c>
      <c r="BD259" s="61"/>
      <c r="FJ259" s="61"/>
    </row>
    <row r="260" spans="2:166" s="27" customFormat="1" ht="11.25" hidden="1" x14ac:dyDescent="0.2">
      <c r="B260" s="60"/>
      <c r="C260" s="27">
        <f>C132</f>
        <v>0</v>
      </c>
      <c r="D260" s="27">
        <f>D132</f>
        <v>0</v>
      </c>
      <c r="E260" s="27">
        <f>E132</f>
        <v>0</v>
      </c>
      <c r="F260" s="27">
        <f>F132</f>
        <v>0</v>
      </c>
      <c r="G260" s="27">
        <f>+$E260*12</f>
        <v>0</v>
      </c>
      <c r="H260" s="27">
        <f>SUMIF($W132:$AH132,$D132,$W$108:$AH$108)</f>
        <v>78</v>
      </c>
      <c r="I260" s="27">
        <f>13-H260</f>
        <v>-65</v>
      </c>
      <c r="J260" s="27">
        <f>IF(I260+1&lt;=$G260,I260+1,($G260-I260)+I260)</f>
        <v>-64</v>
      </c>
      <c r="K260" s="27">
        <f>IF(J260+11&lt;=$G260,J260+11,($G260-J260)+J260)</f>
        <v>-53</v>
      </c>
      <c r="L260" s="27">
        <f>IF(K260+1&lt;=$G260,K260+1,($G260-K260)+K260)</f>
        <v>-52</v>
      </c>
      <c r="M260" s="27">
        <f>IF(L260+11&lt;=$G260,L260+11,($G260-L260)+L260)</f>
        <v>-41</v>
      </c>
      <c r="N260" s="27">
        <f>IF(M260+1&lt;=$G260,M260+1,($G260-M260)+M260)</f>
        <v>-40</v>
      </c>
      <c r="O260" s="27">
        <f>IF(N260+11&lt;=$G260,N260+11,($G260-N260)+N260)</f>
        <v>-29</v>
      </c>
      <c r="P260" s="27">
        <f>IF(O260+1&lt;=$G260,O260+1,($G260-O260)+O260)</f>
        <v>-28</v>
      </c>
      <c r="Q260" s="27">
        <f>IF(P260+11&lt;=$G260,P260+11,($G260-P260)+P260)</f>
        <v>-17</v>
      </c>
      <c r="R260" s="27">
        <f>IF(Q260+1&lt;=$G260,Q260+1,($G260-Q260)+Q260)</f>
        <v>-16</v>
      </c>
      <c r="S260" s="27">
        <f>IF(R260+11&lt;=$G260,R260+11,($G260-R260)+R260)</f>
        <v>-5</v>
      </c>
      <c r="T260" s="27">
        <f>IF(S260+1&lt;=$G260,S260+1,($G260-S260)+S260)</f>
        <v>-4</v>
      </c>
      <c r="U260" s="27">
        <f>IF(T260+11&lt;=$G260,T260+11,($G260-T260)+T260)</f>
        <v>0</v>
      </c>
      <c r="V260" s="27">
        <f>IF(U260+1&lt;=$G260,U260+1,($G260-U260)+U260)</f>
        <v>0</v>
      </c>
      <c r="W260" s="27">
        <f>IF(V260+11&lt;=$G260,V260+11,($G260-V260)+V260)</f>
        <v>0</v>
      </c>
      <c r="X260" s="27">
        <f>IF(W260+1&lt;=$G260,W260+1,($G260-W260)+W260)</f>
        <v>0</v>
      </c>
      <c r="Y260" s="27">
        <f>IF(X260+11&lt;=$G260,X260+11,($G260-X260)+X260)</f>
        <v>0</v>
      </c>
      <c r="Z260" s="27">
        <f>IF(Y260+1&lt;=$G260,Y260+1,($G260-Y260)+Y260)</f>
        <v>0</v>
      </c>
      <c r="AA260" s="27">
        <f>IF(Z260+11&lt;=$G260,Z260+11,($G260-Z260)+Z260)</f>
        <v>0</v>
      </c>
      <c r="AB260" s="27">
        <f>IF(AA260+1&lt;=$G260,AA260+1,($G260-AA260)+AA260)</f>
        <v>0</v>
      </c>
      <c r="AC260" s="27">
        <f>IF(AB260+11&lt;=$G260,AB260+11,($G260-AB260)+AB260)</f>
        <v>0</v>
      </c>
      <c r="AD260" s="27">
        <f>IF(AC260+1&lt;=$G260,AC260+1,($G260-AC260)+AC260)</f>
        <v>0</v>
      </c>
      <c r="AE260" s="27">
        <f>IF(AD260+11&lt;=$G260,AD260+11,($G260-AD260)+AD260)</f>
        <v>0</v>
      </c>
      <c r="AF260" s="27">
        <f>IF(AE260+1&lt;=$G260,AE260+1,($G260-AE260)+AE260)</f>
        <v>0</v>
      </c>
      <c r="AG260" s="27">
        <f>IF(AF260+11&lt;=$G260,AF260+11,($G260-AF260)+AF260)</f>
        <v>0</v>
      </c>
      <c r="AH260" s="27">
        <f>IF(AG260+1&lt;=$G260,AG260+1,($G260-AG260)+AG260)</f>
        <v>0</v>
      </c>
      <c r="AI260" s="27">
        <f>IF(AH260+11&lt;=$G260,AH260+11,($G260-AH260)+AH260)</f>
        <v>0</v>
      </c>
      <c r="AJ260" s="27">
        <f>IF(AI260+1&lt;=$G260,AI260+1,($G260-AI260)+AI260)</f>
        <v>0</v>
      </c>
      <c r="AK260" s="27">
        <f>IF(AJ260+11&lt;=$G260,AJ260+11,($G260-AJ260)+AJ260)</f>
        <v>0</v>
      </c>
      <c r="AL260" s="27">
        <f>IF(AK260+1&lt;=$G260,AK260+1,($G260-AK260)+AK260)</f>
        <v>0</v>
      </c>
      <c r="AM260" s="27">
        <f>IF(AL260+11&lt;=$G260,AL260+11,($G260-AL260)+AL260)</f>
        <v>0</v>
      </c>
      <c r="AN260" s="27">
        <f>IF(AM260+1&lt;=$G260,AM260+1,($G260-AM260)+AM260)</f>
        <v>0</v>
      </c>
      <c r="AO260" s="27">
        <f>IF(AN260+11&lt;=$G260,AN260+11,($G260-AN260)+AN260)</f>
        <v>0</v>
      </c>
      <c r="AP260" s="27">
        <f>IF(AO260+1&lt;=$G260,AO260+1,($G260-AO260)+AO260)</f>
        <v>0</v>
      </c>
      <c r="AQ260" s="27">
        <f>IF(AP260+11&lt;=$G260,AP260+11,($G260-AP260)+AP260)</f>
        <v>0</v>
      </c>
      <c r="AR260" s="27">
        <f>IF(AQ260+1&lt;=$G260,AQ260+1,($G260-AQ260)+AQ260)</f>
        <v>0</v>
      </c>
      <c r="AS260" s="27">
        <f>IF(AR260+11&lt;=$G260,AR260+11,($G260-AR260)+AR260)</f>
        <v>0</v>
      </c>
      <c r="AT260" s="27">
        <f>IF(AS260+1&lt;=$G260,AS260+1,($G260-AS260)+AS260)</f>
        <v>0</v>
      </c>
      <c r="AU260" s="27">
        <f>IF(AT260+11&lt;=$G260,AT260+11,($G260-AT260)+AT260)</f>
        <v>0</v>
      </c>
      <c r="AV260" s="27">
        <f>IF(AU260+1&lt;=$G260,AU260+1,($G260-AU260)+AU260)</f>
        <v>0</v>
      </c>
      <c r="AW260" s="27">
        <f>IF(AV260+11&lt;=$G260,AV260+11,($G260-AV260)+AV260)</f>
        <v>0</v>
      </c>
      <c r="AX260" s="27">
        <f>IF(AW260+1&lt;=$G260,AW260+1,($G260-AW260)+AW260)</f>
        <v>0</v>
      </c>
      <c r="AY260" s="27">
        <f>IF(AX260+11&lt;=$G260,AX260+11,($G260-AX260)+AX260)</f>
        <v>0</v>
      </c>
      <c r="AZ260" s="27">
        <f>IF(AY260+1&lt;=$G260,AY260+1,($G260-AY260)+AY260)</f>
        <v>0</v>
      </c>
      <c r="BA260" s="27">
        <f>IF(AZ260+35&lt;=$G260,AZ260+35,($G260-AZ260)+AZ260)</f>
        <v>0</v>
      </c>
      <c r="BB260" s="27">
        <f>IF(BA260+1&lt;=$G260,BA260+1,($G260-BA260)+BA260)</f>
        <v>0</v>
      </c>
      <c r="BC260" s="27">
        <f>IF(BB260+59&lt;=$G260,BB260+59,($G260-BB260)+BB260)</f>
        <v>0</v>
      </c>
      <c r="BD260" s="61">
        <f>IF(BC260+1&lt;=$G260,BC260+1,($G260-BC260)+BC260)</f>
        <v>0</v>
      </c>
      <c r="BE260" s="27">
        <f>IF(BD260+239&lt;=$G260,BD260+239,($G260-BD260)+BD260)</f>
        <v>0</v>
      </c>
      <c r="BF260" s="27">
        <f>IF(BE260+1&lt;=$G260,BE260+1,($G260-BE260)+BE260)</f>
        <v>0</v>
      </c>
      <c r="BG260" s="27">
        <f>IF(BF260+11&lt;=$G260,BF260+11,($G260-BF260)+BF260)</f>
        <v>0</v>
      </c>
      <c r="FJ260" s="61"/>
    </row>
    <row r="261" spans="2:166" s="27" customFormat="1" ht="11.25" hidden="1" x14ac:dyDescent="0.2">
      <c r="B261" s="60"/>
      <c r="H261" s="27">
        <v>1</v>
      </c>
      <c r="I261" s="27">
        <f>+I260</f>
        <v>-65</v>
      </c>
      <c r="J261" s="27">
        <f>IF(I261=$G260,0,J260)</f>
        <v>-64</v>
      </c>
      <c r="K261" s="27">
        <f>+K260</f>
        <v>-53</v>
      </c>
      <c r="L261" s="27">
        <f>IF(K261=$G260,0,L260)</f>
        <v>-52</v>
      </c>
      <c r="M261" s="27">
        <f>+M260</f>
        <v>-41</v>
      </c>
      <c r="N261" s="27">
        <f>IF(M261=$G260,0,N260)</f>
        <v>-40</v>
      </c>
      <c r="O261" s="27">
        <f>+O260</f>
        <v>-29</v>
      </c>
      <c r="P261" s="27">
        <f>IF(O261=$G260,0,P260)</f>
        <v>-28</v>
      </c>
      <c r="Q261" s="27">
        <f>+Q260</f>
        <v>-17</v>
      </c>
      <c r="R261" s="27">
        <f>IF(Q261=$G260,0,R260)</f>
        <v>-16</v>
      </c>
      <c r="S261" s="27">
        <f>+S260</f>
        <v>-5</v>
      </c>
      <c r="T261" s="27">
        <f>IF(S261=$G260,0,T260)</f>
        <v>-4</v>
      </c>
      <c r="U261" s="27">
        <f>+U260</f>
        <v>0</v>
      </c>
      <c r="V261" s="27">
        <f>IF(U261=$G260,0,V260)</f>
        <v>0</v>
      </c>
      <c r="W261" s="27">
        <f>+W260</f>
        <v>0</v>
      </c>
      <c r="X261" s="27">
        <f>IF(W261=$G260,0,X260)</f>
        <v>0</v>
      </c>
      <c r="Y261" s="27">
        <f>+Y260</f>
        <v>0</v>
      </c>
      <c r="Z261" s="27">
        <f>IF(Y261=$G260,0,Z260)</f>
        <v>0</v>
      </c>
      <c r="AA261" s="27">
        <f>+AA260</f>
        <v>0</v>
      </c>
      <c r="AB261" s="27">
        <f>IF(AA261=$G260,0,AB260)</f>
        <v>0</v>
      </c>
      <c r="AC261" s="27">
        <f>+AC260</f>
        <v>0</v>
      </c>
      <c r="AD261" s="27">
        <f>IF(AC261=$G260,0,AD260)</f>
        <v>0</v>
      </c>
      <c r="AE261" s="27">
        <f>+AE260</f>
        <v>0</v>
      </c>
      <c r="AF261" s="27">
        <f>IF(AE261=$G260,0,AF260)</f>
        <v>0</v>
      </c>
      <c r="AG261" s="27">
        <f>+AG260</f>
        <v>0</v>
      </c>
      <c r="AH261" s="27">
        <f>IF(AG261=$G260,0,AH260)</f>
        <v>0</v>
      </c>
      <c r="AI261" s="27">
        <f>+AI260</f>
        <v>0</v>
      </c>
      <c r="AJ261" s="27">
        <f>IF(AI261=$G260,0,AJ260)</f>
        <v>0</v>
      </c>
      <c r="AK261" s="27">
        <f>+AK260</f>
        <v>0</v>
      </c>
      <c r="AL261" s="27">
        <f>IF(AK261=$G260,0,AL260)</f>
        <v>0</v>
      </c>
      <c r="AM261" s="27">
        <f>+AM260</f>
        <v>0</v>
      </c>
      <c r="AN261" s="27">
        <f>IF(AM261=$G260,0,AN260)</f>
        <v>0</v>
      </c>
      <c r="AO261" s="27">
        <f>+AO260</f>
        <v>0</v>
      </c>
      <c r="AP261" s="27">
        <f>IF(AO261=$G260,0,AP260)</f>
        <v>0</v>
      </c>
      <c r="AQ261" s="27">
        <f>+AQ260</f>
        <v>0</v>
      </c>
      <c r="AR261" s="27">
        <f>IF(AQ261=$G260,0,AR260)</f>
        <v>0</v>
      </c>
      <c r="AS261" s="27">
        <f>+AS260</f>
        <v>0</v>
      </c>
      <c r="AT261" s="27">
        <f>IF(AS261=$G260,0,AT260)</f>
        <v>0</v>
      </c>
      <c r="AU261" s="27">
        <f>+AU260</f>
        <v>0</v>
      </c>
      <c r="AV261" s="27">
        <f>IF(AU261=$G260,0,AV260)</f>
        <v>0</v>
      </c>
      <c r="AW261" s="27">
        <f>+AW260</f>
        <v>0</v>
      </c>
      <c r="AX261" s="27">
        <f>IF(AW261=$G260,0,AX260)</f>
        <v>0</v>
      </c>
      <c r="AY261" s="27">
        <f>+AY260</f>
        <v>0</v>
      </c>
      <c r="AZ261" s="27">
        <f>IF(AY261=$G260,0,AZ260)</f>
        <v>0</v>
      </c>
      <c r="BA261" s="27">
        <f>+BA260</f>
        <v>0</v>
      </c>
      <c r="BB261" s="27">
        <f>IF(BA261=$G260,0,BB260)</f>
        <v>0</v>
      </c>
      <c r="BC261" s="27">
        <f>+BC260</f>
        <v>0</v>
      </c>
      <c r="BD261" s="61">
        <f>IF(BC261=$G260,0,BD260)</f>
        <v>0</v>
      </c>
      <c r="BE261" s="27">
        <f>+BE260</f>
        <v>0</v>
      </c>
      <c r="BF261" s="27">
        <f>IF(BE261=$G260,0,BF260)</f>
        <v>0</v>
      </c>
      <c r="BG261" s="27">
        <f>+BG260</f>
        <v>0</v>
      </c>
      <c r="FJ261" s="61"/>
    </row>
    <row r="262" spans="2:166" s="27" customFormat="1" ht="11.25" hidden="1" x14ac:dyDescent="0.2">
      <c r="B262" s="60"/>
      <c r="F262" s="27">
        <f>SUMIF(H262:BG262,"&gt;0")</f>
        <v>0</v>
      </c>
      <c r="G262" s="27" t="s">
        <v>632</v>
      </c>
      <c r="I262" s="27" t="e">
        <f>-CUMPRINC($F260/12,$E260*12,$D260,H261,I261,0)</f>
        <v>#NUM!</v>
      </c>
      <c r="K262" s="27" t="e">
        <f>-CUMPRINC($F260/12,$E260*12,$D260,J261,K261,0)</f>
        <v>#NUM!</v>
      </c>
      <c r="M262" s="27" t="e">
        <f>-CUMPRINC($F260/12,$E260*12,$D260,L261,M261,0)</f>
        <v>#NUM!</v>
      </c>
      <c r="O262" s="27" t="e">
        <f>-CUMPRINC($F260/12,$E260*12,$D260,N261,O261,0)</f>
        <v>#NUM!</v>
      </c>
      <c r="Q262" s="27" t="e">
        <f>-CUMPRINC($F260/12,$E260*12,$D260,P261,Q261,0)</f>
        <v>#NUM!</v>
      </c>
      <c r="S262" s="27" t="e">
        <f>-CUMPRINC($F260/12,$E260*12,$D260,R261,S261,0)</f>
        <v>#NUM!</v>
      </c>
      <c r="U262" s="27" t="e">
        <f>-CUMPRINC($F260/12,$E260*12,$D260,T261,U261,0)</f>
        <v>#NUM!</v>
      </c>
      <c r="W262" s="27" t="e">
        <f>-CUMPRINC($F260/12,$E260*12,$D260,V261,W261,0)</f>
        <v>#NUM!</v>
      </c>
      <c r="Y262" s="27" t="e">
        <f>-CUMPRINC($F260/12,$E260*12,$D260,X261,Y261,0)</f>
        <v>#NUM!</v>
      </c>
      <c r="AA262" s="27" t="e">
        <f>-CUMPRINC($F260/12,$E260*12,$D260,Z261,AA261,0)</f>
        <v>#NUM!</v>
      </c>
      <c r="AC262" s="27" t="e">
        <f>-CUMPRINC($F260/12,$E260*12,$D260,AB261,AC261,0)</f>
        <v>#NUM!</v>
      </c>
      <c r="AE262" s="27" t="e">
        <f>-CUMPRINC($F260/12,$E260*12,$D260,AD261,AE261,0)</f>
        <v>#NUM!</v>
      </c>
      <c r="AG262" s="27" t="e">
        <f>-CUMPRINC($F260/12,$E260*12,$D260,AF261,AG261,0)</f>
        <v>#NUM!</v>
      </c>
      <c r="AI262" s="27" t="e">
        <f>-CUMPRINC($F260/12,$E260*12,$D260,AH261,AI261,0)</f>
        <v>#NUM!</v>
      </c>
      <c r="AK262" s="27" t="e">
        <f>-CUMPRINC($F260/12,$E260*12,$D260,AJ261,AK261,0)</f>
        <v>#NUM!</v>
      </c>
      <c r="AM262" s="27" t="e">
        <f>-CUMPRINC($F260/12,$E260*12,$D260,AL261,AM261,0)</f>
        <v>#NUM!</v>
      </c>
      <c r="AO262" s="27" t="e">
        <f>-CUMPRINC($F260/12,$E260*12,$D260,AN261,AO261,0)</f>
        <v>#NUM!</v>
      </c>
      <c r="AQ262" s="27" t="e">
        <f>-CUMPRINC($F260/12,$E260*12,$D260,AP261,AQ261,0)</f>
        <v>#NUM!</v>
      </c>
      <c r="AS262" s="27" t="e">
        <f>-CUMPRINC($F260/12,$E260*12,$D260,AR261,AS261,0)</f>
        <v>#NUM!</v>
      </c>
      <c r="AU262" s="27" t="e">
        <f>-CUMPRINC($F260/12,$E260*12,$D260,AT261,AU261,0)</f>
        <v>#NUM!</v>
      </c>
      <c r="AW262" s="27" t="e">
        <f>-CUMPRINC($F260/12,$E260*12,$D260,AV261,AW261,0)</f>
        <v>#NUM!</v>
      </c>
      <c r="AY262" s="27" t="e">
        <f>-CUMPRINC($F260/12,$E260*12,$D260,AX261,AY261,0)</f>
        <v>#NUM!</v>
      </c>
      <c r="BA262" s="27" t="e">
        <f>-CUMPRINC($F260/12,$E260*12,$D260,AZ261,BA261,0)</f>
        <v>#NUM!</v>
      </c>
      <c r="BC262" s="27" t="e">
        <f>-CUMPRINC($F260/12,$E260*12,$D260,BB261,BC261,0)</f>
        <v>#NUM!</v>
      </c>
      <c r="BD262" s="61"/>
      <c r="BE262" s="27" t="e">
        <f>-CUMPRINC($F260/12,$E260*12,$D260,BD261,BE261,0)</f>
        <v>#NUM!</v>
      </c>
      <c r="BG262" s="27" t="e">
        <f>-CUMPRINC($F260/12,$E260*12,$D260,BF261,BG261,0)</f>
        <v>#NUM!</v>
      </c>
      <c r="BH262" s="27" t="s">
        <v>783</v>
      </c>
      <c r="BJ262" s="27" t="e">
        <f>-CUMIPMT($F260/12,$E260*12,$D260,H261,I261,0)</f>
        <v>#NUM!</v>
      </c>
      <c r="BL262" s="27" t="e">
        <f>-CUMIPMT($F260/12,$E260*12,$D260,J261,K261,0)</f>
        <v>#NUM!</v>
      </c>
      <c r="BN262" s="27" t="e">
        <f>-CUMIPMT($F260/12,$E260*12,$D260,L261,M261,0)</f>
        <v>#NUM!</v>
      </c>
      <c r="BP262" s="27" t="e">
        <f>-CUMIPMT($F260/12,$E260*12,$D260,N261,O261,0)</f>
        <v>#NUM!</v>
      </c>
      <c r="BR262" s="27" t="e">
        <f>-CUMIPMT($F260/12,$E260*12,$D260,P261,Q261,0)</f>
        <v>#NUM!</v>
      </c>
      <c r="BT262" s="27" t="e">
        <f>-CUMIPMT($F260/12,$E260*12,$D260,R261,S261,0)</f>
        <v>#NUM!</v>
      </c>
      <c r="BV262" s="27" t="e">
        <f>-CUMIPMT($F260/12,$E260*12,$D260,T261,U261,0)</f>
        <v>#NUM!</v>
      </c>
      <c r="BX262" s="27" t="e">
        <f>-CUMIPMT($F260/12,$E260*12,$D260,V261,W261,0)</f>
        <v>#NUM!</v>
      </c>
      <c r="BZ262" s="27" t="e">
        <f>-CUMIPMT($F260/12,$E260*12,$D260,X261,Y261,0)</f>
        <v>#NUM!</v>
      </c>
      <c r="CB262" s="27" t="e">
        <f>-CUMIPMT($F260/12,$E260*12,$D260,Z261,AA261,0)</f>
        <v>#NUM!</v>
      </c>
      <c r="CD262" s="27" t="e">
        <f>-CUMIPMT($F260/12,$E260*12,$D260,AB261,AC261,0)</f>
        <v>#NUM!</v>
      </c>
      <c r="CF262" s="27" t="e">
        <f>-CUMIPMT($F260/12,$E260*12,$D260,AD261,AE261,0)</f>
        <v>#NUM!</v>
      </c>
      <c r="CH262" s="27" t="e">
        <f>-CUMIPMT($F260/12,$E260*12,$D260,AF261,AG261,0)</f>
        <v>#NUM!</v>
      </c>
      <c r="CJ262" s="27" t="e">
        <f>-CUMIPMT($F260/12,$E260*12,$D260,AH261,AI261,0)</f>
        <v>#NUM!</v>
      </c>
      <c r="CL262" s="27" t="e">
        <f>-CUMIPMT($F260/12,$E260*12,$D260,AJ261,AK261,0)</f>
        <v>#NUM!</v>
      </c>
      <c r="CN262" s="27" t="e">
        <f>-CUMIPMT($F260/12,$E260*12,$D260,AL261,AM261,0)</f>
        <v>#NUM!</v>
      </c>
      <c r="CP262" s="27" t="e">
        <f>-CUMIPMT($F260/12,$E260*12,$D260,AN261,AO261,0)</f>
        <v>#NUM!</v>
      </c>
      <c r="CR262" s="27" t="e">
        <f>-CUMIPMT($F260/12,$E260*12,$D260,AP261,AQ261,0)</f>
        <v>#NUM!</v>
      </c>
      <c r="CT262" s="27" t="e">
        <f>-CUMIPMT($F260/12,$E260*12,$D260,AR261,AS261,0)</f>
        <v>#NUM!</v>
      </c>
      <c r="CV262" s="27" t="e">
        <f>-CUMIPMT($F260/12,$E260*12,$D260,AT261,AU261,0)</f>
        <v>#NUM!</v>
      </c>
      <c r="CX262" s="27" t="e">
        <f>-CUMIPMT($F260/12,$E260*12,$D260,AV261,AW261,0)</f>
        <v>#NUM!</v>
      </c>
      <c r="CZ262" s="27" t="e">
        <f>-CUMIPMT($F260/12,$E260*12,$D260,AX261,AY261,0)</f>
        <v>#NUM!</v>
      </c>
      <c r="DB262" s="27" t="e">
        <f>-CUMIPMT($F260/12,$E260*12,$D260,AZ261,BA261,0)</f>
        <v>#NUM!</v>
      </c>
      <c r="DD262" s="27" t="e">
        <f>-CUMIPMT($F260/12,$E260*12,$D260,BB261,BC261,0)</f>
        <v>#NUM!</v>
      </c>
      <c r="DF262" s="27" t="e">
        <f>-CUMIPMT($F260/12,$E260*12,$D260,BD261,BE261,0)</f>
        <v>#NUM!</v>
      </c>
      <c r="DH262" s="27" t="e">
        <f>-CUMIPMT($F260/12,$E260*12,$D260,BF261,BG261,0)</f>
        <v>#NUM!</v>
      </c>
      <c r="DI262" s="27" t="s">
        <v>784</v>
      </c>
      <c r="DJ262" s="27" t="s">
        <v>785</v>
      </c>
      <c r="DK262" s="27">
        <f>+F262</f>
        <v>0</v>
      </c>
      <c r="DL262" s="27" t="e">
        <f>+DK262-I262</f>
        <v>#NUM!</v>
      </c>
      <c r="DN262" s="27" t="e">
        <f>+DL262-K262</f>
        <v>#NUM!</v>
      </c>
      <c r="DP262" s="27" t="e">
        <f>+DN262-M262</f>
        <v>#NUM!</v>
      </c>
      <c r="DR262" s="27" t="e">
        <f>+DP262-O262</f>
        <v>#NUM!</v>
      </c>
      <c r="DT262" s="27" t="e">
        <f>+DR262-Q262</f>
        <v>#NUM!</v>
      </c>
      <c r="DV262" s="27" t="e">
        <f>+DT262-S262</f>
        <v>#NUM!</v>
      </c>
      <c r="DX262" s="27" t="e">
        <f>+DV262-U262</f>
        <v>#NUM!</v>
      </c>
      <c r="DZ262" s="27" t="e">
        <f>+DX262-W262</f>
        <v>#NUM!</v>
      </c>
      <c r="EB262" s="27" t="e">
        <f>+DZ262-Y262</f>
        <v>#NUM!</v>
      </c>
      <c r="ED262" s="27" t="e">
        <f>+EB262-AA262</f>
        <v>#NUM!</v>
      </c>
      <c r="EF262" s="27" t="e">
        <f>+ED262-AC262</f>
        <v>#NUM!</v>
      </c>
      <c r="EH262" s="27" t="e">
        <f>+EF262-AE262</f>
        <v>#NUM!</v>
      </c>
      <c r="EJ262" s="27" t="e">
        <f>+EH262-AG262</f>
        <v>#NUM!</v>
      </c>
      <c r="EL262" s="27" t="e">
        <f>+EJ262-AI262</f>
        <v>#NUM!</v>
      </c>
      <c r="EN262" s="27" t="e">
        <f>+EL262-AK262</f>
        <v>#NUM!</v>
      </c>
      <c r="EP262" s="27" t="e">
        <f>+EN262-AM262</f>
        <v>#NUM!</v>
      </c>
      <c r="ER262" s="27" t="e">
        <f>+EP262-AO262</f>
        <v>#NUM!</v>
      </c>
      <c r="ET262" s="27" t="e">
        <f>+ER262-AQ262</f>
        <v>#NUM!</v>
      </c>
      <c r="EV262" s="27" t="e">
        <f>+ET262-AS262</f>
        <v>#NUM!</v>
      </c>
      <c r="EX262" s="27" t="e">
        <f>+EV262-AU262</f>
        <v>#NUM!</v>
      </c>
      <c r="EZ262" s="27" t="e">
        <f>+EX262-AW262</f>
        <v>#NUM!</v>
      </c>
      <c r="FB262" s="27" t="e">
        <f>+EZ262-AY262</f>
        <v>#NUM!</v>
      </c>
      <c r="FD262" s="27" t="e">
        <f>+FB262-BA262</f>
        <v>#NUM!</v>
      </c>
      <c r="FF262" s="27" t="e">
        <f>+FD262-BC262</f>
        <v>#NUM!</v>
      </c>
      <c r="FH262" s="27" t="e">
        <f>+FF262-BE262</f>
        <v>#NUM!</v>
      </c>
      <c r="FJ262" s="61" t="e">
        <f>+FH262-BG262</f>
        <v>#NUM!</v>
      </c>
    </row>
    <row r="263" spans="2:166" s="27" customFormat="1" ht="11.25" hidden="1" x14ac:dyDescent="0.2">
      <c r="B263" s="60"/>
      <c r="E263" s="27">
        <f>+F262+F263</f>
        <v>0</v>
      </c>
      <c r="F263" s="27">
        <f>SUMIF(BI262:DH262,"&gt;0")</f>
        <v>0</v>
      </c>
      <c r="I263" s="27">
        <f>IF(ISERROR(I262)=FALSE,I262,0)</f>
        <v>0</v>
      </c>
      <c r="K263" s="27">
        <f>IF(ISERROR(K262)=FALSE,K262,0)</f>
        <v>0</v>
      </c>
      <c r="M263" s="27">
        <f>IF(ISERROR(M262)=FALSE,M262,0)</f>
        <v>0</v>
      </c>
      <c r="O263" s="27">
        <f>IF(ISERROR(O262)=FALSE,O262,0)</f>
        <v>0</v>
      </c>
      <c r="Q263" s="27">
        <f>IF(ISERROR(Q262)=FALSE,Q262,0)</f>
        <v>0</v>
      </c>
      <c r="S263" s="27">
        <f>IF(ISERROR(S262)=FALSE,S262,0)</f>
        <v>0</v>
      </c>
      <c r="U263" s="27">
        <f>IF(ISERROR(U262)=FALSE,U262,0)</f>
        <v>0</v>
      </c>
      <c r="W263" s="27">
        <f>IF(ISERROR(W262)=FALSE,W262,0)</f>
        <v>0</v>
      </c>
      <c r="Y263" s="27">
        <f>IF(ISERROR(Y262)=FALSE,Y262,0)</f>
        <v>0</v>
      </c>
      <c r="AA263" s="27">
        <f>IF(ISERROR(AA262)=FALSE,AA262,0)</f>
        <v>0</v>
      </c>
      <c r="AC263" s="27">
        <f>IF(ISERROR(AC262)=FALSE,AC262,0)</f>
        <v>0</v>
      </c>
      <c r="AE263" s="27">
        <f>IF(ISERROR(AE262)=FALSE,AE262,0)</f>
        <v>0</v>
      </c>
      <c r="AG263" s="27">
        <f>IF(ISERROR(AG262)=FALSE,AG262,0)</f>
        <v>0</v>
      </c>
      <c r="AI263" s="27">
        <f>IF(ISERROR(AI262)=FALSE,AI262,0)</f>
        <v>0</v>
      </c>
      <c r="AK263" s="27">
        <f>IF(ISERROR(AK262)=FALSE,AK262,0)</f>
        <v>0</v>
      </c>
      <c r="AM263" s="27">
        <f>IF(ISERROR(AM262)=FALSE,AM262,0)</f>
        <v>0</v>
      </c>
      <c r="AO263" s="27">
        <f>IF(ISERROR(AO262)=FALSE,AO262,0)</f>
        <v>0</v>
      </c>
      <c r="AQ263" s="27">
        <f>IF(ISERROR(AQ262)=FALSE,AQ262,0)</f>
        <v>0</v>
      </c>
      <c r="AS263" s="27">
        <f>IF(ISERROR(AS262)=FALSE,AS262,0)</f>
        <v>0</v>
      </c>
      <c r="AU263" s="27">
        <f>IF(ISERROR(AU262)=FALSE,AU262,0)</f>
        <v>0</v>
      </c>
      <c r="AW263" s="27">
        <f>IF(ISERROR(AW262)=FALSE,AW262,0)</f>
        <v>0</v>
      </c>
      <c r="AY263" s="27">
        <f>IF(ISERROR(AY262)=FALSE,AY262,0)</f>
        <v>0</v>
      </c>
      <c r="BA263" s="27">
        <f>IF(ISERROR(BA262)=FALSE,BA262,0)</f>
        <v>0</v>
      </c>
      <c r="BC263" s="27">
        <f>IF(ISERROR(BC262)=FALSE,BC262,0)</f>
        <v>0</v>
      </c>
      <c r="BD263" s="61"/>
      <c r="BE263" s="27">
        <f>IF(ISERROR(BE262)=FALSE,BE262,0)</f>
        <v>0</v>
      </c>
      <c r="BG263" s="27">
        <f>IF(ISERROR(BG262)=FALSE,BG262,0)</f>
        <v>0</v>
      </c>
      <c r="FJ263" s="61"/>
    </row>
    <row r="264" spans="2:166" s="27" customFormat="1" ht="11.25" hidden="1" x14ac:dyDescent="0.2">
      <c r="B264" s="60"/>
      <c r="D264" s="27" t="s">
        <v>630</v>
      </c>
      <c r="E264" s="27">
        <f>IF(E260=0,0,E263/(E260*12))</f>
        <v>0</v>
      </c>
      <c r="BD264" s="61"/>
      <c r="FJ264" s="61"/>
    </row>
    <row r="265" spans="2:166" s="27" customFormat="1" ht="11.25" hidden="1" x14ac:dyDescent="0.2">
      <c r="B265" s="60"/>
      <c r="C265" s="27">
        <f>C133</f>
        <v>0</v>
      </c>
      <c r="D265" s="27">
        <f>D133</f>
        <v>0</v>
      </c>
      <c r="E265" s="27">
        <f>E133</f>
        <v>0</v>
      </c>
      <c r="F265" s="27">
        <f>F133</f>
        <v>0</v>
      </c>
      <c r="G265" s="27">
        <f>+$E265*12</f>
        <v>0</v>
      </c>
      <c r="H265" s="27">
        <f>SUMIF($W133:$AH133,$D133,$W$108:$AH$108)</f>
        <v>78</v>
      </c>
      <c r="I265" s="27">
        <f>13-H265</f>
        <v>-65</v>
      </c>
      <c r="J265" s="27">
        <f>IF(I265+1&lt;=$G265,I265+1,($G265-I265)+I265)</f>
        <v>-64</v>
      </c>
      <c r="K265" s="27">
        <f>IF(J265+11&lt;=$G265,J265+11,($G265-J265)+J265)</f>
        <v>-53</v>
      </c>
      <c r="L265" s="27">
        <f>IF(K265+1&lt;=$G265,K265+1,($G265-K265)+K265)</f>
        <v>-52</v>
      </c>
      <c r="M265" s="27">
        <f>IF(L265+11&lt;=$G265,L265+11,($G265-L265)+L265)</f>
        <v>-41</v>
      </c>
      <c r="N265" s="27">
        <f>IF(M265+1&lt;=$G265,M265+1,($G265-M265)+M265)</f>
        <v>-40</v>
      </c>
      <c r="O265" s="27">
        <f>IF(N265+11&lt;=$G265,N265+11,($G265-N265)+N265)</f>
        <v>-29</v>
      </c>
      <c r="P265" s="27">
        <f>IF(O265+1&lt;=$G265,O265+1,($G265-O265)+O265)</f>
        <v>-28</v>
      </c>
      <c r="Q265" s="27">
        <f>IF(P265+11&lt;=$G265,P265+11,($G265-P265)+P265)</f>
        <v>-17</v>
      </c>
      <c r="R265" s="27">
        <f>IF(Q265+1&lt;=$G265,Q265+1,($G265-Q265)+Q265)</f>
        <v>-16</v>
      </c>
      <c r="S265" s="27">
        <f>IF(R265+11&lt;=$G265,R265+11,($G265-R265)+R265)</f>
        <v>-5</v>
      </c>
      <c r="T265" s="27">
        <f>IF(S265+1&lt;=$G265,S265+1,($G265-S265)+S265)</f>
        <v>-4</v>
      </c>
      <c r="U265" s="27">
        <f>IF(T265+11&lt;=$G265,T265+11,($G265-T265)+T265)</f>
        <v>0</v>
      </c>
      <c r="V265" s="27">
        <f>IF(U265+1&lt;=$G265,U265+1,($G265-U265)+U265)</f>
        <v>0</v>
      </c>
      <c r="W265" s="27">
        <f>IF(V265+11&lt;=$G265,V265+11,($G265-V265)+V265)</f>
        <v>0</v>
      </c>
      <c r="X265" s="27">
        <f>IF(W265+1&lt;=$G265,W265+1,($G265-W265)+W265)</f>
        <v>0</v>
      </c>
      <c r="Y265" s="27">
        <f>IF(X265+11&lt;=$G265,X265+11,($G265-X265)+X265)</f>
        <v>0</v>
      </c>
      <c r="Z265" s="27">
        <f>IF(Y265+1&lt;=$G265,Y265+1,($G265-Y265)+Y265)</f>
        <v>0</v>
      </c>
      <c r="AA265" s="27">
        <f>IF(Z265+11&lt;=$G265,Z265+11,($G265-Z265)+Z265)</f>
        <v>0</v>
      </c>
      <c r="AB265" s="27">
        <f>IF(AA265+1&lt;=$G265,AA265+1,($G265-AA265)+AA265)</f>
        <v>0</v>
      </c>
      <c r="AC265" s="27">
        <f>IF(AB265+11&lt;=$G265,AB265+11,($G265-AB265)+AB265)</f>
        <v>0</v>
      </c>
      <c r="AD265" s="27">
        <f>IF(AC265+1&lt;=$G265,AC265+1,($G265-AC265)+AC265)</f>
        <v>0</v>
      </c>
      <c r="AE265" s="27">
        <f>IF(AD265+11&lt;=$G265,AD265+11,($G265-AD265)+AD265)</f>
        <v>0</v>
      </c>
      <c r="AF265" s="27">
        <f>IF(AE265+1&lt;=$G265,AE265+1,($G265-AE265)+AE265)</f>
        <v>0</v>
      </c>
      <c r="AG265" s="27">
        <f>IF(AF265+11&lt;=$G265,AF265+11,($G265-AF265)+AF265)</f>
        <v>0</v>
      </c>
      <c r="AH265" s="27">
        <f>IF(AG265+1&lt;=$G265,AG265+1,($G265-AG265)+AG265)</f>
        <v>0</v>
      </c>
      <c r="AI265" s="27">
        <f>IF(AH265+11&lt;=$G265,AH265+11,($G265-AH265)+AH265)</f>
        <v>0</v>
      </c>
      <c r="AJ265" s="27">
        <f>IF(AI265+1&lt;=$G265,AI265+1,($G265-AI265)+AI265)</f>
        <v>0</v>
      </c>
      <c r="AK265" s="27">
        <f>IF(AJ265+11&lt;=$G265,AJ265+11,($G265-AJ265)+AJ265)</f>
        <v>0</v>
      </c>
      <c r="AL265" s="27">
        <f>IF(AK265+1&lt;=$G265,AK265+1,($G265-AK265)+AK265)</f>
        <v>0</v>
      </c>
      <c r="AM265" s="27">
        <f>IF(AL265+11&lt;=$G265,AL265+11,($G265-AL265)+AL265)</f>
        <v>0</v>
      </c>
      <c r="AN265" s="27">
        <f>IF(AM265+1&lt;=$G265,AM265+1,($G265-AM265)+AM265)</f>
        <v>0</v>
      </c>
      <c r="AO265" s="27">
        <f>IF(AN265+11&lt;=$G265,AN265+11,($G265-AN265)+AN265)</f>
        <v>0</v>
      </c>
      <c r="AP265" s="27">
        <f>IF(AO265+1&lt;=$G265,AO265+1,($G265-AO265)+AO265)</f>
        <v>0</v>
      </c>
      <c r="AQ265" s="27">
        <f>IF(AP265+11&lt;=$G265,AP265+11,($G265-AP265)+AP265)</f>
        <v>0</v>
      </c>
      <c r="AR265" s="27">
        <f>IF(AQ265+1&lt;=$G265,AQ265+1,($G265-AQ265)+AQ265)</f>
        <v>0</v>
      </c>
      <c r="AS265" s="27">
        <f>IF(AR265+11&lt;=$G265,AR265+11,($G265-AR265)+AR265)</f>
        <v>0</v>
      </c>
      <c r="AT265" s="27">
        <f>IF(AS265+1&lt;=$G265,AS265+1,($G265-AS265)+AS265)</f>
        <v>0</v>
      </c>
      <c r="AU265" s="27">
        <f>IF(AT265+11&lt;=$G265,AT265+11,($G265-AT265)+AT265)</f>
        <v>0</v>
      </c>
      <c r="AV265" s="27">
        <f>IF(AU265+1&lt;=$G265,AU265+1,($G265-AU265)+AU265)</f>
        <v>0</v>
      </c>
      <c r="AW265" s="27">
        <f>IF(AV265+11&lt;=$G265,AV265+11,($G265-AV265)+AV265)</f>
        <v>0</v>
      </c>
      <c r="AX265" s="27">
        <f>IF(AW265+1&lt;=$G265,AW265+1,($G265-AW265)+AW265)</f>
        <v>0</v>
      </c>
      <c r="AY265" s="27">
        <f>IF(AX265+11&lt;=$G265,AX265+11,($G265-AX265)+AX265)</f>
        <v>0</v>
      </c>
      <c r="AZ265" s="27">
        <f>IF(AY265+1&lt;=$G265,AY265+1,($G265-AY265)+AY265)</f>
        <v>0</v>
      </c>
      <c r="BA265" s="27">
        <f>IF(AZ265+35&lt;=$G265,AZ265+35,($G265-AZ265)+AZ265)</f>
        <v>0</v>
      </c>
      <c r="BB265" s="27">
        <f>IF(BA265+1&lt;=$G265,BA265+1,($G265-BA265)+BA265)</f>
        <v>0</v>
      </c>
      <c r="BC265" s="27">
        <f>IF(BB265+59&lt;=$G265,BB265+59,($G265-BB265)+BB265)</f>
        <v>0</v>
      </c>
      <c r="BD265" s="61">
        <f>IF(BC265+1&lt;=$G265,BC265+1,($G265-BC265)+BC265)</f>
        <v>0</v>
      </c>
      <c r="BE265" s="27">
        <f>IF(BD265+239&lt;=$G265,BD265+239,($G265-BD265)+BD265)</f>
        <v>0</v>
      </c>
      <c r="BF265" s="27">
        <f>IF(BE265+1&lt;=$G265,BE265+1,($G265-BE265)+BE265)</f>
        <v>0</v>
      </c>
      <c r="BG265" s="27">
        <f>IF(BF265+11&lt;=$G265,BF265+11,($G265-BF265)+BF265)</f>
        <v>0</v>
      </c>
      <c r="FJ265" s="61"/>
    </row>
    <row r="266" spans="2:166" s="27" customFormat="1" ht="11.25" hidden="1" x14ac:dyDescent="0.2">
      <c r="B266" s="60"/>
      <c r="H266" s="27">
        <v>1</v>
      </c>
      <c r="I266" s="27">
        <f>+I265</f>
        <v>-65</v>
      </c>
      <c r="J266" s="27">
        <f>IF(I266=$G265,0,J265)</f>
        <v>-64</v>
      </c>
      <c r="K266" s="27">
        <f>+K265</f>
        <v>-53</v>
      </c>
      <c r="L266" s="27">
        <f>IF(K266=$G265,0,L265)</f>
        <v>-52</v>
      </c>
      <c r="M266" s="27">
        <f>+M265</f>
        <v>-41</v>
      </c>
      <c r="N266" s="27">
        <f>IF(M266=$G265,0,N265)</f>
        <v>-40</v>
      </c>
      <c r="O266" s="27">
        <f>+O265</f>
        <v>-29</v>
      </c>
      <c r="P266" s="27">
        <f>IF(O266=$G265,0,P265)</f>
        <v>-28</v>
      </c>
      <c r="Q266" s="27">
        <f>+Q265</f>
        <v>-17</v>
      </c>
      <c r="R266" s="27">
        <f>IF(Q266=$G265,0,R265)</f>
        <v>-16</v>
      </c>
      <c r="S266" s="27">
        <f>+S265</f>
        <v>-5</v>
      </c>
      <c r="T266" s="27">
        <f>IF(S266=$G265,0,T265)</f>
        <v>-4</v>
      </c>
      <c r="U266" s="27">
        <f>+U265</f>
        <v>0</v>
      </c>
      <c r="V266" s="27">
        <f>IF(U266=$G265,0,V265)</f>
        <v>0</v>
      </c>
      <c r="W266" s="27">
        <f>+W265</f>
        <v>0</v>
      </c>
      <c r="X266" s="27">
        <f>IF(W266=$G265,0,X265)</f>
        <v>0</v>
      </c>
      <c r="Y266" s="27">
        <f>+Y265</f>
        <v>0</v>
      </c>
      <c r="Z266" s="27">
        <f>IF(Y266=$G265,0,Z265)</f>
        <v>0</v>
      </c>
      <c r="AA266" s="27">
        <f>+AA265</f>
        <v>0</v>
      </c>
      <c r="AB266" s="27">
        <f>IF(AA266=$G265,0,AB265)</f>
        <v>0</v>
      </c>
      <c r="AC266" s="27">
        <f>+AC265</f>
        <v>0</v>
      </c>
      <c r="AD266" s="27">
        <f>IF(AC266=$G265,0,AD265)</f>
        <v>0</v>
      </c>
      <c r="AE266" s="27">
        <f>+AE265</f>
        <v>0</v>
      </c>
      <c r="AF266" s="27">
        <f>IF(AE266=$G265,0,AF265)</f>
        <v>0</v>
      </c>
      <c r="AG266" s="27">
        <f>+AG265</f>
        <v>0</v>
      </c>
      <c r="AH266" s="27">
        <f>IF(AG266=$G265,0,AH265)</f>
        <v>0</v>
      </c>
      <c r="AI266" s="27">
        <f>+AI265</f>
        <v>0</v>
      </c>
      <c r="AJ266" s="27">
        <f>IF(AI266=$G265,0,AJ265)</f>
        <v>0</v>
      </c>
      <c r="AK266" s="27">
        <f>+AK265</f>
        <v>0</v>
      </c>
      <c r="AL266" s="27">
        <f>IF(AK266=$G265,0,AL265)</f>
        <v>0</v>
      </c>
      <c r="AM266" s="27">
        <f>+AM265</f>
        <v>0</v>
      </c>
      <c r="AN266" s="27">
        <f>IF(AM266=$G265,0,AN265)</f>
        <v>0</v>
      </c>
      <c r="AO266" s="27">
        <f>+AO265</f>
        <v>0</v>
      </c>
      <c r="AP266" s="27">
        <f>IF(AO266=$G265,0,AP265)</f>
        <v>0</v>
      </c>
      <c r="AQ266" s="27">
        <f>+AQ265</f>
        <v>0</v>
      </c>
      <c r="AR266" s="27">
        <f>IF(AQ266=$G265,0,AR265)</f>
        <v>0</v>
      </c>
      <c r="AS266" s="27">
        <f>+AS265</f>
        <v>0</v>
      </c>
      <c r="AT266" s="27">
        <f>IF(AS266=$G265,0,AT265)</f>
        <v>0</v>
      </c>
      <c r="AU266" s="27">
        <f>+AU265</f>
        <v>0</v>
      </c>
      <c r="AV266" s="27">
        <f>IF(AU266=$G265,0,AV265)</f>
        <v>0</v>
      </c>
      <c r="AW266" s="27">
        <f>+AW265</f>
        <v>0</v>
      </c>
      <c r="AX266" s="27">
        <f>IF(AW266=$G265,0,AX265)</f>
        <v>0</v>
      </c>
      <c r="AY266" s="27">
        <f>+AY265</f>
        <v>0</v>
      </c>
      <c r="AZ266" s="27">
        <f>IF(AY266=$G265,0,AZ265)</f>
        <v>0</v>
      </c>
      <c r="BA266" s="27">
        <f>+BA265</f>
        <v>0</v>
      </c>
      <c r="BB266" s="27">
        <f>IF(BA266=$G265,0,BB265)</f>
        <v>0</v>
      </c>
      <c r="BC266" s="27">
        <f>+BC265</f>
        <v>0</v>
      </c>
      <c r="BD266" s="61">
        <f>IF(BC266=$G265,0,BD265)</f>
        <v>0</v>
      </c>
      <c r="BE266" s="27">
        <f>+BE265</f>
        <v>0</v>
      </c>
      <c r="BF266" s="27">
        <f>IF(BE266=$G265,0,BF265)</f>
        <v>0</v>
      </c>
      <c r="BG266" s="27">
        <f>+BG265</f>
        <v>0</v>
      </c>
      <c r="FJ266" s="61"/>
    </row>
    <row r="267" spans="2:166" s="27" customFormat="1" ht="11.25" hidden="1" x14ac:dyDescent="0.2">
      <c r="B267" s="60"/>
      <c r="F267" s="27">
        <f>SUMIF(H267:BG267,"&gt;0")</f>
        <v>0</v>
      </c>
      <c r="G267" s="27" t="s">
        <v>632</v>
      </c>
      <c r="I267" s="27" t="e">
        <f>-CUMPRINC($F265/12,$E265*12,$D265,H266,I266,0)</f>
        <v>#NUM!</v>
      </c>
      <c r="K267" s="27" t="e">
        <f>-CUMPRINC($F265/12,$E265*12,$D265,J266,K266,0)</f>
        <v>#NUM!</v>
      </c>
      <c r="M267" s="27" t="e">
        <f>-CUMPRINC($F265/12,$E265*12,$D265,L266,M266,0)</f>
        <v>#NUM!</v>
      </c>
      <c r="O267" s="27" t="e">
        <f>-CUMPRINC($F265/12,$E265*12,$D265,N266,O266,0)</f>
        <v>#NUM!</v>
      </c>
      <c r="Q267" s="27" t="e">
        <f>-CUMPRINC($F265/12,$E265*12,$D265,P266,Q266,0)</f>
        <v>#NUM!</v>
      </c>
      <c r="S267" s="27" t="e">
        <f>-CUMPRINC($F265/12,$E265*12,$D265,R266,S266,0)</f>
        <v>#NUM!</v>
      </c>
      <c r="U267" s="27" t="e">
        <f>-CUMPRINC($F265/12,$E265*12,$D265,T266,U266,0)</f>
        <v>#NUM!</v>
      </c>
      <c r="W267" s="27" t="e">
        <f>-CUMPRINC($F265/12,$E265*12,$D265,V266,W266,0)</f>
        <v>#NUM!</v>
      </c>
      <c r="Y267" s="27" t="e">
        <f>-CUMPRINC($F265/12,$E265*12,$D265,X266,Y266,0)</f>
        <v>#NUM!</v>
      </c>
      <c r="AA267" s="27" t="e">
        <f>-CUMPRINC($F265/12,$E265*12,$D265,Z266,AA266,0)</f>
        <v>#NUM!</v>
      </c>
      <c r="AC267" s="27" t="e">
        <f>-CUMPRINC($F265/12,$E265*12,$D265,AB266,AC266,0)</f>
        <v>#NUM!</v>
      </c>
      <c r="AE267" s="27" t="e">
        <f>-CUMPRINC($F265/12,$E265*12,$D265,AD266,AE266,0)</f>
        <v>#NUM!</v>
      </c>
      <c r="AG267" s="27" t="e">
        <f>-CUMPRINC($F265/12,$E265*12,$D265,AF266,AG266,0)</f>
        <v>#NUM!</v>
      </c>
      <c r="AI267" s="27" t="e">
        <f>-CUMPRINC($F265/12,$E265*12,$D265,AH266,AI266,0)</f>
        <v>#NUM!</v>
      </c>
      <c r="AK267" s="27" t="e">
        <f>-CUMPRINC($F265/12,$E265*12,$D265,AJ266,AK266,0)</f>
        <v>#NUM!</v>
      </c>
      <c r="AM267" s="27" t="e">
        <f>-CUMPRINC($F265/12,$E265*12,$D265,AL266,AM266,0)</f>
        <v>#NUM!</v>
      </c>
      <c r="AO267" s="27" t="e">
        <f>-CUMPRINC($F265/12,$E265*12,$D265,AN266,AO266,0)</f>
        <v>#NUM!</v>
      </c>
      <c r="AQ267" s="27" t="e">
        <f>-CUMPRINC($F265/12,$E265*12,$D265,AP266,AQ266,0)</f>
        <v>#NUM!</v>
      </c>
      <c r="AS267" s="27" t="e">
        <f>-CUMPRINC($F265/12,$E265*12,$D265,AR266,AS266,0)</f>
        <v>#NUM!</v>
      </c>
      <c r="AU267" s="27" t="e">
        <f>-CUMPRINC($F265/12,$E265*12,$D265,AT266,AU266,0)</f>
        <v>#NUM!</v>
      </c>
      <c r="AW267" s="27" t="e">
        <f>-CUMPRINC($F265/12,$E265*12,$D265,AV266,AW266,0)</f>
        <v>#NUM!</v>
      </c>
      <c r="AY267" s="27" t="e">
        <f>-CUMPRINC($F265/12,$E265*12,$D265,AX266,AY266,0)</f>
        <v>#NUM!</v>
      </c>
      <c r="BA267" s="27" t="e">
        <f>-CUMPRINC($F265/12,$E265*12,$D265,AZ266,BA266,0)</f>
        <v>#NUM!</v>
      </c>
      <c r="BC267" s="27" t="e">
        <f>-CUMPRINC($F265/12,$E265*12,$D265,BB266,BC266,0)</f>
        <v>#NUM!</v>
      </c>
      <c r="BD267" s="61"/>
      <c r="BE267" s="27" t="e">
        <f>-CUMPRINC($F265/12,$E265*12,$D265,BD266,BE266,0)</f>
        <v>#NUM!</v>
      </c>
      <c r="BG267" s="27" t="e">
        <f>-CUMPRINC($F265/12,$E265*12,$D265,BF266,BG266,0)</f>
        <v>#NUM!</v>
      </c>
      <c r="BH267" s="27" t="s">
        <v>783</v>
      </c>
      <c r="BJ267" s="27" t="e">
        <f>-CUMIPMT($F265/12,$E265*12,$D265,H266,I266,0)</f>
        <v>#NUM!</v>
      </c>
      <c r="BL267" s="27" t="e">
        <f>-CUMIPMT($F265/12,$E265*12,$D265,J266,K266,0)</f>
        <v>#NUM!</v>
      </c>
      <c r="BN267" s="27" t="e">
        <f>-CUMIPMT($F265/12,$E265*12,$D265,L266,M266,0)</f>
        <v>#NUM!</v>
      </c>
      <c r="BP267" s="27" t="e">
        <f>-CUMIPMT($F265/12,$E265*12,$D265,N266,O266,0)</f>
        <v>#NUM!</v>
      </c>
      <c r="BR267" s="27" t="e">
        <f>-CUMIPMT($F265/12,$E265*12,$D265,P266,Q266,0)</f>
        <v>#NUM!</v>
      </c>
      <c r="BT267" s="27" t="e">
        <f>-CUMIPMT($F265/12,$E265*12,$D265,R266,S266,0)</f>
        <v>#NUM!</v>
      </c>
      <c r="BV267" s="27" t="e">
        <f>-CUMIPMT($F265/12,$E265*12,$D265,T266,U266,0)</f>
        <v>#NUM!</v>
      </c>
      <c r="BX267" s="27" t="e">
        <f>-CUMIPMT($F265/12,$E265*12,$D265,V266,W266,0)</f>
        <v>#NUM!</v>
      </c>
      <c r="BZ267" s="27" t="e">
        <f>-CUMIPMT($F265/12,$E265*12,$D265,X266,Y266,0)</f>
        <v>#NUM!</v>
      </c>
      <c r="CB267" s="27" t="e">
        <f>-CUMIPMT($F265/12,$E265*12,$D265,Z266,AA266,0)</f>
        <v>#NUM!</v>
      </c>
      <c r="CD267" s="27" t="e">
        <f>-CUMIPMT($F265/12,$E265*12,$D265,AB266,AC266,0)</f>
        <v>#NUM!</v>
      </c>
      <c r="CF267" s="27" t="e">
        <f>-CUMIPMT($F265/12,$E265*12,$D265,AD266,AE266,0)</f>
        <v>#NUM!</v>
      </c>
      <c r="CH267" s="27" t="e">
        <f>-CUMIPMT($F265/12,$E265*12,$D265,AF266,AG266,0)</f>
        <v>#NUM!</v>
      </c>
      <c r="CJ267" s="27" t="e">
        <f>-CUMIPMT($F265/12,$E265*12,$D265,AH266,AI266,0)</f>
        <v>#NUM!</v>
      </c>
      <c r="CL267" s="27" t="e">
        <f>-CUMIPMT($F265/12,$E265*12,$D265,AJ266,AK266,0)</f>
        <v>#NUM!</v>
      </c>
      <c r="CN267" s="27" t="e">
        <f>-CUMIPMT($F265/12,$E265*12,$D265,AL266,AM266,0)</f>
        <v>#NUM!</v>
      </c>
      <c r="CP267" s="27" t="e">
        <f>-CUMIPMT($F265/12,$E265*12,$D265,AN266,AO266,0)</f>
        <v>#NUM!</v>
      </c>
      <c r="CR267" s="27" t="e">
        <f>-CUMIPMT($F265/12,$E265*12,$D265,AP266,AQ266,0)</f>
        <v>#NUM!</v>
      </c>
      <c r="CT267" s="27" t="e">
        <f>-CUMIPMT($F265/12,$E265*12,$D265,AR266,AS266,0)</f>
        <v>#NUM!</v>
      </c>
      <c r="CV267" s="27" t="e">
        <f>-CUMIPMT($F265/12,$E265*12,$D265,AT266,AU266,0)</f>
        <v>#NUM!</v>
      </c>
      <c r="CX267" s="27" t="e">
        <f>-CUMIPMT($F265/12,$E265*12,$D265,AV266,AW266,0)</f>
        <v>#NUM!</v>
      </c>
      <c r="CZ267" s="27" t="e">
        <f>-CUMIPMT($F265/12,$E265*12,$D265,AX266,AY266,0)</f>
        <v>#NUM!</v>
      </c>
      <c r="DB267" s="27" t="e">
        <f>-CUMIPMT($F265/12,$E265*12,$D265,AZ266,BA266,0)</f>
        <v>#NUM!</v>
      </c>
      <c r="DD267" s="27" t="e">
        <f>-CUMIPMT($F265/12,$E265*12,$D265,BB266,BC266,0)</f>
        <v>#NUM!</v>
      </c>
      <c r="DF267" s="27" t="e">
        <f>-CUMIPMT($F265/12,$E265*12,$D265,BD266,BE266,0)</f>
        <v>#NUM!</v>
      </c>
      <c r="DH267" s="27" t="e">
        <f>-CUMIPMT($F265/12,$E265*12,$D265,BF266,BG266,0)</f>
        <v>#NUM!</v>
      </c>
      <c r="DI267" s="27" t="s">
        <v>784</v>
      </c>
      <c r="DJ267" s="27" t="s">
        <v>785</v>
      </c>
      <c r="DK267" s="27">
        <f>+F267</f>
        <v>0</v>
      </c>
      <c r="DL267" s="27" t="e">
        <f>+DK267-I267</f>
        <v>#NUM!</v>
      </c>
      <c r="DN267" s="27" t="e">
        <f>+DL267-K267</f>
        <v>#NUM!</v>
      </c>
      <c r="DP267" s="27" t="e">
        <f>+DN267-M267</f>
        <v>#NUM!</v>
      </c>
      <c r="DR267" s="27" t="e">
        <f>+DP267-O267</f>
        <v>#NUM!</v>
      </c>
      <c r="DT267" s="27" t="e">
        <f>+DR267-Q267</f>
        <v>#NUM!</v>
      </c>
      <c r="DV267" s="27" t="e">
        <f>+DT267-S267</f>
        <v>#NUM!</v>
      </c>
      <c r="DX267" s="27" t="e">
        <f>+DV267-U267</f>
        <v>#NUM!</v>
      </c>
      <c r="DZ267" s="27" t="e">
        <f>+DX267-W267</f>
        <v>#NUM!</v>
      </c>
      <c r="EB267" s="27" t="e">
        <f>+DZ267-Y267</f>
        <v>#NUM!</v>
      </c>
      <c r="ED267" s="27" t="e">
        <f>+EB267-AA267</f>
        <v>#NUM!</v>
      </c>
      <c r="EF267" s="27" t="e">
        <f>+ED267-AC267</f>
        <v>#NUM!</v>
      </c>
      <c r="EH267" s="27" t="e">
        <f>+EF267-AE267</f>
        <v>#NUM!</v>
      </c>
      <c r="EJ267" s="27" t="e">
        <f>+EH267-AG267</f>
        <v>#NUM!</v>
      </c>
      <c r="EL267" s="27" t="e">
        <f>+EJ267-AI267</f>
        <v>#NUM!</v>
      </c>
      <c r="EN267" s="27" t="e">
        <f>+EL267-AK267</f>
        <v>#NUM!</v>
      </c>
      <c r="EP267" s="27" t="e">
        <f>+EN267-AM267</f>
        <v>#NUM!</v>
      </c>
      <c r="ER267" s="27" t="e">
        <f>+EP267-AO267</f>
        <v>#NUM!</v>
      </c>
      <c r="ET267" s="27" t="e">
        <f>+ER267-AQ267</f>
        <v>#NUM!</v>
      </c>
      <c r="EV267" s="27" t="e">
        <f>+ET267-AS267</f>
        <v>#NUM!</v>
      </c>
      <c r="EX267" s="27" t="e">
        <f>+EV267-AU267</f>
        <v>#NUM!</v>
      </c>
      <c r="EZ267" s="27" t="e">
        <f>+EX267-AW267</f>
        <v>#NUM!</v>
      </c>
      <c r="FB267" s="27" t="e">
        <f>+EZ267-AY267</f>
        <v>#NUM!</v>
      </c>
      <c r="FD267" s="27" t="e">
        <f>+FB267-BA267</f>
        <v>#NUM!</v>
      </c>
      <c r="FF267" s="27" t="e">
        <f>+FD267-BC267</f>
        <v>#NUM!</v>
      </c>
      <c r="FH267" s="27" t="e">
        <f>+FF267-BE267</f>
        <v>#NUM!</v>
      </c>
      <c r="FJ267" s="61" t="e">
        <f>+FH267-BG267</f>
        <v>#NUM!</v>
      </c>
    </row>
    <row r="268" spans="2:166" s="27" customFormat="1" ht="11.25" hidden="1" x14ac:dyDescent="0.2">
      <c r="B268" s="60"/>
      <c r="E268" s="27">
        <f>+F267+F268</f>
        <v>0</v>
      </c>
      <c r="F268" s="27">
        <f>SUMIF(BI267:DH267,"&gt;0")</f>
        <v>0</v>
      </c>
      <c r="I268" s="27">
        <f>IF(ISERROR(I267)=FALSE,I267,0)</f>
        <v>0</v>
      </c>
      <c r="K268" s="27">
        <f>IF(ISERROR(K267)=FALSE,K267,0)</f>
        <v>0</v>
      </c>
      <c r="M268" s="27">
        <f>IF(ISERROR(M267)=FALSE,M267,0)</f>
        <v>0</v>
      </c>
      <c r="O268" s="27">
        <f>IF(ISERROR(O267)=FALSE,O267,0)</f>
        <v>0</v>
      </c>
      <c r="Q268" s="27">
        <f>IF(ISERROR(Q267)=FALSE,Q267,0)</f>
        <v>0</v>
      </c>
      <c r="S268" s="27">
        <f>IF(ISERROR(S267)=FALSE,S267,0)</f>
        <v>0</v>
      </c>
      <c r="U268" s="27">
        <f>IF(ISERROR(U267)=FALSE,U267,0)</f>
        <v>0</v>
      </c>
      <c r="W268" s="27">
        <f>IF(ISERROR(W267)=FALSE,W267,0)</f>
        <v>0</v>
      </c>
      <c r="Y268" s="27">
        <f>IF(ISERROR(Y267)=FALSE,Y267,0)</f>
        <v>0</v>
      </c>
      <c r="AA268" s="27">
        <f>IF(ISERROR(AA267)=FALSE,AA267,0)</f>
        <v>0</v>
      </c>
      <c r="AC268" s="27">
        <f>IF(ISERROR(AC267)=FALSE,AC267,0)</f>
        <v>0</v>
      </c>
      <c r="AE268" s="27">
        <f>IF(ISERROR(AE267)=FALSE,AE267,0)</f>
        <v>0</v>
      </c>
      <c r="AG268" s="27">
        <f>IF(ISERROR(AG267)=FALSE,AG267,0)</f>
        <v>0</v>
      </c>
      <c r="AI268" s="27">
        <f>IF(ISERROR(AI267)=FALSE,AI267,0)</f>
        <v>0</v>
      </c>
      <c r="AK268" s="27">
        <f>IF(ISERROR(AK267)=FALSE,AK267,0)</f>
        <v>0</v>
      </c>
      <c r="AM268" s="27">
        <f>IF(ISERROR(AM267)=FALSE,AM267,0)</f>
        <v>0</v>
      </c>
      <c r="AO268" s="27">
        <f>IF(ISERROR(AO267)=FALSE,AO267,0)</f>
        <v>0</v>
      </c>
      <c r="AQ268" s="27">
        <f>IF(ISERROR(AQ267)=FALSE,AQ267,0)</f>
        <v>0</v>
      </c>
      <c r="AS268" s="27">
        <f>IF(ISERROR(AS267)=FALSE,AS267,0)</f>
        <v>0</v>
      </c>
      <c r="AU268" s="27">
        <f>IF(ISERROR(AU267)=FALSE,AU267,0)</f>
        <v>0</v>
      </c>
      <c r="AW268" s="27">
        <f>IF(ISERROR(AW267)=FALSE,AW267,0)</f>
        <v>0</v>
      </c>
      <c r="AY268" s="27">
        <f>IF(ISERROR(AY267)=FALSE,AY267,0)</f>
        <v>0</v>
      </c>
      <c r="BA268" s="27">
        <f>IF(ISERROR(BA267)=FALSE,BA267,0)</f>
        <v>0</v>
      </c>
      <c r="BC268" s="27">
        <f>IF(ISERROR(BC267)=FALSE,BC267,0)</f>
        <v>0</v>
      </c>
      <c r="BD268" s="61"/>
      <c r="BE268" s="27">
        <f>IF(ISERROR(BE267)=FALSE,BE267,0)</f>
        <v>0</v>
      </c>
      <c r="BG268" s="27">
        <f>IF(ISERROR(BG267)=FALSE,BG267,0)</f>
        <v>0</v>
      </c>
      <c r="FJ268" s="61"/>
    </row>
    <row r="269" spans="2:166" s="27" customFormat="1" ht="11.25" hidden="1" x14ac:dyDescent="0.2">
      <c r="B269" s="60"/>
      <c r="D269" s="27" t="s">
        <v>630</v>
      </c>
      <c r="E269" s="27">
        <f>IF(E265=0,0,E268/(E265*12))</f>
        <v>0</v>
      </c>
      <c r="BD269" s="61"/>
      <c r="FJ269" s="61"/>
    </row>
    <row r="270" spans="2:166" s="27" customFormat="1" ht="11.25" hidden="1" x14ac:dyDescent="0.2">
      <c r="B270" s="60"/>
      <c r="C270" s="27">
        <f>C134</f>
        <v>0</v>
      </c>
      <c r="D270" s="27">
        <f>D134</f>
        <v>0</v>
      </c>
      <c r="E270" s="27">
        <f>E134</f>
        <v>0</v>
      </c>
      <c r="F270" s="27">
        <f>F134</f>
        <v>0</v>
      </c>
      <c r="G270" s="27">
        <f>+$E270*12</f>
        <v>0</v>
      </c>
      <c r="H270" s="27">
        <f>SUMIF($W134:$AH134,$D134,$W$108:$AH$108)</f>
        <v>78</v>
      </c>
      <c r="I270" s="27">
        <f>13-H270</f>
        <v>-65</v>
      </c>
      <c r="J270" s="27">
        <f>IF(I270+1&lt;=$G270,I270+1,($G270-I270)+I270)</f>
        <v>-64</v>
      </c>
      <c r="K270" s="27">
        <f>IF(J270+11&lt;=$G270,J270+11,($G270-J270)+J270)</f>
        <v>-53</v>
      </c>
      <c r="L270" s="27">
        <f>IF(K270+1&lt;=$G270,K270+1,($G270-K270)+K270)</f>
        <v>-52</v>
      </c>
      <c r="M270" s="27">
        <f>IF(L270+11&lt;=$G270,L270+11,($G270-L270)+L270)</f>
        <v>-41</v>
      </c>
      <c r="N270" s="27">
        <f>IF(M270+1&lt;=$G270,M270+1,($G270-M270)+M270)</f>
        <v>-40</v>
      </c>
      <c r="O270" s="27">
        <f>IF(N270+11&lt;=$G270,N270+11,($G270-N270)+N270)</f>
        <v>-29</v>
      </c>
      <c r="P270" s="27">
        <f>IF(O270+1&lt;=$G270,O270+1,($G270-O270)+O270)</f>
        <v>-28</v>
      </c>
      <c r="Q270" s="27">
        <f>IF(P270+11&lt;=$G270,P270+11,($G270-P270)+P270)</f>
        <v>-17</v>
      </c>
      <c r="R270" s="27">
        <f>IF(Q270+1&lt;=$G270,Q270+1,($G270-Q270)+Q270)</f>
        <v>-16</v>
      </c>
      <c r="S270" s="27">
        <f>IF(R270+11&lt;=$G270,R270+11,($G270-R270)+R270)</f>
        <v>-5</v>
      </c>
      <c r="T270" s="27">
        <f>IF(S270+1&lt;=$G270,S270+1,($G270-S270)+S270)</f>
        <v>-4</v>
      </c>
      <c r="U270" s="27">
        <f>IF(T270+11&lt;=$G270,T270+11,($G270-T270)+T270)</f>
        <v>0</v>
      </c>
      <c r="V270" s="27">
        <f>IF(U270+1&lt;=$G270,U270+1,($G270-U270)+U270)</f>
        <v>0</v>
      </c>
      <c r="W270" s="27">
        <f>IF(V270+11&lt;=$G270,V270+11,($G270-V270)+V270)</f>
        <v>0</v>
      </c>
      <c r="X270" s="27">
        <f>IF(W270+1&lt;=$G270,W270+1,($G270-W270)+W270)</f>
        <v>0</v>
      </c>
      <c r="Y270" s="27">
        <f>IF(X270+11&lt;=$G270,X270+11,($G270-X270)+X270)</f>
        <v>0</v>
      </c>
      <c r="Z270" s="27">
        <f>IF(Y270+1&lt;=$G270,Y270+1,($G270-Y270)+Y270)</f>
        <v>0</v>
      </c>
      <c r="AA270" s="27">
        <f>IF(Z270+11&lt;=$G270,Z270+11,($G270-Z270)+Z270)</f>
        <v>0</v>
      </c>
      <c r="AB270" s="27">
        <f>IF(AA270+1&lt;=$G270,AA270+1,($G270-AA270)+AA270)</f>
        <v>0</v>
      </c>
      <c r="AC270" s="27">
        <f>IF(AB270+11&lt;=$G270,AB270+11,($G270-AB270)+AB270)</f>
        <v>0</v>
      </c>
      <c r="AD270" s="27">
        <f>IF(AC270+1&lt;=$G270,AC270+1,($G270-AC270)+AC270)</f>
        <v>0</v>
      </c>
      <c r="AE270" s="27">
        <f>IF(AD270+11&lt;=$G270,AD270+11,($G270-AD270)+AD270)</f>
        <v>0</v>
      </c>
      <c r="AF270" s="27">
        <f>IF(AE270+1&lt;=$G270,AE270+1,($G270-AE270)+AE270)</f>
        <v>0</v>
      </c>
      <c r="AG270" s="27">
        <f>IF(AF270+11&lt;=$G270,AF270+11,($G270-AF270)+AF270)</f>
        <v>0</v>
      </c>
      <c r="AH270" s="27">
        <f>IF(AG270+1&lt;=$G270,AG270+1,($G270-AG270)+AG270)</f>
        <v>0</v>
      </c>
      <c r="AI270" s="27">
        <f>IF(AH270+11&lt;=$G270,AH270+11,($G270-AH270)+AH270)</f>
        <v>0</v>
      </c>
      <c r="AJ270" s="27">
        <f>IF(AI270+1&lt;=$G270,AI270+1,($G270-AI270)+AI270)</f>
        <v>0</v>
      </c>
      <c r="AK270" s="27">
        <f>IF(AJ270+11&lt;=$G270,AJ270+11,($G270-AJ270)+AJ270)</f>
        <v>0</v>
      </c>
      <c r="AL270" s="27">
        <f>IF(AK270+1&lt;=$G270,AK270+1,($G270-AK270)+AK270)</f>
        <v>0</v>
      </c>
      <c r="AM270" s="27">
        <f>IF(AL270+11&lt;=$G270,AL270+11,($G270-AL270)+AL270)</f>
        <v>0</v>
      </c>
      <c r="AN270" s="27">
        <f>IF(AM270+1&lt;=$G270,AM270+1,($G270-AM270)+AM270)</f>
        <v>0</v>
      </c>
      <c r="AO270" s="27">
        <f>IF(AN270+11&lt;=$G270,AN270+11,($G270-AN270)+AN270)</f>
        <v>0</v>
      </c>
      <c r="AP270" s="27">
        <f>IF(AO270+1&lt;=$G270,AO270+1,($G270-AO270)+AO270)</f>
        <v>0</v>
      </c>
      <c r="AQ270" s="27">
        <f>IF(AP270+11&lt;=$G270,AP270+11,($G270-AP270)+AP270)</f>
        <v>0</v>
      </c>
      <c r="AR270" s="27">
        <f>IF(AQ270+1&lt;=$G270,AQ270+1,($G270-AQ270)+AQ270)</f>
        <v>0</v>
      </c>
      <c r="AS270" s="27">
        <f>IF(AR270+11&lt;=$G270,AR270+11,($G270-AR270)+AR270)</f>
        <v>0</v>
      </c>
      <c r="AT270" s="27">
        <f>IF(AS270+1&lt;=$G270,AS270+1,($G270-AS270)+AS270)</f>
        <v>0</v>
      </c>
      <c r="AU270" s="27">
        <f>IF(AT270+11&lt;=$G270,AT270+11,($G270-AT270)+AT270)</f>
        <v>0</v>
      </c>
      <c r="AV270" s="27">
        <f>IF(AU270+1&lt;=$G270,AU270+1,($G270-AU270)+AU270)</f>
        <v>0</v>
      </c>
      <c r="AW270" s="27">
        <f>IF(AV270+11&lt;=$G270,AV270+11,($G270-AV270)+AV270)</f>
        <v>0</v>
      </c>
      <c r="AX270" s="27">
        <f>IF(AW270+1&lt;=$G270,AW270+1,($G270-AW270)+AW270)</f>
        <v>0</v>
      </c>
      <c r="AY270" s="27">
        <f>IF(AX270+11&lt;=$G270,AX270+11,($G270-AX270)+AX270)</f>
        <v>0</v>
      </c>
      <c r="AZ270" s="27">
        <f>IF(AY270+1&lt;=$G270,AY270+1,($G270-AY270)+AY270)</f>
        <v>0</v>
      </c>
      <c r="BA270" s="27">
        <f>IF(AZ270+35&lt;=$G270,AZ270+35,($G270-AZ270)+AZ270)</f>
        <v>0</v>
      </c>
      <c r="BB270" s="27">
        <f>IF(BA270+1&lt;=$G270,BA270+1,($G270-BA270)+BA270)</f>
        <v>0</v>
      </c>
      <c r="BC270" s="27">
        <f>IF(BB270+59&lt;=$G270,BB270+59,($G270-BB270)+BB270)</f>
        <v>0</v>
      </c>
      <c r="BD270" s="61">
        <f>IF(BC270+1&lt;=$G270,BC270+1,($G270-BC270)+BC270)</f>
        <v>0</v>
      </c>
      <c r="BE270" s="27">
        <f>IF(BD270+239&lt;=$G270,BD270+239,($G270-BD270)+BD270)</f>
        <v>0</v>
      </c>
      <c r="BF270" s="27">
        <f>IF(BE270+1&lt;=$G270,BE270+1,($G270-BE270)+BE270)</f>
        <v>0</v>
      </c>
      <c r="BG270" s="27">
        <f>IF(BF270+11&lt;=$G270,BF270+11,($G270-BF270)+BF270)</f>
        <v>0</v>
      </c>
      <c r="FJ270" s="61"/>
    </row>
    <row r="271" spans="2:166" s="27" customFormat="1" ht="11.25" hidden="1" x14ac:dyDescent="0.2">
      <c r="B271" s="60"/>
      <c r="H271" s="27">
        <v>1</v>
      </c>
      <c r="I271" s="27">
        <f>+I270</f>
        <v>-65</v>
      </c>
      <c r="J271" s="27">
        <f>IF(I271=$G270,0,J270)</f>
        <v>-64</v>
      </c>
      <c r="K271" s="27">
        <f>+K270</f>
        <v>-53</v>
      </c>
      <c r="L271" s="27">
        <f>IF(K271=$G270,0,L270)</f>
        <v>-52</v>
      </c>
      <c r="M271" s="27">
        <f>+M270</f>
        <v>-41</v>
      </c>
      <c r="N271" s="27">
        <f>IF(M271=$G270,0,N270)</f>
        <v>-40</v>
      </c>
      <c r="O271" s="27">
        <f>+O270</f>
        <v>-29</v>
      </c>
      <c r="P271" s="27">
        <f>IF(O271=$G270,0,P270)</f>
        <v>-28</v>
      </c>
      <c r="Q271" s="27">
        <f>+Q270</f>
        <v>-17</v>
      </c>
      <c r="R271" s="27">
        <f>IF(Q271=$G270,0,R270)</f>
        <v>-16</v>
      </c>
      <c r="S271" s="27">
        <f>+S270</f>
        <v>-5</v>
      </c>
      <c r="T271" s="27">
        <f>IF(S271=$G270,0,T270)</f>
        <v>-4</v>
      </c>
      <c r="U271" s="27">
        <f>+U270</f>
        <v>0</v>
      </c>
      <c r="V271" s="27">
        <f>IF(U271=$G270,0,V270)</f>
        <v>0</v>
      </c>
      <c r="W271" s="27">
        <f>+W270</f>
        <v>0</v>
      </c>
      <c r="X271" s="27">
        <f>IF(W271=$G270,0,X270)</f>
        <v>0</v>
      </c>
      <c r="Y271" s="27">
        <f>+Y270</f>
        <v>0</v>
      </c>
      <c r="Z271" s="27">
        <f>IF(Y271=$G270,0,Z270)</f>
        <v>0</v>
      </c>
      <c r="AA271" s="27">
        <f>+AA270</f>
        <v>0</v>
      </c>
      <c r="AB271" s="27">
        <f>IF(AA271=$G270,0,AB270)</f>
        <v>0</v>
      </c>
      <c r="AC271" s="27">
        <f>+AC270</f>
        <v>0</v>
      </c>
      <c r="AD271" s="27">
        <f>IF(AC271=$G270,0,AD270)</f>
        <v>0</v>
      </c>
      <c r="AE271" s="27">
        <f>+AE270</f>
        <v>0</v>
      </c>
      <c r="AF271" s="27">
        <f>IF(AE271=$G270,0,AF270)</f>
        <v>0</v>
      </c>
      <c r="AG271" s="27">
        <f>+AG270</f>
        <v>0</v>
      </c>
      <c r="AH271" s="27">
        <f>IF(AG271=$G270,0,AH270)</f>
        <v>0</v>
      </c>
      <c r="AI271" s="27">
        <f>+AI270</f>
        <v>0</v>
      </c>
      <c r="AJ271" s="27">
        <f>IF(AI271=$G270,0,AJ270)</f>
        <v>0</v>
      </c>
      <c r="AK271" s="27">
        <f>+AK270</f>
        <v>0</v>
      </c>
      <c r="AL271" s="27">
        <f>IF(AK271=$G270,0,AL270)</f>
        <v>0</v>
      </c>
      <c r="AM271" s="27">
        <f>+AM270</f>
        <v>0</v>
      </c>
      <c r="AN271" s="27">
        <f>IF(AM271=$G270,0,AN270)</f>
        <v>0</v>
      </c>
      <c r="AO271" s="27">
        <f>+AO270</f>
        <v>0</v>
      </c>
      <c r="AP271" s="27">
        <f>IF(AO271=$G270,0,AP270)</f>
        <v>0</v>
      </c>
      <c r="AQ271" s="27">
        <f>+AQ270</f>
        <v>0</v>
      </c>
      <c r="AR271" s="27">
        <f>IF(AQ271=$G270,0,AR270)</f>
        <v>0</v>
      </c>
      <c r="AS271" s="27">
        <f>+AS270</f>
        <v>0</v>
      </c>
      <c r="AT271" s="27">
        <f>IF(AS271=$G270,0,AT270)</f>
        <v>0</v>
      </c>
      <c r="AU271" s="27">
        <f>+AU270</f>
        <v>0</v>
      </c>
      <c r="AV271" s="27">
        <f>IF(AU271=$G270,0,AV270)</f>
        <v>0</v>
      </c>
      <c r="AW271" s="27">
        <f>+AW270</f>
        <v>0</v>
      </c>
      <c r="AX271" s="27">
        <f>IF(AW271=$G270,0,AX270)</f>
        <v>0</v>
      </c>
      <c r="AY271" s="27">
        <f>+AY270</f>
        <v>0</v>
      </c>
      <c r="AZ271" s="27">
        <f>IF(AY271=$G270,0,AZ270)</f>
        <v>0</v>
      </c>
      <c r="BA271" s="27">
        <f>+BA270</f>
        <v>0</v>
      </c>
      <c r="BB271" s="27">
        <f>IF(BA271=$G270,0,BB270)</f>
        <v>0</v>
      </c>
      <c r="BC271" s="27">
        <f>+BC270</f>
        <v>0</v>
      </c>
      <c r="BD271" s="61">
        <f>IF(BC271=$G270,0,BD270)</f>
        <v>0</v>
      </c>
      <c r="BE271" s="27">
        <f>+BE270</f>
        <v>0</v>
      </c>
      <c r="BF271" s="27">
        <f>IF(BE271=$G270,0,BF270)</f>
        <v>0</v>
      </c>
      <c r="BG271" s="27">
        <f>+BG270</f>
        <v>0</v>
      </c>
      <c r="FJ271" s="61"/>
    </row>
    <row r="272" spans="2:166" s="27" customFormat="1" ht="11.25" hidden="1" x14ac:dyDescent="0.2">
      <c r="B272" s="60"/>
      <c r="F272" s="27">
        <f>SUMIF(H272:BG272,"&gt;0")</f>
        <v>0</v>
      </c>
      <c r="G272" s="27" t="s">
        <v>632</v>
      </c>
      <c r="I272" s="27" t="e">
        <f>-CUMPRINC($F270/12,$E270*12,$D270,H271,I271,0)</f>
        <v>#NUM!</v>
      </c>
      <c r="K272" s="27" t="e">
        <f>-CUMPRINC($F270/12,$E270*12,$D270,J271,K271,0)</f>
        <v>#NUM!</v>
      </c>
      <c r="M272" s="27" t="e">
        <f>-CUMPRINC($F270/12,$E270*12,$D270,L271,M271,0)</f>
        <v>#NUM!</v>
      </c>
      <c r="O272" s="27" t="e">
        <f>-CUMPRINC($F270/12,$E270*12,$D270,N271,O271,0)</f>
        <v>#NUM!</v>
      </c>
      <c r="Q272" s="27" t="e">
        <f>-CUMPRINC($F270/12,$E270*12,$D270,P271,Q271,0)</f>
        <v>#NUM!</v>
      </c>
      <c r="S272" s="27" t="e">
        <f>-CUMPRINC($F270/12,$E270*12,$D270,R271,S271,0)</f>
        <v>#NUM!</v>
      </c>
      <c r="U272" s="27" t="e">
        <f>-CUMPRINC($F270/12,$E270*12,$D270,T271,U271,0)</f>
        <v>#NUM!</v>
      </c>
      <c r="W272" s="27" t="e">
        <f>-CUMPRINC($F270/12,$E270*12,$D270,V271,W271,0)</f>
        <v>#NUM!</v>
      </c>
      <c r="Y272" s="27" t="e">
        <f>-CUMPRINC($F270/12,$E270*12,$D270,X271,Y271,0)</f>
        <v>#NUM!</v>
      </c>
      <c r="AA272" s="27" t="e">
        <f>-CUMPRINC($F270/12,$E270*12,$D270,Z271,AA271,0)</f>
        <v>#NUM!</v>
      </c>
      <c r="AC272" s="27" t="e">
        <f>-CUMPRINC($F270/12,$E270*12,$D270,AB271,AC271,0)</f>
        <v>#NUM!</v>
      </c>
      <c r="AE272" s="27" t="e">
        <f>-CUMPRINC($F270/12,$E270*12,$D270,AD271,AE271,0)</f>
        <v>#NUM!</v>
      </c>
      <c r="AG272" s="27" t="e">
        <f>-CUMPRINC($F270/12,$E270*12,$D270,AF271,AG271,0)</f>
        <v>#NUM!</v>
      </c>
      <c r="AI272" s="27" t="e">
        <f>-CUMPRINC($F270/12,$E270*12,$D270,AH271,AI271,0)</f>
        <v>#NUM!</v>
      </c>
      <c r="AK272" s="27" t="e">
        <f>-CUMPRINC($F270/12,$E270*12,$D270,AJ271,AK271,0)</f>
        <v>#NUM!</v>
      </c>
      <c r="AM272" s="27" t="e">
        <f>-CUMPRINC($F270/12,$E270*12,$D270,AL271,AM271,0)</f>
        <v>#NUM!</v>
      </c>
      <c r="AO272" s="27" t="e">
        <f>-CUMPRINC($F270/12,$E270*12,$D270,AN271,AO271,0)</f>
        <v>#NUM!</v>
      </c>
      <c r="AQ272" s="27" t="e">
        <f>-CUMPRINC($F270/12,$E270*12,$D270,AP271,AQ271,0)</f>
        <v>#NUM!</v>
      </c>
      <c r="AS272" s="27" t="e">
        <f>-CUMPRINC($F270/12,$E270*12,$D270,AR271,AS271,0)</f>
        <v>#NUM!</v>
      </c>
      <c r="AU272" s="27" t="e">
        <f>-CUMPRINC($F270/12,$E270*12,$D270,AT271,AU271,0)</f>
        <v>#NUM!</v>
      </c>
      <c r="AW272" s="27" t="e">
        <f>-CUMPRINC($F270/12,$E270*12,$D270,AV271,AW271,0)</f>
        <v>#NUM!</v>
      </c>
      <c r="AY272" s="27" t="e">
        <f>-CUMPRINC($F270/12,$E270*12,$D270,AX271,AY271,0)</f>
        <v>#NUM!</v>
      </c>
      <c r="BA272" s="27" t="e">
        <f>-CUMPRINC($F270/12,$E270*12,$D270,AZ271,BA271,0)</f>
        <v>#NUM!</v>
      </c>
      <c r="BC272" s="27" t="e">
        <f>-CUMPRINC($F270/12,$E270*12,$D270,BB271,BC271,0)</f>
        <v>#NUM!</v>
      </c>
      <c r="BD272" s="61"/>
      <c r="BE272" s="27" t="e">
        <f>-CUMPRINC($F270/12,$E270*12,$D270,BD271,BE271,0)</f>
        <v>#NUM!</v>
      </c>
      <c r="BG272" s="27" t="e">
        <f>-CUMPRINC($F270/12,$E270*12,$D270,BF271,BG271,0)</f>
        <v>#NUM!</v>
      </c>
      <c r="BH272" s="27" t="s">
        <v>783</v>
      </c>
      <c r="BJ272" s="27" t="e">
        <f>-CUMIPMT($F270/12,$E270*12,$D270,H271,I271,0)</f>
        <v>#NUM!</v>
      </c>
      <c r="BL272" s="27" t="e">
        <f>-CUMIPMT($F270/12,$E270*12,$D270,J271,K271,0)</f>
        <v>#NUM!</v>
      </c>
      <c r="BN272" s="27" t="e">
        <f>-CUMIPMT($F270/12,$E270*12,$D270,L271,M271,0)</f>
        <v>#NUM!</v>
      </c>
      <c r="BP272" s="27" t="e">
        <f>-CUMIPMT($F270/12,$E270*12,$D270,N271,O271,0)</f>
        <v>#NUM!</v>
      </c>
      <c r="BR272" s="27" t="e">
        <f>-CUMIPMT($F270/12,$E270*12,$D270,P271,Q271,0)</f>
        <v>#NUM!</v>
      </c>
      <c r="BT272" s="27" t="e">
        <f>-CUMIPMT($F270/12,$E270*12,$D270,R271,S271,0)</f>
        <v>#NUM!</v>
      </c>
      <c r="BV272" s="27" t="e">
        <f>-CUMIPMT($F270/12,$E270*12,$D270,T271,U271,0)</f>
        <v>#NUM!</v>
      </c>
      <c r="BX272" s="27" t="e">
        <f>-CUMIPMT($F270/12,$E270*12,$D270,V271,W271,0)</f>
        <v>#NUM!</v>
      </c>
      <c r="BZ272" s="27" t="e">
        <f>-CUMIPMT($F270/12,$E270*12,$D270,X271,Y271,0)</f>
        <v>#NUM!</v>
      </c>
      <c r="CB272" s="27" t="e">
        <f>-CUMIPMT($F270/12,$E270*12,$D270,Z271,AA271,0)</f>
        <v>#NUM!</v>
      </c>
      <c r="CD272" s="27" t="e">
        <f>-CUMIPMT($F270/12,$E270*12,$D270,AB271,AC271,0)</f>
        <v>#NUM!</v>
      </c>
      <c r="CF272" s="27" t="e">
        <f>-CUMIPMT($F270/12,$E270*12,$D270,AD271,AE271,0)</f>
        <v>#NUM!</v>
      </c>
      <c r="CH272" s="27" t="e">
        <f>-CUMIPMT($F270/12,$E270*12,$D270,AF271,AG271,0)</f>
        <v>#NUM!</v>
      </c>
      <c r="CJ272" s="27" t="e">
        <f>-CUMIPMT($F270/12,$E270*12,$D270,AH271,AI271,0)</f>
        <v>#NUM!</v>
      </c>
      <c r="CL272" s="27" t="e">
        <f>-CUMIPMT($F270/12,$E270*12,$D270,AJ271,AK271,0)</f>
        <v>#NUM!</v>
      </c>
      <c r="CN272" s="27" t="e">
        <f>-CUMIPMT($F270/12,$E270*12,$D270,AL271,AM271,0)</f>
        <v>#NUM!</v>
      </c>
      <c r="CP272" s="27" t="e">
        <f>-CUMIPMT($F270/12,$E270*12,$D270,AN271,AO271,0)</f>
        <v>#NUM!</v>
      </c>
      <c r="CR272" s="27" t="e">
        <f>-CUMIPMT($F270/12,$E270*12,$D270,AP271,AQ271,0)</f>
        <v>#NUM!</v>
      </c>
      <c r="CT272" s="27" t="e">
        <f>-CUMIPMT($F270/12,$E270*12,$D270,AR271,AS271,0)</f>
        <v>#NUM!</v>
      </c>
      <c r="CV272" s="27" t="e">
        <f>-CUMIPMT($F270/12,$E270*12,$D270,AT271,AU271,0)</f>
        <v>#NUM!</v>
      </c>
      <c r="CX272" s="27" t="e">
        <f>-CUMIPMT($F270/12,$E270*12,$D270,AV271,AW271,0)</f>
        <v>#NUM!</v>
      </c>
      <c r="CZ272" s="27" t="e">
        <f>-CUMIPMT($F270/12,$E270*12,$D270,AX271,AY271,0)</f>
        <v>#NUM!</v>
      </c>
      <c r="DB272" s="27" t="e">
        <f>-CUMIPMT($F270/12,$E270*12,$D270,AZ271,BA271,0)</f>
        <v>#NUM!</v>
      </c>
      <c r="DD272" s="27" t="e">
        <f>-CUMIPMT($F270/12,$E270*12,$D270,BB271,BC271,0)</f>
        <v>#NUM!</v>
      </c>
      <c r="DF272" s="27" t="e">
        <f>-CUMIPMT($F270/12,$E270*12,$D270,BD271,BE271,0)</f>
        <v>#NUM!</v>
      </c>
      <c r="DH272" s="27" t="e">
        <f>-CUMIPMT($F270/12,$E270*12,$D270,BF271,BG271,0)</f>
        <v>#NUM!</v>
      </c>
      <c r="DI272" s="27" t="s">
        <v>784</v>
      </c>
      <c r="DJ272" s="27" t="s">
        <v>785</v>
      </c>
      <c r="DK272" s="27">
        <f>+F272</f>
        <v>0</v>
      </c>
      <c r="DL272" s="27" t="e">
        <f>+DK272-I272</f>
        <v>#NUM!</v>
      </c>
      <c r="DN272" s="27" t="e">
        <f>+DL272-K272</f>
        <v>#NUM!</v>
      </c>
      <c r="DP272" s="27" t="e">
        <f>+DN272-M272</f>
        <v>#NUM!</v>
      </c>
      <c r="DR272" s="27" t="e">
        <f>+DP272-O272</f>
        <v>#NUM!</v>
      </c>
      <c r="DT272" s="27" t="e">
        <f>+DR272-Q272</f>
        <v>#NUM!</v>
      </c>
      <c r="DV272" s="27" t="e">
        <f>+DT272-S272</f>
        <v>#NUM!</v>
      </c>
      <c r="DX272" s="27" t="e">
        <f>+DV272-U272</f>
        <v>#NUM!</v>
      </c>
      <c r="DZ272" s="27" t="e">
        <f>+DX272-W272</f>
        <v>#NUM!</v>
      </c>
      <c r="EB272" s="27" t="e">
        <f>+DZ272-Y272</f>
        <v>#NUM!</v>
      </c>
      <c r="ED272" s="27" t="e">
        <f>+EB272-AA272</f>
        <v>#NUM!</v>
      </c>
      <c r="EF272" s="27" t="e">
        <f>+ED272-AC272</f>
        <v>#NUM!</v>
      </c>
      <c r="EH272" s="27" t="e">
        <f>+EF272-AE272</f>
        <v>#NUM!</v>
      </c>
      <c r="EJ272" s="27" t="e">
        <f>+EH272-AG272</f>
        <v>#NUM!</v>
      </c>
      <c r="EL272" s="27" t="e">
        <f>+EJ272-AI272</f>
        <v>#NUM!</v>
      </c>
      <c r="EN272" s="27" t="e">
        <f>+EL272-AK272</f>
        <v>#NUM!</v>
      </c>
      <c r="EP272" s="27" t="e">
        <f>+EN272-AM272</f>
        <v>#NUM!</v>
      </c>
      <c r="ER272" s="27" t="e">
        <f>+EP272-AO272</f>
        <v>#NUM!</v>
      </c>
      <c r="ET272" s="27" t="e">
        <f>+ER272-AQ272</f>
        <v>#NUM!</v>
      </c>
      <c r="EV272" s="27" t="e">
        <f>+ET272-AS272</f>
        <v>#NUM!</v>
      </c>
      <c r="EX272" s="27" t="e">
        <f>+EV272-AU272</f>
        <v>#NUM!</v>
      </c>
      <c r="EZ272" s="27" t="e">
        <f>+EX272-AW272</f>
        <v>#NUM!</v>
      </c>
      <c r="FB272" s="27" t="e">
        <f>+EZ272-AY272</f>
        <v>#NUM!</v>
      </c>
      <c r="FD272" s="27" t="e">
        <f>+FB272-BA272</f>
        <v>#NUM!</v>
      </c>
      <c r="FF272" s="27" t="e">
        <f>+FD272-BC272</f>
        <v>#NUM!</v>
      </c>
      <c r="FH272" s="27" t="e">
        <f>+FF272-BE272</f>
        <v>#NUM!</v>
      </c>
      <c r="FJ272" s="61" t="e">
        <f>+FH272-BG272</f>
        <v>#NUM!</v>
      </c>
    </row>
    <row r="273" spans="2:166" s="27" customFormat="1" ht="11.25" hidden="1" x14ac:dyDescent="0.2">
      <c r="B273" s="60"/>
      <c r="E273" s="27">
        <f>+F272+F273</f>
        <v>0</v>
      </c>
      <c r="F273" s="27">
        <f>SUMIF(BI272:DH272,"&gt;0")</f>
        <v>0</v>
      </c>
      <c r="I273" s="27">
        <f>IF(ISERROR(I272)=FALSE,I272,0)</f>
        <v>0</v>
      </c>
      <c r="K273" s="27">
        <f>IF(ISERROR(K272)=FALSE,K272,0)</f>
        <v>0</v>
      </c>
      <c r="M273" s="27">
        <f>IF(ISERROR(M272)=FALSE,M272,0)</f>
        <v>0</v>
      </c>
      <c r="O273" s="27">
        <f>IF(ISERROR(O272)=FALSE,O272,0)</f>
        <v>0</v>
      </c>
      <c r="Q273" s="27">
        <f>IF(ISERROR(Q272)=FALSE,Q272,0)</f>
        <v>0</v>
      </c>
      <c r="S273" s="27">
        <f>IF(ISERROR(S272)=FALSE,S272,0)</f>
        <v>0</v>
      </c>
      <c r="U273" s="27">
        <f>IF(ISERROR(U272)=FALSE,U272,0)</f>
        <v>0</v>
      </c>
      <c r="W273" s="27">
        <f>IF(ISERROR(W272)=FALSE,W272,0)</f>
        <v>0</v>
      </c>
      <c r="Y273" s="27">
        <f>IF(ISERROR(Y272)=FALSE,Y272,0)</f>
        <v>0</v>
      </c>
      <c r="AA273" s="27">
        <f>IF(ISERROR(AA272)=FALSE,AA272,0)</f>
        <v>0</v>
      </c>
      <c r="AC273" s="27">
        <f>IF(ISERROR(AC272)=FALSE,AC272,0)</f>
        <v>0</v>
      </c>
      <c r="AE273" s="27">
        <f>IF(ISERROR(AE272)=FALSE,AE272,0)</f>
        <v>0</v>
      </c>
      <c r="AG273" s="27">
        <f>IF(ISERROR(AG272)=FALSE,AG272,0)</f>
        <v>0</v>
      </c>
      <c r="AI273" s="27">
        <f>IF(ISERROR(AI272)=FALSE,AI272,0)</f>
        <v>0</v>
      </c>
      <c r="AK273" s="27">
        <f>IF(ISERROR(AK272)=FALSE,AK272,0)</f>
        <v>0</v>
      </c>
      <c r="AM273" s="27">
        <f>IF(ISERROR(AM272)=FALSE,AM272,0)</f>
        <v>0</v>
      </c>
      <c r="AO273" s="27">
        <f>IF(ISERROR(AO272)=FALSE,AO272,0)</f>
        <v>0</v>
      </c>
      <c r="AQ273" s="27">
        <f>IF(ISERROR(AQ272)=FALSE,AQ272,0)</f>
        <v>0</v>
      </c>
      <c r="AS273" s="27">
        <f>IF(ISERROR(AS272)=FALSE,AS272,0)</f>
        <v>0</v>
      </c>
      <c r="AU273" s="27">
        <f>IF(ISERROR(AU272)=FALSE,AU272,0)</f>
        <v>0</v>
      </c>
      <c r="AW273" s="27">
        <f>IF(ISERROR(AW272)=FALSE,AW272,0)</f>
        <v>0</v>
      </c>
      <c r="AY273" s="27">
        <f>IF(ISERROR(AY272)=FALSE,AY272,0)</f>
        <v>0</v>
      </c>
      <c r="BA273" s="27">
        <f>IF(ISERROR(BA272)=FALSE,BA272,0)</f>
        <v>0</v>
      </c>
      <c r="BC273" s="27">
        <f>IF(ISERROR(BC272)=FALSE,BC272,0)</f>
        <v>0</v>
      </c>
      <c r="BD273" s="61"/>
      <c r="BE273" s="27">
        <f>IF(ISERROR(BE272)=FALSE,BE272,0)</f>
        <v>0</v>
      </c>
      <c r="BG273" s="27">
        <f>IF(ISERROR(BG272)=FALSE,BG272,0)</f>
        <v>0</v>
      </c>
      <c r="FJ273" s="61"/>
    </row>
    <row r="274" spans="2:166" s="27" customFormat="1" ht="11.25" hidden="1" x14ac:dyDescent="0.2">
      <c r="B274" s="60"/>
      <c r="D274" s="27" t="s">
        <v>630</v>
      </c>
      <c r="E274" s="27">
        <f>IF(E270=0,0,E273/(E270*12))</f>
        <v>0</v>
      </c>
      <c r="BD274" s="61"/>
      <c r="FJ274" s="61"/>
    </row>
    <row r="275" spans="2:166" s="27" customFormat="1" ht="11.25" hidden="1" x14ac:dyDescent="0.2">
      <c r="B275" s="60"/>
      <c r="C275" s="27">
        <f>C135</f>
        <v>0</v>
      </c>
      <c r="D275" s="27">
        <f>D135</f>
        <v>0</v>
      </c>
      <c r="E275" s="27">
        <f>E135</f>
        <v>0</v>
      </c>
      <c r="F275" s="27">
        <f>F135</f>
        <v>0</v>
      </c>
      <c r="G275" s="27">
        <f>+$E275*12</f>
        <v>0</v>
      </c>
      <c r="H275" s="27">
        <f>SUMIF($W135:$AH135,$D135,$W$108:$AH$108)</f>
        <v>78</v>
      </c>
      <c r="I275" s="27">
        <f>13-H275</f>
        <v>-65</v>
      </c>
      <c r="J275" s="27">
        <f>IF(I275+1&lt;=$G275,I275+1,($G275-I275)+I275)</f>
        <v>-64</v>
      </c>
      <c r="K275" s="27">
        <f>IF(J275+11&lt;=$G275,J275+11,($G275-J275)+J275)</f>
        <v>-53</v>
      </c>
      <c r="L275" s="27">
        <f>IF(K275+1&lt;=$G275,K275+1,($G275-K275)+K275)</f>
        <v>-52</v>
      </c>
      <c r="M275" s="27">
        <f>IF(L275+11&lt;=$G275,L275+11,($G275-L275)+L275)</f>
        <v>-41</v>
      </c>
      <c r="N275" s="27">
        <f>IF(M275+1&lt;=$G275,M275+1,($G275-M275)+M275)</f>
        <v>-40</v>
      </c>
      <c r="O275" s="27">
        <f>IF(N275+11&lt;=$G275,N275+11,($G275-N275)+N275)</f>
        <v>-29</v>
      </c>
      <c r="P275" s="27">
        <f>IF(O275+1&lt;=$G275,O275+1,($G275-O275)+O275)</f>
        <v>-28</v>
      </c>
      <c r="Q275" s="27">
        <f>IF(P275+11&lt;=$G275,P275+11,($G275-P275)+P275)</f>
        <v>-17</v>
      </c>
      <c r="R275" s="27">
        <f>IF(Q275+1&lt;=$G275,Q275+1,($G275-Q275)+Q275)</f>
        <v>-16</v>
      </c>
      <c r="S275" s="27">
        <f>IF(R275+11&lt;=$G275,R275+11,($G275-R275)+R275)</f>
        <v>-5</v>
      </c>
      <c r="T275" s="27">
        <f>IF(S275+1&lt;=$G275,S275+1,($G275-S275)+S275)</f>
        <v>-4</v>
      </c>
      <c r="U275" s="27">
        <f>IF(T275+11&lt;=$G275,T275+11,($G275-T275)+T275)</f>
        <v>0</v>
      </c>
      <c r="V275" s="27">
        <f>IF(U275+1&lt;=$G275,U275+1,($G275-U275)+U275)</f>
        <v>0</v>
      </c>
      <c r="W275" s="27">
        <f>IF(V275+11&lt;=$G275,V275+11,($G275-V275)+V275)</f>
        <v>0</v>
      </c>
      <c r="X275" s="27">
        <f>IF(W275+1&lt;=$G275,W275+1,($G275-W275)+W275)</f>
        <v>0</v>
      </c>
      <c r="Y275" s="27">
        <f>IF(X275+11&lt;=$G275,X275+11,($G275-X275)+X275)</f>
        <v>0</v>
      </c>
      <c r="Z275" s="27">
        <f>IF(Y275+1&lt;=$G275,Y275+1,($G275-Y275)+Y275)</f>
        <v>0</v>
      </c>
      <c r="AA275" s="27">
        <f>IF(Z275+11&lt;=$G275,Z275+11,($G275-Z275)+Z275)</f>
        <v>0</v>
      </c>
      <c r="AB275" s="27">
        <f>IF(AA275+1&lt;=$G275,AA275+1,($G275-AA275)+AA275)</f>
        <v>0</v>
      </c>
      <c r="AC275" s="27">
        <f>IF(AB275+11&lt;=$G275,AB275+11,($G275-AB275)+AB275)</f>
        <v>0</v>
      </c>
      <c r="AD275" s="27">
        <f>IF(AC275+1&lt;=$G275,AC275+1,($G275-AC275)+AC275)</f>
        <v>0</v>
      </c>
      <c r="AE275" s="27">
        <f>IF(AD275+11&lt;=$G275,AD275+11,($G275-AD275)+AD275)</f>
        <v>0</v>
      </c>
      <c r="AF275" s="27">
        <f>IF(AE275+1&lt;=$G275,AE275+1,($G275-AE275)+AE275)</f>
        <v>0</v>
      </c>
      <c r="AG275" s="27">
        <f>IF(AF275+11&lt;=$G275,AF275+11,($G275-AF275)+AF275)</f>
        <v>0</v>
      </c>
      <c r="AH275" s="27">
        <f>IF(AG275+1&lt;=$G275,AG275+1,($G275-AG275)+AG275)</f>
        <v>0</v>
      </c>
      <c r="AI275" s="27">
        <f>IF(AH275+11&lt;=$G275,AH275+11,($G275-AH275)+AH275)</f>
        <v>0</v>
      </c>
      <c r="AJ275" s="27">
        <f>IF(AI275+1&lt;=$G275,AI275+1,($G275-AI275)+AI275)</f>
        <v>0</v>
      </c>
      <c r="AK275" s="27">
        <f>IF(AJ275+11&lt;=$G275,AJ275+11,($G275-AJ275)+AJ275)</f>
        <v>0</v>
      </c>
      <c r="AL275" s="27">
        <f>IF(AK275+1&lt;=$G275,AK275+1,($G275-AK275)+AK275)</f>
        <v>0</v>
      </c>
      <c r="AM275" s="27">
        <f>IF(AL275+11&lt;=$G275,AL275+11,($G275-AL275)+AL275)</f>
        <v>0</v>
      </c>
      <c r="AN275" s="27">
        <f>IF(AM275+1&lt;=$G275,AM275+1,($G275-AM275)+AM275)</f>
        <v>0</v>
      </c>
      <c r="AO275" s="27">
        <f>IF(AN275+11&lt;=$G275,AN275+11,($G275-AN275)+AN275)</f>
        <v>0</v>
      </c>
      <c r="AP275" s="27">
        <f>IF(AO275+1&lt;=$G275,AO275+1,($G275-AO275)+AO275)</f>
        <v>0</v>
      </c>
      <c r="AQ275" s="27">
        <f>IF(AP275+11&lt;=$G275,AP275+11,($G275-AP275)+AP275)</f>
        <v>0</v>
      </c>
      <c r="AR275" s="27">
        <f>IF(AQ275+1&lt;=$G275,AQ275+1,($G275-AQ275)+AQ275)</f>
        <v>0</v>
      </c>
      <c r="AS275" s="27">
        <f>IF(AR275+11&lt;=$G275,AR275+11,($G275-AR275)+AR275)</f>
        <v>0</v>
      </c>
      <c r="AT275" s="27">
        <f>IF(AS275+1&lt;=$G275,AS275+1,($G275-AS275)+AS275)</f>
        <v>0</v>
      </c>
      <c r="AU275" s="27">
        <f>IF(AT275+11&lt;=$G275,AT275+11,($G275-AT275)+AT275)</f>
        <v>0</v>
      </c>
      <c r="AV275" s="27">
        <f>IF(AU275+1&lt;=$G275,AU275+1,($G275-AU275)+AU275)</f>
        <v>0</v>
      </c>
      <c r="AW275" s="27">
        <f>IF(AV275+11&lt;=$G275,AV275+11,($G275-AV275)+AV275)</f>
        <v>0</v>
      </c>
      <c r="AX275" s="27">
        <f>IF(AW275+1&lt;=$G275,AW275+1,($G275-AW275)+AW275)</f>
        <v>0</v>
      </c>
      <c r="AY275" s="27">
        <f>IF(AX275+11&lt;=$G275,AX275+11,($G275-AX275)+AX275)</f>
        <v>0</v>
      </c>
      <c r="AZ275" s="27">
        <f>IF(AY275+1&lt;=$G275,AY275+1,($G275-AY275)+AY275)</f>
        <v>0</v>
      </c>
      <c r="BA275" s="27">
        <f>IF(AZ275+35&lt;=$G275,AZ275+35,($G275-AZ275)+AZ275)</f>
        <v>0</v>
      </c>
      <c r="BB275" s="27">
        <f>IF(BA275+1&lt;=$G275,BA275+1,($G275-BA275)+BA275)</f>
        <v>0</v>
      </c>
      <c r="BC275" s="27">
        <f>IF(BB275+59&lt;=$G275,BB275+59,($G275-BB275)+BB275)</f>
        <v>0</v>
      </c>
      <c r="BD275" s="61">
        <f>IF(BC275+1&lt;=$G275,BC275+1,($G275-BC275)+BC275)</f>
        <v>0</v>
      </c>
      <c r="BE275" s="27">
        <f>IF(BD275+239&lt;=$G275,BD275+239,($G275-BD275)+BD275)</f>
        <v>0</v>
      </c>
      <c r="BF275" s="27">
        <f>IF(BE275+1&lt;=$G275,BE275+1,($G275-BE275)+BE275)</f>
        <v>0</v>
      </c>
      <c r="BG275" s="27">
        <f>IF(BF275+11&lt;=$G275,BF275+11,($G275-BF275)+BF275)</f>
        <v>0</v>
      </c>
      <c r="FJ275" s="61"/>
    </row>
    <row r="276" spans="2:166" s="27" customFormat="1" ht="11.25" hidden="1" x14ac:dyDescent="0.2">
      <c r="B276" s="60"/>
      <c r="H276" s="27">
        <v>1</v>
      </c>
      <c r="I276" s="27">
        <f>+I275</f>
        <v>-65</v>
      </c>
      <c r="J276" s="27">
        <f>IF(I276=$G275,0,J275)</f>
        <v>-64</v>
      </c>
      <c r="K276" s="27">
        <f>+K275</f>
        <v>-53</v>
      </c>
      <c r="L276" s="27">
        <f>IF(K276=$G275,0,L275)</f>
        <v>-52</v>
      </c>
      <c r="M276" s="27">
        <f>+M275</f>
        <v>-41</v>
      </c>
      <c r="N276" s="27">
        <f>IF(M276=$G275,0,N275)</f>
        <v>-40</v>
      </c>
      <c r="O276" s="27">
        <f>+O275</f>
        <v>-29</v>
      </c>
      <c r="P276" s="27">
        <f>IF(O276=$G275,0,P275)</f>
        <v>-28</v>
      </c>
      <c r="Q276" s="27">
        <f>+Q275</f>
        <v>-17</v>
      </c>
      <c r="R276" s="27">
        <f>IF(Q276=$G275,0,R275)</f>
        <v>-16</v>
      </c>
      <c r="S276" s="27">
        <f>+S275</f>
        <v>-5</v>
      </c>
      <c r="T276" s="27">
        <f>IF(S276=$G275,0,T275)</f>
        <v>-4</v>
      </c>
      <c r="U276" s="27">
        <f>+U275</f>
        <v>0</v>
      </c>
      <c r="V276" s="27">
        <f>IF(U276=$G275,0,V275)</f>
        <v>0</v>
      </c>
      <c r="W276" s="27">
        <f>+W275</f>
        <v>0</v>
      </c>
      <c r="X276" s="27">
        <f>IF(W276=$G275,0,X275)</f>
        <v>0</v>
      </c>
      <c r="Y276" s="27">
        <f>+Y275</f>
        <v>0</v>
      </c>
      <c r="Z276" s="27">
        <f>IF(Y276=$G275,0,Z275)</f>
        <v>0</v>
      </c>
      <c r="AA276" s="27">
        <f>+AA275</f>
        <v>0</v>
      </c>
      <c r="AB276" s="27">
        <f>IF(AA276=$G275,0,AB275)</f>
        <v>0</v>
      </c>
      <c r="AC276" s="27">
        <f>+AC275</f>
        <v>0</v>
      </c>
      <c r="AD276" s="27">
        <f>IF(AC276=$G275,0,AD275)</f>
        <v>0</v>
      </c>
      <c r="AE276" s="27">
        <f>+AE275</f>
        <v>0</v>
      </c>
      <c r="AF276" s="27">
        <f>IF(AE276=$G275,0,AF275)</f>
        <v>0</v>
      </c>
      <c r="AG276" s="27">
        <f>+AG275</f>
        <v>0</v>
      </c>
      <c r="AH276" s="27">
        <f>IF(AG276=$G275,0,AH275)</f>
        <v>0</v>
      </c>
      <c r="AI276" s="27">
        <f>+AI275</f>
        <v>0</v>
      </c>
      <c r="AJ276" s="27">
        <f>IF(AI276=$G275,0,AJ275)</f>
        <v>0</v>
      </c>
      <c r="AK276" s="27">
        <f>+AK275</f>
        <v>0</v>
      </c>
      <c r="AL276" s="27">
        <f>IF(AK276=$G275,0,AL275)</f>
        <v>0</v>
      </c>
      <c r="AM276" s="27">
        <f>+AM275</f>
        <v>0</v>
      </c>
      <c r="AN276" s="27">
        <f>IF(AM276=$G275,0,AN275)</f>
        <v>0</v>
      </c>
      <c r="AO276" s="27">
        <f>+AO275</f>
        <v>0</v>
      </c>
      <c r="AP276" s="27">
        <f>IF(AO276=$G275,0,AP275)</f>
        <v>0</v>
      </c>
      <c r="AQ276" s="27">
        <f>+AQ275</f>
        <v>0</v>
      </c>
      <c r="AR276" s="27">
        <f>IF(AQ276=$G275,0,AR275)</f>
        <v>0</v>
      </c>
      <c r="AS276" s="27">
        <f>+AS275</f>
        <v>0</v>
      </c>
      <c r="AT276" s="27">
        <f>IF(AS276=$G275,0,AT275)</f>
        <v>0</v>
      </c>
      <c r="AU276" s="27">
        <f>+AU275</f>
        <v>0</v>
      </c>
      <c r="AV276" s="27">
        <f>IF(AU276=$G275,0,AV275)</f>
        <v>0</v>
      </c>
      <c r="AW276" s="27">
        <f>+AW275</f>
        <v>0</v>
      </c>
      <c r="AX276" s="27">
        <f>IF(AW276=$G275,0,AX275)</f>
        <v>0</v>
      </c>
      <c r="AY276" s="27">
        <f>+AY275</f>
        <v>0</v>
      </c>
      <c r="AZ276" s="27">
        <f>IF(AY276=$G275,0,AZ275)</f>
        <v>0</v>
      </c>
      <c r="BA276" s="27">
        <f>+BA275</f>
        <v>0</v>
      </c>
      <c r="BB276" s="27">
        <f>IF(BA276=$G275,0,BB275)</f>
        <v>0</v>
      </c>
      <c r="BC276" s="27">
        <f>+BC275</f>
        <v>0</v>
      </c>
      <c r="BD276" s="61">
        <f>IF(BC276=$G275,0,BD275)</f>
        <v>0</v>
      </c>
      <c r="BE276" s="27">
        <f>+BE275</f>
        <v>0</v>
      </c>
      <c r="BF276" s="27">
        <f>IF(BE276=$G275,0,BF275)</f>
        <v>0</v>
      </c>
      <c r="BG276" s="27">
        <f>+BG275</f>
        <v>0</v>
      </c>
      <c r="FJ276" s="61"/>
    </row>
    <row r="277" spans="2:166" s="27" customFormat="1" ht="11.25" hidden="1" x14ac:dyDescent="0.2">
      <c r="B277" s="60"/>
      <c r="F277" s="27">
        <f>SUMIF(H277:BG277,"&gt;0")</f>
        <v>0</v>
      </c>
      <c r="G277" s="27" t="s">
        <v>632</v>
      </c>
      <c r="I277" s="27" t="e">
        <f>-CUMPRINC($F275/12,$E275*12,$D275,H276,I276,0)</f>
        <v>#NUM!</v>
      </c>
      <c r="K277" s="27" t="e">
        <f>-CUMPRINC($F275/12,$E275*12,$D275,J276,K276,0)</f>
        <v>#NUM!</v>
      </c>
      <c r="M277" s="27" t="e">
        <f>-CUMPRINC($F275/12,$E275*12,$D275,L276,M276,0)</f>
        <v>#NUM!</v>
      </c>
      <c r="O277" s="27" t="e">
        <f>-CUMPRINC($F275/12,$E275*12,$D275,N276,O276,0)</f>
        <v>#NUM!</v>
      </c>
      <c r="Q277" s="27" t="e">
        <f>-CUMPRINC($F275/12,$E275*12,$D275,P276,Q276,0)</f>
        <v>#NUM!</v>
      </c>
      <c r="S277" s="27" t="e">
        <f>-CUMPRINC($F275/12,$E275*12,$D275,R276,S276,0)</f>
        <v>#NUM!</v>
      </c>
      <c r="U277" s="27" t="e">
        <f>-CUMPRINC($F275/12,$E275*12,$D275,T276,U276,0)</f>
        <v>#NUM!</v>
      </c>
      <c r="W277" s="27" t="e">
        <f>-CUMPRINC($F275/12,$E275*12,$D275,V276,W276,0)</f>
        <v>#NUM!</v>
      </c>
      <c r="Y277" s="27" t="e">
        <f>-CUMPRINC($F275/12,$E275*12,$D275,X276,Y276,0)</f>
        <v>#NUM!</v>
      </c>
      <c r="AA277" s="27" t="e">
        <f>-CUMPRINC($F275/12,$E275*12,$D275,Z276,AA276,0)</f>
        <v>#NUM!</v>
      </c>
      <c r="AC277" s="27" t="e">
        <f>-CUMPRINC($F275/12,$E275*12,$D275,AB276,AC276,0)</f>
        <v>#NUM!</v>
      </c>
      <c r="AE277" s="27" t="e">
        <f>-CUMPRINC($F275/12,$E275*12,$D275,AD276,AE276,0)</f>
        <v>#NUM!</v>
      </c>
      <c r="AG277" s="27" t="e">
        <f>-CUMPRINC($F275/12,$E275*12,$D275,AF276,AG276,0)</f>
        <v>#NUM!</v>
      </c>
      <c r="AI277" s="27" t="e">
        <f>-CUMPRINC($F275/12,$E275*12,$D275,AH276,AI276,0)</f>
        <v>#NUM!</v>
      </c>
      <c r="AK277" s="27" t="e">
        <f>-CUMPRINC($F275/12,$E275*12,$D275,AJ276,AK276,0)</f>
        <v>#NUM!</v>
      </c>
      <c r="AM277" s="27" t="e">
        <f>-CUMPRINC($F275/12,$E275*12,$D275,AL276,AM276,0)</f>
        <v>#NUM!</v>
      </c>
      <c r="AO277" s="27" t="e">
        <f>-CUMPRINC($F275/12,$E275*12,$D275,AN276,AO276,0)</f>
        <v>#NUM!</v>
      </c>
      <c r="AQ277" s="27" t="e">
        <f>-CUMPRINC($F275/12,$E275*12,$D275,AP276,AQ276,0)</f>
        <v>#NUM!</v>
      </c>
      <c r="AS277" s="27" t="e">
        <f>-CUMPRINC($F275/12,$E275*12,$D275,AR276,AS276,0)</f>
        <v>#NUM!</v>
      </c>
      <c r="AU277" s="27" t="e">
        <f>-CUMPRINC($F275/12,$E275*12,$D275,AT276,AU276,0)</f>
        <v>#NUM!</v>
      </c>
      <c r="AW277" s="27" t="e">
        <f>-CUMPRINC($F275/12,$E275*12,$D275,AV276,AW276,0)</f>
        <v>#NUM!</v>
      </c>
      <c r="AY277" s="27" t="e">
        <f>-CUMPRINC($F275/12,$E275*12,$D275,AX276,AY276,0)</f>
        <v>#NUM!</v>
      </c>
      <c r="BA277" s="27" t="e">
        <f>-CUMPRINC($F275/12,$E275*12,$D275,AZ276,BA276,0)</f>
        <v>#NUM!</v>
      </c>
      <c r="BC277" s="27" t="e">
        <f>-CUMPRINC($F275/12,$E275*12,$D275,BB276,BC276,0)</f>
        <v>#NUM!</v>
      </c>
      <c r="BD277" s="61"/>
      <c r="BE277" s="27" t="e">
        <f>-CUMPRINC($F275/12,$E275*12,$D275,BD276,BE276,0)</f>
        <v>#NUM!</v>
      </c>
      <c r="BG277" s="27" t="e">
        <f>-CUMPRINC($F275/12,$E275*12,$D275,BF276,BG276,0)</f>
        <v>#NUM!</v>
      </c>
      <c r="BH277" s="27" t="s">
        <v>783</v>
      </c>
      <c r="BJ277" s="27" t="e">
        <f>-CUMIPMT($F275/12,$E275*12,$D275,H276,I276,0)</f>
        <v>#NUM!</v>
      </c>
      <c r="BL277" s="27" t="e">
        <f>-CUMIPMT($F275/12,$E275*12,$D275,J276,K276,0)</f>
        <v>#NUM!</v>
      </c>
      <c r="BN277" s="27" t="e">
        <f>-CUMIPMT($F275/12,$E275*12,$D275,L276,M276,0)</f>
        <v>#NUM!</v>
      </c>
      <c r="BP277" s="27" t="e">
        <f>-CUMIPMT($F275/12,$E275*12,$D275,N276,O276,0)</f>
        <v>#NUM!</v>
      </c>
      <c r="BR277" s="27" t="e">
        <f>-CUMIPMT($F275/12,$E275*12,$D275,P276,Q276,0)</f>
        <v>#NUM!</v>
      </c>
      <c r="BT277" s="27" t="e">
        <f>-CUMIPMT($F275/12,$E275*12,$D275,R276,S276,0)</f>
        <v>#NUM!</v>
      </c>
      <c r="BV277" s="27" t="e">
        <f>-CUMIPMT($F275/12,$E275*12,$D275,T276,U276,0)</f>
        <v>#NUM!</v>
      </c>
      <c r="BX277" s="27" t="e">
        <f>-CUMIPMT($F275/12,$E275*12,$D275,V276,W276,0)</f>
        <v>#NUM!</v>
      </c>
      <c r="BZ277" s="27" t="e">
        <f>-CUMIPMT($F275/12,$E275*12,$D275,X276,Y276,0)</f>
        <v>#NUM!</v>
      </c>
      <c r="CB277" s="27" t="e">
        <f>-CUMIPMT($F275/12,$E275*12,$D275,Z276,AA276,0)</f>
        <v>#NUM!</v>
      </c>
      <c r="CD277" s="27" t="e">
        <f>-CUMIPMT($F275/12,$E275*12,$D275,AB276,AC276,0)</f>
        <v>#NUM!</v>
      </c>
      <c r="CF277" s="27" t="e">
        <f>-CUMIPMT($F275/12,$E275*12,$D275,AD276,AE276,0)</f>
        <v>#NUM!</v>
      </c>
      <c r="CH277" s="27" t="e">
        <f>-CUMIPMT($F275/12,$E275*12,$D275,AF276,AG276,0)</f>
        <v>#NUM!</v>
      </c>
      <c r="CJ277" s="27" t="e">
        <f>-CUMIPMT($F275/12,$E275*12,$D275,AH276,AI276,0)</f>
        <v>#NUM!</v>
      </c>
      <c r="CL277" s="27" t="e">
        <f>-CUMIPMT($F275/12,$E275*12,$D275,AJ276,AK276,0)</f>
        <v>#NUM!</v>
      </c>
      <c r="CN277" s="27" t="e">
        <f>-CUMIPMT($F275/12,$E275*12,$D275,AL276,AM276,0)</f>
        <v>#NUM!</v>
      </c>
      <c r="CP277" s="27" t="e">
        <f>-CUMIPMT($F275/12,$E275*12,$D275,AN276,AO276,0)</f>
        <v>#NUM!</v>
      </c>
      <c r="CR277" s="27" t="e">
        <f>-CUMIPMT($F275/12,$E275*12,$D275,AP276,AQ276,0)</f>
        <v>#NUM!</v>
      </c>
      <c r="CT277" s="27" t="e">
        <f>-CUMIPMT($F275/12,$E275*12,$D275,AR276,AS276,0)</f>
        <v>#NUM!</v>
      </c>
      <c r="CV277" s="27" t="e">
        <f>-CUMIPMT($F275/12,$E275*12,$D275,AT276,AU276,0)</f>
        <v>#NUM!</v>
      </c>
      <c r="CX277" s="27" t="e">
        <f>-CUMIPMT($F275/12,$E275*12,$D275,AV276,AW276,0)</f>
        <v>#NUM!</v>
      </c>
      <c r="CZ277" s="27" t="e">
        <f>-CUMIPMT($F275/12,$E275*12,$D275,AX276,AY276,0)</f>
        <v>#NUM!</v>
      </c>
      <c r="DB277" s="27" t="e">
        <f>-CUMIPMT($F275/12,$E275*12,$D275,AZ276,BA276,0)</f>
        <v>#NUM!</v>
      </c>
      <c r="DD277" s="27" t="e">
        <f>-CUMIPMT($F275/12,$E275*12,$D275,BB276,BC276,0)</f>
        <v>#NUM!</v>
      </c>
      <c r="DF277" s="27" t="e">
        <f>-CUMIPMT($F275/12,$E275*12,$D275,BD276,BE276,0)</f>
        <v>#NUM!</v>
      </c>
      <c r="DH277" s="27" t="e">
        <f>-CUMIPMT($F275/12,$E275*12,$D275,BF276,BG276,0)</f>
        <v>#NUM!</v>
      </c>
      <c r="DI277" s="27" t="s">
        <v>784</v>
      </c>
      <c r="DJ277" s="27" t="s">
        <v>785</v>
      </c>
      <c r="DK277" s="27">
        <f>+F277</f>
        <v>0</v>
      </c>
      <c r="DL277" s="27" t="e">
        <f>+DK277-I277</f>
        <v>#NUM!</v>
      </c>
      <c r="DN277" s="27" t="e">
        <f>+DL277-K277</f>
        <v>#NUM!</v>
      </c>
      <c r="DP277" s="27" t="e">
        <f>+DN277-M277</f>
        <v>#NUM!</v>
      </c>
      <c r="DR277" s="27" t="e">
        <f>+DP277-O277</f>
        <v>#NUM!</v>
      </c>
      <c r="DT277" s="27" t="e">
        <f>+DR277-Q277</f>
        <v>#NUM!</v>
      </c>
      <c r="DV277" s="27" t="e">
        <f>+DT277-S277</f>
        <v>#NUM!</v>
      </c>
      <c r="DX277" s="27" t="e">
        <f>+DV277-U277</f>
        <v>#NUM!</v>
      </c>
      <c r="DZ277" s="27" t="e">
        <f>+DX277-W277</f>
        <v>#NUM!</v>
      </c>
      <c r="EB277" s="27" t="e">
        <f>+DZ277-Y277</f>
        <v>#NUM!</v>
      </c>
      <c r="ED277" s="27" t="e">
        <f>+EB277-AA277</f>
        <v>#NUM!</v>
      </c>
      <c r="EF277" s="27" t="e">
        <f>+ED277-AC277</f>
        <v>#NUM!</v>
      </c>
      <c r="EH277" s="27" t="e">
        <f>+EF277-AE277</f>
        <v>#NUM!</v>
      </c>
      <c r="EJ277" s="27" t="e">
        <f>+EH277-AG277</f>
        <v>#NUM!</v>
      </c>
      <c r="EL277" s="27" t="e">
        <f>+EJ277-AI277</f>
        <v>#NUM!</v>
      </c>
      <c r="EN277" s="27" t="e">
        <f>+EL277-AK277</f>
        <v>#NUM!</v>
      </c>
      <c r="EP277" s="27" t="e">
        <f>+EN277-AM277</f>
        <v>#NUM!</v>
      </c>
      <c r="ER277" s="27" t="e">
        <f>+EP277-AO277</f>
        <v>#NUM!</v>
      </c>
      <c r="ET277" s="27" t="e">
        <f>+ER277-AQ277</f>
        <v>#NUM!</v>
      </c>
      <c r="EV277" s="27" t="e">
        <f>+ET277-AS277</f>
        <v>#NUM!</v>
      </c>
      <c r="EX277" s="27" t="e">
        <f>+EV277-AU277</f>
        <v>#NUM!</v>
      </c>
      <c r="EZ277" s="27" t="e">
        <f>+EX277-AW277</f>
        <v>#NUM!</v>
      </c>
      <c r="FB277" s="27" t="e">
        <f>+EZ277-AY277</f>
        <v>#NUM!</v>
      </c>
      <c r="FD277" s="27" t="e">
        <f>+FB277-BA277</f>
        <v>#NUM!</v>
      </c>
      <c r="FF277" s="27" t="e">
        <f>+FD277-BC277</f>
        <v>#NUM!</v>
      </c>
      <c r="FH277" s="27" t="e">
        <f>+FF277-BE277</f>
        <v>#NUM!</v>
      </c>
      <c r="FJ277" s="61" t="e">
        <f>+FH277-BG277</f>
        <v>#NUM!</v>
      </c>
    </row>
    <row r="278" spans="2:166" s="27" customFormat="1" ht="11.25" hidden="1" x14ac:dyDescent="0.2">
      <c r="B278" s="60"/>
      <c r="E278" s="27">
        <f>+F277+F278</f>
        <v>0</v>
      </c>
      <c r="F278" s="27">
        <f>SUMIF(BI277:DH277,"&gt;0")</f>
        <v>0</v>
      </c>
      <c r="I278" s="27">
        <f>IF(ISERROR(I277)=FALSE,I277,0)</f>
        <v>0</v>
      </c>
      <c r="K278" s="27">
        <f>IF(ISERROR(K277)=FALSE,K277,0)</f>
        <v>0</v>
      </c>
      <c r="M278" s="27">
        <f>IF(ISERROR(M277)=FALSE,M277,0)</f>
        <v>0</v>
      </c>
      <c r="O278" s="27">
        <f>IF(ISERROR(O277)=FALSE,O277,0)</f>
        <v>0</v>
      </c>
      <c r="Q278" s="27">
        <f>IF(ISERROR(Q277)=FALSE,Q277,0)</f>
        <v>0</v>
      </c>
      <c r="S278" s="27">
        <f>IF(ISERROR(S277)=FALSE,S277,0)</f>
        <v>0</v>
      </c>
      <c r="U278" s="27">
        <f>IF(ISERROR(U277)=FALSE,U277,0)</f>
        <v>0</v>
      </c>
      <c r="W278" s="27">
        <f>IF(ISERROR(W277)=FALSE,W277,0)</f>
        <v>0</v>
      </c>
      <c r="Y278" s="27">
        <f>IF(ISERROR(Y277)=FALSE,Y277,0)</f>
        <v>0</v>
      </c>
      <c r="AA278" s="27">
        <f>IF(ISERROR(AA277)=FALSE,AA277,0)</f>
        <v>0</v>
      </c>
      <c r="AC278" s="27">
        <f>IF(ISERROR(AC277)=FALSE,AC277,0)</f>
        <v>0</v>
      </c>
      <c r="AE278" s="27">
        <f>IF(ISERROR(AE277)=FALSE,AE277,0)</f>
        <v>0</v>
      </c>
      <c r="AG278" s="27">
        <f>IF(ISERROR(AG277)=FALSE,AG277,0)</f>
        <v>0</v>
      </c>
      <c r="AI278" s="27">
        <f>IF(ISERROR(AI277)=FALSE,AI277,0)</f>
        <v>0</v>
      </c>
      <c r="AK278" s="27">
        <f>IF(ISERROR(AK277)=FALSE,AK277,0)</f>
        <v>0</v>
      </c>
      <c r="AM278" s="27">
        <f>IF(ISERROR(AM277)=FALSE,AM277,0)</f>
        <v>0</v>
      </c>
      <c r="AO278" s="27">
        <f>IF(ISERROR(AO277)=FALSE,AO277,0)</f>
        <v>0</v>
      </c>
      <c r="AQ278" s="27">
        <f>IF(ISERROR(AQ277)=FALSE,AQ277,0)</f>
        <v>0</v>
      </c>
      <c r="AS278" s="27">
        <f>IF(ISERROR(AS277)=FALSE,AS277,0)</f>
        <v>0</v>
      </c>
      <c r="AU278" s="27">
        <f>IF(ISERROR(AU277)=FALSE,AU277,0)</f>
        <v>0</v>
      </c>
      <c r="AW278" s="27">
        <f>IF(ISERROR(AW277)=FALSE,AW277,0)</f>
        <v>0</v>
      </c>
      <c r="AY278" s="27">
        <f>IF(ISERROR(AY277)=FALSE,AY277,0)</f>
        <v>0</v>
      </c>
      <c r="BA278" s="27">
        <f>IF(ISERROR(BA277)=FALSE,BA277,0)</f>
        <v>0</v>
      </c>
      <c r="BC278" s="27">
        <f>IF(ISERROR(BC277)=FALSE,BC277,0)</f>
        <v>0</v>
      </c>
      <c r="BD278" s="61"/>
      <c r="BE278" s="27">
        <f>IF(ISERROR(BE277)=FALSE,BE277,0)</f>
        <v>0</v>
      </c>
      <c r="BG278" s="27">
        <f>IF(ISERROR(BG277)=FALSE,BG277,0)</f>
        <v>0</v>
      </c>
      <c r="FJ278" s="61"/>
    </row>
    <row r="279" spans="2:166" s="27" customFormat="1" ht="11.25" hidden="1" x14ac:dyDescent="0.2">
      <c r="B279" s="60"/>
      <c r="D279" s="27" t="s">
        <v>630</v>
      </c>
      <c r="E279" s="27">
        <f>IF(E275=0,0,E278/(E275*12))</f>
        <v>0</v>
      </c>
      <c r="BD279" s="61"/>
      <c r="FJ279" s="61"/>
    </row>
    <row r="280" spans="2:166" s="27" customFormat="1" ht="11.25" hidden="1" x14ac:dyDescent="0.2">
      <c r="B280" s="60"/>
      <c r="C280" s="27">
        <f>C136</f>
        <v>0</v>
      </c>
      <c r="D280" s="27">
        <f>D136</f>
        <v>0</v>
      </c>
      <c r="E280" s="27">
        <f>E136</f>
        <v>0</v>
      </c>
      <c r="F280" s="27">
        <f>F136</f>
        <v>0</v>
      </c>
      <c r="G280" s="27">
        <f>+$E280*12</f>
        <v>0</v>
      </c>
      <c r="H280" s="27">
        <f>SUMIF($W136:$AH136,$D136,$W$108:$AH$108)</f>
        <v>78</v>
      </c>
      <c r="I280" s="27">
        <f>13-H280</f>
        <v>-65</v>
      </c>
      <c r="J280" s="27">
        <f>IF(I280+1&lt;=$G280,I280+1,($G280-I280)+I280)</f>
        <v>-64</v>
      </c>
      <c r="K280" s="27">
        <f>IF(J280+11&lt;=$G280,J280+11,($G280-J280)+J280)</f>
        <v>-53</v>
      </c>
      <c r="L280" s="27">
        <f>IF(K280+1&lt;=$G280,K280+1,($G280-K280)+K280)</f>
        <v>-52</v>
      </c>
      <c r="M280" s="27">
        <f>IF(L280+11&lt;=$G280,L280+11,($G280-L280)+L280)</f>
        <v>-41</v>
      </c>
      <c r="N280" s="27">
        <f>IF(M280+1&lt;=$G280,M280+1,($G280-M280)+M280)</f>
        <v>-40</v>
      </c>
      <c r="O280" s="27">
        <f>IF(N280+11&lt;=$G280,N280+11,($G280-N280)+N280)</f>
        <v>-29</v>
      </c>
      <c r="P280" s="27">
        <f>IF(O280+1&lt;=$G280,O280+1,($G280-O280)+O280)</f>
        <v>-28</v>
      </c>
      <c r="Q280" s="27">
        <f>IF(P280+11&lt;=$G280,P280+11,($G280-P280)+P280)</f>
        <v>-17</v>
      </c>
      <c r="R280" s="27">
        <f>IF(Q280+1&lt;=$G280,Q280+1,($G280-Q280)+Q280)</f>
        <v>-16</v>
      </c>
      <c r="S280" s="27">
        <f>IF(R280+11&lt;=$G280,R280+11,($G280-R280)+R280)</f>
        <v>-5</v>
      </c>
      <c r="T280" s="27">
        <f>IF(S280+1&lt;=$G280,S280+1,($G280-S280)+S280)</f>
        <v>-4</v>
      </c>
      <c r="U280" s="27">
        <f>IF(T280+11&lt;=$G280,T280+11,($G280-T280)+T280)</f>
        <v>0</v>
      </c>
      <c r="V280" s="27">
        <f>IF(U280+1&lt;=$G280,U280+1,($G280-U280)+U280)</f>
        <v>0</v>
      </c>
      <c r="W280" s="27">
        <f>IF(V280+11&lt;=$G280,V280+11,($G280-V280)+V280)</f>
        <v>0</v>
      </c>
      <c r="X280" s="27">
        <f>IF(W280+1&lt;=$G280,W280+1,($G280-W280)+W280)</f>
        <v>0</v>
      </c>
      <c r="Y280" s="27">
        <f>IF(X280+11&lt;=$G280,X280+11,($G280-X280)+X280)</f>
        <v>0</v>
      </c>
      <c r="Z280" s="27">
        <f>IF(Y280+1&lt;=$G280,Y280+1,($G280-Y280)+Y280)</f>
        <v>0</v>
      </c>
      <c r="AA280" s="27">
        <f>IF(Z280+11&lt;=$G280,Z280+11,($G280-Z280)+Z280)</f>
        <v>0</v>
      </c>
      <c r="AB280" s="27">
        <f>IF(AA280+1&lt;=$G280,AA280+1,($G280-AA280)+AA280)</f>
        <v>0</v>
      </c>
      <c r="AC280" s="27">
        <f>IF(AB280+11&lt;=$G280,AB280+11,($G280-AB280)+AB280)</f>
        <v>0</v>
      </c>
      <c r="AD280" s="27">
        <f>IF(AC280+1&lt;=$G280,AC280+1,($G280-AC280)+AC280)</f>
        <v>0</v>
      </c>
      <c r="AE280" s="27">
        <f>IF(AD280+11&lt;=$G280,AD280+11,($G280-AD280)+AD280)</f>
        <v>0</v>
      </c>
      <c r="AF280" s="27">
        <f>IF(AE280+1&lt;=$G280,AE280+1,($G280-AE280)+AE280)</f>
        <v>0</v>
      </c>
      <c r="AG280" s="27">
        <f>IF(AF280+11&lt;=$G280,AF280+11,($G280-AF280)+AF280)</f>
        <v>0</v>
      </c>
      <c r="AH280" s="27">
        <f>IF(AG280+1&lt;=$G280,AG280+1,($G280-AG280)+AG280)</f>
        <v>0</v>
      </c>
      <c r="AI280" s="27">
        <f>IF(AH280+11&lt;=$G280,AH280+11,($G280-AH280)+AH280)</f>
        <v>0</v>
      </c>
      <c r="AJ280" s="27">
        <f>IF(AI280+1&lt;=$G280,AI280+1,($G280-AI280)+AI280)</f>
        <v>0</v>
      </c>
      <c r="AK280" s="27">
        <f>IF(AJ280+11&lt;=$G280,AJ280+11,($G280-AJ280)+AJ280)</f>
        <v>0</v>
      </c>
      <c r="AL280" s="27">
        <f>IF(AK280+1&lt;=$G280,AK280+1,($G280-AK280)+AK280)</f>
        <v>0</v>
      </c>
      <c r="AM280" s="27">
        <f>IF(AL280+11&lt;=$G280,AL280+11,($G280-AL280)+AL280)</f>
        <v>0</v>
      </c>
      <c r="AN280" s="27">
        <f>IF(AM280+1&lt;=$G280,AM280+1,($G280-AM280)+AM280)</f>
        <v>0</v>
      </c>
      <c r="AO280" s="27">
        <f>IF(AN280+11&lt;=$G280,AN280+11,($G280-AN280)+AN280)</f>
        <v>0</v>
      </c>
      <c r="AP280" s="27">
        <f>IF(AO280+1&lt;=$G280,AO280+1,($G280-AO280)+AO280)</f>
        <v>0</v>
      </c>
      <c r="AQ280" s="27">
        <f>IF(AP280+11&lt;=$G280,AP280+11,($G280-AP280)+AP280)</f>
        <v>0</v>
      </c>
      <c r="AR280" s="27">
        <f>IF(AQ280+1&lt;=$G280,AQ280+1,($G280-AQ280)+AQ280)</f>
        <v>0</v>
      </c>
      <c r="AS280" s="27">
        <f>IF(AR280+11&lt;=$G280,AR280+11,($G280-AR280)+AR280)</f>
        <v>0</v>
      </c>
      <c r="AT280" s="27">
        <f>IF(AS280+1&lt;=$G280,AS280+1,($G280-AS280)+AS280)</f>
        <v>0</v>
      </c>
      <c r="AU280" s="27">
        <f>IF(AT280+11&lt;=$G280,AT280+11,($G280-AT280)+AT280)</f>
        <v>0</v>
      </c>
      <c r="AV280" s="27">
        <f>IF(AU280+1&lt;=$G280,AU280+1,($G280-AU280)+AU280)</f>
        <v>0</v>
      </c>
      <c r="AW280" s="27">
        <f>IF(AV280+11&lt;=$G280,AV280+11,($G280-AV280)+AV280)</f>
        <v>0</v>
      </c>
      <c r="AX280" s="27">
        <f>IF(AW280+1&lt;=$G280,AW280+1,($G280-AW280)+AW280)</f>
        <v>0</v>
      </c>
      <c r="AY280" s="27">
        <f>IF(AX280+11&lt;=$G280,AX280+11,($G280-AX280)+AX280)</f>
        <v>0</v>
      </c>
      <c r="AZ280" s="27">
        <f>IF(AY280+1&lt;=$G280,AY280+1,($G280-AY280)+AY280)</f>
        <v>0</v>
      </c>
      <c r="BA280" s="27">
        <f>IF(AZ280+35&lt;=$G280,AZ280+35,($G280-AZ280)+AZ280)</f>
        <v>0</v>
      </c>
      <c r="BB280" s="27">
        <f>IF(BA280+1&lt;=$G280,BA280+1,($G280-BA280)+BA280)</f>
        <v>0</v>
      </c>
      <c r="BC280" s="27">
        <f>IF(BB280+59&lt;=$G280,BB280+59,($G280-BB280)+BB280)</f>
        <v>0</v>
      </c>
      <c r="BD280" s="61">
        <f>IF(BC280+1&lt;=$G280,BC280+1,($G280-BC280)+BC280)</f>
        <v>0</v>
      </c>
      <c r="BE280" s="27">
        <f>IF(BD280+239&lt;=$G280,BD280+239,($G280-BD280)+BD280)</f>
        <v>0</v>
      </c>
      <c r="BF280" s="27">
        <f>IF(BE280+1&lt;=$G280,BE280+1,($G280-BE280)+BE280)</f>
        <v>0</v>
      </c>
      <c r="BG280" s="27">
        <f>IF(BF280+11&lt;=$G280,BF280+11,($G280-BF280)+BF280)</f>
        <v>0</v>
      </c>
      <c r="FJ280" s="61"/>
    </row>
    <row r="281" spans="2:166" s="27" customFormat="1" ht="11.25" hidden="1" x14ac:dyDescent="0.2">
      <c r="B281" s="60"/>
      <c r="H281" s="27">
        <v>1</v>
      </c>
      <c r="I281" s="27">
        <f>+I280</f>
        <v>-65</v>
      </c>
      <c r="J281" s="27">
        <f>IF(I281=$G280,0,J280)</f>
        <v>-64</v>
      </c>
      <c r="K281" s="27">
        <f>+K280</f>
        <v>-53</v>
      </c>
      <c r="L281" s="27">
        <f>IF(K281=$G280,0,L280)</f>
        <v>-52</v>
      </c>
      <c r="M281" s="27">
        <f>+M280</f>
        <v>-41</v>
      </c>
      <c r="N281" s="27">
        <f>IF(M281=$G280,0,N280)</f>
        <v>-40</v>
      </c>
      <c r="O281" s="27">
        <f>+O280</f>
        <v>-29</v>
      </c>
      <c r="P281" s="27">
        <f>IF(O281=$G280,0,P280)</f>
        <v>-28</v>
      </c>
      <c r="Q281" s="27">
        <f>+Q280</f>
        <v>-17</v>
      </c>
      <c r="R281" s="27">
        <f>IF(Q281=$G280,0,R280)</f>
        <v>-16</v>
      </c>
      <c r="S281" s="27">
        <f>+S280</f>
        <v>-5</v>
      </c>
      <c r="T281" s="27">
        <f>IF(S281=$G280,0,T280)</f>
        <v>-4</v>
      </c>
      <c r="U281" s="27">
        <f>+U280</f>
        <v>0</v>
      </c>
      <c r="V281" s="27">
        <f>IF(U281=$G280,0,V280)</f>
        <v>0</v>
      </c>
      <c r="W281" s="27">
        <f>+W280</f>
        <v>0</v>
      </c>
      <c r="X281" s="27">
        <f>IF(W281=$G280,0,X280)</f>
        <v>0</v>
      </c>
      <c r="Y281" s="27">
        <f>+Y280</f>
        <v>0</v>
      </c>
      <c r="Z281" s="27">
        <f>IF(Y281=$G280,0,Z280)</f>
        <v>0</v>
      </c>
      <c r="AA281" s="27">
        <f>+AA280</f>
        <v>0</v>
      </c>
      <c r="AB281" s="27">
        <f>IF(AA281=$G280,0,AB280)</f>
        <v>0</v>
      </c>
      <c r="AC281" s="27">
        <f>+AC280</f>
        <v>0</v>
      </c>
      <c r="AD281" s="27">
        <f>IF(AC281=$G280,0,AD280)</f>
        <v>0</v>
      </c>
      <c r="AE281" s="27">
        <f>+AE280</f>
        <v>0</v>
      </c>
      <c r="AF281" s="27">
        <f>IF(AE281=$G280,0,AF280)</f>
        <v>0</v>
      </c>
      <c r="AG281" s="27">
        <f>+AG280</f>
        <v>0</v>
      </c>
      <c r="AH281" s="27">
        <f>IF(AG281=$G280,0,AH280)</f>
        <v>0</v>
      </c>
      <c r="AI281" s="27">
        <f>+AI280</f>
        <v>0</v>
      </c>
      <c r="AJ281" s="27">
        <f>IF(AI281=$G280,0,AJ280)</f>
        <v>0</v>
      </c>
      <c r="AK281" s="27">
        <f>+AK280</f>
        <v>0</v>
      </c>
      <c r="AL281" s="27">
        <f>IF(AK281=$G280,0,AL280)</f>
        <v>0</v>
      </c>
      <c r="AM281" s="27">
        <f>+AM280</f>
        <v>0</v>
      </c>
      <c r="AN281" s="27">
        <f>IF(AM281=$G280,0,AN280)</f>
        <v>0</v>
      </c>
      <c r="AO281" s="27">
        <f>+AO280</f>
        <v>0</v>
      </c>
      <c r="AP281" s="27">
        <f>IF(AO281=$G280,0,AP280)</f>
        <v>0</v>
      </c>
      <c r="AQ281" s="27">
        <f>+AQ280</f>
        <v>0</v>
      </c>
      <c r="AR281" s="27">
        <f>IF(AQ281=$G280,0,AR280)</f>
        <v>0</v>
      </c>
      <c r="AS281" s="27">
        <f>+AS280</f>
        <v>0</v>
      </c>
      <c r="AT281" s="27">
        <f>IF(AS281=$G280,0,AT280)</f>
        <v>0</v>
      </c>
      <c r="AU281" s="27">
        <f>+AU280</f>
        <v>0</v>
      </c>
      <c r="AV281" s="27">
        <f>IF(AU281=$G280,0,AV280)</f>
        <v>0</v>
      </c>
      <c r="AW281" s="27">
        <f>+AW280</f>
        <v>0</v>
      </c>
      <c r="AX281" s="27">
        <f>IF(AW281=$G280,0,AX280)</f>
        <v>0</v>
      </c>
      <c r="AY281" s="27">
        <f>+AY280</f>
        <v>0</v>
      </c>
      <c r="AZ281" s="27">
        <f>IF(AY281=$G280,0,AZ280)</f>
        <v>0</v>
      </c>
      <c r="BA281" s="27">
        <f>+BA280</f>
        <v>0</v>
      </c>
      <c r="BB281" s="27">
        <f>IF(BA281=$G280,0,BB280)</f>
        <v>0</v>
      </c>
      <c r="BC281" s="27">
        <f>+BC280</f>
        <v>0</v>
      </c>
      <c r="BD281" s="61">
        <f>IF(BC281=$G280,0,BD280)</f>
        <v>0</v>
      </c>
      <c r="BE281" s="27">
        <f>+BE280</f>
        <v>0</v>
      </c>
      <c r="BF281" s="27">
        <f>IF(BE281=$G280,0,BF280)</f>
        <v>0</v>
      </c>
      <c r="BG281" s="27">
        <f>+BG280</f>
        <v>0</v>
      </c>
      <c r="FJ281" s="61"/>
    </row>
    <row r="282" spans="2:166" s="27" customFormat="1" ht="11.25" hidden="1" x14ac:dyDescent="0.2">
      <c r="B282" s="60"/>
      <c r="F282" s="27">
        <f>SUMIF(H282:BG282,"&gt;0")</f>
        <v>0</v>
      </c>
      <c r="G282" s="27" t="s">
        <v>632</v>
      </c>
      <c r="I282" s="27" t="e">
        <f>-CUMPRINC($F280/12,$E280*12,$D280,H281,I281,0)</f>
        <v>#NUM!</v>
      </c>
      <c r="K282" s="27" t="e">
        <f>-CUMPRINC($F280/12,$E280*12,$D280,J281,K281,0)</f>
        <v>#NUM!</v>
      </c>
      <c r="M282" s="27" t="e">
        <f>-CUMPRINC($F280/12,$E280*12,$D280,L281,M281,0)</f>
        <v>#NUM!</v>
      </c>
      <c r="O282" s="27" t="e">
        <f>-CUMPRINC($F280/12,$E280*12,$D280,N281,O281,0)</f>
        <v>#NUM!</v>
      </c>
      <c r="Q282" s="27" t="e">
        <f>-CUMPRINC($F280/12,$E280*12,$D280,P281,Q281,0)</f>
        <v>#NUM!</v>
      </c>
      <c r="S282" s="27" t="e">
        <f>-CUMPRINC($F280/12,$E280*12,$D280,R281,S281,0)</f>
        <v>#NUM!</v>
      </c>
      <c r="U282" s="27" t="e">
        <f>-CUMPRINC($F280/12,$E280*12,$D280,T281,U281,0)</f>
        <v>#NUM!</v>
      </c>
      <c r="W282" s="27" t="e">
        <f>-CUMPRINC($F280/12,$E280*12,$D280,V281,W281,0)</f>
        <v>#NUM!</v>
      </c>
      <c r="Y282" s="27" t="e">
        <f>-CUMPRINC($F280/12,$E280*12,$D280,X281,Y281,0)</f>
        <v>#NUM!</v>
      </c>
      <c r="AA282" s="27" t="e">
        <f>-CUMPRINC($F280/12,$E280*12,$D280,Z281,AA281,0)</f>
        <v>#NUM!</v>
      </c>
      <c r="AC282" s="27" t="e">
        <f>-CUMPRINC($F280/12,$E280*12,$D280,AB281,AC281,0)</f>
        <v>#NUM!</v>
      </c>
      <c r="AE282" s="27" t="e">
        <f>-CUMPRINC($F280/12,$E280*12,$D280,AD281,AE281,0)</f>
        <v>#NUM!</v>
      </c>
      <c r="AG282" s="27" t="e">
        <f>-CUMPRINC($F280/12,$E280*12,$D280,AF281,AG281,0)</f>
        <v>#NUM!</v>
      </c>
      <c r="AI282" s="27" t="e">
        <f>-CUMPRINC($F280/12,$E280*12,$D280,AH281,AI281,0)</f>
        <v>#NUM!</v>
      </c>
      <c r="AK282" s="27" t="e">
        <f>-CUMPRINC($F280/12,$E280*12,$D280,AJ281,AK281,0)</f>
        <v>#NUM!</v>
      </c>
      <c r="AM282" s="27" t="e">
        <f>-CUMPRINC($F280/12,$E280*12,$D280,AL281,AM281,0)</f>
        <v>#NUM!</v>
      </c>
      <c r="AO282" s="27" t="e">
        <f>-CUMPRINC($F280/12,$E280*12,$D280,AN281,AO281,0)</f>
        <v>#NUM!</v>
      </c>
      <c r="AQ282" s="27" t="e">
        <f>-CUMPRINC($F280/12,$E280*12,$D280,AP281,AQ281,0)</f>
        <v>#NUM!</v>
      </c>
      <c r="AS282" s="27" t="e">
        <f>-CUMPRINC($F280/12,$E280*12,$D280,AR281,AS281,0)</f>
        <v>#NUM!</v>
      </c>
      <c r="AU282" s="27" t="e">
        <f>-CUMPRINC($F280/12,$E280*12,$D280,AT281,AU281,0)</f>
        <v>#NUM!</v>
      </c>
      <c r="AW282" s="27" t="e">
        <f>-CUMPRINC($F280/12,$E280*12,$D280,AV281,AW281,0)</f>
        <v>#NUM!</v>
      </c>
      <c r="AY282" s="27" t="e">
        <f>-CUMPRINC($F280/12,$E280*12,$D280,AX281,AY281,0)</f>
        <v>#NUM!</v>
      </c>
      <c r="BA282" s="27" t="e">
        <f>-CUMPRINC($F280/12,$E280*12,$D280,AZ281,BA281,0)</f>
        <v>#NUM!</v>
      </c>
      <c r="BC282" s="27" t="e">
        <f>-CUMPRINC($F280/12,$E280*12,$D280,BB281,BC281,0)</f>
        <v>#NUM!</v>
      </c>
      <c r="BD282" s="61"/>
      <c r="BE282" s="27" t="e">
        <f>-CUMPRINC($F280/12,$E280*12,$D280,BD281,BE281,0)</f>
        <v>#NUM!</v>
      </c>
      <c r="BG282" s="27" t="e">
        <f>-CUMPRINC($F280/12,$E280*12,$D280,BF281,BG281,0)</f>
        <v>#NUM!</v>
      </c>
      <c r="BH282" s="27" t="s">
        <v>783</v>
      </c>
      <c r="BJ282" s="27" t="e">
        <f>-CUMIPMT($F280/12,$E280*12,$D280,H281,I281,0)</f>
        <v>#NUM!</v>
      </c>
      <c r="BL282" s="27" t="e">
        <f>-CUMIPMT($F280/12,$E280*12,$D280,J281,K281,0)</f>
        <v>#NUM!</v>
      </c>
      <c r="BN282" s="27" t="e">
        <f>-CUMIPMT($F280/12,$E280*12,$D280,L281,M281,0)</f>
        <v>#NUM!</v>
      </c>
      <c r="BP282" s="27" t="e">
        <f>-CUMIPMT($F280/12,$E280*12,$D280,N281,O281,0)</f>
        <v>#NUM!</v>
      </c>
      <c r="BR282" s="27" t="e">
        <f>-CUMIPMT($F280/12,$E280*12,$D280,P281,Q281,0)</f>
        <v>#NUM!</v>
      </c>
      <c r="BT282" s="27" t="e">
        <f>-CUMIPMT($F280/12,$E280*12,$D280,R281,S281,0)</f>
        <v>#NUM!</v>
      </c>
      <c r="BV282" s="27" t="e">
        <f>-CUMIPMT($F280/12,$E280*12,$D280,T281,U281,0)</f>
        <v>#NUM!</v>
      </c>
      <c r="BX282" s="27" t="e">
        <f>-CUMIPMT($F280/12,$E280*12,$D280,V281,W281,0)</f>
        <v>#NUM!</v>
      </c>
      <c r="BZ282" s="27" t="e">
        <f>-CUMIPMT($F280/12,$E280*12,$D280,X281,Y281,0)</f>
        <v>#NUM!</v>
      </c>
      <c r="CB282" s="27" t="e">
        <f>-CUMIPMT($F280/12,$E280*12,$D280,Z281,AA281,0)</f>
        <v>#NUM!</v>
      </c>
      <c r="CD282" s="27" t="e">
        <f>-CUMIPMT($F280/12,$E280*12,$D280,AB281,AC281,0)</f>
        <v>#NUM!</v>
      </c>
      <c r="CF282" s="27" t="e">
        <f>-CUMIPMT($F280/12,$E280*12,$D280,AD281,AE281,0)</f>
        <v>#NUM!</v>
      </c>
      <c r="CH282" s="27" t="e">
        <f>-CUMIPMT($F280/12,$E280*12,$D280,AF281,AG281,0)</f>
        <v>#NUM!</v>
      </c>
      <c r="CJ282" s="27" t="e">
        <f>-CUMIPMT($F280/12,$E280*12,$D280,AH281,AI281,0)</f>
        <v>#NUM!</v>
      </c>
      <c r="CL282" s="27" t="e">
        <f>-CUMIPMT($F280/12,$E280*12,$D280,AJ281,AK281,0)</f>
        <v>#NUM!</v>
      </c>
      <c r="CN282" s="27" t="e">
        <f>-CUMIPMT($F280/12,$E280*12,$D280,AL281,AM281,0)</f>
        <v>#NUM!</v>
      </c>
      <c r="CP282" s="27" t="e">
        <f>-CUMIPMT($F280/12,$E280*12,$D280,AN281,AO281,0)</f>
        <v>#NUM!</v>
      </c>
      <c r="CR282" s="27" t="e">
        <f>-CUMIPMT($F280/12,$E280*12,$D280,AP281,AQ281,0)</f>
        <v>#NUM!</v>
      </c>
      <c r="CT282" s="27" t="e">
        <f>-CUMIPMT($F280/12,$E280*12,$D280,AR281,AS281,0)</f>
        <v>#NUM!</v>
      </c>
      <c r="CV282" s="27" t="e">
        <f>-CUMIPMT($F280/12,$E280*12,$D280,AT281,AU281,0)</f>
        <v>#NUM!</v>
      </c>
      <c r="CX282" s="27" t="e">
        <f>-CUMIPMT($F280/12,$E280*12,$D280,AV281,AW281,0)</f>
        <v>#NUM!</v>
      </c>
      <c r="CZ282" s="27" t="e">
        <f>-CUMIPMT($F280/12,$E280*12,$D280,AX281,AY281,0)</f>
        <v>#NUM!</v>
      </c>
      <c r="DB282" s="27" t="e">
        <f>-CUMIPMT($F280/12,$E280*12,$D280,AZ281,BA281,0)</f>
        <v>#NUM!</v>
      </c>
      <c r="DD282" s="27" t="e">
        <f>-CUMIPMT($F280/12,$E280*12,$D280,BB281,BC281,0)</f>
        <v>#NUM!</v>
      </c>
      <c r="DF282" s="27" t="e">
        <f>-CUMIPMT($F280/12,$E280*12,$D280,BD281,BE281,0)</f>
        <v>#NUM!</v>
      </c>
      <c r="DH282" s="27" t="e">
        <f>-CUMIPMT($F280/12,$E280*12,$D280,BF281,BG281,0)</f>
        <v>#NUM!</v>
      </c>
      <c r="DI282" s="27" t="s">
        <v>784</v>
      </c>
      <c r="DJ282" s="27" t="s">
        <v>785</v>
      </c>
      <c r="DK282" s="27">
        <f>+F282</f>
        <v>0</v>
      </c>
      <c r="DL282" s="27" t="e">
        <f>+DK282-I282</f>
        <v>#NUM!</v>
      </c>
      <c r="DN282" s="27" t="e">
        <f>+DL282-K282</f>
        <v>#NUM!</v>
      </c>
      <c r="DP282" s="27" t="e">
        <f>+DN282-M282</f>
        <v>#NUM!</v>
      </c>
      <c r="DR282" s="27" t="e">
        <f>+DP282-O282</f>
        <v>#NUM!</v>
      </c>
      <c r="DT282" s="27" t="e">
        <f>+DR282-Q282</f>
        <v>#NUM!</v>
      </c>
      <c r="DV282" s="27" t="e">
        <f>+DT282-S282</f>
        <v>#NUM!</v>
      </c>
      <c r="DX282" s="27" t="e">
        <f>+DV282-U282</f>
        <v>#NUM!</v>
      </c>
      <c r="DZ282" s="27" t="e">
        <f>+DX282-W282</f>
        <v>#NUM!</v>
      </c>
      <c r="EB282" s="27" t="e">
        <f>+DZ282-Y282</f>
        <v>#NUM!</v>
      </c>
      <c r="ED282" s="27" t="e">
        <f>+EB282-AA282</f>
        <v>#NUM!</v>
      </c>
      <c r="EF282" s="27" t="e">
        <f>+ED282-AC282</f>
        <v>#NUM!</v>
      </c>
      <c r="EH282" s="27" t="e">
        <f>+EF282-AE282</f>
        <v>#NUM!</v>
      </c>
      <c r="EJ282" s="27" t="e">
        <f>+EH282-AG282</f>
        <v>#NUM!</v>
      </c>
      <c r="EL282" s="27" t="e">
        <f>+EJ282-AI282</f>
        <v>#NUM!</v>
      </c>
      <c r="EN282" s="27" t="e">
        <f>+EL282-AK282</f>
        <v>#NUM!</v>
      </c>
      <c r="EP282" s="27" t="e">
        <f>+EN282-AM282</f>
        <v>#NUM!</v>
      </c>
      <c r="ER282" s="27" t="e">
        <f>+EP282-AO282</f>
        <v>#NUM!</v>
      </c>
      <c r="ET282" s="27" t="e">
        <f>+ER282-AQ282</f>
        <v>#NUM!</v>
      </c>
      <c r="EV282" s="27" t="e">
        <f>+ET282-AS282</f>
        <v>#NUM!</v>
      </c>
      <c r="EX282" s="27" t="e">
        <f>+EV282-AU282</f>
        <v>#NUM!</v>
      </c>
      <c r="EZ282" s="27" t="e">
        <f>+EX282-AW282</f>
        <v>#NUM!</v>
      </c>
      <c r="FB282" s="27" t="e">
        <f>+EZ282-AY282</f>
        <v>#NUM!</v>
      </c>
      <c r="FD282" s="27" t="e">
        <f>+FB282-BA282</f>
        <v>#NUM!</v>
      </c>
      <c r="FF282" s="27" t="e">
        <f>+FD282-BC282</f>
        <v>#NUM!</v>
      </c>
      <c r="FH282" s="27" t="e">
        <f>+FF282-BE282</f>
        <v>#NUM!</v>
      </c>
      <c r="FJ282" s="61" t="e">
        <f>+FH282-BG282</f>
        <v>#NUM!</v>
      </c>
    </row>
    <row r="283" spans="2:166" s="27" customFormat="1" ht="11.25" hidden="1" x14ac:dyDescent="0.2">
      <c r="B283" s="60"/>
      <c r="E283" s="27">
        <f>+F282+F283</f>
        <v>0</v>
      </c>
      <c r="F283" s="27">
        <f>SUMIF(BI282:DH282,"&gt;0")</f>
        <v>0</v>
      </c>
      <c r="I283" s="27">
        <f>IF(ISERROR(I282)=FALSE,I282,0)</f>
        <v>0</v>
      </c>
      <c r="K283" s="27">
        <f>IF(ISERROR(K282)=FALSE,K282,0)</f>
        <v>0</v>
      </c>
      <c r="M283" s="27">
        <f>IF(ISERROR(M282)=FALSE,M282,0)</f>
        <v>0</v>
      </c>
      <c r="O283" s="27">
        <f>IF(ISERROR(O282)=FALSE,O282,0)</f>
        <v>0</v>
      </c>
      <c r="Q283" s="27">
        <f>IF(ISERROR(Q282)=FALSE,Q282,0)</f>
        <v>0</v>
      </c>
      <c r="S283" s="27">
        <f>IF(ISERROR(S282)=FALSE,S282,0)</f>
        <v>0</v>
      </c>
      <c r="U283" s="27">
        <f>IF(ISERROR(U282)=FALSE,U282,0)</f>
        <v>0</v>
      </c>
      <c r="W283" s="27">
        <f>IF(ISERROR(W282)=FALSE,W282,0)</f>
        <v>0</v>
      </c>
      <c r="Y283" s="27">
        <f>IF(ISERROR(Y282)=FALSE,Y282,0)</f>
        <v>0</v>
      </c>
      <c r="AA283" s="27">
        <f>IF(ISERROR(AA282)=FALSE,AA282,0)</f>
        <v>0</v>
      </c>
      <c r="AC283" s="27">
        <f>IF(ISERROR(AC282)=FALSE,AC282,0)</f>
        <v>0</v>
      </c>
      <c r="AE283" s="27">
        <f>IF(ISERROR(AE282)=FALSE,AE282,0)</f>
        <v>0</v>
      </c>
      <c r="AG283" s="27">
        <f>IF(ISERROR(AG282)=FALSE,AG282,0)</f>
        <v>0</v>
      </c>
      <c r="AI283" s="27">
        <f>IF(ISERROR(AI282)=FALSE,AI282,0)</f>
        <v>0</v>
      </c>
      <c r="AK283" s="27">
        <f>IF(ISERROR(AK282)=FALSE,AK282,0)</f>
        <v>0</v>
      </c>
      <c r="AM283" s="27">
        <f>IF(ISERROR(AM282)=FALSE,AM282,0)</f>
        <v>0</v>
      </c>
      <c r="AO283" s="27">
        <f>IF(ISERROR(AO282)=FALSE,AO282,0)</f>
        <v>0</v>
      </c>
      <c r="AQ283" s="27">
        <f>IF(ISERROR(AQ282)=FALSE,AQ282,0)</f>
        <v>0</v>
      </c>
      <c r="AS283" s="27">
        <f>IF(ISERROR(AS282)=FALSE,AS282,0)</f>
        <v>0</v>
      </c>
      <c r="AU283" s="27">
        <f>IF(ISERROR(AU282)=FALSE,AU282,0)</f>
        <v>0</v>
      </c>
      <c r="AW283" s="27">
        <f>IF(ISERROR(AW282)=FALSE,AW282,0)</f>
        <v>0</v>
      </c>
      <c r="AY283" s="27">
        <f>IF(ISERROR(AY282)=FALSE,AY282,0)</f>
        <v>0</v>
      </c>
      <c r="BA283" s="27">
        <f>IF(ISERROR(BA282)=FALSE,BA282,0)</f>
        <v>0</v>
      </c>
      <c r="BC283" s="27">
        <f>IF(ISERROR(BC282)=FALSE,BC282,0)</f>
        <v>0</v>
      </c>
      <c r="BD283" s="61"/>
      <c r="BE283" s="27">
        <f>IF(ISERROR(BE282)=FALSE,BE282,0)</f>
        <v>0</v>
      </c>
      <c r="BG283" s="27">
        <f>IF(ISERROR(BG282)=FALSE,BG282,0)</f>
        <v>0</v>
      </c>
      <c r="FJ283" s="61"/>
    </row>
    <row r="284" spans="2:166" s="27" customFormat="1" ht="11.25" hidden="1" x14ac:dyDescent="0.2">
      <c r="B284" s="60"/>
      <c r="D284" s="27" t="s">
        <v>630</v>
      </c>
      <c r="E284" s="27">
        <f>IF(E280=0,0,E283/(E280*12))</f>
        <v>0</v>
      </c>
      <c r="BD284" s="61"/>
      <c r="FJ284" s="61"/>
    </row>
    <row r="285" spans="2:166" s="27" customFormat="1" ht="11.25" hidden="1" x14ac:dyDescent="0.2">
      <c r="B285" s="60"/>
      <c r="C285" s="27">
        <f>C137</f>
        <v>0</v>
      </c>
      <c r="D285" s="27">
        <f>D137</f>
        <v>0</v>
      </c>
      <c r="E285" s="27">
        <f>E137</f>
        <v>0</v>
      </c>
      <c r="F285" s="27">
        <f>F137</f>
        <v>0</v>
      </c>
      <c r="G285" s="27">
        <f>+$E285*12</f>
        <v>0</v>
      </c>
      <c r="H285" s="27">
        <f>SUMIF($W137:$AH137,$D137,$W$108:$AH$108)</f>
        <v>78</v>
      </c>
      <c r="I285" s="27">
        <f>13-H285</f>
        <v>-65</v>
      </c>
      <c r="J285" s="27">
        <f>IF(I285+1&lt;=$G285,I285+1,($G285-I285)+I285)</f>
        <v>-64</v>
      </c>
      <c r="K285" s="27">
        <f>IF(J285+11&lt;=$G285,J285+11,($G285-J285)+J285)</f>
        <v>-53</v>
      </c>
      <c r="L285" s="27">
        <f>IF(K285+1&lt;=$G285,K285+1,($G285-K285)+K285)</f>
        <v>-52</v>
      </c>
      <c r="M285" s="27">
        <f>IF(L285+11&lt;=$G285,L285+11,($G285-L285)+L285)</f>
        <v>-41</v>
      </c>
      <c r="N285" s="27">
        <f>IF(M285+1&lt;=$G285,M285+1,($G285-M285)+M285)</f>
        <v>-40</v>
      </c>
      <c r="O285" s="27">
        <f>IF(N285+11&lt;=$G285,N285+11,($G285-N285)+N285)</f>
        <v>-29</v>
      </c>
      <c r="P285" s="27">
        <f>IF(O285+1&lt;=$G285,O285+1,($G285-O285)+O285)</f>
        <v>-28</v>
      </c>
      <c r="Q285" s="27">
        <f>IF(P285+11&lt;=$G285,P285+11,($G285-P285)+P285)</f>
        <v>-17</v>
      </c>
      <c r="R285" s="27">
        <f>IF(Q285+1&lt;=$G285,Q285+1,($G285-Q285)+Q285)</f>
        <v>-16</v>
      </c>
      <c r="S285" s="27">
        <f>IF(R285+11&lt;=$G285,R285+11,($G285-R285)+R285)</f>
        <v>-5</v>
      </c>
      <c r="T285" s="27">
        <f>IF(S285+1&lt;=$G285,S285+1,($G285-S285)+S285)</f>
        <v>-4</v>
      </c>
      <c r="U285" s="27">
        <f>IF(T285+11&lt;=$G285,T285+11,($G285-T285)+T285)</f>
        <v>0</v>
      </c>
      <c r="V285" s="27">
        <f>IF(U285+1&lt;=$G285,U285+1,($G285-U285)+U285)</f>
        <v>0</v>
      </c>
      <c r="W285" s="27">
        <f>IF(V285+11&lt;=$G285,V285+11,($G285-V285)+V285)</f>
        <v>0</v>
      </c>
      <c r="X285" s="27">
        <f>IF(W285+1&lt;=$G285,W285+1,($G285-W285)+W285)</f>
        <v>0</v>
      </c>
      <c r="Y285" s="27">
        <f>IF(X285+11&lt;=$G285,X285+11,($G285-X285)+X285)</f>
        <v>0</v>
      </c>
      <c r="Z285" s="27">
        <f>IF(Y285+1&lt;=$G285,Y285+1,($G285-Y285)+Y285)</f>
        <v>0</v>
      </c>
      <c r="AA285" s="27">
        <f>IF(Z285+11&lt;=$G285,Z285+11,($G285-Z285)+Z285)</f>
        <v>0</v>
      </c>
      <c r="AB285" s="27">
        <f>IF(AA285+1&lt;=$G285,AA285+1,($G285-AA285)+AA285)</f>
        <v>0</v>
      </c>
      <c r="AC285" s="27">
        <f>IF(AB285+11&lt;=$G285,AB285+11,($G285-AB285)+AB285)</f>
        <v>0</v>
      </c>
      <c r="AD285" s="27">
        <f>IF(AC285+1&lt;=$G285,AC285+1,($G285-AC285)+AC285)</f>
        <v>0</v>
      </c>
      <c r="AE285" s="27">
        <f>IF(AD285+11&lt;=$G285,AD285+11,($G285-AD285)+AD285)</f>
        <v>0</v>
      </c>
      <c r="AF285" s="27">
        <f>IF(AE285+1&lt;=$G285,AE285+1,($G285-AE285)+AE285)</f>
        <v>0</v>
      </c>
      <c r="AG285" s="27">
        <f>IF(AF285+11&lt;=$G285,AF285+11,($G285-AF285)+AF285)</f>
        <v>0</v>
      </c>
      <c r="AH285" s="27">
        <f>IF(AG285+1&lt;=$G285,AG285+1,($G285-AG285)+AG285)</f>
        <v>0</v>
      </c>
      <c r="AI285" s="27">
        <f>IF(AH285+11&lt;=$G285,AH285+11,($G285-AH285)+AH285)</f>
        <v>0</v>
      </c>
      <c r="AJ285" s="27">
        <f>IF(AI285+1&lt;=$G285,AI285+1,($G285-AI285)+AI285)</f>
        <v>0</v>
      </c>
      <c r="AK285" s="27">
        <f>IF(AJ285+11&lt;=$G285,AJ285+11,($G285-AJ285)+AJ285)</f>
        <v>0</v>
      </c>
      <c r="AL285" s="27">
        <f>IF(AK285+1&lt;=$G285,AK285+1,($G285-AK285)+AK285)</f>
        <v>0</v>
      </c>
      <c r="AM285" s="27">
        <f>IF(AL285+11&lt;=$G285,AL285+11,($G285-AL285)+AL285)</f>
        <v>0</v>
      </c>
      <c r="AN285" s="27">
        <f>IF(AM285+1&lt;=$G285,AM285+1,($G285-AM285)+AM285)</f>
        <v>0</v>
      </c>
      <c r="AO285" s="27">
        <f>IF(AN285+11&lt;=$G285,AN285+11,($G285-AN285)+AN285)</f>
        <v>0</v>
      </c>
      <c r="AP285" s="27">
        <f>IF(AO285+1&lt;=$G285,AO285+1,($G285-AO285)+AO285)</f>
        <v>0</v>
      </c>
      <c r="AQ285" s="27">
        <f>IF(AP285+11&lt;=$G285,AP285+11,($G285-AP285)+AP285)</f>
        <v>0</v>
      </c>
      <c r="AR285" s="27">
        <f>IF(AQ285+1&lt;=$G285,AQ285+1,($G285-AQ285)+AQ285)</f>
        <v>0</v>
      </c>
      <c r="AS285" s="27">
        <f>IF(AR285+11&lt;=$G285,AR285+11,($G285-AR285)+AR285)</f>
        <v>0</v>
      </c>
      <c r="AT285" s="27">
        <f>IF(AS285+1&lt;=$G285,AS285+1,($G285-AS285)+AS285)</f>
        <v>0</v>
      </c>
      <c r="AU285" s="27">
        <f>IF(AT285+11&lt;=$G285,AT285+11,($G285-AT285)+AT285)</f>
        <v>0</v>
      </c>
      <c r="AV285" s="27">
        <f>IF(AU285+1&lt;=$G285,AU285+1,($G285-AU285)+AU285)</f>
        <v>0</v>
      </c>
      <c r="AW285" s="27">
        <f>IF(AV285+11&lt;=$G285,AV285+11,($G285-AV285)+AV285)</f>
        <v>0</v>
      </c>
      <c r="AX285" s="27">
        <f>IF(AW285+1&lt;=$G285,AW285+1,($G285-AW285)+AW285)</f>
        <v>0</v>
      </c>
      <c r="AY285" s="27">
        <f>IF(AX285+11&lt;=$G285,AX285+11,($G285-AX285)+AX285)</f>
        <v>0</v>
      </c>
      <c r="AZ285" s="27">
        <f>IF(AY285+1&lt;=$G285,AY285+1,($G285-AY285)+AY285)</f>
        <v>0</v>
      </c>
      <c r="BA285" s="27">
        <f>IF(AZ285+35&lt;=$G285,AZ285+35,($G285-AZ285)+AZ285)</f>
        <v>0</v>
      </c>
      <c r="BB285" s="27">
        <f>IF(BA285+1&lt;=$G285,BA285+1,($G285-BA285)+BA285)</f>
        <v>0</v>
      </c>
      <c r="BC285" s="27">
        <f>IF(BB285+59&lt;=$G285,BB285+59,($G285-BB285)+BB285)</f>
        <v>0</v>
      </c>
      <c r="BD285" s="61">
        <f>IF(BC285+1&lt;=$G285,BC285+1,($G285-BC285)+BC285)</f>
        <v>0</v>
      </c>
      <c r="BE285" s="27">
        <f>IF(BD285+239&lt;=$G285,BD285+239,($G285-BD285)+BD285)</f>
        <v>0</v>
      </c>
      <c r="BF285" s="27">
        <f>IF(BE285+1&lt;=$G285,BE285+1,($G285-BE285)+BE285)</f>
        <v>0</v>
      </c>
      <c r="BG285" s="27">
        <f>IF(BF285+11&lt;=$G285,BF285+11,($G285-BF285)+BF285)</f>
        <v>0</v>
      </c>
      <c r="FJ285" s="61"/>
    </row>
    <row r="286" spans="2:166" s="27" customFormat="1" ht="11.25" hidden="1" x14ac:dyDescent="0.2">
      <c r="B286" s="60"/>
      <c r="H286" s="27">
        <v>1</v>
      </c>
      <c r="I286" s="27">
        <f>+I285</f>
        <v>-65</v>
      </c>
      <c r="J286" s="27">
        <f>IF(I286=$G285,0,J285)</f>
        <v>-64</v>
      </c>
      <c r="K286" s="27">
        <f>+K285</f>
        <v>-53</v>
      </c>
      <c r="L286" s="27">
        <f>IF(K286=$G285,0,L285)</f>
        <v>-52</v>
      </c>
      <c r="M286" s="27">
        <f>+M285</f>
        <v>-41</v>
      </c>
      <c r="N286" s="27">
        <f>IF(M286=$G285,0,N285)</f>
        <v>-40</v>
      </c>
      <c r="O286" s="27">
        <f>+O285</f>
        <v>-29</v>
      </c>
      <c r="P286" s="27">
        <f>IF(O286=$G285,0,P285)</f>
        <v>-28</v>
      </c>
      <c r="Q286" s="27">
        <f>+Q285</f>
        <v>-17</v>
      </c>
      <c r="R286" s="27">
        <f>IF(Q286=$G285,0,R285)</f>
        <v>-16</v>
      </c>
      <c r="S286" s="27">
        <f>+S285</f>
        <v>-5</v>
      </c>
      <c r="T286" s="27">
        <f>IF(S286=$G285,0,T285)</f>
        <v>-4</v>
      </c>
      <c r="U286" s="27">
        <f>+U285</f>
        <v>0</v>
      </c>
      <c r="V286" s="27">
        <f>IF(U286=$G285,0,V285)</f>
        <v>0</v>
      </c>
      <c r="W286" s="27">
        <f>+W285</f>
        <v>0</v>
      </c>
      <c r="X286" s="27">
        <f>IF(W286=$G285,0,X285)</f>
        <v>0</v>
      </c>
      <c r="Y286" s="27">
        <f>+Y285</f>
        <v>0</v>
      </c>
      <c r="Z286" s="27">
        <f>IF(Y286=$G285,0,Z285)</f>
        <v>0</v>
      </c>
      <c r="AA286" s="27">
        <f>+AA285</f>
        <v>0</v>
      </c>
      <c r="AB286" s="27">
        <f>IF(AA286=$G285,0,AB285)</f>
        <v>0</v>
      </c>
      <c r="AC286" s="27">
        <f>+AC285</f>
        <v>0</v>
      </c>
      <c r="AD286" s="27">
        <f>IF(AC286=$G285,0,AD285)</f>
        <v>0</v>
      </c>
      <c r="AE286" s="27">
        <f>+AE285</f>
        <v>0</v>
      </c>
      <c r="AF286" s="27">
        <f>IF(AE286=$G285,0,AF285)</f>
        <v>0</v>
      </c>
      <c r="AG286" s="27">
        <f>+AG285</f>
        <v>0</v>
      </c>
      <c r="AH286" s="27">
        <f>IF(AG286=$G285,0,AH285)</f>
        <v>0</v>
      </c>
      <c r="AI286" s="27">
        <f>+AI285</f>
        <v>0</v>
      </c>
      <c r="AJ286" s="27">
        <f>IF(AI286=$G285,0,AJ285)</f>
        <v>0</v>
      </c>
      <c r="AK286" s="27">
        <f>+AK285</f>
        <v>0</v>
      </c>
      <c r="AL286" s="27">
        <f>IF(AK286=$G285,0,AL285)</f>
        <v>0</v>
      </c>
      <c r="AM286" s="27">
        <f>+AM285</f>
        <v>0</v>
      </c>
      <c r="AN286" s="27">
        <f>IF(AM286=$G285,0,AN285)</f>
        <v>0</v>
      </c>
      <c r="AO286" s="27">
        <f>+AO285</f>
        <v>0</v>
      </c>
      <c r="AP286" s="27">
        <f>IF(AO286=$G285,0,AP285)</f>
        <v>0</v>
      </c>
      <c r="AQ286" s="27">
        <f>+AQ285</f>
        <v>0</v>
      </c>
      <c r="AR286" s="27">
        <f>IF(AQ286=$G285,0,AR285)</f>
        <v>0</v>
      </c>
      <c r="AS286" s="27">
        <f>+AS285</f>
        <v>0</v>
      </c>
      <c r="AT286" s="27">
        <f>IF(AS286=$G285,0,AT285)</f>
        <v>0</v>
      </c>
      <c r="AU286" s="27">
        <f>+AU285</f>
        <v>0</v>
      </c>
      <c r="AV286" s="27">
        <f>IF(AU286=$G285,0,AV285)</f>
        <v>0</v>
      </c>
      <c r="AW286" s="27">
        <f>+AW285</f>
        <v>0</v>
      </c>
      <c r="AX286" s="27">
        <f>IF(AW286=$G285,0,AX285)</f>
        <v>0</v>
      </c>
      <c r="AY286" s="27">
        <f>+AY285</f>
        <v>0</v>
      </c>
      <c r="AZ286" s="27">
        <f>IF(AY286=$G285,0,AZ285)</f>
        <v>0</v>
      </c>
      <c r="BA286" s="27">
        <f>+BA285</f>
        <v>0</v>
      </c>
      <c r="BB286" s="27">
        <f>IF(BA286=$G285,0,BB285)</f>
        <v>0</v>
      </c>
      <c r="BC286" s="27">
        <f>+BC285</f>
        <v>0</v>
      </c>
      <c r="BD286" s="61">
        <f>IF(BC286=$G285,0,BD285)</f>
        <v>0</v>
      </c>
      <c r="BE286" s="27">
        <f>+BE285</f>
        <v>0</v>
      </c>
      <c r="BF286" s="27">
        <f>IF(BE286=$G285,0,BF285)</f>
        <v>0</v>
      </c>
      <c r="BG286" s="27">
        <f>+BG285</f>
        <v>0</v>
      </c>
      <c r="FJ286" s="61"/>
    </row>
    <row r="287" spans="2:166" s="27" customFormat="1" ht="11.25" hidden="1" x14ac:dyDescent="0.2">
      <c r="B287" s="60"/>
      <c r="F287" s="27">
        <f>SUMIF(H287:BG287,"&gt;0")</f>
        <v>0</v>
      </c>
      <c r="G287" s="27" t="s">
        <v>632</v>
      </c>
      <c r="I287" s="27" t="e">
        <f>-CUMPRINC($F285/12,$E285*12,$D285,H286,I286,0)</f>
        <v>#NUM!</v>
      </c>
      <c r="K287" s="27" t="e">
        <f>-CUMPRINC($F285/12,$E285*12,$D285,J286,K286,0)</f>
        <v>#NUM!</v>
      </c>
      <c r="M287" s="27" t="e">
        <f>-CUMPRINC($F285/12,$E285*12,$D285,L286,M286,0)</f>
        <v>#NUM!</v>
      </c>
      <c r="O287" s="27" t="e">
        <f>-CUMPRINC($F285/12,$E285*12,$D285,N286,O286,0)</f>
        <v>#NUM!</v>
      </c>
      <c r="Q287" s="27" t="e">
        <f>-CUMPRINC($F285/12,$E285*12,$D285,P286,Q286,0)</f>
        <v>#NUM!</v>
      </c>
      <c r="S287" s="27" t="e">
        <f>-CUMPRINC($F285/12,$E285*12,$D285,R286,S286,0)</f>
        <v>#NUM!</v>
      </c>
      <c r="U287" s="27" t="e">
        <f>-CUMPRINC($F285/12,$E285*12,$D285,T286,U286,0)</f>
        <v>#NUM!</v>
      </c>
      <c r="W287" s="27" t="e">
        <f>-CUMPRINC($F285/12,$E285*12,$D285,V286,W286,0)</f>
        <v>#NUM!</v>
      </c>
      <c r="Y287" s="27" t="e">
        <f>-CUMPRINC($F285/12,$E285*12,$D285,X286,Y286,0)</f>
        <v>#NUM!</v>
      </c>
      <c r="AA287" s="27" t="e">
        <f>-CUMPRINC($F285/12,$E285*12,$D285,Z286,AA286,0)</f>
        <v>#NUM!</v>
      </c>
      <c r="AC287" s="27" t="e">
        <f>-CUMPRINC($F285/12,$E285*12,$D285,AB286,AC286,0)</f>
        <v>#NUM!</v>
      </c>
      <c r="AE287" s="27" t="e">
        <f>-CUMPRINC($F285/12,$E285*12,$D285,AD286,AE286,0)</f>
        <v>#NUM!</v>
      </c>
      <c r="AG287" s="27" t="e">
        <f>-CUMPRINC($F285/12,$E285*12,$D285,AF286,AG286,0)</f>
        <v>#NUM!</v>
      </c>
      <c r="AI287" s="27" t="e">
        <f>-CUMPRINC($F285/12,$E285*12,$D285,AH286,AI286,0)</f>
        <v>#NUM!</v>
      </c>
      <c r="AK287" s="27" t="e">
        <f>-CUMPRINC($F285/12,$E285*12,$D285,AJ286,AK286,0)</f>
        <v>#NUM!</v>
      </c>
      <c r="AM287" s="27" t="e">
        <f>-CUMPRINC($F285/12,$E285*12,$D285,AL286,AM286,0)</f>
        <v>#NUM!</v>
      </c>
      <c r="AO287" s="27" t="e">
        <f>-CUMPRINC($F285/12,$E285*12,$D285,AN286,AO286,0)</f>
        <v>#NUM!</v>
      </c>
      <c r="AQ287" s="27" t="e">
        <f>-CUMPRINC($F285/12,$E285*12,$D285,AP286,AQ286,0)</f>
        <v>#NUM!</v>
      </c>
      <c r="AS287" s="27" t="e">
        <f>-CUMPRINC($F285/12,$E285*12,$D285,AR286,AS286,0)</f>
        <v>#NUM!</v>
      </c>
      <c r="AU287" s="27" t="e">
        <f>-CUMPRINC($F285/12,$E285*12,$D285,AT286,AU286,0)</f>
        <v>#NUM!</v>
      </c>
      <c r="AW287" s="27" t="e">
        <f>-CUMPRINC($F285/12,$E285*12,$D285,AV286,AW286,0)</f>
        <v>#NUM!</v>
      </c>
      <c r="AY287" s="27" t="e">
        <f>-CUMPRINC($F285/12,$E285*12,$D285,AX286,AY286,0)</f>
        <v>#NUM!</v>
      </c>
      <c r="BA287" s="27" t="e">
        <f>-CUMPRINC($F285/12,$E285*12,$D285,AZ286,BA286,0)</f>
        <v>#NUM!</v>
      </c>
      <c r="BC287" s="27" t="e">
        <f>-CUMPRINC($F285/12,$E285*12,$D285,BB286,BC286,0)</f>
        <v>#NUM!</v>
      </c>
      <c r="BD287" s="61"/>
      <c r="BE287" s="27" t="e">
        <f>-CUMPRINC($F285/12,$E285*12,$D285,BD286,BE286,0)</f>
        <v>#NUM!</v>
      </c>
      <c r="BG287" s="27" t="e">
        <f>-CUMPRINC($F285/12,$E285*12,$D285,BF286,BG286,0)</f>
        <v>#NUM!</v>
      </c>
      <c r="BH287" s="27" t="s">
        <v>783</v>
      </c>
      <c r="BJ287" s="27" t="e">
        <f>-CUMIPMT($F285/12,$E285*12,$D285,H286,I286,0)</f>
        <v>#NUM!</v>
      </c>
      <c r="BL287" s="27" t="e">
        <f>-CUMIPMT($F285/12,$E285*12,$D285,J286,K286,0)</f>
        <v>#NUM!</v>
      </c>
      <c r="BN287" s="27" t="e">
        <f>-CUMIPMT($F285/12,$E285*12,$D285,L286,M286,0)</f>
        <v>#NUM!</v>
      </c>
      <c r="BP287" s="27" t="e">
        <f>-CUMIPMT($F285/12,$E285*12,$D285,N286,O286,0)</f>
        <v>#NUM!</v>
      </c>
      <c r="BR287" s="27" t="e">
        <f>-CUMIPMT($F285/12,$E285*12,$D285,P286,Q286,0)</f>
        <v>#NUM!</v>
      </c>
      <c r="BT287" s="27" t="e">
        <f>-CUMIPMT($F285/12,$E285*12,$D285,R286,S286,0)</f>
        <v>#NUM!</v>
      </c>
      <c r="BV287" s="27" t="e">
        <f>-CUMIPMT($F285/12,$E285*12,$D285,T286,U286,0)</f>
        <v>#NUM!</v>
      </c>
      <c r="BX287" s="27" t="e">
        <f>-CUMIPMT($F285/12,$E285*12,$D285,V286,W286,0)</f>
        <v>#NUM!</v>
      </c>
      <c r="BZ287" s="27" t="e">
        <f>-CUMIPMT($F285/12,$E285*12,$D285,X286,Y286,0)</f>
        <v>#NUM!</v>
      </c>
      <c r="CB287" s="27" t="e">
        <f>-CUMIPMT($F285/12,$E285*12,$D285,Z286,AA286,0)</f>
        <v>#NUM!</v>
      </c>
      <c r="CD287" s="27" t="e">
        <f>-CUMIPMT($F285/12,$E285*12,$D285,AB286,AC286,0)</f>
        <v>#NUM!</v>
      </c>
      <c r="CF287" s="27" t="e">
        <f>-CUMIPMT($F285/12,$E285*12,$D285,AD286,AE286,0)</f>
        <v>#NUM!</v>
      </c>
      <c r="CH287" s="27" t="e">
        <f>-CUMIPMT($F285/12,$E285*12,$D285,AF286,AG286,0)</f>
        <v>#NUM!</v>
      </c>
      <c r="CJ287" s="27" t="e">
        <f>-CUMIPMT($F285/12,$E285*12,$D285,AH286,AI286,0)</f>
        <v>#NUM!</v>
      </c>
      <c r="CL287" s="27" t="e">
        <f>-CUMIPMT($F285/12,$E285*12,$D285,AJ286,AK286,0)</f>
        <v>#NUM!</v>
      </c>
      <c r="CN287" s="27" t="e">
        <f>-CUMIPMT($F285/12,$E285*12,$D285,AL286,AM286,0)</f>
        <v>#NUM!</v>
      </c>
      <c r="CP287" s="27" t="e">
        <f>-CUMIPMT($F285/12,$E285*12,$D285,AN286,AO286,0)</f>
        <v>#NUM!</v>
      </c>
      <c r="CR287" s="27" t="e">
        <f>-CUMIPMT($F285/12,$E285*12,$D285,AP286,AQ286,0)</f>
        <v>#NUM!</v>
      </c>
      <c r="CT287" s="27" t="e">
        <f>-CUMIPMT($F285/12,$E285*12,$D285,AR286,AS286,0)</f>
        <v>#NUM!</v>
      </c>
      <c r="CV287" s="27" t="e">
        <f>-CUMIPMT($F285/12,$E285*12,$D285,AT286,AU286,0)</f>
        <v>#NUM!</v>
      </c>
      <c r="CX287" s="27" t="e">
        <f>-CUMIPMT($F285/12,$E285*12,$D285,AV286,AW286,0)</f>
        <v>#NUM!</v>
      </c>
      <c r="CZ287" s="27" t="e">
        <f>-CUMIPMT($F285/12,$E285*12,$D285,AX286,AY286,0)</f>
        <v>#NUM!</v>
      </c>
      <c r="DB287" s="27" t="e">
        <f>-CUMIPMT($F285/12,$E285*12,$D285,AZ286,BA286,0)</f>
        <v>#NUM!</v>
      </c>
      <c r="DD287" s="27" t="e">
        <f>-CUMIPMT($F285/12,$E285*12,$D285,BB286,BC286,0)</f>
        <v>#NUM!</v>
      </c>
      <c r="DF287" s="27" t="e">
        <f>-CUMIPMT($F285/12,$E285*12,$D285,BD286,BE286,0)</f>
        <v>#NUM!</v>
      </c>
      <c r="DH287" s="27" t="e">
        <f>-CUMIPMT($F285/12,$E285*12,$D285,BF286,BG286,0)</f>
        <v>#NUM!</v>
      </c>
      <c r="DI287" s="27" t="s">
        <v>784</v>
      </c>
      <c r="DJ287" s="27" t="s">
        <v>785</v>
      </c>
      <c r="DK287" s="27">
        <f>+F287</f>
        <v>0</v>
      </c>
      <c r="DL287" s="27" t="e">
        <f>+DK287-I287</f>
        <v>#NUM!</v>
      </c>
      <c r="DN287" s="27" t="e">
        <f>+DL287-K287</f>
        <v>#NUM!</v>
      </c>
      <c r="DP287" s="27" t="e">
        <f>+DN287-M287</f>
        <v>#NUM!</v>
      </c>
      <c r="DR287" s="27" t="e">
        <f>+DP287-O287</f>
        <v>#NUM!</v>
      </c>
      <c r="DT287" s="27" t="e">
        <f>+DR287-Q287</f>
        <v>#NUM!</v>
      </c>
      <c r="DV287" s="27" t="e">
        <f>+DT287-S287</f>
        <v>#NUM!</v>
      </c>
      <c r="DX287" s="27" t="e">
        <f>+DV287-U287</f>
        <v>#NUM!</v>
      </c>
      <c r="DZ287" s="27" t="e">
        <f>+DX287-W287</f>
        <v>#NUM!</v>
      </c>
      <c r="EB287" s="27" t="e">
        <f>+DZ287-Y287</f>
        <v>#NUM!</v>
      </c>
      <c r="ED287" s="27" t="e">
        <f>+EB287-AA287</f>
        <v>#NUM!</v>
      </c>
      <c r="EF287" s="27" t="e">
        <f>+ED287-AC287</f>
        <v>#NUM!</v>
      </c>
      <c r="EH287" s="27" t="e">
        <f>+EF287-AE287</f>
        <v>#NUM!</v>
      </c>
      <c r="EJ287" s="27" t="e">
        <f>+EH287-AG287</f>
        <v>#NUM!</v>
      </c>
      <c r="EL287" s="27" t="e">
        <f>+EJ287-AI287</f>
        <v>#NUM!</v>
      </c>
      <c r="EN287" s="27" t="e">
        <f>+EL287-AK287</f>
        <v>#NUM!</v>
      </c>
      <c r="EP287" s="27" t="e">
        <f>+EN287-AM287</f>
        <v>#NUM!</v>
      </c>
      <c r="ER287" s="27" t="e">
        <f>+EP287-AO287</f>
        <v>#NUM!</v>
      </c>
      <c r="ET287" s="27" t="e">
        <f>+ER287-AQ287</f>
        <v>#NUM!</v>
      </c>
      <c r="EV287" s="27" t="e">
        <f>+ET287-AS287</f>
        <v>#NUM!</v>
      </c>
      <c r="EX287" s="27" t="e">
        <f>+EV287-AU287</f>
        <v>#NUM!</v>
      </c>
      <c r="EZ287" s="27" t="e">
        <f>+EX287-AW287</f>
        <v>#NUM!</v>
      </c>
      <c r="FB287" s="27" t="e">
        <f>+EZ287-AY287</f>
        <v>#NUM!</v>
      </c>
      <c r="FD287" s="27" t="e">
        <f>+FB287-BA287</f>
        <v>#NUM!</v>
      </c>
      <c r="FF287" s="27" t="e">
        <f>+FD287-BC287</f>
        <v>#NUM!</v>
      </c>
      <c r="FH287" s="27" t="e">
        <f>+FF287-BE287</f>
        <v>#NUM!</v>
      </c>
      <c r="FJ287" s="61" t="e">
        <f>+FH287-BG287</f>
        <v>#NUM!</v>
      </c>
    </row>
    <row r="288" spans="2:166" s="27" customFormat="1" ht="11.25" hidden="1" x14ac:dyDescent="0.2">
      <c r="B288" s="60"/>
      <c r="E288" s="27">
        <f>+F287+F288</f>
        <v>0</v>
      </c>
      <c r="F288" s="27">
        <f>SUMIF(BI287:DH287,"&gt;0")</f>
        <v>0</v>
      </c>
      <c r="I288" s="27">
        <f>IF(ISERROR(I287)=FALSE,I287,0)</f>
        <v>0</v>
      </c>
      <c r="K288" s="27">
        <f>IF(ISERROR(K287)=FALSE,K287,0)</f>
        <v>0</v>
      </c>
      <c r="M288" s="27">
        <f>IF(ISERROR(M287)=FALSE,M287,0)</f>
        <v>0</v>
      </c>
      <c r="O288" s="27">
        <f>IF(ISERROR(O287)=FALSE,O287,0)</f>
        <v>0</v>
      </c>
      <c r="Q288" s="27">
        <f>IF(ISERROR(Q287)=FALSE,Q287,0)</f>
        <v>0</v>
      </c>
      <c r="S288" s="27">
        <f>IF(ISERROR(S287)=FALSE,S287,0)</f>
        <v>0</v>
      </c>
      <c r="U288" s="27">
        <f>IF(ISERROR(U287)=FALSE,U287,0)</f>
        <v>0</v>
      </c>
      <c r="W288" s="27">
        <f>IF(ISERROR(W287)=FALSE,W287,0)</f>
        <v>0</v>
      </c>
      <c r="Y288" s="27">
        <f>IF(ISERROR(Y287)=FALSE,Y287,0)</f>
        <v>0</v>
      </c>
      <c r="AA288" s="27">
        <f>IF(ISERROR(AA287)=FALSE,AA287,0)</f>
        <v>0</v>
      </c>
      <c r="AC288" s="27">
        <f>IF(ISERROR(AC287)=FALSE,AC287,0)</f>
        <v>0</v>
      </c>
      <c r="AE288" s="27">
        <f>IF(ISERROR(AE287)=FALSE,AE287,0)</f>
        <v>0</v>
      </c>
      <c r="AG288" s="27">
        <f>IF(ISERROR(AG287)=FALSE,AG287,0)</f>
        <v>0</v>
      </c>
      <c r="AI288" s="27">
        <f>IF(ISERROR(AI287)=FALSE,AI287,0)</f>
        <v>0</v>
      </c>
      <c r="AK288" s="27">
        <f>IF(ISERROR(AK287)=FALSE,AK287,0)</f>
        <v>0</v>
      </c>
      <c r="AM288" s="27">
        <f>IF(ISERROR(AM287)=FALSE,AM287,0)</f>
        <v>0</v>
      </c>
      <c r="AO288" s="27">
        <f>IF(ISERROR(AO287)=FALSE,AO287,0)</f>
        <v>0</v>
      </c>
      <c r="AQ288" s="27">
        <f>IF(ISERROR(AQ287)=FALSE,AQ287,0)</f>
        <v>0</v>
      </c>
      <c r="AS288" s="27">
        <f>IF(ISERROR(AS287)=FALSE,AS287,0)</f>
        <v>0</v>
      </c>
      <c r="AU288" s="27">
        <f>IF(ISERROR(AU287)=FALSE,AU287,0)</f>
        <v>0</v>
      </c>
      <c r="AW288" s="27">
        <f>IF(ISERROR(AW287)=FALSE,AW287,0)</f>
        <v>0</v>
      </c>
      <c r="AY288" s="27">
        <f>IF(ISERROR(AY287)=FALSE,AY287,0)</f>
        <v>0</v>
      </c>
      <c r="BA288" s="27">
        <f>IF(ISERROR(BA287)=FALSE,BA287,0)</f>
        <v>0</v>
      </c>
      <c r="BC288" s="27">
        <f>IF(ISERROR(BC287)=FALSE,BC287,0)</f>
        <v>0</v>
      </c>
      <c r="BD288" s="61"/>
      <c r="BE288" s="27">
        <f>IF(ISERROR(BE287)=FALSE,BE287,0)</f>
        <v>0</v>
      </c>
      <c r="BG288" s="27">
        <f>IF(ISERROR(BG287)=FALSE,BG287,0)</f>
        <v>0</v>
      </c>
      <c r="FJ288" s="61"/>
    </row>
    <row r="289" spans="2:166" s="27" customFormat="1" ht="11.25" hidden="1" x14ac:dyDescent="0.2">
      <c r="B289" s="60"/>
      <c r="D289" s="27" t="s">
        <v>630</v>
      </c>
      <c r="E289" s="27">
        <f>IF(E285=0,0,E288/(E285*12))</f>
        <v>0</v>
      </c>
      <c r="BD289" s="61"/>
      <c r="FJ289" s="61"/>
    </row>
    <row r="290" spans="2:166" s="27" customFormat="1" ht="11.25" hidden="1" x14ac:dyDescent="0.2">
      <c r="B290" s="60"/>
      <c r="C290" s="27">
        <f>C138</f>
        <v>0</v>
      </c>
      <c r="D290" s="27">
        <f>D138</f>
        <v>0</v>
      </c>
      <c r="E290" s="27">
        <f>E138</f>
        <v>0</v>
      </c>
      <c r="F290" s="27">
        <f>F138</f>
        <v>0</v>
      </c>
      <c r="G290" s="27">
        <f>+$E290*12</f>
        <v>0</v>
      </c>
      <c r="H290" s="27">
        <f>SUMIF($W138:$AH138,$D138,$W$108:$AH$108)</f>
        <v>78</v>
      </c>
      <c r="I290" s="27">
        <f>13-H290</f>
        <v>-65</v>
      </c>
      <c r="J290" s="27">
        <f>IF(I290+1&lt;=$G290,I290+1,($G290-I290)+I290)</f>
        <v>-64</v>
      </c>
      <c r="K290" s="27">
        <f>IF(J290+11&lt;=$G290,J290+11,($G290-J290)+J290)</f>
        <v>-53</v>
      </c>
      <c r="L290" s="27">
        <f>IF(K290+1&lt;=$G290,K290+1,($G290-K290)+K290)</f>
        <v>-52</v>
      </c>
      <c r="M290" s="27">
        <f>IF(L290+11&lt;=$G290,L290+11,($G290-L290)+L290)</f>
        <v>-41</v>
      </c>
      <c r="N290" s="27">
        <f>IF(M290+1&lt;=$G290,M290+1,($G290-M290)+M290)</f>
        <v>-40</v>
      </c>
      <c r="O290" s="27">
        <f>IF(N290+11&lt;=$G290,N290+11,($G290-N290)+N290)</f>
        <v>-29</v>
      </c>
      <c r="P290" s="27">
        <f>IF(O290+1&lt;=$G290,O290+1,($G290-O290)+O290)</f>
        <v>-28</v>
      </c>
      <c r="Q290" s="27">
        <f>IF(P290+11&lt;=$G290,P290+11,($G290-P290)+P290)</f>
        <v>-17</v>
      </c>
      <c r="R290" s="27">
        <f>IF(Q290+1&lt;=$G290,Q290+1,($G290-Q290)+Q290)</f>
        <v>-16</v>
      </c>
      <c r="S290" s="27">
        <f>IF(R290+11&lt;=$G290,R290+11,($G290-R290)+R290)</f>
        <v>-5</v>
      </c>
      <c r="T290" s="27">
        <f>IF(S290+1&lt;=$G290,S290+1,($G290-S290)+S290)</f>
        <v>-4</v>
      </c>
      <c r="U290" s="27">
        <f>IF(T290+11&lt;=$G290,T290+11,($G290-T290)+T290)</f>
        <v>0</v>
      </c>
      <c r="V290" s="27">
        <f>IF(U290+1&lt;=$G290,U290+1,($G290-U290)+U290)</f>
        <v>0</v>
      </c>
      <c r="W290" s="27">
        <f>IF(V290+11&lt;=$G290,V290+11,($G290-V290)+V290)</f>
        <v>0</v>
      </c>
      <c r="X290" s="27">
        <f>IF(W290+1&lt;=$G290,W290+1,($G290-W290)+W290)</f>
        <v>0</v>
      </c>
      <c r="Y290" s="27">
        <f>IF(X290+11&lt;=$G290,X290+11,($G290-X290)+X290)</f>
        <v>0</v>
      </c>
      <c r="Z290" s="27">
        <f>IF(Y290+1&lt;=$G290,Y290+1,($G290-Y290)+Y290)</f>
        <v>0</v>
      </c>
      <c r="AA290" s="27">
        <f>IF(Z290+11&lt;=$G290,Z290+11,($G290-Z290)+Z290)</f>
        <v>0</v>
      </c>
      <c r="AB290" s="27">
        <f>IF(AA290+1&lt;=$G290,AA290+1,($G290-AA290)+AA290)</f>
        <v>0</v>
      </c>
      <c r="AC290" s="27">
        <f>IF(AB290+11&lt;=$G290,AB290+11,($G290-AB290)+AB290)</f>
        <v>0</v>
      </c>
      <c r="AD290" s="27">
        <f>IF(AC290+1&lt;=$G290,AC290+1,($G290-AC290)+AC290)</f>
        <v>0</v>
      </c>
      <c r="AE290" s="27">
        <f>IF(AD290+11&lt;=$G290,AD290+11,($G290-AD290)+AD290)</f>
        <v>0</v>
      </c>
      <c r="AF290" s="27">
        <f>IF(AE290+1&lt;=$G290,AE290+1,($G290-AE290)+AE290)</f>
        <v>0</v>
      </c>
      <c r="AG290" s="27">
        <f>IF(AF290+11&lt;=$G290,AF290+11,($G290-AF290)+AF290)</f>
        <v>0</v>
      </c>
      <c r="AH290" s="27">
        <f>IF(AG290+1&lt;=$G290,AG290+1,($G290-AG290)+AG290)</f>
        <v>0</v>
      </c>
      <c r="AI290" s="27">
        <f>IF(AH290+11&lt;=$G290,AH290+11,($G290-AH290)+AH290)</f>
        <v>0</v>
      </c>
      <c r="AJ290" s="27">
        <f>IF(AI290+1&lt;=$G290,AI290+1,($G290-AI290)+AI290)</f>
        <v>0</v>
      </c>
      <c r="AK290" s="27">
        <f>IF(AJ290+11&lt;=$G290,AJ290+11,($G290-AJ290)+AJ290)</f>
        <v>0</v>
      </c>
      <c r="AL290" s="27">
        <f>IF(AK290+1&lt;=$G290,AK290+1,($G290-AK290)+AK290)</f>
        <v>0</v>
      </c>
      <c r="AM290" s="27">
        <f>IF(AL290+11&lt;=$G290,AL290+11,($G290-AL290)+AL290)</f>
        <v>0</v>
      </c>
      <c r="AN290" s="27">
        <f>IF(AM290+1&lt;=$G290,AM290+1,($G290-AM290)+AM290)</f>
        <v>0</v>
      </c>
      <c r="AO290" s="27">
        <f>IF(AN290+11&lt;=$G290,AN290+11,($G290-AN290)+AN290)</f>
        <v>0</v>
      </c>
      <c r="AP290" s="27">
        <f>IF(AO290+1&lt;=$G290,AO290+1,($G290-AO290)+AO290)</f>
        <v>0</v>
      </c>
      <c r="AQ290" s="27">
        <f>IF(AP290+11&lt;=$G290,AP290+11,($G290-AP290)+AP290)</f>
        <v>0</v>
      </c>
      <c r="AR290" s="27">
        <f>IF(AQ290+1&lt;=$G290,AQ290+1,($G290-AQ290)+AQ290)</f>
        <v>0</v>
      </c>
      <c r="AS290" s="27">
        <f>IF(AR290+11&lt;=$G290,AR290+11,($G290-AR290)+AR290)</f>
        <v>0</v>
      </c>
      <c r="AT290" s="27">
        <f>IF(AS290+1&lt;=$G290,AS290+1,($G290-AS290)+AS290)</f>
        <v>0</v>
      </c>
      <c r="AU290" s="27">
        <f>IF(AT290+11&lt;=$G290,AT290+11,($G290-AT290)+AT290)</f>
        <v>0</v>
      </c>
      <c r="AV290" s="27">
        <f>IF(AU290+1&lt;=$G290,AU290+1,($G290-AU290)+AU290)</f>
        <v>0</v>
      </c>
      <c r="AW290" s="27">
        <f>IF(AV290+11&lt;=$G290,AV290+11,($G290-AV290)+AV290)</f>
        <v>0</v>
      </c>
      <c r="AX290" s="27">
        <f>IF(AW290+1&lt;=$G290,AW290+1,($G290-AW290)+AW290)</f>
        <v>0</v>
      </c>
      <c r="AY290" s="27">
        <f>IF(AX290+11&lt;=$G290,AX290+11,($G290-AX290)+AX290)</f>
        <v>0</v>
      </c>
      <c r="AZ290" s="27">
        <f>IF(AY290+1&lt;=$G290,AY290+1,($G290-AY290)+AY290)</f>
        <v>0</v>
      </c>
      <c r="BA290" s="27">
        <f>IF(AZ290+35&lt;=$G290,AZ290+35,($G290-AZ290)+AZ290)</f>
        <v>0</v>
      </c>
      <c r="BB290" s="27">
        <f>IF(BA290+1&lt;=$G290,BA290+1,($G290-BA290)+BA290)</f>
        <v>0</v>
      </c>
      <c r="BC290" s="27">
        <f>IF(BB290+59&lt;=$G290,BB290+59,($G290-BB290)+BB290)</f>
        <v>0</v>
      </c>
      <c r="BD290" s="61">
        <f>IF(BC290+1&lt;=$G290,BC290+1,($G290-BC290)+BC290)</f>
        <v>0</v>
      </c>
      <c r="BE290" s="27">
        <f>IF(BD290+239&lt;=$G290,BD290+239,($G290-BD290)+BD290)</f>
        <v>0</v>
      </c>
      <c r="BF290" s="27">
        <f>IF(BE290+1&lt;=$G290,BE290+1,($G290-BE290)+BE290)</f>
        <v>0</v>
      </c>
      <c r="BG290" s="27">
        <f>IF(BF290+11&lt;=$G290,BF290+11,($G290-BF290)+BF290)</f>
        <v>0</v>
      </c>
      <c r="FJ290" s="61"/>
    </row>
    <row r="291" spans="2:166" s="27" customFormat="1" ht="11.25" hidden="1" x14ac:dyDescent="0.2">
      <c r="B291" s="60"/>
      <c r="H291" s="27">
        <v>1</v>
      </c>
      <c r="I291" s="27">
        <f>+I290</f>
        <v>-65</v>
      </c>
      <c r="J291" s="27">
        <f>IF(I291=$G290,0,J290)</f>
        <v>-64</v>
      </c>
      <c r="K291" s="27">
        <f>+K290</f>
        <v>-53</v>
      </c>
      <c r="L291" s="27">
        <f>IF(K291=$G290,0,L290)</f>
        <v>-52</v>
      </c>
      <c r="M291" s="27">
        <f>+M290</f>
        <v>-41</v>
      </c>
      <c r="N291" s="27">
        <f>IF(M291=$G290,0,N290)</f>
        <v>-40</v>
      </c>
      <c r="O291" s="27">
        <f>+O290</f>
        <v>-29</v>
      </c>
      <c r="P291" s="27">
        <f>IF(O291=$G290,0,P290)</f>
        <v>-28</v>
      </c>
      <c r="Q291" s="27">
        <f>+Q290</f>
        <v>-17</v>
      </c>
      <c r="R291" s="27">
        <f>IF(Q291=$G290,0,R290)</f>
        <v>-16</v>
      </c>
      <c r="S291" s="27">
        <f>+S290</f>
        <v>-5</v>
      </c>
      <c r="T291" s="27">
        <f>IF(S291=$G290,0,T290)</f>
        <v>-4</v>
      </c>
      <c r="U291" s="27">
        <f>+U290</f>
        <v>0</v>
      </c>
      <c r="V291" s="27">
        <f>IF(U291=$G290,0,V290)</f>
        <v>0</v>
      </c>
      <c r="W291" s="27">
        <f>+W290</f>
        <v>0</v>
      </c>
      <c r="X291" s="27">
        <f>IF(W291=$G290,0,X290)</f>
        <v>0</v>
      </c>
      <c r="Y291" s="27">
        <f>+Y290</f>
        <v>0</v>
      </c>
      <c r="Z291" s="27">
        <f>IF(Y291=$G290,0,Z290)</f>
        <v>0</v>
      </c>
      <c r="AA291" s="27">
        <f>+AA290</f>
        <v>0</v>
      </c>
      <c r="AB291" s="27">
        <f>IF(AA291=$G290,0,AB290)</f>
        <v>0</v>
      </c>
      <c r="AC291" s="27">
        <f>+AC290</f>
        <v>0</v>
      </c>
      <c r="AD291" s="27">
        <f>IF(AC291=$G290,0,AD290)</f>
        <v>0</v>
      </c>
      <c r="AE291" s="27">
        <f>+AE290</f>
        <v>0</v>
      </c>
      <c r="AF291" s="27">
        <f>IF(AE291=$G290,0,AF290)</f>
        <v>0</v>
      </c>
      <c r="AG291" s="27">
        <f>+AG290</f>
        <v>0</v>
      </c>
      <c r="AH291" s="27">
        <f>IF(AG291=$G290,0,AH290)</f>
        <v>0</v>
      </c>
      <c r="AI291" s="27">
        <f>+AI290</f>
        <v>0</v>
      </c>
      <c r="AJ291" s="27">
        <f>IF(AI291=$G290,0,AJ290)</f>
        <v>0</v>
      </c>
      <c r="AK291" s="27">
        <f>+AK290</f>
        <v>0</v>
      </c>
      <c r="AL291" s="27">
        <f>IF(AK291=$G290,0,AL290)</f>
        <v>0</v>
      </c>
      <c r="AM291" s="27">
        <f>+AM290</f>
        <v>0</v>
      </c>
      <c r="AN291" s="27">
        <f>IF(AM291=$G290,0,AN290)</f>
        <v>0</v>
      </c>
      <c r="AO291" s="27">
        <f>+AO290</f>
        <v>0</v>
      </c>
      <c r="AP291" s="27">
        <f>IF(AO291=$G290,0,AP290)</f>
        <v>0</v>
      </c>
      <c r="AQ291" s="27">
        <f>+AQ290</f>
        <v>0</v>
      </c>
      <c r="AR291" s="27">
        <f>IF(AQ291=$G290,0,AR290)</f>
        <v>0</v>
      </c>
      <c r="AS291" s="27">
        <f>+AS290</f>
        <v>0</v>
      </c>
      <c r="AT291" s="27">
        <f>IF(AS291=$G290,0,AT290)</f>
        <v>0</v>
      </c>
      <c r="AU291" s="27">
        <f>+AU290</f>
        <v>0</v>
      </c>
      <c r="AV291" s="27">
        <f>IF(AU291=$G290,0,AV290)</f>
        <v>0</v>
      </c>
      <c r="AW291" s="27">
        <f>+AW290</f>
        <v>0</v>
      </c>
      <c r="AX291" s="27">
        <f>IF(AW291=$G290,0,AX290)</f>
        <v>0</v>
      </c>
      <c r="AY291" s="27">
        <f>+AY290</f>
        <v>0</v>
      </c>
      <c r="AZ291" s="27">
        <f>IF(AY291=$G290,0,AZ290)</f>
        <v>0</v>
      </c>
      <c r="BA291" s="27">
        <f>+BA290</f>
        <v>0</v>
      </c>
      <c r="BB291" s="27">
        <f>IF(BA291=$G290,0,BB290)</f>
        <v>0</v>
      </c>
      <c r="BC291" s="27">
        <f>+BC290</f>
        <v>0</v>
      </c>
      <c r="BD291" s="61">
        <f>IF(BC291=$G290,0,BD290)</f>
        <v>0</v>
      </c>
      <c r="BE291" s="27">
        <f>+BE290</f>
        <v>0</v>
      </c>
      <c r="BF291" s="27">
        <f>IF(BE291=$G290,0,BF290)</f>
        <v>0</v>
      </c>
      <c r="BG291" s="27">
        <f>+BG290</f>
        <v>0</v>
      </c>
      <c r="FJ291" s="61"/>
    </row>
    <row r="292" spans="2:166" s="27" customFormat="1" ht="11.25" hidden="1" x14ac:dyDescent="0.2">
      <c r="B292" s="60"/>
      <c r="F292" s="27">
        <f>SUMIF(H292:BG292,"&gt;0")</f>
        <v>0</v>
      </c>
      <c r="G292" s="27" t="s">
        <v>632</v>
      </c>
      <c r="I292" s="27" t="e">
        <f>-CUMPRINC($F290/12,$E290*12,$D290,H291,I291,0)</f>
        <v>#NUM!</v>
      </c>
      <c r="K292" s="27" t="e">
        <f>-CUMPRINC($F290/12,$E290*12,$D290,J291,K291,0)</f>
        <v>#NUM!</v>
      </c>
      <c r="M292" s="27" t="e">
        <f>-CUMPRINC($F290/12,$E290*12,$D290,L291,M291,0)</f>
        <v>#NUM!</v>
      </c>
      <c r="O292" s="27" t="e">
        <f>-CUMPRINC($F290/12,$E290*12,$D290,N291,O291,0)</f>
        <v>#NUM!</v>
      </c>
      <c r="Q292" s="27" t="e">
        <f>-CUMPRINC($F290/12,$E290*12,$D290,P291,Q291,0)</f>
        <v>#NUM!</v>
      </c>
      <c r="S292" s="27" t="e">
        <f>-CUMPRINC($F290/12,$E290*12,$D290,R291,S291,0)</f>
        <v>#NUM!</v>
      </c>
      <c r="U292" s="27" t="e">
        <f>-CUMPRINC($F290/12,$E290*12,$D290,T291,U291,0)</f>
        <v>#NUM!</v>
      </c>
      <c r="W292" s="27" t="e">
        <f>-CUMPRINC($F290/12,$E290*12,$D290,V291,W291,0)</f>
        <v>#NUM!</v>
      </c>
      <c r="Y292" s="27" t="e">
        <f>-CUMPRINC($F290/12,$E290*12,$D290,X291,Y291,0)</f>
        <v>#NUM!</v>
      </c>
      <c r="AA292" s="27" t="e">
        <f>-CUMPRINC($F290/12,$E290*12,$D290,Z291,AA291,0)</f>
        <v>#NUM!</v>
      </c>
      <c r="AC292" s="27" t="e">
        <f>-CUMPRINC($F290/12,$E290*12,$D290,AB291,AC291,0)</f>
        <v>#NUM!</v>
      </c>
      <c r="AE292" s="27" t="e">
        <f>-CUMPRINC($F290/12,$E290*12,$D290,AD291,AE291,0)</f>
        <v>#NUM!</v>
      </c>
      <c r="AG292" s="27" t="e">
        <f>-CUMPRINC($F290/12,$E290*12,$D290,AF291,AG291,0)</f>
        <v>#NUM!</v>
      </c>
      <c r="AI292" s="27" t="e">
        <f>-CUMPRINC($F290/12,$E290*12,$D290,AH291,AI291,0)</f>
        <v>#NUM!</v>
      </c>
      <c r="AK292" s="27" t="e">
        <f>-CUMPRINC($F290/12,$E290*12,$D290,AJ291,AK291,0)</f>
        <v>#NUM!</v>
      </c>
      <c r="AM292" s="27" t="e">
        <f>-CUMPRINC($F290/12,$E290*12,$D290,AL291,AM291,0)</f>
        <v>#NUM!</v>
      </c>
      <c r="AO292" s="27" t="e">
        <f>-CUMPRINC($F290/12,$E290*12,$D290,AN291,AO291,0)</f>
        <v>#NUM!</v>
      </c>
      <c r="AQ292" s="27" t="e">
        <f>-CUMPRINC($F290/12,$E290*12,$D290,AP291,AQ291,0)</f>
        <v>#NUM!</v>
      </c>
      <c r="AS292" s="27" t="e">
        <f>-CUMPRINC($F290/12,$E290*12,$D290,AR291,AS291,0)</f>
        <v>#NUM!</v>
      </c>
      <c r="AU292" s="27" t="e">
        <f>-CUMPRINC($F290/12,$E290*12,$D290,AT291,AU291,0)</f>
        <v>#NUM!</v>
      </c>
      <c r="AW292" s="27" t="e">
        <f>-CUMPRINC($F290/12,$E290*12,$D290,AV291,AW291,0)</f>
        <v>#NUM!</v>
      </c>
      <c r="AY292" s="27" t="e">
        <f>-CUMPRINC($F290/12,$E290*12,$D290,AX291,AY291,0)</f>
        <v>#NUM!</v>
      </c>
      <c r="BA292" s="27" t="e">
        <f>-CUMPRINC($F290/12,$E290*12,$D290,AZ291,BA291,0)</f>
        <v>#NUM!</v>
      </c>
      <c r="BC292" s="27" t="e">
        <f>-CUMPRINC($F290/12,$E290*12,$D290,BB291,BC291,0)</f>
        <v>#NUM!</v>
      </c>
      <c r="BD292" s="61"/>
      <c r="BE292" s="27" t="e">
        <f>-CUMPRINC($F290/12,$E290*12,$D290,BD291,BE291,0)</f>
        <v>#NUM!</v>
      </c>
      <c r="BG292" s="27" t="e">
        <f>-CUMPRINC($F290/12,$E290*12,$D290,BF291,BG291,0)</f>
        <v>#NUM!</v>
      </c>
      <c r="BH292" s="27" t="s">
        <v>783</v>
      </c>
      <c r="BJ292" s="27" t="e">
        <f>-CUMIPMT($F290/12,$E290*12,$D290,H291,I291,0)</f>
        <v>#NUM!</v>
      </c>
      <c r="BL292" s="27" t="e">
        <f>-CUMIPMT($F290/12,$E290*12,$D290,J291,K291,0)</f>
        <v>#NUM!</v>
      </c>
      <c r="BN292" s="27" t="e">
        <f>-CUMIPMT($F290/12,$E290*12,$D290,L291,M291,0)</f>
        <v>#NUM!</v>
      </c>
      <c r="BP292" s="27" t="e">
        <f>-CUMIPMT($F290/12,$E290*12,$D290,N291,O291,0)</f>
        <v>#NUM!</v>
      </c>
      <c r="BR292" s="27" t="e">
        <f>-CUMIPMT($F290/12,$E290*12,$D290,P291,Q291,0)</f>
        <v>#NUM!</v>
      </c>
      <c r="BT292" s="27" t="e">
        <f>-CUMIPMT($F290/12,$E290*12,$D290,R291,S291,0)</f>
        <v>#NUM!</v>
      </c>
      <c r="BV292" s="27" t="e">
        <f>-CUMIPMT($F290/12,$E290*12,$D290,T291,U291,0)</f>
        <v>#NUM!</v>
      </c>
      <c r="BX292" s="27" t="e">
        <f>-CUMIPMT($F290/12,$E290*12,$D290,V291,W291,0)</f>
        <v>#NUM!</v>
      </c>
      <c r="BZ292" s="27" t="e">
        <f>-CUMIPMT($F290/12,$E290*12,$D290,X291,Y291,0)</f>
        <v>#NUM!</v>
      </c>
      <c r="CB292" s="27" t="e">
        <f>-CUMIPMT($F290/12,$E290*12,$D290,Z291,AA291,0)</f>
        <v>#NUM!</v>
      </c>
      <c r="CD292" s="27" t="e">
        <f>-CUMIPMT($F290/12,$E290*12,$D290,AB291,AC291,0)</f>
        <v>#NUM!</v>
      </c>
      <c r="CF292" s="27" t="e">
        <f>-CUMIPMT($F290/12,$E290*12,$D290,AD291,AE291,0)</f>
        <v>#NUM!</v>
      </c>
      <c r="CH292" s="27" t="e">
        <f>-CUMIPMT($F290/12,$E290*12,$D290,AF291,AG291,0)</f>
        <v>#NUM!</v>
      </c>
      <c r="CJ292" s="27" t="e">
        <f>-CUMIPMT($F290/12,$E290*12,$D290,AH291,AI291,0)</f>
        <v>#NUM!</v>
      </c>
      <c r="CL292" s="27" t="e">
        <f>-CUMIPMT($F290/12,$E290*12,$D290,AJ291,AK291,0)</f>
        <v>#NUM!</v>
      </c>
      <c r="CN292" s="27" t="e">
        <f>-CUMIPMT($F290/12,$E290*12,$D290,AL291,AM291,0)</f>
        <v>#NUM!</v>
      </c>
      <c r="CP292" s="27" t="e">
        <f>-CUMIPMT($F290/12,$E290*12,$D290,AN291,AO291,0)</f>
        <v>#NUM!</v>
      </c>
      <c r="CR292" s="27" t="e">
        <f>-CUMIPMT($F290/12,$E290*12,$D290,AP291,AQ291,0)</f>
        <v>#NUM!</v>
      </c>
      <c r="CT292" s="27" t="e">
        <f>-CUMIPMT($F290/12,$E290*12,$D290,AR291,AS291,0)</f>
        <v>#NUM!</v>
      </c>
      <c r="CV292" s="27" t="e">
        <f>-CUMIPMT($F290/12,$E290*12,$D290,AT291,AU291,0)</f>
        <v>#NUM!</v>
      </c>
      <c r="CX292" s="27" t="e">
        <f>-CUMIPMT($F290/12,$E290*12,$D290,AV291,AW291,0)</f>
        <v>#NUM!</v>
      </c>
      <c r="CZ292" s="27" t="e">
        <f>-CUMIPMT($F290/12,$E290*12,$D290,AX291,AY291,0)</f>
        <v>#NUM!</v>
      </c>
      <c r="DB292" s="27" t="e">
        <f>-CUMIPMT($F290/12,$E290*12,$D290,AZ291,BA291,0)</f>
        <v>#NUM!</v>
      </c>
      <c r="DD292" s="27" t="e">
        <f>-CUMIPMT($F290/12,$E290*12,$D290,BB291,BC291,0)</f>
        <v>#NUM!</v>
      </c>
      <c r="DF292" s="27" t="e">
        <f>-CUMIPMT($F290/12,$E290*12,$D290,BD291,BE291,0)</f>
        <v>#NUM!</v>
      </c>
      <c r="DH292" s="27" t="e">
        <f>-CUMIPMT($F290/12,$E290*12,$D290,BF291,BG291,0)</f>
        <v>#NUM!</v>
      </c>
      <c r="DI292" s="27" t="s">
        <v>784</v>
      </c>
      <c r="DJ292" s="27" t="s">
        <v>785</v>
      </c>
      <c r="DK292" s="27">
        <f>+F292</f>
        <v>0</v>
      </c>
      <c r="DL292" s="27" t="e">
        <f>+DK292-I292</f>
        <v>#NUM!</v>
      </c>
      <c r="DN292" s="27" t="e">
        <f>+DL292-K292</f>
        <v>#NUM!</v>
      </c>
      <c r="DP292" s="27" t="e">
        <f>+DN292-M292</f>
        <v>#NUM!</v>
      </c>
      <c r="DR292" s="27" t="e">
        <f>+DP292-O292</f>
        <v>#NUM!</v>
      </c>
      <c r="DT292" s="27" t="e">
        <f>+DR292-Q292</f>
        <v>#NUM!</v>
      </c>
      <c r="DV292" s="27" t="e">
        <f>+DT292-S292</f>
        <v>#NUM!</v>
      </c>
      <c r="DX292" s="27" t="e">
        <f>+DV292-U292</f>
        <v>#NUM!</v>
      </c>
      <c r="DZ292" s="27" t="e">
        <f>+DX292-W292</f>
        <v>#NUM!</v>
      </c>
      <c r="EB292" s="27" t="e">
        <f>+DZ292-Y292</f>
        <v>#NUM!</v>
      </c>
      <c r="ED292" s="27" t="e">
        <f>+EB292-AA292</f>
        <v>#NUM!</v>
      </c>
      <c r="EF292" s="27" t="e">
        <f>+ED292-AC292</f>
        <v>#NUM!</v>
      </c>
      <c r="EH292" s="27" t="e">
        <f>+EF292-AE292</f>
        <v>#NUM!</v>
      </c>
      <c r="EJ292" s="27" t="e">
        <f>+EH292-AG292</f>
        <v>#NUM!</v>
      </c>
      <c r="EL292" s="27" t="e">
        <f>+EJ292-AI292</f>
        <v>#NUM!</v>
      </c>
      <c r="EN292" s="27" t="e">
        <f>+EL292-AK292</f>
        <v>#NUM!</v>
      </c>
      <c r="EP292" s="27" t="e">
        <f>+EN292-AM292</f>
        <v>#NUM!</v>
      </c>
      <c r="ER292" s="27" t="e">
        <f>+EP292-AO292</f>
        <v>#NUM!</v>
      </c>
      <c r="ET292" s="27" t="e">
        <f>+ER292-AQ292</f>
        <v>#NUM!</v>
      </c>
      <c r="EV292" s="27" t="e">
        <f>+ET292-AS292</f>
        <v>#NUM!</v>
      </c>
      <c r="EX292" s="27" t="e">
        <f>+EV292-AU292</f>
        <v>#NUM!</v>
      </c>
      <c r="EZ292" s="27" t="e">
        <f>+EX292-AW292</f>
        <v>#NUM!</v>
      </c>
      <c r="FB292" s="27" t="e">
        <f>+EZ292-AY292</f>
        <v>#NUM!</v>
      </c>
      <c r="FD292" s="27" t="e">
        <f>+FB292-BA292</f>
        <v>#NUM!</v>
      </c>
      <c r="FF292" s="27" t="e">
        <f>+FD292-BC292</f>
        <v>#NUM!</v>
      </c>
      <c r="FH292" s="27" t="e">
        <f>+FF292-BE292</f>
        <v>#NUM!</v>
      </c>
      <c r="FJ292" s="61" t="e">
        <f>+FH292-BG292</f>
        <v>#NUM!</v>
      </c>
    </row>
    <row r="293" spans="2:166" s="27" customFormat="1" ht="11.25" hidden="1" x14ac:dyDescent="0.2">
      <c r="B293" s="60"/>
      <c r="E293" s="27">
        <f>+F292+F293</f>
        <v>0</v>
      </c>
      <c r="F293" s="27">
        <f>SUMIF(BI292:DH292,"&gt;0")</f>
        <v>0</v>
      </c>
      <c r="I293" s="27">
        <f>IF(ISERROR(I292)=FALSE,I292,0)</f>
        <v>0</v>
      </c>
      <c r="K293" s="27">
        <f>IF(ISERROR(K292)=FALSE,K292,0)</f>
        <v>0</v>
      </c>
      <c r="M293" s="27">
        <f>IF(ISERROR(M292)=FALSE,M292,0)</f>
        <v>0</v>
      </c>
      <c r="O293" s="27">
        <f>IF(ISERROR(O292)=FALSE,O292,0)</f>
        <v>0</v>
      </c>
      <c r="Q293" s="27">
        <f>IF(ISERROR(Q292)=FALSE,Q292,0)</f>
        <v>0</v>
      </c>
      <c r="S293" s="27">
        <f>IF(ISERROR(S292)=FALSE,S292,0)</f>
        <v>0</v>
      </c>
      <c r="U293" s="27">
        <f>IF(ISERROR(U292)=FALSE,U292,0)</f>
        <v>0</v>
      </c>
      <c r="W293" s="27">
        <f>IF(ISERROR(W292)=FALSE,W292,0)</f>
        <v>0</v>
      </c>
      <c r="Y293" s="27">
        <f>IF(ISERROR(Y292)=FALSE,Y292,0)</f>
        <v>0</v>
      </c>
      <c r="AA293" s="27">
        <f>IF(ISERROR(AA292)=FALSE,AA292,0)</f>
        <v>0</v>
      </c>
      <c r="AC293" s="27">
        <f>IF(ISERROR(AC292)=FALSE,AC292,0)</f>
        <v>0</v>
      </c>
      <c r="AE293" s="27">
        <f>IF(ISERROR(AE292)=FALSE,AE292,0)</f>
        <v>0</v>
      </c>
      <c r="AG293" s="27">
        <f>IF(ISERROR(AG292)=FALSE,AG292,0)</f>
        <v>0</v>
      </c>
      <c r="AI293" s="27">
        <f>IF(ISERROR(AI292)=FALSE,AI292,0)</f>
        <v>0</v>
      </c>
      <c r="AK293" s="27">
        <f>IF(ISERROR(AK292)=FALSE,AK292,0)</f>
        <v>0</v>
      </c>
      <c r="AM293" s="27">
        <f>IF(ISERROR(AM292)=FALSE,AM292,0)</f>
        <v>0</v>
      </c>
      <c r="AO293" s="27">
        <f>IF(ISERROR(AO292)=FALSE,AO292,0)</f>
        <v>0</v>
      </c>
      <c r="AQ293" s="27">
        <f>IF(ISERROR(AQ292)=FALSE,AQ292,0)</f>
        <v>0</v>
      </c>
      <c r="AS293" s="27">
        <f>IF(ISERROR(AS292)=FALSE,AS292,0)</f>
        <v>0</v>
      </c>
      <c r="AU293" s="27">
        <f>IF(ISERROR(AU292)=FALSE,AU292,0)</f>
        <v>0</v>
      </c>
      <c r="AW293" s="27">
        <f>IF(ISERROR(AW292)=FALSE,AW292,0)</f>
        <v>0</v>
      </c>
      <c r="AY293" s="27">
        <f>IF(ISERROR(AY292)=FALSE,AY292,0)</f>
        <v>0</v>
      </c>
      <c r="BA293" s="27">
        <f>IF(ISERROR(BA292)=FALSE,BA292,0)</f>
        <v>0</v>
      </c>
      <c r="BC293" s="27">
        <f>IF(ISERROR(BC292)=FALSE,BC292,0)</f>
        <v>0</v>
      </c>
      <c r="BD293" s="61"/>
      <c r="BE293" s="27">
        <f>IF(ISERROR(BE292)=FALSE,BE292,0)</f>
        <v>0</v>
      </c>
      <c r="BG293" s="27">
        <f>IF(ISERROR(BG292)=FALSE,BG292,0)</f>
        <v>0</v>
      </c>
      <c r="FJ293" s="61"/>
    </row>
    <row r="294" spans="2:166" s="27" customFormat="1" ht="11.25" hidden="1" x14ac:dyDescent="0.2">
      <c r="B294" s="60"/>
      <c r="D294" s="27" t="s">
        <v>630</v>
      </c>
      <c r="E294" s="27">
        <f>IF(E290=0,0,E293/(E290*12))</f>
        <v>0</v>
      </c>
      <c r="BD294" s="61"/>
      <c r="FJ294" s="61"/>
    </row>
    <row r="295" spans="2:166" s="27" customFormat="1" ht="11.25" hidden="1" x14ac:dyDescent="0.2">
      <c r="B295" s="60"/>
      <c r="C295" s="27">
        <f>C139</f>
        <v>0</v>
      </c>
      <c r="D295" s="27">
        <f>D139</f>
        <v>0</v>
      </c>
      <c r="E295" s="27">
        <f>E139</f>
        <v>0</v>
      </c>
      <c r="F295" s="27">
        <f>F139</f>
        <v>0</v>
      </c>
      <c r="G295" s="27">
        <f>+$E295*12</f>
        <v>0</v>
      </c>
      <c r="H295" s="27">
        <f>SUMIF($W139:$AH139,$D139,$W$108:$AH$108)</f>
        <v>78</v>
      </c>
      <c r="I295" s="27">
        <f>13-H295</f>
        <v>-65</v>
      </c>
      <c r="J295" s="27">
        <f>IF(I295+1&lt;=$G295,I295+1,($G295-I295)+I295)</f>
        <v>-64</v>
      </c>
      <c r="K295" s="27">
        <f>IF(J295+11&lt;=$G295,J295+11,($G295-J295)+J295)</f>
        <v>-53</v>
      </c>
      <c r="L295" s="27">
        <f>IF(K295+1&lt;=$G295,K295+1,($G295-K295)+K295)</f>
        <v>-52</v>
      </c>
      <c r="M295" s="27">
        <f>IF(L295+11&lt;=$G295,L295+11,($G295-L295)+L295)</f>
        <v>-41</v>
      </c>
      <c r="N295" s="27">
        <f>IF(M295+1&lt;=$G295,M295+1,($G295-M295)+M295)</f>
        <v>-40</v>
      </c>
      <c r="O295" s="27">
        <f>IF(N295+11&lt;=$G295,N295+11,($G295-N295)+N295)</f>
        <v>-29</v>
      </c>
      <c r="P295" s="27">
        <f>IF(O295+1&lt;=$G295,O295+1,($G295-O295)+O295)</f>
        <v>-28</v>
      </c>
      <c r="Q295" s="27">
        <f>IF(P295+11&lt;=$G295,P295+11,($G295-P295)+P295)</f>
        <v>-17</v>
      </c>
      <c r="R295" s="27">
        <f>IF(Q295+1&lt;=$G295,Q295+1,($G295-Q295)+Q295)</f>
        <v>-16</v>
      </c>
      <c r="S295" s="27">
        <f>IF(R295+11&lt;=$G295,R295+11,($G295-R295)+R295)</f>
        <v>-5</v>
      </c>
      <c r="T295" s="27">
        <f>IF(S295+1&lt;=$G295,S295+1,($G295-S295)+S295)</f>
        <v>-4</v>
      </c>
      <c r="U295" s="27">
        <f>IF(T295+11&lt;=$G295,T295+11,($G295-T295)+T295)</f>
        <v>0</v>
      </c>
      <c r="V295" s="27">
        <f>IF(U295+1&lt;=$G295,U295+1,($G295-U295)+U295)</f>
        <v>0</v>
      </c>
      <c r="W295" s="27">
        <f>IF(V295+11&lt;=$G295,V295+11,($G295-V295)+V295)</f>
        <v>0</v>
      </c>
      <c r="X295" s="27">
        <f>IF(W295+1&lt;=$G295,W295+1,($G295-W295)+W295)</f>
        <v>0</v>
      </c>
      <c r="Y295" s="27">
        <f>IF(X295+11&lt;=$G295,X295+11,($G295-X295)+X295)</f>
        <v>0</v>
      </c>
      <c r="Z295" s="27">
        <f>IF(Y295+1&lt;=$G295,Y295+1,($G295-Y295)+Y295)</f>
        <v>0</v>
      </c>
      <c r="AA295" s="27">
        <f>IF(Z295+11&lt;=$G295,Z295+11,($G295-Z295)+Z295)</f>
        <v>0</v>
      </c>
      <c r="AB295" s="27">
        <f>IF(AA295+1&lt;=$G295,AA295+1,($G295-AA295)+AA295)</f>
        <v>0</v>
      </c>
      <c r="AC295" s="27">
        <f>IF(AB295+11&lt;=$G295,AB295+11,($G295-AB295)+AB295)</f>
        <v>0</v>
      </c>
      <c r="AD295" s="27">
        <f>IF(AC295+1&lt;=$G295,AC295+1,($G295-AC295)+AC295)</f>
        <v>0</v>
      </c>
      <c r="AE295" s="27">
        <f>IF(AD295+11&lt;=$G295,AD295+11,($G295-AD295)+AD295)</f>
        <v>0</v>
      </c>
      <c r="AF295" s="27">
        <f>IF(AE295+1&lt;=$G295,AE295+1,($G295-AE295)+AE295)</f>
        <v>0</v>
      </c>
      <c r="AG295" s="27">
        <f>IF(AF295+11&lt;=$G295,AF295+11,($G295-AF295)+AF295)</f>
        <v>0</v>
      </c>
      <c r="AH295" s="27">
        <f>IF(AG295+1&lt;=$G295,AG295+1,($G295-AG295)+AG295)</f>
        <v>0</v>
      </c>
      <c r="AI295" s="27">
        <f>IF(AH295+11&lt;=$G295,AH295+11,($G295-AH295)+AH295)</f>
        <v>0</v>
      </c>
      <c r="AJ295" s="27">
        <f>IF(AI295+1&lt;=$G295,AI295+1,($G295-AI295)+AI295)</f>
        <v>0</v>
      </c>
      <c r="AK295" s="27">
        <f>IF(AJ295+11&lt;=$G295,AJ295+11,($G295-AJ295)+AJ295)</f>
        <v>0</v>
      </c>
      <c r="AL295" s="27">
        <f>IF(AK295+1&lt;=$G295,AK295+1,($G295-AK295)+AK295)</f>
        <v>0</v>
      </c>
      <c r="AM295" s="27">
        <f>IF(AL295+11&lt;=$G295,AL295+11,($G295-AL295)+AL295)</f>
        <v>0</v>
      </c>
      <c r="AN295" s="27">
        <f>IF(AM295+1&lt;=$G295,AM295+1,($G295-AM295)+AM295)</f>
        <v>0</v>
      </c>
      <c r="AO295" s="27">
        <f>IF(AN295+11&lt;=$G295,AN295+11,($G295-AN295)+AN295)</f>
        <v>0</v>
      </c>
      <c r="AP295" s="27">
        <f>IF(AO295+1&lt;=$G295,AO295+1,($G295-AO295)+AO295)</f>
        <v>0</v>
      </c>
      <c r="AQ295" s="27">
        <f>IF(AP295+11&lt;=$G295,AP295+11,($G295-AP295)+AP295)</f>
        <v>0</v>
      </c>
      <c r="AR295" s="27">
        <f>IF(AQ295+1&lt;=$G295,AQ295+1,($G295-AQ295)+AQ295)</f>
        <v>0</v>
      </c>
      <c r="AS295" s="27">
        <f>IF(AR295+11&lt;=$G295,AR295+11,($G295-AR295)+AR295)</f>
        <v>0</v>
      </c>
      <c r="AT295" s="27">
        <f>IF(AS295+1&lt;=$G295,AS295+1,($G295-AS295)+AS295)</f>
        <v>0</v>
      </c>
      <c r="AU295" s="27">
        <f>IF(AT295+11&lt;=$G295,AT295+11,($G295-AT295)+AT295)</f>
        <v>0</v>
      </c>
      <c r="AV295" s="27">
        <f>IF(AU295+1&lt;=$G295,AU295+1,($G295-AU295)+AU295)</f>
        <v>0</v>
      </c>
      <c r="AW295" s="27">
        <f>IF(AV295+11&lt;=$G295,AV295+11,($G295-AV295)+AV295)</f>
        <v>0</v>
      </c>
      <c r="AX295" s="27">
        <f>IF(AW295+1&lt;=$G295,AW295+1,($G295-AW295)+AW295)</f>
        <v>0</v>
      </c>
      <c r="AY295" s="27">
        <f>IF(AX295+11&lt;=$G295,AX295+11,($G295-AX295)+AX295)</f>
        <v>0</v>
      </c>
      <c r="AZ295" s="27">
        <f>IF(AY295+1&lt;=$G295,AY295+1,($G295-AY295)+AY295)</f>
        <v>0</v>
      </c>
      <c r="BA295" s="27">
        <f>IF(AZ295+35&lt;=$G295,AZ295+35,($G295-AZ295)+AZ295)</f>
        <v>0</v>
      </c>
      <c r="BB295" s="27">
        <f>IF(BA295+1&lt;=$G295,BA295+1,($G295-BA295)+BA295)</f>
        <v>0</v>
      </c>
      <c r="BC295" s="27">
        <f>IF(BB295+59&lt;=$G295,BB295+59,($G295-BB295)+BB295)</f>
        <v>0</v>
      </c>
      <c r="BD295" s="61">
        <f>IF(BC295+1&lt;=$G295,BC295+1,($G295-BC295)+BC295)</f>
        <v>0</v>
      </c>
      <c r="BE295" s="27">
        <f>IF(BD295+239&lt;=$G295,BD295+239,($G295-BD295)+BD295)</f>
        <v>0</v>
      </c>
      <c r="BF295" s="27">
        <f>IF(BE295+1&lt;=$G295,BE295+1,($G295-BE295)+BE295)</f>
        <v>0</v>
      </c>
      <c r="BG295" s="27">
        <f>IF(BF295+11&lt;=$G295,BF295+11,($G295-BF295)+BF295)</f>
        <v>0</v>
      </c>
      <c r="FJ295" s="61"/>
    </row>
    <row r="296" spans="2:166" s="27" customFormat="1" ht="11.25" hidden="1" x14ac:dyDescent="0.2">
      <c r="B296" s="60"/>
      <c r="H296" s="27">
        <v>1</v>
      </c>
      <c r="I296" s="27">
        <f>+I295</f>
        <v>-65</v>
      </c>
      <c r="J296" s="27">
        <f>IF(I296=$G295,0,J295)</f>
        <v>-64</v>
      </c>
      <c r="K296" s="27">
        <f>+K295</f>
        <v>-53</v>
      </c>
      <c r="L296" s="27">
        <f>IF(K296=$G295,0,L295)</f>
        <v>-52</v>
      </c>
      <c r="M296" s="27">
        <f>+M295</f>
        <v>-41</v>
      </c>
      <c r="N296" s="27">
        <f>IF(M296=$G295,0,N295)</f>
        <v>-40</v>
      </c>
      <c r="O296" s="27">
        <f>+O295</f>
        <v>-29</v>
      </c>
      <c r="P296" s="27">
        <f>IF(O296=$G295,0,P295)</f>
        <v>-28</v>
      </c>
      <c r="Q296" s="27">
        <f>+Q295</f>
        <v>-17</v>
      </c>
      <c r="R296" s="27">
        <f>IF(Q296=$G295,0,R295)</f>
        <v>-16</v>
      </c>
      <c r="S296" s="27">
        <f>+S295</f>
        <v>-5</v>
      </c>
      <c r="T296" s="27">
        <f>IF(S296=$G295,0,T295)</f>
        <v>-4</v>
      </c>
      <c r="U296" s="27">
        <f>+U295</f>
        <v>0</v>
      </c>
      <c r="V296" s="27">
        <f>IF(U296=$G295,0,V295)</f>
        <v>0</v>
      </c>
      <c r="W296" s="27">
        <f>+W295</f>
        <v>0</v>
      </c>
      <c r="X296" s="27">
        <f>IF(W296=$G295,0,X295)</f>
        <v>0</v>
      </c>
      <c r="Y296" s="27">
        <f>+Y295</f>
        <v>0</v>
      </c>
      <c r="Z296" s="27">
        <f>IF(Y296=$G295,0,Z295)</f>
        <v>0</v>
      </c>
      <c r="AA296" s="27">
        <f>+AA295</f>
        <v>0</v>
      </c>
      <c r="AB296" s="27">
        <f>IF(AA296=$G295,0,AB295)</f>
        <v>0</v>
      </c>
      <c r="AC296" s="27">
        <f>+AC295</f>
        <v>0</v>
      </c>
      <c r="AD296" s="27">
        <f>IF(AC296=$G295,0,AD295)</f>
        <v>0</v>
      </c>
      <c r="AE296" s="27">
        <f>+AE295</f>
        <v>0</v>
      </c>
      <c r="AF296" s="27">
        <f>IF(AE296=$G295,0,AF295)</f>
        <v>0</v>
      </c>
      <c r="AG296" s="27">
        <f>+AG295</f>
        <v>0</v>
      </c>
      <c r="AH296" s="27">
        <f>IF(AG296=$G295,0,AH295)</f>
        <v>0</v>
      </c>
      <c r="AI296" s="27">
        <f>+AI295</f>
        <v>0</v>
      </c>
      <c r="AJ296" s="27">
        <f>IF(AI296=$G295,0,AJ295)</f>
        <v>0</v>
      </c>
      <c r="AK296" s="27">
        <f>+AK295</f>
        <v>0</v>
      </c>
      <c r="AL296" s="27">
        <f>IF(AK296=$G295,0,AL295)</f>
        <v>0</v>
      </c>
      <c r="AM296" s="27">
        <f>+AM295</f>
        <v>0</v>
      </c>
      <c r="AN296" s="27">
        <f>IF(AM296=$G295,0,AN295)</f>
        <v>0</v>
      </c>
      <c r="AO296" s="27">
        <f>+AO295</f>
        <v>0</v>
      </c>
      <c r="AP296" s="27">
        <f>IF(AO296=$G295,0,AP295)</f>
        <v>0</v>
      </c>
      <c r="AQ296" s="27">
        <f>+AQ295</f>
        <v>0</v>
      </c>
      <c r="AR296" s="27">
        <f>IF(AQ296=$G295,0,AR295)</f>
        <v>0</v>
      </c>
      <c r="AS296" s="27">
        <f>+AS295</f>
        <v>0</v>
      </c>
      <c r="AT296" s="27">
        <f>IF(AS296=$G295,0,AT295)</f>
        <v>0</v>
      </c>
      <c r="AU296" s="27">
        <f>+AU295</f>
        <v>0</v>
      </c>
      <c r="AV296" s="27">
        <f>IF(AU296=$G295,0,AV295)</f>
        <v>0</v>
      </c>
      <c r="AW296" s="27">
        <f>+AW295</f>
        <v>0</v>
      </c>
      <c r="AX296" s="27">
        <f>IF(AW296=$G295,0,AX295)</f>
        <v>0</v>
      </c>
      <c r="AY296" s="27">
        <f>+AY295</f>
        <v>0</v>
      </c>
      <c r="AZ296" s="27">
        <f>IF(AY296=$G295,0,AZ295)</f>
        <v>0</v>
      </c>
      <c r="BA296" s="27">
        <f>+BA295</f>
        <v>0</v>
      </c>
      <c r="BB296" s="27">
        <f>IF(BA296=$G295,0,BB295)</f>
        <v>0</v>
      </c>
      <c r="BC296" s="27">
        <f>+BC295</f>
        <v>0</v>
      </c>
      <c r="BD296" s="61">
        <f>IF(BC296=$G295,0,BD295)</f>
        <v>0</v>
      </c>
      <c r="BE296" s="27">
        <f>+BE295</f>
        <v>0</v>
      </c>
      <c r="BF296" s="27">
        <f>IF(BE296=$G295,0,BF295)</f>
        <v>0</v>
      </c>
      <c r="BG296" s="27">
        <f>+BG295</f>
        <v>0</v>
      </c>
      <c r="FJ296" s="61"/>
    </row>
    <row r="297" spans="2:166" s="27" customFormat="1" ht="11.25" hidden="1" x14ac:dyDescent="0.2">
      <c r="B297" s="60"/>
      <c r="F297" s="27">
        <f>SUMIF(H297:BG297,"&gt;0")</f>
        <v>0</v>
      </c>
      <c r="G297" s="27" t="s">
        <v>632</v>
      </c>
      <c r="I297" s="27" t="e">
        <f>-CUMPRINC($F295/12,$E295*12,$D295,H296,I296,0)</f>
        <v>#NUM!</v>
      </c>
      <c r="K297" s="27" t="e">
        <f>-CUMPRINC($F295/12,$E295*12,$D295,J296,K296,0)</f>
        <v>#NUM!</v>
      </c>
      <c r="M297" s="27" t="e">
        <f>-CUMPRINC($F295/12,$E295*12,$D295,L296,M296,0)</f>
        <v>#NUM!</v>
      </c>
      <c r="O297" s="27" t="e">
        <f>-CUMPRINC($F295/12,$E295*12,$D295,N296,O296,0)</f>
        <v>#NUM!</v>
      </c>
      <c r="Q297" s="27" t="e">
        <f>-CUMPRINC($F295/12,$E295*12,$D295,P296,Q296,0)</f>
        <v>#NUM!</v>
      </c>
      <c r="S297" s="27" t="e">
        <f>-CUMPRINC($F295/12,$E295*12,$D295,R296,S296,0)</f>
        <v>#NUM!</v>
      </c>
      <c r="U297" s="27" t="e">
        <f>-CUMPRINC($F295/12,$E295*12,$D295,T296,U296,0)</f>
        <v>#NUM!</v>
      </c>
      <c r="W297" s="27" t="e">
        <f>-CUMPRINC($F295/12,$E295*12,$D295,V296,W296,0)</f>
        <v>#NUM!</v>
      </c>
      <c r="Y297" s="27" t="e">
        <f>-CUMPRINC($F295/12,$E295*12,$D295,X296,Y296,0)</f>
        <v>#NUM!</v>
      </c>
      <c r="AA297" s="27" t="e">
        <f>-CUMPRINC($F295/12,$E295*12,$D295,Z296,AA296,0)</f>
        <v>#NUM!</v>
      </c>
      <c r="AC297" s="27" t="e">
        <f>-CUMPRINC($F295/12,$E295*12,$D295,AB296,AC296,0)</f>
        <v>#NUM!</v>
      </c>
      <c r="AE297" s="27" t="e">
        <f>-CUMPRINC($F295/12,$E295*12,$D295,AD296,AE296,0)</f>
        <v>#NUM!</v>
      </c>
      <c r="AG297" s="27" t="e">
        <f>-CUMPRINC($F295/12,$E295*12,$D295,AF296,AG296,0)</f>
        <v>#NUM!</v>
      </c>
      <c r="AI297" s="27" t="e">
        <f>-CUMPRINC($F295/12,$E295*12,$D295,AH296,AI296,0)</f>
        <v>#NUM!</v>
      </c>
      <c r="AK297" s="27" t="e">
        <f>-CUMPRINC($F295/12,$E295*12,$D295,AJ296,AK296,0)</f>
        <v>#NUM!</v>
      </c>
      <c r="AM297" s="27" t="e">
        <f>-CUMPRINC($F295/12,$E295*12,$D295,AL296,AM296,0)</f>
        <v>#NUM!</v>
      </c>
      <c r="AO297" s="27" t="e">
        <f>-CUMPRINC($F295/12,$E295*12,$D295,AN296,AO296,0)</f>
        <v>#NUM!</v>
      </c>
      <c r="AQ297" s="27" t="e">
        <f>-CUMPRINC($F295/12,$E295*12,$D295,AP296,AQ296,0)</f>
        <v>#NUM!</v>
      </c>
      <c r="AS297" s="27" t="e">
        <f>-CUMPRINC($F295/12,$E295*12,$D295,AR296,AS296,0)</f>
        <v>#NUM!</v>
      </c>
      <c r="AU297" s="27" t="e">
        <f>-CUMPRINC($F295/12,$E295*12,$D295,AT296,AU296,0)</f>
        <v>#NUM!</v>
      </c>
      <c r="AW297" s="27" t="e">
        <f>-CUMPRINC($F295/12,$E295*12,$D295,AV296,AW296,0)</f>
        <v>#NUM!</v>
      </c>
      <c r="AY297" s="27" t="e">
        <f>-CUMPRINC($F295/12,$E295*12,$D295,AX296,AY296,0)</f>
        <v>#NUM!</v>
      </c>
      <c r="BA297" s="27" t="e">
        <f>-CUMPRINC($F295/12,$E295*12,$D295,AZ296,BA296,0)</f>
        <v>#NUM!</v>
      </c>
      <c r="BC297" s="27" t="e">
        <f>-CUMPRINC($F295/12,$E295*12,$D295,BB296,BC296,0)</f>
        <v>#NUM!</v>
      </c>
      <c r="BD297" s="61"/>
      <c r="BE297" s="27" t="e">
        <f>-CUMPRINC($F295/12,$E295*12,$D295,BD296,BE296,0)</f>
        <v>#NUM!</v>
      </c>
      <c r="BG297" s="27" t="e">
        <f>-CUMPRINC($F295/12,$E295*12,$D295,BF296,BG296,0)</f>
        <v>#NUM!</v>
      </c>
      <c r="BH297" s="27" t="s">
        <v>783</v>
      </c>
      <c r="BJ297" s="27" t="e">
        <f>-CUMIPMT($F295/12,$E295*12,$D295,H296,I296,0)</f>
        <v>#NUM!</v>
      </c>
      <c r="BL297" s="27" t="e">
        <f>-CUMIPMT($F295/12,$E295*12,$D295,J296,K296,0)</f>
        <v>#NUM!</v>
      </c>
      <c r="BN297" s="27" t="e">
        <f>-CUMIPMT($F295/12,$E295*12,$D295,L296,M296,0)</f>
        <v>#NUM!</v>
      </c>
      <c r="BP297" s="27" t="e">
        <f>-CUMIPMT($F295/12,$E295*12,$D295,N296,O296,0)</f>
        <v>#NUM!</v>
      </c>
      <c r="BR297" s="27" t="e">
        <f>-CUMIPMT($F295/12,$E295*12,$D295,P296,Q296,0)</f>
        <v>#NUM!</v>
      </c>
      <c r="BT297" s="27" t="e">
        <f>-CUMIPMT($F295/12,$E295*12,$D295,R296,S296,0)</f>
        <v>#NUM!</v>
      </c>
      <c r="BV297" s="27" t="e">
        <f>-CUMIPMT($F295/12,$E295*12,$D295,T296,U296,0)</f>
        <v>#NUM!</v>
      </c>
      <c r="BX297" s="27" t="e">
        <f>-CUMIPMT($F295/12,$E295*12,$D295,V296,W296,0)</f>
        <v>#NUM!</v>
      </c>
      <c r="BZ297" s="27" t="e">
        <f>-CUMIPMT($F295/12,$E295*12,$D295,X296,Y296,0)</f>
        <v>#NUM!</v>
      </c>
      <c r="CB297" s="27" t="e">
        <f>-CUMIPMT($F295/12,$E295*12,$D295,Z296,AA296,0)</f>
        <v>#NUM!</v>
      </c>
      <c r="CD297" s="27" t="e">
        <f>-CUMIPMT($F295/12,$E295*12,$D295,AB296,AC296,0)</f>
        <v>#NUM!</v>
      </c>
      <c r="CF297" s="27" t="e">
        <f>-CUMIPMT($F295/12,$E295*12,$D295,AD296,AE296,0)</f>
        <v>#NUM!</v>
      </c>
      <c r="CH297" s="27" t="e">
        <f>-CUMIPMT($F295/12,$E295*12,$D295,AF296,AG296,0)</f>
        <v>#NUM!</v>
      </c>
      <c r="CJ297" s="27" t="e">
        <f>-CUMIPMT($F295/12,$E295*12,$D295,AH296,AI296,0)</f>
        <v>#NUM!</v>
      </c>
      <c r="CL297" s="27" t="e">
        <f>-CUMIPMT($F295/12,$E295*12,$D295,AJ296,AK296,0)</f>
        <v>#NUM!</v>
      </c>
      <c r="CN297" s="27" t="e">
        <f>-CUMIPMT($F295/12,$E295*12,$D295,AL296,AM296,0)</f>
        <v>#NUM!</v>
      </c>
      <c r="CP297" s="27" t="e">
        <f>-CUMIPMT($F295/12,$E295*12,$D295,AN296,AO296,0)</f>
        <v>#NUM!</v>
      </c>
      <c r="CR297" s="27" t="e">
        <f>-CUMIPMT($F295/12,$E295*12,$D295,AP296,AQ296,0)</f>
        <v>#NUM!</v>
      </c>
      <c r="CT297" s="27" t="e">
        <f>-CUMIPMT($F295/12,$E295*12,$D295,AR296,AS296,0)</f>
        <v>#NUM!</v>
      </c>
      <c r="CV297" s="27" t="e">
        <f>-CUMIPMT($F295/12,$E295*12,$D295,AT296,AU296,0)</f>
        <v>#NUM!</v>
      </c>
      <c r="CX297" s="27" t="e">
        <f>-CUMIPMT($F295/12,$E295*12,$D295,AV296,AW296,0)</f>
        <v>#NUM!</v>
      </c>
      <c r="CZ297" s="27" t="e">
        <f>-CUMIPMT($F295/12,$E295*12,$D295,AX296,AY296,0)</f>
        <v>#NUM!</v>
      </c>
      <c r="DB297" s="27" t="e">
        <f>-CUMIPMT($F295/12,$E295*12,$D295,AZ296,BA296,0)</f>
        <v>#NUM!</v>
      </c>
      <c r="DD297" s="27" t="e">
        <f>-CUMIPMT($F295/12,$E295*12,$D295,BB296,BC296,0)</f>
        <v>#NUM!</v>
      </c>
      <c r="DF297" s="27" t="e">
        <f>-CUMIPMT($F295/12,$E295*12,$D295,BD296,BE296,0)</f>
        <v>#NUM!</v>
      </c>
      <c r="DH297" s="27" t="e">
        <f>-CUMIPMT($F295/12,$E295*12,$D295,BF296,BG296,0)</f>
        <v>#NUM!</v>
      </c>
      <c r="DI297" s="27" t="s">
        <v>784</v>
      </c>
      <c r="DJ297" s="27" t="s">
        <v>785</v>
      </c>
      <c r="DK297" s="27">
        <f>+F297</f>
        <v>0</v>
      </c>
      <c r="DL297" s="27" t="e">
        <f>+DK297-I297</f>
        <v>#NUM!</v>
      </c>
      <c r="DN297" s="27" t="e">
        <f>+DL297-K297</f>
        <v>#NUM!</v>
      </c>
      <c r="DP297" s="27" t="e">
        <f>+DN297-M297</f>
        <v>#NUM!</v>
      </c>
      <c r="DR297" s="27" t="e">
        <f>+DP297-O297</f>
        <v>#NUM!</v>
      </c>
      <c r="DT297" s="27" t="e">
        <f>+DR297-Q297</f>
        <v>#NUM!</v>
      </c>
      <c r="DV297" s="27" t="e">
        <f>+DT297-S297</f>
        <v>#NUM!</v>
      </c>
      <c r="DX297" s="27" t="e">
        <f>+DV297-U297</f>
        <v>#NUM!</v>
      </c>
      <c r="DZ297" s="27" t="e">
        <f>+DX297-W297</f>
        <v>#NUM!</v>
      </c>
      <c r="EB297" s="27" t="e">
        <f>+DZ297-Y297</f>
        <v>#NUM!</v>
      </c>
      <c r="ED297" s="27" t="e">
        <f>+EB297-AA297</f>
        <v>#NUM!</v>
      </c>
      <c r="EF297" s="27" t="e">
        <f>+ED297-AC297</f>
        <v>#NUM!</v>
      </c>
      <c r="EH297" s="27" t="e">
        <f>+EF297-AE297</f>
        <v>#NUM!</v>
      </c>
      <c r="EJ297" s="27" t="e">
        <f>+EH297-AG297</f>
        <v>#NUM!</v>
      </c>
      <c r="EL297" s="27" t="e">
        <f>+EJ297-AI297</f>
        <v>#NUM!</v>
      </c>
      <c r="EN297" s="27" t="e">
        <f>+EL297-AK297</f>
        <v>#NUM!</v>
      </c>
      <c r="EP297" s="27" t="e">
        <f>+EN297-AM297</f>
        <v>#NUM!</v>
      </c>
      <c r="ER297" s="27" t="e">
        <f>+EP297-AO297</f>
        <v>#NUM!</v>
      </c>
      <c r="ET297" s="27" t="e">
        <f>+ER297-AQ297</f>
        <v>#NUM!</v>
      </c>
      <c r="EV297" s="27" t="e">
        <f>+ET297-AS297</f>
        <v>#NUM!</v>
      </c>
      <c r="EX297" s="27" t="e">
        <f>+EV297-AU297</f>
        <v>#NUM!</v>
      </c>
      <c r="EZ297" s="27" t="e">
        <f>+EX297-AW297</f>
        <v>#NUM!</v>
      </c>
      <c r="FB297" s="27" t="e">
        <f>+EZ297-AY297</f>
        <v>#NUM!</v>
      </c>
      <c r="FD297" s="27" t="e">
        <f>+FB297-BA297</f>
        <v>#NUM!</v>
      </c>
      <c r="FF297" s="27" t="e">
        <f>+FD297-BC297</f>
        <v>#NUM!</v>
      </c>
      <c r="FH297" s="27" t="e">
        <f>+FF297-BE297</f>
        <v>#NUM!</v>
      </c>
      <c r="FJ297" s="61" t="e">
        <f>+FH297-BG297</f>
        <v>#NUM!</v>
      </c>
    </row>
    <row r="298" spans="2:166" s="27" customFormat="1" ht="11.25" hidden="1" x14ac:dyDescent="0.2">
      <c r="B298" s="60"/>
      <c r="E298" s="27">
        <f>+F297+F298</f>
        <v>0</v>
      </c>
      <c r="F298" s="27">
        <f>SUMIF(BI297:DH297,"&gt;0")</f>
        <v>0</v>
      </c>
      <c r="I298" s="27">
        <f>IF(ISERROR(I297)=FALSE,I297,0)</f>
        <v>0</v>
      </c>
      <c r="K298" s="27">
        <f>IF(ISERROR(K297)=FALSE,K297,0)</f>
        <v>0</v>
      </c>
      <c r="M298" s="27">
        <f>IF(ISERROR(M297)=FALSE,M297,0)</f>
        <v>0</v>
      </c>
      <c r="O298" s="27">
        <f>IF(ISERROR(O297)=FALSE,O297,0)</f>
        <v>0</v>
      </c>
      <c r="Q298" s="27">
        <f>IF(ISERROR(Q297)=FALSE,Q297,0)</f>
        <v>0</v>
      </c>
      <c r="S298" s="27">
        <f>IF(ISERROR(S297)=FALSE,S297,0)</f>
        <v>0</v>
      </c>
      <c r="U298" s="27">
        <f>IF(ISERROR(U297)=FALSE,U297,0)</f>
        <v>0</v>
      </c>
      <c r="W298" s="27">
        <f>IF(ISERROR(W297)=FALSE,W297,0)</f>
        <v>0</v>
      </c>
      <c r="Y298" s="27">
        <f>IF(ISERROR(Y297)=FALSE,Y297,0)</f>
        <v>0</v>
      </c>
      <c r="AA298" s="27">
        <f>IF(ISERROR(AA297)=FALSE,AA297,0)</f>
        <v>0</v>
      </c>
      <c r="AC298" s="27">
        <f>IF(ISERROR(AC297)=FALSE,AC297,0)</f>
        <v>0</v>
      </c>
      <c r="AE298" s="27">
        <f>IF(ISERROR(AE297)=FALSE,AE297,0)</f>
        <v>0</v>
      </c>
      <c r="AG298" s="27">
        <f>IF(ISERROR(AG297)=FALSE,AG297,0)</f>
        <v>0</v>
      </c>
      <c r="AI298" s="27">
        <f>IF(ISERROR(AI297)=FALSE,AI297,0)</f>
        <v>0</v>
      </c>
      <c r="AK298" s="27">
        <f>IF(ISERROR(AK297)=FALSE,AK297,0)</f>
        <v>0</v>
      </c>
      <c r="AM298" s="27">
        <f>IF(ISERROR(AM297)=FALSE,AM297,0)</f>
        <v>0</v>
      </c>
      <c r="AO298" s="27">
        <f>IF(ISERROR(AO297)=FALSE,AO297,0)</f>
        <v>0</v>
      </c>
      <c r="AQ298" s="27">
        <f>IF(ISERROR(AQ297)=FALSE,AQ297,0)</f>
        <v>0</v>
      </c>
      <c r="AS298" s="27">
        <f>IF(ISERROR(AS297)=FALSE,AS297,0)</f>
        <v>0</v>
      </c>
      <c r="AU298" s="27">
        <f>IF(ISERROR(AU297)=FALSE,AU297,0)</f>
        <v>0</v>
      </c>
      <c r="AW298" s="27">
        <f>IF(ISERROR(AW297)=FALSE,AW297,0)</f>
        <v>0</v>
      </c>
      <c r="AY298" s="27">
        <f>IF(ISERROR(AY297)=FALSE,AY297,0)</f>
        <v>0</v>
      </c>
      <c r="BA298" s="27">
        <f>IF(ISERROR(BA297)=FALSE,BA297,0)</f>
        <v>0</v>
      </c>
      <c r="BC298" s="27">
        <f>IF(ISERROR(BC297)=FALSE,BC297,0)</f>
        <v>0</v>
      </c>
      <c r="BD298" s="61"/>
      <c r="BE298" s="27">
        <f>IF(ISERROR(BE297)=FALSE,BE297,0)</f>
        <v>0</v>
      </c>
      <c r="BG298" s="27">
        <f>IF(ISERROR(BG297)=FALSE,BG297,0)</f>
        <v>0</v>
      </c>
      <c r="FJ298" s="61"/>
    </row>
    <row r="299" spans="2:166" s="27" customFormat="1" ht="11.25" hidden="1" x14ac:dyDescent="0.2">
      <c r="B299" s="60"/>
      <c r="D299" s="27" t="s">
        <v>630</v>
      </c>
      <c r="E299" s="27">
        <f>IF(E295=0,0,E298/(E295*12))</f>
        <v>0</v>
      </c>
      <c r="BD299" s="61"/>
      <c r="FJ299" s="61"/>
    </row>
    <row r="300" spans="2:166" s="27" customFormat="1" ht="11.25" hidden="1" x14ac:dyDescent="0.2">
      <c r="B300" s="60"/>
      <c r="C300" s="27">
        <f>C140</f>
        <v>0</v>
      </c>
      <c r="D300" s="27">
        <f>D140</f>
        <v>0</v>
      </c>
      <c r="E300" s="27">
        <f>E140</f>
        <v>0</v>
      </c>
      <c r="F300" s="27">
        <f>F140</f>
        <v>0</v>
      </c>
      <c r="G300" s="27">
        <f>+$E300*12</f>
        <v>0</v>
      </c>
      <c r="H300" s="27">
        <f>SUMIF($W140:$AH140,$D140,$W$108:$AH$108)</f>
        <v>78</v>
      </c>
      <c r="I300" s="27">
        <f>13-H300</f>
        <v>-65</v>
      </c>
      <c r="J300" s="27">
        <f>IF(I300+1&lt;=$G300,I300+1,($G300-I300)+I300)</f>
        <v>-64</v>
      </c>
      <c r="K300" s="27">
        <f>IF(J300+11&lt;=$G300,J300+11,($G300-J300)+J300)</f>
        <v>-53</v>
      </c>
      <c r="L300" s="27">
        <f>IF(K300+1&lt;=$G300,K300+1,($G300-K300)+K300)</f>
        <v>-52</v>
      </c>
      <c r="M300" s="27">
        <f>IF(L300+11&lt;=$G300,L300+11,($G300-L300)+L300)</f>
        <v>-41</v>
      </c>
      <c r="N300" s="27">
        <f>IF(M300+1&lt;=$G300,M300+1,($G300-M300)+M300)</f>
        <v>-40</v>
      </c>
      <c r="O300" s="27">
        <f>IF(N300+11&lt;=$G300,N300+11,($G300-N300)+N300)</f>
        <v>-29</v>
      </c>
      <c r="P300" s="27">
        <f>IF(O300+1&lt;=$G300,O300+1,($G300-O300)+O300)</f>
        <v>-28</v>
      </c>
      <c r="Q300" s="27">
        <f>IF(P300+11&lt;=$G300,P300+11,($G300-P300)+P300)</f>
        <v>-17</v>
      </c>
      <c r="R300" s="27">
        <f>IF(Q300+1&lt;=$G300,Q300+1,($G300-Q300)+Q300)</f>
        <v>-16</v>
      </c>
      <c r="S300" s="27">
        <f>IF(R300+11&lt;=$G300,R300+11,($G300-R300)+R300)</f>
        <v>-5</v>
      </c>
      <c r="T300" s="27">
        <f>IF(S300+1&lt;=$G300,S300+1,($G300-S300)+S300)</f>
        <v>-4</v>
      </c>
      <c r="U300" s="27">
        <f>IF(T300+11&lt;=$G300,T300+11,($G300-T300)+T300)</f>
        <v>0</v>
      </c>
      <c r="V300" s="27">
        <f>IF(U300+1&lt;=$G300,U300+1,($G300-U300)+U300)</f>
        <v>0</v>
      </c>
      <c r="W300" s="27">
        <f>IF(V300+11&lt;=$G300,V300+11,($G300-V300)+V300)</f>
        <v>0</v>
      </c>
      <c r="X300" s="27">
        <f>IF(W300+1&lt;=$G300,W300+1,($G300-W300)+W300)</f>
        <v>0</v>
      </c>
      <c r="Y300" s="27">
        <f>IF(X300+11&lt;=$G300,X300+11,($G300-X300)+X300)</f>
        <v>0</v>
      </c>
      <c r="Z300" s="27">
        <f>IF(Y300+1&lt;=$G300,Y300+1,($G300-Y300)+Y300)</f>
        <v>0</v>
      </c>
      <c r="AA300" s="27">
        <f>IF(Z300+11&lt;=$G300,Z300+11,($G300-Z300)+Z300)</f>
        <v>0</v>
      </c>
      <c r="AB300" s="27">
        <f>IF(AA300+1&lt;=$G300,AA300+1,($G300-AA300)+AA300)</f>
        <v>0</v>
      </c>
      <c r="AC300" s="27">
        <f>IF(AB300+11&lt;=$G300,AB300+11,($G300-AB300)+AB300)</f>
        <v>0</v>
      </c>
      <c r="AD300" s="27">
        <f>IF(AC300+1&lt;=$G300,AC300+1,($G300-AC300)+AC300)</f>
        <v>0</v>
      </c>
      <c r="AE300" s="27">
        <f>IF(AD300+11&lt;=$G300,AD300+11,($G300-AD300)+AD300)</f>
        <v>0</v>
      </c>
      <c r="AF300" s="27">
        <f>IF(AE300+1&lt;=$G300,AE300+1,($G300-AE300)+AE300)</f>
        <v>0</v>
      </c>
      <c r="AG300" s="27">
        <f>IF(AF300+11&lt;=$G300,AF300+11,($G300-AF300)+AF300)</f>
        <v>0</v>
      </c>
      <c r="AH300" s="27">
        <f>IF(AG300+1&lt;=$G300,AG300+1,($G300-AG300)+AG300)</f>
        <v>0</v>
      </c>
      <c r="AI300" s="27">
        <f>IF(AH300+11&lt;=$G300,AH300+11,($G300-AH300)+AH300)</f>
        <v>0</v>
      </c>
      <c r="AJ300" s="27">
        <f>IF(AI300+1&lt;=$G300,AI300+1,($G300-AI300)+AI300)</f>
        <v>0</v>
      </c>
      <c r="AK300" s="27">
        <f>IF(AJ300+11&lt;=$G300,AJ300+11,($G300-AJ300)+AJ300)</f>
        <v>0</v>
      </c>
      <c r="AL300" s="27">
        <f>IF(AK300+1&lt;=$G300,AK300+1,($G300-AK300)+AK300)</f>
        <v>0</v>
      </c>
      <c r="AM300" s="27">
        <f>IF(AL300+11&lt;=$G300,AL300+11,($G300-AL300)+AL300)</f>
        <v>0</v>
      </c>
      <c r="AN300" s="27">
        <f>IF(AM300+1&lt;=$G300,AM300+1,($G300-AM300)+AM300)</f>
        <v>0</v>
      </c>
      <c r="AO300" s="27">
        <f>IF(AN300+11&lt;=$G300,AN300+11,($G300-AN300)+AN300)</f>
        <v>0</v>
      </c>
      <c r="AP300" s="27">
        <f>IF(AO300+1&lt;=$G300,AO300+1,($G300-AO300)+AO300)</f>
        <v>0</v>
      </c>
      <c r="AQ300" s="27">
        <f>IF(AP300+11&lt;=$G300,AP300+11,($G300-AP300)+AP300)</f>
        <v>0</v>
      </c>
      <c r="AR300" s="27">
        <f>IF(AQ300+1&lt;=$G300,AQ300+1,($G300-AQ300)+AQ300)</f>
        <v>0</v>
      </c>
      <c r="AS300" s="27">
        <f>IF(AR300+11&lt;=$G300,AR300+11,($G300-AR300)+AR300)</f>
        <v>0</v>
      </c>
      <c r="AT300" s="27">
        <f>IF(AS300+1&lt;=$G300,AS300+1,($G300-AS300)+AS300)</f>
        <v>0</v>
      </c>
      <c r="AU300" s="27">
        <f>IF(AT300+11&lt;=$G300,AT300+11,($G300-AT300)+AT300)</f>
        <v>0</v>
      </c>
      <c r="AV300" s="27">
        <f>IF(AU300+1&lt;=$G300,AU300+1,($G300-AU300)+AU300)</f>
        <v>0</v>
      </c>
      <c r="AW300" s="27">
        <f>IF(AV300+11&lt;=$G300,AV300+11,($G300-AV300)+AV300)</f>
        <v>0</v>
      </c>
      <c r="AX300" s="27">
        <f>IF(AW300+1&lt;=$G300,AW300+1,($G300-AW300)+AW300)</f>
        <v>0</v>
      </c>
      <c r="AY300" s="27">
        <f>IF(AX300+11&lt;=$G300,AX300+11,($G300-AX300)+AX300)</f>
        <v>0</v>
      </c>
      <c r="AZ300" s="27">
        <f>IF(AY300+1&lt;=$G300,AY300+1,($G300-AY300)+AY300)</f>
        <v>0</v>
      </c>
      <c r="BA300" s="27">
        <f>IF(AZ300+35&lt;=$G300,AZ300+35,($G300-AZ300)+AZ300)</f>
        <v>0</v>
      </c>
      <c r="BB300" s="27">
        <f>IF(BA300+1&lt;=$G300,BA300+1,($G300-BA300)+BA300)</f>
        <v>0</v>
      </c>
      <c r="BC300" s="27">
        <f>IF(BB300+59&lt;=$G300,BB300+59,($G300-BB300)+BB300)</f>
        <v>0</v>
      </c>
      <c r="BD300" s="61">
        <f>IF(BC300+1&lt;=$G300,BC300+1,($G300-BC300)+BC300)</f>
        <v>0</v>
      </c>
      <c r="BE300" s="27">
        <f>IF(BD300+239&lt;=$G300,BD300+239,($G300-BD300)+BD300)</f>
        <v>0</v>
      </c>
      <c r="BF300" s="27">
        <f>IF(BE300+1&lt;=$G300,BE300+1,($G300-BE300)+BE300)</f>
        <v>0</v>
      </c>
      <c r="BG300" s="27">
        <f>IF(BF300+11&lt;=$G300,BF300+11,($G300-BF300)+BF300)</f>
        <v>0</v>
      </c>
      <c r="FJ300" s="61"/>
    </row>
    <row r="301" spans="2:166" s="27" customFormat="1" ht="11.25" hidden="1" x14ac:dyDescent="0.2">
      <c r="B301" s="60"/>
      <c r="H301" s="27">
        <v>1</v>
      </c>
      <c r="I301" s="27">
        <f>+I300</f>
        <v>-65</v>
      </c>
      <c r="J301" s="27">
        <f>IF(I301=$G300,0,J300)</f>
        <v>-64</v>
      </c>
      <c r="K301" s="27">
        <f>+K300</f>
        <v>-53</v>
      </c>
      <c r="L301" s="27">
        <f>IF(K301=$G300,0,L300)</f>
        <v>-52</v>
      </c>
      <c r="M301" s="27">
        <f>+M300</f>
        <v>-41</v>
      </c>
      <c r="N301" s="27">
        <f>IF(M301=$G300,0,N300)</f>
        <v>-40</v>
      </c>
      <c r="O301" s="27">
        <f>+O300</f>
        <v>-29</v>
      </c>
      <c r="P301" s="27">
        <f>IF(O301=$G300,0,P300)</f>
        <v>-28</v>
      </c>
      <c r="Q301" s="27">
        <f>+Q300</f>
        <v>-17</v>
      </c>
      <c r="R301" s="27">
        <f>IF(Q301=$G300,0,R300)</f>
        <v>-16</v>
      </c>
      <c r="S301" s="27">
        <f>+S300</f>
        <v>-5</v>
      </c>
      <c r="T301" s="27">
        <f>IF(S301=$G300,0,T300)</f>
        <v>-4</v>
      </c>
      <c r="U301" s="27">
        <f>+U300</f>
        <v>0</v>
      </c>
      <c r="V301" s="27">
        <f>IF(U301=$G300,0,V300)</f>
        <v>0</v>
      </c>
      <c r="W301" s="27">
        <f>+W300</f>
        <v>0</v>
      </c>
      <c r="X301" s="27">
        <f>IF(W301=$G300,0,X300)</f>
        <v>0</v>
      </c>
      <c r="Y301" s="27">
        <f>+Y300</f>
        <v>0</v>
      </c>
      <c r="Z301" s="27">
        <f>IF(Y301=$G300,0,Z300)</f>
        <v>0</v>
      </c>
      <c r="AA301" s="27">
        <f>+AA300</f>
        <v>0</v>
      </c>
      <c r="AB301" s="27">
        <f>IF(AA301=$G300,0,AB300)</f>
        <v>0</v>
      </c>
      <c r="AC301" s="27">
        <f>+AC300</f>
        <v>0</v>
      </c>
      <c r="AD301" s="27">
        <f>IF(AC301=$G300,0,AD300)</f>
        <v>0</v>
      </c>
      <c r="AE301" s="27">
        <f>+AE300</f>
        <v>0</v>
      </c>
      <c r="AF301" s="27">
        <f>IF(AE301=$G300,0,AF300)</f>
        <v>0</v>
      </c>
      <c r="AG301" s="27">
        <f>+AG300</f>
        <v>0</v>
      </c>
      <c r="AH301" s="27">
        <f>IF(AG301=$G300,0,AH300)</f>
        <v>0</v>
      </c>
      <c r="AI301" s="27">
        <f>+AI300</f>
        <v>0</v>
      </c>
      <c r="AJ301" s="27">
        <f>IF(AI301=$G300,0,AJ300)</f>
        <v>0</v>
      </c>
      <c r="AK301" s="27">
        <f>+AK300</f>
        <v>0</v>
      </c>
      <c r="AL301" s="27">
        <f>IF(AK301=$G300,0,AL300)</f>
        <v>0</v>
      </c>
      <c r="AM301" s="27">
        <f>+AM300</f>
        <v>0</v>
      </c>
      <c r="AN301" s="27">
        <f>IF(AM301=$G300,0,AN300)</f>
        <v>0</v>
      </c>
      <c r="AO301" s="27">
        <f>+AO300</f>
        <v>0</v>
      </c>
      <c r="AP301" s="27">
        <f>IF(AO301=$G300,0,AP300)</f>
        <v>0</v>
      </c>
      <c r="AQ301" s="27">
        <f>+AQ300</f>
        <v>0</v>
      </c>
      <c r="AR301" s="27">
        <f>IF(AQ301=$G300,0,AR300)</f>
        <v>0</v>
      </c>
      <c r="AS301" s="27">
        <f>+AS300</f>
        <v>0</v>
      </c>
      <c r="AT301" s="27">
        <f>IF(AS301=$G300,0,AT300)</f>
        <v>0</v>
      </c>
      <c r="AU301" s="27">
        <f>+AU300</f>
        <v>0</v>
      </c>
      <c r="AV301" s="27">
        <f>IF(AU301=$G300,0,AV300)</f>
        <v>0</v>
      </c>
      <c r="AW301" s="27">
        <f>+AW300</f>
        <v>0</v>
      </c>
      <c r="AX301" s="27">
        <f>IF(AW301=$G300,0,AX300)</f>
        <v>0</v>
      </c>
      <c r="AY301" s="27">
        <f>+AY300</f>
        <v>0</v>
      </c>
      <c r="AZ301" s="27">
        <f>IF(AY301=$G300,0,AZ300)</f>
        <v>0</v>
      </c>
      <c r="BA301" s="27">
        <f>+BA300</f>
        <v>0</v>
      </c>
      <c r="BB301" s="27">
        <f>IF(BA301=$G300,0,BB300)</f>
        <v>0</v>
      </c>
      <c r="BC301" s="27">
        <f>+BC300</f>
        <v>0</v>
      </c>
      <c r="BD301" s="61">
        <f>IF(BC301=$G300,0,BD300)</f>
        <v>0</v>
      </c>
      <c r="BE301" s="27">
        <f>+BE300</f>
        <v>0</v>
      </c>
      <c r="BF301" s="27">
        <f>IF(BE301=$G300,0,BF300)</f>
        <v>0</v>
      </c>
      <c r="BG301" s="27">
        <f>+BG300</f>
        <v>0</v>
      </c>
      <c r="FJ301" s="61"/>
    </row>
    <row r="302" spans="2:166" s="27" customFormat="1" ht="11.25" hidden="1" x14ac:dyDescent="0.2">
      <c r="B302" s="60"/>
      <c r="F302" s="27">
        <f>SUMIF(H302:BG302,"&gt;0")</f>
        <v>0</v>
      </c>
      <c r="G302" s="27" t="s">
        <v>632</v>
      </c>
      <c r="I302" s="27" t="e">
        <f>-CUMPRINC($F300/12,$E300*12,$D300,H301,I301,0)</f>
        <v>#NUM!</v>
      </c>
      <c r="K302" s="27" t="e">
        <f>-CUMPRINC($F300/12,$E300*12,$D300,J301,K301,0)</f>
        <v>#NUM!</v>
      </c>
      <c r="M302" s="27" t="e">
        <f>-CUMPRINC($F300/12,$E300*12,$D300,L301,M301,0)</f>
        <v>#NUM!</v>
      </c>
      <c r="O302" s="27" t="e">
        <f>-CUMPRINC($F300/12,$E300*12,$D300,N301,O301,0)</f>
        <v>#NUM!</v>
      </c>
      <c r="Q302" s="27" t="e">
        <f>-CUMPRINC($F300/12,$E300*12,$D300,P301,Q301,0)</f>
        <v>#NUM!</v>
      </c>
      <c r="S302" s="27" t="e">
        <f>-CUMPRINC($F300/12,$E300*12,$D300,R301,S301,0)</f>
        <v>#NUM!</v>
      </c>
      <c r="U302" s="27" t="e">
        <f>-CUMPRINC($F300/12,$E300*12,$D300,T301,U301,0)</f>
        <v>#NUM!</v>
      </c>
      <c r="W302" s="27" t="e">
        <f>-CUMPRINC($F300/12,$E300*12,$D300,V301,W301,0)</f>
        <v>#NUM!</v>
      </c>
      <c r="Y302" s="27" t="e">
        <f>-CUMPRINC($F300/12,$E300*12,$D300,X301,Y301,0)</f>
        <v>#NUM!</v>
      </c>
      <c r="AA302" s="27" t="e">
        <f>-CUMPRINC($F300/12,$E300*12,$D300,Z301,AA301,0)</f>
        <v>#NUM!</v>
      </c>
      <c r="AC302" s="27" t="e">
        <f>-CUMPRINC($F300/12,$E300*12,$D300,AB301,AC301,0)</f>
        <v>#NUM!</v>
      </c>
      <c r="AE302" s="27" t="e">
        <f>-CUMPRINC($F300/12,$E300*12,$D300,AD301,AE301,0)</f>
        <v>#NUM!</v>
      </c>
      <c r="AG302" s="27" t="e">
        <f>-CUMPRINC($F300/12,$E300*12,$D300,AF301,AG301,0)</f>
        <v>#NUM!</v>
      </c>
      <c r="AI302" s="27" t="e">
        <f>-CUMPRINC($F300/12,$E300*12,$D300,AH301,AI301,0)</f>
        <v>#NUM!</v>
      </c>
      <c r="AK302" s="27" t="e">
        <f>-CUMPRINC($F300/12,$E300*12,$D300,AJ301,AK301,0)</f>
        <v>#NUM!</v>
      </c>
      <c r="AM302" s="27" t="e">
        <f>-CUMPRINC($F300/12,$E300*12,$D300,AL301,AM301,0)</f>
        <v>#NUM!</v>
      </c>
      <c r="AO302" s="27" t="e">
        <f>-CUMPRINC($F300/12,$E300*12,$D300,AN301,AO301,0)</f>
        <v>#NUM!</v>
      </c>
      <c r="AQ302" s="27" t="e">
        <f>-CUMPRINC($F300/12,$E300*12,$D300,AP301,AQ301,0)</f>
        <v>#NUM!</v>
      </c>
      <c r="AS302" s="27" t="e">
        <f>-CUMPRINC($F300/12,$E300*12,$D300,AR301,AS301,0)</f>
        <v>#NUM!</v>
      </c>
      <c r="AU302" s="27" t="e">
        <f>-CUMPRINC($F300/12,$E300*12,$D300,AT301,AU301,0)</f>
        <v>#NUM!</v>
      </c>
      <c r="AW302" s="27" t="e">
        <f>-CUMPRINC($F300/12,$E300*12,$D300,AV301,AW301,0)</f>
        <v>#NUM!</v>
      </c>
      <c r="AY302" s="27" t="e">
        <f>-CUMPRINC($F300/12,$E300*12,$D300,AX301,AY301,0)</f>
        <v>#NUM!</v>
      </c>
      <c r="BA302" s="27" t="e">
        <f>-CUMPRINC($F300/12,$E300*12,$D300,AZ301,BA301,0)</f>
        <v>#NUM!</v>
      </c>
      <c r="BC302" s="27" t="e">
        <f>-CUMPRINC($F300/12,$E300*12,$D300,BB301,BC301,0)</f>
        <v>#NUM!</v>
      </c>
      <c r="BD302" s="61"/>
      <c r="BE302" s="27" t="e">
        <f>-CUMPRINC($F300/12,$E300*12,$D300,BD301,BE301,0)</f>
        <v>#NUM!</v>
      </c>
      <c r="BG302" s="27" t="e">
        <f>-CUMPRINC($F300/12,$E300*12,$D300,BF301,BG301,0)</f>
        <v>#NUM!</v>
      </c>
      <c r="BH302" s="27" t="s">
        <v>783</v>
      </c>
      <c r="BJ302" s="27" t="e">
        <f>-CUMIPMT($F300/12,$E300*12,$D300,H301,I301,0)</f>
        <v>#NUM!</v>
      </c>
      <c r="BL302" s="27" t="e">
        <f>-CUMIPMT($F300/12,$E300*12,$D300,J301,K301,0)</f>
        <v>#NUM!</v>
      </c>
      <c r="BN302" s="27" t="e">
        <f>-CUMIPMT($F300/12,$E300*12,$D300,L301,M301,0)</f>
        <v>#NUM!</v>
      </c>
      <c r="BP302" s="27" t="e">
        <f>-CUMIPMT($F300/12,$E300*12,$D300,N301,O301,0)</f>
        <v>#NUM!</v>
      </c>
      <c r="BR302" s="27" t="e">
        <f>-CUMIPMT($F300/12,$E300*12,$D300,P301,Q301,0)</f>
        <v>#NUM!</v>
      </c>
      <c r="BT302" s="27" t="e">
        <f>-CUMIPMT($F300/12,$E300*12,$D300,R301,S301,0)</f>
        <v>#NUM!</v>
      </c>
      <c r="BV302" s="27" t="e">
        <f>-CUMIPMT($F300/12,$E300*12,$D300,T301,U301,0)</f>
        <v>#NUM!</v>
      </c>
      <c r="BX302" s="27" t="e">
        <f>-CUMIPMT($F300/12,$E300*12,$D300,V301,W301,0)</f>
        <v>#NUM!</v>
      </c>
      <c r="BZ302" s="27" t="e">
        <f>-CUMIPMT($F300/12,$E300*12,$D300,X301,Y301,0)</f>
        <v>#NUM!</v>
      </c>
      <c r="CB302" s="27" t="e">
        <f>-CUMIPMT($F300/12,$E300*12,$D300,Z301,AA301,0)</f>
        <v>#NUM!</v>
      </c>
      <c r="CD302" s="27" t="e">
        <f>-CUMIPMT($F300/12,$E300*12,$D300,AB301,AC301,0)</f>
        <v>#NUM!</v>
      </c>
      <c r="CF302" s="27" t="e">
        <f>-CUMIPMT($F300/12,$E300*12,$D300,AD301,AE301,0)</f>
        <v>#NUM!</v>
      </c>
      <c r="CH302" s="27" t="e">
        <f>-CUMIPMT($F300/12,$E300*12,$D300,AF301,AG301,0)</f>
        <v>#NUM!</v>
      </c>
      <c r="CJ302" s="27" t="e">
        <f>-CUMIPMT($F300/12,$E300*12,$D300,AH301,AI301,0)</f>
        <v>#NUM!</v>
      </c>
      <c r="CL302" s="27" t="e">
        <f>-CUMIPMT($F300/12,$E300*12,$D300,AJ301,AK301,0)</f>
        <v>#NUM!</v>
      </c>
      <c r="CN302" s="27" t="e">
        <f>-CUMIPMT($F300/12,$E300*12,$D300,AL301,AM301,0)</f>
        <v>#NUM!</v>
      </c>
      <c r="CP302" s="27" t="e">
        <f>-CUMIPMT($F300/12,$E300*12,$D300,AN301,AO301,0)</f>
        <v>#NUM!</v>
      </c>
      <c r="CR302" s="27" t="e">
        <f>-CUMIPMT($F300/12,$E300*12,$D300,AP301,AQ301,0)</f>
        <v>#NUM!</v>
      </c>
      <c r="CT302" s="27" t="e">
        <f>-CUMIPMT($F300/12,$E300*12,$D300,AR301,AS301,0)</f>
        <v>#NUM!</v>
      </c>
      <c r="CV302" s="27" t="e">
        <f>-CUMIPMT($F300/12,$E300*12,$D300,AT301,AU301,0)</f>
        <v>#NUM!</v>
      </c>
      <c r="CX302" s="27" t="e">
        <f>-CUMIPMT($F300/12,$E300*12,$D300,AV301,AW301,0)</f>
        <v>#NUM!</v>
      </c>
      <c r="CZ302" s="27" t="e">
        <f>-CUMIPMT($F300/12,$E300*12,$D300,AX301,AY301,0)</f>
        <v>#NUM!</v>
      </c>
      <c r="DB302" s="27" t="e">
        <f>-CUMIPMT($F300/12,$E300*12,$D300,AZ301,BA301,0)</f>
        <v>#NUM!</v>
      </c>
      <c r="DD302" s="27" t="e">
        <f>-CUMIPMT($F300/12,$E300*12,$D300,BB301,BC301,0)</f>
        <v>#NUM!</v>
      </c>
      <c r="DF302" s="27" t="e">
        <f>-CUMIPMT($F300/12,$E300*12,$D300,BD301,BE301,0)</f>
        <v>#NUM!</v>
      </c>
      <c r="DH302" s="27" t="e">
        <f>-CUMIPMT($F300/12,$E300*12,$D300,BF301,BG301,0)</f>
        <v>#NUM!</v>
      </c>
      <c r="DI302" s="27" t="s">
        <v>784</v>
      </c>
      <c r="DJ302" s="27" t="s">
        <v>785</v>
      </c>
      <c r="DK302" s="27">
        <f>+F302</f>
        <v>0</v>
      </c>
      <c r="DL302" s="27" t="e">
        <f>+DK302-I302</f>
        <v>#NUM!</v>
      </c>
      <c r="DN302" s="27" t="e">
        <f>+DL302-K302</f>
        <v>#NUM!</v>
      </c>
      <c r="DP302" s="27" t="e">
        <f>+DN302-M302</f>
        <v>#NUM!</v>
      </c>
      <c r="DR302" s="27" t="e">
        <f>+DP302-O302</f>
        <v>#NUM!</v>
      </c>
      <c r="DT302" s="27" t="e">
        <f>+DR302-Q302</f>
        <v>#NUM!</v>
      </c>
      <c r="DV302" s="27" t="e">
        <f>+DT302-S302</f>
        <v>#NUM!</v>
      </c>
      <c r="DX302" s="27" t="e">
        <f>+DV302-U302</f>
        <v>#NUM!</v>
      </c>
      <c r="DZ302" s="27" t="e">
        <f>+DX302-W302</f>
        <v>#NUM!</v>
      </c>
      <c r="EB302" s="27" t="e">
        <f>+DZ302-Y302</f>
        <v>#NUM!</v>
      </c>
      <c r="ED302" s="27" t="e">
        <f>+EB302-AA302</f>
        <v>#NUM!</v>
      </c>
      <c r="EF302" s="27" t="e">
        <f>+ED302-AC302</f>
        <v>#NUM!</v>
      </c>
      <c r="EH302" s="27" t="e">
        <f>+EF302-AE302</f>
        <v>#NUM!</v>
      </c>
      <c r="EJ302" s="27" t="e">
        <f>+EH302-AG302</f>
        <v>#NUM!</v>
      </c>
      <c r="EL302" s="27" t="e">
        <f>+EJ302-AI302</f>
        <v>#NUM!</v>
      </c>
      <c r="EN302" s="27" t="e">
        <f>+EL302-AK302</f>
        <v>#NUM!</v>
      </c>
      <c r="EP302" s="27" t="e">
        <f>+EN302-AM302</f>
        <v>#NUM!</v>
      </c>
      <c r="ER302" s="27" t="e">
        <f>+EP302-AO302</f>
        <v>#NUM!</v>
      </c>
      <c r="ET302" s="27" t="e">
        <f>+ER302-AQ302</f>
        <v>#NUM!</v>
      </c>
      <c r="EV302" s="27" t="e">
        <f>+ET302-AS302</f>
        <v>#NUM!</v>
      </c>
      <c r="EX302" s="27" t="e">
        <f>+EV302-AU302</f>
        <v>#NUM!</v>
      </c>
      <c r="EZ302" s="27" t="e">
        <f>+EX302-AW302</f>
        <v>#NUM!</v>
      </c>
      <c r="FB302" s="27" t="e">
        <f>+EZ302-AY302</f>
        <v>#NUM!</v>
      </c>
      <c r="FD302" s="27" t="e">
        <f>+FB302-BA302</f>
        <v>#NUM!</v>
      </c>
      <c r="FF302" s="27" t="e">
        <f>+FD302-BC302</f>
        <v>#NUM!</v>
      </c>
      <c r="FH302" s="27" t="e">
        <f>+FF302-BE302</f>
        <v>#NUM!</v>
      </c>
      <c r="FJ302" s="61" t="e">
        <f>+FH302-BG302</f>
        <v>#NUM!</v>
      </c>
    </row>
    <row r="303" spans="2:166" s="27" customFormat="1" ht="11.25" hidden="1" x14ac:dyDescent="0.2">
      <c r="B303" s="60"/>
      <c r="E303" s="27">
        <f>+F302+F303</f>
        <v>0</v>
      </c>
      <c r="F303" s="27">
        <f>SUMIF(BI302:DH302,"&gt;0")</f>
        <v>0</v>
      </c>
      <c r="I303" s="27">
        <f>IF(ISERROR(I302)=FALSE,I302,0)</f>
        <v>0</v>
      </c>
      <c r="K303" s="27">
        <f>IF(ISERROR(K302)=FALSE,K302,0)</f>
        <v>0</v>
      </c>
      <c r="M303" s="27">
        <f>IF(ISERROR(M302)=FALSE,M302,0)</f>
        <v>0</v>
      </c>
      <c r="O303" s="27">
        <f>IF(ISERROR(O302)=FALSE,O302,0)</f>
        <v>0</v>
      </c>
      <c r="Q303" s="27">
        <f>IF(ISERROR(Q302)=FALSE,Q302,0)</f>
        <v>0</v>
      </c>
      <c r="S303" s="27">
        <f>IF(ISERROR(S302)=FALSE,S302,0)</f>
        <v>0</v>
      </c>
      <c r="U303" s="27">
        <f>IF(ISERROR(U302)=FALSE,U302,0)</f>
        <v>0</v>
      </c>
      <c r="W303" s="27">
        <f>IF(ISERROR(W302)=FALSE,W302,0)</f>
        <v>0</v>
      </c>
      <c r="Y303" s="27">
        <f>IF(ISERROR(Y302)=FALSE,Y302,0)</f>
        <v>0</v>
      </c>
      <c r="AA303" s="27">
        <f>IF(ISERROR(AA302)=FALSE,AA302,0)</f>
        <v>0</v>
      </c>
      <c r="AC303" s="27">
        <f>IF(ISERROR(AC302)=FALSE,AC302,0)</f>
        <v>0</v>
      </c>
      <c r="AE303" s="27">
        <f>IF(ISERROR(AE302)=FALSE,AE302,0)</f>
        <v>0</v>
      </c>
      <c r="AG303" s="27">
        <f>IF(ISERROR(AG302)=FALSE,AG302,0)</f>
        <v>0</v>
      </c>
      <c r="AI303" s="27">
        <f>IF(ISERROR(AI302)=FALSE,AI302,0)</f>
        <v>0</v>
      </c>
      <c r="AK303" s="27">
        <f>IF(ISERROR(AK302)=FALSE,AK302,0)</f>
        <v>0</v>
      </c>
      <c r="AM303" s="27">
        <f>IF(ISERROR(AM302)=FALSE,AM302,0)</f>
        <v>0</v>
      </c>
      <c r="AO303" s="27">
        <f>IF(ISERROR(AO302)=FALSE,AO302,0)</f>
        <v>0</v>
      </c>
      <c r="AQ303" s="27">
        <f>IF(ISERROR(AQ302)=FALSE,AQ302,0)</f>
        <v>0</v>
      </c>
      <c r="AS303" s="27">
        <f>IF(ISERROR(AS302)=FALSE,AS302,0)</f>
        <v>0</v>
      </c>
      <c r="AU303" s="27">
        <f>IF(ISERROR(AU302)=FALSE,AU302,0)</f>
        <v>0</v>
      </c>
      <c r="AW303" s="27">
        <f>IF(ISERROR(AW302)=FALSE,AW302,0)</f>
        <v>0</v>
      </c>
      <c r="AY303" s="27">
        <f>IF(ISERROR(AY302)=FALSE,AY302,0)</f>
        <v>0</v>
      </c>
      <c r="BA303" s="27">
        <f>IF(ISERROR(BA302)=FALSE,BA302,0)</f>
        <v>0</v>
      </c>
      <c r="BC303" s="27">
        <f>IF(ISERROR(BC302)=FALSE,BC302,0)</f>
        <v>0</v>
      </c>
      <c r="BD303" s="61"/>
      <c r="BE303" s="27">
        <f>IF(ISERROR(BE302)=FALSE,BE302,0)</f>
        <v>0</v>
      </c>
      <c r="BG303" s="27">
        <f>IF(ISERROR(BG302)=FALSE,BG302,0)</f>
        <v>0</v>
      </c>
      <c r="FJ303" s="61"/>
    </row>
    <row r="304" spans="2:166" s="27" customFormat="1" ht="11.25" hidden="1" x14ac:dyDescent="0.2">
      <c r="B304" s="60"/>
      <c r="D304" s="27" t="s">
        <v>630</v>
      </c>
      <c r="E304" s="27">
        <f>IF(E300=0,0,E303/(E300*12))</f>
        <v>0</v>
      </c>
      <c r="BD304" s="61"/>
      <c r="FJ304" s="61"/>
    </row>
    <row r="305" spans="2:166" s="27" customFormat="1" ht="11.25" hidden="1" x14ac:dyDescent="0.2">
      <c r="B305" s="60"/>
      <c r="C305" s="27">
        <f>C141</f>
        <v>0</v>
      </c>
      <c r="D305" s="27">
        <f>D141</f>
        <v>0</v>
      </c>
      <c r="E305" s="27">
        <f>E141</f>
        <v>0</v>
      </c>
      <c r="F305" s="27">
        <f>F141</f>
        <v>0</v>
      </c>
      <c r="G305" s="27">
        <f>+$E305*12</f>
        <v>0</v>
      </c>
      <c r="H305" s="27">
        <f>SUMIF($W141:$AH141,$D141,$W$108:$AH$108)</f>
        <v>78</v>
      </c>
      <c r="I305" s="27">
        <f>13-H305</f>
        <v>-65</v>
      </c>
      <c r="J305" s="27">
        <f>IF(I305+1&lt;=$G305,I305+1,($G305-I305)+I305)</f>
        <v>-64</v>
      </c>
      <c r="K305" s="27">
        <f>IF(J305+11&lt;=$G305,J305+11,($G305-J305)+J305)</f>
        <v>-53</v>
      </c>
      <c r="L305" s="27">
        <f>IF(K305+1&lt;=$G305,K305+1,($G305-K305)+K305)</f>
        <v>-52</v>
      </c>
      <c r="M305" s="27">
        <f>IF(L305+11&lt;=$G305,L305+11,($G305-L305)+L305)</f>
        <v>-41</v>
      </c>
      <c r="N305" s="27">
        <f>IF(M305+1&lt;=$G305,M305+1,($G305-M305)+M305)</f>
        <v>-40</v>
      </c>
      <c r="O305" s="27">
        <f>IF(N305+11&lt;=$G305,N305+11,($G305-N305)+N305)</f>
        <v>-29</v>
      </c>
      <c r="P305" s="27">
        <f>IF(O305+1&lt;=$G305,O305+1,($G305-O305)+O305)</f>
        <v>-28</v>
      </c>
      <c r="Q305" s="27">
        <f>IF(P305+11&lt;=$G305,P305+11,($G305-P305)+P305)</f>
        <v>-17</v>
      </c>
      <c r="R305" s="27">
        <f>IF(Q305+1&lt;=$G305,Q305+1,($G305-Q305)+Q305)</f>
        <v>-16</v>
      </c>
      <c r="S305" s="27">
        <f>IF(R305+11&lt;=$G305,R305+11,($G305-R305)+R305)</f>
        <v>-5</v>
      </c>
      <c r="T305" s="27">
        <f>IF(S305+1&lt;=$G305,S305+1,($G305-S305)+S305)</f>
        <v>-4</v>
      </c>
      <c r="U305" s="27">
        <f>IF(T305+11&lt;=$G305,T305+11,($G305-T305)+T305)</f>
        <v>0</v>
      </c>
      <c r="V305" s="27">
        <f>IF(U305+1&lt;=$G305,U305+1,($G305-U305)+U305)</f>
        <v>0</v>
      </c>
      <c r="W305" s="27">
        <f>IF(V305+11&lt;=$G305,V305+11,($G305-V305)+V305)</f>
        <v>0</v>
      </c>
      <c r="X305" s="27">
        <f>IF(W305+1&lt;=$G305,W305+1,($G305-W305)+W305)</f>
        <v>0</v>
      </c>
      <c r="Y305" s="27">
        <f>IF(X305+11&lt;=$G305,X305+11,($G305-X305)+X305)</f>
        <v>0</v>
      </c>
      <c r="Z305" s="27">
        <f>IF(Y305+1&lt;=$G305,Y305+1,($G305-Y305)+Y305)</f>
        <v>0</v>
      </c>
      <c r="AA305" s="27">
        <f>IF(Z305+11&lt;=$G305,Z305+11,($G305-Z305)+Z305)</f>
        <v>0</v>
      </c>
      <c r="AB305" s="27">
        <f>IF(AA305+1&lt;=$G305,AA305+1,($G305-AA305)+AA305)</f>
        <v>0</v>
      </c>
      <c r="AC305" s="27">
        <f>IF(AB305+11&lt;=$G305,AB305+11,($G305-AB305)+AB305)</f>
        <v>0</v>
      </c>
      <c r="AD305" s="27">
        <f>IF(AC305+1&lt;=$G305,AC305+1,($G305-AC305)+AC305)</f>
        <v>0</v>
      </c>
      <c r="AE305" s="27">
        <f>IF(AD305+11&lt;=$G305,AD305+11,($G305-AD305)+AD305)</f>
        <v>0</v>
      </c>
      <c r="AF305" s="27">
        <f>IF(AE305+1&lt;=$G305,AE305+1,($G305-AE305)+AE305)</f>
        <v>0</v>
      </c>
      <c r="AG305" s="27">
        <f>IF(AF305+11&lt;=$G305,AF305+11,($G305-AF305)+AF305)</f>
        <v>0</v>
      </c>
      <c r="AH305" s="27">
        <f>IF(AG305+1&lt;=$G305,AG305+1,($G305-AG305)+AG305)</f>
        <v>0</v>
      </c>
      <c r="AI305" s="27">
        <f>IF(AH305+11&lt;=$G305,AH305+11,($G305-AH305)+AH305)</f>
        <v>0</v>
      </c>
      <c r="AJ305" s="27">
        <f>IF(AI305+1&lt;=$G305,AI305+1,($G305-AI305)+AI305)</f>
        <v>0</v>
      </c>
      <c r="AK305" s="27">
        <f>IF(AJ305+11&lt;=$G305,AJ305+11,($G305-AJ305)+AJ305)</f>
        <v>0</v>
      </c>
      <c r="AL305" s="27">
        <f>IF(AK305+1&lt;=$G305,AK305+1,($G305-AK305)+AK305)</f>
        <v>0</v>
      </c>
      <c r="AM305" s="27">
        <f>IF(AL305+11&lt;=$G305,AL305+11,($G305-AL305)+AL305)</f>
        <v>0</v>
      </c>
      <c r="AN305" s="27">
        <f>IF(AM305+1&lt;=$G305,AM305+1,($G305-AM305)+AM305)</f>
        <v>0</v>
      </c>
      <c r="AO305" s="27">
        <f>IF(AN305+11&lt;=$G305,AN305+11,($G305-AN305)+AN305)</f>
        <v>0</v>
      </c>
      <c r="AP305" s="27">
        <f>IF(AO305+1&lt;=$G305,AO305+1,($G305-AO305)+AO305)</f>
        <v>0</v>
      </c>
      <c r="AQ305" s="27">
        <f>IF(AP305+11&lt;=$G305,AP305+11,($G305-AP305)+AP305)</f>
        <v>0</v>
      </c>
      <c r="AR305" s="27">
        <f>IF(AQ305+1&lt;=$G305,AQ305+1,($G305-AQ305)+AQ305)</f>
        <v>0</v>
      </c>
      <c r="AS305" s="27">
        <f>IF(AR305+11&lt;=$G305,AR305+11,($G305-AR305)+AR305)</f>
        <v>0</v>
      </c>
      <c r="AT305" s="27">
        <f>IF(AS305+1&lt;=$G305,AS305+1,($G305-AS305)+AS305)</f>
        <v>0</v>
      </c>
      <c r="AU305" s="27">
        <f>IF(AT305+11&lt;=$G305,AT305+11,($G305-AT305)+AT305)</f>
        <v>0</v>
      </c>
      <c r="AV305" s="27">
        <f>IF(AU305+1&lt;=$G305,AU305+1,($G305-AU305)+AU305)</f>
        <v>0</v>
      </c>
      <c r="AW305" s="27">
        <f>IF(AV305+11&lt;=$G305,AV305+11,($G305-AV305)+AV305)</f>
        <v>0</v>
      </c>
      <c r="AX305" s="27">
        <f>IF(AW305+1&lt;=$G305,AW305+1,($G305-AW305)+AW305)</f>
        <v>0</v>
      </c>
      <c r="AY305" s="27">
        <f>IF(AX305+11&lt;=$G305,AX305+11,($G305-AX305)+AX305)</f>
        <v>0</v>
      </c>
      <c r="AZ305" s="27">
        <f>IF(AY305+1&lt;=$G305,AY305+1,($G305-AY305)+AY305)</f>
        <v>0</v>
      </c>
      <c r="BA305" s="27">
        <f>IF(AZ305+35&lt;=$G305,AZ305+35,($G305-AZ305)+AZ305)</f>
        <v>0</v>
      </c>
      <c r="BB305" s="27">
        <f>IF(BA305+1&lt;=$G305,BA305+1,($G305-BA305)+BA305)</f>
        <v>0</v>
      </c>
      <c r="BC305" s="27">
        <f>IF(BB305+59&lt;=$G305,BB305+59,($G305-BB305)+BB305)</f>
        <v>0</v>
      </c>
      <c r="BD305" s="61">
        <f>IF(BC305+1&lt;=$G305,BC305+1,($G305-BC305)+BC305)</f>
        <v>0</v>
      </c>
      <c r="BE305" s="27">
        <f>IF(BD305+239&lt;=$G305,BD305+239,($G305-BD305)+BD305)</f>
        <v>0</v>
      </c>
      <c r="BF305" s="27">
        <f>IF(BE305+1&lt;=$G305,BE305+1,($G305-BE305)+BE305)</f>
        <v>0</v>
      </c>
      <c r="BG305" s="27">
        <f>IF(BF305+11&lt;=$G305,BF305+11,($G305-BF305)+BF305)</f>
        <v>0</v>
      </c>
      <c r="FJ305" s="61"/>
    </row>
    <row r="306" spans="2:166" s="27" customFormat="1" ht="11.25" hidden="1" x14ac:dyDescent="0.2">
      <c r="B306" s="60"/>
      <c r="H306" s="27">
        <v>1</v>
      </c>
      <c r="I306" s="27">
        <f>+I305</f>
        <v>-65</v>
      </c>
      <c r="J306" s="27">
        <f>IF(I306=$G305,0,J305)</f>
        <v>-64</v>
      </c>
      <c r="K306" s="27">
        <f>+K305</f>
        <v>-53</v>
      </c>
      <c r="L306" s="27">
        <f>IF(K306=$G305,0,L305)</f>
        <v>-52</v>
      </c>
      <c r="M306" s="27">
        <f>+M305</f>
        <v>-41</v>
      </c>
      <c r="N306" s="27">
        <f>IF(M306=$G305,0,N305)</f>
        <v>-40</v>
      </c>
      <c r="O306" s="27">
        <f>+O305</f>
        <v>-29</v>
      </c>
      <c r="P306" s="27">
        <f>IF(O306=$G305,0,P305)</f>
        <v>-28</v>
      </c>
      <c r="Q306" s="27">
        <f>+Q305</f>
        <v>-17</v>
      </c>
      <c r="R306" s="27">
        <f>IF(Q306=$G305,0,R305)</f>
        <v>-16</v>
      </c>
      <c r="S306" s="27">
        <f>+S305</f>
        <v>-5</v>
      </c>
      <c r="T306" s="27">
        <f>IF(S306=$G305,0,T305)</f>
        <v>-4</v>
      </c>
      <c r="U306" s="27">
        <f>+U305</f>
        <v>0</v>
      </c>
      <c r="V306" s="27">
        <f>IF(U306=$G305,0,V305)</f>
        <v>0</v>
      </c>
      <c r="W306" s="27">
        <f>+W305</f>
        <v>0</v>
      </c>
      <c r="X306" s="27">
        <f>IF(W306=$G305,0,X305)</f>
        <v>0</v>
      </c>
      <c r="Y306" s="27">
        <f>+Y305</f>
        <v>0</v>
      </c>
      <c r="Z306" s="27">
        <f>IF(Y306=$G305,0,Z305)</f>
        <v>0</v>
      </c>
      <c r="AA306" s="27">
        <f>+AA305</f>
        <v>0</v>
      </c>
      <c r="AB306" s="27">
        <f>IF(AA306=$G305,0,AB305)</f>
        <v>0</v>
      </c>
      <c r="AC306" s="27">
        <f>+AC305</f>
        <v>0</v>
      </c>
      <c r="AD306" s="27">
        <f>IF(AC306=$G305,0,AD305)</f>
        <v>0</v>
      </c>
      <c r="AE306" s="27">
        <f>+AE305</f>
        <v>0</v>
      </c>
      <c r="AF306" s="27">
        <f>IF(AE306=$G305,0,AF305)</f>
        <v>0</v>
      </c>
      <c r="AG306" s="27">
        <f>+AG305</f>
        <v>0</v>
      </c>
      <c r="AH306" s="27">
        <f>IF(AG306=$G305,0,AH305)</f>
        <v>0</v>
      </c>
      <c r="AI306" s="27">
        <f>+AI305</f>
        <v>0</v>
      </c>
      <c r="AJ306" s="27">
        <f>IF(AI306=$G305,0,AJ305)</f>
        <v>0</v>
      </c>
      <c r="AK306" s="27">
        <f>+AK305</f>
        <v>0</v>
      </c>
      <c r="AL306" s="27">
        <f>IF(AK306=$G305,0,AL305)</f>
        <v>0</v>
      </c>
      <c r="AM306" s="27">
        <f>+AM305</f>
        <v>0</v>
      </c>
      <c r="AN306" s="27">
        <f>IF(AM306=$G305,0,AN305)</f>
        <v>0</v>
      </c>
      <c r="AO306" s="27">
        <f>+AO305</f>
        <v>0</v>
      </c>
      <c r="AP306" s="27">
        <f>IF(AO306=$G305,0,AP305)</f>
        <v>0</v>
      </c>
      <c r="AQ306" s="27">
        <f>+AQ305</f>
        <v>0</v>
      </c>
      <c r="AR306" s="27">
        <f>IF(AQ306=$G305,0,AR305)</f>
        <v>0</v>
      </c>
      <c r="AS306" s="27">
        <f>+AS305</f>
        <v>0</v>
      </c>
      <c r="AT306" s="27">
        <f>IF(AS306=$G305,0,AT305)</f>
        <v>0</v>
      </c>
      <c r="AU306" s="27">
        <f>+AU305</f>
        <v>0</v>
      </c>
      <c r="AV306" s="27">
        <f>IF(AU306=$G305,0,AV305)</f>
        <v>0</v>
      </c>
      <c r="AW306" s="27">
        <f>+AW305</f>
        <v>0</v>
      </c>
      <c r="AX306" s="27">
        <f>IF(AW306=$G305,0,AX305)</f>
        <v>0</v>
      </c>
      <c r="AY306" s="27">
        <f>+AY305</f>
        <v>0</v>
      </c>
      <c r="AZ306" s="27">
        <f>IF(AY306=$G305,0,AZ305)</f>
        <v>0</v>
      </c>
      <c r="BA306" s="27">
        <f>+BA305</f>
        <v>0</v>
      </c>
      <c r="BB306" s="27">
        <f>IF(BA306=$G305,0,BB305)</f>
        <v>0</v>
      </c>
      <c r="BC306" s="27">
        <f>+BC305</f>
        <v>0</v>
      </c>
      <c r="BD306" s="61">
        <f>IF(BC306=$G305,0,BD305)</f>
        <v>0</v>
      </c>
      <c r="BE306" s="27">
        <f>+BE305</f>
        <v>0</v>
      </c>
      <c r="BF306" s="27">
        <f>IF(BE306=$G305,0,BF305)</f>
        <v>0</v>
      </c>
      <c r="BG306" s="27">
        <f>+BG305</f>
        <v>0</v>
      </c>
      <c r="FJ306" s="61"/>
    </row>
    <row r="307" spans="2:166" s="27" customFormat="1" ht="11.25" hidden="1" x14ac:dyDescent="0.2">
      <c r="B307" s="60"/>
      <c r="F307" s="27">
        <f>SUMIF(H307:BG307,"&gt;0")</f>
        <v>0</v>
      </c>
      <c r="G307" s="27" t="s">
        <v>632</v>
      </c>
      <c r="I307" s="27" t="e">
        <f>-CUMPRINC($F305/12,$E305*12,$D305,H306,I306,0)</f>
        <v>#NUM!</v>
      </c>
      <c r="K307" s="27" t="e">
        <f>-CUMPRINC($F305/12,$E305*12,$D305,J306,K306,0)</f>
        <v>#NUM!</v>
      </c>
      <c r="M307" s="27" t="e">
        <f>-CUMPRINC($F305/12,$E305*12,$D305,L306,M306,0)</f>
        <v>#NUM!</v>
      </c>
      <c r="O307" s="27" t="e">
        <f>-CUMPRINC($F305/12,$E305*12,$D305,N306,O306,0)</f>
        <v>#NUM!</v>
      </c>
      <c r="Q307" s="27" t="e">
        <f>-CUMPRINC($F305/12,$E305*12,$D305,P306,Q306,0)</f>
        <v>#NUM!</v>
      </c>
      <c r="S307" s="27" t="e">
        <f>-CUMPRINC($F305/12,$E305*12,$D305,R306,S306,0)</f>
        <v>#NUM!</v>
      </c>
      <c r="U307" s="27" t="e">
        <f>-CUMPRINC($F305/12,$E305*12,$D305,T306,U306,0)</f>
        <v>#NUM!</v>
      </c>
      <c r="W307" s="27" t="e">
        <f>-CUMPRINC($F305/12,$E305*12,$D305,V306,W306,0)</f>
        <v>#NUM!</v>
      </c>
      <c r="Y307" s="27" t="e">
        <f>-CUMPRINC($F305/12,$E305*12,$D305,X306,Y306,0)</f>
        <v>#NUM!</v>
      </c>
      <c r="AA307" s="27" t="e">
        <f>-CUMPRINC($F305/12,$E305*12,$D305,Z306,AA306,0)</f>
        <v>#NUM!</v>
      </c>
      <c r="AC307" s="27" t="e">
        <f>-CUMPRINC($F305/12,$E305*12,$D305,AB306,AC306,0)</f>
        <v>#NUM!</v>
      </c>
      <c r="AE307" s="27" t="e">
        <f>-CUMPRINC($F305/12,$E305*12,$D305,AD306,AE306,0)</f>
        <v>#NUM!</v>
      </c>
      <c r="AG307" s="27" t="e">
        <f>-CUMPRINC($F305/12,$E305*12,$D305,AF306,AG306,0)</f>
        <v>#NUM!</v>
      </c>
      <c r="AI307" s="27" t="e">
        <f>-CUMPRINC($F305/12,$E305*12,$D305,AH306,AI306,0)</f>
        <v>#NUM!</v>
      </c>
      <c r="AK307" s="27" t="e">
        <f>-CUMPRINC($F305/12,$E305*12,$D305,AJ306,AK306,0)</f>
        <v>#NUM!</v>
      </c>
      <c r="AM307" s="27" t="e">
        <f>-CUMPRINC($F305/12,$E305*12,$D305,AL306,AM306,0)</f>
        <v>#NUM!</v>
      </c>
      <c r="AO307" s="27" t="e">
        <f>-CUMPRINC($F305/12,$E305*12,$D305,AN306,AO306,0)</f>
        <v>#NUM!</v>
      </c>
      <c r="AQ307" s="27" t="e">
        <f>-CUMPRINC($F305/12,$E305*12,$D305,AP306,AQ306,0)</f>
        <v>#NUM!</v>
      </c>
      <c r="AS307" s="27" t="e">
        <f>-CUMPRINC($F305/12,$E305*12,$D305,AR306,AS306,0)</f>
        <v>#NUM!</v>
      </c>
      <c r="AU307" s="27" t="e">
        <f>-CUMPRINC($F305/12,$E305*12,$D305,AT306,AU306,0)</f>
        <v>#NUM!</v>
      </c>
      <c r="AW307" s="27" t="e">
        <f>-CUMPRINC($F305/12,$E305*12,$D305,AV306,AW306,0)</f>
        <v>#NUM!</v>
      </c>
      <c r="AY307" s="27" t="e">
        <f>-CUMPRINC($F305/12,$E305*12,$D305,AX306,AY306,0)</f>
        <v>#NUM!</v>
      </c>
      <c r="BA307" s="27" t="e">
        <f>-CUMPRINC($F305/12,$E305*12,$D305,AZ306,BA306,0)</f>
        <v>#NUM!</v>
      </c>
      <c r="BC307" s="27" t="e">
        <f>-CUMPRINC($F305/12,$E305*12,$D305,BB306,BC306,0)</f>
        <v>#NUM!</v>
      </c>
      <c r="BD307" s="61"/>
      <c r="BE307" s="27" t="e">
        <f>-CUMPRINC($F305/12,$E305*12,$D305,BD306,BE306,0)</f>
        <v>#NUM!</v>
      </c>
      <c r="BG307" s="27" t="e">
        <f>-CUMPRINC($F305/12,$E305*12,$D305,BF306,BG306,0)</f>
        <v>#NUM!</v>
      </c>
      <c r="BH307" s="27" t="s">
        <v>783</v>
      </c>
      <c r="BJ307" s="27" t="e">
        <f>-CUMIPMT($F305/12,$E305*12,$D305,H306,I306,0)</f>
        <v>#NUM!</v>
      </c>
      <c r="BL307" s="27" t="e">
        <f>-CUMIPMT($F305/12,$E305*12,$D305,J306,K306,0)</f>
        <v>#NUM!</v>
      </c>
      <c r="BN307" s="27" t="e">
        <f>-CUMIPMT($F305/12,$E305*12,$D305,L306,M306,0)</f>
        <v>#NUM!</v>
      </c>
      <c r="BP307" s="27" t="e">
        <f>-CUMIPMT($F305/12,$E305*12,$D305,N306,O306,0)</f>
        <v>#NUM!</v>
      </c>
      <c r="BR307" s="27" t="e">
        <f>-CUMIPMT($F305/12,$E305*12,$D305,P306,Q306,0)</f>
        <v>#NUM!</v>
      </c>
      <c r="BT307" s="27" t="e">
        <f>-CUMIPMT($F305/12,$E305*12,$D305,R306,S306,0)</f>
        <v>#NUM!</v>
      </c>
      <c r="BV307" s="27" t="e">
        <f>-CUMIPMT($F305/12,$E305*12,$D305,T306,U306,0)</f>
        <v>#NUM!</v>
      </c>
      <c r="BX307" s="27" t="e">
        <f>-CUMIPMT($F305/12,$E305*12,$D305,V306,W306,0)</f>
        <v>#NUM!</v>
      </c>
      <c r="BZ307" s="27" t="e">
        <f>-CUMIPMT($F305/12,$E305*12,$D305,X306,Y306,0)</f>
        <v>#NUM!</v>
      </c>
      <c r="CB307" s="27" t="e">
        <f>-CUMIPMT($F305/12,$E305*12,$D305,Z306,AA306,0)</f>
        <v>#NUM!</v>
      </c>
      <c r="CD307" s="27" t="e">
        <f>-CUMIPMT($F305/12,$E305*12,$D305,AB306,AC306,0)</f>
        <v>#NUM!</v>
      </c>
      <c r="CF307" s="27" t="e">
        <f>-CUMIPMT($F305/12,$E305*12,$D305,AD306,AE306,0)</f>
        <v>#NUM!</v>
      </c>
      <c r="CH307" s="27" t="e">
        <f>-CUMIPMT($F305/12,$E305*12,$D305,AF306,AG306,0)</f>
        <v>#NUM!</v>
      </c>
      <c r="CJ307" s="27" t="e">
        <f>-CUMIPMT($F305/12,$E305*12,$D305,AH306,AI306,0)</f>
        <v>#NUM!</v>
      </c>
      <c r="CL307" s="27" t="e">
        <f>-CUMIPMT($F305/12,$E305*12,$D305,AJ306,AK306,0)</f>
        <v>#NUM!</v>
      </c>
      <c r="CN307" s="27" t="e">
        <f>-CUMIPMT($F305/12,$E305*12,$D305,AL306,AM306,0)</f>
        <v>#NUM!</v>
      </c>
      <c r="CP307" s="27" t="e">
        <f>-CUMIPMT($F305/12,$E305*12,$D305,AN306,AO306,0)</f>
        <v>#NUM!</v>
      </c>
      <c r="CR307" s="27" t="e">
        <f>-CUMIPMT($F305/12,$E305*12,$D305,AP306,AQ306,0)</f>
        <v>#NUM!</v>
      </c>
      <c r="CT307" s="27" t="e">
        <f>-CUMIPMT($F305/12,$E305*12,$D305,AR306,AS306,0)</f>
        <v>#NUM!</v>
      </c>
      <c r="CV307" s="27" t="e">
        <f>-CUMIPMT($F305/12,$E305*12,$D305,AT306,AU306,0)</f>
        <v>#NUM!</v>
      </c>
      <c r="CX307" s="27" t="e">
        <f>-CUMIPMT($F305/12,$E305*12,$D305,AV306,AW306,0)</f>
        <v>#NUM!</v>
      </c>
      <c r="CZ307" s="27" t="e">
        <f>-CUMIPMT($F305/12,$E305*12,$D305,AX306,AY306,0)</f>
        <v>#NUM!</v>
      </c>
      <c r="DB307" s="27" t="e">
        <f>-CUMIPMT($F305/12,$E305*12,$D305,AZ306,BA306,0)</f>
        <v>#NUM!</v>
      </c>
      <c r="DD307" s="27" t="e">
        <f>-CUMIPMT($F305/12,$E305*12,$D305,BB306,BC306,0)</f>
        <v>#NUM!</v>
      </c>
      <c r="DF307" s="27" t="e">
        <f>-CUMIPMT($F305/12,$E305*12,$D305,BD306,BE306,0)</f>
        <v>#NUM!</v>
      </c>
      <c r="DH307" s="27" t="e">
        <f>-CUMIPMT($F305/12,$E305*12,$D305,BF306,BG306,0)</f>
        <v>#NUM!</v>
      </c>
      <c r="DI307" s="27" t="s">
        <v>784</v>
      </c>
      <c r="DJ307" s="27" t="s">
        <v>785</v>
      </c>
      <c r="DK307" s="27">
        <f>+F307</f>
        <v>0</v>
      </c>
      <c r="DL307" s="27" t="e">
        <f>+DK307-I307</f>
        <v>#NUM!</v>
      </c>
      <c r="DN307" s="27" t="e">
        <f>+DL307-K307</f>
        <v>#NUM!</v>
      </c>
      <c r="DP307" s="27" t="e">
        <f>+DN307-M307</f>
        <v>#NUM!</v>
      </c>
      <c r="DR307" s="27" t="e">
        <f>+DP307-O307</f>
        <v>#NUM!</v>
      </c>
      <c r="DT307" s="27" t="e">
        <f>+DR307-Q307</f>
        <v>#NUM!</v>
      </c>
      <c r="DV307" s="27" t="e">
        <f>+DT307-S307</f>
        <v>#NUM!</v>
      </c>
      <c r="DX307" s="27" t="e">
        <f>+DV307-U307</f>
        <v>#NUM!</v>
      </c>
      <c r="DZ307" s="27" t="e">
        <f>+DX307-W307</f>
        <v>#NUM!</v>
      </c>
      <c r="EB307" s="27" t="e">
        <f>+DZ307-Y307</f>
        <v>#NUM!</v>
      </c>
      <c r="ED307" s="27" t="e">
        <f>+EB307-AA307</f>
        <v>#NUM!</v>
      </c>
      <c r="EF307" s="27" t="e">
        <f>+ED307-AC307</f>
        <v>#NUM!</v>
      </c>
      <c r="EH307" s="27" t="e">
        <f>+EF307-AE307</f>
        <v>#NUM!</v>
      </c>
      <c r="EJ307" s="27" t="e">
        <f>+EH307-AG307</f>
        <v>#NUM!</v>
      </c>
      <c r="EL307" s="27" t="e">
        <f>+EJ307-AI307</f>
        <v>#NUM!</v>
      </c>
      <c r="EN307" s="27" t="e">
        <f>+EL307-AK307</f>
        <v>#NUM!</v>
      </c>
      <c r="EP307" s="27" t="e">
        <f>+EN307-AM307</f>
        <v>#NUM!</v>
      </c>
      <c r="ER307" s="27" t="e">
        <f>+EP307-AO307</f>
        <v>#NUM!</v>
      </c>
      <c r="ET307" s="27" t="e">
        <f>+ER307-AQ307</f>
        <v>#NUM!</v>
      </c>
      <c r="EV307" s="27" t="e">
        <f>+ET307-AS307</f>
        <v>#NUM!</v>
      </c>
      <c r="EX307" s="27" t="e">
        <f>+EV307-AU307</f>
        <v>#NUM!</v>
      </c>
      <c r="EZ307" s="27" t="e">
        <f>+EX307-AW307</f>
        <v>#NUM!</v>
      </c>
      <c r="FB307" s="27" t="e">
        <f>+EZ307-AY307</f>
        <v>#NUM!</v>
      </c>
      <c r="FD307" s="27" t="e">
        <f>+FB307-BA307</f>
        <v>#NUM!</v>
      </c>
      <c r="FF307" s="27" t="e">
        <f>+FD307-BC307</f>
        <v>#NUM!</v>
      </c>
      <c r="FH307" s="27" t="e">
        <f>+FF307-BE307</f>
        <v>#NUM!</v>
      </c>
      <c r="FJ307" s="61" t="e">
        <f>+FH307-BG307</f>
        <v>#NUM!</v>
      </c>
    </row>
    <row r="308" spans="2:166" s="27" customFormat="1" ht="11.25" hidden="1" x14ac:dyDescent="0.2">
      <c r="B308" s="60"/>
      <c r="E308" s="27">
        <f>+F307+F308</f>
        <v>0</v>
      </c>
      <c r="F308" s="27">
        <f>SUMIF(BI307:DH307,"&gt;0")</f>
        <v>0</v>
      </c>
      <c r="I308" s="27">
        <f>IF(ISERROR(I307)=FALSE,I307,0)</f>
        <v>0</v>
      </c>
      <c r="K308" s="27">
        <f>IF(ISERROR(K307)=FALSE,K307,0)</f>
        <v>0</v>
      </c>
      <c r="M308" s="27">
        <f>IF(ISERROR(M307)=FALSE,M307,0)</f>
        <v>0</v>
      </c>
      <c r="O308" s="27">
        <f>IF(ISERROR(O307)=FALSE,O307,0)</f>
        <v>0</v>
      </c>
      <c r="Q308" s="27">
        <f>IF(ISERROR(Q307)=FALSE,Q307,0)</f>
        <v>0</v>
      </c>
      <c r="S308" s="27">
        <f>IF(ISERROR(S307)=FALSE,S307,0)</f>
        <v>0</v>
      </c>
      <c r="U308" s="27">
        <f>IF(ISERROR(U307)=FALSE,U307,0)</f>
        <v>0</v>
      </c>
      <c r="W308" s="27">
        <f>IF(ISERROR(W307)=FALSE,W307,0)</f>
        <v>0</v>
      </c>
      <c r="Y308" s="27">
        <f>IF(ISERROR(Y307)=FALSE,Y307,0)</f>
        <v>0</v>
      </c>
      <c r="AA308" s="27">
        <f>IF(ISERROR(AA307)=FALSE,AA307,0)</f>
        <v>0</v>
      </c>
      <c r="AC308" s="27">
        <f>IF(ISERROR(AC307)=FALSE,AC307,0)</f>
        <v>0</v>
      </c>
      <c r="AE308" s="27">
        <f>IF(ISERROR(AE307)=FALSE,AE307,0)</f>
        <v>0</v>
      </c>
      <c r="AG308" s="27">
        <f>IF(ISERROR(AG307)=FALSE,AG307,0)</f>
        <v>0</v>
      </c>
      <c r="AI308" s="27">
        <f>IF(ISERROR(AI307)=FALSE,AI307,0)</f>
        <v>0</v>
      </c>
      <c r="AK308" s="27">
        <f>IF(ISERROR(AK307)=FALSE,AK307,0)</f>
        <v>0</v>
      </c>
      <c r="AM308" s="27">
        <f>IF(ISERROR(AM307)=FALSE,AM307,0)</f>
        <v>0</v>
      </c>
      <c r="AO308" s="27">
        <f>IF(ISERROR(AO307)=FALSE,AO307,0)</f>
        <v>0</v>
      </c>
      <c r="AQ308" s="27">
        <f>IF(ISERROR(AQ307)=FALSE,AQ307,0)</f>
        <v>0</v>
      </c>
      <c r="AS308" s="27">
        <f>IF(ISERROR(AS307)=FALSE,AS307,0)</f>
        <v>0</v>
      </c>
      <c r="AU308" s="27">
        <f>IF(ISERROR(AU307)=FALSE,AU307,0)</f>
        <v>0</v>
      </c>
      <c r="AW308" s="27">
        <f>IF(ISERROR(AW307)=FALSE,AW307,0)</f>
        <v>0</v>
      </c>
      <c r="AY308" s="27">
        <f>IF(ISERROR(AY307)=FALSE,AY307,0)</f>
        <v>0</v>
      </c>
      <c r="BA308" s="27">
        <f>IF(ISERROR(BA307)=FALSE,BA307,0)</f>
        <v>0</v>
      </c>
      <c r="BC308" s="27">
        <f>IF(ISERROR(BC307)=FALSE,BC307,0)</f>
        <v>0</v>
      </c>
      <c r="BD308" s="61"/>
      <c r="BE308" s="27">
        <f>IF(ISERROR(BE307)=FALSE,BE307,0)</f>
        <v>0</v>
      </c>
      <c r="BG308" s="27">
        <f>IF(ISERROR(BG307)=FALSE,BG307,0)</f>
        <v>0</v>
      </c>
      <c r="FJ308" s="61"/>
    </row>
    <row r="309" spans="2:166" s="27" customFormat="1" ht="11.25" hidden="1" x14ac:dyDescent="0.2">
      <c r="B309" s="60"/>
      <c r="D309" s="27" t="s">
        <v>630</v>
      </c>
      <c r="E309" s="27">
        <f>IF(E305=0,0,E308/(E305*12))</f>
        <v>0</v>
      </c>
      <c r="BD309" s="61"/>
      <c r="FJ309" s="61"/>
    </row>
    <row r="310" spans="2:166" s="27" customFormat="1" ht="11.25" hidden="1" x14ac:dyDescent="0.2">
      <c r="B310" s="60"/>
      <c r="C310" s="27">
        <f>C142</f>
        <v>0</v>
      </c>
      <c r="D310" s="27">
        <f>D142</f>
        <v>0</v>
      </c>
      <c r="E310" s="27">
        <f>E142</f>
        <v>0</v>
      </c>
      <c r="F310" s="27">
        <f>F142</f>
        <v>0</v>
      </c>
      <c r="G310" s="27">
        <f>+$E310*12</f>
        <v>0</v>
      </c>
      <c r="H310" s="27">
        <f>SUMIF($W142:$AH142,$D142,$W$108:$AH$108)</f>
        <v>78</v>
      </c>
      <c r="I310" s="27">
        <f>13-H310</f>
        <v>-65</v>
      </c>
      <c r="J310" s="27">
        <f>IF(I310+1&lt;=$G310,I310+1,($G310-I310)+I310)</f>
        <v>-64</v>
      </c>
      <c r="K310" s="27">
        <f>IF(J310+11&lt;=$G310,J310+11,($G310-J310)+J310)</f>
        <v>-53</v>
      </c>
      <c r="L310" s="27">
        <f>IF(K310+1&lt;=$G310,K310+1,($G310-K310)+K310)</f>
        <v>-52</v>
      </c>
      <c r="M310" s="27">
        <f>IF(L310+11&lt;=$G310,L310+11,($G310-L310)+L310)</f>
        <v>-41</v>
      </c>
      <c r="N310" s="27">
        <f>IF(M310+1&lt;=$G310,M310+1,($G310-M310)+M310)</f>
        <v>-40</v>
      </c>
      <c r="O310" s="27">
        <f>IF(N310+11&lt;=$G310,N310+11,($G310-N310)+N310)</f>
        <v>-29</v>
      </c>
      <c r="P310" s="27">
        <f>IF(O310+1&lt;=$G310,O310+1,($G310-O310)+O310)</f>
        <v>-28</v>
      </c>
      <c r="Q310" s="27">
        <f>IF(P310+11&lt;=$G310,P310+11,($G310-P310)+P310)</f>
        <v>-17</v>
      </c>
      <c r="R310" s="27">
        <f>IF(Q310+1&lt;=$G310,Q310+1,($G310-Q310)+Q310)</f>
        <v>-16</v>
      </c>
      <c r="S310" s="27">
        <f>IF(R310+11&lt;=$G310,R310+11,($G310-R310)+R310)</f>
        <v>-5</v>
      </c>
      <c r="T310" s="27">
        <f>IF(S310+1&lt;=$G310,S310+1,($G310-S310)+S310)</f>
        <v>-4</v>
      </c>
      <c r="U310" s="27">
        <f>IF(T310+11&lt;=$G310,T310+11,($G310-T310)+T310)</f>
        <v>0</v>
      </c>
      <c r="V310" s="27">
        <f>IF(U310+1&lt;=$G310,U310+1,($G310-U310)+U310)</f>
        <v>0</v>
      </c>
      <c r="W310" s="27">
        <f>IF(V310+11&lt;=$G310,V310+11,($G310-V310)+V310)</f>
        <v>0</v>
      </c>
      <c r="X310" s="27">
        <f>IF(W310+1&lt;=$G310,W310+1,($G310-W310)+W310)</f>
        <v>0</v>
      </c>
      <c r="Y310" s="27">
        <f>IF(X310+11&lt;=$G310,X310+11,($G310-X310)+X310)</f>
        <v>0</v>
      </c>
      <c r="Z310" s="27">
        <f>IF(Y310+1&lt;=$G310,Y310+1,($G310-Y310)+Y310)</f>
        <v>0</v>
      </c>
      <c r="AA310" s="27">
        <f>IF(Z310+11&lt;=$G310,Z310+11,($G310-Z310)+Z310)</f>
        <v>0</v>
      </c>
      <c r="AB310" s="27">
        <f>IF(AA310+1&lt;=$G310,AA310+1,($G310-AA310)+AA310)</f>
        <v>0</v>
      </c>
      <c r="AC310" s="27">
        <f>IF(AB310+11&lt;=$G310,AB310+11,($G310-AB310)+AB310)</f>
        <v>0</v>
      </c>
      <c r="AD310" s="27">
        <f>IF(AC310+1&lt;=$G310,AC310+1,($G310-AC310)+AC310)</f>
        <v>0</v>
      </c>
      <c r="AE310" s="27">
        <f>IF(AD310+11&lt;=$G310,AD310+11,($G310-AD310)+AD310)</f>
        <v>0</v>
      </c>
      <c r="AF310" s="27">
        <f>IF(AE310+1&lt;=$G310,AE310+1,($G310-AE310)+AE310)</f>
        <v>0</v>
      </c>
      <c r="AG310" s="27">
        <f>IF(AF310+11&lt;=$G310,AF310+11,($G310-AF310)+AF310)</f>
        <v>0</v>
      </c>
      <c r="AH310" s="27">
        <f>IF(AG310+1&lt;=$G310,AG310+1,($G310-AG310)+AG310)</f>
        <v>0</v>
      </c>
      <c r="AI310" s="27">
        <f>IF(AH310+11&lt;=$G310,AH310+11,($G310-AH310)+AH310)</f>
        <v>0</v>
      </c>
      <c r="AJ310" s="27">
        <f>IF(AI310+1&lt;=$G310,AI310+1,($G310-AI310)+AI310)</f>
        <v>0</v>
      </c>
      <c r="AK310" s="27">
        <f>IF(AJ310+11&lt;=$G310,AJ310+11,($G310-AJ310)+AJ310)</f>
        <v>0</v>
      </c>
      <c r="AL310" s="27">
        <f>IF(AK310+1&lt;=$G310,AK310+1,($G310-AK310)+AK310)</f>
        <v>0</v>
      </c>
      <c r="AM310" s="27">
        <f>IF(AL310+11&lt;=$G310,AL310+11,($G310-AL310)+AL310)</f>
        <v>0</v>
      </c>
      <c r="AN310" s="27">
        <f>IF(AM310+1&lt;=$G310,AM310+1,($G310-AM310)+AM310)</f>
        <v>0</v>
      </c>
      <c r="AO310" s="27">
        <f>IF(AN310+11&lt;=$G310,AN310+11,($G310-AN310)+AN310)</f>
        <v>0</v>
      </c>
      <c r="AP310" s="27">
        <f>IF(AO310+1&lt;=$G310,AO310+1,($G310-AO310)+AO310)</f>
        <v>0</v>
      </c>
      <c r="AQ310" s="27">
        <f>IF(AP310+11&lt;=$G310,AP310+11,($G310-AP310)+AP310)</f>
        <v>0</v>
      </c>
      <c r="AR310" s="27">
        <f>IF(AQ310+1&lt;=$G310,AQ310+1,($G310-AQ310)+AQ310)</f>
        <v>0</v>
      </c>
      <c r="AS310" s="27">
        <f>IF(AR310+11&lt;=$G310,AR310+11,($G310-AR310)+AR310)</f>
        <v>0</v>
      </c>
      <c r="AT310" s="27">
        <f>IF(AS310+1&lt;=$G310,AS310+1,($G310-AS310)+AS310)</f>
        <v>0</v>
      </c>
      <c r="AU310" s="27">
        <f>IF(AT310+11&lt;=$G310,AT310+11,($G310-AT310)+AT310)</f>
        <v>0</v>
      </c>
      <c r="AV310" s="27">
        <f>IF(AU310+1&lt;=$G310,AU310+1,($G310-AU310)+AU310)</f>
        <v>0</v>
      </c>
      <c r="AW310" s="27">
        <f>IF(AV310+11&lt;=$G310,AV310+11,($G310-AV310)+AV310)</f>
        <v>0</v>
      </c>
      <c r="AX310" s="27">
        <f>IF(AW310+1&lt;=$G310,AW310+1,($G310-AW310)+AW310)</f>
        <v>0</v>
      </c>
      <c r="AY310" s="27">
        <f>IF(AX310+11&lt;=$G310,AX310+11,($G310-AX310)+AX310)</f>
        <v>0</v>
      </c>
      <c r="AZ310" s="27">
        <f>IF(AY310+1&lt;=$G310,AY310+1,($G310-AY310)+AY310)</f>
        <v>0</v>
      </c>
      <c r="BA310" s="27">
        <f>IF(AZ310+35&lt;=$G310,AZ310+35,($G310-AZ310)+AZ310)</f>
        <v>0</v>
      </c>
      <c r="BB310" s="27">
        <f>IF(BA310+1&lt;=$G310,BA310+1,($G310-BA310)+BA310)</f>
        <v>0</v>
      </c>
      <c r="BC310" s="27">
        <f>IF(BB310+59&lt;=$G310,BB310+59,($G310-BB310)+BB310)</f>
        <v>0</v>
      </c>
      <c r="BD310" s="61">
        <f>IF(BC310+1&lt;=$G310,BC310+1,($G310-BC310)+BC310)</f>
        <v>0</v>
      </c>
      <c r="BE310" s="27">
        <f>IF(BD310+239&lt;=$G310,BD310+239,($G310-BD310)+BD310)</f>
        <v>0</v>
      </c>
      <c r="BF310" s="27">
        <f>IF(BE310+1&lt;=$G310,BE310+1,($G310-BE310)+BE310)</f>
        <v>0</v>
      </c>
      <c r="BG310" s="27">
        <f>IF(BF310+11&lt;=$G310,BF310+11,($G310-BF310)+BF310)</f>
        <v>0</v>
      </c>
      <c r="FJ310" s="61"/>
    </row>
    <row r="311" spans="2:166" s="27" customFormat="1" ht="11.25" hidden="1" x14ac:dyDescent="0.2">
      <c r="B311" s="60"/>
      <c r="H311" s="27">
        <v>1</v>
      </c>
      <c r="I311" s="27">
        <f>+I310</f>
        <v>-65</v>
      </c>
      <c r="J311" s="27">
        <f>IF(I311=$G310,0,J310)</f>
        <v>-64</v>
      </c>
      <c r="K311" s="27">
        <f>+K310</f>
        <v>-53</v>
      </c>
      <c r="L311" s="27">
        <f>IF(K311=$G310,0,L310)</f>
        <v>-52</v>
      </c>
      <c r="M311" s="27">
        <f>+M310</f>
        <v>-41</v>
      </c>
      <c r="N311" s="27">
        <f>IF(M311=$G310,0,N310)</f>
        <v>-40</v>
      </c>
      <c r="O311" s="27">
        <f>+O310</f>
        <v>-29</v>
      </c>
      <c r="P311" s="27">
        <f>IF(O311=$G310,0,P310)</f>
        <v>-28</v>
      </c>
      <c r="Q311" s="27">
        <f>+Q310</f>
        <v>-17</v>
      </c>
      <c r="R311" s="27">
        <f>IF(Q311=$G310,0,R310)</f>
        <v>-16</v>
      </c>
      <c r="S311" s="27">
        <f>+S310</f>
        <v>-5</v>
      </c>
      <c r="T311" s="27">
        <f>IF(S311=$G310,0,T310)</f>
        <v>-4</v>
      </c>
      <c r="U311" s="27">
        <f>+U310</f>
        <v>0</v>
      </c>
      <c r="V311" s="27">
        <f>IF(U311=$G310,0,V310)</f>
        <v>0</v>
      </c>
      <c r="W311" s="27">
        <f>+W310</f>
        <v>0</v>
      </c>
      <c r="X311" s="27">
        <f>IF(W311=$G310,0,X310)</f>
        <v>0</v>
      </c>
      <c r="Y311" s="27">
        <f>+Y310</f>
        <v>0</v>
      </c>
      <c r="Z311" s="27">
        <f>IF(Y311=$G310,0,Z310)</f>
        <v>0</v>
      </c>
      <c r="AA311" s="27">
        <f>+AA310</f>
        <v>0</v>
      </c>
      <c r="AB311" s="27">
        <f>IF(AA311=$G310,0,AB310)</f>
        <v>0</v>
      </c>
      <c r="AC311" s="27">
        <f>+AC310</f>
        <v>0</v>
      </c>
      <c r="AD311" s="27">
        <f>IF(AC311=$G310,0,AD310)</f>
        <v>0</v>
      </c>
      <c r="AE311" s="27">
        <f>+AE310</f>
        <v>0</v>
      </c>
      <c r="AF311" s="27">
        <f>IF(AE311=$G310,0,AF310)</f>
        <v>0</v>
      </c>
      <c r="AG311" s="27">
        <f>+AG310</f>
        <v>0</v>
      </c>
      <c r="AH311" s="27">
        <f>IF(AG311=$G310,0,AH310)</f>
        <v>0</v>
      </c>
      <c r="AI311" s="27">
        <f>+AI310</f>
        <v>0</v>
      </c>
      <c r="AJ311" s="27">
        <f>IF(AI311=$G310,0,AJ310)</f>
        <v>0</v>
      </c>
      <c r="AK311" s="27">
        <f>+AK310</f>
        <v>0</v>
      </c>
      <c r="AL311" s="27">
        <f>IF(AK311=$G310,0,AL310)</f>
        <v>0</v>
      </c>
      <c r="AM311" s="27">
        <f>+AM310</f>
        <v>0</v>
      </c>
      <c r="AN311" s="27">
        <f>IF(AM311=$G310,0,AN310)</f>
        <v>0</v>
      </c>
      <c r="AO311" s="27">
        <f>+AO310</f>
        <v>0</v>
      </c>
      <c r="AP311" s="27">
        <f>IF(AO311=$G310,0,AP310)</f>
        <v>0</v>
      </c>
      <c r="AQ311" s="27">
        <f>+AQ310</f>
        <v>0</v>
      </c>
      <c r="AR311" s="27">
        <f>IF(AQ311=$G310,0,AR310)</f>
        <v>0</v>
      </c>
      <c r="AS311" s="27">
        <f>+AS310</f>
        <v>0</v>
      </c>
      <c r="AT311" s="27">
        <f>IF(AS311=$G310,0,AT310)</f>
        <v>0</v>
      </c>
      <c r="AU311" s="27">
        <f>+AU310</f>
        <v>0</v>
      </c>
      <c r="AV311" s="27">
        <f>IF(AU311=$G310,0,AV310)</f>
        <v>0</v>
      </c>
      <c r="AW311" s="27">
        <f>+AW310</f>
        <v>0</v>
      </c>
      <c r="AX311" s="27">
        <f>IF(AW311=$G310,0,AX310)</f>
        <v>0</v>
      </c>
      <c r="AY311" s="27">
        <f>+AY310</f>
        <v>0</v>
      </c>
      <c r="AZ311" s="27">
        <f>IF(AY311=$G310,0,AZ310)</f>
        <v>0</v>
      </c>
      <c r="BA311" s="27">
        <f>+BA310</f>
        <v>0</v>
      </c>
      <c r="BB311" s="27">
        <f>IF(BA311=$G310,0,BB310)</f>
        <v>0</v>
      </c>
      <c r="BC311" s="27">
        <f>+BC310</f>
        <v>0</v>
      </c>
      <c r="BD311" s="61">
        <f>IF(BC311=$G310,0,BD310)</f>
        <v>0</v>
      </c>
      <c r="BE311" s="27">
        <f>+BE310</f>
        <v>0</v>
      </c>
      <c r="BF311" s="27">
        <f>IF(BE311=$G310,0,BF310)</f>
        <v>0</v>
      </c>
      <c r="BG311" s="27">
        <f>+BG310</f>
        <v>0</v>
      </c>
      <c r="FJ311" s="61"/>
    </row>
    <row r="312" spans="2:166" s="27" customFormat="1" ht="11.25" hidden="1" x14ac:dyDescent="0.2">
      <c r="B312" s="60"/>
      <c r="F312" s="27">
        <f>SUMIF(H312:BG312,"&gt;0")</f>
        <v>0</v>
      </c>
      <c r="G312" s="27" t="s">
        <v>632</v>
      </c>
      <c r="I312" s="27" t="e">
        <f>-CUMPRINC($F310/12,$E310*12,$D310,H311,I311,0)</f>
        <v>#NUM!</v>
      </c>
      <c r="K312" s="27" t="e">
        <f>-CUMPRINC($F310/12,$E310*12,$D310,J311,K311,0)</f>
        <v>#NUM!</v>
      </c>
      <c r="M312" s="27" t="e">
        <f>-CUMPRINC($F310/12,$E310*12,$D310,L311,M311,0)</f>
        <v>#NUM!</v>
      </c>
      <c r="O312" s="27" t="e">
        <f>-CUMPRINC($F310/12,$E310*12,$D310,N311,O311,0)</f>
        <v>#NUM!</v>
      </c>
      <c r="Q312" s="27" t="e">
        <f>-CUMPRINC($F310/12,$E310*12,$D310,P311,Q311,0)</f>
        <v>#NUM!</v>
      </c>
      <c r="S312" s="27" t="e">
        <f>-CUMPRINC($F310/12,$E310*12,$D310,R311,S311,0)</f>
        <v>#NUM!</v>
      </c>
      <c r="U312" s="27" t="e">
        <f>-CUMPRINC($F310/12,$E310*12,$D310,T311,U311,0)</f>
        <v>#NUM!</v>
      </c>
      <c r="W312" s="27" t="e">
        <f>-CUMPRINC($F310/12,$E310*12,$D310,V311,W311,0)</f>
        <v>#NUM!</v>
      </c>
      <c r="Y312" s="27" t="e">
        <f>-CUMPRINC($F310/12,$E310*12,$D310,X311,Y311,0)</f>
        <v>#NUM!</v>
      </c>
      <c r="AA312" s="27" t="e">
        <f>-CUMPRINC($F310/12,$E310*12,$D310,Z311,AA311,0)</f>
        <v>#NUM!</v>
      </c>
      <c r="AC312" s="27" t="e">
        <f>-CUMPRINC($F310/12,$E310*12,$D310,AB311,AC311,0)</f>
        <v>#NUM!</v>
      </c>
      <c r="AE312" s="27" t="e">
        <f>-CUMPRINC($F310/12,$E310*12,$D310,AD311,AE311,0)</f>
        <v>#NUM!</v>
      </c>
      <c r="AG312" s="27" t="e">
        <f>-CUMPRINC($F310/12,$E310*12,$D310,AF311,AG311,0)</f>
        <v>#NUM!</v>
      </c>
      <c r="AI312" s="27" t="e">
        <f>-CUMPRINC($F310/12,$E310*12,$D310,AH311,AI311,0)</f>
        <v>#NUM!</v>
      </c>
      <c r="AK312" s="27" t="e">
        <f>-CUMPRINC($F310/12,$E310*12,$D310,AJ311,AK311,0)</f>
        <v>#NUM!</v>
      </c>
      <c r="AM312" s="27" t="e">
        <f>-CUMPRINC($F310/12,$E310*12,$D310,AL311,AM311,0)</f>
        <v>#NUM!</v>
      </c>
      <c r="AO312" s="27" t="e">
        <f>-CUMPRINC($F310/12,$E310*12,$D310,AN311,AO311,0)</f>
        <v>#NUM!</v>
      </c>
      <c r="AQ312" s="27" t="e">
        <f>-CUMPRINC($F310/12,$E310*12,$D310,AP311,AQ311,0)</f>
        <v>#NUM!</v>
      </c>
      <c r="AS312" s="27" t="e">
        <f>-CUMPRINC($F310/12,$E310*12,$D310,AR311,AS311,0)</f>
        <v>#NUM!</v>
      </c>
      <c r="AU312" s="27" t="e">
        <f>-CUMPRINC($F310/12,$E310*12,$D310,AT311,AU311,0)</f>
        <v>#NUM!</v>
      </c>
      <c r="AW312" s="27" t="e">
        <f>-CUMPRINC($F310/12,$E310*12,$D310,AV311,AW311,0)</f>
        <v>#NUM!</v>
      </c>
      <c r="AY312" s="27" t="e">
        <f>-CUMPRINC($F310/12,$E310*12,$D310,AX311,AY311,0)</f>
        <v>#NUM!</v>
      </c>
      <c r="BA312" s="27" t="e">
        <f>-CUMPRINC($F310/12,$E310*12,$D310,AZ311,BA311,0)</f>
        <v>#NUM!</v>
      </c>
      <c r="BC312" s="27" t="e">
        <f>-CUMPRINC($F310/12,$E310*12,$D310,BB311,BC311,0)</f>
        <v>#NUM!</v>
      </c>
      <c r="BD312" s="61"/>
      <c r="BE312" s="27" t="e">
        <f>-CUMPRINC($F310/12,$E310*12,$D310,BD311,BE311,0)</f>
        <v>#NUM!</v>
      </c>
      <c r="BG312" s="27" t="e">
        <f>-CUMPRINC($F310/12,$E310*12,$D310,BF311,BG311,0)</f>
        <v>#NUM!</v>
      </c>
      <c r="BH312" s="27" t="s">
        <v>783</v>
      </c>
      <c r="BJ312" s="27" t="e">
        <f>-CUMIPMT($F310/12,$E310*12,$D310,H311,I311,0)</f>
        <v>#NUM!</v>
      </c>
      <c r="BL312" s="27" t="e">
        <f>-CUMIPMT($F310/12,$E310*12,$D310,J311,K311,0)</f>
        <v>#NUM!</v>
      </c>
      <c r="BN312" s="27" t="e">
        <f>-CUMIPMT($F310/12,$E310*12,$D310,L311,M311,0)</f>
        <v>#NUM!</v>
      </c>
      <c r="BP312" s="27" t="e">
        <f>-CUMIPMT($F310/12,$E310*12,$D310,N311,O311,0)</f>
        <v>#NUM!</v>
      </c>
      <c r="BR312" s="27" t="e">
        <f>-CUMIPMT($F310/12,$E310*12,$D310,P311,Q311,0)</f>
        <v>#NUM!</v>
      </c>
      <c r="BT312" s="27" t="e">
        <f>-CUMIPMT($F310/12,$E310*12,$D310,R311,S311,0)</f>
        <v>#NUM!</v>
      </c>
      <c r="BV312" s="27" t="e">
        <f>-CUMIPMT($F310/12,$E310*12,$D310,T311,U311,0)</f>
        <v>#NUM!</v>
      </c>
      <c r="BX312" s="27" t="e">
        <f>-CUMIPMT($F310/12,$E310*12,$D310,V311,W311,0)</f>
        <v>#NUM!</v>
      </c>
      <c r="BZ312" s="27" t="e">
        <f>-CUMIPMT($F310/12,$E310*12,$D310,X311,Y311,0)</f>
        <v>#NUM!</v>
      </c>
      <c r="CB312" s="27" t="e">
        <f>-CUMIPMT($F310/12,$E310*12,$D310,Z311,AA311,0)</f>
        <v>#NUM!</v>
      </c>
      <c r="CD312" s="27" t="e">
        <f>-CUMIPMT($F310/12,$E310*12,$D310,AB311,AC311,0)</f>
        <v>#NUM!</v>
      </c>
      <c r="CF312" s="27" t="e">
        <f>-CUMIPMT($F310/12,$E310*12,$D310,AD311,AE311,0)</f>
        <v>#NUM!</v>
      </c>
      <c r="CH312" s="27" t="e">
        <f>-CUMIPMT($F310/12,$E310*12,$D310,AF311,AG311,0)</f>
        <v>#NUM!</v>
      </c>
      <c r="CJ312" s="27" t="e">
        <f>-CUMIPMT($F310/12,$E310*12,$D310,AH311,AI311,0)</f>
        <v>#NUM!</v>
      </c>
      <c r="CL312" s="27" t="e">
        <f>-CUMIPMT($F310/12,$E310*12,$D310,AJ311,AK311,0)</f>
        <v>#NUM!</v>
      </c>
      <c r="CN312" s="27" t="e">
        <f>-CUMIPMT($F310/12,$E310*12,$D310,AL311,AM311,0)</f>
        <v>#NUM!</v>
      </c>
      <c r="CP312" s="27" t="e">
        <f>-CUMIPMT($F310/12,$E310*12,$D310,AN311,AO311,0)</f>
        <v>#NUM!</v>
      </c>
      <c r="CR312" s="27" t="e">
        <f>-CUMIPMT($F310/12,$E310*12,$D310,AP311,AQ311,0)</f>
        <v>#NUM!</v>
      </c>
      <c r="CT312" s="27" t="e">
        <f>-CUMIPMT($F310/12,$E310*12,$D310,AR311,AS311,0)</f>
        <v>#NUM!</v>
      </c>
      <c r="CV312" s="27" t="e">
        <f>-CUMIPMT($F310/12,$E310*12,$D310,AT311,AU311,0)</f>
        <v>#NUM!</v>
      </c>
      <c r="CX312" s="27" t="e">
        <f>-CUMIPMT($F310/12,$E310*12,$D310,AV311,AW311,0)</f>
        <v>#NUM!</v>
      </c>
      <c r="CZ312" s="27" t="e">
        <f>-CUMIPMT($F310/12,$E310*12,$D310,AX311,AY311,0)</f>
        <v>#NUM!</v>
      </c>
      <c r="DB312" s="27" t="e">
        <f>-CUMIPMT($F310/12,$E310*12,$D310,AZ311,BA311,0)</f>
        <v>#NUM!</v>
      </c>
      <c r="DD312" s="27" t="e">
        <f>-CUMIPMT($F310/12,$E310*12,$D310,BB311,BC311,0)</f>
        <v>#NUM!</v>
      </c>
      <c r="DF312" s="27" t="e">
        <f>-CUMIPMT($F310/12,$E310*12,$D310,BD311,BE311,0)</f>
        <v>#NUM!</v>
      </c>
      <c r="DH312" s="27" t="e">
        <f>-CUMIPMT($F310/12,$E310*12,$D310,BF311,BG311,0)</f>
        <v>#NUM!</v>
      </c>
      <c r="DI312" s="27" t="s">
        <v>784</v>
      </c>
      <c r="DJ312" s="27" t="s">
        <v>785</v>
      </c>
      <c r="DK312" s="27">
        <f>+F312</f>
        <v>0</v>
      </c>
      <c r="DL312" s="27" t="e">
        <f>+DK312-I312</f>
        <v>#NUM!</v>
      </c>
      <c r="DN312" s="27" t="e">
        <f>+DL312-K312</f>
        <v>#NUM!</v>
      </c>
      <c r="DP312" s="27" t="e">
        <f>+DN312-M312</f>
        <v>#NUM!</v>
      </c>
      <c r="DR312" s="27" t="e">
        <f>+DP312-O312</f>
        <v>#NUM!</v>
      </c>
      <c r="DT312" s="27" t="e">
        <f>+DR312-Q312</f>
        <v>#NUM!</v>
      </c>
      <c r="DV312" s="27" t="e">
        <f>+DT312-S312</f>
        <v>#NUM!</v>
      </c>
      <c r="DX312" s="27" t="e">
        <f>+DV312-U312</f>
        <v>#NUM!</v>
      </c>
      <c r="DZ312" s="27" t="e">
        <f>+DX312-W312</f>
        <v>#NUM!</v>
      </c>
      <c r="EB312" s="27" t="e">
        <f>+DZ312-Y312</f>
        <v>#NUM!</v>
      </c>
      <c r="ED312" s="27" t="e">
        <f>+EB312-AA312</f>
        <v>#NUM!</v>
      </c>
      <c r="EF312" s="27" t="e">
        <f>+ED312-AC312</f>
        <v>#NUM!</v>
      </c>
      <c r="EH312" s="27" t="e">
        <f>+EF312-AE312</f>
        <v>#NUM!</v>
      </c>
      <c r="EJ312" s="27" t="e">
        <f>+EH312-AG312</f>
        <v>#NUM!</v>
      </c>
      <c r="EL312" s="27" t="e">
        <f>+EJ312-AI312</f>
        <v>#NUM!</v>
      </c>
      <c r="EN312" s="27" t="e">
        <f>+EL312-AK312</f>
        <v>#NUM!</v>
      </c>
      <c r="EP312" s="27" t="e">
        <f>+EN312-AM312</f>
        <v>#NUM!</v>
      </c>
      <c r="ER312" s="27" t="e">
        <f>+EP312-AO312</f>
        <v>#NUM!</v>
      </c>
      <c r="ET312" s="27" t="e">
        <f>+ER312-AQ312</f>
        <v>#NUM!</v>
      </c>
      <c r="EV312" s="27" t="e">
        <f>+ET312-AS312</f>
        <v>#NUM!</v>
      </c>
      <c r="EX312" s="27" t="e">
        <f>+EV312-AU312</f>
        <v>#NUM!</v>
      </c>
      <c r="EZ312" s="27" t="e">
        <f>+EX312-AW312</f>
        <v>#NUM!</v>
      </c>
      <c r="FB312" s="27" t="e">
        <f>+EZ312-AY312</f>
        <v>#NUM!</v>
      </c>
      <c r="FD312" s="27" t="e">
        <f>+FB312-BA312</f>
        <v>#NUM!</v>
      </c>
      <c r="FF312" s="27" t="e">
        <f>+FD312-BC312</f>
        <v>#NUM!</v>
      </c>
      <c r="FH312" s="27" t="e">
        <f>+FF312-BE312</f>
        <v>#NUM!</v>
      </c>
      <c r="FJ312" s="61" t="e">
        <f>+FH312-BG312</f>
        <v>#NUM!</v>
      </c>
    </row>
    <row r="313" spans="2:166" s="27" customFormat="1" ht="11.25" hidden="1" x14ac:dyDescent="0.2">
      <c r="B313" s="60"/>
      <c r="E313" s="27">
        <f>+F312+F313</f>
        <v>0</v>
      </c>
      <c r="F313" s="27">
        <f>SUMIF(BI312:DH312,"&gt;0")</f>
        <v>0</v>
      </c>
      <c r="I313" s="27">
        <f>IF(ISERROR(I312)=FALSE,I312,0)</f>
        <v>0</v>
      </c>
      <c r="K313" s="27">
        <f>IF(ISERROR(K312)=FALSE,K312,0)</f>
        <v>0</v>
      </c>
      <c r="M313" s="27">
        <f>IF(ISERROR(M312)=FALSE,M312,0)</f>
        <v>0</v>
      </c>
      <c r="O313" s="27">
        <f>IF(ISERROR(O312)=FALSE,O312,0)</f>
        <v>0</v>
      </c>
      <c r="Q313" s="27">
        <f>IF(ISERROR(Q312)=FALSE,Q312,0)</f>
        <v>0</v>
      </c>
      <c r="S313" s="27">
        <f>IF(ISERROR(S312)=FALSE,S312,0)</f>
        <v>0</v>
      </c>
      <c r="U313" s="27">
        <f>IF(ISERROR(U312)=FALSE,U312,0)</f>
        <v>0</v>
      </c>
      <c r="W313" s="27">
        <f>IF(ISERROR(W312)=FALSE,W312,0)</f>
        <v>0</v>
      </c>
      <c r="Y313" s="27">
        <f>IF(ISERROR(Y312)=FALSE,Y312,0)</f>
        <v>0</v>
      </c>
      <c r="AA313" s="27">
        <f>IF(ISERROR(AA312)=FALSE,AA312,0)</f>
        <v>0</v>
      </c>
      <c r="AC313" s="27">
        <f>IF(ISERROR(AC312)=FALSE,AC312,0)</f>
        <v>0</v>
      </c>
      <c r="AE313" s="27">
        <f>IF(ISERROR(AE312)=FALSE,AE312,0)</f>
        <v>0</v>
      </c>
      <c r="AG313" s="27">
        <f>IF(ISERROR(AG312)=FALSE,AG312,0)</f>
        <v>0</v>
      </c>
      <c r="AI313" s="27">
        <f>IF(ISERROR(AI312)=FALSE,AI312,0)</f>
        <v>0</v>
      </c>
      <c r="AK313" s="27">
        <f>IF(ISERROR(AK312)=FALSE,AK312,0)</f>
        <v>0</v>
      </c>
      <c r="AM313" s="27">
        <f>IF(ISERROR(AM312)=FALSE,AM312,0)</f>
        <v>0</v>
      </c>
      <c r="AO313" s="27">
        <f>IF(ISERROR(AO312)=FALSE,AO312,0)</f>
        <v>0</v>
      </c>
      <c r="AQ313" s="27">
        <f>IF(ISERROR(AQ312)=FALSE,AQ312,0)</f>
        <v>0</v>
      </c>
      <c r="AS313" s="27">
        <f>IF(ISERROR(AS312)=FALSE,AS312,0)</f>
        <v>0</v>
      </c>
      <c r="AU313" s="27">
        <f>IF(ISERROR(AU312)=FALSE,AU312,0)</f>
        <v>0</v>
      </c>
      <c r="AW313" s="27">
        <f>IF(ISERROR(AW312)=FALSE,AW312,0)</f>
        <v>0</v>
      </c>
      <c r="AY313" s="27">
        <f>IF(ISERROR(AY312)=FALSE,AY312,0)</f>
        <v>0</v>
      </c>
      <c r="BA313" s="27">
        <f>IF(ISERROR(BA312)=FALSE,BA312,0)</f>
        <v>0</v>
      </c>
      <c r="BC313" s="27">
        <f>IF(ISERROR(BC312)=FALSE,BC312,0)</f>
        <v>0</v>
      </c>
      <c r="BD313" s="61"/>
      <c r="BE313" s="27">
        <f>IF(ISERROR(BE312)=FALSE,BE312,0)</f>
        <v>0</v>
      </c>
      <c r="BG313" s="27">
        <f>IF(ISERROR(BG312)=FALSE,BG312,0)</f>
        <v>0</v>
      </c>
      <c r="FJ313" s="61"/>
    </row>
    <row r="314" spans="2:166" s="27" customFormat="1" ht="11.25" hidden="1" x14ac:dyDescent="0.2">
      <c r="B314" s="60"/>
      <c r="D314" s="27" t="s">
        <v>630</v>
      </c>
      <c r="E314" s="27">
        <f>IF(E310=0,0,E313/(E310*12))</f>
        <v>0</v>
      </c>
      <c r="BD314" s="61"/>
      <c r="FJ314" s="61"/>
    </row>
    <row r="315" spans="2:166" s="27" customFormat="1" ht="11.25" hidden="1" x14ac:dyDescent="0.2">
      <c r="B315" s="60"/>
      <c r="C315" s="27">
        <f>C143</f>
        <v>0</v>
      </c>
      <c r="D315" s="27">
        <f>D143</f>
        <v>0</v>
      </c>
      <c r="E315" s="27">
        <f>E143</f>
        <v>0</v>
      </c>
      <c r="F315" s="27">
        <f>F143</f>
        <v>0</v>
      </c>
      <c r="G315" s="27">
        <f>+$E315*12</f>
        <v>0</v>
      </c>
      <c r="H315" s="27">
        <f>SUMIF($W143:$AH143,$D143,$W$108:$AH$108)</f>
        <v>78</v>
      </c>
      <c r="I315" s="27">
        <f>13-H315</f>
        <v>-65</v>
      </c>
      <c r="J315" s="27">
        <f>IF(I315+1&lt;=$G315,I315+1,($G315-I315)+I315)</f>
        <v>-64</v>
      </c>
      <c r="K315" s="27">
        <f>IF(J315+11&lt;=$G315,J315+11,($G315-J315)+J315)</f>
        <v>-53</v>
      </c>
      <c r="L315" s="27">
        <f>IF(K315+1&lt;=$G315,K315+1,($G315-K315)+K315)</f>
        <v>-52</v>
      </c>
      <c r="M315" s="27">
        <f>IF(L315+11&lt;=$G315,L315+11,($G315-L315)+L315)</f>
        <v>-41</v>
      </c>
      <c r="N315" s="27">
        <f>IF(M315+1&lt;=$G315,M315+1,($G315-M315)+M315)</f>
        <v>-40</v>
      </c>
      <c r="O315" s="27">
        <f>IF(N315+11&lt;=$G315,N315+11,($G315-N315)+N315)</f>
        <v>-29</v>
      </c>
      <c r="P315" s="27">
        <f>IF(O315+1&lt;=$G315,O315+1,($G315-O315)+O315)</f>
        <v>-28</v>
      </c>
      <c r="Q315" s="27">
        <f>IF(P315+11&lt;=$G315,P315+11,($G315-P315)+P315)</f>
        <v>-17</v>
      </c>
      <c r="R315" s="27">
        <f>IF(Q315+1&lt;=$G315,Q315+1,($G315-Q315)+Q315)</f>
        <v>-16</v>
      </c>
      <c r="S315" s="27">
        <f>IF(R315+11&lt;=$G315,R315+11,($G315-R315)+R315)</f>
        <v>-5</v>
      </c>
      <c r="T315" s="27">
        <f>IF(S315+1&lt;=$G315,S315+1,($G315-S315)+S315)</f>
        <v>-4</v>
      </c>
      <c r="U315" s="27">
        <f>IF(T315+11&lt;=$G315,T315+11,($G315-T315)+T315)</f>
        <v>0</v>
      </c>
      <c r="V315" s="27">
        <f>IF(U315+1&lt;=$G315,U315+1,($G315-U315)+U315)</f>
        <v>0</v>
      </c>
      <c r="W315" s="27">
        <f>IF(V315+11&lt;=$G315,V315+11,($G315-V315)+V315)</f>
        <v>0</v>
      </c>
      <c r="X315" s="27">
        <f>IF(W315+1&lt;=$G315,W315+1,($G315-W315)+W315)</f>
        <v>0</v>
      </c>
      <c r="Y315" s="27">
        <f>IF(X315+11&lt;=$G315,X315+11,($G315-X315)+X315)</f>
        <v>0</v>
      </c>
      <c r="Z315" s="27">
        <f>IF(Y315+1&lt;=$G315,Y315+1,($G315-Y315)+Y315)</f>
        <v>0</v>
      </c>
      <c r="AA315" s="27">
        <f>IF(Z315+11&lt;=$G315,Z315+11,($G315-Z315)+Z315)</f>
        <v>0</v>
      </c>
      <c r="AB315" s="27">
        <f>IF(AA315+1&lt;=$G315,AA315+1,($G315-AA315)+AA315)</f>
        <v>0</v>
      </c>
      <c r="AC315" s="27">
        <f>IF(AB315+11&lt;=$G315,AB315+11,($G315-AB315)+AB315)</f>
        <v>0</v>
      </c>
      <c r="AD315" s="27">
        <f>IF(AC315+1&lt;=$G315,AC315+1,($G315-AC315)+AC315)</f>
        <v>0</v>
      </c>
      <c r="AE315" s="27">
        <f>IF(AD315+11&lt;=$G315,AD315+11,($G315-AD315)+AD315)</f>
        <v>0</v>
      </c>
      <c r="AF315" s="27">
        <f>IF(AE315+1&lt;=$G315,AE315+1,($G315-AE315)+AE315)</f>
        <v>0</v>
      </c>
      <c r="AG315" s="27">
        <f>IF(AF315+11&lt;=$G315,AF315+11,($G315-AF315)+AF315)</f>
        <v>0</v>
      </c>
      <c r="AH315" s="27">
        <f>IF(AG315+1&lt;=$G315,AG315+1,($G315-AG315)+AG315)</f>
        <v>0</v>
      </c>
      <c r="AI315" s="27">
        <f>IF(AH315+11&lt;=$G315,AH315+11,($G315-AH315)+AH315)</f>
        <v>0</v>
      </c>
      <c r="AJ315" s="27">
        <f>IF(AI315+1&lt;=$G315,AI315+1,($G315-AI315)+AI315)</f>
        <v>0</v>
      </c>
      <c r="AK315" s="27">
        <f>IF(AJ315+11&lt;=$G315,AJ315+11,($G315-AJ315)+AJ315)</f>
        <v>0</v>
      </c>
      <c r="AL315" s="27">
        <f>IF(AK315+1&lt;=$G315,AK315+1,($G315-AK315)+AK315)</f>
        <v>0</v>
      </c>
      <c r="AM315" s="27">
        <f>IF(AL315+11&lt;=$G315,AL315+11,($G315-AL315)+AL315)</f>
        <v>0</v>
      </c>
      <c r="AN315" s="27">
        <f>IF(AM315+1&lt;=$G315,AM315+1,($G315-AM315)+AM315)</f>
        <v>0</v>
      </c>
      <c r="AO315" s="27">
        <f>IF(AN315+11&lt;=$G315,AN315+11,($G315-AN315)+AN315)</f>
        <v>0</v>
      </c>
      <c r="AP315" s="27">
        <f>IF(AO315+1&lt;=$G315,AO315+1,($G315-AO315)+AO315)</f>
        <v>0</v>
      </c>
      <c r="AQ315" s="27">
        <f>IF(AP315+11&lt;=$G315,AP315+11,($G315-AP315)+AP315)</f>
        <v>0</v>
      </c>
      <c r="AR315" s="27">
        <f>IF(AQ315+1&lt;=$G315,AQ315+1,($G315-AQ315)+AQ315)</f>
        <v>0</v>
      </c>
      <c r="AS315" s="27">
        <f>IF(AR315+11&lt;=$G315,AR315+11,($G315-AR315)+AR315)</f>
        <v>0</v>
      </c>
      <c r="AT315" s="27">
        <f>IF(AS315+1&lt;=$G315,AS315+1,($G315-AS315)+AS315)</f>
        <v>0</v>
      </c>
      <c r="AU315" s="27">
        <f>IF(AT315+11&lt;=$G315,AT315+11,($G315-AT315)+AT315)</f>
        <v>0</v>
      </c>
      <c r="AV315" s="27">
        <f>IF(AU315+1&lt;=$G315,AU315+1,($G315-AU315)+AU315)</f>
        <v>0</v>
      </c>
      <c r="AW315" s="27">
        <f>IF(AV315+11&lt;=$G315,AV315+11,($G315-AV315)+AV315)</f>
        <v>0</v>
      </c>
      <c r="AX315" s="27">
        <f>IF(AW315+1&lt;=$G315,AW315+1,($G315-AW315)+AW315)</f>
        <v>0</v>
      </c>
      <c r="AY315" s="27">
        <f>IF(AX315+11&lt;=$G315,AX315+11,($G315-AX315)+AX315)</f>
        <v>0</v>
      </c>
      <c r="AZ315" s="27">
        <f>IF(AY315+1&lt;=$G315,AY315+1,($G315-AY315)+AY315)</f>
        <v>0</v>
      </c>
      <c r="BA315" s="27">
        <f>IF(AZ315+35&lt;=$G315,AZ315+35,($G315-AZ315)+AZ315)</f>
        <v>0</v>
      </c>
      <c r="BB315" s="27">
        <f>IF(BA315+1&lt;=$G315,BA315+1,($G315-BA315)+BA315)</f>
        <v>0</v>
      </c>
      <c r="BC315" s="27">
        <f>IF(BB315+59&lt;=$G315,BB315+59,($G315-BB315)+BB315)</f>
        <v>0</v>
      </c>
      <c r="BD315" s="61">
        <f>IF(BC315+1&lt;=$G315,BC315+1,($G315-BC315)+BC315)</f>
        <v>0</v>
      </c>
      <c r="BE315" s="27">
        <f>IF(BD315+239&lt;=$G315,BD315+239,($G315-BD315)+BD315)</f>
        <v>0</v>
      </c>
      <c r="BF315" s="27">
        <f>IF(BE315+1&lt;=$G315,BE315+1,($G315-BE315)+BE315)</f>
        <v>0</v>
      </c>
      <c r="BG315" s="27">
        <f>IF(BF315+11&lt;=$G315,BF315+11,($G315-BF315)+BF315)</f>
        <v>0</v>
      </c>
      <c r="FJ315" s="61"/>
    </row>
    <row r="316" spans="2:166" s="27" customFormat="1" ht="11.25" hidden="1" x14ac:dyDescent="0.2">
      <c r="B316" s="60"/>
      <c r="H316" s="27">
        <v>1</v>
      </c>
      <c r="I316" s="27">
        <f>+I315</f>
        <v>-65</v>
      </c>
      <c r="J316" s="27">
        <f>IF(I316=$G315,0,J315)</f>
        <v>-64</v>
      </c>
      <c r="K316" s="27">
        <f>+K315</f>
        <v>-53</v>
      </c>
      <c r="L316" s="27">
        <f>IF(K316=$G315,0,L315)</f>
        <v>-52</v>
      </c>
      <c r="M316" s="27">
        <f>+M315</f>
        <v>-41</v>
      </c>
      <c r="N316" s="27">
        <f>IF(M316=$G315,0,N315)</f>
        <v>-40</v>
      </c>
      <c r="O316" s="27">
        <f>+O315</f>
        <v>-29</v>
      </c>
      <c r="P316" s="27">
        <f>IF(O316=$G315,0,P315)</f>
        <v>-28</v>
      </c>
      <c r="Q316" s="27">
        <f>+Q315</f>
        <v>-17</v>
      </c>
      <c r="R316" s="27">
        <f>IF(Q316=$G315,0,R315)</f>
        <v>-16</v>
      </c>
      <c r="S316" s="27">
        <f>+S315</f>
        <v>-5</v>
      </c>
      <c r="T316" s="27">
        <f>IF(S316=$G315,0,T315)</f>
        <v>-4</v>
      </c>
      <c r="U316" s="27">
        <f>+U315</f>
        <v>0</v>
      </c>
      <c r="V316" s="27">
        <f>IF(U316=$G315,0,V315)</f>
        <v>0</v>
      </c>
      <c r="W316" s="27">
        <f>+W315</f>
        <v>0</v>
      </c>
      <c r="X316" s="27">
        <f>IF(W316=$G315,0,X315)</f>
        <v>0</v>
      </c>
      <c r="Y316" s="27">
        <f>+Y315</f>
        <v>0</v>
      </c>
      <c r="Z316" s="27">
        <f>IF(Y316=$G315,0,Z315)</f>
        <v>0</v>
      </c>
      <c r="AA316" s="27">
        <f>+AA315</f>
        <v>0</v>
      </c>
      <c r="AB316" s="27">
        <f>IF(AA316=$G315,0,AB315)</f>
        <v>0</v>
      </c>
      <c r="AC316" s="27">
        <f>+AC315</f>
        <v>0</v>
      </c>
      <c r="AD316" s="27">
        <f>IF(AC316=$G315,0,AD315)</f>
        <v>0</v>
      </c>
      <c r="AE316" s="27">
        <f>+AE315</f>
        <v>0</v>
      </c>
      <c r="AF316" s="27">
        <f>IF(AE316=$G315,0,AF315)</f>
        <v>0</v>
      </c>
      <c r="AG316" s="27">
        <f>+AG315</f>
        <v>0</v>
      </c>
      <c r="AH316" s="27">
        <f>IF(AG316=$G315,0,AH315)</f>
        <v>0</v>
      </c>
      <c r="AI316" s="27">
        <f>+AI315</f>
        <v>0</v>
      </c>
      <c r="AJ316" s="27">
        <f>IF(AI316=$G315,0,AJ315)</f>
        <v>0</v>
      </c>
      <c r="AK316" s="27">
        <f>+AK315</f>
        <v>0</v>
      </c>
      <c r="AL316" s="27">
        <f>IF(AK316=$G315,0,AL315)</f>
        <v>0</v>
      </c>
      <c r="AM316" s="27">
        <f>+AM315</f>
        <v>0</v>
      </c>
      <c r="AN316" s="27">
        <f>IF(AM316=$G315,0,AN315)</f>
        <v>0</v>
      </c>
      <c r="AO316" s="27">
        <f>+AO315</f>
        <v>0</v>
      </c>
      <c r="AP316" s="27">
        <f>IF(AO316=$G315,0,AP315)</f>
        <v>0</v>
      </c>
      <c r="AQ316" s="27">
        <f>+AQ315</f>
        <v>0</v>
      </c>
      <c r="AR316" s="27">
        <f>IF(AQ316=$G315,0,AR315)</f>
        <v>0</v>
      </c>
      <c r="AS316" s="27">
        <f>+AS315</f>
        <v>0</v>
      </c>
      <c r="AT316" s="27">
        <f>IF(AS316=$G315,0,AT315)</f>
        <v>0</v>
      </c>
      <c r="AU316" s="27">
        <f>+AU315</f>
        <v>0</v>
      </c>
      <c r="AV316" s="27">
        <f>IF(AU316=$G315,0,AV315)</f>
        <v>0</v>
      </c>
      <c r="AW316" s="27">
        <f>+AW315</f>
        <v>0</v>
      </c>
      <c r="AX316" s="27">
        <f>IF(AW316=$G315,0,AX315)</f>
        <v>0</v>
      </c>
      <c r="AY316" s="27">
        <f>+AY315</f>
        <v>0</v>
      </c>
      <c r="AZ316" s="27">
        <f>IF(AY316=$G315,0,AZ315)</f>
        <v>0</v>
      </c>
      <c r="BA316" s="27">
        <f>+BA315</f>
        <v>0</v>
      </c>
      <c r="BB316" s="27">
        <f>IF(BA316=$G315,0,BB315)</f>
        <v>0</v>
      </c>
      <c r="BC316" s="27">
        <f>+BC315</f>
        <v>0</v>
      </c>
      <c r="BD316" s="61">
        <f>IF(BC316=$G315,0,BD315)</f>
        <v>0</v>
      </c>
      <c r="BE316" s="27">
        <f>+BE315</f>
        <v>0</v>
      </c>
      <c r="BF316" s="27">
        <f>IF(BE316=$G315,0,BF315)</f>
        <v>0</v>
      </c>
      <c r="BG316" s="27">
        <f>+BG315</f>
        <v>0</v>
      </c>
      <c r="FJ316" s="61"/>
    </row>
    <row r="317" spans="2:166" s="27" customFormat="1" ht="11.25" hidden="1" x14ac:dyDescent="0.2">
      <c r="B317" s="60"/>
      <c r="F317" s="27">
        <f>SUMIF(H317:BG317,"&gt;0")</f>
        <v>0</v>
      </c>
      <c r="G317" s="27" t="s">
        <v>632</v>
      </c>
      <c r="I317" s="27" t="e">
        <f>-CUMPRINC($F315/12,$E315*12,$D315,H316,I316,0)</f>
        <v>#NUM!</v>
      </c>
      <c r="K317" s="27" t="e">
        <f>-CUMPRINC($F315/12,$E315*12,$D315,J316,K316,0)</f>
        <v>#NUM!</v>
      </c>
      <c r="M317" s="27" t="e">
        <f>-CUMPRINC($F315/12,$E315*12,$D315,L316,M316,0)</f>
        <v>#NUM!</v>
      </c>
      <c r="O317" s="27" t="e">
        <f>-CUMPRINC($F315/12,$E315*12,$D315,N316,O316,0)</f>
        <v>#NUM!</v>
      </c>
      <c r="Q317" s="27" t="e">
        <f>-CUMPRINC($F315/12,$E315*12,$D315,P316,Q316,0)</f>
        <v>#NUM!</v>
      </c>
      <c r="S317" s="27" t="e">
        <f>-CUMPRINC($F315/12,$E315*12,$D315,R316,S316,0)</f>
        <v>#NUM!</v>
      </c>
      <c r="U317" s="27" t="e">
        <f>-CUMPRINC($F315/12,$E315*12,$D315,T316,U316,0)</f>
        <v>#NUM!</v>
      </c>
      <c r="W317" s="27" t="e">
        <f>-CUMPRINC($F315/12,$E315*12,$D315,V316,W316,0)</f>
        <v>#NUM!</v>
      </c>
      <c r="Y317" s="27" t="e">
        <f>-CUMPRINC($F315/12,$E315*12,$D315,X316,Y316,0)</f>
        <v>#NUM!</v>
      </c>
      <c r="AA317" s="27" t="e">
        <f>-CUMPRINC($F315/12,$E315*12,$D315,Z316,AA316,0)</f>
        <v>#NUM!</v>
      </c>
      <c r="AC317" s="27" t="e">
        <f>-CUMPRINC($F315/12,$E315*12,$D315,AB316,AC316,0)</f>
        <v>#NUM!</v>
      </c>
      <c r="AE317" s="27" t="e">
        <f>-CUMPRINC($F315/12,$E315*12,$D315,AD316,AE316,0)</f>
        <v>#NUM!</v>
      </c>
      <c r="AG317" s="27" t="e">
        <f>-CUMPRINC($F315/12,$E315*12,$D315,AF316,AG316,0)</f>
        <v>#NUM!</v>
      </c>
      <c r="AI317" s="27" t="e">
        <f>-CUMPRINC($F315/12,$E315*12,$D315,AH316,AI316,0)</f>
        <v>#NUM!</v>
      </c>
      <c r="AK317" s="27" t="e">
        <f>-CUMPRINC($F315/12,$E315*12,$D315,AJ316,AK316,0)</f>
        <v>#NUM!</v>
      </c>
      <c r="AM317" s="27" t="e">
        <f>-CUMPRINC($F315/12,$E315*12,$D315,AL316,AM316,0)</f>
        <v>#NUM!</v>
      </c>
      <c r="AO317" s="27" t="e">
        <f>-CUMPRINC($F315/12,$E315*12,$D315,AN316,AO316,0)</f>
        <v>#NUM!</v>
      </c>
      <c r="AQ317" s="27" t="e">
        <f>-CUMPRINC($F315/12,$E315*12,$D315,AP316,AQ316,0)</f>
        <v>#NUM!</v>
      </c>
      <c r="AS317" s="27" t="e">
        <f>-CUMPRINC($F315/12,$E315*12,$D315,AR316,AS316,0)</f>
        <v>#NUM!</v>
      </c>
      <c r="AU317" s="27" t="e">
        <f>-CUMPRINC($F315/12,$E315*12,$D315,AT316,AU316,0)</f>
        <v>#NUM!</v>
      </c>
      <c r="AW317" s="27" t="e">
        <f>-CUMPRINC($F315/12,$E315*12,$D315,AV316,AW316,0)</f>
        <v>#NUM!</v>
      </c>
      <c r="AY317" s="27" t="e">
        <f>-CUMPRINC($F315/12,$E315*12,$D315,AX316,AY316,0)</f>
        <v>#NUM!</v>
      </c>
      <c r="BA317" s="27" t="e">
        <f>-CUMPRINC($F315/12,$E315*12,$D315,AZ316,BA316,0)</f>
        <v>#NUM!</v>
      </c>
      <c r="BC317" s="27" t="e">
        <f>-CUMPRINC($F315/12,$E315*12,$D315,BB316,BC316,0)</f>
        <v>#NUM!</v>
      </c>
      <c r="BD317" s="61"/>
      <c r="BE317" s="27" t="e">
        <f>-CUMPRINC($F315/12,$E315*12,$D315,BD316,BE316,0)</f>
        <v>#NUM!</v>
      </c>
      <c r="BG317" s="27" t="e">
        <f>-CUMPRINC($F315/12,$E315*12,$D315,BF316,BG316,0)</f>
        <v>#NUM!</v>
      </c>
      <c r="BH317" s="27" t="s">
        <v>783</v>
      </c>
      <c r="BJ317" s="27" t="e">
        <f>-CUMIPMT($F315/12,$E315*12,$D315,H316,I316,0)</f>
        <v>#NUM!</v>
      </c>
      <c r="BL317" s="27" t="e">
        <f>-CUMIPMT($F315/12,$E315*12,$D315,J316,K316,0)</f>
        <v>#NUM!</v>
      </c>
      <c r="BN317" s="27" t="e">
        <f>-CUMIPMT($F315/12,$E315*12,$D315,L316,M316,0)</f>
        <v>#NUM!</v>
      </c>
      <c r="BP317" s="27" t="e">
        <f>-CUMIPMT($F315/12,$E315*12,$D315,N316,O316,0)</f>
        <v>#NUM!</v>
      </c>
      <c r="BR317" s="27" t="e">
        <f>-CUMIPMT($F315/12,$E315*12,$D315,P316,Q316,0)</f>
        <v>#NUM!</v>
      </c>
      <c r="BT317" s="27" t="e">
        <f>-CUMIPMT($F315/12,$E315*12,$D315,R316,S316,0)</f>
        <v>#NUM!</v>
      </c>
      <c r="BV317" s="27" t="e">
        <f>-CUMIPMT($F315/12,$E315*12,$D315,T316,U316,0)</f>
        <v>#NUM!</v>
      </c>
      <c r="BX317" s="27" t="e">
        <f>-CUMIPMT($F315/12,$E315*12,$D315,V316,W316,0)</f>
        <v>#NUM!</v>
      </c>
      <c r="BZ317" s="27" t="e">
        <f>-CUMIPMT($F315/12,$E315*12,$D315,X316,Y316,0)</f>
        <v>#NUM!</v>
      </c>
      <c r="CB317" s="27" t="e">
        <f>-CUMIPMT($F315/12,$E315*12,$D315,Z316,AA316,0)</f>
        <v>#NUM!</v>
      </c>
      <c r="CD317" s="27" t="e">
        <f>-CUMIPMT($F315/12,$E315*12,$D315,AB316,AC316,0)</f>
        <v>#NUM!</v>
      </c>
      <c r="CF317" s="27" t="e">
        <f>-CUMIPMT($F315/12,$E315*12,$D315,AD316,AE316,0)</f>
        <v>#NUM!</v>
      </c>
      <c r="CH317" s="27" t="e">
        <f>-CUMIPMT($F315/12,$E315*12,$D315,AF316,AG316,0)</f>
        <v>#NUM!</v>
      </c>
      <c r="CJ317" s="27" t="e">
        <f>-CUMIPMT($F315/12,$E315*12,$D315,AH316,AI316,0)</f>
        <v>#NUM!</v>
      </c>
      <c r="CL317" s="27" t="e">
        <f>-CUMIPMT($F315/12,$E315*12,$D315,AJ316,AK316,0)</f>
        <v>#NUM!</v>
      </c>
      <c r="CN317" s="27" t="e">
        <f>-CUMIPMT($F315/12,$E315*12,$D315,AL316,AM316,0)</f>
        <v>#NUM!</v>
      </c>
      <c r="CP317" s="27" t="e">
        <f>-CUMIPMT($F315/12,$E315*12,$D315,AN316,AO316,0)</f>
        <v>#NUM!</v>
      </c>
      <c r="CR317" s="27" t="e">
        <f>-CUMIPMT($F315/12,$E315*12,$D315,AP316,AQ316,0)</f>
        <v>#NUM!</v>
      </c>
      <c r="CT317" s="27" t="e">
        <f>-CUMIPMT($F315/12,$E315*12,$D315,AR316,AS316,0)</f>
        <v>#NUM!</v>
      </c>
      <c r="CV317" s="27" t="e">
        <f>-CUMIPMT($F315/12,$E315*12,$D315,AT316,AU316,0)</f>
        <v>#NUM!</v>
      </c>
      <c r="CX317" s="27" t="e">
        <f>-CUMIPMT($F315/12,$E315*12,$D315,AV316,AW316,0)</f>
        <v>#NUM!</v>
      </c>
      <c r="CZ317" s="27" t="e">
        <f>-CUMIPMT($F315/12,$E315*12,$D315,AX316,AY316,0)</f>
        <v>#NUM!</v>
      </c>
      <c r="DB317" s="27" t="e">
        <f>-CUMIPMT($F315/12,$E315*12,$D315,AZ316,BA316,0)</f>
        <v>#NUM!</v>
      </c>
      <c r="DD317" s="27" t="e">
        <f>-CUMIPMT($F315/12,$E315*12,$D315,BB316,BC316,0)</f>
        <v>#NUM!</v>
      </c>
      <c r="DF317" s="27" t="e">
        <f>-CUMIPMT($F315/12,$E315*12,$D315,BD316,BE316,0)</f>
        <v>#NUM!</v>
      </c>
      <c r="DH317" s="27" t="e">
        <f>-CUMIPMT($F315/12,$E315*12,$D315,BF316,BG316,0)</f>
        <v>#NUM!</v>
      </c>
      <c r="DI317" s="27" t="s">
        <v>784</v>
      </c>
      <c r="DJ317" s="27" t="s">
        <v>785</v>
      </c>
      <c r="DK317" s="27">
        <f>+F317</f>
        <v>0</v>
      </c>
      <c r="DL317" s="27" t="e">
        <f>+DK317-I317</f>
        <v>#NUM!</v>
      </c>
      <c r="DN317" s="27" t="e">
        <f>+DL317-K317</f>
        <v>#NUM!</v>
      </c>
      <c r="DP317" s="27" t="e">
        <f>+DN317-M317</f>
        <v>#NUM!</v>
      </c>
      <c r="DR317" s="27" t="e">
        <f>+DP317-O317</f>
        <v>#NUM!</v>
      </c>
      <c r="DT317" s="27" t="e">
        <f>+DR317-Q317</f>
        <v>#NUM!</v>
      </c>
      <c r="DV317" s="27" t="e">
        <f>+DT317-S317</f>
        <v>#NUM!</v>
      </c>
      <c r="DX317" s="27" t="e">
        <f>+DV317-U317</f>
        <v>#NUM!</v>
      </c>
      <c r="DZ317" s="27" t="e">
        <f>+DX317-W317</f>
        <v>#NUM!</v>
      </c>
      <c r="EB317" s="27" t="e">
        <f>+DZ317-Y317</f>
        <v>#NUM!</v>
      </c>
      <c r="ED317" s="27" t="e">
        <f>+EB317-AA317</f>
        <v>#NUM!</v>
      </c>
      <c r="EF317" s="27" t="e">
        <f>+ED317-AC317</f>
        <v>#NUM!</v>
      </c>
      <c r="EH317" s="27" t="e">
        <f>+EF317-AE317</f>
        <v>#NUM!</v>
      </c>
      <c r="EJ317" s="27" t="e">
        <f>+EH317-AG317</f>
        <v>#NUM!</v>
      </c>
      <c r="EL317" s="27" t="e">
        <f>+EJ317-AI317</f>
        <v>#NUM!</v>
      </c>
      <c r="EN317" s="27" t="e">
        <f>+EL317-AK317</f>
        <v>#NUM!</v>
      </c>
      <c r="EP317" s="27" t="e">
        <f>+EN317-AM317</f>
        <v>#NUM!</v>
      </c>
      <c r="ER317" s="27" t="e">
        <f>+EP317-AO317</f>
        <v>#NUM!</v>
      </c>
      <c r="ET317" s="27" t="e">
        <f>+ER317-AQ317</f>
        <v>#NUM!</v>
      </c>
      <c r="EV317" s="27" t="e">
        <f>+ET317-AS317</f>
        <v>#NUM!</v>
      </c>
      <c r="EX317" s="27" t="e">
        <f>+EV317-AU317</f>
        <v>#NUM!</v>
      </c>
      <c r="EZ317" s="27" t="e">
        <f>+EX317-AW317</f>
        <v>#NUM!</v>
      </c>
      <c r="FB317" s="27" t="e">
        <f>+EZ317-AY317</f>
        <v>#NUM!</v>
      </c>
      <c r="FD317" s="27" t="e">
        <f>+FB317-BA317</f>
        <v>#NUM!</v>
      </c>
      <c r="FF317" s="27" t="e">
        <f>+FD317-BC317</f>
        <v>#NUM!</v>
      </c>
      <c r="FH317" s="27" t="e">
        <f>+FF317-BE317</f>
        <v>#NUM!</v>
      </c>
      <c r="FJ317" s="61" t="e">
        <f>+FH317-BG317</f>
        <v>#NUM!</v>
      </c>
    </row>
    <row r="318" spans="2:166" s="27" customFormat="1" ht="11.25" hidden="1" x14ac:dyDescent="0.2">
      <c r="B318" s="60"/>
      <c r="E318" s="27">
        <f>+F317+F318</f>
        <v>0</v>
      </c>
      <c r="F318" s="27">
        <f>SUMIF(BI317:DH317,"&gt;0")</f>
        <v>0</v>
      </c>
      <c r="I318" s="27">
        <f>IF(ISERROR(I317)=FALSE,I317,0)</f>
        <v>0</v>
      </c>
      <c r="K318" s="27">
        <f>IF(ISERROR(K317)=FALSE,K317,0)</f>
        <v>0</v>
      </c>
      <c r="M318" s="27">
        <f>IF(ISERROR(M317)=FALSE,M317,0)</f>
        <v>0</v>
      </c>
      <c r="O318" s="27">
        <f>IF(ISERROR(O317)=FALSE,O317,0)</f>
        <v>0</v>
      </c>
      <c r="Q318" s="27">
        <f>IF(ISERROR(Q317)=FALSE,Q317,0)</f>
        <v>0</v>
      </c>
      <c r="S318" s="27">
        <f>IF(ISERROR(S317)=FALSE,S317,0)</f>
        <v>0</v>
      </c>
      <c r="U318" s="27">
        <f>IF(ISERROR(U317)=FALSE,U317,0)</f>
        <v>0</v>
      </c>
      <c r="W318" s="27">
        <f>IF(ISERROR(W317)=FALSE,W317,0)</f>
        <v>0</v>
      </c>
      <c r="Y318" s="27">
        <f>IF(ISERROR(Y317)=FALSE,Y317,0)</f>
        <v>0</v>
      </c>
      <c r="AA318" s="27">
        <f>IF(ISERROR(AA317)=FALSE,AA317,0)</f>
        <v>0</v>
      </c>
      <c r="AC318" s="27">
        <f>IF(ISERROR(AC317)=FALSE,AC317,0)</f>
        <v>0</v>
      </c>
      <c r="AE318" s="27">
        <f>IF(ISERROR(AE317)=FALSE,AE317,0)</f>
        <v>0</v>
      </c>
      <c r="AG318" s="27">
        <f>IF(ISERROR(AG317)=FALSE,AG317,0)</f>
        <v>0</v>
      </c>
      <c r="AI318" s="27">
        <f>IF(ISERROR(AI317)=FALSE,AI317,0)</f>
        <v>0</v>
      </c>
      <c r="AK318" s="27">
        <f>IF(ISERROR(AK317)=FALSE,AK317,0)</f>
        <v>0</v>
      </c>
      <c r="AM318" s="27">
        <f>IF(ISERROR(AM317)=FALSE,AM317,0)</f>
        <v>0</v>
      </c>
      <c r="AO318" s="27">
        <f>IF(ISERROR(AO317)=FALSE,AO317,0)</f>
        <v>0</v>
      </c>
      <c r="AQ318" s="27">
        <f>IF(ISERROR(AQ317)=FALSE,AQ317,0)</f>
        <v>0</v>
      </c>
      <c r="AS318" s="27">
        <f>IF(ISERROR(AS317)=FALSE,AS317,0)</f>
        <v>0</v>
      </c>
      <c r="AU318" s="27">
        <f>IF(ISERROR(AU317)=FALSE,AU317,0)</f>
        <v>0</v>
      </c>
      <c r="AW318" s="27">
        <f>IF(ISERROR(AW317)=FALSE,AW317,0)</f>
        <v>0</v>
      </c>
      <c r="AY318" s="27">
        <f>IF(ISERROR(AY317)=FALSE,AY317,0)</f>
        <v>0</v>
      </c>
      <c r="BA318" s="27">
        <f>IF(ISERROR(BA317)=FALSE,BA317,0)</f>
        <v>0</v>
      </c>
      <c r="BC318" s="27">
        <f>IF(ISERROR(BC317)=FALSE,BC317,0)</f>
        <v>0</v>
      </c>
      <c r="BD318" s="61"/>
      <c r="BE318" s="27">
        <f>IF(ISERROR(BE317)=FALSE,BE317,0)</f>
        <v>0</v>
      </c>
      <c r="BG318" s="27">
        <f>IF(ISERROR(BG317)=FALSE,BG317,0)</f>
        <v>0</v>
      </c>
      <c r="FJ318" s="61"/>
    </row>
    <row r="319" spans="2:166" s="27" customFormat="1" ht="11.25" hidden="1" x14ac:dyDescent="0.2">
      <c r="B319" s="60"/>
      <c r="D319" s="27" t="s">
        <v>630</v>
      </c>
      <c r="E319" s="27">
        <f>IF(E315=0,0,E318/(E315*12))</f>
        <v>0</v>
      </c>
      <c r="BD319" s="61"/>
      <c r="FJ319" s="61"/>
    </row>
    <row r="320" spans="2:166" s="27" customFormat="1" ht="11.25" hidden="1" x14ac:dyDescent="0.2">
      <c r="B320" s="60"/>
      <c r="C320" s="27">
        <f>C144</f>
        <v>0</v>
      </c>
      <c r="D320" s="27">
        <f>D144</f>
        <v>0</v>
      </c>
      <c r="E320" s="27">
        <f>E144</f>
        <v>0</v>
      </c>
      <c r="F320" s="27">
        <f>F144</f>
        <v>0</v>
      </c>
      <c r="G320" s="27">
        <f>+$E320*12</f>
        <v>0</v>
      </c>
      <c r="H320" s="27">
        <f>SUMIF($W144:$AH144,$D144,$W$108:$AH$108)</f>
        <v>78</v>
      </c>
      <c r="I320" s="27">
        <f>13-H320</f>
        <v>-65</v>
      </c>
      <c r="J320" s="27">
        <f>IF(I320+1&lt;=$G320,I320+1,($G320-I320)+I320)</f>
        <v>-64</v>
      </c>
      <c r="K320" s="27">
        <f>IF(J320+11&lt;=$G320,J320+11,($G320-J320)+J320)</f>
        <v>-53</v>
      </c>
      <c r="L320" s="27">
        <f>IF(K320+1&lt;=$G320,K320+1,($G320-K320)+K320)</f>
        <v>-52</v>
      </c>
      <c r="M320" s="27">
        <f>IF(L320+11&lt;=$G320,L320+11,($G320-L320)+L320)</f>
        <v>-41</v>
      </c>
      <c r="N320" s="27">
        <f>IF(M320+1&lt;=$G320,M320+1,($G320-M320)+M320)</f>
        <v>-40</v>
      </c>
      <c r="O320" s="27">
        <f>IF(N320+11&lt;=$G320,N320+11,($G320-N320)+N320)</f>
        <v>-29</v>
      </c>
      <c r="P320" s="27">
        <f>IF(O320+1&lt;=$G320,O320+1,($G320-O320)+O320)</f>
        <v>-28</v>
      </c>
      <c r="Q320" s="27">
        <f>IF(P320+11&lt;=$G320,P320+11,($G320-P320)+P320)</f>
        <v>-17</v>
      </c>
      <c r="R320" s="27">
        <f>IF(Q320+1&lt;=$G320,Q320+1,($G320-Q320)+Q320)</f>
        <v>-16</v>
      </c>
      <c r="S320" s="27">
        <f>IF(R320+11&lt;=$G320,R320+11,($G320-R320)+R320)</f>
        <v>-5</v>
      </c>
      <c r="T320" s="27">
        <f>IF(S320+1&lt;=$G320,S320+1,($G320-S320)+S320)</f>
        <v>-4</v>
      </c>
      <c r="U320" s="27">
        <f>IF(T320+11&lt;=$G320,T320+11,($G320-T320)+T320)</f>
        <v>0</v>
      </c>
      <c r="V320" s="27">
        <f>IF(U320+1&lt;=$G320,U320+1,($G320-U320)+U320)</f>
        <v>0</v>
      </c>
      <c r="W320" s="27">
        <f>IF(V320+11&lt;=$G320,V320+11,($G320-V320)+V320)</f>
        <v>0</v>
      </c>
      <c r="X320" s="27">
        <f>IF(W320+1&lt;=$G320,W320+1,($G320-W320)+W320)</f>
        <v>0</v>
      </c>
      <c r="Y320" s="27">
        <f>IF(X320+11&lt;=$G320,X320+11,($G320-X320)+X320)</f>
        <v>0</v>
      </c>
      <c r="Z320" s="27">
        <f>IF(Y320+1&lt;=$G320,Y320+1,($G320-Y320)+Y320)</f>
        <v>0</v>
      </c>
      <c r="AA320" s="27">
        <f>IF(Z320+11&lt;=$G320,Z320+11,($G320-Z320)+Z320)</f>
        <v>0</v>
      </c>
      <c r="AB320" s="27">
        <f>IF(AA320+1&lt;=$G320,AA320+1,($G320-AA320)+AA320)</f>
        <v>0</v>
      </c>
      <c r="AC320" s="27">
        <f>IF(AB320+11&lt;=$G320,AB320+11,($G320-AB320)+AB320)</f>
        <v>0</v>
      </c>
      <c r="AD320" s="27">
        <f>IF(AC320+1&lt;=$G320,AC320+1,($G320-AC320)+AC320)</f>
        <v>0</v>
      </c>
      <c r="AE320" s="27">
        <f>IF(AD320+11&lt;=$G320,AD320+11,($G320-AD320)+AD320)</f>
        <v>0</v>
      </c>
      <c r="AF320" s="27">
        <f>IF(AE320+1&lt;=$G320,AE320+1,($G320-AE320)+AE320)</f>
        <v>0</v>
      </c>
      <c r="AG320" s="27">
        <f>IF(AF320+11&lt;=$G320,AF320+11,($G320-AF320)+AF320)</f>
        <v>0</v>
      </c>
      <c r="AH320" s="27">
        <f>IF(AG320+1&lt;=$G320,AG320+1,($G320-AG320)+AG320)</f>
        <v>0</v>
      </c>
      <c r="AI320" s="27">
        <f>IF(AH320+11&lt;=$G320,AH320+11,($G320-AH320)+AH320)</f>
        <v>0</v>
      </c>
      <c r="AJ320" s="27">
        <f>IF(AI320+1&lt;=$G320,AI320+1,($G320-AI320)+AI320)</f>
        <v>0</v>
      </c>
      <c r="AK320" s="27">
        <f>IF(AJ320+11&lt;=$G320,AJ320+11,($G320-AJ320)+AJ320)</f>
        <v>0</v>
      </c>
      <c r="AL320" s="27">
        <f>IF(AK320+1&lt;=$G320,AK320+1,($G320-AK320)+AK320)</f>
        <v>0</v>
      </c>
      <c r="AM320" s="27">
        <f>IF(AL320+11&lt;=$G320,AL320+11,($G320-AL320)+AL320)</f>
        <v>0</v>
      </c>
      <c r="AN320" s="27">
        <f>IF(AM320+1&lt;=$G320,AM320+1,($G320-AM320)+AM320)</f>
        <v>0</v>
      </c>
      <c r="AO320" s="27">
        <f>IF(AN320+11&lt;=$G320,AN320+11,($G320-AN320)+AN320)</f>
        <v>0</v>
      </c>
      <c r="AP320" s="27">
        <f>IF(AO320+1&lt;=$G320,AO320+1,($G320-AO320)+AO320)</f>
        <v>0</v>
      </c>
      <c r="AQ320" s="27">
        <f>IF(AP320+11&lt;=$G320,AP320+11,($G320-AP320)+AP320)</f>
        <v>0</v>
      </c>
      <c r="AR320" s="27">
        <f>IF(AQ320+1&lt;=$G320,AQ320+1,($G320-AQ320)+AQ320)</f>
        <v>0</v>
      </c>
      <c r="AS320" s="27">
        <f>IF(AR320+11&lt;=$G320,AR320+11,($G320-AR320)+AR320)</f>
        <v>0</v>
      </c>
      <c r="AT320" s="27">
        <f>IF(AS320+1&lt;=$G320,AS320+1,($G320-AS320)+AS320)</f>
        <v>0</v>
      </c>
      <c r="AU320" s="27">
        <f>IF(AT320+11&lt;=$G320,AT320+11,($G320-AT320)+AT320)</f>
        <v>0</v>
      </c>
      <c r="AV320" s="27">
        <f>IF(AU320+1&lt;=$G320,AU320+1,($G320-AU320)+AU320)</f>
        <v>0</v>
      </c>
      <c r="AW320" s="27">
        <f>IF(AV320+11&lt;=$G320,AV320+11,($G320-AV320)+AV320)</f>
        <v>0</v>
      </c>
      <c r="AX320" s="27">
        <f>IF(AW320+1&lt;=$G320,AW320+1,($G320-AW320)+AW320)</f>
        <v>0</v>
      </c>
      <c r="AY320" s="27">
        <f>IF(AX320+11&lt;=$G320,AX320+11,($G320-AX320)+AX320)</f>
        <v>0</v>
      </c>
      <c r="AZ320" s="27">
        <f>IF(AY320+1&lt;=$G320,AY320+1,($G320-AY320)+AY320)</f>
        <v>0</v>
      </c>
      <c r="BA320" s="27">
        <f>IF(AZ320+35&lt;=$G320,AZ320+35,($G320-AZ320)+AZ320)</f>
        <v>0</v>
      </c>
      <c r="BB320" s="27">
        <f>IF(BA320+1&lt;=$G320,BA320+1,($G320-BA320)+BA320)</f>
        <v>0</v>
      </c>
      <c r="BC320" s="27">
        <f>IF(BB320+59&lt;=$G320,BB320+59,($G320-BB320)+BB320)</f>
        <v>0</v>
      </c>
      <c r="BD320" s="61">
        <f>IF(BC320+1&lt;=$G320,BC320+1,($G320-BC320)+BC320)</f>
        <v>0</v>
      </c>
      <c r="BE320" s="27">
        <f>IF(BD320+239&lt;=$G320,BD320+239,($G320-BD320)+BD320)</f>
        <v>0</v>
      </c>
      <c r="BF320" s="27">
        <f>IF(BE320+1&lt;=$G320,BE320+1,($G320-BE320)+BE320)</f>
        <v>0</v>
      </c>
      <c r="BG320" s="27">
        <f>IF(BF320+11&lt;=$G320,BF320+11,($G320-BF320)+BF320)</f>
        <v>0</v>
      </c>
      <c r="FJ320" s="61"/>
    </row>
    <row r="321" spans="2:166" s="27" customFormat="1" ht="11.25" hidden="1" x14ac:dyDescent="0.2">
      <c r="B321" s="60"/>
      <c r="H321" s="27">
        <v>1</v>
      </c>
      <c r="I321" s="27">
        <f>+I320</f>
        <v>-65</v>
      </c>
      <c r="J321" s="27">
        <f>IF(I321=$G320,0,J320)</f>
        <v>-64</v>
      </c>
      <c r="K321" s="27">
        <f>+K320</f>
        <v>-53</v>
      </c>
      <c r="L321" s="27">
        <f>IF(K321=$G320,0,L320)</f>
        <v>-52</v>
      </c>
      <c r="M321" s="27">
        <f>+M320</f>
        <v>-41</v>
      </c>
      <c r="N321" s="27">
        <f>IF(M321=$G320,0,N320)</f>
        <v>-40</v>
      </c>
      <c r="O321" s="27">
        <f>+O320</f>
        <v>-29</v>
      </c>
      <c r="P321" s="27">
        <f>IF(O321=$G320,0,P320)</f>
        <v>-28</v>
      </c>
      <c r="Q321" s="27">
        <f>+Q320</f>
        <v>-17</v>
      </c>
      <c r="R321" s="27">
        <f>IF(Q321=$G320,0,R320)</f>
        <v>-16</v>
      </c>
      <c r="S321" s="27">
        <f>+S320</f>
        <v>-5</v>
      </c>
      <c r="T321" s="27">
        <f>IF(S321=$G320,0,T320)</f>
        <v>-4</v>
      </c>
      <c r="U321" s="27">
        <f>+U320</f>
        <v>0</v>
      </c>
      <c r="V321" s="27">
        <f>IF(U321=$G320,0,V320)</f>
        <v>0</v>
      </c>
      <c r="W321" s="27">
        <f>+W320</f>
        <v>0</v>
      </c>
      <c r="X321" s="27">
        <f>IF(W321=$G320,0,X320)</f>
        <v>0</v>
      </c>
      <c r="Y321" s="27">
        <f>+Y320</f>
        <v>0</v>
      </c>
      <c r="Z321" s="27">
        <f>IF(Y321=$G320,0,Z320)</f>
        <v>0</v>
      </c>
      <c r="AA321" s="27">
        <f>+AA320</f>
        <v>0</v>
      </c>
      <c r="AB321" s="27">
        <f>IF(AA321=$G320,0,AB320)</f>
        <v>0</v>
      </c>
      <c r="AC321" s="27">
        <f>+AC320</f>
        <v>0</v>
      </c>
      <c r="AD321" s="27">
        <f>IF(AC321=$G320,0,AD320)</f>
        <v>0</v>
      </c>
      <c r="AE321" s="27">
        <f>+AE320</f>
        <v>0</v>
      </c>
      <c r="AF321" s="27">
        <f>IF(AE321=$G320,0,AF320)</f>
        <v>0</v>
      </c>
      <c r="AG321" s="27">
        <f>+AG320</f>
        <v>0</v>
      </c>
      <c r="AH321" s="27">
        <f>IF(AG321=$G320,0,AH320)</f>
        <v>0</v>
      </c>
      <c r="AI321" s="27">
        <f>+AI320</f>
        <v>0</v>
      </c>
      <c r="AJ321" s="27">
        <f>IF(AI321=$G320,0,AJ320)</f>
        <v>0</v>
      </c>
      <c r="AK321" s="27">
        <f>+AK320</f>
        <v>0</v>
      </c>
      <c r="AL321" s="27">
        <f>IF(AK321=$G320,0,AL320)</f>
        <v>0</v>
      </c>
      <c r="AM321" s="27">
        <f>+AM320</f>
        <v>0</v>
      </c>
      <c r="AN321" s="27">
        <f>IF(AM321=$G320,0,AN320)</f>
        <v>0</v>
      </c>
      <c r="AO321" s="27">
        <f>+AO320</f>
        <v>0</v>
      </c>
      <c r="AP321" s="27">
        <f>IF(AO321=$G320,0,AP320)</f>
        <v>0</v>
      </c>
      <c r="AQ321" s="27">
        <f>+AQ320</f>
        <v>0</v>
      </c>
      <c r="AR321" s="27">
        <f>IF(AQ321=$G320,0,AR320)</f>
        <v>0</v>
      </c>
      <c r="AS321" s="27">
        <f>+AS320</f>
        <v>0</v>
      </c>
      <c r="AT321" s="27">
        <f>IF(AS321=$G320,0,AT320)</f>
        <v>0</v>
      </c>
      <c r="AU321" s="27">
        <f>+AU320</f>
        <v>0</v>
      </c>
      <c r="AV321" s="27">
        <f>IF(AU321=$G320,0,AV320)</f>
        <v>0</v>
      </c>
      <c r="AW321" s="27">
        <f>+AW320</f>
        <v>0</v>
      </c>
      <c r="AX321" s="27">
        <f>IF(AW321=$G320,0,AX320)</f>
        <v>0</v>
      </c>
      <c r="AY321" s="27">
        <f>+AY320</f>
        <v>0</v>
      </c>
      <c r="AZ321" s="27">
        <f>IF(AY321=$G320,0,AZ320)</f>
        <v>0</v>
      </c>
      <c r="BA321" s="27">
        <f>+BA320</f>
        <v>0</v>
      </c>
      <c r="BB321" s="27">
        <f>IF(BA321=$G320,0,BB320)</f>
        <v>0</v>
      </c>
      <c r="BC321" s="27">
        <f>+BC320</f>
        <v>0</v>
      </c>
      <c r="BD321" s="61">
        <f>IF(BC321=$G320,0,BD320)</f>
        <v>0</v>
      </c>
      <c r="BE321" s="27">
        <f>+BE320</f>
        <v>0</v>
      </c>
      <c r="BF321" s="27">
        <f>IF(BE321=$G320,0,BF320)</f>
        <v>0</v>
      </c>
      <c r="BG321" s="27">
        <f>+BG320</f>
        <v>0</v>
      </c>
      <c r="FJ321" s="61"/>
    </row>
    <row r="322" spans="2:166" s="27" customFormat="1" ht="11.25" hidden="1" x14ac:dyDescent="0.2">
      <c r="B322" s="60"/>
      <c r="F322" s="27">
        <f>SUMIF(H322:BG322,"&gt;0")</f>
        <v>0</v>
      </c>
      <c r="G322" s="27" t="s">
        <v>632</v>
      </c>
      <c r="I322" s="27" t="e">
        <f>-CUMPRINC($F320/12,$E320*12,$D320,H321,I321,0)</f>
        <v>#NUM!</v>
      </c>
      <c r="K322" s="27" t="e">
        <f>-CUMPRINC($F320/12,$E320*12,$D320,J321,K321,0)</f>
        <v>#NUM!</v>
      </c>
      <c r="M322" s="27" t="e">
        <f>-CUMPRINC($F320/12,$E320*12,$D320,L321,M321,0)</f>
        <v>#NUM!</v>
      </c>
      <c r="O322" s="27" t="e">
        <f>-CUMPRINC($F320/12,$E320*12,$D320,N321,O321,0)</f>
        <v>#NUM!</v>
      </c>
      <c r="Q322" s="27" t="e">
        <f>-CUMPRINC($F320/12,$E320*12,$D320,P321,Q321,0)</f>
        <v>#NUM!</v>
      </c>
      <c r="S322" s="27" t="e">
        <f>-CUMPRINC($F320/12,$E320*12,$D320,R321,S321,0)</f>
        <v>#NUM!</v>
      </c>
      <c r="U322" s="27" t="e">
        <f>-CUMPRINC($F320/12,$E320*12,$D320,T321,U321,0)</f>
        <v>#NUM!</v>
      </c>
      <c r="W322" s="27" t="e">
        <f>-CUMPRINC($F320/12,$E320*12,$D320,V321,W321,0)</f>
        <v>#NUM!</v>
      </c>
      <c r="Y322" s="27" t="e">
        <f>-CUMPRINC($F320/12,$E320*12,$D320,X321,Y321,0)</f>
        <v>#NUM!</v>
      </c>
      <c r="AA322" s="27" t="e">
        <f>-CUMPRINC($F320/12,$E320*12,$D320,Z321,AA321,0)</f>
        <v>#NUM!</v>
      </c>
      <c r="AC322" s="27" t="e">
        <f>-CUMPRINC($F320/12,$E320*12,$D320,AB321,AC321,0)</f>
        <v>#NUM!</v>
      </c>
      <c r="AE322" s="27" t="e">
        <f>-CUMPRINC($F320/12,$E320*12,$D320,AD321,AE321,0)</f>
        <v>#NUM!</v>
      </c>
      <c r="AG322" s="27" t="e">
        <f>-CUMPRINC($F320/12,$E320*12,$D320,AF321,AG321,0)</f>
        <v>#NUM!</v>
      </c>
      <c r="AI322" s="27" t="e">
        <f>-CUMPRINC($F320/12,$E320*12,$D320,AH321,AI321,0)</f>
        <v>#NUM!</v>
      </c>
      <c r="AK322" s="27" t="e">
        <f>-CUMPRINC($F320/12,$E320*12,$D320,AJ321,AK321,0)</f>
        <v>#NUM!</v>
      </c>
      <c r="AM322" s="27" t="e">
        <f>-CUMPRINC($F320/12,$E320*12,$D320,AL321,AM321,0)</f>
        <v>#NUM!</v>
      </c>
      <c r="AO322" s="27" t="e">
        <f>-CUMPRINC($F320/12,$E320*12,$D320,AN321,AO321,0)</f>
        <v>#NUM!</v>
      </c>
      <c r="AQ322" s="27" t="e">
        <f>-CUMPRINC($F320/12,$E320*12,$D320,AP321,AQ321,0)</f>
        <v>#NUM!</v>
      </c>
      <c r="AS322" s="27" t="e">
        <f>-CUMPRINC($F320/12,$E320*12,$D320,AR321,AS321,0)</f>
        <v>#NUM!</v>
      </c>
      <c r="AU322" s="27" t="e">
        <f>-CUMPRINC($F320/12,$E320*12,$D320,AT321,AU321,0)</f>
        <v>#NUM!</v>
      </c>
      <c r="AW322" s="27" t="e">
        <f>-CUMPRINC($F320/12,$E320*12,$D320,AV321,AW321,0)</f>
        <v>#NUM!</v>
      </c>
      <c r="AY322" s="27" t="e">
        <f>-CUMPRINC($F320/12,$E320*12,$D320,AX321,AY321,0)</f>
        <v>#NUM!</v>
      </c>
      <c r="BA322" s="27" t="e">
        <f>-CUMPRINC($F320/12,$E320*12,$D320,AZ321,BA321,0)</f>
        <v>#NUM!</v>
      </c>
      <c r="BC322" s="27" t="e">
        <f>-CUMPRINC($F320/12,$E320*12,$D320,BB321,BC321,0)</f>
        <v>#NUM!</v>
      </c>
      <c r="BD322" s="61"/>
      <c r="BE322" s="27" t="e">
        <f>-CUMPRINC($F320/12,$E320*12,$D320,BD321,BE321,0)</f>
        <v>#NUM!</v>
      </c>
      <c r="BG322" s="27" t="e">
        <f>-CUMPRINC($F320/12,$E320*12,$D320,BF321,BG321,0)</f>
        <v>#NUM!</v>
      </c>
      <c r="BH322" s="27" t="s">
        <v>783</v>
      </c>
      <c r="BJ322" s="27" t="e">
        <f>-CUMIPMT($F320/12,$E320*12,$D320,H321,I321,0)</f>
        <v>#NUM!</v>
      </c>
      <c r="BL322" s="27" t="e">
        <f>-CUMIPMT($F320/12,$E320*12,$D320,J321,K321,0)</f>
        <v>#NUM!</v>
      </c>
      <c r="BN322" s="27" t="e">
        <f>-CUMIPMT($F320/12,$E320*12,$D320,L321,M321,0)</f>
        <v>#NUM!</v>
      </c>
      <c r="BP322" s="27" t="e">
        <f>-CUMIPMT($F320/12,$E320*12,$D320,N321,O321,0)</f>
        <v>#NUM!</v>
      </c>
      <c r="BR322" s="27" t="e">
        <f>-CUMIPMT($F320/12,$E320*12,$D320,P321,Q321,0)</f>
        <v>#NUM!</v>
      </c>
      <c r="BT322" s="27" t="e">
        <f>-CUMIPMT($F320/12,$E320*12,$D320,R321,S321,0)</f>
        <v>#NUM!</v>
      </c>
      <c r="BV322" s="27" t="e">
        <f>-CUMIPMT($F320/12,$E320*12,$D320,T321,U321,0)</f>
        <v>#NUM!</v>
      </c>
      <c r="BX322" s="27" t="e">
        <f>-CUMIPMT($F320/12,$E320*12,$D320,V321,W321,0)</f>
        <v>#NUM!</v>
      </c>
      <c r="BZ322" s="27" t="e">
        <f>-CUMIPMT($F320/12,$E320*12,$D320,X321,Y321,0)</f>
        <v>#NUM!</v>
      </c>
      <c r="CB322" s="27" t="e">
        <f>-CUMIPMT($F320/12,$E320*12,$D320,Z321,AA321,0)</f>
        <v>#NUM!</v>
      </c>
      <c r="CD322" s="27" t="e">
        <f>-CUMIPMT($F320/12,$E320*12,$D320,AB321,AC321,0)</f>
        <v>#NUM!</v>
      </c>
      <c r="CF322" s="27" t="e">
        <f>-CUMIPMT($F320/12,$E320*12,$D320,AD321,AE321,0)</f>
        <v>#NUM!</v>
      </c>
      <c r="CH322" s="27" t="e">
        <f>-CUMIPMT($F320/12,$E320*12,$D320,AF321,AG321,0)</f>
        <v>#NUM!</v>
      </c>
      <c r="CJ322" s="27" t="e">
        <f>-CUMIPMT($F320/12,$E320*12,$D320,AH321,AI321,0)</f>
        <v>#NUM!</v>
      </c>
      <c r="CL322" s="27" t="e">
        <f>-CUMIPMT($F320/12,$E320*12,$D320,AJ321,AK321,0)</f>
        <v>#NUM!</v>
      </c>
      <c r="CN322" s="27" t="e">
        <f>-CUMIPMT($F320/12,$E320*12,$D320,AL321,AM321,0)</f>
        <v>#NUM!</v>
      </c>
      <c r="CP322" s="27" t="e">
        <f>-CUMIPMT($F320/12,$E320*12,$D320,AN321,AO321,0)</f>
        <v>#NUM!</v>
      </c>
      <c r="CR322" s="27" t="e">
        <f>-CUMIPMT($F320/12,$E320*12,$D320,AP321,AQ321,0)</f>
        <v>#NUM!</v>
      </c>
      <c r="CT322" s="27" t="e">
        <f>-CUMIPMT($F320/12,$E320*12,$D320,AR321,AS321,0)</f>
        <v>#NUM!</v>
      </c>
      <c r="CV322" s="27" t="e">
        <f>-CUMIPMT($F320/12,$E320*12,$D320,AT321,AU321,0)</f>
        <v>#NUM!</v>
      </c>
      <c r="CX322" s="27" t="e">
        <f>-CUMIPMT($F320/12,$E320*12,$D320,AV321,AW321,0)</f>
        <v>#NUM!</v>
      </c>
      <c r="CZ322" s="27" t="e">
        <f>-CUMIPMT($F320/12,$E320*12,$D320,AX321,AY321,0)</f>
        <v>#NUM!</v>
      </c>
      <c r="DB322" s="27" t="e">
        <f>-CUMIPMT($F320/12,$E320*12,$D320,AZ321,BA321,0)</f>
        <v>#NUM!</v>
      </c>
      <c r="DD322" s="27" t="e">
        <f>-CUMIPMT($F320/12,$E320*12,$D320,BB321,BC321,0)</f>
        <v>#NUM!</v>
      </c>
      <c r="DF322" s="27" t="e">
        <f>-CUMIPMT($F320/12,$E320*12,$D320,BD321,BE321,0)</f>
        <v>#NUM!</v>
      </c>
      <c r="DH322" s="27" t="e">
        <f>-CUMIPMT($F320/12,$E320*12,$D320,BF321,BG321,0)</f>
        <v>#NUM!</v>
      </c>
      <c r="DI322" s="27" t="s">
        <v>784</v>
      </c>
      <c r="DJ322" s="27" t="s">
        <v>785</v>
      </c>
      <c r="DK322" s="27">
        <f>+F322</f>
        <v>0</v>
      </c>
      <c r="DL322" s="27" t="e">
        <f>+DK322-I322</f>
        <v>#NUM!</v>
      </c>
      <c r="DN322" s="27" t="e">
        <f>+DL322-K322</f>
        <v>#NUM!</v>
      </c>
      <c r="DP322" s="27" t="e">
        <f>+DN322-M322</f>
        <v>#NUM!</v>
      </c>
      <c r="DR322" s="27" t="e">
        <f>+DP322-O322</f>
        <v>#NUM!</v>
      </c>
      <c r="DT322" s="27" t="e">
        <f>+DR322-Q322</f>
        <v>#NUM!</v>
      </c>
      <c r="DV322" s="27" t="e">
        <f>+DT322-S322</f>
        <v>#NUM!</v>
      </c>
      <c r="DX322" s="27" t="e">
        <f>+DV322-U322</f>
        <v>#NUM!</v>
      </c>
      <c r="DZ322" s="27" t="e">
        <f>+DX322-W322</f>
        <v>#NUM!</v>
      </c>
      <c r="EB322" s="27" t="e">
        <f>+DZ322-Y322</f>
        <v>#NUM!</v>
      </c>
      <c r="ED322" s="27" t="e">
        <f>+EB322-AA322</f>
        <v>#NUM!</v>
      </c>
      <c r="EF322" s="27" t="e">
        <f>+ED322-AC322</f>
        <v>#NUM!</v>
      </c>
      <c r="EH322" s="27" t="e">
        <f>+EF322-AE322</f>
        <v>#NUM!</v>
      </c>
      <c r="EJ322" s="27" t="e">
        <f>+EH322-AG322</f>
        <v>#NUM!</v>
      </c>
      <c r="EL322" s="27" t="e">
        <f>+EJ322-AI322</f>
        <v>#NUM!</v>
      </c>
      <c r="EN322" s="27" t="e">
        <f>+EL322-AK322</f>
        <v>#NUM!</v>
      </c>
      <c r="EP322" s="27" t="e">
        <f>+EN322-AM322</f>
        <v>#NUM!</v>
      </c>
      <c r="ER322" s="27" t="e">
        <f>+EP322-AO322</f>
        <v>#NUM!</v>
      </c>
      <c r="ET322" s="27" t="e">
        <f>+ER322-AQ322</f>
        <v>#NUM!</v>
      </c>
      <c r="EV322" s="27" t="e">
        <f>+ET322-AS322</f>
        <v>#NUM!</v>
      </c>
      <c r="EX322" s="27" t="e">
        <f>+EV322-AU322</f>
        <v>#NUM!</v>
      </c>
      <c r="EZ322" s="27" t="e">
        <f>+EX322-AW322</f>
        <v>#NUM!</v>
      </c>
      <c r="FB322" s="27" t="e">
        <f>+EZ322-AY322</f>
        <v>#NUM!</v>
      </c>
      <c r="FD322" s="27" t="e">
        <f>+FB322-BA322</f>
        <v>#NUM!</v>
      </c>
      <c r="FF322" s="27" t="e">
        <f>+FD322-BC322</f>
        <v>#NUM!</v>
      </c>
      <c r="FH322" s="27" t="e">
        <f>+FF322-BE322</f>
        <v>#NUM!</v>
      </c>
      <c r="FJ322" s="61" t="e">
        <f>+FH322-BG322</f>
        <v>#NUM!</v>
      </c>
    </row>
    <row r="323" spans="2:166" s="27" customFormat="1" ht="11.25" hidden="1" x14ac:dyDescent="0.2">
      <c r="B323" s="60"/>
      <c r="E323" s="27">
        <f>+F322+F323</f>
        <v>0</v>
      </c>
      <c r="F323" s="27">
        <f>SUMIF(BI322:DH322,"&gt;0")</f>
        <v>0</v>
      </c>
      <c r="I323" s="27">
        <f>IF(ISERROR(I322)=FALSE,I322,0)</f>
        <v>0</v>
      </c>
      <c r="K323" s="27">
        <f>IF(ISERROR(K322)=FALSE,K322,0)</f>
        <v>0</v>
      </c>
      <c r="M323" s="27">
        <f>IF(ISERROR(M322)=FALSE,M322,0)</f>
        <v>0</v>
      </c>
      <c r="O323" s="27">
        <f>IF(ISERROR(O322)=FALSE,O322,0)</f>
        <v>0</v>
      </c>
      <c r="Q323" s="27">
        <f>IF(ISERROR(Q322)=FALSE,Q322,0)</f>
        <v>0</v>
      </c>
      <c r="S323" s="27">
        <f>IF(ISERROR(S322)=FALSE,S322,0)</f>
        <v>0</v>
      </c>
      <c r="U323" s="27">
        <f>IF(ISERROR(U322)=FALSE,U322,0)</f>
        <v>0</v>
      </c>
      <c r="W323" s="27">
        <f>IF(ISERROR(W322)=FALSE,W322,0)</f>
        <v>0</v>
      </c>
      <c r="Y323" s="27">
        <f>IF(ISERROR(Y322)=FALSE,Y322,0)</f>
        <v>0</v>
      </c>
      <c r="AA323" s="27">
        <f>IF(ISERROR(AA322)=FALSE,AA322,0)</f>
        <v>0</v>
      </c>
      <c r="AC323" s="27">
        <f>IF(ISERROR(AC322)=FALSE,AC322,0)</f>
        <v>0</v>
      </c>
      <c r="AE323" s="27">
        <f>IF(ISERROR(AE322)=FALSE,AE322,0)</f>
        <v>0</v>
      </c>
      <c r="AG323" s="27">
        <f>IF(ISERROR(AG322)=FALSE,AG322,0)</f>
        <v>0</v>
      </c>
      <c r="AI323" s="27">
        <f>IF(ISERROR(AI322)=FALSE,AI322,0)</f>
        <v>0</v>
      </c>
      <c r="AK323" s="27">
        <f>IF(ISERROR(AK322)=FALSE,AK322,0)</f>
        <v>0</v>
      </c>
      <c r="AM323" s="27">
        <f>IF(ISERROR(AM322)=FALSE,AM322,0)</f>
        <v>0</v>
      </c>
      <c r="AO323" s="27">
        <f>IF(ISERROR(AO322)=FALSE,AO322,0)</f>
        <v>0</v>
      </c>
      <c r="AQ323" s="27">
        <f>IF(ISERROR(AQ322)=FALSE,AQ322,0)</f>
        <v>0</v>
      </c>
      <c r="AS323" s="27">
        <f>IF(ISERROR(AS322)=FALSE,AS322,0)</f>
        <v>0</v>
      </c>
      <c r="AU323" s="27">
        <f>IF(ISERROR(AU322)=FALSE,AU322,0)</f>
        <v>0</v>
      </c>
      <c r="AW323" s="27">
        <f>IF(ISERROR(AW322)=FALSE,AW322,0)</f>
        <v>0</v>
      </c>
      <c r="AY323" s="27">
        <f>IF(ISERROR(AY322)=FALSE,AY322,0)</f>
        <v>0</v>
      </c>
      <c r="BA323" s="27">
        <f>IF(ISERROR(BA322)=FALSE,BA322,0)</f>
        <v>0</v>
      </c>
      <c r="BC323" s="27">
        <f>IF(ISERROR(BC322)=FALSE,BC322,0)</f>
        <v>0</v>
      </c>
      <c r="BD323" s="61"/>
      <c r="BE323" s="27">
        <f>IF(ISERROR(BE322)=FALSE,BE322,0)</f>
        <v>0</v>
      </c>
      <c r="BG323" s="27">
        <f>IF(ISERROR(BG322)=FALSE,BG322,0)</f>
        <v>0</v>
      </c>
      <c r="FJ323" s="61"/>
    </row>
    <row r="324" spans="2:166" s="27" customFormat="1" ht="11.25" hidden="1" x14ac:dyDescent="0.2">
      <c r="B324" s="60"/>
      <c r="D324" s="27" t="s">
        <v>630</v>
      </c>
      <c r="E324" s="27">
        <f>IF(E320=0,0,E323/(E320*12))</f>
        <v>0</v>
      </c>
      <c r="BD324" s="61"/>
      <c r="FJ324" s="61"/>
    </row>
    <row r="325" spans="2:166" s="27" customFormat="1" ht="11.25" hidden="1" x14ac:dyDescent="0.2">
      <c r="B325" s="60"/>
      <c r="C325" s="27">
        <f>C145</f>
        <v>0</v>
      </c>
      <c r="D325" s="27">
        <f>D145</f>
        <v>0</v>
      </c>
      <c r="E325" s="27">
        <f>E145</f>
        <v>0</v>
      </c>
      <c r="F325" s="27">
        <f>F145</f>
        <v>0</v>
      </c>
      <c r="G325" s="27">
        <f>+$E325*12</f>
        <v>0</v>
      </c>
      <c r="H325" s="27">
        <f>SUMIF($W145:$AH145,$D145,$W$108:$AH$108)</f>
        <v>78</v>
      </c>
      <c r="I325" s="27">
        <f>13-H325</f>
        <v>-65</v>
      </c>
      <c r="J325" s="27">
        <f>IF(I325+1&lt;=$G325,I325+1,($G325-I325)+I325)</f>
        <v>-64</v>
      </c>
      <c r="K325" s="27">
        <f>IF(J325+11&lt;=$G325,J325+11,($G325-J325)+J325)</f>
        <v>-53</v>
      </c>
      <c r="L325" s="27">
        <f>IF(K325+1&lt;=$G325,K325+1,($G325-K325)+K325)</f>
        <v>-52</v>
      </c>
      <c r="M325" s="27">
        <f>IF(L325+11&lt;=$G325,L325+11,($G325-L325)+L325)</f>
        <v>-41</v>
      </c>
      <c r="N325" s="27">
        <f>IF(M325+1&lt;=$G325,M325+1,($G325-M325)+M325)</f>
        <v>-40</v>
      </c>
      <c r="O325" s="27">
        <f>IF(N325+11&lt;=$G325,N325+11,($G325-N325)+N325)</f>
        <v>-29</v>
      </c>
      <c r="P325" s="27">
        <f>IF(O325+1&lt;=$G325,O325+1,($G325-O325)+O325)</f>
        <v>-28</v>
      </c>
      <c r="Q325" s="27">
        <f>IF(P325+11&lt;=$G325,P325+11,($G325-P325)+P325)</f>
        <v>-17</v>
      </c>
      <c r="R325" s="27">
        <f>IF(Q325+1&lt;=$G325,Q325+1,($G325-Q325)+Q325)</f>
        <v>-16</v>
      </c>
      <c r="S325" s="27">
        <f>IF(R325+11&lt;=$G325,R325+11,($G325-R325)+R325)</f>
        <v>-5</v>
      </c>
      <c r="T325" s="27">
        <f>IF(S325+1&lt;=$G325,S325+1,($G325-S325)+S325)</f>
        <v>-4</v>
      </c>
      <c r="U325" s="27">
        <f>IF(T325+11&lt;=$G325,T325+11,($G325-T325)+T325)</f>
        <v>0</v>
      </c>
      <c r="V325" s="27">
        <f>IF(U325+1&lt;=$G325,U325+1,($G325-U325)+U325)</f>
        <v>0</v>
      </c>
      <c r="W325" s="27">
        <f>IF(V325+11&lt;=$G325,V325+11,($G325-V325)+V325)</f>
        <v>0</v>
      </c>
      <c r="X325" s="27">
        <f>IF(W325+1&lt;=$G325,W325+1,($G325-W325)+W325)</f>
        <v>0</v>
      </c>
      <c r="Y325" s="27">
        <f>IF(X325+11&lt;=$G325,X325+11,($G325-X325)+X325)</f>
        <v>0</v>
      </c>
      <c r="Z325" s="27">
        <f>IF(Y325+1&lt;=$G325,Y325+1,($G325-Y325)+Y325)</f>
        <v>0</v>
      </c>
      <c r="AA325" s="27">
        <f>IF(Z325+11&lt;=$G325,Z325+11,($G325-Z325)+Z325)</f>
        <v>0</v>
      </c>
      <c r="AB325" s="27">
        <f>IF(AA325+1&lt;=$G325,AA325+1,($G325-AA325)+AA325)</f>
        <v>0</v>
      </c>
      <c r="AC325" s="27">
        <f>IF(AB325+11&lt;=$G325,AB325+11,($G325-AB325)+AB325)</f>
        <v>0</v>
      </c>
      <c r="AD325" s="27">
        <f>IF(AC325+1&lt;=$G325,AC325+1,($G325-AC325)+AC325)</f>
        <v>0</v>
      </c>
      <c r="AE325" s="27">
        <f>IF(AD325+11&lt;=$G325,AD325+11,($G325-AD325)+AD325)</f>
        <v>0</v>
      </c>
      <c r="AF325" s="27">
        <f>IF(AE325+1&lt;=$G325,AE325+1,($G325-AE325)+AE325)</f>
        <v>0</v>
      </c>
      <c r="AG325" s="27">
        <f>IF(AF325+11&lt;=$G325,AF325+11,($G325-AF325)+AF325)</f>
        <v>0</v>
      </c>
      <c r="AH325" s="27">
        <f>IF(AG325+1&lt;=$G325,AG325+1,($G325-AG325)+AG325)</f>
        <v>0</v>
      </c>
      <c r="AI325" s="27">
        <f>IF(AH325+11&lt;=$G325,AH325+11,($G325-AH325)+AH325)</f>
        <v>0</v>
      </c>
      <c r="AJ325" s="27">
        <f>IF(AI325+1&lt;=$G325,AI325+1,($G325-AI325)+AI325)</f>
        <v>0</v>
      </c>
      <c r="AK325" s="27">
        <f>IF(AJ325+11&lt;=$G325,AJ325+11,($G325-AJ325)+AJ325)</f>
        <v>0</v>
      </c>
      <c r="AL325" s="27">
        <f>IF(AK325+1&lt;=$G325,AK325+1,($G325-AK325)+AK325)</f>
        <v>0</v>
      </c>
      <c r="AM325" s="27">
        <f>IF(AL325+11&lt;=$G325,AL325+11,($G325-AL325)+AL325)</f>
        <v>0</v>
      </c>
      <c r="AN325" s="27">
        <f>IF(AM325+1&lt;=$G325,AM325+1,($G325-AM325)+AM325)</f>
        <v>0</v>
      </c>
      <c r="AO325" s="27">
        <f>IF(AN325+11&lt;=$G325,AN325+11,($G325-AN325)+AN325)</f>
        <v>0</v>
      </c>
      <c r="AP325" s="27">
        <f>IF(AO325+1&lt;=$G325,AO325+1,($G325-AO325)+AO325)</f>
        <v>0</v>
      </c>
      <c r="AQ325" s="27">
        <f>IF(AP325+11&lt;=$G325,AP325+11,($G325-AP325)+AP325)</f>
        <v>0</v>
      </c>
      <c r="AR325" s="27">
        <f>IF(AQ325+1&lt;=$G325,AQ325+1,($G325-AQ325)+AQ325)</f>
        <v>0</v>
      </c>
      <c r="AS325" s="27">
        <f>IF(AR325+11&lt;=$G325,AR325+11,($G325-AR325)+AR325)</f>
        <v>0</v>
      </c>
      <c r="AT325" s="27">
        <f>IF(AS325+1&lt;=$G325,AS325+1,($G325-AS325)+AS325)</f>
        <v>0</v>
      </c>
      <c r="AU325" s="27">
        <f>IF(AT325+11&lt;=$G325,AT325+11,($G325-AT325)+AT325)</f>
        <v>0</v>
      </c>
      <c r="AV325" s="27">
        <f>IF(AU325+1&lt;=$G325,AU325+1,($G325-AU325)+AU325)</f>
        <v>0</v>
      </c>
      <c r="AW325" s="27">
        <f>IF(AV325+11&lt;=$G325,AV325+11,($G325-AV325)+AV325)</f>
        <v>0</v>
      </c>
      <c r="AX325" s="27">
        <f>IF(AW325+1&lt;=$G325,AW325+1,($G325-AW325)+AW325)</f>
        <v>0</v>
      </c>
      <c r="AY325" s="27">
        <f>IF(AX325+11&lt;=$G325,AX325+11,($G325-AX325)+AX325)</f>
        <v>0</v>
      </c>
      <c r="AZ325" s="27">
        <f>IF(AY325+1&lt;=$G325,AY325+1,($G325-AY325)+AY325)</f>
        <v>0</v>
      </c>
      <c r="BA325" s="27">
        <f>IF(AZ325+35&lt;=$G325,AZ325+35,($G325-AZ325)+AZ325)</f>
        <v>0</v>
      </c>
      <c r="BB325" s="27">
        <f>IF(BA325+1&lt;=$G325,BA325+1,($G325-BA325)+BA325)</f>
        <v>0</v>
      </c>
      <c r="BC325" s="27">
        <f>IF(BB325+59&lt;=$G325,BB325+59,($G325-BB325)+BB325)</f>
        <v>0</v>
      </c>
      <c r="BD325" s="61">
        <f>IF(BC325+1&lt;=$G325,BC325+1,($G325-BC325)+BC325)</f>
        <v>0</v>
      </c>
      <c r="BE325" s="27">
        <f>IF(BD325+239&lt;=$G325,BD325+239,($G325-BD325)+BD325)</f>
        <v>0</v>
      </c>
      <c r="BF325" s="27">
        <f>IF(BE325+1&lt;=$G325,BE325+1,($G325-BE325)+BE325)</f>
        <v>0</v>
      </c>
      <c r="BG325" s="27">
        <f>IF(BF325+11&lt;=$G325,BF325+11,($G325-BF325)+BF325)</f>
        <v>0</v>
      </c>
      <c r="FJ325" s="61"/>
    </row>
    <row r="326" spans="2:166" s="27" customFormat="1" ht="11.25" hidden="1" x14ac:dyDescent="0.2">
      <c r="B326" s="60"/>
      <c r="H326" s="27">
        <v>1</v>
      </c>
      <c r="I326" s="27">
        <f>+I325</f>
        <v>-65</v>
      </c>
      <c r="J326" s="27">
        <f>IF(I326=$G325,0,J325)</f>
        <v>-64</v>
      </c>
      <c r="K326" s="27">
        <f>+K325</f>
        <v>-53</v>
      </c>
      <c r="L326" s="27">
        <f>IF(K326=$G325,0,L325)</f>
        <v>-52</v>
      </c>
      <c r="M326" s="27">
        <f>+M325</f>
        <v>-41</v>
      </c>
      <c r="N326" s="27">
        <f>IF(M326=$G325,0,N325)</f>
        <v>-40</v>
      </c>
      <c r="O326" s="27">
        <f>+O325</f>
        <v>-29</v>
      </c>
      <c r="P326" s="27">
        <f>IF(O326=$G325,0,P325)</f>
        <v>-28</v>
      </c>
      <c r="Q326" s="27">
        <f>+Q325</f>
        <v>-17</v>
      </c>
      <c r="R326" s="27">
        <f>IF(Q326=$G325,0,R325)</f>
        <v>-16</v>
      </c>
      <c r="S326" s="27">
        <f>+S325</f>
        <v>-5</v>
      </c>
      <c r="T326" s="27">
        <f>IF(S326=$G325,0,T325)</f>
        <v>-4</v>
      </c>
      <c r="U326" s="27">
        <f>+U325</f>
        <v>0</v>
      </c>
      <c r="V326" s="27">
        <f>IF(U326=$G325,0,V325)</f>
        <v>0</v>
      </c>
      <c r="W326" s="27">
        <f>+W325</f>
        <v>0</v>
      </c>
      <c r="X326" s="27">
        <f>IF(W326=$G325,0,X325)</f>
        <v>0</v>
      </c>
      <c r="Y326" s="27">
        <f>+Y325</f>
        <v>0</v>
      </c>
      <c r="Z326" s="27">
        <f>IF(Y326=$G325,0,Z325)</f>
        <v>0</v>
      </c>
      <c r="AA326" s="27">
        <f>+AA325</f>
        <v>0</v>
      </c>
      <c r="AB326" s="27">
        <f>IF(AA326=$G325,0,AB325)</f>
        <v>0</v>
      </c>
      <c r="AC326" s="27">
        <f>+AC325</f>
        <v>0</v>
      </c>
      <c r="AD326" s="27">
        <f>IF(AC326=$G325,0,AD325)</f>
        <v>0</v>
      </c>
      <c r="AE326" s="27">
        <f>+AE325</f>
        <v>0</v>
      </c>
      <c r="AF326" s="27">
        <f>IF(AE326=$G325,0,AF325)</f>
        <v>0</v>
      </c>
      <c r="AG326" s="27">
        <f>+AG325</f>
        <v>0</v>
      </c>
      <c r="AH326" s="27">
        <f>IF(AG326=$G325,0,AH325)</f>
        <v>0</v>
      </c>
      <c r="AI326" s="27">
        <f>+AI325</f>
        <v>0</v>
      </c>
      <c r="AJ326" s="27">
        <f>IF(AI326=$G325,0,AJ325)</f>
        <v>0</v>
      </c>
      <c r="AK326" s="27">
        <f>+AK325</f>
        <v>0</v>
      </c>
      <c r="AL326" s="27">
        <f>IF(AK326=$G325,0,AL325)</f>
        <v>0</v>
      </c>
      <c r="AM326" s="27">
        <f>+AM325</f>
        <v>0</v>
      </c>
      <c r="AN326" s="27">
        <f>IF(AM326=$G325,0,AN325)</f>
        <v>0</v>
      </c>
      <c r="AO326" s="27">
        <f>+AO325</f>
        <v>0</v>
      </c>
      <c r="AP326" s="27">
        <f>IF(AO326=$G325,0,AP325)</f>
        <v>0</v>
      </c>
      <c r="AQ326" s="27">
        <f>+AQ325</f>
        <v>0</v>
      </c>
      <c r="AR326" s="27">
        <f>IF(AQ326=$G325,0,AR325)</f>
        <v>0</v>
      </c>
      <c r="AS326" s="27">
        <f>+AS325</f>
        <v>0</v>
      </c>
      <c r="AT326" s="27">
        <f>IF(AS326=$G325,0,AT325)</f>
        <v>0</v>
      </c>
      <c r="AU326" s="27">
        <f>+AU325</f>
        <v>0</v>
      </c>
      <c r="AV326" s="27">
        <f>IF(AU326=$G325,0,AV325)</f>
        <v>0</v>
      </c>
      <c r="AW326" s="27">
        <f>+AW325</f>
        <v>0</v>
      </c>
      <c r="AX326" s="27">
        <f>IF(AW326=$G325,0,AX325)</f>
        <v>0</v>
      </c>
      <c r="AY326" s="27">
        <f>+AY325</f>
        <v>0</v>
      </c>
      <c r="AZ326" s="27">
        <f>IF(AY326=$G325,0,AZ325)</f>
        <v>0</v>
      </c>
      <c r="BA326" s="27">
        <f>+BA325</f>
        <v>0</v>
      </c>
      <c r="BB326" s="27">
        <f>IF(BA326=$G325,0,BB325)</f>
        <v>0</v>
      </c>
      <c r="BC326" s="27">
        <f>+BC325</f>
        <v>0</v>
      </c>
      <c r="BD326" s="61">
        <f>IF(BC326=$G325,0,BD325)</f>
        <v>0</v>
      </c>
      <c r="BE326" s="27">
        <f>+BE325</f>
        <v>0</v>
      </c>
      <c r="BF326" s="27">
        <f>IF(BE326=$G325,0,BF325)</f>
        <v>0</v>
      </c>
      <c r="BG326" s="27">
        <f>+BG325</f>
        <v>0</v>
      </c>
      <c r="FJ326" s="61"/>
    </row>
    <row r="327" spans="2:166" s="27" customFormat="1" ht="11.25" hidden="1" x14ac:dyDescent="0.2">
      <c r="B327" s="60"/>
      <c r="F327" s="27">
        <f>SUMIF(H327:BG327,"&gt;0")</f>
        <v>0</v>
      </c>
      <c r="G327" s="27" t="s">
        <v>632</v>
      </c>
      <c r="I327" s="27" t="e">
        <f>-CUMPRINC($F325/12,$E325*12,$D325,H326,I326,0)</f>
        <v>#NUM!</v>
      </c>
      <c r="K327" s="27" t="e">
        <f>-CUMPRINC($F325/12,$E325*12,$D325,J326,K326,0)</f>
        <v>#NUM!</v>
      </c>
      <c r="M327" s="27" t="e">
        <f>-CUMPRINC($F325/12,$E325*12,$D325,L326,M326,0)</f>
        <v>#NUM!</v>
      </c>
      <c r="O327" s="27" t="e">
        <f>-CUMPRINC($F325/12,$E325*12,$D325,N326,O326,0)</f>
        <v>#NUM!</v>
      </c>
      <c r="Q327" s="27" t="e">
        <f>-CUMPRINC($F325/12,$E325*12,$D325,P326,Q326,0)</f>
        <v>#NUM!</v>
      </c>
      <c r="S327" s="27" t="e">
        <f>-CUMPRINC($F325/12,$E325*12,$D325,R326,S326,0)</f>
        <v>#NUM!</v>
      </c>
      <c r="U327" s="27" t="e">
        <f>-CUMPRINC($F325/12,$E325*12,$D325,T326,U326,0)</f>
        <v>#NUM!</v>
      </c>
      <c r="W327" s="27" t="e">
        <f>-CUMPRINC($F325/12,$E325*12,$D325,V326,W326,0)</f>
        <v>#NUM!</v>
      </c>
      <c r="Y327" s="27" t="e">
        <f>-CUMPRINC($F325/12,$E325*12,$D325,X326,Y326,0)</f>
        <v>#NUM!</v>
      </c>
      <c r="AA327" s="27" t="e">
        <f>-CUMPRINC($F325/12,$E325*12,$D325,Z326,AA326,0)</f>
        <v>#NUM!</v>
      </c>
      <c r="AC327" s="27" t="e">
        <f>-CUMPRINC($F325/12,$E325*12,$D325,AB326,AC326,0)</f>
        <v>#NUM!</v>
      </c>
      <c r="AE327" s="27" t="e">
        <f>-CUMPRINC($F325/12,$E325*12,$D325,AD326,AE326,0)</f>
        <v>#NUM!</v>
      </c>
      <c r="AG327" s="27" t="e">
        <f>-CUMPRINC($F325/12,$E325*12,$D325,AF326,AG326,0)</f>
        <v>#NUM!</v>
      </c>
      <c r="AI327" s="27" t="e">
        <f>-CUMPRINC($F325/12,$E325*12,$D325,AH326,AI326,0)</f>
        <v>#NUM!</v>
      </c>
      <c r="AK327" s="27" t="e">
        <f>-CUMPRINC($F325/12,$E325*12,$D325,AJ326,AK326,0)</f>
        <v>#NUM!</v>
      </c>
      <c r="AM327" s="27" t="e">
        <f>-CUMPRINC($F325/12,$E325*12,$D325,AL326,AM326,0)</f>
        <v>#NUM!</v>
      </c>
      <c r="AO327" s="27" t="e">
        <f>-CUMPRINC($F325/12,$E325*12,$D325,AN326,AO326,0)</f>
        <v>#NUM!</v>
      </c>
      <c r="AQ327" s="27" t="e">
        <f>-CUMPRINC($F325/12,$E325*12,$D325,AP326,AQ326,0)</f>
        <v>#NUM!</v>
      </c>
      <c r="AS327" s="27" t="e">
        <f>-CUMPRINC($F325/12,$E325*12,$D325,AR326,AS326,0)</f>
        <v>#NUM!</v>
      </c>
      <c r="AU327" s="27" t="e">
        <f>-CUMPRINC($F325/12,$E325*12,$D325,AT326,AU326,0)</f>
        <v>#NUM!</v>
      </c>
      <c r="AW327" s="27" t="e">
        <f>-CUMPRINC($F325/12,$E325*12,$D325,AV326,AW326,0)</f>
        <v>#NUM!</v>
      </c>
      <c r="AY327" s="27" t="e">
        <f>-CUMPRINC($F325/12,$E325*12,$D325,AX326,AY326,0)</f>
        <v>#NUM!</v>
      </c>
      <c r="BA327" s="27" t="e">
        <f>-CUMPRINC($F325/12,$E325*12,$D325,AZ326,BA326,0)</f>
        <v>#NUM!</v>
      </c>
      <c r="BC327" s="27" t="e">
        <f>-CUMPRINC($F325/12,$E325*12,$D325,BB326,BC326,0)</f>
        <v>#NUM!</v>
      </c>
      <c r="BD327" s="61"/>
      <c r="BE327" s="27" t="e">
        <f>-CUMPRINC($F325/12,$E325*12,$D325,BD326,BE326,0)</f>
        <v>#NUM!</v>
      </c>
      <c r="BG327" s="27" t="e">
        <f>-CUMPRINC($F325/12,$E325*12,$D325,BF326,BG326,0)</f>
        <v>#NUM!</v>
      </c>
      <c r="BH327" s="27" t="s">
        <v>783</v>
      </c>
      <c r="BJ327" s="27" t="e">
        <f>-CUMIPMT($F325/12,$E325*12,$D325,H326,I326,0)</f>
        <v>#NUM!</v>
      </c>
      <c r="BL327" s="27" t="e">
        <f>-CUMIPMT($F325/12,$E325*12,$D325,J326,K326,0)</f>
        <v>#NUM!</v>
      </c>
      <c r="BN327" s="27" t="e">
        <f>-CUMIPMT($F325/12,$E325*12,$D325,L326,M326,0)</f>
        <v>#NUM!</v>
      </c>
      <c r="BP327" s="27" t="e">
        <f>-CUMIPMT($F325/12,$E325*12,$D325,N326,O326,0)</f>
        <v>#NUM!</v>
      </c>
      <c r="BR327" s="27" t="e">
        <f>-CUMIPMT($F325/12,$E325*12,$D325,P326,Q326,0)</f>
        <v>#NUM!</v>
      </c>
      <c r="BT327" s="27" t="e">
        <f>-CUMIPMT($F325/12,$E325*12,$D325,R326,S326,0)</f>
        <v>#NUM!</v>
      </c>
      <c r="BV327" s="27" t="e">
        <f>-CUMIPMT($F325/12,$E325*12,$D325,T326,U326,0)</f>
        <v>#NUM!</v>
      </c>
      <c r="BX327" s="27" t="e">
        <f>-CUMIPMT($F325/12,$E325*12,$D325,V326,W326,0)</f>
        <v>#NUM!</v>
      </c>
      <c r="BZ327" s="27" t="e">
        <f>-CUMIPMT($F325/12,$E325*12,$D325,X326,Y326,0)</f>
        <v>#NUM!</v>
      </c>
      <c r="CB327" s="27" t="e">
        <f>-CUMIPMT($F325/12,$E325*12,$D325,Z326,AA326,0)</f>
        <v>#NUM!</v>
      </c>
      <c r="CD327" s="27" t="e">
        <f>-CUMIPMT($F325/12,$E325*12,$D325,AB326,AC326,0)</f>
        <v>#NUM!</v>
      </c>
      <c r="CF327" s="27" t="e">
        <f>-CUMIPMT($F325/12,$E325*12,$D325,AD326,AE326,0)</f>
        <v>#NUM!</v>
      </c>
      <c r="CH327" s="27" t="e">
        <f>-CUMIPMT($F325/12,$E325*12,$D325,AF326,AG326,0)</f>
        <v>#NUM!</v>
      </c>
      <c r="CJ327" s="27" t="e">
        <f>-CUMIPMT($F325/12,$E325*12,$D325,AH326,AI326,0)</f>
        <v>#NUM!</v>
      </c>
      <c r="CL327" s="27" t="e">
        <f>-CUMIPMT($F325/12,$E325*12,$D325,AJ326,AK326,0)</f>
        <v>#NUM!</v>
      </c>
      <c r="CN327" s="27" t="e">
        <f>-CUMIPMT($F325/12,$E325*12,$D325,AL326,AM326,0)</f>
        <v>#NUM!</v>
      </c>
      <c r="CP327" s="27" t="e">
        <f>-CUMIPMT($F325/12,$E325*12,$D325,AN326,AO326,0)</f>
        <v>#NUM!</v>
      </c>
      <c r="CR327" s="27" t="e">
        <f>-CUMIPMT($F325/12,$E325*12,$D325,AP326,AQ326,0)</f>
        <v>#NUM!</v>
      </c>
      <c r="CT327" s="27" t="e">
        <f>-CUMIPMT($F325/12,$E325*12,$D325,AR326,AS326,0)</f>
        <v>#NUM!</v>
      </c>
      <c r="CV327" s="27" t="e">
        <f>-CUMIPMT($F325/12,$E325*12,$D325,AT326,AU326,0)</f>
        <v>#NUM!</v>
      </c>
      <c r="CX327" s="27" t="e">
        <f>-CUMIPMT($F325/12,$E325*12,$D325,AV326,AW326,0)</f>
        <v>#NUM!</v>
      </c>
      <c r="CZ327" s="27" t="e">
        <f>-CUMIPMT($F325/12,$E325*12,$D325,AX326,AY326,0)</f>
        <v>#NUM!</v>
      </c>
      <c r="DB327" s="27" t="e">
        <f>-CUMIPMT($F325/12,$E325*12,$D325,AZ326,BA326,0)</f>
        <v>#NUM!</v>
      </c>
      <c r="DD327" s="27" t="e">
        <f>-CUMIPMT($F325/12,$E325*12,$D325,BB326,BC326,0)</f>
        <v>#NUM!</v>
      </c>
      <c r="DF327" s="27" t="e">
        <f>-CUMIPMT($F325/12,$E325*12,$D325,BD326,BE326,0)</f>
        <v>#NUM!</v>
      </c>
      <c r="DH327" s="27" t="e">
        <f>-CUMIPMT($F325/12,$E325*12,$D325,BF326,BG326,0)</f>
        <v>#NUM!</v>
      </c>
      <c r="DI327" s="27" t="s">
        <v>784</v>
      </c>
      <c r="DJ327" s="27" t="s">
        <v>785</v>
      </c>
      <c r="DK327" s="27">
        <f>+F327</f>
        <v>0</v>
      </c>
      <c r="DL327" s="27" t="e">
        <f>+DK327-I327</f>
        <v>#NUM!</v>
      </c>
      <c r="DN327" s="27" t="e">
        <f>+DL327-K327</f>
        <v>#NUM!</v>
      </c>
      <c r="DP327" s="27" t="e">
        <f>+DN327-M327</f>
        <v>#NUM!</v>
      </c>
      <c r="DR327" s="27" t="e">
        <f>+DP327-O327</f>
        <v>#NUM!</v>
      </c>
      <c r="DT327" s="27" t="e">
        <f>+DR327-Q327</f>
        <v>#NUM!</v>
      </c>
      <c r="DV327" s="27" t="e">
        <f>+DT327-S327</f>
        <v>#NUM!</v>
      </c>
      <c r="DX327" s="27" t="e">
        <f>+DV327-U327</f>
        <v>#NUM!</v>
      </c>
      <c r="DZ327" s="27" t="e">
        <f>+DX327-W327</f>
        <v>#NUM!</v>
      </c>
      <c r="EB327" s="27" t="e">
        <f>+DZ327-Y327</f>
        <v>#NUM!</v>
      </c>
      <c r="ED327" s="27" t="e">
        <f>+EB327-AA327</f>
        <v>#NUM!</v>
      </c>
      <c r="EF327" s="27" t="e">
        <f>+ED327-AC327</f>
        <v>#NUM!</v>
      </c>
      <c r="EH327" s="27" t="e">
        <f>+EF327-AE327</f>
        <v>#NUM!</v>
      </c>
      <c r="EJ327" s="27" t="e">
        <f>+EH327-AG327</f>
        <v>#NUM!</v>
      </c>
      <c r="EL327" s="27" t="e">
        <f>+EJ327-AI327</f>
        <v>#NUM!</v>
      </c>
      <c r="EN327" s="27" t="e">
        <f>+EL327-AK327</f>
        <v>#NUM!</v>
      </c>
      <c r="EP327" s="27" t="e">
        <f>+EN327-AM327</f>
        <v>#NUM!</v>
      </c>
      <c r="ER327" s="27" t="e">
        <f>+EP327-AO327</f>
        <v>#NUM!</v>
      </c>
      <c r="ET327" s="27" t="e">
        <f>+ER327-AQ327</f>
        <v>#NUM!</v>
      </c>
      <c r="EV327" s="27" t="e">
        <f>+ET327-AS327</f>
        <v>#NUM!</v>
      </c>
      <c r="EX327" s="27" t="e">
        <f>+EV327-AU327</f>
        <v>#NUM!</v>
      </c>
      <c r="EZ327" s="27" t="e">
        <f>+EX327-AW327</f>
        <v>#NUM!</v>
      </c>
      <c r="FB327" s="27" t="e">
        <f>+EZ327-AY327</f>
        <v>#NUM!</v>
      </c>
      <c r="FD327" s="27" t="e">
        <f>+FB327-BA327</f>
        <v>#NUM!</v>
      </c>
      <c r="FF327" s="27" t="e">
        <f>+FD327-BC327</f>
        <v>#NUM!</v>
      </c>
      <c r="FH327" s="27" t="e">
        <f>+FF327-BE327</f>
        <v>#NUM!</v>
      </c>
      <c r="FJ327" s="61" t="e">
        <f>+FH327-BG327</f>
        <v>#NUM!</v>
      </c>
    </row>
    <row r="328" spans="2:166" s="27" customFormat="1" ht="11.25" hidden="1" x14ac:dyDescent="0.2">
      <c r="B328" s="60"/>
      <c r="E328" s="27">
        <f>+F327+F328</f>
        <v>0</v>
      </c>
      <c r="F328" s="27">
        <f>SUMIF(BI327:DH327,"&gt;0")</f>
        <v>0</v>
      </c>
      <c r="I328" s="27">
        <f>IF(ISERROR(I327)=FALSE,I327,0)</f>
        <v>0</v>
      </c>
      <c r="K328" s="27">
        <f>IF(ISERROR(K327)=FALSE,K327,0)</f>
        <v>0</v>
      </c>
      <c r="M328" s="27">
        <f>IF(ISERROR(M327)=FALSE,M327,0)</f>
        <v>0</v>
      </c>
      <c r="O328" s="27">
        <f>IF(ISERROR(O327)=FALSE,O327,0)</f>
        <v>0</v>
      </c>
      <c r="Q328" s="27">
        <f>IF(ISERROR(Q327)=FALSE,Q327,0)</f>
        <v>0</v>
      </c>
      <c r="S328" s="27">
        <f>IF(ISERROR(S327)=FALSE,S327,0)</f>
        <v>0</v>
      </c>
      <c r="U328" s="27">
        <f>IF(ISERROR(U327)=FALSE,U327,0)</f>
        <v>0</v>
      </c>
      <c r="W328" s="27">
        <f>IF(ISERROR(W327)=FALSE,W327,0)</f>
        <v>0</v>
      </c>
      <c r="Y328" s="27">
        <f>IF(ISERROR(Y327)=FALSE,Y327,0)</f>
        <v>0</v>
      </c>
      <c r="AA328" s="27">
        <f>IF(ISERROR(AA327)=FALSE,AA327,0)</f>
        <v>0</v>
      </c>
      <c r="AC328" s="27">
        <f>IF(ISERROR(AC327)=FALSE,AC327,0)</f>
        <v>0</v>
      </c>
      <c r="AE328" s="27">
        <f>IF(ISERROR(AE327)=FALSE,AE327,0)</f>
        <v>0</v>
      </c>
      <c r="AG328" s="27">
        <f>IF(ISERROR(AG327)=FALSE,AG327,0)</f>
        <v>0</v>
      </c>
      <c r="AI328" s="27">
        <f>IF(ISERROR(AI327)=FALSE,AI327,0)</f>
        <v>0</v>
      </c>
      <c r="AK328" s="27">
        <f>IF(ISERROR(AK327)=FALSE,AK327,0)</f>
        <v>0</v>
      </c>
      <c r="AM328" s="27">
        <f>IF(ISERROR(AM327)=FALSE,AM327,0)</f>
        <v>0</v>
      </c>
      <c r="AO328" s="27">
        <f>IF(ISERROR(AO327)=FALSE,AO327,0)</f>
        <v>0</v>
      </c>
      <c r="AQ328" s="27">
        <f>IF(ISERROR(AQ327)=FALSE,AQ327,0)</f>
        <v>0</v>
      </c>
      <c r="AS328" s="27">
        <f>IF(ISERROR(AS327)=FALSE,AS327,0)</f>
        <v>0</v>
      </c>
      <c r="AU328" s="27">
        <f>IF(ISERROR(AU327)=FALSE,AU327,0)</f>
        <v>0</v>
      </c>
      <c r="AW328" s="27">
        <f>IF(ISERROR(AW327)=FALSE,AW327,0)</f>
        <v>0</v>
      </c>
      <c r="AY328" s="27">
        <f>IF(ISERROR(AY327)=FALSE,AY327,0)</f>
        <v>0</v>
      </c>
      <c r="BA328" s="27">
        <f>IF(ISERROR(BA327)=FALSE,BA327,0)</f>
        <v>0</v>
      </c>
      <c r="BC328" s="27">
        <f>IF(ISERROR(BC327)=FALSE,BC327,0)</f>
        <v>0</v>
      </c>
      <c r="BD328" s="61"/>
      <c r="BE328" s="27">
        <f>IF(ISERROR(BE327)=FALSE,BE327,0)</f>
        <v>0</v>
      </c>
      <c r="BG328" s="27">
        <f>IF(ISERROR(BG327)=FALSE,BG327,0)</f>
        <v>0</v>
      </c>
      <c r="FJ328" s="61"/>
    </row>
    <row r="329" spans="2:166" s="27" customFormat="1" ht="11.25" hidden="1" x14ac:dyDescent="0.2">
      <c r="B329" s="60"/>
      <c r="D329" s="27" t="s">
        <v>630</v>
      </c>
      <c r="E329" s="27">
        <f>IF(E325=0,0,E328/(E325*12))</f>
        <v>0</v>
      </c>
      <c r="BD329" s="61"/>
      <c r="FJ329" s="61"/>
    </row>
    <row r="330" spans="2:166" s="27" customFormat="1" ht="11.25" hidden="1" x14ac:dyDescent="0.2">
      <c r="B330" s="60"/>
      <c r="C330" s="27">
        <f>C146</f>
        <v>0</v>
      </c>
      <c r="D330" s="27">
        <f>D146</f>
        <v>0</v>
      </c>
      <c r="E330" s="27">
        <f>E146</f>
        <v>0</v>
      </c>
      <c r="F330" s="27">
        <f>F146</f>
        <v>0</v>
      </c>
      <c r="G330" s="27">
        <f>+$E330*12</f>
        <v>0</v>
      </c>
      <c r="H330" s="27">
        <f>SUMIF($W146:$AH146,$D146,$W$108:$AH$108)</f>
        <v>78</v>
      </c>
      <c r="I330" s="27">
        <f>13-H330</f>
        <v>-65</v>
      </c>
      <c r="J330" s="27">
        <f>IF(I330+1&lt;=$G330,I330+1,($G330-I330)+I330)</f>
        <v>-64</v>
      </c>
      <c r="K330" s="27">
        <f>IF(J330+11&lt;=$G330,J330+11,($G330-J330)+J330)</f>
        <v>-53</v>
      </c>
      <c r="L330" s="27">
        <f>IF(K330+1&lt;=$G330,K330+1,($G330-K330)+K330)</f>
        <v>-52</v>
      </c>
      <c r="M330" s="27">
        <f>IF(L330+11&lt;=$G330,L330+11,($G330-L330)+L330)</f>
        <v>-41</v>
      </c>
      <c r="N330" s="27">
        <f>IF(M330+1&lt;=$G330,M330+1,($G330-M330)+M330)</f>
        <v>-40</v>
      </c>
      <c r="O330" s="27">
        <f>IF(N330+11&lt;=$G330,N330+11,($G330-N330)+N330)</f>
        <v>-29</v>
      </c>
      <c r="P330" s="27">
        <f>IF(O330+1&lt;=$G330,O330+1,($G330-O330)+O330)</f>
        <v>-28</v>
      </c>
      <c r="Q330" s="27">
        <f>IF(P330+11&lt;=$G330,P330+11,($G330-P330)+P330)</f>
        <v>-17</v>
      </c>
      <c r="R330" s="27">
        <f>IF(Q330+1&lt;=$G330,Q330+1,($G330-Q330)+Q330)</f>
        <v>-16</v>
      </c>
      <c r="S330" s="27">
        <f>IF(R330+11&lt;=$G330,R330+11,($G330-R330)+R330)</f>
        <v>-5</v>
      </c>
      <c r="T330" s="27">
        <f>IF(S330+1&lt;=$G330,S330+1,($G330-S330)+S330)</f>
        <v>-4</v>
      </c>
      <c r="U330" s="27">
        <f>IF(T330+11&lt;=$G330,T330+11,($G330-T330)+T330)</f>
        <v>0</v>
      </c>
      <c r="V330" s="27">
        <f>IF(U330+1&lt;=$G330,U330+1,($G330-U330)+U330)</f>
        <v>0</v>
      </c>
      <c r="W330" s="27">
        <f>IF(V330+11&lt;=$G330,V330+11,($G330-V330)+V330)</f>
        <v>0</v>
      </c>
      <c r="X330" s="27">
        <f>IF(W330+1&lt;=$G330,W330+1,($G330-W330)+W330)</f>
        <v>0</v>
      </c>
      <c r="Y330" s="27">
        <f>IF(X330+11&lt;=$G330,X330+11,($G330-X330)+X330)</f>
        <v>0</v>
      </c>
      <c r="Z330" s="27">
        <f>IF(Y330+1&lt;=$G330,Y330+1,($G330-Y330)+Y330)</f>
        <v>0</v>
      </c>
      <c r="AA330" s="27">
        <f>IF(Z330+11&lt;=$G330,Z330+11,($G330-Z330)+Z330)</f>
        <v>0</v>
      </c>
      <c r="AB330" s="27">
        <f>IF(AA330+1&lt;=$G330,AA330+1,($G330-AA330)+AA330)</f>
        <v>0</v>
      </c>
      <c r="AC330" s="27">
        <f>IF(AB330+11&lt;=$G330,AB330+11,($G330-AB330)+AB330)</f>
        <v>0</v>
      </c>
      <c r="AD330" s="27">
        <f>IF(AC330+1&lt;=$G330,AC330+1,($G330-AC330)+AC330)</f>
        <v>0</v>
      </c>
      <c r="AE330" s="27">
        <f>IF(AD330+11&lt;=$G330,AD330+11,($G330-AD330)+AD330)</f>
        <v>0</v>
      </c>
      <c r="AF330" s="27">
        <f>IF(AE330+1&lt;=$G330,AE330+1,($G330-AE330)+AE330)</f>
        <v>0</v>
      </c>
      <c r="AG330" s="27">
        <f>IF(AF330+11&lt;=$G330,AF330+11,($G330-AF330)+AF330)</f>
        <v>0</v>
      </c>
      <c r="AH330" s="27">
        <f>IF(AG330+1&lt;=$G330,AG330+1,($G330-AG330)+AG330)</f>
        <v>0</v>
      </c>
      <c r="AI330" s="27">
        <f>IF(AH330+11&lt;=$G330,AH330+11,($G330-AH330)+AH330)</f>
        <v>0</v>
      </c>
      <c r="AJ330" s="27">
        <f>IF(AI330+1&lt;=$G330,AI330+1,($G330-AI330)+AI330)</f>
        <v>0</v>
      </c>
      <c r="AK330" s="27">
        <f>IF(AJ330+11&lt;=$G330,AJ330+11,($G330-AJ330)+AJ330)</f>
        <v>0</v>
      </c>
      <c r="AL330" s="27">
        <f>IF(AK330+1&lt;=$G330,AK330+1,($G330-AK330)+AK330)</f>
        <v>0</v>
      </c>
      <c r="AM330" s="27">
        <f>IF(AL330+11&lt;=$G330,AL330+11,($G330-AL330)+AL330)</f>
        <v>0</v>
      </c>
      <c r="AN330" s="27">
        <f>IF(AM330+1&lt;=$G330,AM330+1,($G330-AM330)+AM330)</f>
        <v>0</v>
      </c>
      <c r="AO330" s="27">
        <f>IF(AN330+11&lt;=$G330,AN330+11,($G330-AN330)+AN330)</f>
        <v>0</v>
      </c>
      <c r="AP330" s="27">
        <f>IF(AO330+1&lt;=$G330,AO330+1,($G330-AO330)+AO330)</f>
        <v>0</v>
      </c>
      <c r="AQ330" s="27">
        <f>IF(AP330+11&lt;=$G330,AP330+11,($G330-AP330)+AP330)</f>
        <v>0</v>
      </c>
      <c r="AR330" s="27">
        <f>IF(AQ330+1&lt;=$G330,AQ330+1,($G330-AQ330)+AQ330)</f>
        <v>0</v>
      </c>
      <c r="AS330" s="27">
        <f>IF(AR330+11&lt;=$G330,AR330+11,($G330-AR330)+AR330)</f>
        <v>0</v>
      </c>
      <c r="AT330" s="27">
        <f>IF(AS330+1&lt;=$G330,AS330+1,($G330-AS330)+AS330)</f>
        <v>0</v>
      </c>
      <c r="AU330" s="27">
        <f>IF(AT330+11&lt;=$G330,AT330+11,($G330-AT330)+AT330)</f>
        <v>0</v>
      </c>
      <c r="AV330" s="27">
        <f>IF(AU330+1&lt;=$G330,AU330+1,($G330-AU330)+AU330)</f>
        <v>0</v>
      </c>
      <c r="AW330" s="27">
        <f>IF(AV330+11&lt;=$G330,AV330+11,($G330-AV330)+AV330)</f>
        <v>0</v>
      </c>
      <c r="AX330" s="27">
        <f>IF(AW330+1&lt;=$G330,AW330+1,($G330-AW330)+AW330)</f>
        <v>0</v>
      </c>
      <c r="AY330" s="27">
        <f>IF(AX330+11&lt;=$G330,AX330+11,($G330-AX330)+AX330)</f>
        <v>0</v>
      </c>
      <c r="AZ330" s="27">
        <f>IF(AY330+1&lt;=$G330,AY330+1,($G330-AY330)+AY330)</f>
        <v>0</v>
      </c>
      <c r="BA330" s="27">
        <f>IF(AZ330+35&lt;=$G330,AZ330+35,($G330-AZ330)+AZ330)</f>
        <v>0</v>
      </c>
      <c r="BB330" s="27">
        <f>IF(BA330+1&lt;=$G330,BA330+1,($G330-BA330)+BA330)</f>
        <v>0</v>
      </c>
      <c r="BC330" s="27">
        <f>IF(BB330+59&lt;=$G330,BB330+59,($G330-BB330)+BB330)</f>
        <v>0</v>
      </c>
      <c r="BD330" s="61">
        <f>IF(BC330+1&lt;=$G330,BC330+1,($G330-BC330)+BC330)</f>
        <v>0</v>
      </c>
      <c r="BE330" s="27">
        <f>IF(BD330+239&lt;=$G330,BD330+239,($G330-BD330)+BD330)</f>
        <v>0</v>
      </c>
      <c r="BF330" s="27">
        <f>IF(BE330+1&lt;=$G330,BE330+1,($G330-BE330)+BE330)</f>
        <v>0</v>
      </c>
      <c r="BG330" s="27">
        <f>IF(BF330+11&lt;=$G330,BF330+11,($G330-BF330)+BF330)</f>
        <v>0</v>
      </c>
      <c r="FJ330" s="61"/>
    </row>
    <row r="331" spans="2:166" s="27" customFormat="1" ht="11.25" hidden="1" x14ac:dyDescent="0.2">
      <c r="B331" s="60"/>
      <c r="H331" s="27">
        <v>1</v>
      </c>
      <c r="I331" s="27">
        <f>+I330</f>
        <v>-65</v>
      </c>
      <c r="J331" s="27">
        <f>IF(I331=$G330,0,J330)</f>
        <v>-64</v>
      </c>
      <c r="K331" s="27">
        <f>+K330</f>
        <v>-53</v>
      </c>
      <c r="L331" s="27">
        <f>IF(K331=$G330,0,L330)</f>
        <v>-52</v>
      </c>
      <c r="M331" s="27">
        <f>+M330</f>
        <v>-41</v>
      </c>
      <c r="N331" s="27">
        <f>IF(M331=$G330,0,N330)</f>
        <v>-40</v>
      </c>
      <c r="O331" s="27">
        <f>+O330</f>
        <v>-29</v>
      </c>
      <c r="P331" s="27">
        <f>IF(O331=$G330,0,P330)</f>
        <v>-28</v>
      </c>
      <c r="Q331" s="27">
        <f>+Q330</f>
        <v>-17</v>
      </c>
      <c r="R331" s="27">
        <f>IF(Q331=$G330,0,R330)</f>
        <v>-16</v>
      </c>
      <c r="S331" s="27">
        <f>+S330</f>
        <v>-5</v>
      </c>
      <c r="T331" s="27">
        <f>IF(S331=$G330,0,T330)</f>
        <v>-4</v>
      </c>
      <c r="U331" s="27">
        <f>+U330</f>
        <v>0</v>
      </c>
      <c r="V331" s="27">
        <f>IF(U331=$G330,0,V330)</f>
        <v>0</v>
      </c>
      <c r="W331" s="27">
        <f>+W330</f>
        <v>0</v>
      </c>
      <c r="X331" s="27">
        <f>IF(W331=$G330,0,X330)</f>
        <v>0</v>
      </c>
      <c r="Y331" s="27">
        <f>+Y330</f>
        <v>0</v>
      </c>
      <c r="Z331" s="27">
        <f>IF(Y331=$G330,0,Z330)</f>
        <v>0</v>
      </c>
      <c r="AA331" s="27">
        <f>+AA330</f>
        <v>0</v>
      </c>
      <c r="AB331" s="27">
        <f>IF(AA331=$G330,0,AB330)</f>
        <v>0</v>
      </c>
      <c r="AC331" s="27">
        <f>+AC330</f>
        <v>0</v>
      </c>
      <c r="AD331" s="27">
        <f>IF(AC331=$G330,0,AD330)</f>
        <v>0</v>
      </c>
      <c r="AE331" s="27">
        <f>+AE330</f>
        <v>0</v>
      </c>
      <c r="AF331" s="27">
        <f>IF(AE331=$G330,0,AF330)</f>
        <v>0</v>
      </c>
      <c r="AG331" s="27">
        <f>+AG330</f>
        <v>0</v>
      </c>
      <c r="AH331" s="27">
        <f>IF(AG331=$G330,0,AH330)</f>
        <v>0</v>
      </c>
      <c r="AI331" s="27">
        <f>+AI330</f>
        <v>0</v>
      </c>
      <c r="AJ331" s="27">
        <f>IF(AI331=$G330,0,AJ330)</f>
        <v>0</v>
      </c>
      <c r="AK331" s="27">
        <f>+AK330</f>
        <v>0</v>
      </c>
      <c r="AL331" s="27">
        <f>IF(AK331=$G330,0,AL330)</f>
        <v>0</v>
      </c>
      <c r="AM331" s="27">
        <f>+AM330</f>
        <v>0</v>
      </c>
      <c r="AN331" s="27">
        <f>IF(AM331=$G330,0,AN330)</f>
        <v>0</v>
      </c>
      <c r="AO331" s="27">
        <f>+AO330</f>
        <v>0</v>
      </c>
      <c r="AP331" s="27">
        <f>IF(AO331=$G330,0,AP330)</f>
        <v>0</v>
      </c>
      <c r="AQ331" s="27">
        <f>+AQ330</f>
        <v>0</v>
      </c>
      <c r="AR331" s="27">
        <f>IF(AQ331=$G330,0,AR330)</f>
        <v>0</v>
      </c>
      <c r="AS331" s="27">
        <f>+AS330</f>
        <v>0</v>
      </c>
      <c r="AT331" s="27">
        <f>IF(AS331=$G330,0,AT330)</f>
        <v>0</v>
      </c>
      <c r="AU331" s="27">
        <f>+AU330</f>
        <v>0</v>
      </c>
      <c r="AV331" s="27">
        <f>IF(AU331=$G330,0,AV330)</f>
        <v>0</v>
      </c>
      <c r="AW331" s="27">
        <f>+AW330</f>
        <v>0</v>
      </c>
      <c r="AX331" s="27">
        <f>IF(AW331=$G330,0,AX330)</f>
        <v>0</v>
      </c>
      <c r="AY331" s="27">
        <f>+AY330</f>
        <v>0</v>
      </c>
      <c r="AZ331" s="27">
        <f>IF(AY331=$G330,0,AZ330)</f>
        <v>0</v>
      </c>
      <c r="BA331" s="27">
        <f>+BA330</f>
        <v>0</v>
      </c>
      <c r="BB331" s="27">
        <f>IF(BA331=$G330,0,BB330)</f>
        <v>0</v>
      </c>
      <c r="BC331" s="27">
        <f>+BC330</f>
        <v>0</v>
      </c>
      <c r="BD331" s="61">
        <f>IF(BC331=$G330,0,BD330)</f>
        <v>0</v>
      </c>
      <c r="BE331" s="27">
        <f>+BE330</f>
        <v>0</v>
      </c>
      <c r="BF331" s="27">
        <f>IF(BE331=$G330,0,BF330)</f>
        <v>0</v>
      </c>
      <c r="BG331" s="27">
        <f>+BG330</f>
        <v>0</v>
      </c>
      <c r="FJ331" s="61"/>
    </row>
    <row r="332" spans="2:166" s="27" customFormat="1" ht="11.25" hidden="1" x14ac:dyDescent="0.2">
      <c r="B332" s="60"/>
      <c r="F332" s="27">
        <f>SUMIF(H332:BG332,"&gt;0")</f>
        <v>0</v>
      </c>
      <c r="G332" s="27" t="s">
        <v>632</v>
      </c>
      <c r="I332" s="27" t="e">
        <f>-CUMPRINC($F330/12,$E330*12,$D330,H331,I331,0)</f>
        <v>#NUM!</v>
      </c>
      <c r="K332" s="27" t="e">
        <f>-CUMPRINC($F330/12,$E330*12,$D330,J331,K331,0)</f>
        <v>#NUM!</v>
      </c>
      <c r="M332" s="27" t="e">
        <f>-CUMPRINC($F330/12,$E330*12,$D330,L331,M331,0)</f>
        <v>#NUM!</v>
      </c>
      <c r="O332" s="27" t="e">
        <f>-CUMPRINC($F330/12,$E330*12,$D330,N331,O331,0)</f>
        <v>#NUM!</v>
      </c>
      <c r="Q332" s="27" t="e">
        <f>-CUMPRINC($F330/12,$E330*12,$D330,P331,Q331,0)</f>
        <v>#NUM!</v>
      </c>
      <c r="S332" s="27" t="e">
        <f>-CUMPRINC($F330/12,$E330*12,$D330,R331,S331,0)</f>
        <v>#NUM!</v>
      </c>
      <c r="U332" s="27" t="e">
        <f>-CUMPRINC($F330/12,$E330*12,$D330,T331,U331,0)</f>
        <v>#NUM!</v>
      </c>
      <c r="W332" s="27" t="e">
        <f>-CUMPRINC($F330/12,$E330*12,$D330,V331,W331,0)</f>
        <v>#NUM!</v>
      </c>
      <c r="Y332" s="27" t="e">
        <f>-CUMPRINC($F330/12,$E330*12,$D330,X331,Y331,0)</f>
        <v>#NUM!</v>
      </c>
      <c r="AA332" s="27" t="e">
        <f>-CUMPRINC($F330/12,$E330*12,$D330,Z331,AA331,0)</f>
        <v>#NUM!</v>
      </c>
      <c r="AC332" s="27" t="e">
        <f>-CUMPRINC($F330/12,$E330*12,$D330,AB331,AC331,0)</f>
        <v>#NUM!</v>
      </c>
      <c r="AE332" s="27" t="e">
        <f>-CUMPRINC($F330/12,$E330*12,$D330,AD331,AE331,0)</f>
        <v>#NUM!</v>
      </c>
      <c r="AG332" s="27" t="e">
        <f>-CUMPRINC($F330/12,$E330*12,$D330,AF331,AG331,0)</f>
        <v>#NUM!</v>
      </c>
      <c r="AI332" s="27" t="e">
        <f>-CUMPRINC($F330/12,$E330*12,$D330,AH331,AI331,0)</f>
        <v>#NUM!</v>
      </c>
      <c r="AK332" s="27" t="e">
        <f>-CUMPRINC($F330/12,$E330*12,$D330,AJ331,AK331,0)</f>
        <v>#NUM!</v>
      </c>
      <c r="AM332" s="27" t="e">
        <f>-CUMPRINC($F330/12,$E330*12,$D330,AL331,AM331,0)</f>
        <v>#NUM!</v>
      </c>
      <c r="AO332" s="27" t="e">
        <f>-CUMPRINC($F330/12,$E330*12,$D330,AN331,AO331,0)</f>
        <v>#NUM!</v>
      </c>
      <c r="AQ332" s="27" t="e">
        <f>-CUMPRINC($F330/12,$E330*12,$D330,AP331,AQ331,0)</f>
        <v>#NUM!</v>
      </c>
      <c r="AS332" s="27" t="e">
        <f>-CUMPRINC($F330/12,$E330*12,$D330,AR331,AS331,0)</f>
        <v>#NUM!</v>
      </c>
      <c r="AU332" s="27" t="e">
        <f>-CUMPRINC($F330/12,$E330*12,$D330,AT331,AU331,0)</f>
        <v>#NUM!</v>
      </c>
      <c r="AW332" s="27" t="e">
        <f>-CUMPRINC($F330/12,$E330*12,$D330,AV331,AW331,0)</f>
        <v>#NUM!</v>
      </c>
      <c r="AY332" s="27" t="e">
        <f>-CUMPRINC($F330/12,$E330*12,$D330,AX331,AY331,0)</f>
        <v>#NUM!</v>
      </c>
      <c r="BA332" s="27" t="e">
        <f>-CUMPRINC($F330/12,$E330*12,$D330,AZ331,BA331,0)</f>
        <v>#NUM!</v>
      </c>
      <c r="BC332" s="27" t="e">
        <f>-CUMPRINC($F330/12,$E330*12,$D330,BB331,BC331,0)</f>
        <v>#NUM!</v>
      </c>
      <c r="BD332" s="61"/>
      <c r="BE332" s="27" t="e">
        <f>-CUMPRINC($F330/12,$E330*12,$D330,BD331,BE331,0)</f>
        <v>#NUM!</v>
      </c>
      <c r="BG332" s="27" t="e">
        <f>-CUMPRINC($F330/12,$E330*12,$D330,BF331,BG331,0)</f>
        <v>#NUM!</v>
      </c>
      <c r="FJ332" s="61"/>
    </row>
    <row r="333" spans="2:166" s="27" customFormat="1" ht="11.25" hidden="1" x14ac:dyDescent="0.2">
      <c r="B333" s="60"/>
      <c r="E333" s="27">
        <f>+F332+F333</f>
        <v>0</v>
      </c>
      <c r="F333" s="27">
        <f>SUMIF(BI333:DH333,"&gt;0")</f>
        <v>0</v>
      </c>
      <c r="I333" s="27">
        <f>IF(ISERROR(I332)=FALSE,I332,0)</f>
        <v>0</v>
      </c>
      <c r="K333" s="27">
        <f>IF(ISERROR(K332)=FALSE,K332,0)</f>
        <v>0</v>
      </c>
      <c r="M333" s="27">
        <f>IF(ISERROR(M332)=FALSE,M332,0)</f>
        <v>0</v>
      </c>
      <c r="O333" s="27">
        <f>IF(ISERROR(O332)=FALSE,O332,0)</f>
        <v>0</v>
      </c>
      <c r="Q333" s="27">
        <f>IF(ISERROR(Q332)=FALSE,Q332,0)</f>
        <v>0</v>
      </c>
      <c r="S333" s="27">
        <f>IF(ISERROR(S332)=FALSE,S332,0)</f>
        <v>0</v>
      </c>
      <c r="U333" s="27">
        <f>IF(ISERROR(U332)=FALSE,U332,0)</f>
        <v>0</v>
      </c>
      <c r="W333" s="27">
        <f>IF(ISERROR(W332)=FALSE,W332,0)</f>
        <v>0</v>
      </c>
      <c r="Y333" s="27">
        <f>IF(ISERROR(Y332)=FALSE,Y332,0)</f>
        <v>0</v>
      </c>
      <c r="AA333" s="27">
        <f>IF(ISERROR(AA332)=FALSE,AA332,0)</f>
        <v>0</v>
      </c>
      <c r="AC333" s="27">
        <f>IF(ISERROR(AC332)=FALSE,AC332,0)</f>
        <v>0</v>
      </c>
      <c r="AE333" s="27">
        <f>IF(ISERROR(AE332)=FALSE,AE332,0)</f>
        <v>0</v>
      </c>
      <c r="AG333" s="27">
        <f>IF(ISERROR(AG332)=FALSE,AG332,0)</f>
        <v>0</v>
      </c>
      <c r="AI333" s="27">
        <f>IF(ISERROR(AI332)=FALSE,AI332,0)</f>
        <v>0</v>
      </c>
      <c r="AK333" s="27">
        <f>IF(ISERROR(AK332)=FALSE,AK332,0)</f>
        <v>0</v>
      </c>
      <c r="AM333" s="27">
        <f>IF(ISERROR(AM332)=FALSE,AM332,0)</f>
        <v>0</v>
      </c>
      <c r="AO333" s="27">
        <f>IF(ISERROR(AO332)=FALSE,AO332,0)</f>
        <v>0</v>
      </c>
      <c r="AQ333" s="27">
        <f>IF(ISERROR(AQ332)=FALSE,AQ332,0)</f>
        <v>0</v>
      </c>
      <c r="AS333" s="27">
        <f>IF(ISERROR(AS332)=FALSE,AS332,0)</f>
        <v>0</v>
      </c>
      <c r="AU333" s="27">
        <f>IF(ISERROR(AU332)=FALSE,AU332,0)</f>
        <v>0</v>
      </c>
      <c r="AW333" s="27">
        <f>IF(ISERROR(AW332)=FALSE,AW332,0)</f>
        <v>0</v>
      </c>
      <c r="AY333" s="27">
        <f>IF(ISERROR(AY332)=FALSE,AY332,0)</f>
        <v>0</v>
      </c>
      <c r="BA333" s="27">
        <f>IF(ISERROR(BA332)=FALSE,BA332,0)</f>
        <v>0</v>
      </c>
      <c r="BC333" s="27">
        <f>IF(ISERROR(BC332)=FALSE,BC332,0)</f>
        <v>0</v>
      </c>
      <c r="BD333" s="61"/>
      <c r="BE333" s="27">
        <f>IF(ISERROR(BE332)=FALSE,BE332,0)</f>
        <v>0</v>
      </c>
      <c r="BG333" s="27">
        <f>IF(ISERROR(BG332)=FALSE,BG332,0)</f>
        <v>0</v>
      </c>
      <c r="BH333" s="27" t="s">
        <v>783</v>
      </c>
      <c r="BJ333" s="27" t="e">
        <f>-CUMIPMT($F330/12,$E330*12,$D330,H331,I331,0)</f>
        <v>#NUM!</v>
      </c>
      <c r="BL333" s="27" t="e">
        <f>-CUMIPMT($F330/12,$E330*12,$D330,J331,K331,0)</f>
        <v>#NUM!</v>
      </c>
      <c r="BN333" s="27" t="e">
        <f>-CUMIPMT($F330/12,$E330*12,$D330,L331,M331,0)</f>
        <v>#NUM!</v>
      </c>
      <c r="BP333" s="27" t="e">
        <f>-CUMIPMT($F330/12,$E330*12,$D330,N331,O331,0)</f>
        <v>#NUM!</v>
      </c>
      <c r="BR333" s="27" t="e">
        <f>-CUMIPMT($F330/12,$E330*12,$D330,P331,Q331,0)</f>
        <v>#NUM!</v>
      </c>
      <c r="BT333" s="27" t="e">
        <f>-CUMIPMT($F330/12,$E330*12,$D330,R331,S331,0)</f>
        <v>#NUM!</v>
      </c>
      <c r="BV333" s="27" t="e">
        <f>-CUMIPMT($F330/12,$E330*12,$D330,T331,U331,0)</f>
        <v>#NUM!</v>
      </c>
      <c r="BX333" s="27" t="e">
        <f>-CUMIPMT($F330/12,$E330*12,$D330,V331,W331,0)</f>
        <v>#NUM!</v>
      </c>
      <c r="BZ333" s="27" t="e">
        <f>-CUMIPMT($F330/12,$E330*12,$D330,X331,Y331,0)</f>
        <v>#NUM!</v>
      </c>
      <c r="CB333" s="27" t="e">
        <f>-CUMIPMT($F330/12,$E330*12,$D330,Z331,AA331,0)</f>
        <v>#NUM!</v>
      </c>
      <c r="CD333" s="27" t="e">
        <f>-CUMIPMT($F330/12,$E330*12,$D330,AB331,AC331,0)</f>
        <v>#NUM!</v>
      </c>
      <c r="CF333" s="27" t="e">
        <f>-CUMIPMT($F330/12,$E330*12,$D330,AD331,AE331,0)</f>
        <v>#NUM!</v>
      </c>
      <c r="CH333" s="27" t="e">
        <f>-CUMIPMT($F330/12,$E330*12,$D330,AF331,AG331,0)</f>
        <v>#NUM!</v>
      </c>
      <c r="CJ333" s="27" t="e">
        <f>-CUMIPMT($F330/12,$E330*12,$D330,AH331,AI331,0)</f>
        <v>#NUM!</v>
      </c>
      <c r="CL333" s="27" t="e">
        <f>-CUMIPMT($F330/12,$E330*12,$D330,AJ331,AK331,0)</f>
        <v>#NUM!</v>
      </c>
      <c r="CN333" s="27" t="e">
        <f>-CUMIPMT($F330/12,$E330*12,$D330,AL331,AM331,0)</f>
        <v>#NUM!</v>
      </c>
      <c r="CP333" s="27" t="e">
        <f>-CUMIPMT($F330/12,$E330*12,$D330,AN331,AO331,0)</f>
        <v>#NUM!</v>
      </c>
      <c r="CR333" s="27" t="e">
        <f>-CUMIPMT($F330/12,$E330*12,$D330,AP331,AQ331,0)</f>
        <v>#NUM!</v>
      </c>
      <c r="CT333" s="27" t="e">
        <f>-CUMIPMT($F330/12,$E330*12,$D330,AR331,AS331,0)</f>
        <v>#NUM!</v>
      </c>
      <c r="CV333" s="27" t="e">
        <f>-CUMIPMT($F330/12,$E330*12,$D330,AT331,AU331,0)</f>
        <v>#NUM!</v>
      </c>
      <c r="CX333" s="27" t="e">
        <f>-CUMIPMT($F330/12,$E330*12,$D330,AV331,AW331,0)</f>
        <v>#NUM!</v>
      </c>
      <c r="CZ333" s="27" t="e">
        <f>-CUMIPMT($F330/12,$E330*12,$D330,AX331,AY331,0)</f>
        <v>#NUM!</v>
      </c>
      <c r="DB333" s="27" t="e">
        <f>-CUMIPMT($F330/12,$E330*12,$D330,AZ331,BA331,0)</f>
        <v>#NUM!</v>
      </c>
      <c r="DD333" s="27" t="e">
        <f>-CUMIPMT($F330/12,$E330*12,$D330,BB331,BC331,0)</f>
        <v>#NUM!</v>
      </c>
      <c r="DF333" s="27" t="e">
        <f>-CUMIPMT($F330/12,$E330*12,$D330,BD331,BE331,0)</f>
        <v>#NUM!</v>
      </c>
      <c r="DH333" s="27" t="e">
        <f>-CUMIPMT($F330/12,$E330*12,$D330,BF331,BG331,0)</f>
        <v>#NUM!</v>
      </c>
      <c r="DI333" s="27" t="s">
        <v>784</v>
      </c>
      <c r="DJ333" s="27" t="s">
        <v>785</v>
      </c>
      <c r="DK333" s="27">
        <f>+F332</f>
        <v>0</v>
      </c>
      <c r="DL333" s="27" t="e">
        <f>+DK333-I332</f>
        <v>#NUM!</v>
      </c>
      <c r="DN333" s="27" t="e">
        <f>+DL333-K332</f>
        <v>#NUM!</v>
      </c>
      <c r="DP333" s="27" t="e">
        <f>+DN333-M332</f>
        <v>#NUM!</v>
      </c>
      <c r="DR333" s="27" t="e">
        <f>+DP333-O332</f>
        <v>#NUM!</v>
      </c>
      <c r="DT333" s="27" t="e">
        <f>+DR333-Q332</f>
        <v>#NUM!</v>
      </c>
      <c r="DV333" s="27" t="e">
        <f>+DT333-S332</f>
        <v>#NUM!</v>
      </c>
      <c r="DX333" s="27" t="e">
        <f>+DV333-U332</f>
        <v>#NUM!</v>
      </c>
      <c r="DZ333" s="27" t="e">
        <f>+DX333-W332</f>
        <v>#NUM!</v>
      </c>
      <c r="EB333" s="27" t="e">
        <f>+DZ333-Y332</f>
        <v>#NUM!</v>
      </c>
      <c r="ED333" s="27" t="e">
        <f>+EB333-AA332</f>
        <v>#NUM!</v>
      </c>
      <c r="EF333" s="27" t="e">
        <f>+ED333-AC332</f>
        <v>#NUM!</v>
      </c>
      <c r="EH333" s="27" t="e">
        <f>+EF333-AE332</f>
        <v>#NUM!</v>
      </c>
      <c r="EJ333" s="27" t="e">
        <f>+EH333-AG332</f>
        <v>#NUM!</v>
      </c>
      <c r="EL333" s="27" t="e">
        <f>+EJ333-AI332</f>
        <v>#NUM!</v>
      </c>
      <c r="EN333" s="27" t="e">
        <f>+EL333-AK332</f>
        <v>#NUM!</v>
      </c>
      <c r="EP333" s="27" t="e">
        <f>+EN333-AM332</f>
        <v>#NUM!</v>
      </c>
      <c r="ER333" s="27" t="e">
        <f>+EP333-AO332</f>
        <v>#NUM!</v>
      </c>
      <c r="ET333" s="27" t="e">
        <f>+ER333-AQ332</f>
        <v>#NUM!</v>
      </c>
      <c r="EV333" s="27" t="e">
        <f>+ET333-AS332</f>
        <v>#NUM!</v>
      </c>
      <c r="EX333" s="27" t="e">
        <f>+EV333-AU332</f>
        <v>#NUM!</v>
      </c>
      <c r="EZ333" s="27" t="e">
        <f>+EX333-AW332</f>
        <v>#NUM!</v>
      </c>
      <c r="FB333" s="27" t="e">
        <f>+EZ333-AY332</f>
        <v>#NUM!</v>
      </c>
      <c r="FD333" s="27" t="e">
        <f>+FB333-BA332</f>
        <v>#NUM!</v>
      </c>
      <c r="FF333" s="27" t="e">
        <f>+FD333-BC332</f>
        <v>#NUM!</v>
      </c>
      <c r="FH333" s="27" t="e">
        <f>+FF333-BE332</f>
        <v>#NUM!</v>
      </c>
      <c r="FJ333" s="61" t="e">
        <f>+FH333-BG332</f>
        <v>#NUM!</v>
      </c>
    </row>
    <row r="334" spans="2:166" s="27" customFormat="1" ht="11.25" hidden="1" x14ac:dyDescent="0.2">
      <c r="B334" s="60"/>
      <c r="D334" s="27" t="s">
        <v>630</v>
      </c>
      <c r="E334" s="27">
        <f>IF(E330=0,0,E333/(E330*12))</f>
        <v>0</v>
      </c>
      <c r="BD334" s="61"/>
      <c r="FJ334" s="61"/>
    </row>
    <row r="335" spans="2:166" s="27" customFormat="1" ht="11.25" hidden="1" x14ac:dyDescent="0.2">
      <c r="B335" s="60"/>
      <c r="C335" s="27" t="str">
        <f>C147</f>
        <v>Página web</v>
      </c>
      <c r="D335" s="27">
        <f>D147</f>
        <v>0</v>
      </c>
      <c r="E335" s="27">
        <f>E147</f>
        <v>0</v>
      </c>
      <c r="F335" s="27">
        <f>F147</f>
        <v>0</v>
      </c>
      <c r="G335" s="27">
        <f>+$E335*12</f>
        <v>0</v>
      </c>
      <c r="H335" s="27">
        <f>SUMIF($W147:$AH147,$D147,$W$108:$AH$108)</f>
        <v>78</v>
      </c>
      <c r="I335" s="27">
        <f>13-H335</f>
        <v>-65</v>
      </c>
      <c r="J335" s="27">
        <f>IF(I335+1&lt;=$G335,I335+1,($G335-I335)+I335)</f>
        <v>-64</v>
      </c>
      <c r="K335" s="27">
        <f>IF(J335+11&lt;=$G335,J335+11,($G335-J335)+J335)</f>
        <v>-53</v>
      </c>
      <c r="L335" s="27">
        <f>IF(K335+1&lt;=$G335,K335+1,($G335-K335)+K335)</f>
        <v>-52</v>
      </c>
      <c r="M335" s="27">
        <f>IF(L335+11&lt;=$G335,L335+11,($G335-L335)+L335)</f>
        <v>-41</v>
      </c>
      <c r="N335" s="27">
        <f>IF(M335+1&lt;=$G335,M335+1,($G335-M335)+M335)</f>
        <v>-40</v>
      </c>
      <c r="O335" s="27">
        <f>IF(N335+11&lt;=$G335,N335+11,($G335-N335)+N335)</f>
        <v>-29</v>
      </c>
      <c r="P335" s="27">
        <f>IF(O335+1&lt;=$G335,O335+1,($G335-O335)+O335)</f>
        <v>-28</v>
      </c>
      <c r="Q335" s="27">
        <f>IF(P335+11&lt;=$G335,P335+11,($G335-P335)+P335)</f>
        <v>-17</v>
      </c>
      <c r="R335" s="27">
        <f>IF(Q335+1&lt;=$G335,Q335+1,($G335-Q335)+Q335)</f>
        <v>-16</v>
      </c>
      <c r="S335" s="27">
        <f>IF(R335+11&lt;=$G335,R335+11,($G335-R335)+R335)</f>
        <v>-5</v>
      </c>
      <c r="T335" s="27">
        <f>IF(S335+1&lt;=$G335,S335+1,($G335-S335)+S335)</f>
        <v>-4</v>
      </c>
      <c r="U335" s="27">
        <f>IF(T335+11&lt;=$G335,T335+11,($G335-T335)+T335)</f>
        <v>0</v>
      </c>
      <c r="V335" s="27">
        <f>IF(U335+1&lt;=$G335,U335+1,($G335-U335)+U335)</f>
        <v>0</v>
      </c>
      <c r="W335" s="27">
        <f>IF(V335+11&lt;=$G335,V335+11,($G335-V335)+V335)</f>
        <v>0</v>
      </c>
      <c r="X335" s="27">
        <f>IF(W335+1&lt;=$G335,W335+1,($G335-W335)+W335)</f>
        <v>0</v>
      </c>
      <c r="Y335" s="27">
        <f>IF(X335+11&lt;=$G335,X335+11,($G335-X335)+X335)</f>
        <v>0</v>
      </c>
      <c r="Z335" s="27">
        <f>IF(Y335+1&lt;=$G335,Y335+1,($G335-Y335)+Y335)</f>
        <v>0</v>
      </c>
      <c r="AA335" s="27">
        <f>IF(Z335+11&lt;=$G335,Z335+11,($G335-Z335)+Z335)</f>
        <v>0</v>
      </c>
      <c r="AB335" s="27">
        <f>IF(AA335+1&lt;=$G335,AA335+1,($G335-AA335)+AA335)</f>
        <v>0</v>
      </c>
      <c r="AC335" s="27">
        <f>IF(AB335+11&lt;=$G335,AB335+11,($G335-AB335)+AB335)</f>
        <v>0</v>
      </c>
      <c r="AD335" s="27">
        <f>IF(AC335+1&lt;=$G335,AC335+1,($G335-AC335)+AC335)</f>
        <v>0</v>
      </c>
      <c r="AE335" s="27">
        <f>IF(AD335+11&lt;=$G335,AD335+11,($G335-AD335)+AD335)</f>
        <v>0</v>
      </c>
      <c r="AF335" s="27">
        <f>IF(AE335+1&lt;=$G335,AE335+1,($G335-AE335)+AE335)</f>
        <v>0</v>
      </c>
      <c r="AG335" s="27">
        <f>IF(AF335+11&lt;=$G335,AF335+11,($G335-AF335)+AF335)</f>
        <v>0</v>
      </c>
      <c r="AH335" s="27">
        <f>IF(AG335+1&lt;=$G335,AG335+1,($G335-AG335)+AG335)</f>
        <v>0</v>
      </c>
      <c r="AI335" s="27">
        <f>IF(AH335+11&lt;=$G335,AH335+11,($G335-AH335)+AH335)</f>
        <v>0</v>
      </c>
      <c r="AJ335" s="27">
        <f>IF(AI335+1&lt;=$G335,AI335+1,($G335-AI335)+AI335)</f>
        <v>0</v>
      </c>
      <c r="AK335" s="27">
        <f>IF(AJ335+11&lt;=$G335,AJ335+11,($G335-AJ335)+AJ335)</f>
        <v>0</v>
      </c>
      <c r="AL335" s="27">
        <f>IF(AK335+1&lt;=$G335,AK335+1,($G335-AK335)+AK335)</f>
        <v>0</v>
      </c>
      <c r="AM335" s="27">
        <f>IF(AL335+11&lt;=$G335,AL335+11,($G335-AL335)+AL335)</f>
        <v>0</v>
      </c>
      <c r="AN335" s="27">
        <f>IF(AM335+1&lt;=$G335,AM335+1,($G335-AM335)+AM335)</f>
        <v>0</v>
      </c>
      <c r="AO335" s="27">
        <f>IF(AN335+11&lt;=$G335,AN335+11,($G335-AN335)+AN335)</f>
        <v>0</v>
      </c>
      <c r="AP335" s="27">
        <f>IF(AO335+1&lt;=$G335,AO335+1,($G335-AO335)+AO335)</f>
        <v>0</v>
      </c>
      <c r="AQ335" s="27">
        <f>IF(AP335+11&lt;=$G335,AP335+11,($G335-AP335)+AP335)</f>
        <v>0</v>
      </c>
      <c r="AR335" s="27">
        <f>IF(AQ335+1&lt;=$G335,AQ335+1,($G335-AQ335)+AQ335)</f>
        <v>0</v>
      </c>
      <c r="AS335" s="27">
        <f>IF(AR335+11&lt;=$G335,AR335+11,($G335-AR335)+AR335)</f>
        <v>0</v>
      </c>
      <c r="AT335" s="27">
        <f>IF(AS335+1&lt;=$G335,AS335+1,($G335-AS335)+AS335)</f>
        <v>0</v>
      </c>
      <c r="AU335" s="27">
        <f>IF(AT335+11&lt;=$G335,AT335+11,($G335-AT335)+AT335)</f>
        <v>0</v>
      </c>
      <c r="AV335" s="27">
        <f>IF(AU335+1&lt;=$G335,AU335+1,($G335-AU335)+AU335)</f>
        <v>0</v>
      </c>
      <c r="AW335" s="27">
        <f>IF(AV335+11&lt;=$G335,AV335+11,($G335-AV335)+AV335)</f>
        <v>0</v>
      </c>
      <c r="AX335" s="27">
        <f>IF(AW335+1&lt;=$G335,AW335+1,($G335-AW335)+AW335)</f>
        <v>0</v>
      </c>
      <c r="AY335" s="27">
        <f>IF(AX335+11&lt;=$G335,AX335+11,($G335-AX335)+AX335)</f>
        <v>0</v>
      </c>
      <c r="AZ335" s="27">
        <f>IF(AY335+1&lt;=$G335,AY335+1,($G335-AY335)+AY335)</f>
        <v>0</v>
      </c>
      <c r="BA335" s="27">
        <f>IF(AZ335+35&lt;=$G335,AZ335+35,($G335-AZ335)+AZ335)</f>
        <v>0</v>
      </c>
      <c r="BB335" s="27">
        <f>IF(BA335+1&lt;=$G335,BA335+1,($G335-BA335)+BA335)</f>
        <v>0</v>
      </c>
      <c r="BC335" s="27">
        <f>IF(BB335+59&lt;=$G335,BB335+59,($G335-BB335)+BB335)</f>
        <v>0</v>
      </c>
      <c r="BD335" s="61">
        <f>IF(BC335+1&lt;=$G335,BC335+1,($G335-BC335)+BC335)</f>
        <v>0</v>
      </c>
      <c r="BE335" s="27">
        <f>IF(BD335+239&lt;=$G335,BD335+239,($G335-BD335)+BD335)</f>
        <v>0</v>
      </c>
      <c r="BF335" s="27">
        <f>IF(BE335+1&lt;=$G335,BE335+1,($G335-BE335)+BE335)</f>
        <v>0</v>
      </c>
      <c r="BG335" s="27">
        <f>IF(BF335+11&lt;=$G335,BF335+11,($G335-BF335)+BF335)</f>
        <v>0</v>
      </c>
      <c r="FJ335" s="61"/>
    </row>
    <row r="336" spans="2:166" s="27" customFormat="1" ht="11.25" hidden="1" x14ac:dyDescent="0.2">
      <c r="B336" s="60"/>
      <c r="H336" s="27">
        <v>1</v>
      </c>
      <c r="I336" s="27">
        <f>+I335</f>
        <v>-65</v>
      </c>
      <c r="J336" s="27">
        <f>IF(I336=$G335,0,J335)</f>
        <v>-64</v>
      </c>
      <c r="K336" s="27">
        <f>+K335</f>
        <v>-53</v>
      </c>
      <c r="L336" s="27">
        <f>IF(K336=$G335,0,L335)</f>
        <v>-52</v>
      </c>
      <c r="M336" s="27">
        <f>+M335</f>
        <v>-41</v>
      </c>
      <c r="N336" s="27">
        <f>IF(M336=$G335,0,N335)</f>
        <v>-40</v>
      </c>
      <c r="O336" s="27">
        <f>+O335</f>
        <v>-29</v>
      </c>
      <c r="P336" s="27">
        <f>IF(O336=$G335,0,P335)</f>
        <v>-28</v>
      </c>
      <c r="Q336" s="27">
        <f>+Q335</f>
        <v>-17</v>
      </c>
      <c r="R336" s="27">
        <f>IF(Q336=$G335,0,R335)</f>
        <v>-16</v>
      </c>
      <c r="S336" s="27">
        <f>+S335</f>
        <v>-5</v>
      </c>
      <c r="T336" s="27">
        <f>IF(S336=$G335,0,T335)</f>
        <v>-4</v>
      </c>
      <c r="U336" s="27">
        <f>+U335</f>
        <v>0</v>
      </c>
      <c r="V336" s="27">
        <f>IF(U336=$G335,0,V335)</f>
        <v>0</v>
      </c>
      <c r="W336" s="27">
        <f>+W335</f>
        <v>0</v>
      </c>
      <c r="X336" s="27">
        <f>IF(W336=$G335,0,X335)</f>
        <v>0</v>
      </c>
      <c r="Y336" s="27">
        <f>+Y335</f>
        <v>0</v>
      </c>
      <c r="Z336" s="27">
        <f>IF(Y336=$G335,0,Z335)</f>
        <v>0</v>
      </c>
      <c r="AA336" s="27">
        <f>+AA335</f>
        <v>0</v>
      </c>
      <c r="AB336" s="27">
        <f>IF(AA336=$G335,0,AB335)</f>
        <v>0</v>
      </c>
      <c r="AC336" s="27">
        <f>+AC335</f>
        <v>0</v>
      </c>
      <c r="AD336" s="27">
        <f>IF(AC336=$G335,0,AD335)</f>
        <v>0</v>
      </c>
      <c r="AE336" s="27">
        <f>+AE335</f>
        <v>0</v>
      </c>
      <c r="AF336" s="27">
        <f>IF(AE336=$G335,0,AF335)</f>
        <v>0</v>
      </c>
      <c r="AG336" s="27">
        <f>+AG335</f>
        <v>0</v>
      </c>
      <c r="AH336" s="27">
        <f>IF(AG336=$G335,0,AH335)</f>
        <v>0</v>
      </c>
      <c r="AI336" s="27">
        <f>+AI335</f>
        <v>0</v>
      </c>
      <c r="AJ336" s="27">
        <f>IF(AI336=$G335,0,AJ335)</f>
        <v>0</v>
      </c>
      <c r="AK336" s="27">
        <f>+AK335</f>
        <v>0</v>
      </c>
      <c r="AL336" s="27">
        <f>IF(AK336=$G335,0,AL335)</f>
        <v>0</v>
      </c>
      <c r="AM336" s="27">
        <f>+AM335</f>
        <v>0</v>
      </c>
      <c r="AN336" s="27">
        <f>IF(AM336=$G335,0,AN335)</f>
        <v>0</v>
      </c>
      <c r="AO336" s="27">
        <f>+AO335</f>
        <v>0</v>
      </c>
      <c r="AP336" s="27">
        <f>IF(AO336=$G335,0,AP335)</f>
        <v>0</v>
      </c>
      <c r="AQ336" s="27">
        <f>+AQ335</f>
        <v>0</v>
      </c>
      <c r="AR336" s="27">
        <f>IF(AQ336=$G335,0,AR335)</f>
        <v>0</v>
      </c>
      <c r="AS336" s="27">
        <f>+AS335</f>
        <v>0</v>
      </c>
      <c r="AT336" s="27">
        <f>IF(AS336=$G335,0,AT335)</f>
        <v>0</v>
      </c>
      <c r="AU336" s="27">
        <f>+AU335</f>
        <v>0</v>
      </c>
      <c r="AV336" s="27">
        <f>IF(AU336=$G335,0,AV335)</f>
        <v>0</v>
      </c>
      <c r="AW336" s="27">
        <f>+AW335</f>
        <v>0</v>
      </c>
      <c r="AX336" s="27">
        <f>IF(AW336=$G335,0,AX335)</f>
        <v>0</v>
      </c>
      <c r="AY336" s="27">
        <f>+AY335</f>
        <v>0</v>
      </c>
      <c r="AZ336" s="27">
        <f>IF(AY336=$G335,0,AZ335)</f>
        <v>0</v>
      </c>
      <c r="BA336" s="27">
        <f>+BA335</f>
        <v>0</v>
      </c>
      <c r="BB336" s="27">
        <f>IF(BA336=$G335,0,BB335)</f>
        <v>0</v>
      </c>
      <c r="BC336" s="27">
        <f>+BC335</f>
        <v>0</v>
      </c>
      <c r="BD336" s="61">
        <f>IF(BC336=$G335,0,BD335)</f>
        <v>0</v>
      </c>
      <c r="BE336" s="27">
        <f>+BE335</f>
        <v>0</v>
      </c>
      <c r="BF336" s="27">
        <f>IF(BE336=$G335,0,BF335)</f>
        <v>0</v>
      </c>
      <c r="BG336" s="27">
        <f>+BG335</f>
        <v>0</v>
      </c>
      <c r="FJ336" s="61"/>
    </row>
    <row r="337" spans="2:166" s="27" customFormat="1" ht="11.25" hidden="1" x14ac:dyDescent="0.2">
      <c r="B337" s="60"/>
      <c r="F337" s="27">
        <f>SUMIF(H337:BG337,"&gt;0")</f>
        <v>0</v>
      </c>
      <c r="G337" s="27" t="s">
        <v>632</v>
      </c>
      <c r="I337" s="27" t="e">
        <f>-CUMPRINC($F335/12,$E335*12,$D335,H336,I336,0)</f>
        <v>#NUM!</v>
      </c>
      <c r="K337" s="27" t="e">
        <f>-CUMPRINC($F335/12,$E335*12,$D335,J336,K336,0)</f>
        <v>#NUM!</v>
      </c>
      <c r="M337" s="27" t="e">
        <f>-CUMPRINC($F335/12,$E335*12,$D335,L336,M336,0)</f>
        <v>#NUM!</v>
      </c>
      <c r="O337" s="27" t="e">
        <f>-CUMPRINC($F335/12,$E335*12,$D335,N336,O336,0)</f>
        <v>#NUM!</v>
      </c>
      <c r="Q337" s="27" t="e">
        <f>-CUMPRINC($F335/12,$E335*12,$D335,P336,Q336,0)</f>
        <v>#NUM!</v>
      </c>
      <c r="S337" s="27" t="e">
        <f>-CUMPRINC($F335/12,$E335*12,$D335,R336,S336,0)</f>
        <v>#NUM!</v>
      </c>
      <c r="U337" s="27" t="e">
        <f>-CUMPRINC($F335/12,$E335*12,$D335,T336,U336,0)</f>
        <v>#NUM!</v>
      </c>
      <c r="W337" s="27" t="e">
        <f>-CUMPRINC($F335/12,$E335*12,$D335,V336,W336,0)</f>
        <v>#NUM!</v>
      </c>
      <c r="Y337" s="27" t="e">
        <f>-CUMPRINC($F335/12,$E335*12,$D335,X336,Y336,0)</f>
        <v>#NUM!</v>
      </c>
      <c r="AA337" s="27" t="e">
        <f>-CUMPRINC($F335/12,$E335*12,$D335,Z336,AA336,0)</f>
        <v>#NUM!</v>
      </c>
      <c r="AC337" s="27" t="e">
        <f>-CUMPRINC($F335/12,$E335*12,$D335,AB336,AC336,0)</f>
        <v>#NUM!</v>
      </c>
      <c r="AE337" s="27" t="e">
        <f>-CUMPRINC($F335/12,$E335*12,$D335,AD336,AE336,0)</f>
        <v>#NUM!</v>
      </c>
      <c r="AG337" s="27" t="e">
        <f>-CUMPRINC($F335/12,$E335*12,$D335,AF336,AG336,0)</f>
        <v>#NUM!</v>
      </c>
      <c r="AI337" s="27" t="e">
        <f>-CUMPRINC($F335/12,$E335*12,$D335,AH336,AI336,0)</f>
        <v>#NUM!</v>
      </c>
      <c r="AK337" s="27" t="e">
        <f>-CUMPRINC($F335/12,$E335*12,$D335,AJ336,AK336,0)</f>
        <v>#NUM!</v>
      </c>
      <c r="AM337" s="27" t="e">
        <f>-CUMPRINC($F335/12,$E335*12,$D335,AL336,AM336,0)</f>
        <v>#NUM!</v>
      </c>
      <c r="AO337" s="27" t="e">
        <f>-CUMPRINC($F335/12,$E335*12,$D335,AN336,AO336,0)</f>
        <v>#NUM!</v>
      </c>
      <c r="AQ337" s="27" t="e">
        <f>-CUMPRINC($F335/12,$E335*12,$D335,AP336,AQ336,0)</f>
        <v>#NUM!</v>
      </c>
      <c r="AS337" s="27" t="e">
        <f>-CUMPRINC($F335/12,$E335*12,$D335,AR336,AS336,0)</f>
        <v>#NUM!</v>
      </c>
      <c r="AU337" s="27" t="e">
        <f>-CUMPRINC($F335/12,$E335*12,$D335,AT336,AU336,0)</f>
        <v>#NUM!</v>
      </c>
      <c r="AW337" s="27" t="e">
        <f>-CUMPRINC($F335/12,$E335*12,$D335,AV336,AW336,0)</f>
        <v>#NUM!</v>
      </c>
      <c r="AY337" s="27" t="e">
        <f>-CUMPRINC($F335/12,$E335*12,$D335,AX336,AY336,0)</f>
        <v>#NUM!</v>
      </c>
      <c r="BA337" s="27" t="e">
        <f>-CUMPRINC($F335/12,$E335*12,$D335,AZ336,BA336,0)</f>
        <v>#NUM!</v>
      </c>
      <c r="BC337" s="27" t="e">
        <f>-CUMPRINC($F335/12,$E335*12,$D335,BB336,BC336,0)</f>
        <v>#NUM!</v>
      </c>
      <c r="BD337" s="61"/>
      <c r="BE337" s="27" t="e">
        <f>-CUMPRINC($F335/12,$E335*12,$D335,BD336,BE336,0)</f>
        <v>#NUM!</v>
      </c>
      <c r="BG337" s="27" t="e">
        <f>-CUMPRINC($F335/12,$E335*12,$D335,BF336,BG336,0)</f>
        <v>#NUM!</v>
      </c>
      <c r="BH337" s="27" t="s">
        <v>783</v>
      </c>
      <c r="BJ337" s="27" t="e">
        <f>-CUMIPMT($F335/12,$E335*12,$D335,H336,I336,0)</f>
        <v>#NUM!</v>
      </c>
      <c r="BL337" s="27" t="e">
        <f>-CUMIPMT($F335/12,$E335*12,$D335,J336,K336,0)</f>
        <v>#NUM!</v>
      </c>
      <c r="BN337" s="27" t="e">
        <f>-CUMIPMT($F335/12,$E335*12,$D335,L336,M336,0)</f>
        <v>#NUM!</v>
      </c>
      <c r="BP337" s="27" t="e">
        <f>-CUMIPMT($F335/12,$E335*12,$D335,N336,O336,0)</f>
        <v>#NUM!</v>
      </c>
      <c r="BR337" s="27" t="e">
        <f>-CUMIPMT($F335/12,$E335*12,$D335,P336,Q336,0)</f>
        <v>#NUM!</v>
      </c>
      <c r="BT337" s="27" t="e">
        <f>-CUMIPMT($F335/12,$E335*12,$D335,R336,S336,0)</f>
        <v>#NUM!</v>
      </c>
      <c r="BV337" s="27" t="e">
        <f>-CUMIPMT($F335/12,$E335*12,$D335,T336,U336,0)</f>
        <v>#NUM!</v>
      </c>
      <c r="BX337" s="27" t="e">
        <f>-CUMIPMT($F335/12,$E335*12,$D335,V336,W336,0)</f>
        <v>#NUM!</v>
      </c>
      <c r="BZ337" s="27" t="e">
        <f>-CUMIPMT($F335/12,$E335*12,$D335,X336,Y336,0)</f>
        <v>#NUM!</v>
      </c>
      <c r="CB337" s="27" t="e">
        <f>-CUMIPMT($F335/12,$E335*12,$D335,Z336,AA336,0)</f>
        <v>#NUM!</v>
      </c>
      <c r="CD337" s="27" t="e">
        <f>-CUMIPMT($F335/12,$E335*12,$D335,AB336,AC336,0)</f>
        <v>#NUM!</v>
      </c>
      <c r="CF337" s="27" t="e">
        <f>-CUMIPMT($F335/12,$E335*12,$D335,AD336,AE336,0)</f>
        <v>#NUM!</v>
      </c>
      <c r="CH337" s="27" t="e">
        <f>-CUMIPMT($F335/12,$E335*12,$D335,AF336,AG336,0)</f>
        <v>#NUM!</v>
      </c>
      <c r="CJ337" s="27" t="e">
        <f>-CUMIPMT($F335/12,$E335*12,$D335,AH336,AI336,0)</f>
        <v>#NUM!</v>
      </c>
      <c r="CL337" s="27" t="e">
        <f>-CUMIPMT($F335/12,$E335*12,$D335,AJ336,AK336,0)</f>
        <v>#NUM!</v>
      </c>
      <c r="CN337" s="27" t="e">
        <f>-CUMIPMT($F335/12,$E335*12,$D335,AL336,AM336,0)</f>
        <v>#NUM!</v>
      </c>
      <c r="CP337" s="27" t="e">
        <f>-CUMIPMT($F335/12,$E335*12,$D335,AN336,AO336,0)</f>
        <v>#NUM!</v>
      </c>
      <c r="CR337" s="27" t="e">
        <f>-CUMIPMT($F335/12,$E335*12,$D335,AP336,AQ336,0)</f>
        <v>#NUM!</v>
      </c>
      <c r="CT337" s="27" t="e">
        <f>-CUMIPMT($F335/12,$E335*12,$D335,AR336,AS336,0)</f>
        <v>#NUM!</v>
      </c>
      <c r="CV337" s="27" t="e">
        <f>-CUMIPMT($F335/12,$E335*12,$D335,AT336,AU336,0)</f>
        <v>#NUM!</v>
      </c>
      <c r="CX337" s="27" t="e">
        <f>-CUMIPMT($F335/12,$E335*12,$D335,AV336,AW336,0)</f>
        <v>#NUM!</v>
      </c>
      <c r="CZ337" s="27" t="e">
        <f>-CUMIPMT($F335/12,$E335*12,$D335,AX336,AY336,0)</f>
        <v>#NUM!</v>
      </c>
      <c r="DB337" s="27" t="e">
        <f>-CUMIPMT($F335/12,$E335*12,$D335,AZ336,BA336,0)</f>
        <v>#NUM!</v>
      </c>
      <c r="DD337" s="27" t="e">
        <f>-CUMIPMT($F335/12,$E335*12,$D335,BB336,BC336,0)</f>
        <v>#NUM!</v>
      </c>
      <c r="DF337" s="27" t="e">
        <f>-CUMIPMT($F335/12,$E335*12,$D335,BD336,BE336,0)</f>
        <v>#NUM!</v>
      </c>
      <c r="DH337" s="27" t="e">
        <f>-CUMIPMT($F335/12,$E335*12,$D335,BF336,BG336,0)</f>
        <v>#NUM!</v>
      </c>
      <c r="DI337" s="27" t="s">
        <v>784</v>
      </c>
      <c r="DJ337" s="27" t="s">
        <v>785</v>
      </c>
      <c r="DK337" s="27">
        <f>+F337</f>
        <v>0</v>
      </c>
      <c r="DL337" s="27" t="e">
        <f>+DK337-I337</f>
        <v>#NUM!</v>
      </c>
      <c r="DN337" s="27" t="e">
        <f>+DL337-K337</f>
        <v>#NUM!</v>
      </c>
      <c r="DP337" s="27" t="e">
        <f>+DN337-M337</f>
        <v>#NUM!</v>
      </c>
      <c r="DR337" s="27" t="e">
        <f>+DP337-O337</f>
        <v>#NUM!</v>
      </c>
      <c r="DT337" s="27" t="e">
        <f>+DR337-Q337</f>
        <v>#NUM!</v>
      </c>
      <c r="DV337" s="27" t="e">
        <f>+DT337-S337</f>
        <v>#NUM!</v>
      </c>
      <c r="DX337" s="27" t="e">
        <f>+DV337-U337</f>
        <v>#NUM!</v>
      </c>
      <c r="DZ337" s="27" t="e">
        <f>+DX337-W337</f>
        <v>#NUM!</v>
      </c>
      <c r="EB337" s="27" t="e">
        <f>+DZ337-Y337</f>
        <v>#NUM!</v>
      </c>
      <c r="ED337" s="27" t="e">
        <f>+EB337-AA337</f>
        <v>#NUM!</v>
      </c>
      <c r="EF337" s="27" t="e">
        <f>+ED337-AC337</f>
        <v>#NUM!</v>
      </c>
      <c r="EH337" s="27" t="e">
        <f>+EF337-AE337</f>
        <v>#NUM!</v>
      </c>
      <c r="EJ337" s="27" t="e">
        <f>+EH337-AG337</f>
        <v>#NUM!</v>
      </c>
      <c r="EL337" s="27" t="e">
        <f>+EJ337-AI337</f>
        <v>#NUM!</v>
      </c>
      <c r="EN337" s="27" t="e">
        <f>+EL337-AK337</f>
        <v>#NUM!</v>
      </c>
      <c r="EP337" s="27" t="e">
        <f>+EN337-AM337</f>
        <v>#NUM!</v>
      </c>
      <c r="ER337" s="27" t="e">
        <f>+EP337-AO337</f>
        <v>#NUM!</v>
      </c>
      <c r="ET337" s="27" t="e">
        <f>+ER337-AQ337</f>
        <v>#NUM!</v>
      </c>
      <c r="EV337" s="27" t="e">
        <f>+ET337-AS337</f>
        <v>#NUM!</v>
      </c>
      <c r="EX337" s="27" t="e">
        <f>+EV337-AU337</f>
        <v>#NUM!</v>
      </c>
      <c r="EZ337" s="27" t="e">
        <f>+EX337-AW337</f>
        <v>#NUM!</v>
      </c>
      <c r="FB337" s="27" t="e">
        <f>+EZ337-AY337</f>
        <v>#NUM!</v>
      </c>
      <c r="FD337" s="27" t="e">
        <f>+FB337-BA337</f>
        <v>#NUM!</v>
      </c>
      <c r="FF337" s="27" t="e">
        <f>+FD337-BC337</f>
        <v>#NUM!</v>
      </c>
      <c r="FH337" s="27" t="e">
        <f>+FF337-BE337</f>
        <v>#NUM!</v>
      </c>
      <c r="FJ337" s="61" t="e">
        <f>+FH337-BG337</f>
        <v>#NUM!</v>
      </c>
    </row>
    <row r="338" spans="2:166" s="27" customFormat="1" ht="11.25" hidden="1" x14ac:dyDescent="0.2">
      <c r="B338" s="60"/>
      <c r="E338" s="27">
        <f>+F337+F338</f>
        <v>0</v>
      </c>
      <c r="F338" s="27">
        <f>SUMIF(BI337:DH337,"&gt;0")</f>
        <v>0</v>
      </c>
      <c r="I338" s="27">
        <f>IF(ISERROR(I337)=FALSE,I337,0)</f>
        <v>0</v>
      </c>
      <c r="K338" s="27">
        <f>IF(ISERROR(K337)=FALSE,K337,0)</f>
        <v>0</v>
      </c>
      <c r="M338" s="27">
        <f>IF(ISERROR(M337)=FALSE,M337,0)</f>
        <v>0</v>
      </c>
      <c r="O338" s="27">
        <f>IF(ISERROR(O337)=FALSE,O337,0)</f>
        <v>0</v>
      </c>
      <c r="Q338" s="27">
        <f>IF(ISERROR(Q337)=FALSE,Q337,0)</f>
        <v>0</v>
      </c>
      <c r="S338" s="27">
        <f>IF(ISERROR(S337)=FALSE,S337,0)</f>
        <v>0</v>
      </c>
      <c r="U338" s="27">
        <f>IF(ISERROR(U337)=FALSE,U337,0)</f>
        <v>0</v>
      </c>
      <c r="W338" s="27">
        <f>IF(ISERROR(W337)=FALSE,W337,0)</f>
        <v>0</v>
      </c>
      <c r="Y338" s="27">
        <f>IF(ISERROR(Y337)=FALSE,Y337,0)</f>
        <v>0</v>
      </c>
      <c r="AA338" s="27">
        <f>IF(ISERROR(AA337)=FALSE,AA337,0)</f>
        <v>0</v>
      </c>
      <c r="AC338" s="27">
        <f>IF(ISERROR(AC337)=FALSE,AC337,0)</f>
        <v>0</v>
      </c>
      <c r="AE338" s="27">
        <f>IF(ISERROR(AE337)=FALSE,AE337,0)</f>
        <v>0</v>
      </c>
      <c r="AG338" s="27">
        <f>IF(ISERROR(AG337)=FALSE,AG337,0)</f>
        <v>0</v>
      </c>
      <c r="AI338" s="27">
        <f>IF(ISERROR(AI337)=FALSE,AI337,0)</f>
        <v>0</v>
      </c>
      <c r="AK338" s="27">
        <f>IF(ISERROR(AK337)=FALSE,AK337,0)</f>
        <v>0</v>
      </c>
      <c r="AM338" s="27">
        <f>IF(ISERROR(AM337)=FALSE,AM337,0)</f>
        <v>0</v>
      </c>
      <c r="AO338" s="27">
        <f>IF(ISERROR(AO337)=FALSE,AO337,0)</f>
        <v>0</v>
      </c>
      <c r="AQ338" s="27">
        <f>IF(ISERROR(AQ337)=FALSE,AQ337,0)</f>
        <v>0</v>
      </c>
      <c r="AS338" s="27">
        <f>IF(ISERROR(AS337)=FALSE,AS337,0)</f>
        <v>0</v>
      </c>
      <c r="AU338" s="27">
        <f>IF(ISERROR(AU337)=FALSE,AU337,0)</f>
        <v>0</v>
      </c>
      <c r="AW338" s="27">
        <f>IF(ISERROR(AW337)=FALSE,AW337,0)</f>
        <v>0</v>
      </c>
      <c r="AY338" s="27">
        <f>IF(ISERROR(AY337)=FALSE,AY337,0)</f>
        <v>0</v>
      </c>
      <c r="BA338" s="27">
        <f>IF(ISERROR(BA337)=FALSE,BA337,0)</f>
        <v>0</v>
      </c>
      <c r="BC338" s="27">
        <f>IF(ISERROR(BC337)=FALSE,BC337,0)</f>
        <v>0</v>
      </c>
      <c r="BD338" s="61"/>
      <c r="BE338" s="27">
        <f>IF(ISERROR(BE337)=FALSE,BE337,0)</f>
        <v>0</v>
      </c>
      <c r="BG338" s="27">
        <f>IF(ISERROR(BG337)=FALSE,BG337,0)</f>
        <v>0</v>
      </c>
      <c r="FJ338" s="61"/>
    </row>
    <row r="339" spans="2:166" s="27" customFormat="1" ht="11.25" hidden="1" x14ac:dyDescent="0.2">
      <c r="B339" s="60"/>
      <c r="D339" s="27" t="s">
        <v>630</v>
      </c>
      <c r="E339" s="27">
        <f>IF(E335=0,0,E338/(E335*12))</f>
        <v>0</v>
      </c>
      <c r="BD339" s="61"/>
      <c r="FJ339" s="61"/>
    </row>
    <row r="340" spans="2:166" s="27" customFormat="1" ht="11.25" hidden="1" x14ac:dyDescent="0.2">
      <c r="B340" s="60"/>
      <c r="C340" s="27" t="str">
        <f>C148</f>
        <v>Software standard</v>
      </c>
      <c r="D340" s="27">
        <f>D148</f>
        <v>0</v>
      </c>
      <c r="E340" s="27">
        <f>E148</f>
        <v>0</v>
      </c>
      <c r="F340" s="27">
        <f>F148</f>
        <v>0</v>
      </c>
      <c r="G340" s="27">
        <f>+$E340*12</f>
        <v>0</v>
      </c>
      <c r="H340" s="27">
        <f>SUMIF($W148:$AH148,$D148,$W$108:$AH$108)</f>
        <v>78</v>
      </c>
      <c r="I340" s="27">
        <f>13-H340</f>
        <v>-65</v>
      </c>
      <c r="J340" s="27">
        <f>IF(I340+1&lt;=$G340,I340+1,($G340-I340)+I340)</f>
        <v>-64</v>
      </c>
      <c r="K340" s="27">
        <f>IF(J340+11&lt;=$G340,J340+11,($G340-J340)+J340)</f>
        <v>-53</v>
      </c>
      <c r="L340" s="27">
        <f>IF(K340+1&lt;=$G340,K340+1,($G340-K340)+K340)</f>
        <v>-52</v>
      </c>
      <c r="M340" s="27">
        <f>IF(L340+11&lt;=$G340,L340+11,($G340-L340)+L340)</f>
        <v>-41</v>
      </c>
      <c r="N340" s="27">
        <f>IF(M340+1&lt;=$G340,M340+1,($G340-M340)+M340)</f>
        <v>-40</v>
      </c>
      <c r="O340" s="27">
        <f>IF(N340+11&lt;=$G340,N340+11,($G340-N340)+N340)</f>
        <v>-29</v>
      </c>
      <c r="P340" s="27">
        <f>IF(O340+1&lt;=$G340,O340+1,($G340-O340)+O340)</f>
        <v>-28</v>
      </c>
      <c r="Q340" s="27">
        <f>IF(P340+11&lt;=$G340,P340+11,($G340-P340)+P340)</f>
        <v>-17</v>
      </c>
      <c r="R340" s="27">
        <f>IF(Q340+1&lt;=$G340,Q340+1,($G340-Q340)+Q340)</f>
        <v>-16</v>
      </c>
      <c r="S340" s="27">
        <f>IF(R340+11&lt;=$G340,R340+11,($G340-R340)+R340)</f>
        <v>-5</v>
      </c>
      <c r="T340" s="27">
        <f>IF(S340+1&lt;=$G340,S340+1,($G340-S340)+S340)</f>
        <v>-4</v>
      </c>
      <c r="U340" s="27">
        <f>IF(T340+11&lt;=$G340,T340+11,($G340-T340)+T340)</f>
        <v>0</v>
      </c>
      <c r="V340" s="27">
        <f>IF(U340+1&lt;=$G340,U340+1,($G340-U340)+U340)</f>
        <v>0</v>
      </c>
      <c r="W340" s="27">
        <f>IF(V340+11&lt;=$G340,V340+11,($G340-V340)+V340)</f>
        <v>0</v>
      </c>
      <c r="X340" s="27">
        <f>IF(W340+1&lt;=$G340,W340+1,($G340-W340)+W340)</f>
        <v>0</v>
      </c>
      <c r="Y340" s="27">
        <f>IF(X340+11&lt;=$G340,X340+11,($G340-X340)+X340)</f>
        <v>0</v>
      </c>
      <c r="Z340" s="27">
        <f>IF(Y340+1&lt;=$G340,Y340+1,($G340-Y340)+Y340)</f>
        <v>0</v>
      </c>
      <c r="AA340" s="27">
        <f>IF(Z340+11&lt;=$G340,Z340+11,($G340-Z340)+Z340)</f>
        <v>0</v>
      </c>
      <c r="AB340" s="27">
        <f>IF(AA340+1&lt;=$G340,AA340+1,($G340-AA340)+AA340)</f>
        <v>0</v>
      </c>
      <c r="AC340" s="27">
        <f>IF(AB340+11&lt;=$G340,AB340+11,($G340-AB340)+AB340)</f>
        <v>0</v>
      </c>
      <c r="AD340" s="27">
        <f>IF(AC340+1&lt;=$G340,AC340+1,($G340-AC340)+AC340)</f>
        <v>0</v>
      </c>
      <c r="AE340" s="27">
        <f>IF(AD340+11&lt;=$G340,AD340+11,($G340-AD340)+AD340)</f>
        <v>0</v>
      </c>
      <c r="AF340" s="27">
        <f>IF(AE340+1&lt;=$G340,AE340+1,($G340-AE340)+AE340)</f>
        <v>0</v>
      </c>
      <c r="AG340" s="27">
        <f>IF(AF340+11&lt;=$G340,AF340+11,($G340-AF340)+AF340)</f>
        <v>0</v>
      </c>
      <c r="AH340" s="27">
        <f>IF(AG340+1&lt;=$G340,AG340+1,($G340-AG340)+AG340)</f>
        <v>0</v>
      </c>
      <c r="AI340" s="27">
        <f>IF(AH340+11&lt;=$G340,AH340+11,($G340-AH340)+AH340)</f>
        <v>0</v>
      </c>
      <c r="AJ340" s="27">
        <f>IF(AI340+1&lt;=$G340,AI340+1,($G340-AI340)+AI340)</f>
        <v>0</v>
      </c>
      <c r="AK340" s="27">
        <f>IF(AJ340+11&lt;=$G340,AJ340+11,($G340-AJ340)+AJ340)</f>
        <v>0</v>
      </c>
      <c r="AL340" s="27">
        <f>IF(AK340+1&lt;=$G340,AK340+1,($G340-AK340)+AK340)</f>
        <v>0</v>
      </c>
      <c r="AM340" s="27">
        <f>IF(AL340+11&lt;=$G340,AL340+11,($G340-AL340)+AL340)</f>
        <v>0</v>
      </c>
      <c r="AN340" s="27">
        <f>IF(AM340+1&lt;=$G340,AM340+1,($G340-AM340)+AM340)</f>
        <v>0</v>
      </c>
      <c r="AO340" s="27">
        <f>IF(AN340+11&lt;=$G340,AN340+11,($G340-AN340)+AN340)</f>
        <v>0</v>
      </c>
      <c r="AP340" s="27">
        <f>IF(AO340+1&lt;=$G340,AO340+1,($G340-AO340)+AO340)</f>
        <v>0</v>
      </c>
      <c r="AQ340" s="27">
        <f>IF(AP340+11&lt;=$G340,AP340+11,($G340-AP340)+AP340)</f>
        <v>0</v>
      </c>
      <c r="AR340" s="27">
        <f>IF(AQ340+1&lt;=$G340,AQ340+1,($G340-AQ340)+AQ340)</f>
        <v>0</v>
      </c>
      <c r="AS340" s="27">
        <f>IF(AR340+11&lt;=$G340,AR340+11,($G340-AR340)+AR340)</f>
        <v>0</v>
      </c>
      <c r="AT340" s="27">
        <f>IF(AS340+1&lt;=$G340,AS340+1,($G340-AS340)+AS340)</f>
        <v>0</v>
      </c>
      <c r="AU340" s="27">
        <f>IF(AT340+11&lt;=$G340,AT340+11,($G340-AT340)+AT340)</f>
        <v>0</v>
      </c>
      <c r="AV340" s="27">
        <f>IF(AU340+1&lt;=$G340,AU340+1,($G340-AU340)+AU340)</f>
        <v>0</v>
      </c>
      <c r="AW340" s="27">
        <f>IF(AV340+11&lt;=$G340,AV340+11,($G340-AV340)+AV340)</f>
        <v>0</v>
      </c>
      <c r="AX340" s="27">
        <f>IF(AW340+1&lt;=$G340,AW340+1,($G340-AW340)+AW340)</f>
        <v>0</v>
      </c>
      <c r="AY340" s="27">
        <f>IF(AX340+11&lt;=$G340,AX340+11,($G340-AX340)+AX340)</f>
        <v>0</v>
      </c>
      <c r="AZ340" s="27">
        <f>IF(AY340+1&lt;=$G340,AY340+1,($G340-AY340)+AY340)</f>
        <v>0</v>
      </c>
      <c r="BA340" s="27">
        <f>IF(AZ340+35&lt;=$G340,AZ340+35,($G340-AZ340)+AZ340)</f>
        <v>0</v>
      </c>
      <c r="BB340" s="27">
        <f>IF(BA340+1&lt;=$G340,BA340+1,($G340-BA340)+BA340)</f>
        <v>0</v>
      </c>
      <c r="BC340" s="27">
        <f>IF(BB340+59&lt;=$G340,BB340+59,($G340-BB340)+BB340)</f>
        <v>0</v>
      </c>
      <c r="BD340" s="61">
        <f>IF(BC340+1&lt;=$G340,BC340+1,($G340-BC340)+BC340)</f>
        <v>0</v>
      </c>
      <c r="BE340" s="27">
        <f>IF(BD340+239&lt;=$G340,BD340+239,($G340-BD340)+BD340)</f>
        <v>0</v>
      </c>
      <c r="BF340" s="27">
        <f>IF(BE340+1&lt;=$G340,BE340+1,($G340-BE340)+BE340)</f>
        <v>0</v>
      </c>
      <c r="BG340" s="27">
        <f>IF(BF340+11&lt;=$G340,BF340+11,($G340-BF340)+BF340)</f>
        <v>0</v>
      </c>
      <c r="FJ340" s="61"/>
    </row>
    <row r="341" spans="2:166" s="27" customFormat="1" ht="11.25" hidden="1" x14ac:dyDescent="0.2">
      <c r="B341" s="60"/>
      <c r="H341" s="27">
        <v>1</v>
      </c>
      <c r="I341" s="27">
        <f>+I340</f>
        <v>-65</v>
      </c>
      <c r="J341" s="27">
        <f>IF(I341=$G340,0,J340)</f>
        <v>-64</v>
      </c>
      <c r="K341" s="27">
        <f>+K340</f>
        <v>-53</v>
      </c>
      <c r="L341" s="27">
        <f>IF(K341=$G340,0,L340)</f>
        <v>-52</v>
      </c>
      <c r="M341" s="27">
        <f>+M340</f>
        <v>-41</v>
      </c>
      <c r="N341" s="27">
        <f>IF(M341=$G340,0,N340)</f>
        <v>-40</v>
      </c>
      <c r="O341" s="27">
        <f>+O340</f>
        <v>-29</v>
      </c>
      <c r="P341" s="27">
        <f>IF(O341=$G340,0,P340)</f>
        <v>-28</v>
      </c>
      <c r="Q341" s="27">
        <f>+Q340</f>
        <v>-17</v>
      </c>
      <c r="R341" s="27">
        <f>IF(Q341=$G340,0,R340)</f>
        <v>-16</v>
      </c>
      <c r="S341" s="27">
        <f>+S340</f>
        <v>-5</v>
      </c>
      <c r="T341" s="27">
        <f>IF(S341=$G340,0,T340)</f>
        <v>-4</v>
      </c>
      <c r="U341" s="27">
        <f>+U340</f>
        <v>0</v>
      </c>
      <c r="V341" s="27">
        <f>IF(U341=$G340,0,V340)</f>
        <v>0</v>
      </c>
      <c r="W341" s="27">
        <f>+W340</f>
        <v>0</v>
      </c>
      <c r="X341" s="27">
        <f>IF(W341=$G340,0,X340)</f>
        <v>0</v>
      </c>
      <c r="Y341" s="27">
        <f>+Y340</f>
        <v>0</v>
      </c>
      <c r="Z341" s="27">
        <f>IF(Y341=$G340,0,Z340)</f>
        <v>0</v>
      </c>
      <c r="AA341" s="27">
        <f>+AA340</f>
        <v>0</v>
      </c>
      <c r="AB341" s="27">
        <f>IF(AA341=$G340,0,AB340)</f>
        <v>0</v>
      </c>
      <c r="AC341" s="27">
        <f>+AC340</f>
        <v>0</v>
      </c>
      <c r="AD341" s="27">
        <f>IF(AC341=$G340,0,AD340)</f>
        <v>0</v>
      </c>
      <c r="AE341" s="27">
        <f>+AE340</f>
        <v>0</v>
      </c>
      <c r="AF341" s="27">
        <f>IF(AE341=$G340,0,AF340)</f>
        <v>0</v>
      </c>
      <c r="AG341" s="27">
        <f>+AG340</f>
        <v>0</v>
      </c>
      <c r="AH341" s="27">
        <f>IF(AG341=$G340,0,AH340)</f>
        <v>0</v>
      </c>
      <c r="AI341" s="27">
        <f>+AI340</f>
        <v>0</v>
      </c>
      <c r="AJ341" s="27">
        <f>IF(AI341=$G340,0,AJ340)</f>
        <v>0</v>
      </c>
      <c r="AK341" s="27">
        <f>+AK340</f>
        <v>0</v>
      </c>
      <c r="AL341" s="27">
        <f>IF(AK341=$G340,0,AL340)</f>
        <v>0</v>
      </c>
      <c r="AM341" s="27">
        <f>+AM340</f>
        <v>0</v>
      </c>
      <c r="AN341" s="27">
        <f>IF(AM341=$G340,0,AN340)</f>
        <v>0</v>
      </c>
      <c r="AO341" s="27">
        <f>+AO340</f>
        <v>0</v>
      </c>
      <c r="AP341" s="27">
        <f>IF(AO341=$G340,0,AP340)</f>
        <v>0</v>
      </c>
      <c r="AQ341" s="27">
        <f>+AQ340</f>
        <v>0</v>
      </c>
      <c r="AR341" s="27">
        <f>IF(AQ341=$G340,0,AR340)</f>
        <v>0</v>
      </c>
      <c r="AS341" s="27">
        <f>+AS340</f>
        <v>0</v>
      </c>
      <c r="AT341" s="27">
        <f>IF(AS341=$G340,0,AT340)</f>
        <v>0</v>
      </c>
      <c r="AU341" s="27">
        <f>+AU340</f>
        <v>0</v>
      </c>
      <c r="AV341" s="27">
        <f>IF(AU341=$G340,0,AV340)</f>
        <v>0</v>
      </c>
      <c r="AW341" s="27">
        <f>+AW340</f>
        <v>0</v>
      </c>
      <c r="AX341" s="27">
        <f>IF(AW341=$G340,0,AX340)</f>
        <v>0</v>
      </c>
      <c r="AY341" s="27">
        <f>+AY340</f>
        <v>0</v>
      </c>
      <c r="AZ341" s="27">
        <f>IF(AY341=$G340,0,AZ340)</f>
        <v>0</v>
      </c>
      <c r="BA341" s="27">
        <f>+BA340</f>
        <v>0</v>
      </c>
      <c r="BB341" s="27">
        <f>IF(BA341=$G340,0,BB340)</f>
        <v>0</v>
      </c>
      <c r="BC341" s="27">
        <f>+BC340</f>
        <v>0</v>
      </c>
      <c r="BD341" s="61">
        <f>IF(BC341=$G340,0,BD340)</f>
        <v>0</v>
      </c>
      <c r="BE341" s="27">
        <f>+BE340</f>
        <v>0</v>
      </c>
      <c r="BF341" s="27">
        <f>IF(BE341=$G340,0,BF340)</f>
        <v>0</v>
      </c>
      <c r="BG341" s="27">
        <f>+BG340</f>
        <v>0</v>
      </c>
      <c r="FJ341" s="61"/>
    </row>
    <row r="342" spans="2:166" s="27" customFormat="1" ht="11.25" hidden="1" x14ac:dyDescent="0.2">
      <c r="B342" s="60"/>
      <c r="F342" s="27">
        <f>SUMIF(H342:BG342,"&gt;0")</f>
        <v>0</v>
      </c>
      <c r="G342" s="27" t="s">
        <v>632</v>
      </c>
      <c r="I342" s="27" t="e">
        <f>-CUMPRINC($F340/12,$E340*12,$D340,H341,I341,0)</f>
        <v>#NUM!</v>
      </c>
      <c r="K342" s="27" t="e">
        <f>-CUMPRINC($F340/12,$E340*12,$D340,J341,K341,0)</f>
        <v>#NUM!</v>
      </c>
      <c r="M342" s="27" t="e">
        <f>-CUMPRINC($F340/12,$E340*12,$D340,L341,M341,0)</f>
        <v>#NUM!</v>
      </c>
      <c r="O342" s="27" t="e">
        <f>-CUMPRINC($F340/12,$E340*12,$D340,N341,O341,0)</f>
        <v>#NUM!</v>
      </c>
      <c r="Q342" s="27" t="e">
        <f>-CUMPRINC($F340/12,$E340*12,$D340,P341,Q341,0)</f>
        <v>#NUM!</v>
      </c>
      <c r="S342" s="27" t="e">
        <f>-CUMPRINC($F340/12,$E340*12,$D340,R341,S341,0)</f>
        <v>#NUM!</v>
      </c>
      <c r="U342" s="27" t="e">
        <f>-CUMPRINC($F340/12,$E340*12,$D340,T341,U341,0)</f>
        <v>#NUM!</v>
      </c>
      <c r="W342" s="27" t="e">
        <f>-CUMPRINC($F340/12,$E340*12,$D340,V341,W341,0)</f>
        <v>#NUM!</v>
      </c>
      <c r="Y342" s="27" t="e">
        <f>-CUMPRINC($F340/12,$E340*12,$D340,X341,Y341,0)</f>
        <v>#NUM!</v>
      </c>
      <c r="AA342" s="27" t="e">
        <f>-CUMPRINC($F340/12,$E340*12,$D340,Z341,AA341,0)</f>
        <v>#NUM!</v>
      </c>
      <c r="AC342" s="27" t="e">
        <f>-CUMPRINC($F340/12,$E340*12,$D340,AB341,AC341,0)</f>
        <v>#NUM!</v>
      </c>
      <c r="AE342" s="27" t="e">
        <f>-CUMPRINC($F340/12,$E340*12,$D340,AD341,AE341,0)</f>
        <v>#NUM!</v>
      </c>
      <c r="AG342" s="27" t="e">
        <f>-CUMPRINC($F340/12,$E340*12,$D340,AF341,AG341,0)</f>
        <v>#NUM!</v>
      </c>
      <c r="AI342" s="27" t="e">
        <f>-CUMPRINC($F340/12,$E340*12,$D340,AH341,AI341,0)</f>
        <v>#NUM!</v>
      </c>
      <c r="AK342" s="27" t="e">
        <f>-CUMPRINC($F340/12,$E340*12,$D340,AJ341,AK341,0)</f>
        <v>#NUM!</v>
      </c>
      <c r="AM342" s="27" t="e">
        <f>-CUMPRINC($F340/12,$E340*12,$D340,AL341,AM341,0)</f>
        <v>#NUM!</v>
      </c>
      <c r="AO342" s="27" t="e">
        <f>-CUMPRINC($F340/12,$E340*12,$D340,AN341,AO341,0)</f>
        <v>#NUM!</v>
      </c>
      <c r="AQ342" s="27" t="e">
        <f>-CUMPRINC($F340/12,$E340*12,$D340,AP341,AQ341,0)</f>
        <v>#NUM!</v>
      </c>
      <c r="AS342" s="27" t="e">
        <f>-CUMPRINC($F340/12,$E340*12,$D340,AR341,AS341,0)</f>
        <v>#NUM!</v>
      </c>
      <c r="AU342" s="27" t="e">
        <f>-CUMPRINC($F340/12,$E340*12,$D340,AT341,AU341,0)</f>
        <v>#NUM!</v>
      </c>
      <c r="AW342" s="27" t="e">
        <f>-CUMPRINC($F340/12,$E340*12,$D340,AV341,AW341,0)</f>
        <v>#NUM!</v>
      </c>
      <c r="AY342" s="27" t="e">
        <f>-CUMPRINC($F340/12,$E340*12,$D340,AX341,AY341,0)</f>
        <v>#NUM!</v>
      </c>
      <c r="BA342" s="27" t="e">
        <f>-CUMPRINC($F340/12,$E340*12,$D340,AZ341,BA341,0)</f>
        <v>#NUM!</v>
      </c>
      <c r="BC342" s="27" t="e">
        <f>-CUMPRINC($F340/12,$E340*12,$D340,BB341,BC341,0)</f>
        <v>#NUM!</v>
      </c>
      <c r="BD342" s="61"/>
      <c r="BE342" s="27" t="e">
        <f>-CUMPRINC($F340/12,$E340*12,$D340,BD341,BE341,0)</f>
        <v>#NUM!</v>
      </c>
      <c r="BG342" s="27" t="e">
        <f>-CUMPRINC($F340/12,$E340*12,$D340,BF341,BG341,0)</f>
        <v>#NUM!</v>
      </c>
      <c r="BH342" s="27" t="s">
        <v>783</v>
      </c>
      <c r="BJ342" s="27" t="e">
        <f>-CUMIPMT($F340/12,$E340*12,$D340,H341,I341,0)</f>
        <v>#NUM!</v>
      </c>
      <c r="BL342" s="27" t="e">
        <f>-CUMIPMT($F340/12,$E340*12,$D340,J341,K341,0)</f>
        <v>#NUM!</v>
      </c>
      <c r="BN342" s="27" t="e">
        <f>-CUMIPMT($F340/12,$E340*12,$D340,L341,M341,0)</f>
        <v>#NUM!</v>
      </c>
      <c r="BP342" s="27" t="e">
        <f>-CUMIPMT($F340/12,$E340*12,$D340,N341,O341,0)</f>
        <v>#NUM!</v>
      </c>
      <c r="BR342" s="27" t="e">
        <f>-CUMIPMT($F340/12,$E340*12,$D340,P341,Q341,0)</f>
        <v>#NUM!</v>
      </c>
      <c r="BT342" s="27" t="e">
        <f>-CUMIPMT($F340/12,$E340*12,$D340,R341,S341,0)</f>
        <v>#NUM!</v>
      </c>
      <c r="BV342" s="27" t="e">
        <f>-CUMIPMT($F340/12,$E340*12,$D340,T341,U341,0)</f>
        <v>#NUM!</v>
      </c>
      <c r="BX342" s="27" t="e">
        <f>-CUMIPMT($F340/12,$E340*12,$D340,V341,W341,0)</f>
        <v>#NUM!</v>
      </c>
      <c r="BZ342" s="27" t="e">
        <f>-CUMIPMT($F340/12,$E340*12,$D340,X341,Y341,0)</f>
        <v>#NUM!</v>
      </c>
      <c r="CB342" s="27" t="e">
        <f>-CUMIPMT($F340/12,$E340*12,$D340,Z341,AA341,0)</f>
        <v>#NUM!</v>
      </c>
      <c r="CD342" s="27" t="e">
        <f>-CUMIPMT($F340/12,$E340*12,$D340,AB341,AC341,0)</f>
        <v>#NUM!</v>
      </c>
      <c r="CF342" s="27" t="e">
        <f>-CUMIPMT($F340/12,$E340*12,$D340,AD341,AE341,0)</f>
        <v>#NUM!</v>
      </c>
      <c r="CH342" s="27" t="e">
        <f>-CUMIPMT($F340/12,$E340*12,$D340,AF341,AG341,0)</f>
        <v>#NUM!</v>
      </c>
      <c r="CJ342" s="27" t="e">
        <f>-CUMIPMT($F340/12,$E340*12,$D340,AH341,AI341,0)</f>
        <v>#NUM!</v>
      </c>
      <c r="CL342" s="27" t="e">
        <f>-CUMIPMT($F340/12,$E340*12,$D340,AJ341,AK341,0)</f>
        <v>#NUM!</v>
      </c>
      <c r="CN342" s="27" t="e">
        <f>-CUMIPMT($F340/12,$E340*12,$D340,AL341,AM341,0)</f>
        <v>#NUM!</v>
      </c>
      <c r="CP342" s="27" t="e">
        <f>-CUMIPMT($F340/12,$E340*12,$D340,AN341,AO341,0)</f>
        <v>#NUM!</v>
      </c>
      <c r="CR342" s="27" t="e">
        <f>-CUMIPMT($F340/12,$E340*12,$D340,AP341,AQ341,0)</f>
        <v>#NUM!</v>
      </c>
      <c r="CT342" s="27" t="e">
        <f>-CUMIPMT($F340/12,$E340*12,$D340,AR341,AS341,0)</f>
        <v>#NUM!</v>
      </c>
      <c r="CV342" s="27" t="e">
        <f>-CUMIPMT($F340/12,$E340*12,$D340,AT341,AU341,0)</f>
        <v>#NUM!</v>
      </c>
      <c r="CX342" s="27" t="e">
        <f>-CUMIPMT($F340/12,$E340*12,$D340,AV341,AW341,0)</f>
        <v>#NUM!</v>
      </c>
      <c r="CZ342" s="27" t="e">
        <f>-CUMIPMT($F340/12,$E340*12,$D340,AX341,AY341,0)</f>
        <v>#NUM!</v>
      </c>
      <c r="DB342" s="27" t="e">
        <f>-CUMIPMT($F340/12,$E340*12,$D340,AZ341,BA341,0)</f>
        <v>#NUM!</v>
      </c>
      <c r="DD342" s="27" t="e">
        <f>-CUMIPMT($F340/12,$E340*12,$D340,BB341,BC341,0)</f>
        <v>#NUM!</v>
      </c>
      <c r="DF342" s="27" t="e">
        <f>-CUMIPMT($F340/12,$E340*12,$D340,BD341,BE341,0)</f>
        <v>#NUM!</v>
      </c>
      <c r="DH342" s="27" t="e">
        <f>-CUMIPMT($F340/12,$E340*12,$D340,BF341,BG341,0)</f>
        <v>#NUM!</v>
      </c>
      <c r="FJ342" s="61"/>
    </row>
    <row r="343" spans="2:166" s="27" customFormat="1" ht="11.25" hidden="1" x14ac:dyDescent="0.2">
      <c r="B343" s="60"/>
      <c r="E343" s="27">
        <f>+F342+F343</f>
        <v>0</v>
      </c>
      <c r="F343" s="27">
        <f>SUMIF(BI342:DH342,"&gt;0")</f>
        <v>0</v>
      </c>
      <c r="I343" s="27">
        <f>IF(ISERROR(I342)=FALSE,I342,0)</f>
        <v>0</v>
      </c>
      <c r="K343" s="27">
        <f>IF(ISERROR(K342)=FALSE,K342,0)</f>
        <v>0</v>
      </c>
      <c r="M343" s="27">
        <f>IF(ISERROR(M342)=FALSE,M342,0)</f>
        <v>0</v>
      </c>
      <c r="O343" s="27">
        <f>IF(ISERROR(O342)=FALSE,O342,0)</f>
        <v>0</v>
      </c>
      <c r="Q343" s="27">
        <f>IF(ISERROR(Q342)=FALSE,Q342,0)</f>
        <v>0</v>
      </c>
      <c r="S343" s="27">
        <f>IF(ISERROR(S342)=FALSE,S342,0)</f>
        <v>0</v>
      </c>
      <c r="U343" s="27">
        <f>IF(ISERROR(U342)=FALSE,U342,0)</f>
        <v>0</v>
      </c>
      <c r="W343" s="27">
        <f>IF(ISERROR(W342)=FALSE,W342,0)</f>
        <v>0</v>
      </c>
      <c r="Y343" s="27">
        <f>IF(ISERROR(Y342)=FALSE,Y342,0)</f>
        <v>0</v>
      </c>
      <c r="AA343" s="27">
        <f>IF(ISERROR(AA342)=FALSE,AA342,0)</f>
        <v>0</v>
      </c>
      <c r="AC343" s="27">
        <f>IF(ISERROR(AC342)=FALSE,AC342,0)</f>
        <v>0</v>
      </c>
      <c r="AE343" s="27">
        <f>IF(ISERROR(AE342)=FALSE,AE342,0)</f>
        <v>0</v>
      </c>
      <c r="AG343" s="27">
        <f>IF(ISERROR(AG342)=FALSE,AG342,0)</f>
        <v>0</v>
      </c>
      <c r="AI343" s="27">
        <f>IF(ISERROR(AI342)=FALSE,AI342,0)</f>
        <v>0</v>
      </c>
      <c r="AK343" s="27">
        <f>IF(ISERROR(AK342)=FALSE,AK342,0)</f>
        <v>0</v>
      </c>
      <c r="AM343" s="27">
        <f>IF(ISERROR(AM342)=FALSE,AM342,0)</f>
        <v>0</v>
      </c>
      <c r="AO343" s="27">
        <f>IF(ISERROR(AO342)=FALSE,AO342,0)</f>
        <v>0</v>
      </c>
      <c r="AQ343" s="27">
        <f>IF(ISERROR(AQ342)=FALSE,AQ342,0)</f>
        <v>0</v>
      </c>
      <c r="AS343" s="27">
        <f>IF(ISERROR(AS342)=FALSE,AS342,0)</f>
        <v>0</v>
      </c>
      <c r="AU343" s="27">
        <f>IF(ISERROR(AU342)=FALSE,AU342,0)</f>
        <v>0</v>
      </c>
      <c r="AW343" s="27">
        <f>IF(ISERROR(AW342)=FALSE,AW342,0)</f>
        <v>0</v>
      </c>
      <c r="AY343" s="27">
        <f>IF(ISERROR(AY342)=FALSE,AY342,0)</f>
        <v>0</v>
      </c>
      <c r="BA343" s="27">
        <f>IF(ISERROR(BA342)=FALSE,BA342,0)</f>
        <v>0</v>
      </c>
      <c r="BC343" s="27">
        <f>IF(ISERROR(BC342)=FALSE,BC342,0)</f>
        <v>0</v>
      </c>
      <c r="BD343" s="61"/>
      <c r="BE343" s="27">
        <f>IF(ISERROR(BE342)=FALSE,BE342,0)</f>
        <v>0</v>
      </c>
      <c r="BG343" s="27">
        <f>IF(ISERROR(BG342)=FALSE,BG342,0)</f>
        <v>0</v>
      </c>
      <c r="FJ343" s="61"/>
    </row>
    <row r="344" spans="2:166" s="27" customFormat="1" ht="11.25" hidden="1" x14ac:dyDescent="0.2">
      <c r="B344" s="60"/>
      <c r="D344" s="27" t="s">
        <v>630</v>
      </c>
      <c r="E344" s="27">
        <f>IF(E340=0,0,E343/(E340*12))</f>
        <v>0</v>
      </c>
      <c r="BD344" s="61"/>
      <c r="DI344" s="27" t="s">
        <v>784</v>
      </c>
      <c r="DJ344" s="27" t="s">
        <v>785</v>
      </c>
      <c r="DK344" s="27">
        <f>+F342</f>
        <v>0</v>
      </c>
      <c r="DL344" s="27" t="e">
        <f>+DK344-I342</f>
        <v>#NUM!</v>
      </c>
      <c r="DN344" s="27" t="e">
        <f>+DL344-K342</f>
        <v>#NUM!</v>
      </c>
      <c r="DP344" s="27" t="e">
        <f>+DN344-M342</f>
        <v>#NUM!</v>
      </c>
      <c r="DR344" s="27" t="e">
        <f>+DP344-O342</f>
        <v>#NUM!</v>
      </c>
      <c r="DT344" s="27" t="e">
        <f>+DR344-Q342</f>
        <v>#NUM!</v>
      </c>
      <c r="DV344" s="27" t="e">
        <f>+DT344-S342</f>
        <v>#NUM!</v>
      </c>
      <c r="DX344" s="27" t="e">
        <f>+DV344-U342</f>
        <v>#NUM!</v>
      </c>
      <c r="DZ344" s="27" t="e">
        <f>+DX344-W342</f>
        <v>#NUM!</v>
      </c>
      <c r="EB344" s="27" t="e">
        <f>+DZ344-Y342</f>
        <v>#NUM!</v>
      </c>
      <c r="ED344" s="27" t="e">
        <f>+EB344-AA342</f>
        <v>#NUM!</v>
      </c>
      <c r="EF344" s="27" t="e">
        <f>+ED344-AC342</f>
        <v>#NUM!</v>
      </c>
      <c r="EH344" s="27" t="e">
        <f>+EF344-AE342</f>
        <v>#NUM!</v>
      </c>
      <c r="EJ344" s="27" t="e">
        <f>+EH344-AG342</f>
        <v>#NUM!</v>
      </c>
      <c r="EL344" s="27" t="e">
        <f>+EJ344-AI342</f>
        <v>#NUM!</v>
      </c>
      <c r="EN344" s="27" t="e">
        <f>+EL344-AK342</f>
        <v>#NUM!</v>
      </c>
      <c r="EP344" s="27" t="e">
        <f>+EN344-AM342</f>
        <v>#NUM!</v>
      </c>
      <c r="ER344" s="27" t="e">
        <f>+EP344-AO342</f>
        <v>#NUM!</v>
      </c>
      <c r="ET344" s="27" t="e">
        <f>+ER344-AQ342</f>
        <v>#NUM!</v>
      </c>
      <c r="EV344" s="27" t="e">
        <f>+ET344-AS342</f>
        <v>#NUM!</v>
      </c>
      <c r="EX344" s="27" t="e">
        <f>+EV344-AU342</f>
        <v>#NUM!</v>
      </c>
      <c r="EZ344" s="27" t="e">
        <f>+EX344-AW342</f>
        <v>#NUM!</v>
      </c>
      <c r="FB344" s="27" t="e">
        <f>+EZ344-AY342</f>
        <v>#NUM!</v>
      </c>
      <c r="FD344" s="27" t="e">
        <f>+FB344-BA342</f>
        <v>#NUM!</v>
      </c>
      <c r="FF344" s="27" t="e">
        <f>+FD344-BC342</f>
        <v>#NUM!</v>
      </c>
      <c r="FH344" s="27" t="e">
        <f>+FF344-BE342</f>
        <v>#NUM!</v>
      </c>
      <c r="FJ344" s="61" t="e">
        <f>+FH344-BG342</f>
        <v>#NUM!</v>
      </c>
    </row>
    <row r="345" spans="2:166" s="27" customFormat="1" ht="11.25" hidden="1" x14ac:dyDescent="0.2">
      <c r="B345" s="60"/>
      <c r="C345" s="27" t="str">
        <f>C149</f>
        <v>Traspaso</v>
      </c>
      <c r="D345" s="27">
        <f>D149</f>
        <v>0</v>
      </c>
      <c r="E345" s="27">
        <f>E149</f>
        <v>0</v>
      </c>
      <c r="F345" s="27">
        <f>F149</f>
        <v>0</v>
      </c>
      <c r="G345" s="27">
        <f>+$E345*12</f>
        <v>0</v>
      </c>
      <c r="H345" s="27">
        <f>SUMIF($W149:$AH149,$D149,$W$108:$AH$108)</f>
        <v>78</v>
      </c>
      <c r="I345" s="27">
        <f>13-H345</f>
        <v>-65</v>
      </c>
      <c r="J345" s="27">
        <f>IF(I345+1&lt;=$G345,I345+1,($G345-I345)+I345)</f>
        <v>-64</v>
      </c>
      <c r="K345" s="27">
        <f>IF(J345+11&lt;=$G345,J345+11,($G345-J345)+J345)</f>
        <v>-53</v>
      </c>
      <c r="L345" s="27">
        <f>IF(K345+1&lt;=$G345,K345+1,($G345-K345)+K345)</f>
        <v>-52</v>
      </c>
      <c r="M345" s="27">
        <f>IF(L345+11&lt;=$G345,L345+11,($G345-L345)+L345)</f>
        <v>-41</v>
      </c>
      <c r="N345" s="27">
        <f>IF(M345+1&lt;=$G345,M345+1,($G345-M345)+M345)</f>
        <v>-40</v>
      </c>
      <c r="O345" s="27">
        <f>IF(N345+11&lt;=$G345,N345+11,($G345-N345)+N345)</f>
        <v>-29</v>
      </c>
      <c r="P345" s="27">
        <f>IF(O345+1&lt;=$G345,O345+1,($G345-O345)+O345)</f>
        <v>-28</v>
      </c>
      <c r="Q345" s="27">
        <f>IF(P345+11&lt;=$G345,P345+11,($G345-P345)+P345)</f>
        <v>-17</v>
      </c>
      <c r="R345" s="27">
        <f>IF(Q345+1&lt;=$G345,Q345+1,($G345-Q345)+Q345)</f>
        <v>-16</v>
      </c>
      <c r="S345" s="27">
        <f>IF(R345+11&lt;=$G345,R345+11,($G345-R345)+R345)</f>
        <v>-5</v>
      </c>
      <c r="T345" s="27">
        <f>IF(S345+1&lt;=$G345,S345+1,($G345-S345)+S345)</f>
        <v>-4</v>
      </c>
      <c r="U345" s="27">
        <f>IF(T345+11&lt;=$G345,T345+11,($G345-T345)+T345)</f>
        <v>0</v>
      </c>
      <c r="V345" s="27">
        <f>IF(U345+1&lt;=$G345,U345+1,($G345-U345)+U345)</f>
        <v>0</v>
      </c>
      <c r="W345" s="27">
        <f>IF(V345+11&lt;=$G345,V345+11,($G345-V345)+V345)</f>
        <v>0</v>
      </c>
      <c r="X345" s="27">
        <f>IF(W345+1&lt;=$G345,W345+1,($G345-W345)+W345)</f>
        <v>0</v>
      </c>
      <c r="Y345" s="27">
        <f>IF(X345+11&lt;=$G345,X345+11,($G345-X345)+X345)</f>
        <v>0</v>
      </c>
      <c r="Z345" s="27">
        <f>IF(Y345+1&lt;=$G345,Y345+1,($G345-Y345)+Y345)</f>
        <v>0</v>
      </c>
      <c r="AA345" s="27">
        <f>IF(Z345+11&lt;=$G345,Z345+11,($G345-Z345)+Z345)</f>
        <v>0</v>
      </c>
      <c r="AB345" s="27">
        <f>IF(AA345+1&lt;=$G345,AA345+1,($G345-AA345)+AA345)</f>
        <v>0</v>
      </c>
      <c r="AC345" s="27">
        <f>IF(AB345+11&lt;=$G345,AB345+11,($G345-AB345)+AB345)</f>
        <v>0</v>
      </c>
      <c r="AD345" s="27">
        <f>IF(AC345+1&lt;=$G345,AC345+1,($G345-AC345)+AC345)</f>
        <v>0</v>
      </c>
      <c r="AE345" s="27">
        <f>IF(AD345+11&lt;=$G345,AD345+11,($G345-AD345)+AD345)</f>
        <v>0</v>
      </c>
      <c r="AF345" s="27">
        <f>IF(AE345+1&lt;=$G345,AE345+1,($G345-AE345)+AE345)</f>
        <v>0</v>
      </c>
      <c r="AG345" s="27">
        <f>IF(AF345+11&lt;=$G345,AF345+11,($G345-AF345)+AF345)</f>
        <v>0</v>
      </c>
      <c r="AH345" s="27">
        <f>IF(AG345+1&lt;=$G345,AG345+1,($G345-AG345)+AG345)</f>
        <v>0</v>
      </c>
      <c r="AI345" s="27">
        <f>IF(AH345+11&lt;=$G345,AH345+11,($G345-AH345)+AH345)</f>
        <v>0</v>
      </c>
      <c r="AJ345" s="27">
        <f>IF(AI345+1&lt;=$G345,AI345+1,($G345-AI345)+AI345)</f>
        <v>0</v>
      </c>
      <c r="AK345" s="27">
        <f>IF(AJ345+11&lt;=$G345,AJ345+11,($G345-AJ345)+AJ345)</f>
        <v>0</v>
      </c>
      <c r="AL345" s="27">
        <f>IF(AK345+1&lt;=$G345,AK345+1,($G345-AK345)+AK345)</f>
        <v>0</v>
      </c>
      <c r="AM345" s="27">
        <f>IF(AL345+11&lt;=$G345,AL345+11,($G345-AL345)+AL345)</f>
        <v>0</v>
      </c>
      <c r="AN345" s="27">
        <f>IF(AM345+1&lt;=$G345,AM345+1,($G345-AM345)+AM345)</f>
        <v>0</v>
      </c>
      <c r="AO345" s="27">
        <f>IF(AN345+11&lt;=$G345,AN345+11,($G345-AN345)+AN345)</f>
        <v>0</v>
      </c>
      <c r="AP345" s="27">
        <f>IF(AO345+1&lt;=$G345,AO345+1,($G345-AO345)+AO345)</f>
        <v>0</v>
      </c>
      <c r="AQ345" s="27">
        <f>IF(AP345+11&lt;=$G345,AP345+11,($G345-AP345)+AP345)</f>
        <v>0</v>
      </c>
      <c r="AR345" s="27">
        <f>IF(AQ345+1&lt;=$G345,AQ345+1,($G345-AQ345)+AQ345)</f>
        <v>0</v>
      </c>
      <c r="AS345" s="27">
        <f>IF(AR345+11&lt;=$G345,AR345+11,($G345-AR345)+AR345)</f>
        <v>0</v>
      </c>
      <c r="AT345" s="27">
        <f>IF(AS345+1&lt;=$G345,AS345+1,($G345-AS345)+AS345)</f>
        <v>0</v>
      </c>
      <c r="AU345" s="27">
        <f>IF(AT345+11&lt;=$G345,AT345+11,($G345-AT345)+AT345)</f>
        <v>0</v>
      </c>
      <c r="AV345" s="27">
        <f>IF(AU345+1&lt;=$G345,AU345+1,($G345-AU345)+AU345)</f>
        <v>0</v>
      </c>
      <c r="AW345" s="27">
        <f>IF(AV345+11&lt;=$G345,AV345+11,($G345-AV345)+AV345)</f>
        <v>0</v>
      </c>
      <c r="AX345" s="27">
        <f>IF(AW345+1&lt;=$G345,AW345+1,($G345-AW345)+AW345)</f>
        <v>0</v>
      </c>
      <c r="AY345" s="27">
        <f>IF(AX345+11&lt;=$G345,AX345+11,($G345-AX345)+AX345)</f>
        <v>0</v>
      </c>
      <c r="AZ345" s="27">
        <f>IF(AY345+1&lt;=$G345,AY345+1,($G345-AY345)+AY345)</f>
        <v>0</v>
      </c>
      <c r="BA345" s="27">
        <f>IF(AZ345+35&lt;=$G345,AZ345+35,($G345-AZ345)+AZ345)</f>
        <v>0</v>
      </c>
      <c r="BB345" s="27">
        <f>IF(BA345+1&lt;=$G345,BA345+1,($G345-BA345)+BA345)</f>
        <v>0</v>
      </c>
      <c r="BC345" s="27">
        <f>IF(BB345+59&lt;=$G345,BB345+59,($G345-BB345)+BB345)</f>
        <v>0</v>
      </c>
      <c r="BD345" s="61">
        <f>IF(BC345+1&lt;=$G345,BC345+1,($G345-BC345)+BC345)</f>
        <v>0</v>
      </c>
      <c r="BE345" s="27">
        <f>IF(BD345+239&lt;=$G345,BD345+239,($G345-BD345)+BD345)</f>
        <v>0</v>
      </c>
      <c r="BF345" s="27">
        <f>IF(BE345+1&lt;=$G345,BE345+1,($G345-BE345)+BE345)</f>
        <v>0</v>
      </c>
      <c r="BG345" s="27">
        <f>IF(BF345+11&lt;=$G345,BF345+11,($G345-BF345)+BF345)</f>
        <v>0</v>
      </c>
      <c r="FJ345" s="61"/>
    </row>
    <row r="346" spans="2:166" s="27" customFormat="1" ht="11.25" hidden="1" x14ac:dyDescent="0.2">
      <c r="B346" s="60"/>
      <c r="H346" s="27">
        <v>1</v>
      </c>
      <c r="I346" s="27">
        <f>+I345</f>
        <v>-65</v>
      </c>
      <c r="J346" s="27">
        <f>IF(I346=$G345,0,J345)</f>
        <v>-64</v>
      </c>
      <c r="K346" s="27">
        <f>+K345</f>
        <v>-53</v>
      </c>
      <c r="L346" s="27">
        <f>IF(K346=$G345,0,L345)</f>
        <v>-52</v>
      </c>
      <c r="M346" s="27">
        <f>+M345</f>
        <v>-41</v>
      </c>
      <c r="N346" s="27">
        <f>IF(M346=$G345,0,N345)</f>
        <v>-40</v>
      </c>
      <c r="O346" s="27">
        <f>+O345</f>
        <v>-29</v>
      </c>
      <c r="P346" s="27">
        <f>IF(O346=$G345,0,P345)</f>
        <v>-28</v>
      </c>
      <c r="Q346" s="27">
        <f>+Q345</f>
        <v>-17</v>
      </c>
      <c r="R346" s="27">
        <f>IF(Q346=$G345,0,R345)</f>
        <v>-16</v>
      </c>
      <c r="S346" s="27">
        <f>+S345</f>
        <v>-5</v>
      </c>
      <c r="T346" s="27">
        <f>IF(S346=$G345,0,T345)</f>
        <v>-4</v>
      </c>
      <c r="U346" s="27">
        <f>+U345</f>
        <v>0</v>
      </c>
      <c r="V346" s="27">
        <f>IF(U346=$G345,0,V345)</f>
        <v>0</v>
      </c>
      <c r="W346" s="27">
        <f>+W345</f>
        <v>0</v>
      </c>
      <c r="X346" s="27">
        <f>IF(W346=$G345,0,X345)</f>
        <v>0</v>
      </c>
      <c r="Y346" s="27">
        <f>+Y345</f>
        <v>0</v>
      </c>
      <c r="Z346" s="27">
        <f>IF(Y346=$G345,0,Z345)</f>
        <v>0</v>
      </c>
      <c r="AA346" s="27">
        <f>+AA345</f>
        <v>0</v>
      </c>
      <c r="AB346" s="27">
        <f>IF(AA346=$G345,0,AB345)</f>
        <v>0</v>
      </c>
      <c r="AC346" s="27">
        <f>+AC345</f>
        <v>0</v>
      </c>
      <c r="AD346" s="27">
        <f>IF(AC346=$G345,0,AD345)</f>
        <v>0</v>
      </c>
      <c r="AE346" s="27">
        <f>+AE345</f>
        <v>0</v>
      </c>
      <c r="AF346" s="27">
        <f>IF(AE346=$G345,0,AF345)</f>
        <v>0</v>
      </c>
      <c r="AG346" s="27">
        <f>+AG345</f>
        <v>0</v>
      </c>
      <c r="AH346" s="27">
        <f>IF(AG346=$G345,0,AH345)</f>
        <v>0</v>
      </c>
      <c r="AI346" s="27">
        <f>+AI345</f>
        <v>0</v>
      </c>
      <c r="AJ346" s="27">
        <f>IF(AI346=$G345,0,AJ345)</f>
        <v>0</v>
      </c>
      <c r="AK346" s="27">
        <f>+AK345</f>
        <v>0</v>
      </c>
      <c r="AL346" s="27">
        <f>IF(AK346=$G345,0,AL345)</f>
        <v>0</v>
      </c>
      <c r="AM346" s="27">
        <f>+AM345</f>
        <v>0</v>
      </c>
      <c r="AN346" s="27">
        <f>IF(AM346=$G345,0,AN345)</f>
        <v>0</v>
      </c>
      <c r="AO346" s="27">
        <f>+AO345</f>
        <v>0</v>
      </c>
      <c r="AP346" s="27">
        <f>IF(AO346=$G345,0,AP345)</f>
        <v>0</v>
      </c>
      <c r="AQ346" s="27">
        <f>+AQ345</f>
        <v>0</v>
      </c>
      <c r="AR346" s="27">
        <f>IF(AQ346=$G345,0,AR345)</f>
        <v>0</v>
      </c>
      <c r="AS346" s="27">
        <f>+AS345</f>
        <v>0</v>
      </c>
      <c r="AT346" s="27">
        <f>IF(AS346=$G345,0,AT345)</f>
        <v>0</v>
      </c>
      <c r="AU346" s="27">
        <f>+AU345</f>
        <v>0</v>
      </c>
      <c r="AV346" s="27">
        <f>IF(AU346=$G345,0,AV345)</f>
        <v>0</v>
      </c>
      <c r="AW346" s="27">
        <f>+AW345</f>
        <v>0</v>
      </c>
      <c r="AX346" s="27">
        <f>IF(AW346=$G345,0,AX345)</f>
        <v>0</v>
      </c>
      <c r="AY346" s="27">
        <f>+AY345</f>
        <v>0</v>
      </c>
      <c r="AZ346" s="27">
        <f>IF(AY346=$G345,0,AZ345)</f>
        <v>0</v>
      </c>
      <c r="BA346" s="27">
        <f>+BA345</f>
        <v>0</v>
      </c>
      <c r="BB346" s="27">
        <f>IF(BA346=$G345,0,BB345)</f>
        <v>0</v>
      </c>
      <c r="BC346" s="27">
        <f>+BC345</f>
        <v>0</v>
      </c>
      <c r="BD346" s="61">
        <f>IF(BC346=$G345,0,BD345)</f>
        <v>0</v>
      </c>
      <c r="BE346" s="27">
        <f>+BE345</f>
        <v>0</v>
      </c>
      <c r="BF346" s="27">
        <f>IF(BE346=$G345,0,BF345)</f>
        <v>0</v>
      </c>
      <c r="BG346" s="27">
        <f>+BG345</f>
        <v>0</v>
      </c>
      <c r="FJ346" s="61"/>
    </row>
    <row r="347" spans="2:166" s="27" customFormat="1" ht="11.25" hidden="1" x14ac:dyDescent="0.2">
      <c r="B347" s="60"/>
      <c r="F347" s="27">
        <f>SUMIF(H347:BG347,"&gt;0")</f>
        <v>0</v>
      </c>
      <c r="G347" s="27" t="s">
        <v>632</v>
      </c>
      <c r="I347" s="27" t="e">
        <f>-CUMPRINC($F345/12,$E345*12,$D345,H346,I346,0)</f>
        <v>#NUM!</v>
      </c>
      <c r="K347" s="27" t="e">
        <f>-CUMPRINC($F345/12,$E345*12,$D345,J346,K346,0)</f>
        <v>#NUM!</v>
      </c>
      <c r="M347" s="27" t="e">
        <f>-CUMPRINC($F345/12,$E345*12,$D345,L346,M346,0)</f>
        <v>#NUM!</v>
      </c>
      <c r="O347" s="27" t="e">
        <f>-CUMPRINC($F345/12,$E345*12,$D345,N346,O346,0)</f>
        <v>#NUM!</v>
      </c>
      <c r="Q347" s="27" t="e">
        <f>-CUMPRINC($F345/12,$E345*12,$D345,P346,Q346,0)</f>
        <v>#NUM!</v>
      </c>
      <c r="S347" s="27" t="e">
        <f>-CUMPRINC($F345/12,$E345*12,$D345,R346,S346,0)</f>
        <v>#NUM!</v>
      </c>
      <c r="U347" s="27" t="e">
        <f>-CUMPRINC($F345/12,$E345*12,$D345,T346,U346,0)</f>
        <v>#NUM!</v>
      </c>
      <c r="W347" s="27" t="e">
        <f>-CUMPRINC($F345/12,$E345*12,$D345,V346,W346,0)</f>
        <v>#NUM!</v>
      </c>
      <c r="Y347" s="27" t="e">
        <f>-CUMPRINC($F345/12,$E345*12,$D345,X346,Y346,0)</f>
        <v>#NUM!</v>
      </c>
      <c r="AA347" s="27" t="e">
        <f>-CUMPRINC($F345/12,$E345*12,$D345,Z346,AA346,0)</f>
        <v>#NUM!</v>
      </c>
      <c r="AC347" s="27" t="e">
        <f>-CUMPRINC($F345/12,$E345*12,$D345,AB346,AC346,0)</f>
        <v>#NUM!</v>
      </c>
      <c r="AE347" s="27" t="e">
        <f>-CUMPRINC($F345/12,$E345*12,$D345,AD346,AE346,0)</f>
        <v>#NUM!</v>
      </c>
      <c r="AG347" s="27" t="e">
        <f>-CUMPRINC($F345/12,$E345*12,$D345,AF346,AG346,0)</f>
        <v>#NUM!</v>
      </c>
      <c r="AI347" s="27" t="e">
        <f>-CUMPRINC($F345/12,$E345*12,$D345,AH346,AI346,0)</f>
        <v>#NUM!</v>
      </c>
      <c r="AK347" s="27" t="e">
        <f>-CUMPRINC($F345/12,$E345*12,$D345,AJ346,AK346,0)</f>
        <v>#NUM!</v>
      </c>
      <c r="AM347" s="27" t="e">
        <f>-CUMPRINC($F345/12,$E345*12,$D345,AL346,AM346,0)</f>
        <v>#NUM!</v>
      </c>
      <c r="AO347" s="27" t="e">
        <f>-CUMPRINC($F345/12,$E345*12,$D345,AN346,AO346,0)</f>
        <v>#NUM!</v>
      </c>
      <c r="AQ347" s="27" t="e">
        <f>-CUMPRINC($F345/12,$E345*12,$D345,AP346,AQ346,0)</f>
        <v>#NUM!</v>
      </c>
      <c r="AS347" s="27" t="e">
        <f>-CUMPRINC($F345/12,$E345*12,$D345,AR346,AS346,0)</f>
        <v>#NUM!</v>
      </c>
      <c r="AU347" s="27" t="e">
        <f>-CUMPRINC($F345/12,$E345*12,$D345,AT346,AU346,0)</f>
        <v>#NUM!</v>
      </c>
      <c r="AW347" s="27" t="e">
        <f>-CUMPRINC($F345/12,$E345*12,$D345,AV346,AW346,0)</f>
        <v>#NUM!</v>
      </c>
      <c r="AY347" s="27" t="e">
        <f>-CUMPRINC($F345/12,$E345*12,$D345,AX346,AY346,0)</f>
        <v>#NUM!</v>
      </c>
      <c r="BA347" s="27" t="e">
        <f>-CUMPRINC($F345/12,$E345*12,$D345,AZ346,BA346,0)</f>
        <v>#NUM!</v>
      </c>
      <c r="BC347" s="27" t="e">
        <f>-CUMPRINC($F345/12,$E345*12,$D345,BB346,BC346,0)</f>
        <v>#NUM!</v>
      </c>
      <c r="BD347" s="61"/>
      <c r="BE347" s="27" t="e">
        <f>-CUMPRINC($F345/12,$E345*12,$D345,BD346,BE346,0)</f>
        <v>#NUM!</v>
      </c>
      <c r="BG347" s="27" t="e">
        <f>-CUMPRINC($F345/12,$E345*12,$D345,BF346,BG346,0)</f>
        <v>#NUM!</v>
      </c>
      <c r="BH347" s="27" t="s">
        <v>783</v>
      </c>
      <c r="BJ347" s="27" t="e">
        <f>-CUMIPMT($F345/12,$E345*12,$D345,H346,I346,0)</f>
        <v>#NUM!</v>
      </c>
      <c r="BL347" s="27" t="e">
        <f>-CUMIPMT($F345/12,$E345*12,$D345,J346,K346,0)</f>
        <v>#NUM!</v>
      </c>
      <c r="BN347" s="27" t="e">
        <f>-CUMIPMT($F345/12,$E345*12,$D345,L346,M346,0)</f>
        <v>#NUM!</v>
      </c>
      <c r="BP347" s="27" t="e">
        <f>-CUMIPMT($F345/12,$E345*12,$D345,N346,O346,0)</f>
        <v>#NUM!</v>
      </c>
      <c r="BR347" s="27" t="e">
        <f>-CUMIPMT($F345/12,$E345*12,$D345,P346,Q346,0)</f>
        <v>#NUM!</v>
      </c>
      <c r="BT347" s="27" t="e">
        <f>-CUMIPMT($F345/12,$E345*12,$D345,R346,S346,0)</f>
        <v>#NUM!</v>
      </c>
      <c r="BV347" s="27" t="e">
        <f>-CUMIPMT($F345/12,$E345*12,$D345,T346,U346,0)</f>
        <v>#NUM!</v>
      </c>
      <c r="BX347" s="27" t="e">
        <f>-CUMIPMT($F345/12,$E345*12,$D345,V346,W346,0)</f>
        <v>#NUM!</v>
      </c>
      <c r="BZ347" s="27" t="e">
        <f>-CUMIPMT($F345/12,$E345*12,$D345,X346,Y346,0)</f>
        <v>#NUM!</v>
      </c>
      <c r="CB347" s="27" t="e">
        <f>-CUMIPMT($F345/12,$E345*12,$D345,Z346,AA346,0)</f>
        <v>#NUM!</v>
      </c>
      <c r="CD347" s="27" t="e">
        <f>-CUMIPMT($F345/12,$E345*12,$D345,AB346,AC346,0)</f>
        <v>#NUM!</v>
      </c>
      <c r="CF347" s="27" t="e">
        <f>-CUMIPMT($F345/12,$E345*12,$D345,AD346,AE346,0)</f>
        <v>#NUM!</v>
      </c>
      <c r="CH347" s="27" t="e">
        <f>-CUMIPMT($F345/12,$E345*12,$D345,AF346,AG346,0)</f>
        <v>#NUM!</v>
      </c>
      <c r="CJ347" s="27" t="e">
        <f>-CUMIPMT($F345/12,$E345*12,$D345,AH346,AI346,0)</f>
        <v>#NUM!</v>
      </c>
      <c r="CL347" s="27" t="e">
        <f>-CUMIPMT($F345/12,$E345*12,$D345,AJ346,AK346,0)</f>
        <v>#NUM!</v>
      </c>
      <c r="CN347" s="27" t="e">
        <f>-CUMIPMT($F345/12,$E345*12,$D345,AL346,AM346,0)</f>
        <v>#NUM!</v>
      </c>
      <c r="CP347" s="27" t="e">
        <f>-CUMIPMT($F345/12,$E345*12,$D345,AN346,AO346,0)</f>
        <v>#NUM!</v>
      </c>
      <c r="CR347" s="27" t="e">
        <f>-CUMIPMT($F345/12,$E345*12,$D345,AP346,AQ346,0)</f>
        <v>#NUM!</v>
      </c>
      <c r="CT347" s="27" t="e">
        <f>-CUMIPMT($F345/12,$E345*12,$D345,AR346,AS346,0)</f>
        <v>#NUM!</v>
      </c>
      <c r="CV347" s="27" t="e">
        <f>-CUMIPMT($F345/12,$E345*12,$D345,AT346,AU346,0)</f>
        <v>#NUM!</v>
      </c>
      <c r="CX347" s="27" t="e">
        <f>-CUMIPMT($F345/12,$E345*12,$D345,AV346,AW346,0)</f>
        <v>#NUM!</v>
      </c>
      <c r="CZ347" s="27" t="e">
        <f>-CUMIPMT($F345/12,$E345*12,$D345,AX346,AY346,0)</f>
        <v>#NUM!</v>
      </c>
      <c r="DB347" s="27" t="e">
        <f>-CUMIPMT($F345/12,$E345*12,$D345,AZ346,BA346,0)</f>
        <v>#NUM!</v>
      </c>
      <c r="DD347" s="27" t="e">
        <f>-CUMIPMT($F345/12,$E345*12,$D345,BB346,BC346,0)</f>
        <v>#NUM!</v>
      </c>
      <c r="DF347" s="27" t="e">
        <f>-CUMIPMT($F345/12,$E345*12,$D345,BD346,BE346,0)</f>
        <v>#NUM!</v>
      </c>
      <c r="DH347" s="27" t="e">
        <f>-CUMIPMT($F345/12,$E345*12,$D345,BF346,BG346,0)</f>
        <v>#NUM!</v>
      </c>
      <c r="DI347" s="27" t="s">
        <v>784</v>
      </c>
      <c r="DJ347" s="27" t="s">
        <v>785</v>
      </c>
      <c r="DK347" s="27">
        <f>+F347</f>
        <v>0</v>
      </c>
      <c r="DL347" s="27" t="e">
        <f>+DK347-I347</f>
        <v>#NUM!</v>
      </c>
      <c r="DN347" s="27" t="e">
        <f>+DL347-K347</f>
        <v>#NUM!</v>
      </c>
      <c r="DP347" s="27" t="e">
        <f>+DN347-M347</f>
        <v>#NUM!</v>
      </c>
      <c r="DR347" s="27" t="e">
        <f>+DP347-O347</f>
        <v>#NUM!</v>
      </c>
      <c r="DT347" s="27" t="e">
        <f>+DR347-Q347</f>
        <v>#NUM!</v>
      </c>
      <c r="DV347" s="27" t="e">
        <f>+DT347-S347</f>
        <v>#NUM!</v>
      </c>
      <c r="DX347" s="27" t="e">
        <f>+DV347-U347</f>
        <v>#NUM!</v>
      </c>
      <c r="DZ347" s="27" t="e">
        <f>+DX347-W347</f>
        <v>#NUM!</v>
      </c>
      <c r="EB347" s="27" t="e">
        <f>+DZ347-Y347</f>
        <v>#NUM!</v>
      </c>
      <c r="ED347" s="27" t="e">
        <f>+EB347-AA347</f>
        <v>#NUM!</v>
      </c>
      <c r="EF347" s="27" t="e">
        <f>+ED347-AC347</f>
        <v>#NUM!</v>
      </c>
      <c r="EH347" s="27" t="e">
        <f>+EF347-AE347</f>
        <v>#NUM!</v>
      </c>
      <c r="EJ347" s="27" t="e">
        <f>+EH347-AG347</f>
        <v>#NUM!</v>
      </c>
      <c r="EL347" s="27" t="e">
        <f>+EJ347-AI347</f>
        <v>#NUM!</v>
      </c>
      <c r="EN347" s="27" t="e">
        <f>+EL347-AK347</f>
        <v>#NUM!</v>
      </c>
      <c r="EP347" s="27" t="e">
        <f>+EN347-AM347</f>
        <v>#NUM!</v>
      </c>
      <c r="ER347" s="27" t="e">
        <f>+EP347-AO347</f>
        <v>#NUM!</v>
      </c>
      <c r="ET347" s="27" t="e">
        <f>+ER347-AQ347</f>
        <v>#NUM!</v>
      </c>
      <c r="EV347" s="27" t="e">
        <f>+ET347-AS347</f>
        <v>#NUM!</v>
      </c>
      <c r="EX347" s="27" t="e">
        <f>+EV347-AU347</f>
        <v>#NUM!</v>
      </c>
      <c r="EZ347" s="27" t="e">
        <f>+EX347-AW347</f>
        <v>#NUM!</v>
      </c>
      <c r="FB347" s="27" t="e">
        <f>+EZ347-AY347</f>
        <v>#NUM!</v>
      </c>
      <c r="FD347" s="27" t="e">
        <f>+FB347-BA347</f>
        <v>#NUM!</v>
      </c>
      <c r="FF347" s="27" t="e">
        <f>+FD347-BC347</f>
        <v>#NUM!</v>
      </c>
      <c r="FH347" s="27" t="e">
        <f>+FF347-BE347</f>
        <v>#NUM!</v>
      </c>
      <c r="FJ347" s="61" t="e">
        <f>+FH347-BG347</f>
        <v>#NUM!</v>
      </c>
    </row>
    <row r="348" spans="2:166" s="27" customFormat="1" ht="11.25" hidden="1" x14ac:dyDescent="0.2">
      <c r="B348" s="60"/>
      <c r="E348" s="27">
        <f>+F347+F348</f>
        <v>0</v>
      </c>
      <c r="F348" s="27">
        <f>SUMIF(BI347:DH347,"&gt;0")</f>
        <v>0</v>
      </c>
      <c r="I348" s="27">
        <f>IF(ISERROR(I347)=FALSE,I347,0)</f>
        <v>0</v>
      </c>
      <c r="K348" s="27">
        <f>IF(ISERROR(K347)=FALSE,K347,0)</f>
        <v>0</v>
      </c>
      <c r="M348" s="27">
        <f>IF(ISERROR(M347)=FALSE,M347,0)</f>
        <v>0</v>
      </c>
      <c r="O348" s="27">
        <f>IF(ISERROR(O347)=FALSE,O347,0)</f>
        <v>0</v>
      </c>
      <c r="Q348" s="27">
        <f>IF(ISERROR(Q347)=FALSE,Q347,0)</f>
        <v>0</v>
      </c>
      <c r="S348" s="27">
        <f>IF(ISERROR(S347)=FALSE,S347,0)</f>
        <v>0</v>
      </c>
      <c r="U348" s="27">
        <f>IF(ISERROR(U347)=FALSE,U347,0)</f>
        <v>0</v>
      </c>
      <c r="W348" s="27">
        <f>IF(ISERROR(W347)=FALSE,W347,0)</f>
        <v>0</v>
      </c>
      <c r="Y348" s="27">
        <f>IF(ISERROR(Y347)=FALSE,Y347,0)</f>
        <v>0</v>
      </c>
      <c r="AA348" s="27">
        <f>IF(ISERROR(AA347)=FALSE,AA347,0)</f>
        <v>0</v>
      </c>
      <c r="AC348" s="27">
        <f>IF(ISERROR(AC347)=FALSE,AC347,0)</f>
        <v>0</v>
      </c>
      <c r="AE348" s="27">
        <f>IF(ISERROR(AE347)=FALSE,AE347,0)</f>
        <v>0</v>
      </c>
      <c r="AG348" s="27">
        <f>IF(ISERROR(AG347)=FALSE,AG347,0)</f>
        <v>0</v>
      </c>
      <c r="AI348" s="27">
        <f>IF(ISERROR(AI347)=FALSE,AI347,0)</f>
        <v>0</v>
      </c>
      <c r="AK348" s="27">
        <f>IF(ISERROR(AK347)=FALSE,AK347,0)</f>
        <v>0</v>
      </c>
      <c r="AM348" s="27">
        <f>IF(ISERROR(AM347)=FALSE,AM347,0)</f>
        <v>0</v>
      </c>
      <c r="AO348" s="27">
        <f>IF(ISERROR(AO347)=FALSE,AO347,0)</f>
        <v>0</v>
      </c>
      <c r="AQ348" s="27">
        <f>IF(ISERROR(AQ347)=FALSE,AQ347,0)</f>
        <v>0</v>
      </c>
      <c r="AS348" s="27">
        <f>IF(ISERROR(AS347)=FALSE,AS347,0)</f>
        <v>0</v>
      </c>
      <c r="AU348" s="27">
        <f>IF(ISERROR(AU347)=FALSE,AU347,0)</f>
        <v>0</v>
      </c>
      <c r="AW348" s="27">
        <f>IF(ISERROR(AW347)=FALSE,AW347,0)</f>
        <v>0</v>
      </c>
      <c r="AY348" s="27">
        <f>IF(ISERROR(AY347)=FALSE,AY347,0)</f>
        <v>0</v>
      </c>
      <c r="BA348" s="27">
        <f>IF(ISERROR(BA347)=FALSE,BA347,0)</f>
        <v>0</v>
      </c>
      <c r="BC348" s="27">
        <f>IF(ISERROR(BC347)=FALSE,BC347,0)</f>
        <v>0</v>
      </c>
      <c r="BD348" s="61"/>
      <c r="BE348" s="27">
        <f>IF(ISERROR(BE347)=FALSE,BE347,0)</f>
        <v>0</v>
      </c>
      <c r="BG348" s="27">
        <f>IF(ISERROR(BG347)=FALSE,BG347,0)</f>
        <v>0</v>
      </c>
      <c r="FJ348" s="61"/>
    </row>
    <row r="349" spans="2:166" s="27" customFormat="1" ht="11.25" hidden="1" x14ac:dyDescent="0.2">
      <c r="B349" s="60"/>
      <c r="D349" s="27" t="s">
        <v>630</v>
      </c>
      <c r="E349" s="27">
        <f>IF(E345=0,0,E348/(E345*12))</f>
        <v>0</v>
      </c>
      <c r="BD349" s="61"/>
      <c r="FJ349" s="61"/>
    </row>
    <row r="350" spans="2:166" s="27" customFormat="1" ht="11.25" hidden="1" x14ac:dyDescent="0.2">
      <c r="B350" s="60"/>
      <c r="C350" s="27" t="str">
        <f>C150</f>
        <v>Patentes y marca</v>
      </c>
      <c r="D350" s="27">
        <f>D150</f>
        <v>0</v>
      </c>
      <c r="E350" s="27">
        <f>E150</f>
        <v>0</v>
      </c>
      <c r="F350" s="27">
        <f>F150</f>
        <v>0</v>
      </c>
      <c r="G350" s="27">
        <f>+$E350*12</f>
        <v>0</v>
      </c>
      <c r="H350" s="27">
        <f>SUMIF($W150:$AH150,$D150,$W$108:$AH$108)</f>
        <v>78</v>
      </c>
      <c r="I350" s="27">
        <f>13-H350</f>
        <v>-65</v>
      </c>
      <c r="J350" s="27">
        <f>IF(I350+1&lt;=$G350,I350+1,($G350-I350)+I350)</f>
        <v>-64</v>
      </c>
      <c r="K350" s="27">
        <f>IF(J350+11&lt;=$G350,J350+11,($G350-J350)+J350)</f>
        <v>-53</v>
      </c>
      <c r="L350" s="27">
        <f>IF(K350+1&lt;=$G350,K350+1,($G350-K350)+K350)</f>
        <v>-52</v>
      </c>
      <c r="M350" s="27">
        <f>IF(L350+11&lt;=$G350,L350+11,($G350-L350)+L350)</f>
        <v>-41</v>
      </c>
      <c r="N350" s="27">
        <f>IF(M350+1&lt;=$G350,M350+1,($G350-M350)+M350)</f>
        <v>-40</v>
      </c>
      <c r="O350" s="27">
        <f>IF(N350+11&lt;=$G350,N350+11,($G350-N350)+N350)</f>
        <v>-29</v>
      </c>
      <c r="P350" s="27">
        <f>IF(O350+1&lt;=$G350,O350+1,($G350-O350)+O350)</f>
        <v>-28</v>
      </c>
      <c r="Q350" s="27">
        <f>IF(P350+11&lt;=$G350,P350+11,($G350-P350)+P350)</f>
        <v>-17</v>
      </c>
      <c r="R350" s="27">
        <f>IF(Q350+1&lt;=$G350,Q350+1,($G350-Q350)+Q350)</f>
        <v>-16</v>
      </c>
      <c r="S350" s="27">
        <f>IF(R350+11&lt;=$G350,R350+11,($G350-R350)+R350)</f>
        <v>-5</v>
      </c>
      <c r="T350" s="27">
        <f>IF(S350+1&lt;=$G350,S350+1,($G350-S350)+S350)</f>
        <v>-4</v>
      </c>
      <c r="U350" s="27">
        <f>IF(T350+11&lt;=$G350,T350+11,($G350-T350)+T350)</f>
        <v>0</v>
      </c>
      <c r="V350" s="27">
        <f>IF(U350+1&lt;=$G350,U350+1,($G350-U350)+U350)</f>
        <v>0</v>
      </c>
      <c r="W350" s="27">
        <f>IF(V350+11&lt;=$G350,V350+11,($G350-V350)+V350)</f>
        <v>0</v>
      </c>
      <c r="X350" s="27">
        <f>IF(W350+1&lt;=$G350,W350+1,($G350-W350)+W350)</f>
        <v>0</v>
      </c>
      <c r="Y350" s="27">
        <f>IF(X350+11&lt;=$G350,X350+11,($G350-X350)+X350)</f>
        <v>0</v>
      </c>
      <c r="Z350" s="27">
        <f>IF(Y350+1&lt;=$G350,Y350+1,($G350-Y350)+Y350)</f>
        <v>0</v>
      </c>
      <c r="AA350" s="27">
        <f>IF(Z350+11&lt;=$G350,Z350+11,($G350-Z350)+Z350)</f>
        <v>0</v>
      </c>
      <c r="AB350" s="27">
        <f>IF(AA350+1&lt;=$G350,AA350+1,($G350-AA350)+AA350)</f>
        <v>0</v>
      </c>
      <c r="AC350" s="27">
        <f>IF(AB350+11&lt;=$G350,AB350+11,($G350-AB350)+AB350)</f>
        <v>0</v>
      </c>
      <c r="AD350" s="27">
        <f>IF(AC350+1&lt;=$G350,AC350+1,($G350-AC350)+AC350)</f>
        <v>0</v>
      </c>
      <c r="AE350" s="27">
        <f>IF(AD350+11&lt;=$G350,AD350+11,($G350-AD350)+AD350)</f>
        <v>0</v>
      </c>
      <c r="AF350" s="27">
        <f>IF(AE350+1&lt;=$G350,AE350+1,($G350-AE350)+AE350)</f>
        <v>0</v>
      </c>
      <c r="AG350" s="27">
        <f>IF(AF350+11&lt;=$G350,AF350+11,($G350-AF350)+AF350)</f>
        <v>0</v>
      </c>
      <c r="AH350" s="27">
        <f>IF(AG350+1&lt;=$G350,AG350+1,($G350-AG350)+AG350)</f>
        <v>0</v>
      </c>
      <c r="AI350" s="27">
        <f>IF(AH350+11&lt;=$G350,AH350+11,($G350-AH350)+AH350)</f>
        <v>0</v>
      </c>
      <c r="AJ350" s="27">
        <f>IF(AI350+1&lt;=$G350,AI350+1,($G350-AI350)+AI350)</f>
        <v>0</v>
      </c>
      <c r="AK350" s="27">
        <f>IF(AJ350+11&lt;=$G350,AJ350+11,($G350-AJ350)+AJ350)</f>
        <v>0</v>
      </c>
      <c r="AL350" s="27">
        <f>IF(AK350+1&lt;=$G350,AK350+1,($G350-AK350)+AK350)</f>
        <v>0</v>
      </c>
      <c r="AM350" s="27">
        <f>IF(AL350+11&lt;=$G350,AL350+11,($G350-AL350)+AL350)</f>
        <v>0</v>
      </c>
      <c r="AN350" s="27">
        <f>IF(AM350+1&lt;=$G350,AM350+1,($G350-AM350)+AM350)</f>
        <v>0</v>
      </c>
      <c r="AO350" s="27">
        <f>IF(AN350+11&lt;=$G350,AN350+11,($G350-AN350)+AN350)</f>
        <v>0</v>
      </c>
      <c r="AP350" s="27">
        <f>IF(AO350+1&lt;=$G350,AO350+1,($G350-AO350)+AO350)</f>
        <v>0</v>
      </c>
      <c r="AQ350" s="27">
        <f>IF(AP350+11&lt;=$G350,AP350+11,($G350-AP350)+AP350)</f>
        <v>0</v>
      </c>
      <c r="AR350" s="27">
        <f>IF(AQ350+1&lt;=$G350,AQ350+1,($G350-AQ350)+AQ350)</f>
        <v>0</v>
      </c>
      <c r="AS350" s="27">
        <f>IF(AR350+11&lt;=$G350,AR350+11,($G350-AR350)+AR350)</f>
        <v>0</v>
      </c>
      <c r="AT350" s="27">
        <f>IF(AS350+1&lt;=$G350,AS350+1,($G350-AS350)+AS350)</f>
        <v>0</v>
      </c>
      <c r="AU350" s="27">
        <f>IF(AT350+11&lt;=$G350,AT350+11,($G350-AT350)+AT350)</f>
        <v>0</v>
      </c>
      <c r="AV350" s="27">
        <f>IF(AU350+1&lt;=$G350,AU350+1,($G350-AU350)+AU350)</f>
        <v>0</v>
      </c>
      <c r="AW350" s="27">
        <f>IF(AV350+11&lt;=$G350,AV350+11,($G350-AV350)+AV350)</f>
        <v>0</v>
      </c>
      <c r="AX350" s="27">
        <f>IF(AW350+1&lt;=$G350,AW350+1,($G350-AW350)+AW350)</f>
        <v>0</v>
      </c>
      <c r="AY350" s="27">
        <f>IF(AX350+11&lt;=$G350,AX350+11,($G350-AX350)+AX350)</f>
        <v>0</v>
      </c>
      <c r="AZ350" s="27">
        <f>IF(AY350+1&lt;=$G350,AY350+1,($G350-AY350)+AY350)</f>
        <v>0</v>
      </c>
      <c r="BA350" s="27">
        <f>IF(AZ350+35&lt;=$G350,AZ350+35,($G350-AZ350)+AZ350)</f>
        <v>0</v>
      </c>
      <c r="BB350" s="27">
        <f>IF(BA350+1&lt;=$G350,BA350+1,($G350-BA350)+BA350)</f>
        <v>0</v>
      </c>
      <c r="BC350" s="27">
        <f>IF(BB350+59&lt;=$G350,BB350+59,($G350-BB350)+BB350)</f>
        <v>0</v>
      </c>
      <c r="BD350" s="61">
        <f>IF(BC350+1&lt;=$G350,BC350+1,($G350-BC350)+BC350)</f>
        <v>0</v>
      </c>
      <c r="BE350" s="27">
        <f>IF(BD350+239&lt;=$G350,BD350+239,($G350-BD350)+BD350)</f>
        <v>0</v>
      </c>
      <c r="BF350" s="27">
        <f>IF(BE350+1&lt;=$G350,BE350+1,($G350-BE350)+BE350)</f>
        <v>0</v>
      </c>
      <c r="BG350" s="27">
        <f>IF(BF350+11&lt;=$G350,BF350+11,($G350-BF350)+BF350)</f>
        <v>0</v>
      </c>
      <c r="FJ350" s="61"/>
    </row>
    <row r="351" spans="2:166" s="27" customFormat="1" ht="11.25" hidden="1" x14ac:dyDescent="0.2">
      <c r="B351" s="60"/>
      <c r="H351" s="27">
        <v>1</v>
      </c>
      <c r="I351" s="27">
        <f>+I350</f>
        <v>-65</v>
      </c>
      <c r="J351" s="27">
        <f>IF(I351=$G350,0,J350)</f>
        <v>-64</v>
      </c>
      <c r="K351" s="27">
        <f>+K350</f>
        <v>-53</v>
      </c>
      <c r="L351" s="27">
        <f>IF(K351=$G350,0,L350)</f>
        <v>-52</v>
      </c>
      <c r="M351" s="27">
        <f>+M350</f>
        <v>-41</v>
      </c>
      <c r="N351" s="27">
        <f>IF(M351=$G350,0,N350)</f>
        <v>-40</v>
      </c>
      <c r="O351" s="27">
        <f>+O350</f>
        <v>-29</v>
      </c>
      <c r="P351" s="27">
        <f>IF(O351=$G350,0,P350)</f>
        <v>-28</v>
      </c>
      <c r="Q351" s="27">
        <f>+Q350</f>
        <v>-17</v>
      </c>
      <c r="R351" s="27">
        <f>IF(Q351=$G350,0,R350)</f>
        <v>-16</v>
      </c>
      <c r="S351" s="27">
        <f>+S350</f>
        <v>-5</v>
      </c>
      <c r="T351" s="27">
        <f>IF(S351=$G350,0,T350)</f>
        <v>-4</v>
      </c>
      <c r="U351" s="27">
        <f>+U350</f>
        <v>0</v>
      </c>
      <c r="V351" s="27">
        <f>IF(U351=$G350,0,V350)</f>
        <v>0</v>
      </c>
      <c r="W351" s="27">
        <f>+W350</f>
        <v>0</v>
      </c>
      <c r="X351" s="27">
        <f>IF(W351=$G350,0,X350)</f>
        <v>0</v>
      </c>
      <c r="Y351" s="27">
        <f>+Y350</f>
        <v>0</v>
      </c>
      <c r="Z351" s="27">
        <f>IF(Y351=$G350,0,Z350)</f>
        <v>0</v>
      </c>
      <c r="AA351" s="27">
        <f>+AA350</f>
        <v>0</v>
      </c>
      <c r="AB351" s="27">
        <f>IF(AA351=$G350,0,AB350)</f>
        <v>0</v>
      </c>
      <c r="AC351" s="27">
        <f>+AC350</f>
        <v>0</v>
      </c>
      <c r="AD351" s="27">
        <f>IF(AC351=$G350,0,AD350)</f>
        <v>0</v>
      </c>
      <c r="AE351" s="27">
        <f>+AE350</f>
        <v>0</v>
      </c>
      <c r="AF351" s="27">
        <f>IF(AE351=$G350,0,AF350)</f>
        <v>0</v>
      </c>
      <c r="AG351" s="27">
        <f>+AG350</f>
        <v>0</v>
      </c>
      <c r="AH351" s="27">
        <f>IF(AG351=$G350,0,AH350)</f>
        <v>0</v>
      </c>
      <c r="AI351" s="27">
        <f>+AI350</f>
        <v>0</v>
      </c>
      <c r="AJ351" s="27">
        <f>IF(AI351=$G350,0,AJ350)</f>
        <v>0</v>
      </c>
      <c r="AK351" s="27">
        <f>+AK350</f>
        <v>0</v>
      </c>
      <c r="AL351" s="27">
        <f>IF(AK351=$G350,0,AL350)</f>
        <v>0</v>
      </c>
      <c r="AM351" s="27">
        <f>+AM350</f>
        <v>0</v>
      </c>
      <c r="AN351" s="27">
        <f>IF(AM351=$G350,0,AN350)</f>
        <v>0</v>
      </c>
      <c r="AO351" s="27">
        <f>+AO350</f>
        <v>0</v>
      </c>
      <c r="AP351" s="27">
        <f>IF(AO351=$G350,0,AP350)</f>
        <v>0</v>
      </c>
      <c r="AQ351" s="27">
        <f>+AQ350</f>
        <v>0</v>
      </c>
      <c r="AR351" s="27">
        <f>IF(AQ351=$G350,0,AR350)</f>
        <v>0</v>
      </c>
      <c r="AS351" s="27">
        <f>+AS350</f>
        <v>0</v>
      </c>
      <c r="AT351" s="27">
        <f>IF(AS351=$G350,0,AT350)</f>
        <v>0</v>
      </c>
      <c r="AU351" s="27">
        <f>+AU350</f>
        <v>0</v>
      </c>
      <c r="AV351" s="27">
        <f>IF(AU351=$G350,0,AV350)</f>
        <v>0</v>
      </c>
      <c r="AW351" s="27">
        <f>+AW350</f>
        <v>0</v>
      </c>
      <c r="AX351" s="27">
        <f>IF(AW351=$G350,0,AX350)</f>
        <v>0</v>
      </c>
      <c r="AY351" s="27">
        <f>+AY350</f>
        <v>0</v>
      </c>
      <c r="AZ351" s="27">
        <f>IF(AY351=$G350,0,AZ350)</f>
        <v>0</v>
      </c>
      <c r="BA351" s="27">
        <f>+BA350</f>
        <v>0</v>
      </c>
      <c r="BB351" s="27">
        <f>IF(BA351=$G350,0,BB350)</f>
        <v>0</v>
      </c>
      <c r="BC351" s="27">
        <f>+BC350</f>
        <v>0</v>
      </c>
      <c r="BD351" s="61">
        <f>IF(BC351=$G350,0,BD350)</f>
        <v>0</v>
      </c>
      <c r="BE351" s="27">
        <f>+BE350</f>
        <v>0</v>
      </c>
      <c r="BF351" s="27">
        <f>IF(BE351=$G350,0,BF350)</f>
        <v>0</v>
      </c>
      <c r="BG351" s="27">
        <f>+BG350</f>
        <v>0</v>
      </c>
      <c r="FJ351" s="61"/>
    </row>
    <row r="352" spans="2:166" s="27" customFormat="1" ht="11.25" hidden="1" x14ac:dyDescent="0.2">
      <c r="B352" s="60"/>
      <c r="F352" s="27">
        <f>SUMIF(H352:BG352,"&gt;0")</f>
        <v>0</v>
      </c>
      <c r="G352" s="27" t="s">
        <v>632</v>
      </c>
      <c r="I352" s="27" t="e">
        <f>-CUMPRINC($F350/12,$E350*12,$D350,H351,I351,0)</f>
        <v>#NUM!</v>
      </c>
      <c r="K352" s="27" t="e">
        <f>-CUMPRINC($F350/12,$E350*12,$D350,J351,K351,0)</f>
        <v>#NUM!</v>
      </c>
      <c r="M352" s="27" t="e">
        <f>-CUMPRINC($F350/12,$E350*12,$D350,L351,M351,0)</f>
        <v>#NUM!</v>
      </c>
      <c r="O352" s="27" t="e">
        <f>-CUMPRINC($F350/12,$E350*12,$D350,N351,O351,0)</f>
        <v>#NUM!</v>
      </c>
      <c r="Q352" s="27" t="e">
        <f>-CUMPRINC($F350/12,$E350*12,$D350,P351,Q351,0)</f>
        <v>#NUM!</v>
      </c>
      <c r="S352" s="27" t="e">
        <f>-CUMPRINC($F350/12,$E350*12,$D350,R351,S351,0)</f>
        <v>#NUM!</v>
      </c>
      <c r="U352" s="27" t="e">
        <f>-CUMPRINC($F350/12,$E350*12,$D350,T351,U351,0)</f>
        <v>#NUM!</v>
      </c>
      <c r="W352" s="27" t="e">
        <f>-CUMPRINC($F350/12,$E350*12,$D350,V351,W351,0)</f>
        <v>#NUM!</v>
      </c>
      <c r="Y352" s="27" t="e">
        <f>-CUMPRINC($F350/12,$E350*12,$D350,X351,Y351,0)</f>
        <v>#NUM!</v>
      </c>
      <c r="AA352" s="27" t="e">
        <f>-CUMPRINC($F350/12,$E350*12,$D350,Z351,AA351,0)</f>
        <v>#NUM!</v>
      </c>
      <c r="AC352" s="27" t="e">
        <f>-CUMPRINC($F350/12,$E350*12,$D350,AB351,AC351,0)</f>
        <v>#NUM!</v>
      </c>
      <c r="AE352" s="27" t="e">
        <f>-CUMPRINC($F350/12,$E350*12,$D350,AD351,AE351,0)</f>
        <v>#NUM!</v>
      </c>
      <c r="AG352" s="27" t="e">
        <f>-CUMPRINC($F350/12,$E350*12,$D350,AF351,AG351,0)</f>
        <v>#NUM!</v>
      </c>
      <c r="AI352" s="27" t="e">
        <f>-CUMPRINC($F350/12,$E350*12,$D350,AH351,AI351,0)</f>
        <v>#NUM!</v>
      </c>
      <c r="AK352" s="27" t="e">
        <f>-CUMPRINC($F350/12,$E350*12,$D350,AJ351,AK351,0)</f>
        <v>#NUM!</v>
      </c>
      <c r="AM352" s="27" t="e">
        <f>-CUMPRINC($F350/12,$E350*12,$D350,AL351,AM351,0)</f>
        <v>#NUM!</v>
      </c>
      <c r="AO352" s="27" t="e">
        <f>-CUMPRINC($F350/12,$E350*12,$D350,AN351,AO351,0)</f>
        <v>#NUM!</v>
      </c>
      <c r="AQ352" s="27" t="e">
        <f>-CUMPRINC($F350/12,$E350*12,$D350,AP351,AQ351,0)</f>
        <v>#NUM!</v>
      </c>
      <c r="AS352" s="27" t="e">
        <f>-CUMPRINC($F350/12,$E350*12,$D350,AR351,AS351,0)</f>
        <v>#NUM!</v>
      </c>
      <c r="AU352" s="27" t="e">
        <f>-CUMPRINC($F350/12,$E350*12,$D350,AT351,AU351,0)</f>
        <v>#NUM!</v>
      </c>
      <c r="AW352" s="27" t="e">
        <f>-CUMPRINC($F350/12,$E350*12,$D350,AV351,AW351,0)</f>
        <v>#NUM!</v>
      </c>
      <c r="AY352" s="27" t="e">
        <f>-CUMPRINC($F350/12,$E350*12,$D350,AX351,AY351,0)</f>
        <v>#NUM!</v>
      </c>
      <c r="BA352" s="27" t="e">
        <f>-CUMPRINC($F350/12,$E350*12,$D350,AZ351,BA351,0)</f>
        <v>#NUM!</v>
      </c>
      <c r="BC352" s="27" t="e">
        <f>-CUMPRINC($F350/12,$E350*12,$D350,BB351,BC351,0)</f>
        <v>#NUM!</v>
      </c>
      <c r="BD352" s="61"/>
      <c r="BE352" s="27" t="e">
        <f>-CUMPRINC($F350/12,$E350*12,$D350,BD351,BE351,0)</f>
        <v>#NUM!</v>
      </c>
      <c r="BG352" s="27" t="e">
        <f>-CUMPRINC($F350/12,$E350*12,$D350,BF351,BG351,0)</f>
        <v>#NUM!</v>
      </c>
      <c r="BH352" s="27" t="s">
        <v>783</v>
      </c>
      <c r="BJ352" s="27" t="e">
        <f>-CUMIPMT($F350/12,$E350*12,$D350,H351,I351,0)</f>
        <v>#NUM!</v>
      </c>
      <c r="BL352" s="27" t="e">
        <f>-CUMIPMT($F350/12,$E350*12,$D350,J351,K351,0)</f>
        <v>#NUM!</v>
      </c>
      <c r="BN352" s="27" t="e">
        <f>-CUMIPMT($F350/12,$E350*12,$D350,L351,M351,0)</f>
        <v>#NUM!</v>
      </c>
      <c r="BP352" s="27" t="e">
        <f>-CUMIPMT($F350/12,$E350*12,$D350,N351,O351,0)</f>
        <v>#NUM!</v>
      </c>
      <c r="BR352" s="27" t="e">
        <f>-CUMIPMT($F350/12,$E350*12,$D350,P351,Q351,0)</f>
        <v>#NUM!</v>
      </c>
      <c r="BT352" s="27" t="e">
        <f>-CUMIPMT($F350/12,$E350*12,$D350,R351,S351,0)</f>
        <v>#NUM!</v>
      </c>
      <c r="BV352" s="27" t="e">
        <f>-CUMIPMT($F350/12,$E350*12,$D350,T351,U351,0)</f>
        <v>#NUM!</v>
      </c>
      <c r="BX352" s="27" t="e">
        <f>-CUMIPMT($F350/12,$E350*12,$D350,V351,W351,0)</f>
        <v>#NUM!</v>
      </c>
      <c r="BZ352" s="27" t="e">
        <f>-CUMIPMT($F350/12,$E350*12,$D350,X351,Y351,0)</f>
        <v>#NUM!</v>
      </c>
      <c r="CB352" s="27" t="e">
        <f>-CUMIPMT($F350/12,$E350*12,$D350,Z351,AA351,0)</f>
        <v>#NUM!</v>
      </c>
      <c r="CD352" s="27" t="e">
        <f>-CUMIPMT($F350/12,$E350*12,$D350,AB351,AC351,0)</f>
        <v>#NUM!</v>
      </c>
      <c r="CF352" s="27" t="e">
        <f>-CUMIPMT($F350/12,$E350*12,$D350,AD351,AE351,0)</f>
        <v>#NUM!</v>
      </c>
      <c r="CH352" s="27" t="e">
        <f>-CUMIPMT($F350/12,$E350*12,$D350,AF351,AG351,0)</f>
        <v>#NUM!</v>
      </c>
      <c r="CJ352" s="27" t="e">
        <f>-CUMIPMT($F350/12,$E350*12,$D350,AH351,AI351,0)</f>
        <v>#NUM!</v>
      </c>
      <c r="CL352" s="27" t="e">
        <f>-CUMIPMT($F350/12,$E350*12,$D350,AJ351,AK351,0)</f>
        <v>#NUM!</v>
      </c>
      <c r="CN352" s="27" t="e">
        <f>-CUMIPMT($F350/12,$E350*12,$D350,AL351,AM351,0)</f>
        <v>#NUM!</v>
      </c>
      <c r="CP352" s="27" t="e">
        <f>-CUMIPMT($F350/12,$E350*12,$D350,AN351,AO351,0)</f>
        <v>#NUM!</v>
      </c>
      <c r="CR352" s="27" t="e">
        <f>-CUMIPMT($F350/12,$E350*12,$D350,AP351,AQ351,0)</f>
        <v>#NUM!</v>
      </c>
      <c r="CT352" s="27" t="e">
        <f>-CUMIPMT($F350/12,$E350*12,$D350,AR351,AS351,0)</f>
        <v>#NUM!</v>
      </c>
      <c r="CV352" s="27" t="e">
        <f>-CUMIPMT($F350/12,$E350*12,$D350,AT351,AU351,0)</f>
        <v>#NUM!</v>
      </c>
      <c r="CX352" s="27" t="e">
        <f>-CUMIPMT($F350/12,$E350*12,$D350,AV351,AW351,0)</f>
        <v>#NUM!</v>
      </c>
      <c r="CZ352" s="27" t="e">
        <f>-CUMIPMT($F350/12,$E350*12,$D350,AX351,AY351,0)</f>
        <v>#NUM!</v>
      </c>
      <c r="DB352" s="27" t="e">
        <f>-CUMIPMT($F350/12,$E350*12,$D350,AZ351,BA351,0)</f>
        <v>#NUM!</v>
      </c>
      <c r="DD352" s="27" t="e">
        <f>-CUMIPMT($F350/12,$E350*12,$D350,BB351,BC351,0)</f>
        <v>#NUM!</v>
      </c>
      <c r="DF352" s="27" t="e">
        <f>-CUMIPMT($F350/12,$E350*12,$D350,BD351,BE351,0)</f>
        <v>#NUM!</v>
      </c>
      <c r="DH352" s="27" t="e">
        <f>-CUMIPMT($F350/12,$E350*12,$D350,BF351,BG351,0)</f>
        <v>#NUM!</v>
      </c>
      <c r="DI352" s="27" t="s">
        <v>784</v>
      </c>
      <c r="DJ352" s="27" t="s">
        <v>785</v>
      </c>
      <c r="DK352" s="27">
        <f>+F352</f>
        <v>0</v>
      </c>
      <c r="DL352" s="27" t="e">
        <f>+DK352-I352</f>
        <v>#NUM!</v>
      </c>
      <c r="DN352" s="27" t="e">
        <f>+DL352-K352</f>
        <v>#NUM!</v>
      </c>
      <c r="DP352" s="27" t="e">
        <f>+DN352-M352</f>
        <v>#NUM!</v>
      </c>
      <c r="DR352" s="27" t="e">
        <f>+DP352-O352</f>
        <v>#NUM!</v>
      </c>
      <c r="DT352" s="27" t="e">
        <f>+DR352-Q352</f>
        <v>#NUM!</v>
      </c>
      <c r="DV352" s="27" t="e">
        <f>+DT352-S352</f>
        <v>#NUM!</v>
      </c>
      <c r="DX352" s="27" t="e">
        <f>+DV352-U352</f>
        <v>#NUM!</v>
      </c>
      <c r="DZ352" s="27" t="e">
        <f>+DX352-W352</f>
        <v>#NUM!</v>
      </c>
      <c r="EB352" s="27" t="e">
        <f>+DZ352-Y352</f>
        <v>#NUM!</v>
      </c>
      <c r="ED352" s="27" t="e">
        <f>+EB352-AA352</f>
        <v>#NUM!</v>
      </c>
      <c r="EF352" s="27" t="e">
        <f>+ED352-AC352</f>
        <v>#NUM!</v>
      </c>
      <c r="EH352" s="27" t="e">
        <f>+EF352-AE352</f>
        <v>#NUM!</v>
      </c>
      <c r="EJ352" s="27" t="e">
        <f>+EH352-AG352</f>
        <v>#NUM!</v>
      </c>
      <c r="EL352" s="27" t="e">
        <f>+EJ352-AI352</f>
        <v>#NUM!</v>
      </c>
      <c r="EN352" s="27" t="e">
        <f>+EL352-AK352</f>
        <v>#NUM!</v>
      </c>
      <c r="EP352" s="27" t="e">
        <f>+EN352-AM352</f>
        <v>#NUM!</v>
      </c>
      <c r="ER352" s="27" t="e">
        <f>+EP352-AO352</f>
        <v>#NUM!</v>
      </c>
      <c r="ET352" s="27" t="e">
        <f>+ER352-AQ352</f>
        <v>#NUM!</v>
      </c>
      <c r="EV352" s="27" t="e">
        <f>+ET352-AS352</f>
        <v>#NUM!</v>
      </c>
      <c r="EX352" s="27" t="e">
        <f>+EV352-AU352</f>
        <v>#NUM!</v>
      </c>
      <c r="EZ352" s="27" t="e">
        <f>+EX352-AW352</f>
        <v>#NUM!</v>
      </c>
      <c r="FB352" s="27" t="e">
        <f>+EZ352-AY352</f>
        <v>#NUM!</v>
      </c>
      <c r="FD352" s="27" t="e">
        <f>+FB352-BA352</f>
        <v>#NUM!</v>
      </c>
      <c r="FF352" s="27" t="e">
        <f>+FD352-BC352</f>
        <v>#NUM!</v>
      </c>
      <c r="FH352" s="27" t="e">
        <f>+FF352-BE352</f>
        <v>#NUM!</v>
      </c>
      <c r="FJ352" s="61" t="e">
        <f>+FH352-BG352</f>
        <v>#NUM!</v>
      </c>
    </row>
    <row r="353" spans="2:166" s="27" customFormat="1" ht="11.25" hidden="1" x14ac:dyDescent="0.2">
      <c r="B353" s="60"/>
      <c r="E353" s="27">
        <f>+F352+F353</f>
        <v>0</v>
      </c>
      <c r="F353" s="27">
        <f>SUMIF(BI352:DH352,"&gt;0")</f>
        <v>0</v>
      </c>
      <c r="I353" s="27">
        <f>IF(ISERROR(I352)=FALSE,I352,0)</f>
        <v>0</v>
      </c>
      <c r="K353" s="27">
        <f>IF(ISERROR(K352)=FALSE,K352,0)</f>
        <v>0</v>
      </c>
      <c r="M353" s="27">
        <f>IF(ISERROR(M352)=FALSE,M352,0)</f>
        <v>0</v>
      </c>
      <c r="O353" s="27">
        <f>IF(ISERROR(O352)=FALSE,O352,0)</f>
        <v>0</v>
      </c>
      <c r="Q353" s="27">
        <f>IF(ISERROR(Q352)=FALSE,Q352,0)</f>
        <v>0</v>
      </c>
      <c r="S353" s="27">
        <f>IF(ISERROR(S352)=FALSE,S352,0)</f>
        <v>0</v>
      </c>
      <c r="U353" s="27">
        <f>IF(ISERROR(U352)=FALSE,U352,0)</f>
        <v>0</v>
      </c>
      <c r="W353" s="27">
        <f>IF(ISERROR(W352)=FALSE,W352,0)</f>
        <v>0</v>
      </c>
      <c r="Y353" s="27">
        <f>IF(ISERROR(Y352)=FALSE,Y352,0)</f>
        <v>0</v>
      </c>
      <c r="AA353" s="27">
        <f>IF(ISERROR(AA352)=FALSE,AA352,0)</f>
        <v>0</v>
      </c>
      <c r="AC353" s="27">
        <f>IF(ISERROR(AC352)=FALSE,AC352,0)</f>
        <v>0</v>
      </c>
      <c r="AE353" s="27">
        <f>IF(ISERROR(AE352)=FALSE,AE352,0)</f>
        <v>0</v>
      </c>
      <c r="AG353" s="27">
        <f>IF(ISERROR(AG352)=FALSE,AG352,0)</f>
        <v>0</v>
      </c>
      <c r="AI353" s="27">
        <f>IF(ISERROR(AI352)=FALSE,AI352,0)</f>
        <v>0</v>
      </c>
      <c r="AK353" s="27">
        <f>IF(ISERROR(AK352)=FALSE,AK352,0)</f>
        <v>0</v>
      </c>
      <c r="AM353" s="27">
        <f>IF(ISERROR(AM352)=FALSE,AM352,0)</f>
        <v>0</v>
      </c>
      <c r="AO353" s="27">
        <f>IF(ISERROR(AO352)=FALSE,AO352,0)</f>
        <v>0</v>
      </c>
      <c r="AQ353" s="27">
        <f>IF(ISERROR(AQ352)=FALSE,AQ352,0)</f>
        <v>0</v>
      </c>
      <c r="AS353" s="27">
        <f>IF(ISERROR(AS352)=FALSE,AS352,0)</f>
        <v>0</v>
      </c>
      <c r="AU353" s="27">
        <f>IF(ISERROR(AU352)=FALSE,AU352,0)</f>
        <v>0</v>
      </c>
      <c r="AW353" s="27">
        <f>IF(ISERROR(AW352)=FALSE,AW352,0)</f>
        <v>0</v>
      </c>
      <c r="AY353" s="27">
        <f>IF(ISERROR(AY352)=FALSE,AY352,0)</f>
        <v>0</v>
      </c>
      <c r="BA353" s="27">
        <f>IF(ISERROR(BA352)=FALSE,BA352,0)</f>
        <v>0</v>
      </c>
      <c r="BC353" s="27">
        <f>IF(ISERROR(BC352)=FALSE,BC352,0)</f>
        <v>0</v>
      </c>
      <c r="BD353" s="61"/>
      <c r="BE353" s="27">
        <f>IF(ISERROR(BE352)=FALSE,BE352,0)</f>
        <v>0</v>
      </c>
      <c r="BG353" s="27">
        <f>IF(ISERROR(BG352)=FALSE,BG352,0)</f>
        <v>0</v>
      </c>
      <c r="FJ353" s="61"/>
    </row>
    <row r="354" spans="2:166" s="27" customFormat="1" ht="11.25" hidden="1" x14ac:dyDescent="0.2">
      <c r="B354" s="60"/>
      <c r="D354" s="27" t="s">
        <v>630</v>
      </c>
      <c r="E354" s="27">
        <f>IF(E350=0,0,E353/(E350*12))</f>
        <v>0</v>
      </c>
      <c r="BD354" s="61"/>
      <c r="FJ354" s="61"/>
    </row>
    <row r="355" spans="2:166" s="27" customFormat="1" ht="11.25" hidden="1" x14ac:dyDescent="0.2">
      <c r="B355" s="60"/>
      <c r="C355" s="27" t="str">
        <f>C151</f>
        <v>Otros activos intangibles</v>
      </c>
      <c r="D355" s="27">
        <f>D151</f>
        <v>0</v>
      </c>
      <c r="E355" s="27">
        <f>E151</f>
        <v>0</v>
      </c>
      <c r="F355" s="27">
        <f>F151</f>
        <v>0</v>
      </c>
      <c r="G355" s="27">
        <f>+$E355*12</f>
        <v>0</v>
      </c>
      <c r="H355" s="27">
        <f>SUMIF($W151:$AH151,$D151,$W$108:$AH$108)</f>
        <v>78</v>
      </c>
      <c r="I355" s="27">
        <f>13-H355</f>
        <v>-65</v>
      </c>
      <c r="J355" s="27">
        <f>IF(I355+1&lt;=$G355,I355+1,($G355-I355)+I355)</f>
        <v>-64</v>
      </c>
      <c r="K355" s="27">
        <f>IF(J355+11&lt;=$G355,J355+11,($G355-J355)+J355)</f>
        <v>-53</v>
      </c>
      <c r="L355" s="27">
        <f>IF(K355+1&lt;=$G355,K355+1,($G355-K355)+K355)</f>
        <v>-52</v>
      </c>
      <c r="M355" s="27">
        <f>IF(L355+11&lt;=$G355,L355+11,($G355-L355)+L355)</f>
        <v>-41</v>
      </c>
      <c r="N355" s="27">
        <f>IF(M355+1&lt;=$G355,M355+1,($G355-M355)+M355)</f>
        <v>-40</v>
      </c>
      <c r="O355" s="27">
        <f>IF(N355+11&lt;=$G355,N355+11,($G355-N355)+N355)</f>
        <v>-29</v>
      </c>
      <c r="P355" s="27">
        <f>IF(O355+1&lt;=$G355,O355+1,($G355-O355)+O355)</f>
        <v>-28</v>
      </c>
      <c r="Q355" s="27">
        <f>IF(P355+11&lt;=$G355,P355+11,($G355-P355)+P355)</f>
        <v>-17</v>
      </c>
      <c r="R355" s="27">
        <f>IF(Q355+1&lt;=$G355,Q355+1,($G355-Q355)+Q355)</f>
        <v>-16</v>
      </c>
      <c r="S355" s="27">
        <f>IF(R355+11&lt;=$G355,R355+11,($G355-R355)+R355)</f>
        <v>-5</v>
      </c>
      <c r="T355" s="27">
        <f>IF(S355+1&lt;=$G355,S355+1,($G355-S355)+S355)</f>
        <v>-4</v>
      </c>
      <c r="U355" s="27">
        <f>IF(T355+11&lt;=$G355,T355+11,($G355-T355)+T355)</f>
        <v>0</v>
      </c>
      <c r="V355" s="27">
        <f>IF(U355+1&lt;=$G355,U355+1,($G355-U355)+U355)</f>
        <v>0</v>
      </c>
      <c r="W355" s="27">
        <f>IF(V355+11&lt;=$G355,V355+11,($G355-V355)+V355)</f>
        <v>0</v>
      </c>
      <c r="X355" s="27">
        <f>IF(W355+1&lt;=$G355,W355+1,($G355-W355)+W355)</f>
        <v>0</v>
      </c>
      <c r="Y355" s="27">
        <f>IF(X355+11&lt;=$G355,X355+11,($G355-X355)+X355)</f>
        <v>0</v>
      </c>
      <c r="Z355" s="27">
        <f>IF(Y355+1&lt;=$G355,Y355+1,($G355-Y355)+Y355)</f>
        <v>0</v>
      </c>
      <c r="AA355" s="27">
        <f>IF(Z355+11&lt;=$G355,Z355+11,($G355-Z355)+Z355)</f>
        <v>0</v>
      </c>
      <c r="AB355" s="27">
        <f>IF(AA355+1&lt;=$G355,AA355+1,($G355-AA355)+AA355)</f>
        <v>0</v>
      </c>
      <c r="AC355" s="27">
        <f>IF(AB355+11&lt;=$G355,AB355+11,($G355-AB355)+AB355)</f>
        <v>0</v>
      </c>
      <c r="AD355" s="27">
        <f>IF(AC355+1&lt;=$G355,AC355+1,($G355-AC355)+AC355)</f>
        <v>0</v>
      </c>
      <c r="AE355" s="27">
        <f>IF(AD355+11&lt;=$G355,AD355+11,($G355-AD355)+AD355)</f>
        <v>0</v>
      </c>
      <c r="AF355" s="27">
        <f>IF(AE355+1&lt;=$G355,AE355+1,($G355-AE355)+AE355)</f>
        <v>0</v>
      </c>
      <c r="AG355" s="27">
        <f>IF(AF355+11&lt;=$G355,AF355+11,($G355-AF355)+AF355)</f>
        <v>0</v>
      </c>
      <c r="AH355" s="27">
        <f>IF(AG355+1&lt;=$G355,AG355+1,($G355-AG355)+AG355)</f>
        <v>0</v>
      </c>
      <c r="AI355" s="27">
        <f>IF(AH355+11&lt;=$G355,AH355+11,($G355-AH355)+AH355)</f>
        <v>0</v>
      </c>
      <c r="AJ355" s="27">
        <f>IF(AI355+1&lt;=$G355,AI355+1,($G355-AI355)+AI355)</f>
        <v>0</v>
      </c>
      <c r="AK355" s="27">
        <f>IF(AJ355+11&lt;=$G355,AJ355+11,($G355-AJ355)+AJ355)</f>
        <v>0</v>
      </c>
      <c r="AL355" s="27">
        <f>IF(AK355+1&lt;=$G355,AK355+1,($G355-AK355)+AK355)</f>
        <v>0</v>
      </c>
      <c r="AM355" s="27">
        <f>IF(AL355+11&lt;=$G355,AL355+11,($G355-AL355)+AL355)</f>
        <v>0</v>
      </c>
      <c r="AN355" s="27">
        <f>IF(AM355+1&lt;=$G355,AM355+1,($G355-AM355)+AM355)</f>
        <v>0</v>
      </c>
      <c r="AO355" s="27">
        <f>IF(AN355+11&lt;=$G355,AN355+11,($G355-AN355)+AN355)</f>
        <v>0</v>
      </c>
      <c r="AP355" s="27">
        <f>IF(AO355+1&lt;=$G355,AO355+1,($G355-AO355)+AO355)</f>
        <v>0</v>
      </c>
      <c r="AQ355" s="27">
        <f>IF(AP355+11&lt;=$G355,AP355+11,($G355-AP355)+AP355)</f>
        <v>0</v>
      </c>
      <c r="AR355" s="27">
        <f>IF(AQ355+1&lt;=$G355,AQ355+1,($G355-AQ355)+AQ355)</f>
        <v>0</v>
      </c>
      <c r="AS355" s="27">
        <f>IF(AR355+11&lt;=$G355,AR355+11,($G355-AR355)+AR355)</f>
        <v>0</v>
      </c>
      <c r="AT355" s="27">
        <f>IF(AS355+1&lt;=$G355,AS355+1,($G355-AS355)+AS355)</f>
        <v>0</v>
      </c>
      <c r="AU355" s="27">
        <f>IF(AT355+11&lt;=$G355,AT355+11,($G355-AT355)+AT355)</f>
        <v>0</v>
      </c>
      <c r="AV355" s="27">
        <f>IF(AU355+1&lt;=$G355,AU355+1,($G355-AU355)+AU355)</f>
        <v>0</v>
      </c>
      <c r="AW355" s="27">
        <f>IF(AV355+11&lt;=$G355,AV355+11,($G355-AV355)+AV355)</f>
        <v>0</v>
      </c>
      <c r="AX355" s="27">
        <f>IF(AW355+1&lt;=$G355,AW355+1,($G355-AW355)+AW355)</f>
        <v>0</v>
      </c>
      <c r="AY355" s="27">
        <f>IF(AX355+11&lt;=$G355,AX355+11,($G355-AX355)+AX355)</f>
        <v>0</v>
      </c>
      <c r="AZ355" s="27">
        <f>IF(AY355+1&lt;=$G355,AY355+1,($G355-AY355)+AY355)</f>
        <v>0</v>
      </c>
      <c r="BA355" s="27">
        <f>IF(AZ355+35&lt;=$G355,AZ355+35,($G355-AZ355)+AZ355)</f>
        <v>0</v>
      </c>
      <c r="BB355" s="27">
        <f>IF(BA355+1&lt;=$G355,BA355+1,($G355-BA355)+BA355)</f>
        <v>0</v>
      </c>
      <c r="BC355" s="27">
        <f>IF(BB355+59&lt;=$G355,BB355+59,($G355-BB355)+BB355)</f>
        <v>0</v>
      </c>
      <c r="BD355" s="61">
        <f>IF(BC355+1&lt;=$G355,BC355+1,($G355-BC355)+BC355)</f>
        <v>0</v>
      </c>
      <c r="BE355" s="27">
        <f>IF(BD355+239&lt;=$G355,BD355+239,($G355-BD355)+BD355)</f>
        <v>0</v>
      </c>
      <c r="BF355" s="27">
        <f>IF(BE355+1&lt;=$G355,BE355+1,($G355-BE355)+BE355)</f>
        <v>0</v>
      </c>
      <c r="BG355" s="27">
        <f>IF(BF355+11&lt;=$G355,BF355+11,($G355-BF355)+BF355)</f>
        <v>0</v>
      </c>
      <c r="FJ355" s="61"/>
    </row>
    <row r="356" spans="2:166" s="27" customFormat="1" ht="11.25" hidden="1" x14ac:dyDescent="0.2">
      <c r="B356" s="60"/>
      <c r="H356" s="27">
        <v>1</v>
      </c>
      <c r="I356" s="27">
        <f>+I355</f>
        <v>-65</v>
      </c>
      <c r="J356" s="27">
        <f>IF(I356=$G355,0,J355)</f>
        <v>-64</v>
      </c>
      <c r="K356" s="27">
        <f>+K355</f>
        <v>-53</v>
      </c>
      <c r="L356" s="27">
        <f>IF(K356=$G355,0,L355)</f>
        <v>-52</v>
      </c>
      <c r="M356" s="27">
        <f>+M355</f>
        <v>-41</v>
      </c>
      <c r="N356" s="27">
        <f>IF(M356=$G355,0,N355)</f>
        <v>-40</v>
      </c>
      <c r="O356" s="27">
        <f>+O355</f>
        <v>-29</v>
      </c>
      <c r="P356" s="27">
        <f>IF(O356=$G355,0,P355)</f>
        <v>-28</v>
      </c>
      <c r="Q356" s="27">
        <f>+Q355</f>
        <v>-17</v>
      </c>
      <c r="R356" s="27">
        <f>IF(Q356=$G355,0,R355)</f>
        <v>-16</v>
      </c>
      <c r="S356" s="27">
        <f>+S355</f>
        <v>-5</v>
      </c>
      <c r="T356" s="27">
        <f>IF(S356=$G355,0,T355)</f>
        <v>-4</v>
      </c>
      <c r="U356" s="27">
        <f>+U355</f>
        <v>0</v>
      </c>
      <c r="V356" s="27">
        <f>IF(U356=$G355,0,V355)</f>
        <v>0</v>
      </c>
      <c r="W356" s="27">
        <f>+W355</f>
        <v>0</v>
      </c>
      <c r="X356" s="27">
        <f>IF(W356=$G355,0,X355)</f>
        <v>0</v>
      </c>
      <c r="Y356" s="27">
        <f>+Y355</f>
        <v>0</v>
      </c>
      <c r="Z356" s="27">
        <f>IF(Y356=$G355,0,Z355)</f>
        <v>0</v>
      </c>
      <c r="AA356" s="27">
        <f>+AA355</f>
        <v>0</v>
      </c>
      <c r="AB356" s="27">
        <f>IF(AA356=$G355,0,AB355)</f>
        <v>0</v>
      </c>
      <c r="AC356" s="27">
        <f>+AC355</f>
        <v>0</v>
      </c>
      <c r="AD356" s="27">
        <f>IF(AC356=$G355,0,AD355)</f>
        <v>0</v>
      </c>
      <c r="AE356" s="27">
        <f>+AE355</f>
        <v>0</v>
      </c>
      <c r="AF356" s="27">
        <f>IF(AE356=$G355,0,AF355)</f>
        <v>0</v>
      </c>
      <c r="AG356" s="27">
        <f>+AG355</f>
        <v>0</v>
      </c>
      <c r="AH356" s="27">
        <f>IF(AG356=$G355,0,AH355)</f>
        <v>0</v>
      </c>
      <c r="AI356" s="27">
        <f>+AI355</f>
        <v>0</v>
      </c>
      <c r="AJ356" s="27">
        <f>IF(AI356=$G355,0,AJ355)</f>
        <v>0</v>
      </c>
      <c r="AK356" s="27">
        <f>+AK355</f>
        <v>0</v>
      </c>
      <c r="AL356" s="27">
        <f>IF(AK356=$G355,0,AL355)</f>
        <v>0</v>
      </c>
      <c r="AM356" s="27">
        <f>+AM355</f>
        <v>0</v>
      </c>
      <c r="AN356" s="27">
        <f>IF(AM356=$G355,0,AN355)</f>
        <v>0</v>
      </c>
      <c r="AO356" s="27">
        <f>+AO355</f>
        <v>0</v>
      </c>
      <c r="AP356" s="27">
        <f>IF(AO356=$G355,0,AP355)</f>
        <v>0</v>
      </c>
      <c r="AQ356" s="27">
        <f>+AQ355</f>
        <v>0</v>
      </c>
      <c r="AR356" s="27">
        <f>IF(AQ356=$G355,0,AR355)</f>
        <v>0</v>
      </c>
      <c r="AS356" s="27">
        <f>+AS355</f>
        <v>0</v>
      </c>
      <c r="AT356" s="27">
        <f>IF(AS356=$G355,0,AT355)</f>
        <v>0</v>
      </c>
      <c r="AU356" s="27">
        <f>+AU355</f>
        <v>0</v>
      </c>
      <c r="AV356" s="27">
        <f>IF(AU356=$G355,0,AV355)</f>
        <v>0</v>
      </c>
      <c r="AW356" s="27">
        <f>+AW355</f>
        <v>0</v>
      </c>
      <c r="AX356" s="27">
        <f>IF(AW356=$G355,0,AX355)</f>
        <v>0</v>
      </c>
      <c r="AY356" s="27">
        <f>+AY355</f>
        <v>0</v>
      </c>
      <c r="AZ356" s="27">
        <f>IF(AY356=$G355,0,AZ355)</f>
        <v>0</v>
      </c>
      <c r="BA356" s="27">
        <f>+BA355</f>
        <v>0</v>
      </c>
      <c r="BB356" s="27">
        <f>IF(BA356=$G355,0,BB355)</f>
        <v>0</v>
      </c>
      <c r="BC356" s="27">
        <f>+BC355</f>
        <v>0</v>
      </c>
      <c r="BD356" s="61">
        <f>IF(BC356=$G355,0,BD355)</f>
        <v>0</v>
      </c>
      <c r="BE356" s="27">
        <f>+BE355</f>
        <v>0</v>
      </c>
      <c r="BF356" s="27">
        <f>IF(BE356=$G355,0,BF355)</f>
        <v>0</v>
      </c>
      <c r="BG356" s="27">
        <f>+BG355</f>
        <v>0</v>
      </c>
      <c r="FJ356" s="61"/>
    </row>
    <row r="357" spans="2:166" s="27" customFormat="1" ht="11.25" hidden="1" x14ac:dyDescent="0.2">
      <c r="B357" s="60"/>
      <c r="F357" s="27">
        <f>SUMIF(H357:BG357,"&gt;0")</f>
        <v>0</v>
      </c>
      <c r="G357" s="27" t="s">
        <v>632</v>
      </c>
      <c r="I357" s="27" t="e">
        <f>-CUMPRINC($F355/12,$E355*12,$D355,H356,I356,0)</f>
        <v>#NUM!</v>
      </c>
      <c r="K357" s="27" t="e">
        <f>-CUMPRINC($F355/12,$E355*12,$D355,J356,K356,0)</f>
        <v>#NUM!</v>
      </c>
      <c r="M357" s="27" t="e">
        <f>-CUMPRINC($F355/12,$E355*12,$D355,L356,M356,0)</f>
        <v>#NUM!</v>
      </c>
      <c r="O357" s="27" t="e">
        <f>-CUMPRINC($F355/12,$E355*12,$D355,N356,O356,0)</f>
        <v>#NUM!</v>
      </c>
      <c r="Q357" s="27" t="e">
        <f>-CUMPRINC($F355/12,$E355*12,$D355,P356,Q356,0)</f>
        <v>#NUM!</v>
      </c>
      <c r="S357" s="27" t="e">
        <f>-CUMPRINC($F355/12,$E355*12,$D355,R356,S356,0)</f>
        <v>#NUM!</v>
      </c>
      <c r="U357" s="27" t="e">
        <f>-CUMPRINC($F355/12,$E355*12,$D355,T356,U356,0)</f>
        <v>#NUM!</v>
      </c>
      <c r="W357" s="27" t="e">
        <f>-CUMPRINC($F355/12,$E355*12,$D355,V356,W356,0)</f>
        <v>#NUM!</v>
      </c>
      <c r="Y357" s="27" t="e">
        <f>-CUMPRINC($F355/12,$E355*12,$D355,X356,Y356,0)</f>
        <v>#NUM!</v>
      </c>
      <c r="AA357" s="27" t="e">
        <f>-CUMPRINC($F355/12,$E355*12,$D355,Z356,AA356,0)</f>
        <v>#NUM!</v>
      </c>
      <c r="AC357" s="27" t="e">
        <f>-CUMPRINC($F355/12,$E355*12,$D355,AB356,AC356,0)</f>
        <v>#NUM!</v>
      </c>
      <c r="AE357" s="27" t="e">
        <f>-CUMPRINC($F355/12,$E355*12,$D355,AD356,AE356,0)</f>
        <v>#NUM!</v>
      </c>
      <c r="AG357" s="27" t="e">
        <f>-CUMPRINC($F355/12,$E355*12,$D355,AF356,AG356,0)</f>
        <v>#NUM!</v>
      </c>
      <c r="AI357" s="27" t="e">
        <f>-CUMPRINC($F355/12,$E355*12,$D355,AH356,AI356,0)</f>
        <v>#NUM!</v>
      </c>
      <c r="AK357" s="27" t="e">
        <f>-CUMPRINC($F355/12,$E355*12,$D355,AJ356,AK356,0)</f>
        <v>#NUM!</v>
      </c>
      <c r="AM357" s="27" t="e">
        <f>-CUMPRINC($F355/12,$E355*12,$D355,AL356,AM356,0)</f>
        <v>#NUM!</v>
      </c>
      <c r="AO357" s="27" t="e">
        <f>-CUMPRINC($F355/12,$E355*12,$D355,AN356,AO356,0)</f>
        <v>#NUM!</v>
      </c>
      <c r="AQ357" s="27" t="e">
        <f>-CUMPRINC($F355/12,$E355*12,$D355,AP356,AQ356,0)</f>
        <v>#NUM!</v>
      </c>
      <c r="AS357" s="27" t="e">
        <f>-CUMPRINC($F355/12,$E355*12,$D355,AR356,AS356,0)</f>
        <v>#NUM!</v>
      </c>
      <c r="AU357" s="27" t="e">
        <f>-CUMPRINC($F355/12,$E355*12,$D355,AT356,AU356,0)</f>
        <v>#NUM!</v>
      </c>
      <c r="AW357" s="27" t="e">
        <f>-CUMPRINC($F355/12,$E355*12,$D355,AV356,AW356,0)</f>
        <v>#NUM!</v>
      </c>
      <c r="AY357" s="27" t="e">
        <f>-CUMPRINC($F355/12,$E355*12,$D355,AX356,AY356,0)</f>
        <v>#NUM!</v>
      </c>
      <c r="BA357" s="27" t="e">
        <f>-CUMPRINC($F355/12,$E355*12,$D355,AZ356,BA356,0)</f>
        <v>#NUM!</v>
      </c>
      <c r="BC357" s="27" t="e">
        <f>-CUMPRINC($F355/12,$E355*12,$D355,BB356,BC356,0)</f>
        <v>#NUM!</v>
      </c>
      <c r="BD357" s="61"/>
      <c r="BE357" s="27" t="e">
        <f>-CUMPRINC($F355/12,$E355*12,$D355,BD356,BE356,0)</f>
        <v>#NUM!</v>
      </c>
      <c r="BG357" s="27" t="e">
        <f>-CUMPRINC($F355/12,$E355*12,$D355,BF356,BG356,0)</f>
        <v>#NUM!</v>
      </c>
      <c r="BH357" s="27" t="s">
        <v>783</v>
      </c>
      <c r="BJ357" s="27" t="e">
        <f>-CUMIPMT($F355/12,$E355*12,$D355,H356,I356,0)</f>
        <v>#NUM!</v>
      </c>
      <c r="BL357" s="27" t="e">
        <f>-CUMIPMT($F355/12,$E355*12,$D355,J356,K356,0)</f>
        <v>#NUM!</v>
      </c>
      <c r="BN357" s="27" t="e">
        <f>-CUMIPMT($F355/12,$E355*12,$D355,L356,M356,0)</f>
        <v>#NUM!</v>
      </c>
      <c r="BP357" s="27" t="e">
        <f>-CUMIPMT($F355/12,$E355*12,$D355,N356,O356,0)</f>
        <v>#NUM!</v>
      </c>
      <c r="BR357" s="27" t="e">
        <f>-CUMIPMT($F355/12,$E355*12,$D355,P356,Q356,0)</f>
        <v>#NUM!</v>
      </c>
      <c r="BT357" s="27" t="e">
        <f>-CUMIPMT($F355/12,$E355*12,$D355,R356,S356,0)</f>
        <v>#NUM!</v>
      </c>
      <c r="BV357" s="27" t="e">
        <f>-CUMIPMT($F355/12,$E355*12,$D355,T356,U356,0)</f>
        <v>#NUM!</v>
      </c>
      <c r="BX357" s="27" t="e">
        <f>-CUMIPMT($F355/12,$E355*12,$D355,V356,W356,0)</f>
        <v>#NUM!</v>
      </c>
      <c r="BZ357" s="27" t="e">
        <f>-CUMIPMT($F355/12,$E355*12,$D355,X356,Y356,0)</f>
        <v>#NUM!</v>
      </c>
      <c r="CB357" s="27" t="e">
        <f>-CUMIPMT($F355/12,$E355*12,$D355,Z356,AA356,0)</f>
        <v>#NUM!</v>
      </c>
      <c r="CD357" s="27" t="e">
        <f>-CUMIPMT($F355/12,$E355*12,$D355,AB356,AC356,0)</f>
        <v>#NUM!</v>
      </c>
      <c r="CF357" s="27" t="e">
        <f>-CUMIPMT($F355/12,$E355*12,$D355,AD356,AE356,0)</f>
        <v>#NUM!</v>
      </c>
      <c r="CH357" s="27" t="e">
        <f>-CUMIPMT($F355/12,$E355*12,$D355,AF356,AG356,0)</f>
        <v>#NUM!</v>
      </c>
      <c r="CJ357" s="27" t="e">
        <f>-CUMIPMT($F355/12,$E355*12,$D355,AH356,AI356,0)</f>
        <v>#NUM!</v>
      </c>
      <c r="CL357" s="27" t="e">
        <f>-CUMIPMT($F355/12,$E355*12,$D355,AJ356,AK356,0)</f>
        <v>#NUM!</v>
      </c>
      <c r="CN357" s="27" t="e">
        <f>-CUMIPMT($F355/12,$E355*12,$D355,AL356,AM356,0)</f>
        <v>#NUM!</v>
      </c>
      <c r="CP357" s="27" t="e">
        <f>-CUMIPMT($F355/12,$E355*12,$D355,AN356,AO356,0)</f>
        <v>#NUM!</v>
      </c>
      <c r="CR357" s="27" t="e">
        <f>-CUMIPMT($F355/12,$E355*12,$D355,AP356,AQ356,0)</f>
        <v>#NUM!</v>
      </c>
      <c r="CT357" s="27" t="e">
        <f>-CUMIPMT($F355/12,$E355*12,$D355,AR356,AS356,0)</f>
        <v>#NUM!</v>
      </c>
      <c r="CV357" s="27" t="e">
        <f>-CUMIPMT($F355/12,$E355*12,$D355,AT356,AU356,0)</f>
        <v>#NUM!</v>
      </c>
      <c r="CX357" s="27" t="e">
        <f>-CUMIPMT($F355/12,$E355*12,$D355,AV356,AW356,0)</f>
        <v>#NUM!</v>
      </c>
      <c r="CZ357" s="27" t="e">
        <f>-CUMIPMT($F355/12,$E355*12,$D355,AX356,AY356,0)</f>
        <v>#NUM!</v>
      </c>
      <c r="DB357" s="27" t="e">
        <f>-CUMIPMT($F355/12,$E355*12,$D355,AZ356,BA356,0)</f>
        <v>#NUM!</v>
      </c>
      <c r="DD357" s="27" t="e">
        <f>-CUMIPMT($F355/12,$E355*12,$D355,BB356,BC356,0)</f>
        <v>#NUM!</v>
      </c>
      <c r="DF357" s="27" t="e">
        <f>-CUMIPMT($F355/12,$E355*12,$D355,BD356,BE356,0)</f>
        <v>#NUM!</v>
      </c>
      <c r="DH357" s="27" t="e">
        <f>-CUMIPMT($F355/12,$E355*12,$D355,BF356,BG356,0)</f>
        <v>#NUM!</v>
      </c>
      <c r="DI357" s="27" t="s">
        <v>784</v>
      </c>
      <c r="DJ357" s="27" t="s">
        <v>785</v>
      </c>
      <c r="DK357" s="27">
        <f>+F357</f>
        <v>0</v>
      </c>
      <c r="DL357" s="27" t="e">
        <f>+DK357-I357</f>
        <v>#NUM!</v>
      </c>
      <c r="DN357" s="27" t="e">
        <f>+DL357-K357</f>
        <v>#NUM!</v>
      </c>
      <c r="DP357" s="27" t="e">
        <f>+DN357-M357</f>
        <v>#NUM!</v>
      </c>
      <c r="DR357" s="27" t="e">
        <f>+DP357-O357</f>
        <v>#NUM!</v>
      </c>
      <c r="DT357" s="27" t="e">
        <f>+DR357-Q357</f>
        <v>#NUM!</v>
      </c>
      <c r="DV357" s="27" t="e">
        <f>+DT357-S357</f>
        <v>#NUM!</v>
      </c>
      <c r="DX357" s="27" t="e">
        <f>+DV357-U357</f>
        <v>#NUM!</v>
      </c>
      <c r="DZ357" s="27" t="e">
        <f>+DX357-W357</f>
        <v>#NUM!</v>
      </c>
      <c r="EB357" s="27" t="e">
        <f>+DZ357-Y357</f>
        <v>#NUM!</v>
      </c>
      <c r="ED357" s="27" t="e">
        <f>+EB357-AA357</f>
        <v>#NUM!</v>
      </c>
      <c r="EF357" s="27" t="e">
        <f>+ED357-AC357</f>
        <v>#NUM!</v>
      </c>
      <c r="EH357" s="27" t="e">
        <f>+EF357-AE357</f>
        <v>#NUM!</v>
      </c>
      <c r="EJ357" s="27" t="e">
        <f>+EH357-AG357</f>
        <v>#NUM!</v>
      </c>
      <c r="EL357" s="27" t="e">
        <f>+EJ357-AI357</f>
        <v>#NUM!</v>
      </c>
      <c r="EN357" s="27" t="e">
        <f>+EL357-AK357</f>
        <v>#NUM!</v>
      </c>
      <c r="EP357" s="27" t="e">
        <f>+EN357-AM357</f>
        <v>#NUM!</v>
      </c>
      <c r="ER357" s="27" t="e">
        <f>+EP357-AO357</f>
        <v>#NUM!</v>
      </c>
      <c r="ET357" s="27" t="e">
        <f>+ER357-AQ357</f>
        <v>#NUM!</v>
      </c>
      <c r="EV357" s="27" t="e">
        <f>+ET357-AS357</f>
        <v>#NUM!</v>
      </c>
      <c r="EX357" s="27" t="e">
        <f>+EV357-AU357</f>
        <v>#NUM!</v>
      </c>
      <c r="EZ357" s="27" t="e">
        <f>+EX357-AW357</f>
        <v>#NUM!</v>
      </c>
      <c r="FB357" s="27" t="e">
        <f>+EZ357-AY357</f>
        <v>#NUM!</v>
      </c>
      <c r="FD357" s="27" t="e">
        <f>+FB357-BA357</f>
        <v>#NUM!</v>
      </c>
      <c r="FF357" s="27" t="e">
        <f>+FD357-BC357</f>
        <v>#NUM!</v>
      </c>
      <c r="FH357" s="27" t="e">
        <f>+FF357-BE357</f>
        <v>#NUM!</v>
      </c>
      <c r="FJ357" s="61" t="e">
        <f>+FH357-BG357</f>
        <v>#NUM!</v>
      </c>
    </row>
    <row r="358" spans="2:166" s="27" customFormat="1" ht="11.25" hidden="1" x14ac:dyDescent="0.2">
      <c r="B358" s="60"/>
      <c r="E358" s="27">
        <f>+F357+F358</f>
        <v>0</v>
      </c>
      <c r="F358" s="27">
        <f>SUMIF(BI357:DH357,"&gt;0")</f>
        <v>0</v>
      </c>
      <c r="I358" s="27">
        <f>IF(ISERROR(I357)=FALSE,I357,0)</f>
        <v>0</v>
      </c>
      <c r="K358" s="27">
        <f>IF(ISERROR(K357)=FALSE,K357,0)</f>
        <v>0</v>
      </c>
      <c r="M358" s="27">
        <f>IF(ISERROR(M357)=FALSE,M357,0)</f>
        <v>0</v>
      </c>
      <c r="O358" s="27">
        <f>IF(ISERROR(O357)=FALSE,O357,0)</f>
        <v>0</v>
      </c>
      <c r="Q358" s="27">
        <f>IF(ISERROR(Q357)=FALSE,Q357,0)</f>
        <v>0</v>
      </c>
      <c r="S358" s="27">
        <f>IF(ISERROR(S357)=FALSE,S357,0)</f>
        <v>0</v>
      </c>
      <c r="U358" s="27">
        <f>IF(ISERROR(U357)=FALSE,U357,0)</f>
        <v>0</v>
      </c>
      <c r="W358" s="27">
        <f>IF(ISERROR(W357)=FALSE,W357,0)</f>
        <v>0</v>
      </c>
      <c r="Y358" s="27">
        <f>IF(ISERROR(Y357)=FALSE,Y357,0)</f>
        <v>0</v>
      </c>
      <c r="AA358" s="27">
        <f>IF(ISERROR(AA357)=FALSE,AA357,0)</f>
        <v>0</v>
      </c>
      <c r="AC358" s="27">
        <f>IF(ISERROR(AC357)=FALSE,AC357,0)</f>
        <v>0</v>
      </c>
      <c r="AE358" s="27">
        <f>IF(ISERROR(AE357)=FALSE,AE357,0)</f>
        <v>0</v>
      </c>
      <c r="AG358" s="27">
        <f>IF(ISERROR(AG357)=FALSE,AG357,0)</f>
        <v>0</v>
      </c>
      <c r="AI358" s="27">
        <f>IF(ISERROR(AI357)=FALSE,AI357,0)</f>
        <v>0</v>
      </c>
      <c r="AK358" s="27">
        <f>IF(ISERROR(AK357)=FALSE,AK357,0)</f>
        <v>0</v>
      </c>
      <c r="AM358" s="27">
        <f>IF(ISERROR(AM357)=FALSE,AM357,0)</f>
        <v>0</v>
      </c>
      <c r="AO358" s="27">
        <f>IF(ISERROR(AO357)=FALSE,AO357,0)</f>
        <v>0</v>
      </c>
      <c r="AQ358" s="27">
        <f>IF(ISERROR(AQ357)=FALSE,AQ357,0)</f>
        <v>0</v>
      </c>
      <c r="AS358" s="27">
        <f>IF(ISERROR(AS357)=FALSE,AS357,0)</f>
        <v>0</v>
      </c>
      <c r="AU358" s="27">
        <f>IF(ISERROR(AU357)=FALSE,AU357,0)</f>
        <v>0</v>
      </c>
      <c r="AW358" s="27">
        <f>IF(ISERROR(AW357)=FALSE,AW357,0)</f>
        <v>0</v>
      </c>
      <c r="AY358" s="27">
        <f>IF(ISERROR(AY357)=FALSE,AY357,0)</f>
        <v>0</v>
      </c>
      <c r="BA358" s="27">
        <f>IF(ISERROR(BA357)=FALSE,BA357,0)</f>
        <v>0</v>
      </c>
      <c r="BC358" s="27">
        <f>IF(ISERROR(BC357)=FALSE,BC357,0)</f>
        <v>0</v>
      </c>
      <c r="BD358" s="61"/>
      <c r="BE358" s="27">
        <f>IF(ISERROR(BE357)=FALSE,BE357,0)</f>
        <v>0</v>
      </c>
      <c r="BG358" s="27">
        <f>IF(ISERROR(BG357)=FALSE,BG357,0)</f>
        <v>0</v>
      </c>
      <c r="FJ358" s="61"/>
    </row>
    <row r="359" spans="2:166" s="27" customFormat="1" ht="11.25" hidden="1" x14ac:dyDescent="0.2">
      <c r="B359" s="60"/>
      <c r="D359" s="27" t="s">
        <v>630</v>
      </c>
      <c r="E359" s="27">
        <f>IF(E355=0,0,E358/(E355*12))</f>
        <v>0</v>
      </c>
      <c r="BD359" s="61"/>
      <c r="FJ359" s="61"/>
    </row>
    <row r="360" spans="2:166" s="27" customFormat="1" ht="11.25" hidden="1" x14ac:dyDescent="0.2">
      <c r="B360" s="60"/>
      <c r="C360" s="27" t="str">
        <f>C152</f>
        <v>Activos intangibles 2</v>
      </c>
      <c r="D360" s="27">
        <f>D152</f>
        <v>0</v>
      </c>
      <c r="E360" s="27">
        <f>E152</f>
        <v>0</v>
      </c>
      <c r="F360" s="27">
        <f>F152</f>
        <v>0</v>
      </c>
      <c r="G360" s="27">
        <f>+$E360*12</f>
        <v>0</v>
      </c>
      <c r="H360" s="27">
        <f>SUMIF($W152:$AH152,$D152,$W$108:$AH$108)</f>
        <v>78</v>
      </c>
      <c r="I360" s="27">
        <f>13-H360</f>
        <v>-65</v>
      </c>
      <c r="J360" s="27">
        <f>IF(I360+1&lt;=$G360,I360+1,($G360-I360)+I360)</f>
        <v>-64</v>
      </c>
      <c r="K360" s="27">
        <f>IF(J360+11&lt;=$G360,J360+11,($G360-J360)+J360)</f>
        <v>-53</v>
      </c>
      <c r="L360" s="27">
        <f>IF(K360+1&lt;=$G360,K360+1,($G360-K360)+K360)</f>
        <v>-52</v>
      </c>
      <c r="M360" s="27">
        <f>IF(L360+11&lt;=$G360,L360+11,($G360-L360)+L360)</f>
        <v>-41</v>
      </c>
      <c r="N360" s="27">
        <f>IF(M360+1&lt;=$G360,M360+1,($G360-M360)+M360)</f>
        <v>-40</v>
      </c>
      <c r="O360" s="27">
        <f>IF(N360+11&lt;=$G360,N360+11,($G360-N360)+N360)</f>
        <v>-29</v>
      </c>
      <c r="P360" s="27">
        <f>IF(O360+1&lt;=$G360,O360+1,($G360-O360)+O360)</f>
        <v>-28</v>
      </c>
      <c r="Q360" s="27">
        <f>IF(P360+11&lt;=$G360,P360+11,($G360-P360)+P360)</f>
        <v>-17</v>
      </c>
      <c r="R360" s="27">
        <f>IF(Q360+1&lt;=$G360,Q360+1,($G360-Q360)+Q360)</f>
        <v>-16</v>
      </c>
      <c r="S360" s="27">
        <f>IF(R360+11&lt;=$G360,R360+11,($G360-R360)+R360)</f>
        <v>-5</v>
      </c>
      <c r="T360" s="27">
        <f>IF(S360+1&lt;=$G360,S360+1,($G360-S360)+S360)</f>
        <v>-4</v>
      </c>
      <c r="U360" s="27">
        <f>IF(T360+11&lt;=$G360,T360+11,($G360-T360)+T360)</f>
        <v>0</v>
      </c>
      <c r="V360" s="27">
        <f>IF(U360+1&lt;=$G360,U360+1,($G360-U360)+U360)</f>
        <v>0</v>
      </c>
      <c r="W360" s="27">
        <f>IF(V360+11&lt;=$G360,V360+11,($G360-V360)+V360)</f>
        <v>0</v>
      </c>
      <c r="X360" s="27">
        <f>IF(W360+1&lt;=$G360,W360+1,($G360-W360)+W360)</f>
        <v>0</v>
      </c>
      <c r="Y360" s="27">
        <f>IF(X360+11&lt;=$G360,X360+11,($G360-X360)+X360)</f>
        <v>0</v>
      </c>
      <c r="Z360" s="27">
        <f>IF(Y360+1&lt;=$G360,Y360+1,($G360-Y360)+Y360)</f>
        <v>0</v>
      </c>
      <c r="AA360" s="27">
        <f>IF(Z360+11&lt;=$G360,Z360+11,($G360-Z360)+Z360)</f>
        <v>0</v>
      </c>
      <c r="AB360" s="27">
        <f>IF(AA360+1&lt;=$G360,AA360+1,($G360-AA360)+AA360)</f>
        <v>0</v>
      </c>
      <c r="AC360" s="27">
        <f>IF(AB360+11&lt;=$G360,AB360+11,($G360-AB360)+AB360)</f>
        <v>0</v>
      </c>
      <c r="AD360" s="27">
        <f>IF(AC360+1&lt;=$G360,AC360+1,($G360-AC360)+AC360)</f>
        <v>0</v>
      </c>
      <c r="AE360" s="27">
        <f>IF(AD360+11&lt;=$G360,AD360+11,($G360-AD360)+AD360)</f>
        <v>0</v>
      </c>
      <c r="AF360" s="27">
        <f>IF(AE360+1&lt;=$G360,AE360+1,($G360-AE360)+AE360)</f>
        <v>0</v>
      </c>
      <c r="AG360" s="27">
        <f>IF(AF360+11&lt;=$G360,AF360+11,($G360-AF360)+AF360)</f>
        <v>0</v>
      </c>
      <c r="AH360" s="27">
        <f>IF(AG360+1&lt;=$G360,AG360+1,($G360-AG360)+AG360)</f>
        <v>0</v>
      </c>
      <c r="AI360" s="27">
        <f>IF(AH360+11&lt;=$G360,AH360+11,($G360-AH360)+AH360)</f>
        <v>0</v>
      </c>
      <c r="AJ360" s="27">
        <f>IF(AI360+1&lt;=$G360,AI360+1,($G360-AI360)+AI360)</f>
        <v>0</v>
      </c>
      <c r="AK360" s="27">
        <f>IF(AJ360+11&lt;=$G360,AJ360+11,($G360-AJ360)+AJ360)</f>
        <v>0</v>
      </c>
      <c r="AL360" s="27">
        <f>IF(AK360+1&lt;=$G360,AK360+1,($G360-AK360)+AK360)</f>
        <v>0</v>
      </c>
      <c r="AM360" s="27">
        <f>IF(AL360+11&lt;=$G360,AL360+11,($G360-AL360)+AL360)</f>
        <v>0</v>
      </c>
      <c r="AN360" s="27">
        <f>IF(AM360+1&lt;=$G360,AM360+1,($G360-AM360)+AM360)</f>
        <v>0</v>
      </c>
      <c r="AO360" s="27">
        <f>IF(AN360+11&lt;=$G360,AN360+11,($G360-AN360)+AN360)</f>
        <v>0</v>
      </c>
      <c r="AP360" s="27">
        <f>IF(AO360+1&lt;=$G360,AO360+1,($G360-AO360)+AO360)</f>
        <v>0</v>
      </c>
      <c r="AQ360" s="27">
        <f>IF(AP360+11&lt;=$G360,AP360+11,($G360-AP360)+AP360)</f>
        <v>0</v>
      </c>
      <c r="AR360" s="27">
        <f>IF(AQ360+1&lt;=$G360,AQ360+1,($G360-AQ360)+AQ360)</f>
        <v>0</v>
      </c>
      <c r="AS360" s="27">
        <f>IF(AR360+11&lt;=$G360,AR360+11,($G360-AR360)+AR360)</f>
        <v>0</v>
      </c>
      <c r="AT360" s="27">
        <f>IF(AS360+1&lt;=$G360,AS360+1,($G360-AS360)+AS360)</f>
        <v>0</v>
      </c>
      <c r="AU360" s="27">
        <f>IF(AT360+11&lt;=$G360,AT360+11,($G360-AT360)+AT360)</f>
        <v>0</v>
      </c>
      <c r="AV360" s="27">
        <f>IF(AU360+1&lt;=$G360,AU360+1,($G360-AU360)+AU360)</f>
        <v>0</v>
      </c>
      <c r="AW360" s="27">
        <f>IF(AV360+11&lt;=$G360,AV360+11,($G360-AV360)+AV360)</f>
        <v>0</v>
      </c>
      <c r="AX360" s="27">
        <f>IF(AW360+1&lt;=$G360,AW360+1,($G360-AW360)+AW360)</f>
        <v>0</v>
      </c>
      <c r="AY360" s="27">
        <f>IF(AX360+11&lt;=$G360,AX360+11,($G360-AX360)+AX360)</f>
        <v>0</v>
      </c>
      <c r="AZ360" s="27">
        <f>IF(AY360+1&lt;=$G360,AY360+1,($G360-AY360)+AY360)</f>
        <v>0</v>
      </c>
      <c r="BA360" s="27">
        <f>IF(AZ360+35&lt;=$G360,AZ360+35,($G360-AZ360)+AZ360)</f>
        <v>0</v>
      </c>
      <c r="BB360" s="27">
        <f>IF(BA360+1&lt;=$G360,BA360+1,($G360-BA360)+BA360)</f>
        <v>0</v>
      </c>
      <c r="BC360" s="27">
        <f>IF(BB360+59&lt;=$G360,BB360+59,($G360-BB360)+BB360)</f>
        <v>0</v>
      </c>
      <c r="BD360" s="61">
        <f>IF(BC360+1&lt;=$G360,BC360+1,($G360-BC360)+BC360)</f>
        <v>0</v>
      </c>
      <c r="BE360" s="27">
        <f>IF(BD360+239&lt;=$G360,BD360+239,($G360-BD360)+BD360)</f>
        <v>0</v>
      </c>
      <c r="BF360" s="27">
        <f>IF(BE360+1&lt;=$G360,BE360+1,($G360-BE360)+BE360)</f>
        <v>0</v>
      </c>
      <c r="BG360" s="27">
        <f>IF(BF360+11&lt;=$G360,BF360+11,($G360-BF360)+BF360)</f>
        <v>0</v>
      </c>
      <c r="FJ360" s="61"/>
    </row>
    <row r="361" spans="2:166" s="27" customFormat="1" ht="11.25" hidden="1" x14ac:dyDescent="0.2">
      <c r="B361" s="60"/>
      <c r="H361" s="27">
        <v>1</v>
      </c>
      <c r="I361" s="27">
        <f>+I360</f>
        <v>-65</v>
      </c>
      <c r="J361" s="27">
        <f>IF(I361=$G360,0,J360)</f>
        <v>-64</v>
      </c>
      <c r="K361" s="27">
        <f>+K360</f>
        <v>-53</v>
      </c>
      <c r="L361" s="27">
        <f>IF(K361=$G360,0,L360)</f>
        <v>-52</v>
      </c>
      <c r="M361" s="27">
        <f>+M360</f>
        <v>-41</v>
      </c>
      <c r="N361" s="27">
        <f>IF(M361=$G360,0,N360)</f>
        <v>-40</v>
      </c>
      <c r="O361" s="27">
        <f>+O360</f>
        <v>-29</v>
      </c>
      <c r="P361" s="27">
        <f>IF(O361=$G360,0,P360)</f>
        <v>-28</v>
      </c>
      <c r="Q361" s="27">
        <f>+Q360</f>
        <v>-17</v>
      </c>
      <c r="R361" s="27">
        <f>IF(Q361=$G360,0,R360)</f>
        <v>-16</v>
      </c>
      <c r="S361" s="27">
        <f>+S360</f>
        <v>-5</v>
      </c>
      <c r="T361" s="27">
        <f>IF(S361=$G360,0,T360)</f>
        <v>-4</v>
      </c>
      <c r="U361" s="27">
        <f>+U360</f>
        <v>0</v>
      </c>
      <c r="V361" s="27">
        <f>IF(U361=$G360,0,V360)</f>
        <v>0</v>
      </c>
      <c r="W361" s="27">
        <f>+W360</f>
        <v>0</v>
      </c>
      <c r="X361" s="27">
        <f>IF(W361=$G360,0,X360)</f>
        <v>0</v>
      </c>
      <c r="Y361" s="27">
        <f>+Y360</f>
        <v>0</v>
      </c>
      <c r="Z361" s="27">
        <f>IF(Y361=$G360,0,Z360)</f>
        <v>0</v>
      </c>
      <c r="AA361" s="27">
        <f>+AA360</f>
        <v>0</v>
      </c>
      <c r="AB361" s="27">
        <f>IF(AA361=$G360,0,AB360)</f>
        <v>0</v>
      </c>
      <c r="AC361" s="27">
        <f>+AC360</f>
        <v>0</v>
      </c>
      <c r="AD361" s="27">
        <f>IF(AC361=$G360,0,AD360)</f>
        <v>0</v>
      </c>
      <c r="AE361" s="27">
        <f>+AE360</f>
        <v>0</v>
      </c>
      <c r="AF361" s="27">
        <f>IF(AE361=$G360,0,AF360)</f>
        <v>0</v>
      </c>
      <c r="AG361" s="27">
        <f>+AG360</f>
        <v>0</v>
      </c>
      <c r="AH361" s="27">
        <f>IF(AG361=$G360,0,AH360)</f>
        <v>0</v>
      </c>
      <c r="AI361" s="27">
        <f>+AI360</f>
        <v>0</v>
      </c>
      <c r="AJ361" s="27">
        <f>IF(AI361=$G360,0,AJ360)</f>
        <v>0</v>
      </c>
      <c r="AK361" s="27">
        <f>+AK360</f>
        <v>0</v>
      </c>
      <c r="AL361" s="27">
        <f>IF(AK361=$G360,0,AL360)</f>
        <v>0</v>
      </c>
      <c r="AM361" s="27">
        <f>+AM360</f>
        <v>0</v>
      </c>
      <c r="AN361" s="27">
        <f>IF(AM361=$G360,0,AN360)</f>
        <v>0</v>
      </c>
      <c r="AO361" s="27">
        <f>+AO360</f>
        <v>0</v>
      </c>
      <c r="AP361" s="27">
        <f>IF(AO361=$G360,0,AP360)</f>
        <v>0</v>
      </c>
      <c r="AQ361" s="27">
        <f>+AQ360</f>
        <v>0</v>
      </c>
      <c r="AR361" s="27">
        <f>IF(AQ361=$G360,0,AR360)</f>
        <v>0</v>
      </c>
      <c r="AS361" s="27">
        <f>+AS360</f>
        <v>0</v>
      </c>
      <c r="AT361" s="27">
        <f>IF(AS361=$G360,0,AT360)</f>
        <v>0</v>
      </c>
      <c r="AU361" s="27">
        <f>+AU360</f>
        <v>0</v>
      </c>
      <c r="AV361" s="27">
        <f>IF(AU361=$G360,0,AV360)</f>
        <v>0</v>
      </c>
      <c r="AW361" s="27">
        <f>+AW360</f>
        <v>0</v>
      </c>
      <c r="AX361" s="27">
        <f>IF(AW361=$G360,0,AX360)</f>
        <v>0</v>
      </c>
      <c r="AY361" s="27">
        <f>+AY360</f>
        <v>0</v>
      </c>
      <c r="AZ361" s="27">
        <f>IF(AY361=$G360,0,AZ360)</f>
        <v>0</v>
      </c>
      <c r="BA361" s="27">
        <f>+BA360</f>
        <v>0</v>
      </c>
      <c r="BB361" s="27">
        <f>IF(BA361=$G360,0,BB360)</f>
        <v>0</v>
      </c>
      <c r="BC361" s="27">
        <f>+BC360</f>
        <v>0</v>
      </c>
      <c r="BD361" s="61">
        <f>IF(BC361=$G360,0,BD360)</f>
        <v>0</v>
      </c>
      <c r="BE361" s="27">
        <f>+BE360</f>
        <v>0</v>
      </c>
      <c r="BF361" s="27">
        <f>IF(BE361=$G360,0,BF360)</f>
        <v>0</v>
      </c>
      <c r="BG361" s="27">
        <f>+BG360</f>
        <v>0</v>
      </c>
      <c r="FJ361" s="61"/>
    </row>
    <row r="362" spans="2:166" s="27" customFormat="1" ht="11.25" hidden="1" x14ac:dyDescent="0.2">
      <c r="B362" s="60"/>
      <c r="F362" s="27">
        <f>SUMIF(H362:BG362,"&gt;0")</f>
        <v>0</v>
      </c>
      <c r="G362" s="27" t="s">
        <v>632</v>
      </c>
      <c r="I362" s="27" t="e">
        <f>-CUMPRINC($F360/12,$E360*12,$D360,H361,I361,0)</f>
        <v>#NUM!</v>
      </c>
      <c r="K362" s="27" t="e">
        <f>-CUMPRINC($F360/12,$E360*12,$D360,J361,K361,0)</f>
        <v>#NUM!</v>
      </c>
      <c r="M362" s="27" t="e">
        <f>-CUMPRINC($F360/12,$E360*12,$D360,L361,M361,0)</f>
        <v>#NUM!</v>
      </c>
      <c r="O362" s="27" t="e">
        <f>-CUMPRINC($F360/12,$E360*12,$D360,N361,O361,0)</f>
        <v>#NUM!</v>
      </c>
      <c r="Q362" s="27" t="e">
        <f>-CUMPRINC($F360/12,$E360*12,$D360,P361,Q361,0)</f>
        <v>#NUM!</v>
      </c>
      <c r="S362" s="27" t="e">
        <f>-CUMPRINC($F360/12,$E360*12,$D360,R361,S361,0)</f>
        <v>#NUM!</v>
      </c>
      <c r="U362" s="27" t="e">
        <f>-CUMPRINC($F360/12,$E360*12,$D360,T361,U361,0)</f>
        <v>#NUM!</v>
      </c>
      <c r="W362" s="27" t="e">
        <f>-CUMPRINC($F360/12,$E360*12,$D360,V361,W361,0)</f>
        <v>#NUM!</v>
      </c>
      <c r="Y362" s="27" t="e">
        <f>-CUMPRINC($F360/12,$E360*12,$D360,X361,Y361,0)</f>
        <v>#NUM!</v>
      </c>
      <c r="AA362" s="27" t="e">
        <f>-CUMPRINC($F360/12,$E360*12,$D360,Z361,AA361,0)</f>
        <v>#NUM!</v>
      </c>
      <c r="AC362" s="27" t="e">
        <f>-CUMPRINC($F360/12,$E360*12,$D360,AB361,AC361,0)</f>
        <v>#NUM!</v>
      </c>
      <c r="AE362" s="27" t="e">
        <f>-CUMPRINC($F360/12,$E360*12,$D360,AD361,AE361,0)</f>
        <v>#NUM!</v>
      </c>
      <c r="AG362" s="27" t="e">
        <f>-CUMPRINC($F360/12,$E360*12,$D360,AF361,AG361,0)</f>
        <v>#NUM!</v>
      </c>
      <c r="AI362" s="27" t="e">
        <f>-CUMPRINC($F360/12,$E360*12,$D360,AH361,AI361,0)</f>
        <v>#NUM!</v>
      </c>
      <c r="AK362" s="27" t="e">
        <f>-CUMPRINC($F360/12,$E360*12,$D360,AJ361,AK361,0)</f>
        <v>#NUM!</v>
      </c>
      <c r="AM362" s="27" t="e">
        <f>-CUMPRINC($F360/12,$E360*12,$D360,AL361,AM361,0)</f>
        <v>#NUM!</v>
      </c>
      <c r="AO362" s="27" t="e">
        <f>-CUMPRINC($F360/12,$E360*12,$D360,AN361,AO361,0)</f>
        <v>#NUM!</v>
      </c>
      <c r="AQ362" s="27" t="e">
        <f>-CUMPRINC($F360/12,$E360*12,$D360,AP361,AQ361,0)</f>
        <v>#NUM!</v>
      </c>
      <c r="AS362" s="27" t="e">
        <f>-CUMPRINC($F360/12,$E360*12,$D360,AR361,AS361,0)</f>
        <v>#NUM!</v>
      </c>
      <c r="AU362" s="27" t="e">
        <f>-CUMPRINC($F360/12,$E360*12,$D360,AT361,AU361,0)</f>
        <v>#NUM!</v>
      </c>
      <c r="AW362" s="27" t="e">
        <f>-CUMPRINC($F360/12,$E360*12,$D360,AV361,AW361,0)</f>
        <v>#NUM!</v>
      </c>
      <c r="AY362" s="27" t="e">
        <f>-CUMPRINC($F360/12,$E360*12,$D360,AX361,AY361,0)</f>
        <v>#NUM!</v>
      </c>
      <c r="BA362" s="27" t="e">
        <f>-CUMPRINC($F360/12,$E360*12,$D360,AZ361,BA361,0)</f>
        <v>#NUM!</v>
      </c>
      <c r="BC362" s="27" t="e">
        <f>-CUMPRINC($F360/12,$E360*12,$D360,BB361,BC361,0)</f>
        <v>#NUM!</v>
      </c>
      <c r="BD362" s="61"/>
      <c r="BE362" s="27" t="e">
        <f>-CUMPRINC($F360/12,$E360*12,$D360,BD361,BE361,0)</f>
        <v>#NUM!</v>
      </c>
      <c r="BG362" s="27" t="e">
        <f>-CUMPRINC($F360/12,$E360*12,$D360,BF361,BG361,0)</f>
        <v>#NUM!</v>
      </c>
      <c r="BH362" s="27" t="s">
        <v>783</v>
      </c>
      <c r="BJ362" s="27" t="e">
        <f>-CUMIPMT($F360/12,$E360*12,$D360,H361,I361,0)</f>
        <v>#NUM!</v>
      </c>
      <c r="BL362" s="27" t="e">
        <f>-CUMIPMT($F360/12,$E360*12,$D360,J361,K361,0)</f>
        <v>#NUM!</v>
      </c>
      <c r="BN362" s="27" t="e">
        <f>-CUMIPMT($F360/12,$E360*12,$D360,L361,M361,0)</f>
        <v>#NUM!</v>
      </c>
      <c r="BP362" s="27" t="e">
        <f>-CUMIPMT($F360/12,$E360*12,$D360,N361,O361,0)</f>
        <v>#NUM!</v>
      </c>
      <c r="BR362" s="27" t="e">
        <f>-CUMIPMT($F360/12,$E360*12,$D360,P361,Q361,0)</f>
        <v>#NUM!</v>
      </c>
      <c r="BT362" s="27" t="e">
        <f>-CUMIPMT($F360/12,$E360*12,$D360,R361,S361,0)</f>
        <v>#NUM!</v>
      </c>
      <c r="BV362" s="27" t="e">
        <f>-CUMIPMT($F360/12,$E360*12,$D360,T361,U361,0)</f>
        <v>#NUM!</v>
      </c>
      <c r="BX362" s="27" t="e">
        <f>-CUMIPMT($F360/12,$E360*12,$D360,V361,W361,0)</f>
        <v>#NUM!</v>
      </c>
      <c r="BZ362" s="27" t="e">
        <f>-CUMIPMT($F360/12,$E360*12,$D360,X361,Y361,0)</f>
        <v>#NUM!</v>
      </c>
      <c r="CB362" s="27" t="e">
        <f>-CUMIPMT($F360/12,$E360*12,$D360,Z361,AA361,0)</f>
        <v>#NUM!</v>
      </c>
      <c r="CD362" s="27" t="e">
        <f>-CUMIPMT($F360/12,$E360*12,$D360,AB361,AC361,0)</f>
        <v>#NUM!</v>
      </c>
      <c r="CF362" s="27" t="e">
        <f>-CUMIPMT($F360/12,$E360*12,$D360,AD361,AE361,0)</f>
        <v>#NUM!</v>
      </c>
      <c r="CH362" s="27" t="e">
        <f>-CUMIPMT($F360/12,$E360*12,$D360,AF361,AG361,0)</f>
        <v>#NUM!</v>
      </c>
      <c r="CJ362" s="27" t="e">
        <f>-CUMIPMT($F360/12,$E360*12,$D360,AH361,AI361,0)</f>
        <v>#NUM!</v>
      </c>
      <c r="CL362" s="27" t="e">
        <f>-CUMIPMT($F360/12,$E360*12,$D360,AJ361,AK361,0)</f>
        <v>#NUM!</v>
      </c>
      <c r="CN362" s="27" t="e">
        <f>-CUMIPMT($F360/12,$E360*12,$D360,AL361,AM361,0)</f>
        <v>#NUM!</v>
      </c>
      <c r="CP362" s="27" t="e">
        <f>-CUMIPMT($F360/12,$E360*12,$D360,AN361,AO361,0)</f>
        <v>#NUM!</v>
      </c>
      <c r="CR362" s="27" t="e">
        <f>-CUMIPMT($F360/12,$E360*12,$D360,AP361,AQ361,0)</f>
        <v>#NUM!</v>
      </c>
      <c r="CT362" s="27" t="e">
        <f>-CUMIPMT($F360/12,$E360*12,$D360,AR361,AS361,0)</f>
        <v>#NUM!</v>
      </c>
      <c r="CV362" s="27" t="e">
        <f>-CUMIPMT($F360/12,$E360*12,$D360,AT361,AU361,0)</f>
        <v>#NUM!</v>
      </c>
      <c r="CX362" s="27" t="e">
        <f>-CUMIPMT($F360/12,$E360*12,$D360,AV361,AW361,0)</f>
        <v>#NUM!</v>
      </c>
      <c r="CZ362" s="27" t="e">
        <f>-CUMIPMT($F360/12,$E360*12,$D360,AX361,AY361,0)</f>
        <v>#NUM!</v>
      </c>
      <c r="DB362" s="27" t="e">
        <f>-CUMIPMT($F360/12,$E360*12,$D360,AZ361,BA361,0)</f>
        <v>#NUM!</v>
      </c>
      <c r="DD362" s="27" t="e">
        <f>-CUMIPMT($F360/12,$E360*12,$D360,BB361,BC361,0)</f>
        <v>#NUM!</v>
      </c>
      <c r="DF362" s="27" t="e">
        <f>-CUMIPMT($F360/12,$E360*12,$D360,BD361,BE361,0)</f>
        <v>#NUM!</v>
      </c>
      <c r="DH362" s="27" t="e">
        <f>-CUMIPMT($F360/12,$E360*12,$D360,BF361,BG361,0)</f>
        <v>#NUM!</v>
      </c>
      <c r="DI362" s="27" t="s">
        <v>784</v>
      </c>
      <c r="DJ362" s="27" t="s">
        <v>785</v>
      </c>
      <c r="DK362" s="27">
        <f>+F362</f>
        <v>0</v>
      </c>
      <c r="DL362" s="27" t="e">
        <f>+DK362-I362</f>
        <v>#NUM!</v>
      </c>
      <c r="DN362" s="27" t="e">
        <f>+DL362-K362</f>
        <v>#NUM!</v>
      </c>
      <c r="DP362" s="27" t="e">
        <f>+DN362-M362</f>
        <v>#NUM!</v>
      </c>
      <c r="DR362" s="27" t="e">
        <f>+DP362-O362</f>
        <v>#NUM!</v>
      </c>
      <c r="DT362" s="27" t="e">
        <f>+DR362-Q362</f>
        <v>#NUM!</v>
      </c>
      <c r="DV362" s="27" t="e">
        <f>+DT362-S362</f>
        <v>#NUM!</v>
      </c>
      <c r="DX362" s="27" t="e">
        <f>+DV362-U362</f>
        <v>#NUM!</v>
      </c>
      <c r="DZ362" s="27" t="e">
        <f>+DX362-W362</f>
        <v>#NUM!</v>
      </c>
      <c r="EB362" s="27" t="e">
        <f>+DZ362-Y362</f>
        <v>#NUM!</v>
      </c>
      <c r="ED362" s="27" t="e">
        <f>+EB362-AA362</f>
        <v>#NUM!</v>
      </c>
      <c r="EF362" s="27" t="e">
        <f>+ED362-AC362</f>
        <v>#NUM!</v>
      </c>
      <c r="EH362" s="27" t="e">
        <f>+EF362-AE362</f>
        <v>#NUM!</v>
      </c>
      <c r="EJ362" s="27" t="e">
        <f>+EH362-AG362</f>
        <v>#NUM!</v>
      </c>
      <c r="EL362" s="27" t="e">
        <f>+EJ362-AI362</f>
        <v>#NUM!</v>
      </c>
      <c r="EN362" s="27" t="e">
        <f>+EL362-AK362</f>
        <v>#NUM!</v>
      </c>
      <c r="EP362" s="27" t="e">
        <f>+EN362-AM362</f>
        <v>#NUM!</v>
      </c>
      <c r="ER362" s="27" t="e">
        <f>+EP362-AO362</f>
        <v>#NUM!</v>
      </c>
      <c r="ET362" s="27" t="e">
        <f>+ER362-AQ362</f>
        <v>#NUM!</v>
      </c>
      <c r="EV362" s="27" t="e">
        <f>+ET362-AS362</f>
        <v>#NUM!</v>
      </c>
      <c r="EX362" s="27" t="e">
        <f>+EV362-AU362</f>
        <v>#NUM!</v>
      </c>
      <c r="EZ362" s="27" t="e">
        <f>+EX362-AW362</f>
        <v>#NUM!</v>
      </c>
      <c r="FB362" s="27" t="e">
        <f>+EZ362-AY362</f>
        <v>#NUM!</v>
      </c>
      <c r="FD362" s="27" t="e">
        <f>+FB362-BA362</f>
        <v>#NUM!</v>
      </c>
      <c r="FF362" s="27" t="e">
        <f>+FD362-BC362</f>
        <v>#NUM!</v>
      </c>
      <c r="FH362" s="27" t="e">
        <f>+FF362-BE362</f>
        <v>#NUM!</v>
      </c>
      <c r="FJ362" s="61" t="e">
        <f>+FH362-BG362</f>
        <v>#NUM!</v>
      </c>
    </row>
    <row r="363" spans="2:166" s="27" customFormat="1" ht="11.25" hidden="1" x14ac:dyDescent="0.2">
      <c r="B363" s="60"/>
      <c r="E363" s="27">
        <f>+F362+F363</f>
        <v>0</v>
      </c>
      <c r="F363" s="27">
        <f>SUMIF(BI362:DH362,"&gt;0")</f>
        <v>0</v>
      </c>
      <c r="I363" s="27">
        <f>IF(ISERROR(I362)=FALSE,I362,0)</f>
        <v>0</v>
      </c>
      <c r="K363" s="27">
        <f>IF(ISERROR(K362)=FALSE,K362,0)</f>
        <v>0</v>
      </c>
      <c r="M363" s="27">
        <f>IF(ISERROR(M362)=FALSE,M362,0)</f>
        <v>0</v>
      </c>
      <c r="O363" s="27">
        <f>IF(ISERROR(O362)=FALSE,O362,0)</f>
        <v>0</v>
      </c>
      <c r="Q363" s="27">
        <f>IF(ISERROR(Q362)=FALSE,Q362,0)</f>
        <v>0</v>
      </c>
      <c r="S363" s="27">
        <f>IF(ISERROR(S362)=FALSE,S362,0)</f>
        <v>0</v>
      </c>
      <c r="U363" s="27">
        <f>IF(ISERROR(U362)=FALSE,U362,0)</f>
        <v>0</v>
      </c>
      <c r="W363" s="27">
        <f>IF(ISERROR(W362)=FALSE,W362,0)</f>
        <v>0</v>
      </c>
      <c r="Y363" s="27">
        <f>IF(ISERROR(Y362)=FALSE,Y362,0)</f>
        <v>0</v>
      </c>
      <c r="AA363" s="27">
        <f>IF(ISERROR(AA362)=FALSE,AA362,0)</f>
        <v>0</v>
      </c>
      <c r="AC363" s="27">
        <f>IF(ISERROR(AC362)=FALSE,AC362,0)</f>
        <v>0</v>
      </c>
      <c r="AE363" s="27">
        <f>IF(ISERROR(AE362)=FALSE,AE362,0)</f>
        <v>0</v>
      </c>
      <c r="AG363" s="27">
        <f>IF(ISERROR(AG362)=FALSE,AG362,0)</f>
        <v>0</v>
      </c>
      <c r="AI363" s="27">
        <f>IF(ISERROR(AI362)=FALSE,AI362,0)</f>
        <v>0</v>
      </c>
      <c r="AK363" s="27">
        <f>IF(ISERROR(AK362)=FALSE,AK362,0)</f>
        <v>0</v>
      </c>
      <c r="AM363" s="27">
        <f>IF(ISERROR(AM362)=FALSE,AM362,0)</f>
        <v>0</v>
      </c>
      <c r="AO363" s="27">
        <f>IF(ISERROR(AO362)=FALSE,AO362,0)</f>
        <v>0</v>
      </c>
      <c r="AQ363" s="27">
        <f>IF(ISERROR(AQ362)=FALSE,AQ362,0)</f>
        <v>0</v>
      </c>
      <c r="AS363" s="27">
        <f>IF(ISERROR(AS362)=FALSE,AS362,0)</f>
        <v>0</v>
      </c>
      <c r="AU363" s="27">
        <f>IF(ISERROR(AU362)=FALSE,AU362,0)</f>
        <v>0</v>
      </c>
      <c r="AW363" s="27">
        <f>IF(ISERROR(AW362)=FALSE,AW362,0)</f>
        <v>0</v>
      </c>
      <c r="AY363" s="27">
        <f>IF(ISERROR(AY362)=FALSE,AY362,0)</f>
        <v>0</v>
      </c>
      <c r="BA363" s="27">
        <f>IF(ISERROR(BA362)=FALSE,BA362,0)</f>
        <v>0</v>
      </c>
      <c r="BC363" s="27">
        <f>IF(ISERROR(BC362)=FALSE,BC362,0)</f>
        <v>0</v>
      </c>
      <c r="BD363" s="61"/>
      <c r="BE363" s="27">
        <f>IF(ISERROR(BE362)=FALSE,BE362,0)</f>
        <v>0</v>
      </c>
      <c r="BG363" s="27">
        <f>IF(ISERROR(BG362)=FALSE,BG362,0)</f>
        <v>0</v>
      </c>
      <c r="FJ363" s="61"/>
    </row>
    <row r="364" spans="2:166" s="27" customFormat="1" ht="11.25" hidden="1" x14ac:dyDescent="0.2">
      <c r="B364" s="60"/>
      <c r="D364" s="27" t="s">
        <v>630</v>
      </c>
      <c r="E364" s="27">
        <f>IF(E360=0,0,E363/(E360*12))</f>
        <v>0</v>
      </c>
      <c r="BD364" s="61"/>
      <c r="FJ364" s="61"/>
    </row>
    <row r="365" spans="2:166" s="27" customFormat="1" ht="11.25" hidden="1" x14ac:dyDescent="0.2">
      <c r="B365" s="60"/>
      <c r="BD365" s="61"/>
      <c r="FJ365" s="61"/>
    </row>
    <row r="366" spans="2:166" s="27" customFormat="1" ht="11.25" hidden="1" x14ac:dyDescent="0.2">
      <c r="B366" s="62"/>
      <c r="C366" s="63" t="s">
        <v>1269</v>
      </c>
      <c r="D366" s="64">
        <f>+F362+F357+F352+F347+F342+F337+F332+F327+F322+F317+F312+F307+F302+F297+F292+F287+F282+F277+F272+F267+F262+F257+F252+F247+F242+F237+F232+F227+F222+F217+F212+F207+F202+F197+F192+F177+F172+F157+F182+F167+F162+F187</f>
        <v>0</v>
      </c>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7"/>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7"/>
    </row>
    <row r="367" spans="2:166" s="27" customFormat="1" ht="11.25" hidden="1" x14ac:dyDescent="0.2">
      <c r="B367" s="60"/>
      <c r="C367" s="27" t="s">
        <v>1268</v>
      </c>
      <c r="D367" s="61">
        <f>+D360+D355+D350+D345+D340+D335+D330+D325+D320+D315+D310+D305+D300+D295+D290+D285+D280+D275+D270+D265+D260+D255+D250+D245+D240+D235+D230+D225+D220+D215+D210+D205+D200+D195+D190+D175+D170+D155+D180+D165+D160+D185</f>
        <v>0</v>
      </c>
      <c r="H367" s="27" t="str">
        <f t="shared" ref="H367:AM367" si="377">H154</f>
        <v>AÑO</v>
      </c>
      <c r="I367" s="27">
        <f t="shared" si="377"/>
        <v>1</v>
      </c>
      <c r="J367" s="27" t="str">
        <f t="shared" si="377"/>
        <v>AÑO</v>
      </c>
      <c r="K367" s="27">
        <f t="shared" si="377"/>
        <v>2</v>
      </c>
      <c r="L367" s="27" t="str">
        <f t="shared" si="377"/>
        <v>AÑO</v>
      </c>
      <c r="M367" s="27">
        <f t="shared" si="377"/>
        <v>3</v>
      </c>
      <c r="N367" s="27" t="str">
        <f t="shared" si="377"/>
        <v>AÑO</v>
      </c>
      <c r="O367" s="27">
        <f t="shared" si="377"/>
        <v>4</v>
      </c>
      <c r="P367" s="27" t="str">
        <f t="shared" si="377"/>
        <v>AÑO</v>
      </c>
      <c r="Q367" s="27">
        <f t="shared" si="377"/>
        <v>5</v>
      </c>
      <c r="R367" s="27" t="str">
        <f t="shared" si="377"/>
        <v>AÑO</v>
      </c>
      <c r="S367" s="27">
        <f t="shared" si="377"/>
        <v>6</v>
      </c>
      <c r="T367" s="27" t="str">
        <f t="shared" si="377"/>
        <v>AÑO</v>
      </c>
      <c r="U367" s="27">
        <f t="shared" si="377"/>
        <v>7</v>
      </c>
      <c r="V367" s="27" t="str">
        <f t="shared" si="377"/>
        <v>AÑO</v>
      </c>
      <c r="W367" s="27">
        <f t="shared" si="377"/>
        <v>8</v>
      </c>
      <c r="X367" s="27" t="str">
        <f t="shared" si="377"/>
        <v>AÑO</v>
      </c>
      <c r="Y367" s="27">
        <f t="shared" si="377"/>
        <v>9</v>
      </c>
      <c r="Z367" s="27" t="str">
        <f t="shared" si="377"/>
        <v>AÑO</v>
      </c>
      <c r="AA367" s="27">
        <f t="shared" si="377"/>
        <v>10</v>
      </c>
      <c r="AB367" s="27" t="str">
        <f t="shared" si="377"/>
        <v>AÑO</v>
      </c>
      <c r="AC367" s="27">
        <f t="shared" si="377"/>
        <v>11</v>
      </c>
      <c r="AD367" s="27" t="str">
        <f t="shared" si="377"/>
        <v>AÑO</v>
      </c>
      <c r="AE367" s="27">
        <f t="shared" si="377"/>
        <v>12</v>
      </c>
      <c r="AF367" s="27" t="str">
        <f t="shared" si="377"/>
        <v>AÑO</v>
      </c>
      <c r="AG367" s="27">
        <f t="shared" si="377"/>
        <v>13</v>
      </c>
      <c r="AH367" s="27" t="str">
        <f t="shared" si="377"/>
        <v>AÑO</v>
      </c>
      <c r="AI367" s="27">
        <f t="shared" si="377"/>
        <v>14</v>
      </c>
      <c r="AJ367" s="27" t="str">
        <f t="shared" si="377"/>
        <v>AÑO</v>
      </c>
      <c r="AK367" s="27">
        <f t="shared" si="377"/>
        <v>15</v>
      </c>
      <c r="AL367" s="27" t="str">
        <f t="shared" si="377"/>
        <v>AÑO</v>
      </c>
      <c r="AM367" s="27">
        <f t="shared" si="377"/>
        <v>16</v>
      </c>
      <c r="AN367" s="27" t="str">
        <f t="shared" ref="AN367:BG367" si="378">AN154</f>
        <v>AÑO</v>
      </c>
      <c r="AO367" s="27">
        <f t="shared" si="378"/>
        <v>17</v>
      </c>
      <c r="AP367" s="27" t="str">
        <f t="shared" si="378"/>
        <v>AÑO</v>
      </c>
      <c r="AQ367" s="27">
        <f t="shared" si="378"/>
        <v>18</v>
      </c>
      <c r="AR367" s="27" t="str">
        <f t="shared" si="378"/>
        <v>AÑO</v>
      </c>
      <c r="AS367" s="27">
        <f t="shared" si="378"/>
        <v>19</v>
      </c>
      <c r="AT367" s="27" t="str">
        <f t="shared" si="378"/>
        <v>AÑO</v>
      </c>
      <c r="AU367" s="27">
        <f t="shared" si="378"/>
        <v>20</v>
      </c>
      <c r="AV367" s="27" t="str">
        <f t="shared" si="378"/>
        <v>AÑO</v>
      </c>
      <c r="AW367" s="27">
        <f t="shared" si="378"/>
        <v>21</v>
      </c>
      <c r="AX367" s="27" t="str">
        <f t="shared" si="378"/>
        <v>AÑO</v>
      </c>
      <c r="AY367" s="27">
        <f t="shared" si="378"/>
        <v>22</v>
      </c>
      <c r="AZ367" s="27" t="str">
        <f t="shared" si="378"/>
        <v>AÑO</v>
      </c>
      <c r="BA367" s="27">
        <f t="shared" si="378"/>
        <v>25</v>
      </c>
      <c r="BB367" s="27" t="str">
        <f t="shared" si="378"/>
        <v>AÑO</v>
      </c>
      <c r="BC367" s="27">
        <f t="shared" si="378"/>
        <v>30</v>
      </c>
      <c r="BD367" s="61" t="str">
        <f t="shared" si="378"/>
        <v>AÑO</v>
      </c>
      <c r="BE367" s="27">
        <f t="shared" si="378"/>
        <v>50</v>
      </c>
      <c r="BF367" s="27" t="str">
        <f t="shared" si="378"/>
        <v>AÑO</v>
      </c>
      <c r="BG367" s="61">
        <f t="shared" si="378"/>
        <v>51</v>
      </c>
    </row>
    <row r="368" spans="2:166" s="27" customFormat="1" ht="11.25" hidden="1" x14ac:dyDescent="0.2">
      <c r="B368" s="60"/>
      <c r="C368" s="27" t="s">
        <v>1270</v>
      </c>
      <c r="D368" s="61">
        <f>+E363+E358+E353+E348+E343+E338+E333+E328+E323+E318+E313+E308+E303+E298+E293+E288+E283+E278+E273+E268+E263+E258+E253+E248+E243+E238+E233+E228+E223+E218+E213+E208+E203+E198+E193+E178+E173+E158+E183+E168+E163+E188</f>
        <v>0</v>
      </c>
      <c r="F368" s="27" t="s">
        <v>1271</v>
      </c>
      <c r="I368" s="27">
        <f>+I363+I358+I353+I348+I343+I338+I333+I328+I323+I318+I313+I308+I303+I298+I293+I288+I283+I278+I273+I268+I263+I258+I253+I248+I243+I238+I233+I228+I223+I218+I213+I208+I203+I198+I193+I178+I173+I158+I183+I168+I163+I188</f>
        <v>0</v>
      </c>
      <c r="K368" s="27">
        <f>+K363+K358+K353+K348+K343+K338+K333+K328+K323+K318+K313+K308+K303+K298+K293+K288+K283+K278+K273+K268+K263+K258+K253+K248+K243+K238+K233+K228+K223+K218+K213+K208+K203+K198+K193+K178+K173+K158+K183+K168+K163+K188</f>
        <v>0</v>
      </c>
      <c r="M368" s="27">
        <f>+M363+M358+M353+M348+M343+M338+M333+M328+M323+M318+M313+M308+M303+M298+M293+M288+M283+M278+M273+M268+M263+M258+M253+M248+M243+M238+M233+M228+M223+M218+M213+M208+M203+M198+M193+M178+M173+M158+M183+M168+M163+M188</f>
        <v>0</v>
      </c>
      <c r="O368" s="27">
        <f>+O363+O358+O353+O348+O343+O338+O333+O328+O323+O318+O313+O308+O303+O298+O293+O288+O283+O278+O273+O268+O263+O258+O253+O248+O243+O238+O233+O228+O223+O218+O213+O208+O203+O198+O193+O178+O173+O158+O183+O168+O163+O188</f>
        <v>0</v>
      </c>
      <c r="Q368" s="27">
        <f>+Q363+Q358+Q353+Q348+Q343+Q338+Q333+Q328+Q323+Q318+Q313+Q308+Q303+Q298+Q293+Q288+Q283+Q278+Q273+Q268+Q263+Q258+Q253+Q248+Q243+Q238+Q233+Q228+Q223+Q218+Q213+Q208+Q203+Q198+Q193+Q178+Q173+Q158+Q183+Q168+Q163+Q188</f>
        <v>0</v>
      </c>
      <c r="S368" s="27">
        <f>+S363+S358+S353+S348+S343+S338+S333+S328+S323+S318+S313+S308+S303+S298+S293+S288+S283+S278+S273+S268+S263+S258+S253+S248+S243+S238+S233+S228+S223+S218+S213+S208+S203+S198+S193+S178+S173+S158+S183+S168+S163+S188</f>
        <v>0</v>
      </c>
      <c r="U368" s="27">
        <f>+U363+U358+U353+U348+U343+U338+U333+U328+U323+U318+U313+U308+U303+U298+U293+U288+U283+U278+U273+U268+U263+U258+U253+U248+U243+U238+U233+U228+U223+U218+U213+U208+U203+U198+U193+U178+U173+U158+U183+U168+U163+U188</f>
        <v>0</v>
      </c>
      <c r="W368" s="27">
        <f>+W363+W358+W353+W348+W343+W338+W333+W328+W323+W318+W313+W308+W303+W298+W293+W288+W283+W278+W273+W268+W263+W258+W253+W248+W243+W238+W233+W228+W223+W218+W213+W208+W203+W198+W193+W178+W173+W158+W183+W168+W163+W188</f>
        <v>0</v>
      </c>
      <c r="Y368" s="27">
        <f>+Y363+Y358+Y353+Y348+Y343+Y338+Y333+Y328+Y323+Y318+Y313+Y308+Y303+Y298+Y293+Y288+Y283+Y278+Y273+Y268+Y263+Y258+Y253+Y248+Y243+Y238+Y233+Y228+Y223+Y218+Y213+Y208+Y203+Y198+Y193+Y178+Y173+Y158+Y183+Y168+Y163+Y188</f>
        <v>0</v>
      </c>
      <c r="AA368" s="27">
        <f>+AA363+AA358+AA353+AA348+AA343+AA338+AA333+AA328+AA323+AA318+AA313+AA308+AA303+AA298+AA293+AA288+AA283+AA278+AA273+AA268+AA263+AA258+AA253+AA248+AA243+AA238+AA233+AA228+AA223+AA218+AA213+AA208+AA203+AA198+AA193+AA178+AA173+AA158+AA183+AA168+AA163+AA188</f>
        <v>0</v>
      </c>
      <c r="AC368" s="27">
        <f>+AC363+AC358+AC353+AC348+AC343+AC338+AC333+AC328+AC323+AC318+AC313+AC308+AC303+AC298+AC293+AC288+AC283+AC278+AC273+AC268+AC263+AC258+AC253+AC248+AC243+AC238+AC233+AC228+AC223+AC218+AC213+AC208+AC203+AC198+AC193+AC178+AC173+AC158+AC183+AC168+AC163+AC188</f>
        <v>0</v>
      </c>
      <c r="AE368" s="27">
        <f>+AE363+AE358+AE353+AE348+AE343+AE338+AE333+AE328+AE323+AE318+AE313+AE308+AE303+AE298+AE293+AE288+AE283+AE278+AE273+AE268+AE263+AE258+AE253+AE248+AE243+AE238+AE233+AE228+AE223+AE218+AE213+AE208+AE203+AE198+AE193+AE178+AE173+AE158+AE183+AE168+AE163+AE188</f>
        <v>0</v>
      </c>
      <c r="AG368" s="27">
        <f>+AG363+AG358+AG353+AG348+AG343+AG338+AG333+AG328+AG323+AG318+AG313+AG308+AG303+AG298+AG293+AG288+AG283+AG278+AG273+AG268+AG263+AG258+AG253+AG248+AG243+AG238+AG233+AG228+AG223+AG218+AG213+AG208+AG203+AG198+AG193+AG178+AG173+AG158+AG183+AG168+AG163+AG188</f>
        <v>0</v>
      </c>
      <c r="AI368" s="27">
        <f>+AI363+AI358+AI353+AI348+AI343+AI338+AI333+AI328+AI323+AI318+AI313+AI308+AI303+AI298+AI293+AI288+AI283+AI278+AI273+AI268+AI263+AI258+AI253+AI248+AI243+AI238+AI233+AI228+AI223+AI218+AI213+AI208+AI203+AI198+AI193+AI178+AI173+AI158+AI183+AI168+AI163+AI188</f>
        <v>0</v>
      </c>
      <c r="AK368" s="27">
        <f>+AK363+AK358+AK353+AK348+AK343+AK338+AK333+AK328+AK323+AK318+AK313+AK308+AK303+AK298+AK293+AK288+AK283+AK278+AK273+AK268+AK263+AK258+AK253+AK248+AK243+AK238+AK233+AK228+AK223+AK218+AK213+AK208+AK203+AK198+AK193+AK178+AK173+AK158+AK183+AK168+AK163+AK188</f>
        <v>0</v>
      </c>
      <c r="AM368" s="27">
        <f>+AM363+AM358+AM353+AM348+AM343+AM338+AM333+AM328+AM323+AM318+AM313+AM308+AM303+AM298+AM293+AM288+AM283+AM278+AM273+AM268+AM263+AM258+AM253+AM248+AM243+AM238+AM233+AM228+AM223+AM218+AM213+AM208+AM203+AM198+AM193+AM178+AM173+AM158+AM183+AM168+AM163+AM188</f>
        <v>0</v>
      </c>
      <c r="AO368" s="27">
        <f>+AO363+AO358+AO353+AO348+AO343+AO338+AO333+AO328+AO323+AO318+AO313+AO308+AO303+AO298+AO293+AO288+AO283+AO278+AO273+AO268+AO263+AO258+AO253+AO248+AO243+AO238+AO233+AO228+AO223+AO218+AO213+AO208+AO203+AO198+AO193+AO178+AO173+AO158+AO183+AO168+AO163+AO188</f>
        <v>0</v>
      </c>
      <c r="AQ368" s="27">
        <f>+AQ363+AQ358+AQ353+AQ348+AQ343+AQ338+AQ333+AQ328+AQ323+AQ318+AQ313+AQ308+AQ303+AQ298+AQ293+AQ288+AQ283+AQ278+AQ273+AQ268+AQ263+AQ258+AQ253+AQ248+AQ243+AQ238+AQ233+AQ228+AQ223+AQ218+AQ213+AQ208+AQ203+AQ198+AQ193+AQ178+AQ173+AQ158+AQ183+AQ168+AQ163+AQ188</f>
        <v>0</v>
      </c>
      <c r="AS368" s="27">
        <f>+AS363+AS358+AS353+AS348+AS343+AS338+AS333+AS328+AS323+AS318+AS313+AS308+AS303+AS298+AS293+AS288+AS283+AS278+AS273+AS268+AS263+AS258+AS253+AS248+AS243+AS238+AS233+AS228+AS223+AS218+AS213+AS208+AS203+AS198+AS193+AS178+AS173+AS158+AS183+AS168+AS163+AS188</f>
        <v>0</v>
      </c>
      <c r="AU368" s="27">
        <f>+AU363+AU358+AU353+AU348+AU343+AU338+AU333+AU328+AU323+AU318+AU313+AU308+AU303+AU298+AU293+AU288+AU283+AU278+AU273+AU268+AU263+AU258+AU253+AU248+AU243+AU238+AU233+AU228+AU223+AU218+AU213+AU208+AU203+AU198+AU193+AU178+AU173+AU158+AU183+AU168+AU163+AU188</f>
        <v>0</v>
      </c>
      <c r="AW368" s="27">
        <f>+AW363+AW358+AW353+AW348+AW343+AW338+AW333+AW328+AW323+AW318+AW313+AW308+AW303+AW298+AW293+AW288+AW283+AW278+AW273+AW268+AW263+AW258+AW253+AW248+AW243+AW238+AW233+AW228+AW223+AW218+AW213+AW208+AW203+AW198+AW193+AW178+AW173+AW158+AW183+AW168+AW163+AW188</f>
        <v>0</v>
      </c>
      <c r="AY368" s="27">
        <f>+AY363+AY358+AY353+AY348+AY343+AY338+AY333+AY328+AY323+AY318+AY313+AY308+AY303+AY298+AY293+AY288+AY283+AY278+AY273+AY268+AY263+AY258+AY253+AY248+AY243+AY238+AY233+AY228+AY223+AY218+AY213+AY208+AY203+AY198+AY193+AY178+AY173+AY158+AY183+AY168+AY163+AY188</f>
        <v>0</v>
      </c>
      <c r="BA368" s="27">
        <f>+BA363+BA358+BA353+BA348+BA343+BA338+BA333+BA328+BA323+BA318+BA313+BA308+BA303+BA298+BA293+BA288+BA283+BA278+BA273+BA268+BA263+BA258+BA253+BA248+BA243+BA238+BA233+BA228+BA223+BA218+BA213+BA208+BA203+BA198+BA193+BA178+BA173+BA158+BA183+BA168+BA163+BA188</f>
        <v>0</v>
      </c>
      <c r="BC368" s="27">
        <f>+BC363+BC358+BC353+BC348+BC343+BC338+BC333+BC328+BC323+BC318+BC313+BC308+BC303+BC298+BC293+BC288+BC283+BC278+BC273+BC268+BC263+BC258+BC253+BC248+BC243+BC238+BC233+BC228+BC223+BC218+BC213+BC208+BC203+BC198+BC193+BC178+BC173+BC158+BC183+BC168+BC163+BC188</f>
        <v>0</v>
      </c>
      <c r="BD368" s="61"/>
      <c r="BE368" s="27">
        <f>+BE363+BE358+BE353+BE348+BE343+BE338+BE333+BE328+BE323+BE318+BE313+BE308+BE303+BE298+BE293+BE288+BE283+BE278+BE273+BE268+BE263+BE258+BE253+BE248+BE243+BE238+BE233+BE228+BE223+BE218+BE213+BE208+BE203+BE198+BE193+BE178+BE173+BE158+BE183+BE168+BE163+BE188</f>
        <v>0</v>
      </c>
      <c r="BG368" s="61">
        <f>+BG363+BG358+BG353+BG348+BG343+BG338+BG333+BG328+BG323+BG318+BG313+BG308+BG303+BG298+BG293+BG288+BG283+BG278+BG273+BG268+BG263+BG258+BG253+BG248+BG243+BG238+BG233+BG228+BG223+BG218+BG213+BG208+BG203+BG198+BG193+BG178+BG173+BG158+BG183+BG168+BG163+BG188</f>
        <v>0</v>
      </c>
    </row>
    <row r="369" spans="2:59" s="27" customFormat="1" ht="11.25" hidden="1" x14ac:dyDescent="0.2">
      <c r="B369" s="65"/>
      <c r="C369" s="66" t="s">
        <v>1274</v>
      </c>
      <c r="D369" s="67">
        <f>SUM(AL111:AW152)</f>
        <v>0</v>
      </c>
      <c r="F369" s="27" t="s">
        <v>1272</v>
      </c>
      <c r="I369" s="27">
        <f>SUMIF($BJ$157:$BJ$364,"&gt;0")</f>
        <v>0</v>
      </c>
      <c r="J369" s="27">
        <f>IF(I370=0,0,I369/I370)</f>
        <v>0</v>
      </c>
      <c r="K369" s="27">
        <f>SUMIF(BL157:BL364,"&gt;0")</f>
        <v>0</v>
      </c>
      <c r="M369" s="27">
        <f>SUMIF(BN157:BN364,"&gt;0")</f>
        <v>0</v>
      </c>
      <c r="O369" s="27">
        <f>SUMIF(BP157:BP364,"&gt;0")</f>
        <v>0</v>
      </c>
      <c r="Q369" s="27">
        <f>SUMIF(BR157:BR364,"&gt;0")</f>
        <v>0</v>
      </c>
      <c r="S369" s="27">
        <f>SUMIF(BT157:BT364,"&gt;0")</f>
        <v>0</v>
      </c>
      <c r="U369" s="27">
        <f>SUMIF(BV157:BV364,"&gt;0")</f>
        <v>0</v>
      </c>
      <c r="W369" s="27">
        <f>SUMIF(BX157:BX364,"&gt;0")</f>
        <v>0</v>
      </c>
      <c r="Y369" s="27">
        <f>SUMIF(BZ157:BZ364,"&gt;0")</f>
        <v>0</v>
      </c>
      <c r="AA369" s="27">
        <f>SUMIF(CB157:CB364,"&gt;0")</f>
        <v>0</v>
      </c>
      <c r="AC369" s="27">
        <f>SUMIF(CD157:CD364,"&gt;0")</f>
        <v>0</v>
      </c>
      <c r="AE369" s="27">
        <f>SUMIF(CF157:CF364,"&gt;0")</f>
        <v>0</v>
      </c>
      <c r="AG369" s="27">
        <f>SUMIF(CH157:CH364,"&gt;0")</f>
        <v>0</v>
      </c>
      <c r="AI369" s="27">
        <f>SUMIF(CJ157:CJ364,"&gt;0")</f>
        <v>0</v>
      </c>
      <c r="AK369" s="27">
        <f>SUMIF(CL157:CL364,"&gt;0")</f>
        <v>0</v>
      </c>
      <c r="AM369" s="27">
        <f>SUMIF(CN157:CN364,"&gt;0")</f>
        <v>0</v>
      </c>
      <c r="AO369" s="27">
        <f>SUMIF(CP157:CP364,"&gt;0")</f>
        <v>0</v>
      </c>
      <c r="AQ369" s="27">
        <f>SUMIF(CR157:CR364,"&gt;0")</f>
        <v>0</v>
      </c>
      <c r="AS369" s="27">
        <f>SUMIF(CT157:CT364,"&gt;0")</f>
        <v>0</v>
      </c>
      <c r="AU369" s="27">
        <f>SUMIF(CV157:CV364,"&gt;0")</f>
        <v>0</v>
      </c>
      <c r="AW369" s="27">
        <f>SUMIF(CX157:CX364,"&gt;0")</f>
        <v>0</v>
      </c>
      <c r="AY369" s="27">
        <f>SUMIF(CZ157:CZ364,"&gt;0")</f>
        <v>0</v>
      </c>
      <c r="BA369" s="27">
        <f>SUMIF(DB157:DB364,"&gt;0")</f>
        <v>0</v>
      </c>
      <c r="BC369" s="27">
        <f>SUMIF(DD157:DD364,"&gt;0")</f>
        <v>0</v>
      </c>
      <c r="BD369" s="61"/>
      <c r="BE369" s="27">
        <f>SUMIF(DF157:DF364,"&gt;0")</f>
        <v>0</v>
      </c>
      <c r="BG369" s="61">
        <f>SUMIF(DH157:DH364,"&gt;0")</f>
        <v>0</v>
      </c>
    </row>
    <row r="370" spans="2:59" s="27" customFormat="1" ht="11.25" hidden="1" x14ac:dyDescent="0.2">
      <c r="B370" s="60"/>
      <c r="F370" s="27" t="s">
        <v>1273</v>
      </c>
      <c r="I370" s="27">
        <f>+I369+I368</f>
        <v>0</v>
      </c>
      <c r="K370" s="27">
        <f>+K369+K368</f>
        <v>0</v>
      </c>
      <c r="M370" s="27">
        <f>+M369+M368</f>
        <v>0</v>
      </c>
      <c r="O370" s="27">
        <f>+O369+O368</f>
        <v>0</v>
      </c>
      <c r="Q370" s="27">
        <f>+Q369+Q368</f>
        <v>0</v>
      </c>
      <c r="S370" s="27">
        <f>+S369+S368</f>
        <v>0</v>
      </c>
      <c r="U370" s="27">
        <f>+U369+U368</f>
        <v>0</v>
      </c>
      <c r="W370" s="27">
        <f>+W369+W368</f>
        <v>0</v>
      </c>
      <c r="Y370" s="27">
        <f>+Y369+Y368</f>
        <v>0</v>
      </c>
      <c r="AA370" s="27">
        <f>+AA369+AA368</f>
        <v>0</v>
      </c>
      <c r="AC370" s="27">
        <f>+AC369+AC368</f>
        <v>0</v>
      </c>
      <c r="AE370" s="27">
        <f>+AE369+AE368</f>
        <v>0</v>
      </c>
      <c r="AG370" s="27">
        <f>+AG369+AG368</f>
        <v>0</v>
      </c>
      <c r="AI370" s="27">
        <f>+AI369+AI368</f>
        <v>0</v>
      </c>
      <c r="AK370" s="27">
        <f>+AK369+AK368</f>
        <v>0</v>
      </c>
      <c r="AM370" s="27">
        <f>+AM369+AM368</f>
        <v>0</v>
      </c>
      <c r="AO370" s="27">
        <f>+AO369+AO368</f>
        <v>0</v>
      </c>
      <c r="AQ370" s="27">
        <f>+AQ369+AQ368</f>
        <v>0</v>
      </c>
      <c r="AS370" s="27">
        <f>+AS369+AS368</f>
        <v>0</v>
      </c>
      <c r="AU370" s="27">
        <f>+AU369+AU368</f>
        <v>0</v>
      </c>
      <c r="AW370" s="27">
        <f>+AW369+AW368</f>
        <v>0</v>
      </c>
      <c r="AY370" s="27">
        <f>+AY369+AY368</f>
        <v>0</v>
      </c>
      <c r="BA370" s="27">
        <f>+BA369+BA368</f>
        <v>0</v>
      </c>
      <c r="BC370" s="27">
        <f>+BC369+BC368</f>
        <v>0</v>
      </c>
      <c r="BD370" s="61"/>
      <c r="BE370" s="27">
        <f>+BE369+BE368</f>
        <v>0</v>
      </c>
      <c r="BG370" s="61">
        <f>+BG369+BG368</f>
        <v>0</v>
      </c>
    </row>
    <row r="371" spans="2:59" s="27" customFormat="1" ht="11.25" hidden="1" x14ac:dyDescent="0.2">
      <c r="B371" s="60"/>
      <c r="F371" s="27" t="s">
        <v>675</v>
      </c>
      <c r="H371" s="27">
        <f>SUMIF(DK157:DK364,"&gt;0")</f>
        <v>0</v>
      </c>
      <c r="I371" s="27">
        <f>SUMIF(DL157:DL364,"&gt;0")</f>
        <v>0</v>
      </c>
      <c r="K371" s="27">
        <f>SUMIF(DN157:DN364,"&gt;0")</f>
        <v>0</v>
      </c>
      <c r="M371" s="27">
        <f>SUMIF(DP157:DP364,"&gt;0")</f>
        <v>0</v>
      </c>
      <c r="O371" s="27">
        <f>SUMIF(DR157:DR364,"&gt;0")</f>
        <v>0</v>
      </c>
      <c r="Q371" s="27">
        <f>SUMIF(DT157:DT364,"&gt;0")</f>
        <v>0</v>
      </c>
      <c r="S371" s="27">
        <f>SUMIF(DV157:DV364,"&gt;0")</f>
        <v>0</v>
      </c>
      <c r="U371" s="27">
        <f>SUMIF(DX157:DX364,"&gt;0")</f>
        <v>0</v>
      </c>
      <c r="W371" s="27">
        <f>SUMIF(DZ157:DZ364,"&gt;0")</f>
        <v>0</v>
      </c>
      <c r="Y371" s="27">
        <f>SUMIF(EB157:EB364,"&gt;0")</f>
        <v>0</v>
      </c>
      <c r="AA371" s="27">
        <f>SUMIF(ED157:ED364,"&gt;0")</f>
        <v>0</v>
      </c>
      <c r="AC371" s="27">
        <f>SUMIF(EF157:EF364,"&gt;0")</f>
        <v>0</v>
      </c>
      <c r="AE371" s="27">
        <f>SUMIF(EH157:EH364,"&gt;0")</f>
        <v>0</v>
      </c>
      <c r="AG371" s="27">
        <f>SUMIF(EJ157:EJ364,"&gt;0")</f>
        <v>0</v>
      </c>
      <c r="AI371" s="27">
        <f>SUMIF(EL157:EL364,"&gt;0")</f>
        <v>0</v>
      </c>
      <c r="AK371" s="27">
        <f>SUMIF(EN157:EN364,"&gt;0")</f>
        <v>0</v>
      </c>
      <c r="AM371" s="27">
        <f>SUMIF(EP157:EP364,"&gt;0")</f>
        <v>0</v>
      </c>
      <c r="AO371" s="27">
        <f>SUMIF(ER157:ER364,"&gt;0")</f>
        <v>0</v>
      </c>
      <c r="AQ371" s="27">
        <f>SUMIF(ET157:ET364,"&gt;0")</f>
        <v>0</v>
      </c>
      <c r="AS371" s="27">
        <f>SUMIF(EV157:EV364,"&gt;0")</f>
        <v>0</v>
      </c>
      <c r="AU371" s="27">
        <f>SUMIF(EX157:EX364,"&gt;0")</f>
        <v>0</v>
      </c>
      <c r="AW371" s="27">
        <f>SUMIF(EZ157:EZ364,"&gt;0")</f>
        <v>0</v>
      </c>
      <c r="AY371" s="27">
        <f>SUMIF(FB157:FB364,"&gt;0")</f>
        <v>0</v>
      </c>
      <c r="BA371" s="27">
        <f>SUMIF(FD157:FD364,"&gt;0")</f>
        <v>0</v>
      </c>
      <c r="BC371" s="27">
        <f>SUMIF(FF157:FF364,"&gt;0")</f>
        <v>0</v>
      </c>
      <c r="BD371" s="61"/>
      <c r="BE371" s="27">
        <f>SUMIF(FH157:FH364,"&gt;0")</f>
        <v>0</v>
      </c>
      <c r="BG371" s="61">
        <f>SUMIF(FJ157:FJ364,"&gt;0")</f>
        <v>0</v>
      </c>
    </row>
    <row r="372" spans="2:59" s="27" customFormat="1" ht="11.25" hidden="1" x14ac:dyDescent="0.2">
      <c r="B372" s="60"/>
      <c r="BD372" s="61"/>
      <c r="BG372" s="61"/>
    </row>
    <row r="373" spans="2:59" s="27" customFormat="1" ht="11.25" hidden="1" x14ac:dyDescent="0.2">
      <c r="B373" s="60"/>
      <c r="G373" s="27" t="s">
        <v>955</v>
      </c>
      <c r="BD373" s="61"/>
      <c r="BG373" s="61"/>
    </row>
    <row r="374" spans="2:59" s="27" customFormat="1" ht="11.25" hidden="1" x14ac:dyDescent="0.2">
      <c r="B374" s="60"/>
      <c r="H374" s="27" t="s">
        <v>672</v>
      </c>
      <c r="I374" s="27">
        <f t="shared" ref="I374:T374" si="379">+E9*$J$369</f>
        <v>0</v>
      </c>
      <c r="J374" s="27">
        <f t="shared" si="379"/>
        <v>0</v>
      </c>
      <c r="K374" s="27">
        <f t="shared" si="379"/>
        <v>0</v>
      </c>
      <c r="L374" s="27">
        <f t="shared" si="379"/>
        <v>0</v>
      </c>
      <c r="M374" s="27">
        <f t="shared" si="379"/>
        <v>0</v>
      </c>
      <c r="N374" s="27">
        <f t="shared" si="379"/>
        <v>0</v>
      </c>
      <c r="O374" s="27">
        <f t="shared" si="379"/>
        <v>0</v>
      </c>
      <c r="P374" s="27">
        <f t="shared" si="379"/>
        <v>0</v>
      </c>
      <c r="Q374" s="27">
        <f t="shared" si="379"/>
        <v>0</v>
      </c>
      <c r="R374" s="27">
        <f t="shared" si="379"/>
        <v>0</v>
      </c>
      <c r="S374" s="27">
        <f t="shared" si="379"/>
        <v>0</v>
      </c>
      <c r="T374" s="27">
        <f t="shared" si="379"/>
        <v>0</v>
      </c>
      <c r="BD374" s="61"/>
      <c r="BG374" s="61"/>
    </row>
    <row r="375" spans="2:59" s="27" customFormat="1" ht="11.25" hidden="1" x14ac:dyDescent="0.2">
      <c r="B375" s="60"/>
      <c r="H375" s="27" t="s">
        <v>673</v>
      </c>
      <c r="I375" s="27">
        <f t="shared" ref="I375:T375" si="380">+E9-I374</f>
        <v>0</v>
      </c>
      <c r="J375" s="27">
        <f t="shared" si="380"/>
        <v>0</v>
      </c>
      <c r="K375" s="27">
        <f t="shared" si="380"/>
        <v>0</v>
      </c>
      <c r="L375" s="27">
        <f t="shared" si="380"/>
        <v>0</v>
      </c>
      <c r="M375" s="27">
        <f t="shared" si="380"/>
        <v>0</v>
      </c>
      <c r="N375" s="27">
        <f t="shared" si="380"/>
        <v>0</v>
      </c>
      <c r="O375" s="27">
        <f t="shared" si="380"/>
        <v>0</v>
      </c>
      <c r="P375" s="27">
        <f t="shared" si="380"/>
        <v>0</v>
      </c>
      <c r="Q375" s="27">
        <f t="shared" si="380"/>
        <v>0</v>
      </c>
      <c r="R375" s="27">
        <f t="shared" si="380"/>
        <v>0</v>
      </c>
      <c r="S375" s="27">
        <f t="shared" si="380"/>
        <v>0</v>
      </c>
      <c r="T375" s="27">
        <f t="shared" si="380"/>
        <v>0</v>
      </c>
      <c r="BD375" s="61"/>
      <c r="BG375" s="61"/>
    </row>
    <row r="376" spans="2:59" s="27" customFormat="1" ht="11.25" hidden="1" x14ac:dyDescent="0.2">
      <c r="B376" s="60"/>
      <c r="H376" s="27" t="s">
        <v>1317</v>
      </c>
      <c r="I376" s="27">
        <f>+I375+I374</f>
        <v>0</v>
      </c>
      <c r="J376" s="27">
        <f t="shared" ref="J376:T376" si="381">+J375+J374</f>
        <v>0</v>
      </c>
      <c r="K376" s="27">
        <f t="shared" si="381"/>
        <v>0</v>
      </c>
      <c r="L376" s="27">
        <f t="shared" si="381"/>
        <v>0</v>
      </c>
      <c r="M376" s="27">
        <f t="shared" si="381"/>
        <v>0</v>
      </c>
      <c r="N376" s="27">
        <f t="shared" si="381"/>
        <v>0</v>
      </c>
      <c r="O376" s="27">
        <f t="shared" si="381"/>
        <v>0</v>
      </c>
      <c r="P376" s="27">
        <f t="shared" si="381"/>
        <v>0</v>
      </c>
      <c r="Q376" s="27">
        <f t="shared" si="381"/>
        <v>0</v>
      </c>
      <c r="R376" s="27">
        <f t="shared" si="381"/>
        <v>0</v>
      </c>
      <c r="S376" s="27">
        <f t="shared" si="381"/>
        <v>0</v>
      </c>
      <c r="T376" s="27">
        <f t="shared" si="381"/>
        <v>0</v>
      </c>
      <c r="BD376" s="61"/>
      <c r="BG376" s="61"/>
    </row>
    <row r="377" spans="2:59" s="27" customFormat="1" ht="11.25" hidden="1" x14ac:dyDescent="0.2">
      <c r="B377" s="60"/>
      <c r="G377" s="27">
        <f>SUM(I377:T377)</f>
        <v>0</v>
      </c>
      <c r="H377" s="27" t="s">
        <v>1275</v>
      </c>
      <c r="I377" s="27">
        <f>+W153</f>
        <v>0</v>
      </c>
      <c r="J377" s="27">
        <f t="shared" ref="J377:T377" si="382">+X153</f>
        <v>0</v>
      </c>
      <c r="K377" s="27">
        <f t="shared" si="382"/>
        <v>0</v>
      </c>
      <c r="L377" s="27">
        <f t="shared" si="382"/>
        <v>0</v>
      </c>
      <c r="M377" s="27">
        <f t="shared" si="382"/>
        <v>0</v>
      </c>
      <c r="N377" s="27">
        <f t="shared" si="382"/>
        <v>0</v>
      </c>
      <c r="O377" s="27">
        <f t="shared" si="382"/>
        <v>0</v>
      </c>
      <c r="P377" s="27">
        <f t="shared" si="382"/>
        <v>0</v>
      </c>
      <c r="Q377" s="27">
        <f t="shared" si="382"/>
        <v>0</v>
      </c>
      <c r="R377" s="27">
        <f t="shared" si="382"/>
        <v>0</v>
      </c>
      <c r="S377" s="27">
        <f t="shared" si="382"/>
        <v>0</v>
      </c>
      <c r="T377" s="27">
        <f t="shared" si="382"/>
        <v>0</v>
      </c>
      <c r="BD377" s="61"/>
      <c r="BG377" s="61"/>
    </row>
    <row r="378" spans="2:59" s="27" customFormat="1" ht="11.25" hidden="1" x14ac:dyDescent="0.2">
      <c r="B378" s="65"/>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7"/>
      <c r="BE378" s="66"/>
      <c r="BF378" s="66"/>
      <c r="BG378" s="67"/>
    </row>
    <row r="379" spans="2:59" s="27" customFormat="1" ht="11.25" hidden="1" x14ac:dyDescent="0.2">
      <c r="B379" s="65"/>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7"/>
    </row>
    <row r="380" spans="2:59" s="27" customFormat="1" ht="11.25" x14ac:dyDescent="0.2"/>
    <row r="381" spans="2:59" s="27" customFormat="1" ht="11.25" x14ac:dyDescent="0.2"/>
    <row r="382" spans="2:59" s="27" customFormat="1" ht="11.25" x14ac:dyDescent="0.2"/>
    <row r="383" spans="2:59" s="27" customFormat="1" ht="11.25" x14ac:dyDescent="0.2"/>
    <row r="384" spans="2:59" s="27" customFormat="1" ht="11.25" x14ac:dyDescent="0.2"/>
    <row r="385" s="27" customFormat="1" ht="11.25" x14ac:dyDescent="0.2"/>
    <row r="386" s="27" customFormat="1" ht="11.25" x14ac:dyDescent="0.2"/>
    <row r="387" s="27" customFormat="1" ht="11.25" x14ac:dyDescent="0.2"/>
    <row r="388" s="27" customFormat="1" ht="11.25" x14ac:dyDescent="0.2"/>
    <row r="389" s="27" customFormat="1" ht="11.25" x14ac:dyDescent="0.2"/>
    <row r="390" s="27" customFormat="1" ht="11.25" x14ac:dyDescent="0.2"/>
    <row r="391" s="27" customFormat="1" ht="11.25" x14ac:dyDescent="0.2"/>
    <row r="392" s="27" customFormat="1" ht="11.25" x14ac:dyDescent="0.2"/>
    <row r="393" s="27" customFormat="1" ht="11.25" x14ac:dyDescent="0.2"/>
    <row r="394" s="27" customFormat="1" ht="11.25" x14ac:dyDescent="0.2"/>
    <row r="395" s="27" customFormat="1" ht="11.25" x14ac:dyDescent="0.2"/>
    <row r="396" s="27" customFormat="1" ht="11.25" x14ac:dyDescent="0.2"/>
    <row r="397" s="27" customFormat="1" ht="11.25" x14ac:dyDescent="0.2"/>
    <row r="398" s="27" customFormat="1" ht="11.25" x14ac:dyDescent="0.2"/>
    <row r="399" s="27" customFormat="1" ht="11.25" x14ac:dyDescent="0.2"/>
    <row r="400" s="27" customFormat="1" ht="11.25" x14ac:dyDescent="0.2"/>
    <row r="401" s="27" customFormat="1" ht="11.25" x14ac:dyDescent="0.2"/>
    <row r="402" s="27" customFormat="1" ht="11.25" x14ac:dyDescent="0.2"/>
    <row r="403" s="27" customFormat="1" ht="11.25" x14ac:dyDescent="0.2"/>
    <row r="404" s="27" customFormat="1" ht="11.25" x14ac:dyDescent="0.2"/>
    <row r="405" s="27" customFormat="1" ht="11.25" x14ac:dyDescent="0.2"/>
    <row r="406" s="27" customFormat="1" ht="11.25" x14ac:dyDescent="0.2"/>
    <row r="407" s="27" customFormat="1" ht="11.25" x14ac:dyDescent="0.2"/>
    <row r="408" s="27" customFormat="1" ht="11.25" x14ac:dyDescent="0.2"/>
    <row r="409" s="27" customFormat="1" ht="11.25" x14ac:dyDescent="0.2"/>
    <row r="410" s="27" customFormat="1" ht="11.25" x14ac:dyDescent="0.2"/>
    <row r="411" s="27" customFormat="1" ht="11.25" x14ac:dyDescent="0.2"/>
    <row r="412" s="27" customFormat="1" ht="11.25" x14ac:dyDescent="0.2"/>
    <row r="413" s="27" customFormat="1" ht="11.25" x14ac:dyDescent="0.2"/>
    <row r="414" s="27" customFormat="1" ht="11.25" x14ac:dyDescent="0.2"/>
    <row r="415" s="27" customFormat="1" ht="11.25" x14ac:dyDescent="0.2"/>
    <row r="416" s="27" customFormat="1" ht="11.25" x14ac:dyDescent="0.2"/>
    <row r="417" s="27" customFormat="1" ht="11.25" x14ac:dyDescent="0.2"/>
    <row r="418" s="27" customFormat="1" ht="11.25" x14ac:dyDescent="0.2"/>
    <row r="419" s="27" customFormat="1" ht="11.25" x14ac:dyDescent="0.2"/>
    <row r="420" s="27" customFormat="1" ht="11.25" x14ac:dyDescent="0.2"/>
    <row r="421" s="27" customFormat="1" ht="11.25" x14ac:dyDescent="0.2"/>
    <row r="422" s="27" customFormat="1" ht="11.25" x14ac:dyDescent="0.2"/>
    <row r="423" s="27" customFormat="1" ht="11.25" x14ac:dyDescent="0.2"/>
    <row r="424" s="27" customFormat="1" ht="11.25" x14ac:dyDescent="0.2"/>
    <row r="425" s="27" customFormat="1" ht="11.25" x14ac:dyDescent="0.2"/>
    <row r="426" s="27" customFormat="1" ht="11.25" x14ac:dyDescent="0.2"/>
    <row r="427" s="27" customFormat="1" ht="11.25" x14ac:dyDescent="0.2"/>
    <row r="428" s="27" customFormat="1" ht="11.25" x14ac:dyDescent="0.2"/>
    <row r="429" s="27" customFormat="1" ht="11.25" x14ac:dyDescent="0.2"/>
    <row r="430" s="27" customFormat="1" ht="11.25" x14ac:dyDescent="0.2"/>
    <row r="431" s="27" customFormat="1" ht="11.25" x14ac:dyDescent="0.2"/>
    <row r="432" s="27" customFormat="1" ht="11.25" x14ac:dyDescent="0.2"/>
    <row r="433" s="27" customFormat="1" ht="11.25" x14ac:dyDescent="0.2"/>
    <row r="434" s="27" customFormat="1" ht="11.25" x14ac:dyDescent="0.2"/>
    <row r="435" s="27" customFormat="1" ht="11.25" x14ac:dyDescent="0.2"/>
    <row r="436" s="27" customFormat="1" ht="11.25" x14ac:dyDescent="0.2"/>
    <row r="437" s="27" customFormat="1" ht="11.25" x14ac:dyDescent="0.2"/>
    <row r="438" s="27" customFormat="1" ht="11.25" x14ac:dyDescent="0.2"/>
    <row r="439" s="27" customFormat="1" ht="11.25" x14ac:dyDescent="0.2"/>
    <row r="440" s="27" customFormat="1" ht="11.25" x14ac:dyDescent="0.2"/>
    <row r="441" s="27" customFormat="1" ht="11.25" x14ac:dyDescent="0.2"/>
    <row r="442" s="27" customFormat="1" ht="11.25" x14ac:dyDescent="0.2"/>
    <row r="443" s="27" customFormat="1" ht="11.25" x14ac:dyDescent="0.2"/>
    <row r="444" s="27" customFormat="1" ht="11.25" x14ac:dyDescent="0.2"/>
    <row r="445" s="27" customFormat="1" ht="11.25" x14ac:dyDescent="0.2"/>
    <row r="446" s="27" customFormat="1" ht="11.25" x14ac:dyDescent="0.2"/>
    <row r="447" s="27" customFormat="1" ht="11.25" x14ac:dyDescent="0.2"/>
    <row r="448" s="27" customFormat="1" ht="11.25" x14ac:dyDescent="0.2"/>
    <row r="449" spans="2:44" s="27" customFormat="1" ht="11.25" x14ac:dyDescent="0.2"/>
    <row r="450" spans="2:44" s="27" customFormat="1" ht="11.25" x14ac:dyDescent="0.2"/>
    <row r="451" spans="2:44" s="27" customFormat="1" ht="11.25" x14ac:dyDescent="0.2"/>
    <row r="452" spans="2:44" s="27" customFormat="1" ht="11.25" x14ac:dyDescent="0.2"/>
    <row r="453" spans="2:44" s="27" customFormat="1" ht="11.25" x14ac:dyDescent="0.2"/>
    <row r="454" spans="2:44" s="27" customFormat="1" ht="11.25" x14ac:dyDescent="0.2"/>
    <row r="455" spans="2:44" s="27" customFormat="1" ht="11.25" x14ac:dyDescent="0.2"/>
    <row r="456" spans="2:44" s="27" customFormat="1" ht="11.25" x14ac:dyDescent="0.2"/>
    <row r="457" spans="2:44" s="27" customFormat="1" ht="11.25" x14ac:dyDescent="0.2"/>
    <row r="458" spans="2:44" s="27" customFormat="1" ht="11.25" x14ac:dyDescent="0.2"/>
    <row r="459" spans="2:44" s="27" customFormat="1" ht="11.25" x14ac:dyDescent="0.2"/>
    <row r="460" spans="2:44" s="27" customFormat="1" ht="11.25" x14ac:dyDescent="0.2"/>
    <row r="461" spans="2:44" s="27" customFormat="1" ht="11.25" x14ac:dyDescent="0.2"/>
    <row r="462" spans="2:44" s="27" customFormat="1" ht="11.25" x14ac:dyDescent="0.2"/>
    <row r="463" spans="2:44" s="27" customFormat="1" ht="11.25" x14ac:dyDescent="0.2"/>
    <row r="464" spans="2:44" s="27" customFormat="1" ht="11.25" x14ac:dyDescent="0.2">
      <c r="B464" s="60"/>
      <c r="W464" s="61"/>
      <c r="AR464" s="61"/>
    </row>
    <row r="465" spans="2:44" s="27" customFormat="1" ht="11.25" x14ac:dyDescent="0.2">
      <c r="B465" s="60"/>
      <c r="W465" s="61"/>
      <c r="AR465" s="61"/>
    </row>
    <row r="466" spans="2:44" s="27" customFormat="1" ht="11.25" x14ac:dyDescent="0.2">
      <c r="B466" s="60"/>
      <c r="W466" s="61"/>
      <c r="AR466" s="61"/>
    </row>
    <row r="467" spans="2:44" s="27" customFormat="1" ht="11.25" x14ac:dyDescent="0.2">
      <c r="B467" s="60"/>
      <c r="W467" s="61"/>
      <c r="AR467" s="61"/>
    </row>
    <row r="468" spans="2:44" s="27" customFormat="1" ht="11.25" x14ac:dyDescent="0.2">
      <c r="B468" s="60"/>
      <c r="W468" s="61"/>
      <c r="AR468" s="61"/>
    </row>
    <row r="469" spans="2:44" s="27" customFormat="1" ht="11.25" x14ac:dyDescent="0.2">
      <c r="B469" s="60"/>
      <c r="W469" s="61"/>
      <c r="AR469" s="61"/>
    </row>
    <row r="470" spans="2:44" s="27" customFormat="1" ht="11.25" x14ac:dyDescent="0.2">
      <c r="B470" s="60"/>
      <c r="W470" s="61"/>
      <c r="AR470" s="61"/>
    </row>
    <row r="471" spans="2:44" s="27" customFormat="1" ht="11.25" x14ac:dyDescent="0.2">
      <c r="B471" s="60"/>
      <c r="W471" s="61"/>
      <c r="AR471" s="61"/>
    </row>
    <row r="472" spans="2:44" s="27" customFormat="1" ht="11.25" x14ac:dyDescent="0.2">
      <c r="B472" s="60"/>
      <c r="W472" s="61"/>
      <c r="AR472" s="61"/>
    </row>
    <row r="473" spans="2:44" s="27" customFormat="1" ht="11.25" x14ac:dyDescent="0.2">
      <c r="B473" s="60"/>
      <c r="W473" s="61"/>
      <c r="AR473" s="61"/>
    </row>
    <row r="474" spans="2:44" s="27" customFormat="1" ht="11.25" x14ac:dyDescent="0.2">
      <c r="B474" s="60"/>
      <c r="W474" s="61"/>
      <c r="AR474" s="61"/>
    </row>
    <row r="475" spans="2:44" s="27" customFormat="1" ht="11.25" x14ac:dyDescent="0.2">
      <c r="B475" s="60"/>
      <c r="W475" s="61"/>
      <c r="AR475" s="61"/>
    </row>
    <row r="476" spans="2:44" s="27" customFormat="1" ht="11.25" x14ac:dyDescent="0.2">
      <c r="B476" s="60"/>
      <c r="W476" s="61"/>
      <c r="AR476" s="61"/>
    </row>
    <row r="477" spans="2:44" s="27" customFormat="1" ht="11.25" x14ac:dyDescent="0.2">
      <c r="B477" s="60"/>
      <c r="W477" s="61"/>
      <c r="AR477" s="61"/>
    </row>
    <row r="478" spans="2:44" s="27" customFormat="1" ht="11.25" x14ac:dyDescent="0.2">
      <c r="B478" s="60"/>
      <c r="W478" s="61"/>
      <c r="AR478" s="61"/>
    </row>
    <row r="479" spans="2:44" s="27" customFormat="1" ht="11.25" x14ac:dyDescent="0.2">
      <c r="B479" s="60"/>
      <c r="W479" s="61"/>
      <c r="AR479" s="61"/>
    </row>
    <row r="480" spans="2:44" s="27" customFormat="1" ht="11.25" x14ac:dyDescent="0.2">
      <c r="B480" s="60"/>
      <c r="W480" s="61"/>
      <c r="AR480" s="61"/>
    </row>
    <row r="481" spans="2:44" s="27" customFormat="1" ht="11.25" x14ac:dyDescent="0.2">
      <c r="B481" s="60"/>
      <c r="W481" s="61"/>
      <c r="AR481" s="61"/>
    </row>
    <row r="482" spans="2:44" s="27" customFormat="1" ht="11.25" x14ac:dyDescent="0.2">
      <c r="B482" s="60"/>
      <c r="W482" s="61"/>
      <c r="AR482" s="61"/>
    </row>
    <row r="483" spans="2:44" s="27" customFormat="1" ht="11.25" x14ac:dyDescent="0.2">
      <c r="B483" s="60"/>
      <c r="W483" s="61"/>
      <c r="AR483" s="61"/>
    </row>
    <row r="484" spans="2:44" s="27" customFormat="1" ht="11.25" x14ac:dyDescent="0.2">
      <c r="B484" s="60"/>
      <c r="W484" s="61"/>
      <c r="AR484" s="61"/>
    </row>
    <row r="485" spans="2:44" s="27" customFormat="1" ht="11.25" x14ac:dyDescent="0.2">
      <c r="B485" s="60"/>
      <c r="W485" s="61"/>
      <c r="AR485" s="61"/>
    </row>
    <row r="486" spans="2:44" s="27" customFormat="1" ht="11.25" x14ac:dyDescent="0.2">
      <c r="B486" s="60"/>
      <c r="W486" s="61"/>
      <c r="AR486" s="61"/>
    </row>
    <row r="487" spans="2:44" s="27" customFormat="1" ht="11.25" x14ac:dyDescent="0.2">
      <c r="B487" s="60"/>
      <c r="W487" s="61"/>
      <c r="AR487" s="61"/>
    </row>
    <row r="488" spans="2:44" s="27" customFormat="1" ht="11.25" x14ac:dyDescent="0.2">
      <c r="B488" s="60"/>
      <c r="W488" s="61"/>
      <c r="AR488" s="61"/>
    </row>
    <row r="489" spans="2:44" s="27" customFormat="1" ht="11.25" x14ac:dyDescent="0.2">
      <c r="B489" s="60"/>
      <c r="W489" s="61"/>
      <c r="AR489" s="61"/>
    </row>
    <row r="490" spans="2:44" s="27" customFormat="1" ht="11.25" x14ac:dyDescent="0.2">
      <c r="B490" s="60"/>
      <c r="W490" s="61"/>
      <c r="AR490" s="61"/>
    </row>
    <row r="491" spans="2:44" s="27" customFormat="1" ht="11.25" x14ac:dyDescent="0.2">
      <c r="B491" s="65"/>
      <c r="C491" s="66"/>
      <c r="D491" s="66"/>
      <c r="E491" s="66"/>
      <c r="F491" s="66"/>
      <c r="G491" s="66"/>
      <c r="H491" s="66"/>
      <c r="I491" s="66"/>
      <c r="J491" s="66"/>
      <c r="K491" s="66"/>
      <c r="L491" s="66"/>
      <c r="M491" s="66"/>
      <c r="N491" s="66"/>
      <c r="O491" s="66"/>
      <c r="P491" s="66"/>
      <c r="Q491" s="66"/>
      <c r="R491" s="66"/>
      <c r="S491" s="66"/>
      <c r="T491" s="66"/>
      <c r="U491" s="66"/>
      <c r="V491" s="66"/>
      <c r="W491" s="67"/>
      <c r="AR491" s="61"/>
    </row>
    <row r="492" spans="2:44" s="27" customFormat="1" ht="11.25" x14ac:dyDescent="0.2">
      <c r="B492" s="60"/>
      <c r="AR492" s="61"/>
    </row>
    <row r="493" spans="2:44" s="27" customFormat="1" ht="11.25" x14ac:dyDescent="0.2">
      <c r="B493" s="60"/>
      <c r="AR493" s="61"/>
    </row>
    <row r="494" spans="2:44" s="27" customFormat="1" ht="11.25" x14ac:dyDescent="0.2">
      <c r="B494" s="60"/>
      <c r="AR494" s="61"/>
    </row>
    <row r="495" spans="2:44" s="27" customFormat="1" ht="11.25" x14ac:dyDescent="0.2">
      <c r="B495" s="60"/>
      <c r="AR495" s="61"/>
    </row>
    <row r="496" spans="2:44" s="27" customFormat="1" ht="11.25" x14ac:dyDescent="0.2">
      <c r="B496" s="60"/>
      <c r="AR496" s="61"/>
    </row>
    <row r="497" spans="2:44" s="27" customFormat="1" ht="11.25" x14ac:dyDescent="0.2">
      <c r="B497" s="60"/>
      <c r="AR497" s="61"/>
    </row>
    <row r="498" spans="2:44" s="27" customFormat="1" ht="11.25" x14ac:dyDescent="0.2">
      <c r="B498" s="60"/>
      <c r="AR498" s="61"/>
    </row>
    <row r="499" spans="2:44" s="27" customFormat="1" ht="11.25" x14ac:dyDescent="0.2">
      <c r="B499" s="60"/>
      <c r="AR499" s="61"/>
    </row>
    <row r="500" spans="2:44" s="27" customFormat="1" ht="11.25" x14ac:dyDescent="0.2">
      <c r="B500" s="60"/>
      <c r="AR500" s="61"/>
    </row>
    <row r="501" spans="2:44" s="27" customFormat="1" ht="11.25" x14ac:dyDescent="0.2">
      <c r="B501" s="60"/>
      <c r="AR501" s="61"/>
    </row>
    <row r="502" spans="2:44" s="27" customFormat="1" ht="11.25" x14ac:dyDescent="0.2">
      <c r="B502" s="60"/>
      <c r="AR502" s="61"/>
    </row>
    <row r="503" spans="2:44" s="27" customFormat="1" ht="11.25" x14ac:dyDescent="0.2">
      <c r="B503" s="60"/>
      <c r="AR503" s="61"/>
    </row>
    <row r="504" spans="2:44" s="27" customFormat="1" ht="11.25" x14ac:dyDescent="0.2">
      <c r="B504" s="60"/>
      <c r="AR504" s="61"/>
    </row>
    <row r="505" spans="2:44" s="27" customFormat="1" ht="11.25" x14ac:dyDescent="0.2">
      <c r="B505" s="60"/>
      <c r="AR505" s="61"/>
    </row>
    <row r="506" spans="2:44" s="27" customFormat="1" ht="11.25" x14ac:dyDescent="0.2">
      <c r="B506" s="60"/>
      <c r="AR506" s="61"/>
    </row>
    <row r="507" spans="2:44" s="27" customFormat="1" ht="11.25" x14ac:dyDescent="0.2">
      <c r="B507" s="60"/>
      <c r="AR507" s="61"/>
    </row>
    <row r="508" spans="2:44" s="27" customFormat="1" ht="11.25" x14ac:dyDescent="0.2">
      <c r="B508" s="60"/>
      <c r="AR508" s="61"/>
    </row>
    <row r="509" spans="2:44" s="27" customFormat="1" ht="11.25" x14ac:dyDescent="0.2">
      <c r="B509" s="60"/>
      <c r="AR509" s="61"/>
    </row>
    <row r="510" spans="2:44" s="27" customFormat="1" ht="11.25" x14ac:dyDescent="0.2">
      <c r="B510" s="60"/>
      <c r="AR510" s="61"/>
    </row>
    <row r="511" spans="2:44" s="27" customFormat="1" ht="11.25" x14ac:dyDescent="0.2">
      <c r="B511" s="60"/>
      <c r="AR511" s="61"/>
    </row>
    <row r="512" spans="2:44" s="27" customFormat="1" ht="11.25" x14ac:dyDescent="0.2">
      <c r="B512" s="60"/>
      <c r="AR512" s="61"/>
    </row>
    <row r="513" spans="2:44" s="27" customFormat="1" ht="11.25" x14ac:dyDescent="0.2">
      <c r="B513" s="60"/>
      <c r="AR513" s="61"/>
    </row>
    <row r="514" spans="2:44" s="27" customFormat="1" ht="11.25" x14ac:dyDescent="0.2">
      <c r="B514" s="60"/>
      <c r="AR514" s="61"/>
    </row>
    <row r="515" spans="2:44" s="27" customFormat="1" ht="11.25" x14ac:dyDescent="0.2">
      <c r="B515" s="60"/>
      <c r="AR515" s="61"/>
    </row>
    <row r="516" spans="2:44" s="27" customFormat="1" ht="11.25" x14ac:dyDescent="0.2">
      <c r="B516" s="60"/>
      <c r="AR516" s="61"/>
    </row>
    <row r="517" spans="2:44" s="27" customFormat="1" ht="11.25" x14ac:dyDescent="0.2">
      <c r="B517" s="60"/>
      <c r="AR517" s="61"/>
    </row>
    <row r="518" spans="2:44" s="27" customFormat="1" ht="11.25" x14ac:dyDescent="0.2">
      <c r="B518" s="60"/>
      <c r="AR518" s="61"/>
    </row>
    <row r="519" spans="2:44" s="27" customFormat="1" ht="11.25" x14ac:dyDescent="0.2">
      <c r="B519" s="60"/>
      <c r="AR519" s="61"/>
    </row>
    <row r="520" spans="2:44" s="27" customFormat="1" ht="11.25" x14ac:dyDescent="0.2">
      <c r="B520" s="60"/>
      <c r="AR520" s="61"/>
    </row>
    <row r="521" spans="2:44" s="27" customFormat="1" ht="11.25" x14ac:dyDescent="0.2">
      <c r="B521" s="60"/>
      <c r="AR521" s="61"/>
    </row>
    <row r="522" spans="2:44" s="27" customFormat="1" ht="11.25" x14ac:dyDescent="0.2">
      <c r="B522" s="60"/>
      <c r="AR522" s="61"/>
    </row>
    <row r="523" spans="2:44" s="27" customFormat="1" ht="11.25" x14ac:dyDescent="0.2">
      <c r="B523" s="60"/>
      <c r="AR523" s="61"/>
    </row>
    <row r="524" spans="2:44" s="27" customFormat="1" ht="11.25" x14ac:dyDescent="0.2">
      <c r="B524" s="60"/>
      <c r="AR524" s="61"/>
    </row>
    <row r="525" spans="2:44" s="27" customFormat="1" ht="11.25" x14ac:dyDescent="0.2">
      <c r="B525" s="60"/>
      <c r="AR525" s="61"/>
    </row>
    <row r="526" spans="2:44" s="27" customFormat="1" ht="11.25" x14ac:dyDescent="0.2">
      <c r="B526" s="60"/>
      <c r="AR526" s="61"/>
    </row>
    <row r="527" spans="2:44" s="27" customFormat="1" ht="11.25" x14ac:dyDescent="0.2">
      <c r="B527" s="60"/>
      <c r="AR527" s="61"/>
    </row>
    <row r="528" spans="2:44" s="27" customFormat="1" ht="11.25" x14ac:dyDescent="0.2">
      <c r="B528" s="60"/>
      <c r="AR528" s="61"/>
    </row>
    <row r="529" spans="2:44" s="27" customFormat="1" ht="11.25" x14ac:dyDescent="0.2">
      <c r="B529" s="60"/>
      <c r="AR529" s="61"/>
    </row>
    <row r="530" spans="2:44" s="27" customFormat="1" ht="11.25" x14ac:dyDescent="0.2">
      <c r="B530" s="60"/>
      <c r="AR530" s="61"/>
    </row>
    <row r="531" spans="2:44" s="27" customFormat="1" ht="11.25" x14ac:dyDescent="0.2">
      <c r="B531" s="60"/>
      <c r="AR531" s="61"/>
    </row>
    <row r="532" spans="2:44" s="27" customFormat="1" ht="11.25" x14ac:dyDescent="0.2">
      <c r="B532" s="60"/>
      <c r="AR532" s="61"/>
    </row>
    <row r="533" spans="2:44" s="27" customFormat="1" ht="11.25" x14ac:dyDescent="0.2">
      <c r="B533" s="60"/>
      <c r="AR533" s="61"/>
    </row>
    <row r="534" spans="2:44" s="27" customFormat="1" ht="11.25" x14ac:dyDescent="0.2">
      <c r="B534" s="60"/>
      <c r="AR534" s="61"/>
    </row>
    <row r="535" spans="2:44" s="27" customFormat="1" ht="11.25" x14ac:dyDescent="0.2">
      <c r="B535" s="60"/>
      <c r="AR535" s="61"/>
    </row>
    <row r="536" spans="2:44" s="27" customFormat="1" ht="11.25" x14ac:dyDescent="0.2">
      <c r="B536" s="60"/>
      <c r="AR536" s="61"/>
    </row>
    <row r="537" spans="2:44" s="27" customFormat="1" ht="11.25" x14ac:dyDescent="0.2">
      <c r="B537" s="60"/>
      <c r="AR537" s="61"/>
    </row>
    <row r="538" spans="2:44" s="27" customFormat="1" ht="11.25" x14ac:dyDescent="0.2">
      <c r="B538" s="60"/>
      <c r="AR538" s="61"/>
    </row>
    <row r="539" spans="2:44" s="27" customFormat="1" ht="11.25" x14ac:dyDescent="0.2">
      <c r="B539" s="60"/>
      <c r="AR539" s="61"/>
    </row>
    <row r="540" spans="2:44" s="27" customFormat="1" ht="11.25" x14ac:dyDescent="0.2">
      <c r="B540" s="60"/>
      <c r="AR540" s="61"/>
    </row>
    <row r="541" spans="2:44" s="27" customFormat="1" ht="11.25" x14ac:dyDescent="0.2">
      <c r="B541" s="60"/>
      <c r="AR541" s="61"/>
    </row>
    <row r="542" spans="2:44" s="27" customFormat="1" ht="11.25" x14ac:dyDescent="0.2">
      <c r="B542" s="60"/>
      <c r="AR542" s="61"/>
    </row>
    <row r="543" spans="2:44" s="27" customFormat="1" ht="11.25" x14ac:dyDescent="0.2">
      <c r="B543" s="60"/>
      <c r="AR543" s="61"/>
    </row>
    <row r="544" spans="2:44" s="27" customFormat="1" ht="11.25" x14ac:dyDescent="0.2">
      <c r="B544" s="60"/>
      <c r="AR544" s="61"/>
    </row>
    <row r="545" spans="2:52" s="27" customFormat="1" ht="11.25" x14ac:dyDescent="0.2">
      <c r="B545" s="60"/>
      <c r="AR545" s="61"/>
    </row>
    <row r="546" spans="2:52" s="27" customFormat="1" ht="11.25" x14ac:dyDescent="0.2">
      <c r="B546" s="62"/>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4"/>
    </row>
    <row r="547" spans="2:52" s="27" customFormat="1" ht="11.25" x14ac:dyDescent="0.2">
      <c r="B547" s="60"/>
      <c r="AZ547" s="61"/>
    </row>
    <row r="548" spans="2:52" s="27" customFormat="1" ht="11.25" x14ac:dyDescent="0.2">
      <c r="B548" s="60"/>
      <c r="AZ548" s="61"/>
    </row>
    <row r="549" spans="2:52" s="27" customFormat="1" ht="11.25" x14ac:dyDescent="0.2">
      <c r="B549" s="60"/>
      <c r="AZ549" s="61"/>
    </row>
    <row r="550" spans="2:52" s="27" customFormat="1" ht="11.25" x14ac:dyDescent="0.2">
      <c r="B550" s="60"/>
      <c r="AZ550" s="61"/>
    </row>
    <row r="551" spans="2:52" s="27" customFormat="1" ht="11.25" x14ac:dyDescent="0.2">
      <c r="B551" s="60"/>
      <c r="AZ551" s="61"/>
    </row>
    <row r="552" spans="2:52" s="27" customFormat="1" ht="11.25" x14ac:dyDescent="0.2">
      <c r="B552" s="60"/>
      <c r="AZ552" s="61"/>
    </row>
    <row r="553" spans="2:52" s="27" customFormat="1" ht="11.25" x14ac:dyDescent="0.2">
      <c r="B553" s="60"/>
      <c r="AZ553" s="61"/>
    </row>
    <row r="554" spans="2:52" s="27" customFormat="1" ht="11.25" x14ac:dyDescent="0.2">
      <c r="B554" s="60"/>
      <c r="AZ554" s="61"/>
    </row>
    <row r="555" spans="2:52" s="27" customFormat="1" ht="11.25" x14ac:dyDescent="0.2">
      <c r="B555" s="60"/>
      <c r="AZ555" s="61"/>
    </row>
    <row r="556" spans="2:52" s="27" customFormat="1" ht="11.25" x14ac:dyDescent="0.2">
      <c r="B556" s="60"/>
      <c r="AZ556" s="61"/>
    </row>
    <row r="557" spans="2:52" s="27" customFormat="1" ht="11.25" x14ac:dyDescent="0.2">
      <c r="B557" s="60"/>
      <c r="AZ557" s="61"/>
    </row>
    <row r="558" spans="2:52" s="27" customFormat="1" ht="11.25" x14ac:dyDescent="0.2">
      <c r="B558" s="60"/>
      <c r="AZ558" s="61"/>
    </row>
    <row r="559" spans="2:52" s="27" customFormat="1" ht="11.25" x14ac:dyDescent="0.2">
      <c r="B559" s="60"/>
      <c r="AZ559" s="61"/>
    </row>
    <row r="560" spans="2:52" s="27" customFormat="1" ht="11.25" x14ac:dyDescent="0.2">
      <c r="B560" s="60"/>
      <c r="AZ560" s="61"/>
    </row>
    <row r="561" spans="2:52" s="27" customFormat="1" ht="11.25" x14ac:dyDescent="0.2">
      <c r="B561" s="60"/>
      <c r="AZ561" s="61"/>
    </row>
    <row r="562" spans="2:52" s="27" customFormat="1" ht="11.25" x14ac:dyDescent="0.2">
      <c r="B562" s="60"/>
      <c r="AZ562" s="61"/>
    </row>
    <row r="563" spans="2:52" s="27" customFormat="1" ht="11.25" x14ac:dyDescent="0.2">
      <c r="B563" s="60"/>
      <c r="AZ563" s="61"/>
    </row>
    <row r="564" spans="2:52" s="27" customFormat="1" ht="11.25" x14ac:dyDescent="0.2">
      <c r="B564" s="60"/>
      <c r="AZ564" s="61"/>
    </row>
    <row r="565" spans="2:52" s="27" customFormat="1" ht="11.25" x14ac:dyDescent="0.2">
      <c r="B565" s="60"/>
      <c r="AZ565" s="61"/>
    </row>
    <row r="566" spans="2:52" s="27" customFormat="1" ht="11.25" x14ac:dyDescent="0.2">
      <c r="B566" s="60"/>
      <c r="AZ566" s="61"/>
    </row>
    <row r="567" spans="2:52" s="27" customFormat="1" ht="11.25" x14ac:dyDescent="0.2">
      <c r="B567" s="60"/>
      <c r="AZ567" s="61"/>
    </row>
    <row r="568" spans="2:52" s="27" customFormat="1" ht="11.25" x14ac:dyDescent="0.2">
      <c r="B568" s="60"/>
      <c r="AZ568" s="61"/>
    </row>
    <row r="569" spans="2:52" s="27" customFormat="1" ht="11.25" x14ac:dyDescent="0.2">
      <c r="B569" s="60"/>
      <c r="AZ569" s="61"/>
    </row>
    <row r="570" spans="2:52" s="27" customFormat="1" ht="11.25" x14ac:dyDescent="0.2">
      <c r="B570" s="60"/>
      <c r="AZ570" s="61"/>
    </row>
    <row r="571" spans="2:52" s="27" customFormat="1" ht="11.25" x14ac:dyDescent="0.2">
      <c r="B571" s="60"/>
      <c r="AZ571" s="61"/>
    </row>
    <row r="572" spans="2:52" s="27" customFormat="1" ht="11.25" x14ac:dyDescent="0.2">
      <c r="B572" s="60"/>
      <c r="AZ572" s="61"/>
    </row>
    <row r="573" spans="2:52" s="27" customFormat="1" ht="11.25" x14ac:dyDescent="0.2">
      <c r="B573" s="60"/>
      <c r="AZ573" s="61"/>
    </row>
    <row r="574" spans="2:52" s="27" customFormat="1" ht="11.25" x14ac:dyDescent="0.2">
      <c r="B574" s="60"/>
      <c r="AZ574" s="61"/>
    </row>
    <row r="575" spans="2:52" s="27" customFormat="1" ht="11.25" x14ac:dyDescent="0.2">
      <c r="B575" s="60"/>
      <c r="AZ575" s="61"/>
    </row>
    <row r="576" spans="2:52" s="27" customFormat="1" ht="11.25" x14ac:dyDescent="0.2">
      <c r="B576" s="60"/>
      <c r="AZ576" s="61"/>
    </row>
    <row r="577" spans="2:52" s="27" customFormat="1" ht="11.25" x14ac:dyDescent="0.2">
      <c r="B577" s="60"/>
      <c r="AZ577" s="61"/>
    </row>
    <row r="578" spans="2:52" s="27" customFormat="1" ht="11.25" x14ac:dyDescent="0.2">
      <c r="B578" s="60"/>
      <c r="AZ578" s="61"/>
    </row>
    <row r="579" spans="2:52" s="27" customFormat="1" ht="11.25" x14ac:dyDescent="0.2">
      <c r="B579" s="60"/>
      <c r="AZ579" s="61"/>
    </row>
    <row r="580" spans="2:52" s="27" customFormat="1" ht="11.25" x14ac:dyDescent="0.2">
      <c r="B580" s="60"/>
      <c r="AZ580" s="61"/>
    </row>
    <row r="581" spans="2:52" s="27" customFormat="1" ht="11.25" x14ac:dyDescent="0.2">
      <c r="B581" s="60"/>
      <c r="AZ581" s="61"/>
    </row>
    <row r="582" spans="2:52" s="27" customFormat="1" ht="11.25" x14ac:dyDescent="0.2">
      <c r="B582" s="60"/>
      <c r="AZ582" s="61"/>
    </row>
    <row r="583" spans="2:52" s="27" customFormat="1" ht="11.25" x14ac:dyDescent="0.2">
      <c r="B583" s="60"/>
      <c r="AZ583" s="61"/>
    </row>
    <row r="584" spans="2:52" s="27" customFormat="1" ht="11.25" x14ac:dyDescent="0.2">
      <c r="B584" s="60"/>
      <c r="AZ584" s="61"/>
    </row>
    <row r="585" spans="2:52" s="27" customFormat="1" ht="11.25" x14ac:dyDescent="0.2">
      <c r="B585" s="60"/>
      <c r="AZ585" s="61"/>
    </row>
    <row r="586" spans="2:52" s="27" customFormat="1" ht="11.25" x14ac:dyDescent="0.2">
      <c r="B586" s="60"/>
      <c r="AZ586" s="61"/>
    </row>
    <row r="587" spans="2:52" s="27" customFormat="1" ht="11.25" x14ac:dyDescent="0.2">
      <c r="B587" s="60"/>
      <c r="AZ587" s="61"/>
    </row>
    <row r="588" spans="2:52" s="27" customFormat="1" ht="11.25" x14ac:dyDescent="0.2">
      <c r="B588" s="60"/>
      <c r="AZ588" s="61"/>
    </row>
    <row r="589" spans="2:52" s="27" customFormat="1" ht="11.25" x14ac:dyDescent="0.2">
      <c r="B589" s="60"/>
      <c r="AZ589" s="61"/>
    </row>
    <row r="590" spans="2:52" s="27" customFormat="1" ht="11.25" x14ac:dyDescent="0.2">
      <c r="B590" s="60"/>
      <c r="AZ590" s="61"/>
    </row>
    <row r="591" spans="2:52" s="27" customFormat="1" ht="11.25" x14ac:dyDescent="0.2">
      <c r="B591" s="60"/>
      <c r="AZ591" s="61"/>
    </row>
    <row r="592" spans="2:52" s="27" customFormat="1" ht="11.25" x14ac:dyDescent="0.2">
      <c r="B592" s="60"/>
      <c r="AZ592" s="61"/>
    </row>
    <row r="593" spans="2:52" s="27" customFormat="1" ht="11.25" x14ac:dyDescent="0.2">
      <c r="B593" s="60"/>
      <c r="AZ593" s="61"/>
    </row>
    <row r="594" spans="2:52" s="27" customFormat="1" ht="11.25" x14ac:dyDescent="0.2">
      <c r="B594" s="60"/>
      <c r="AZ594" s="61"/>
    </row>
    <row r="595" spans="2:52" s="27" customFormat="1" ht="11.25" x14ac:dyDescent="0.2">
      <c r="B595" s="60"/>
      <c r="AZ595" s="61"/>
    </row>
    <row r="596" spans="2:52" s="27" customFormat="1" ht="11.25" x14ac:dyDescent="0.2">
      <c r="B596" s="60"/>
      <c r="AZ596" s="61"/>
    </row>
    <row r="597" spans="2:52" s="27" customFormat="1" ht="11.25" x14ac:dyDescent="0.2">
      <c r="B597" s="60"/>
      <c r="AZ597" s="61"/>
    </row>
    <row r="598" spans="2:52" s="27" customFormat="1" ht="11.25" x14ac:dyDescent="0.2">
      <c r="B598" s="60"/>
      <c r="AZ598" s="61"/>
    </row>
    <row r="599" spans="2:52" s="27" customFormat="1" ht="11.25" x14ac:dyDescent="0.2">
      <c r="B599" s="65"/>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7"/>
    </row>
    <row r="600" spans="2:52" s="27" customFormat="1" ht="11.25" x14ac:dyDescent="0.2"/>
    <row r="601" spans="2:52" s="27" customFormat="1" ht="11.25" x14ac:dyDescent="0.2"/>
    <row r="602" spans="2:52" s="27" customFormat="1" ht="11.25" x14ac:dyDescent="0.2">
      <c r="B602" s="62"/>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4"/>
    </row>
    <row r="603" spans="2:52" s="27" customFormat="1" ht="11.25" x14ac:dyDescent="0.2">
      <c r="B603" s="60"/>
      <c r="Z603" s="61"/>
    </row>
    <row r="604" spans="2:52" s="27" customFormat="1" ht="11.25" x14ac:dyDescent="0.2">
      <c r="B604" s="60"/>
      <c r="Z604" s="61"/>
    </row>
    <row r="605" spans="2:52" s="27" customFormat="1" ht="11.25" x14ac:dyDescent="0.2">
      <c r="B605" s="60"/>
      <c r="Z605" s="61"/>
    </row>
    <row r="606" spans="2:52" s="27" customFormat="1" ht="11.25" x14ac:dyDescent="0.2">
      <c r="B606" s="60"/>
      <c r="Z606" s="61"/>
    </row>
    <row r="607" spans="2:52" s="27" customFormat="1" ht="11.25" x14ac:dyDescent="0.2">
      <c r="B607" s="60"/>
      <c r="Z607" s="61"/>
    </row>
    <row r="608" spans="2:52" s="27" customFormat="1" ht="11.25" x14ac:dyDescent="0.2">
      <c r="B608" s="60"/>
      <c r="Z608" s="61"/>
    </row>
    <row r="609" spans="2:26" s="27" customFormat="1" ht="11.25" x14ac:dyDescent="0.2">
      <c r="B609" s="60"/>
      <c r="Z609" s="61"/>
    </row>
    <row r="610" spans="2:26" s="27" customFormat="1" ht="11.25" x14ac:dyDescent="0.2">
      <c r="B610" s="60"/>
      <c r="Z610" s="61"/>
    </row>
    <row r="611" spans="2:26" s="27" customFormat="1" ht="11.25" x14ac:dyDescent="0.2">
      <c r="B611" s="60"/>
      <c r="Z611" s="61"/>
    </row>
    <row r="612" spans="2:26" s="27" customFormat="1" ht="11.25" x14ac:dyDescent="0.2">
      <c r="B612" s="60"/>
      <c r="Z612" s="61"/>
    </row>
    <row r="613" spans="2:26" s="27" customFormat="1" ht="11.25" x14ac:dyDescent="0.2">
      <c r="B613" s="60"/>
      <c r="Z613" s="61"/>
    </row>
    <row r="614" spans="2:26" s="27" customFormat="1" ht="11.25" x14ac:dyDescent="0.2">
      <c r="B614" s="60"/>
      <c r="Z614" s="61"/>
    </row>
    <row r="615" spans="2:26" s="27" customFormat="1" ht="11.25" x14ac:dyDescent="0.2">
      <c r="B615" s="60"/>
      <c r="Z615" s="61"/>
    </row>
    <row r="616" spans="2:26" s="27" customFormat="1" ht="11.25" x14ac:dyDescent="0.2">
      <c r="B616" s="60"/>
      <c r="Z616" s="61"/>
    </row>
    <row r="617" spans="2:26" s="27" customFormat="1" ht="11.25" x14ac:dyDescent="0.2">
      <c r="B617" s="60"/>
      <c r="Z617" s="61"/>
    </row>
    <row r="618" spans="2:26" s="27" customFormat="1" ht="11.25" x14ac:dyDescent="0.2">
      <c r="B618" s="60"/>
      <c r="Z618" s="61"/>
    </row>
    <row r="619" spans="2:26" s="27" customFormat="1" ht="11.25" x14ac:dyDescent="0.2">
      <c r="B619" s="60"/>
      <c r="Z619" s="61"/>
    </row>
    <row r="620" spans="2:26" s="27" customFormat="1" ht="11.25" x14ac:dyDescent="0.2">
      <c r="B620" s="60"/>
      <c r="Z620" s="61"/>
    </row>
    <row r="621" spans="2:26" s="27" customFormat="1" ht="11.25" x14ac:dyDescent="0.2">
      <c r="B621" s="60"/>
      <c r="Z621" s="61"/>
    </row>
    <row r="622" spans="2:26" s="27" customFormat="1" ht="11.25" x14ac:dyDescent="0.2">
      <c r="B622" s="60"/>
      <c r="Z622" s="61"/>
    </row>
    <row r="623" spans="2:26" s="27" customFormat="1" ht="11.25" x14ac:dyDescent="0.2">
      <c r="B623" s="60"/>
      <c r="Z623" s="61"/>
    </row>
    <row r="624" spans="2:26" s="27" customFormat="1" ht="11.25" x14ac:dyDescent="0.2">
      <c r="B624" s="60"/>
      <c r="Z624" s="61"/>
    </row>
    <row r="625" spans="2:26" s="27" customFormat="1" ht="11.25" x14ac:dyDescent="0.2">
      <c r="B625" s="60"/>
      <c r="Z625" s="61"/>
    </row>
    <row r="626" spans="2:26" s="27" customFormat="1" ht="11.25" x14ac:dyDescent="0.2">
      <c r="B626" s="60"/>
      <c r="Z626" s="61"/>
    </row>
    <row r="627" spans="2:26" s="27" customFormat="1" ht="11.25" x14ac:dyDescent="0.2">
      <c r="B627" s="60"/>
      <c r="Z627" s="61"/>
    </row>
    <row r="628" spans="2:26" s="27" customFormat="1" ht="11.25" x14ac:dyDescent="0.2">
      <c r="B628" s="60"/>
      <c r="Z628" s="61"/>
    </row>
    <row r="629" spans="2:26" s="27" customFormat="1" ht="11.25" x14ac:dyDescent="0.2">
      <c r="B629" s="60"/>
      <c r="Z629" s="61"/>
    </row>
    <row r="630" spans="2:26" s="27" customFormat="1" ht="11.25" x14ac:dyDescent="0.2">
      <c r="B630" s="60"/>
      <c r="Z630" s="61"/>
    </row>
    <row r="631" spans="2:26" s="27" customFormat="1" ht="11.25" x14ac:dyDescent="0.2">
      <c r="B631" s="60"/>
      <c r="Z631" s="61"/>
    </row>
    <row r="632" spans="2:26" s="27" customFormat="1" ht="11.25" x14ac:dyDescent="0.2">
      <c r="B632" s="60"/>
      <c r="Z632" s="61"/>
    </row>
    <row r="633" spans="2:26" s="27" customFormat="1" ht="11.25" x14ac:dyDescent="0.2">
      <c r="B633" s="60"/>
      <c r="Z633" s="61"/>
    </row>
    <row r="634" spans="2:26" s="27" customFormat="1" ht="11.25" x14ac:dyDescent="0.2">
      <c r="B634" s="60"/>
      <c r="Z634" s="61"/>
    </row>
    <row r="635" spans="2:26" s="27" customFormat="1" ht="11.25" x14ac:dyDescent="0.2">
      <c r="B635" s="60"/>
      <c r="Z635" s="61"/>
    </row>
    <row r="636" spans="2:26" s="27" customFormat="1" ht="11.25" x14ac:dyDescent="0.2">
      <c r="B636" s="60"/>
      <c r="Z636" s="61"/>
    </row>
    <row r="637" spans="2:26" s="27" customFormat="1" ht="11.25" x14ac:dyDescent="0.2">
      <c r="B637" s="60"/>
      <c r="Z637" s="61"/>
    </row>
    <row r="638" spans="2:26" s="27" customFormat="1" ht="11.25" x14ac:dyDescent="0.2">
      <c r="B638" s="60"/>
      <c r="Z638" s="61"/>
    </row>
    <row r="639" spans="2:26" s="27" customFormat="1" ht="11.25" x14ac:dyDescent="0.2">
      <c r="B639" s="60"/>
      <c r="Z639" s="61"/>
    </row>
    <row r="640" spans="2:26" s="27" customFormat="1" ht="11.25" x14ac:dyDescent="0.2">
      <c r="B640" s="60"/>
      <c r="Z640" s="61"/>
    </row>
    <row r="641" spans="2:26" s="27" customFormat="1" ht="11.25" x14ac:dyDescent="0.2">
      <c r="B641" s="60"/>
      <c r="Z641" s="61"/>
    </row>
    <row r="642" spans="2:26" s="27" customFormat="1" ht="11.25" x14ac:dyDescent="0.2">
      <c r="B642" s="60"/>
      <c r="Z642" s="61"/>
    </row>
    <row r="643" spans="2:26" s="27" customFormat="1" ht="11.25" x14ac:dyDescent="0.2">
      <c r="B643" s="60"/>
      <c r="Z643" s="61"/>
    </row>
    <row r="644" spans="2:26" s="27" customFormat="1" ht="11.25" x14ac:dyDescent="0.2">
      <c r="B644" s="60"/>
      <c r="Z644" s="61"/>
    </row>
    <row r="645" spans="2:26" s="27" customFormat="1" ht="11.25" x14ac:dyDescent="0.2">
      <c r="B645" s="60"/>
      <c r="Z645" s="61"/>
    </row>
    <row r="646" spans="2:26" s="27" customFormat="1" ht="11.25" x14ac:dyDescent="0.2">
      <c r="B646" s="60"/>
      <c r="Z646" s="61"/>
    </row>
    <row r="647" spans="2:26" s="27" customFormat="1" ht="11.25" x14ac:dyDescent="0.2">
      <c r="B647" s="60"/>
      <c r="Z647" s="61"/>
    </row>
    <row r="648" spans="2:26" s="27" customFormat="1" ht="11.25" x14ac:dyDescent="0.2">
      <c r="B648" s="60"/>
      <c r="Z648" s="61"/>
    </row>
    <row r="649" spans="2:26" s="27" customFormat="1" ht="11.25" x14ac:dyDescent="0.2">
      <c r="B649" s="60"/>
      <c r="Z649" s="61"/>
    </row>
    <row r="650" spans="2:26" s="27" customFormat="1" ht="11.25" x14ac:dyDescent="0.2">
      <c r="B650" s="60"/>
      <c r="Z650" s="61"/>
    </row>
    <row r="651" spans="2:26" s="27" customFormat="1" ht="11.25" x14ac:dyDescent="0.2">
      <c r="B651" s="60"/>
      <c r="Z651" s="61"/>
    </row>
    <row r="652" spans="2:26" s="27" customFormat="1" ht="11.25" x14ac:dyDescent="0.2">
      <c r="B652" s="60"/>
      <c r="Z652" s="61"/>
    </row>
    <row r="653" spans="2:26" s="27" customFormat="1" ht="11.25" x14ac:dyDescent="0.2">
      <c r="B653" s="60"/>
      <c r="Z653" s="61"/>
    </row>
    <row r="654" spans="2:26" s="27" customFormat="1" ht="11.25" x14ac:dyDescent="0.2">
      <c r="B654" s="65"/>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7"/>
    </row>
    <row r="655" spans="2:26" s="27" customFormat="1" ht="11.25" x14ac:dyDescent="0.2"/>
    <row r="656" spans="2:26" s="27" customFormat="1" ht="11.25" x14ac:dyDescent="0.2"/>
    <row r="657" s="27" customFormat="1" ht="11.25" x14ac:dyDescent="0.2"/>
    <row r="658" s="27" customFormat="1" ht="11.25" x14ac:dyDescent="0.2"/>
    <row r="659" s="27" customFormat="1" ht="11.25" x14ac:dyDescent="0.2"/>
    <row r="660" s="27" customFormat="1" ht="11.25" x14ac:dyDescent="0.2"/>
    <row r="661" s="27" customFormat="1" ht="11.25" x14ac:dyDescent="0.2"/>
    <row r="662" s="27" customFormat="1" ht="11.25" x14ac:dyDescent="0.2"/>
    <row r="663" s="27" customFormat="1" ht="11.25" x14ac:dyDescent="0.2"/>
    <row r="664" s="27" customFormat="1" ht="11.25" x14ac:dyDescent="0.2"/>
    <row r="665" s="27" customFormat="1" ht="11.25" x14ac:dyDescent="0.2"/>
    <row r="666" s="27" customFormat="1" ht="11.25" x14ac:dyDescent="0.2"/>
    <row r="667" s="27" customFormat="1" ht="11.25" x14ac:dyDescent="0.2"/>
    <row r="668" s="27" customFormat="1" ht="11.25" x14ac:dyDescent="0.2"/>
    <row r="669" s="27" customFormat="1" ht="11.25" x14ac:dyDescent="0.2"/>
    <row r="670" s="27" customFormat="1" ht="11.25" x14ac:dyDescent="0.2"/>
    <row r="671" s="27" customFormat="1" ht="11.25" x14ac:dyDescent="0.2"/>
    <row r="672" s="27" customFormat="1" ht="11.25" x14ac:dyDescent="0.2"/>
    <row r="673" s="27" customFormat="1" ht="11.25" x14ac:dyDescent="0.2"/>
    <row r="674" s="27" customFormat="1" ht="11.25" x14ac:dyDescent="0.2"/>
    <row r="675" s="27" customFormat="1" ht="11.25" x14ac:dyDescent="0.2"/>
    <row r="676" s="27" customFormat="1" ht="11.25" x14ac:dyDescent="0.2"/>
    <row r="677" s="27" customFormat="1" ht="11.25" x14ac:dyDescent="0.2"/>
    <row r="678" s="27" customFormat="1" ht="11.25" x14ac:dyDescent="0.2"/>
    <row r="679" s="27" customFormat="1" ht="11.25" x14ac:dyDescent="0.2"/>
    <row r="680" s="27" customFormat="1" ht="11.25" x14ac:dyDescent="0.2"/>
    <row r="681" s="27" customFormat="1" ht="11.25" x14ac:dyDescent="0.2"/>
    <row r="682" s="27" customFormat="1" ht="11.25" x14ac:dyDescent="0.2"/>
    <row r="683" s="27" customFormat="1" ht="11.25" x14ac:dyDescent="0.2"/>
    <row r="684" s="27" customFormat="1" ht="11.25" x14ac:dyDescent="0.2"/>
    <row r="685" s="27" customFormat="1" ht="11.25" x14ac:dyDescent="0.2"/>
    <row r="686" s="27" customFormat="1" ht="11.25" x14ac:dyDescent="0.2"/>
    <row r="687" s="27" customFormat="1" ht="11.25" x14ac:dyDescent="0.2"/>
    <row r="688" s="27" customFormat="1" ht="11.25" x14ac:dyDescent="0.2"/>
    <row r="689" s="27" customFormat="1" ht="11.25" x14ac:dyDescent="0.2"/>
    <row r="690" s="27" customFormat="1" ht="11.25" x14ac:dyDescent="0.2"/>
    <row r="691" s="27" customFormat="1" ht="11.25" x14ac:dyDescent="0.2"/>
    <row r="692" s="27" customFormat="1" ht="11.25" x14ac:dyDescent="0.2"/>
    <row r="693" s="27" customFormat="1" ht="11.25" x14ac:dyDescent="0.2"/>
    <row r="694" s="27" customFormat="1" ht="11.25" x14ac:dyDescent="0.2"/>
    <row r="695" s="27" customFormat="1" ht="11.25" x14ac:dyDescent="0.2"/>
    <row r="696" s="27" customFormat="1" ht="11.25" x14ac:dyDescent="0.2"/>
    <row r="697" s="27" customFormat="1" ht="11.25" x14ac:dyDescent="0.2"/>
    <row r="698" s="27" customFormat="1" ht="11.25" x14ac:dyDescent="0.2"/>
    <row r="699" s="27" customFormat="1" ht="11.25" x14ac:dyDescent="0.2"/>
    <row r="700" s="27" customFormat="1" ht="11.25" x14ac:dyDescent="0.2"/>
    <row r="701" s="27" customFormat="1" ht="11.25" x14ac:dyDescent="0.2"/>
    <row r="702" s="27" customFormat="1" ht="11.25" x14ac:dyDescent="0.2"/>
    <row r="703" s="27" customFormat="1" ht="11.25" x14ac:dyDescent="0.2"/>
    <row r="704" s="27" customFormat="1" ht="11.25" x14ac:dyDescent="0.2"/>
    <row r="705" spans="2:46" s="27" customFormat="1" ht="11.25" x14ac:dyDescent="0.2"/>
    <row r="706" spans="2:46" s="27" customFormat="1" ht="11.25" x14ac:dyDescent="0.2"/>
    <row r="707" spans="2:46" s="27" customFormat="1" ht="11.25" x14ac:dyDescent="0.2"/>
    <row r="708" spans="2:46" s="27" customFormat="1" ht="11.25" x14ac:dyDescent="0.2"/>
    <row r="709" spans="2:46" s="27" customFormat="1" ht="11.25" x14ac:dyDescent="0.2">
      <c r="B709" s="62"/>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4"/>
    </row>
    <row r="710" spans="2:46" s="27" customFormat="1" ht="11.25" x14ac:dyDescent="0.2">
      <c r="B710" s="65"/>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7"/>
    </row>
    <row r="711" spans="2:46" s="27" customFormat="1" ht="11.25" x14ac:dyDescent="0.2">
      <c r="B711" s="60"/>
      <c r="AT711" s="61"/>
    </row>
    <row r="712" spans="2:46" s="27" customFormat="1" ht="11.25" x14ac:dyDescent="0.2">
      <c r="B712" s="60"/>
      <c r="AT712" s="61"/>
    </row>
    <row r="713" spans="2:46" s="27" customFormat="1" ht="11.25" x14ac:dyDescent="0.2">
      <c r="B713" s="60"/>
      <c r="AT713" s="61"/>
    </row>
    <row r="714" spans="2:46" s="27" customFormat="1" ht="11.25" x14ac:dyDescent="0.2">
      <c r="B714" s="60"/>
      <c r="AT714" s="61"/>
    </row>
    <row r="715" spans="2:46" s="27" customFormat="1" ht="11.25" x14ac:dyDescent="0.2">
      <c r="B715" s="60"/>
      <c r="AT715" s="61"/>
    </row>
    <row r="716" spans="2:46" s="27" customFormat="1" ht="11.25" x14ac:dyDescent="0.2">
      <c r="B716" s="60"/>
      <c r="AT716" s="61"/>
    </row>
    <row r="717" spans="2:46" s="27" customFormat="1" ht="11.25" x14ac:dyDescent="0.2">
      <c r="B717" s="60"/>
      <c r="AT717" s="61"/>
    </row>
    <row r="718" spans="2:46" s="27" customFormat="1" ht="11.25" x14ac:dyDescent="0.2">
      <c r="B718" s="60"/>
      <c r="AT718" s="61"/>
    </row>
    <row r="719" spans="2:46" s="27" customFormat="1" ht="11.25" x14ac:dyDescent="0.2">
      <c r="B719" s="60"/>
      <c r="AT719" s="61"/>
    </row>
    <row r="720" spans="2:46" s="27" customFormat="1" ht="11.25" x14ac:dyDescent="0.2">
      <c r="B720" s="60"/>
      <c r="AT720" s="61"/>
    </row>
    <row r="721" spans="2:46" s="27" customFormat="1" ht="11.25" x14ac:dyDescent="0.2">
      <c r="B721" s="60"/>
      <c r="AT721" s="61"/>
    </row>
    <row r="722" spans="2:46" s="27" customFormat="1" ht="11.25" x14ac:dyDescent="0.2">
      <c r="B722" s="60"/>
      <c r="AT722" s="61"/>
    </row>
    <row r="723" spans="2:46" s="27" customFormat="1" ht="11.25" x14ac:dyDescent="0.2">
      <c r="B723" s="60"/>
      <c r="AT723" s="61"/>
    </row>
    <row r="724" spans="2:46" s="27" customFormat="1" ht="11.25" x14ac:dyDescent="0.2">
      <c r="B724" s="60"/>
      <c r="AT724" s="61"/>
    </row>
    <row r="725" spans="2:46" s="27" customFormat="1" ht="11.25" x14ac:dyDescent="0.2">
      <c r="B725" s="60"/>
      <c r="AT725" s="61"/>
    </row>
    <row r="726" spans="2:46" s="27" customFormat="1" ht="11.25" x14ac:dyDescent="0.2">
      <c r="B726" s="60"/>
      <c r="AT726" s="61"/>
    </row>
    <row r="727" spans="2:46" s="27" customFormat="1" ht="11.25" x14ac:dyDescent="0.2">
      <c r="B727" s="60"/>
      <c r="AT727" s="61"/>
    </row>
    <row r="728" spans="2:46" s="27" customFormat="1" ht="11.25" x14ac:dyDescent="0.2">
      <c r="B728" s="60"/>
      <c r="AT728" s="61"/>
    </row>
    <row r="729" spans="2:46" s="27" customFormat="1" ht="11.25" x14ac:dyDescent="0.2">
      <c r="B729" s="60"/>
      <c r="AT729" s="61"/>
    </row>
    <row r="730" spans="2:46" s="27" customFormat="1" ht="11.25" x14ac:dyDescent="0.2">
      <c r="B730" s="60"/>
      <c r="AT730" s="61"/>
    </row>
    <row r="731" spans="2:46" s="27" customFormat="1" ht="11.25" x14ac:dyDescent="0.2">
      <c r="B731" s="60"/>
      <c r="AT731" s="61"/>
    </row>
    <row r="732" spans="2:46" s="27" customFormat="1" ht="11.25" x14ac:dyDescent="0.2">
      <c r="B732" s="60"/>
      <c r="AT732" s="61"/>
    </row>
    <row r="733" spans="2:46" s="27" customFormat="1" ht="11.25" x14ac:dyDescent="0.2">
      <c r="B733" s="60"/>
      <c r="AT733" s="61"/>
    </row>
    <row r="734" spans="2:46" s="27" customFormat="1" ht="11.25" x14ac:dyDescent="0.2">
      <c r="B734" s="60"/>
      <c r="AT734" s="61"/>
    </row>
    <row r="735" spans="2:46" s="27" customFormat="1" ht="11.25" x14ac:dyDescent="0.2">
      <c r="B735" s="60"/>
      <c r="AT735" s="61"/>
    </row>
    <row r="736" spans="2:46" s="27" customFormat="1" ht="11.25" x14ac:dyDescent="0.2">
      <c r="B736" s="60"/>
      <c r="AT736" s="61"/>
    </row>
    <row r="737" spans="2:46" s="27" customFormat="1" ht="11.25" x14ac:dyDescent="0.2">
      <c r="B737" s="60"/>
      <c r="AT737" s="61"/>
    </row>
    <row r="738" spans="2:46" s="27" customFormat="1" ht="11.25" x14ac:dyDescent="0.2">
      <c r="B738" s="60"/>
      <c r="AT738" s="61"/>
    </row>
    <row r="739" spans="2:46" s="27" customFormat="1" ht="11.25" x14ac:dyDescent="0.2">
      <c r="B739" s="60"/>
      <c r="AT739" s="61"/>
    </row>
    <row r="740" spans="2:46" s="27" customFormat="1" ht="11.25" x14ac:dyDescent="0.2">
      <c r="B740" s="60"/>
      <c r="AT740" s="61"/>
    </row>
    <row r="741" spans="2:46" s="27" customFormat="1" ht="11.25" x14ac:dyDescent="0.2">
      <c r="B741" s="60"/>
      <c r="AT741" s="61"/>
    </row>
    <row r="742" spans="2:46" s="27" customFormat="1" ht="11.25" x14ac:dyDescent="0.2">
      <c r="B742" s="60"/>
      <c r="AT742" s="61"/>
    </row>
    <row r="743" spans="2:46" s="27" customFormat="1" ht="11.25" x14ac:dyDescent="0.2">
      <c r="B743" s="60"/>
      <c r="AT743" s="61"/>
    </row>
    <row r="744" spans="2:46" s="27" customFormat="1" ht="11.25" x14ac:dyDescent="0.2">
      <c r="B744" s="60"/>
      <c r="AT744" s="61"/>
    </row>
    <row r="745" spans="2:46" s="27" customFormat="1" ht="11.25" x14ac:dyDescent="0.2">
      <c r="B745" s="60"/>
      <c r="AT745" s="61"/>
    </row>
    <row r="746" spans="2:46" s="27" customFormat="1" ht="11.25" x14ac:dyDescent="0.2">
      <c r="B746" s="60"/>
      <c r="AT746" s="61"/>
    </row>
    <row r="747" spans="2:46" s="27" customFormat="1" ht="11.25" x14ac:dyDescent="0.2">
      <c r="B747" s="60"/>
      <c r="AT747" s="61"/>
    </row>
    <row r="748" spans="2:46" s="27" customFormat="1" ht="11.25" x14ac:dyDescent="0.2">
      <c r="B748" s="60"/>
      <c r="AT748" s="61"/>
    </row>
    <row r="749" spans="2:46" s="27" customFormat="1" ht="11.25" x14ac:dyDescent="0.2">
      <c r="B749" s="60"/>
      <c r="AT749" s="61"/>
    </row>
    <row r="750" spans="2:46" s="27" customFormat="1" ht="11.25" x14ac:dyDescent="0.2">
      <c r="B750" s="60"/>
      <c r="AT750" s="61"/>
    </row>
    <row r="751" spans="2:46" s="27" customFormat="1" ht="11.25" x14ac:dyDescent="0.2">
      <c r="B751" s="60"/>
      <c r="AT751" s="61"/>
    </row>
    <row r="752" spans="2:46" s="27" customFormat="1" ht="11.25" x14ac:dyDescent="0.2">
      <c r="B752" s="60"/>
      <c r="AT752" s="61"/>
    </row>
    <row r="753" spans="2:46" s="27" customFormat="1" ht="11.25" x14ac:dyDescent="0.2">
      <c r="B753" s="60"/>
      <c r="AT753" s="61"/>
    </row>
    <row r="754" spans="2:46" s="27" customFormat="1" ht="11.25" x14ac:dyDescent="0.2">
      <c r="B754" s="60"/>
      <c r="AT754" s="61"/>
    </row>
    <row r="755" spans="2:46" s="27" customFormat="1" ht="11.25" x14ac:dyDescent="0.2">
      <c r="B755" s="60"/>
      <c r="AT755" s="61"/>
    </row>
    <row r="756" spans="2:46" s="27" customFormat="1" ht="11.25" x14ac:dyDescent="0.2">
      <c r="B756" s="60"/>
      <c r="AT756" s="61"/>
    </row>
    <row r="757" spans="2:46" s="27" customFormat="1" ht="11.25" x14ac:dyDescent="0.2">
      <c r="B757" s="60"/>
      <c r="AT757" s="61"/>
    </row>
    <row r="758" spans="2:46" s="27" customFormat="1" ht="11.25" x14ac:dyDescent="0.2">
      <c r="B758" s="60"/>
      <c r="AT758" s="61"/>
    </row>
    <row r="759" spans="2:46" s="27" customFormat="1" ht="11.25" x14ac:dyDescent="0.2">
      <c r="B759" s="60"/>
      <c r="AT759" s="61"/>
    </row>
    <row r="760" spans="2:46" s="27" customFormat="1" ht="11.25" x14ac:dyDescent="0.2">
      <c r="B760" s="60"/>
      <c r="AT760" s="61"/>
    </row>
    <row r="761" spans="2:46" s="27" customFormat="1" ht="11.25" x14ac:dyDescent="0.2">
      <c r="B761" s="60"/>
      <c r="AT761" s="61"/>
    </row>
    <row r="762" spans="2:46" s="27" customFormat="1" ht="11.25" x14ac:dyDescent="0.2">
      <c r="B762" s="60"/>
      <c r="AT762" s="61"/>
    </row>
    <row r="763" spans="2:46" s="27" customFormat="1" ht="11.25" x14ac:dyDescent="0.2">
      <c r="B763" s="60"/>
      <c r="AT763" s="61"/>
    </row>
    <row r="764" spans="2:46" s="27" customFormat="1" ht="11.25" x14ac:dyDescent="0.2">
      <c r="B764" s="65"/>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7"/>
    </row>
    <row r="765" spans="2:46" s="27" customFormat="1" ht="11.25" x14ac:dyDescent="0.2">
      <c r="B765" s="62"/>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4"/>
    </row>
    <row r="766" spans="2:46" s="27" customFormat="1" ht="11.25" x14ac:dyDescent="0.2">
      <c r="B766" s="60"/>
      <c r="AT766" s="61"/>
    </row>
    <row r="767" spans="2:46" s="27" customFormat="1" ht="11.25" x14ac:dyDescent="0.2">
      <c r="B767" s="60"/>
      <c r="AT767" s="61"/>
    </row>
    <row r="768" spans="2:46" s="27" customFormat="1" ht="11.25" x14ac:dyDescent="0.2">
      <c r="B768" s="60"/>
      <c r="AT768" s="61"/>
    </row>
    <row r="769" spans="2:46" s="27" customFormat="1" ht="11.25" x14ac:dyDescent="0.2">
      <c r="B769" s="60"/>
      <c r="AT769" s="61"/>
    </row>
    <row r="770" spans="2:46" s="27" customFormat="1" ht="11.25" x14ac:dyDescent="0.2">
      <c r="B770" s="60"/>
      <c r="AT770" s="61"/>
    </row>
    <row r="771" spans="2:46" s="27" customFormat="1" ht="11.25" x14ac:dyDescent="0.2">
      <c r="B771" s="60"/>
      <c r="AT771" s="61"/>
    </row>
    <row r="772" spans="2:46" s="27" customFormat="1" ht="11.25" x14ac:dyDescent="0.2">
      <c r="B772" s="60"/>
      <c r="AT772" s="61"/>
    </row>
    <row r="773" spans="2:46" s="27" customFormat="1" ht="11.25" x14ac:dyDescent="0.2">
      <c r="B773" s="60"/>
      <c r="AT773" s="61"/>
    </row>
    <row r="774" spans="2:46" s="27" customFormat="1" ht="11.25" x14ac:dyDescent="0.2">
      <c r="B774" s="60"/>
      <c r="AT774" s="61"/>
    </row>
    <row r="775" spans="2:46" s="27" customFormat="1" ht="11.25" x14ac:dyDescent="0.2">
      <c r="B775" s="60"/>
      <c r="AT775" s="61"/>
    </row>
    <row r="776" spans="2:46" s="27" customFormat="1" ht="11.25" x14ac:dyDescent="0.2">
      <c r="B776" s="60"/>
      <c r="AT776" s="61"/>
    </row>
    <row r="777" spans="2:46" s="27" customFormat="1" ht="11.25" x14ac:dyDescent="0.2">
      <c r="B777" s="60"/>
      <c r="AT777" s="61"/>
    </row>
    <row r="778" spans="2:46" s="27" customFormat="1" ht="11.25" x14ac:dyDescent="0.2">
      <c r="B778" s="60"/>
      <c r="AT778" s="61"/>
    </row>
    <row r="779" spans="2:46" s="27" customFormat="1" ht="11.25" x14ac:dyDescent="0.2">
      <c r="B779" s="60"/>
      <c r="AT779" s="61"/>
    </row>
    <row r="780" spans="2:46" s="27" customFormat="1" ht="11.25" x14ac:dyDescent="0.2">
      <c r="B780" s="60"/>
      <c r="AT780" s="61"/>
    </row>
    <row r="781" spans="2:46" s="27" customFormat="1" ht="11.25" x14ac:dyDescent="0.2">
      <c r="B781" s="60"/>
      <c r="AT781" s="61"/>
    </row>
    <row r="782" spans="2:46" s="27" customFormat="1" ht="11.25" x14ac:dyDescent="0.2">
      <c r="B782" s="60"/>
      <c r="AT782" s="61"/>
    </row>
    <row r="783" spans="2:46" s="27" customFormat="1" ht="11.25" x14ac:dyDescent="0.2">
      <c r="B783" s="60"/>
      <c r="AT783" s="61"/>
    </row>
    <row r="784" spans="2:46" s="27" customFormat="1" ht="11.25" x14ac:dyDescent="0.2">
      <c r="B784" s="60"/>
      <c r="AT784" s="61"/>
    </row>
    <row r="785" spans="2:46" s="27" customFormat="1" ht="11.25" x14ac:dyDescent="0.2">
      <c r="B785" s="60"/>
      <c r="AT785" s="61"/>
    </row>
    <row r="786" spans="2:46" s="27" customFormat="1" ht="11.25" x14ac:dyDescent="0.2">
      <c r="B786" s="60"/>
      <c r="AT786" s="61"/>
    </row>
    <row r="787" spans="2:46" s="27" customFormat="1" ht="11.25" x14ac:dyDescent="0.2">
      <c r="B787" s="60"/>
      <c r="AT787" s="61"/>
    </row>
    <row r="788" spans="2:46" s="27" customFormat="1" ht="11.25" x14ac:dyDescent="0.2">
      <c r="B788" s="60"/>
      <c r="AT788" s="61"/>
    </row>
    <row r="789" spans="2:46" s="27" customFormat="1" ht="11.25" x14ac:dyDescent="0.2">
      <c r="B789" s="60"/>
      <c r="AT789" s="61"/>
    </row>
    <row r="790" spans="2:46" s="27" customFormat="1" ht="11.25" x14ac:dyDescent="0.2">
      <c r="B790" s="60"/>
      <c r="AT790" s="61"/>
    </row>
    <row r="791" spans="2:46" s="27" customFormat="1" ht="11.25" x14ac:dyDescent="0.2">
      <c r="B791" s="60"/>
      <c r="AT791" s="61"/>
    </row>
    <row r="792" spans="2:46" s="27" customFormat="1" ht="11.25" x14ac:dyDescent="0.2">
      <c r="B792" s="60"/>
      <c r="AT792" s="61"/>
    </row>
    <row r="793" spans="2:46" s="27" customFormat="1" ht="11.25" x14ac:dyDescent="0.2">
      <c r="B793" s="60"/>
      <c r="AT793" s="61"/>
    </row>
    <row r="794" spans="2:46" s="27" customFormat="1" ht="11.25" x14ac:dyDescent="0.2">
      <c r="B794" s="60"/>
      <c r="AT794" s="61"/>
    </row>
    <row r="795" spans="2:46" s="27" customFormat="1" ht="11.25" x14ac:dyDescent="0.2">
      <c r="B795" s="60"/>
      <c r="AT795" s="61"/>
    </row>
    <row r="796" spans="2:46" s="27" customFormat="1" ht="11.25" x14ac:dyDescent="0.2">
      <c r="B796" s="60"/>
      <c r="AT796" s="61"/>
    </row>
    <row r="797" spans="2:46" s="27" customFormat="1" ht="11.25" x14ac:dyDescent="0.2">
      <c r="B797" s="60"/>
      <c r="AT797" s="61"/>
    </row>
    <row r="798" spans="2:46" s="27" customFormat="1" ht="11.25" x14ac:dyDescent="0.2">
      <c r="B798" s="60"/>
      <c r="AT798" s="61"/>
    </row>
    <row r="799" spans="2:46" s="27" customFormat="1" ht="11.25" x14ac:dyDescent="0.2">
      <c r="B799" s="60"/>
      <c r="AT799" s="61"/>
    </row>
    <row r="800" spans="2:46" s="27" customFormat="1" ht="11.25" x14ac:dyDescent="0.2">
      <c r="B800" s="60"/>
      <c r="AT800" s="61"/>
    </row>
    <row r="801" spans="2:46" s="27" customFormat="1" ht="11.25" x14ac:dyDescent="0.2">
      <c r="B801" s="60"/>
      <c r="AT801" s="61"/>
    </row>
    <row r="802" spans="2:46" s="27" customFormat="1" ht="11.25" x14ac:dyDescent="0.2">
      <c r="B802" s="60"/>
      <c r="AT802" s="61"/>
    </row>
    <row r="803" spans="2:46" s="27" customFormat="1" ht="11.25" x14ac:dyDescent="0.2">
      <c r="B803" s="60"/>
      <c r="AT803" s="61"/>
    </row>
    <row r="804" spans="2:46" s="27" customFormat="1" ht="11.25" x14ac:dyDescent="0.2">
      <c r="B804" s="60"/>
      <c r="AT804" s="61"/>
    </row>
    <row r="805" spans="2:46" s="27" customFormat="1" ht="11.25" x14ac:dyDescent="0.2">
      <c r="B805" s="60"/>
      <c r="AT805" s="61"/>
    </row>
    <row r="806" spans="2:46" s="27" customFormat="1" ht="11.25" x14ac:dyDescent="0.2">
      <c r="B806" s="60"/>
      <c r="AT806" s="61"/>
    </row>
    <row r="807" spans="2:46" s="27" customFormat="1" ht="11.25" x14ac:dyDescent="0.2">
      <c r="B807" s="60"/>
      <c r="AT807" s="61"/>
    </row>
    <row r="808" spans="2:46" s="27" customFormat="1" ht="11.25" x14ac:dyDescent="0.2">
      <c r="B808" s="60"/>
      <c r="AT808" s="61"/>
    </row>
    <row r="809" spans="2:46" s="27" customFormat="1" ht="11.25" x14ac:dyDescent="0.2">
      <c r="B809" s="60"/>
      <c r="AT809" s="61"/>
    </row>
    <row r="810" spans="2:46" s="27" customFormat="1" ht="11.25" x14ac:dyDescent="0.2">
      <c r="B810" s="60"/>
      <c r="AT810" s="61"/>
    </row>
    <row r="811" spans="2:46" s="27" customFormat="1" ht="11.25" x14ac:dyDescent="0.2">
      <c r="B811" s="60"/>
      <c r="AT811" s="61"/>
    </row>
    <row r="812" spans="2:46" s="27" customFormat="1" ht="11.25" x14ac:dyDescent="0.2">
      <c r="B812" s="60"/>
      <c r="AT812" s="61"/>
    </row>
    <row r="813" spans="2:46" s="27" customFormat="1" ht="11.25" x14ac:dyDescent="0.2">
      <c r="B813" s="60"/>
      <c r="AT813" s="61"/>
    </row>
    <row r="814" spans="2:46" s="27" customFormat="1" ht="11.25" x14ac:dyDescent="0.2">
      <c r="B814" s="60"/>
      <c r="AT814" s="61"/>
    </row>
    <row r="815" spans="2:46" s="27" customFormat="1" ht="11.25" x14ac:dyDescent="0.2">
      <c r="B815" s="60"/>
      <c r="AT815" s="61"/>
    </row>
    <row r="816" spans="2:46" s="27" customFormat="1" ht="11.25" x14ac:dyDescent="0.2">
      <c r="B816" s="60"/>
      <c r="AT816" s="61"/>
    </row>
    <row r="817" spans="2:46" s="27" customFormat="1" ht="11.25" x14ac:dyDescent="0.2">
      <c r="B817" s="60"/>
      <c r="AT817" s="61"/>
    </row>
    <row r="818" spans="2:46" s="27" customFormat="1" ht="11.25" x14ac:dyDescent="0.2">
      <c r="B818" s="60"/>
      <c r="AT818" s="61"/>
    </row>
    <row r="819" spans="2:46" s="27" customFormat="1" ht="11.25" x14ac:dyDescent="0.2">
      <c r="B819" s="65"/>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7"/>
    </row>
    <row r="820" spans="2:46" s="27" customFormat="1" ht="11.25" x14ac:dyDescent="0.2"/>
    <row r="821" spans="2:46" s="27" customFormat="1" ht="11.25" x14ac:dyDescent="0.2"/>
    <row r="822" spans="2:46" s="27" customFormat="1" ht="11.25" x14ac:dyDescent="0.2"/>
    <row r="823" spans="2:46" s="27" customFormat="1" ht="11.25" x14ac:dyDescent="0.2"/>
    <row r="824" spans="2:46" s="27" customFormat="1" ht="11.25" x14ac:dyDescent="0.2"/>
    <row r="825" spans="2:46" s="27" customFormat="1" ht="11.25" x14ac:dyDescent="0.2"/>
    <row r="826" spans="2:46" s="27" customFormat="1" ht="11.25" x14ac:dyDescent="0.2"/>
    <row r="827" spans="2:46" s="27" customFormat="1" ht="11.25" x14ac:dyDescent="0.2"/>
    <row r="828" spans="2:46" s="27" customFormat="1" ht="11.25" x14ac:dyDescent="0.2"/>
    <row r="829" spans="2:46" s="27" customFormat="1" ht="11.25" x14ac:dyDescent="0.2"/>
    <row r="830" spans="2:46" s="27" customFormat="1" ht="11.25" x14ac:dyDescent="0.2"/>
    <row r="831" spans="2:46" s="27" customFormat="1" ht="11.25" x14ac:dyDescent="0.2"/>
    <row r="832" spans="2:46" s="27" customFormat="1" ht="11.25" x14ac:dyDescent="0.2"/>
    <row r="833" s="27" customFormat="1" ht="11.25" x14ac:dyDescent="0.2"/>
    <row r="834" s="27" customFormat="1" ht="11.25" x14ac:dyDescent="0.2"/>
    <row r="835" s="27" customFormat="1" ht="11.25" x14ac:dyDescent="0.2"/>
    <row r="836" s="27" customFormat="1" ht="11.25" x14ac:dyDescent="0.2"/>
    <row r="837" s="27" customFormat="1" ht="11.25" x14ac:dyDescent="0.2"/>
    <row r="838" s="27" customFormat="1" ht="11.25" x14ac:dyDescent="0.2"/>
    <row r="839" s="27" customFormat="1" ht="11.25" x14ac:dyDescent="0.2"/>
    <row r="840" s="27" customFormat="1" ht="11.25" x14ac:dyDescent="0.2"/>
    <row r="841" s="27" customFormat="1" ht="11.25" x14ac:dyDescent="0.2"/>
    <row r="842" s="27" customFormat="1" ht="11.25" x14ac:dyDescent="0.2"/>
    <row r="843" s="27" customFormat="1" ht="11.25" x14ac:dyDescent="0.2"/>
    <row r="844" s="27" customFormat="1" ht="11.25" x14ac:dyDescent="0.2"/>
    <row r="845" s="27" customFormat="1" ht="11.25" x14ac:dyDescent="0.2"/>
    <row r="846" s="27" customFormat="1" ht="11.25" x14ac:dyDescent="0.2"/>
    <row r="847" s="27" customFormat="1" ht="11.25" x14ac:dyDescent="0.2"/>
    <row r="848" s="27" customFormat="1" ht="11.25" x14ac:dyDescent="0.2"/>
    <row r="849" s="27" customFormat="1" ht="11.25" x14ac:dyDescent="0.2"/>
    <row r="850" s="27" customFormat="1" ht="11.25" x14ac:dyDescent="0.2"/>
    <row r="851" s="27" customFormat="1" ht="11.25" x14ac:dyDescent="0.2"/>
    <row r="852" s="27" customFormat="1" ht="11.25" x14ac:dyDescent="0.2"/>
    <row r="853" s="27" customFormat="1" ht="11.25" x14ac:dyDescent="0.2"/>
    <row r="854" s="27" customFormat="1" ht="11.25" x14ac:dyDescent="0.2"/>
    <row r="855" s="27" customFormat="1" ht="11.25" x14ac:dyDescent="0.2"/>
    <row r="856" s="27" customFormat="1" ht="11.25" x14ac:dyDescent="0.2"/>
    <row r="857" s="27" customFormat="1" ht="11.25" x14ac:dyDescent="0.2"/>
    <row r="858" s="27" customFormat="1" ht="11.25" x14ac:dyDescent="0.2"/>
    <row r="859" s="27" customFormat="1" ht="11.25" x14ac:dyDescent="0.2"/>
    <row r="860" s="27" customFormat="1" ht="11.25" x14ac:dyDescent="0.2"/>
    <row r="861" s="27" customFormat="1" ht="11.25" x14ac:dyDescent="0.2"/>
    <row r="862" s="27" customFormat="1" ht="11.25" x14ac:dyDescent="0.2"/>
    <row r="863" s="27" customFormat="1" ht="11.25" x14ac:dyDescent="0.2"/>
    <row r="864" s="27" customFormat="1" ht="11.25" x14ac:dyDescent="0.2"/>
    <row r="865" s="27" customFormat="1" ht="11.25" x14ac:dyDescent="0.2"/>
    <row r="866" s="27" customFormat="1" ht="11.25" x14ac:dyDescent="0.2"/>
    <row r="867" s="27" customFormat="1" ht="11.25" x14ac:dyDescent="0.2"/>
    <row r="868" s="27" customFormat="1" ht="11.25" x14ac:dyDescent="0.2"/>
    <row r="869" s="27" customFormat="1" ht="11.25" x14ac:dyDescent="0.2"/>
    <row r="870" s="27" customFormat="1" ht="11.25" x14ac:dyDescent="0.2"/>
    <row r="871" s="27" customFormat="1" ht="11.25" x14ac:dyDescent="0.2"/>
    <row r="872" s="27" customFormat="1" ht="11.25" x14ac:dyDescent="0.2"/>
    <row r="873" s="27" customFormat="1" ht="11.25" x14ac:dyDescent="0.2"/>
    <row r="874" s="27" customFormat="1" ht="11.25" x14ac:dyDescent="0.2"/>
    <row r="875" s="27" customFormat="1" ht="11.25" x14ac:dyDescent="0.2"/>
    <row r="876" s="27" customFormat="1" ht="11.25" x14ac:dyDescent="0.2"/>
    <row r="877" s="27" customFormat="1" ht="11.25" x14ac:dyDescent="0.2"/>
    <row r="878" s="27" customFormat="1" ht="11.25" x14ac:dyDescent="0.2"/>
    <row r="879" s="27" customFormat="1" ht="11.25" x14ac:dyDescent="0.2"/>
    <row r="880" s="27" customFormat="1" ht="11.25" x14ac:dyDescent="0.2"/>
    <row r="881" s="27" customFormat="1" ht="11.25" x14ac:dyDescent="0.2"/>
    <row r="882" s="27" customFormat="1" ht="11.25" x14ac:dyDescent="0.2"/>
    <row r="883" s="27" customFormat="1" ht="11.25" x14ac:dyDescent="0.2"/>
    <row r="884" s="27" customFormat="1" ht="11.25" x14ac:dyDescent="0.2"/>
    <row r="885" s="27" customFormat="1" ht="11.25" x14ac:dyDescent="0.2"/>
    <row r="886" s="27" customFormat="1" ht="11.25" x14ac:dyDescent="0.2"/>
    <row r="887" s="27" customFormat="1" ht="11.25" x14ac:dyDescent="0.2"/>
    <row r="888" s="27" customFormat="1" ht="11.25" x14ac:dyDescent="0.2"/>
    <row r="889" s="27" customFormat="1" ht="11.25" x14ac:dyDescent="0.2"/>
    <row r="890" s="27" customFormat="1" ht="11.25" x14ac:dyDescent="0.2"/>
    <row r="891" s="27" customFormat="1" ht="11.25" x14ac:dyDescent="0.2"/>
    <row r="892" s="27" customFormat="1" ht="11.25" x14ac:dyDescent="0.2"/>
    <row r="893" s="27" customFormat="1" ht="11.25" x14ac:dyDescent="0.2"/>
    <row r="894" s="27" customFormat="1" ht="11.25" x14ac:dyDescent="0.2"/>
    <row r="895" s="27" customFormat="1" ht="11.25" x14ac:dyDescent="0.2"/>
    <row r="896" s="27" customFormat="1" ht="11.25" x14ac:dyDescent="0.2"/>
    <row r="897" s="27" customFormat="1" ht="11.25" x14ac:dyDescent="0.2"/>
    <row r="898" s="27" customFormat="1" ht="11.25" x14ac:dyDescent="0.2"/>
    <row r="899" s="27" customFormat="1" ht="11.25" x14ac:dyDescent="0.2"/>
    <row r="900" s="27" customFormat="1" ht="11.25" x14ac:dyDescent="0.2"/>
    <row r="901" s="27" customFormat="1" ht="11.25" x14ac:dyDescent="0.2"/>
    <row r="902" s="27" customFormat="1" ht="11.25" x14ac:dyDescent="0.2"/>
    <row r="903" s="27" customFormat="1" ht="11.25" x14ac:dyDescent="0.2"/>
    <row r="904" s="27" customFormat="1" ht="11.25" x14ac:dyDescent="0.2"/>
    <row r="905" s="27" customFormat="1" ht="11.25" x14ac:dyDescent="0.2"/>
    <row r="906" s="27" customFormat="1" ht="11.25" x14ac:dyDescent="0.2"/>
    <row r="907" s="27" customFormat="1" ht="11.25" x14ac:dyDescent="0.2"/>
    <row r="908" s="27" customFormat="1" ht="11.25" x14ac:dyDescent="0.2"/>
    <row r="909" s="27" customFormat="1" ht="11.25" x14ac:dyDescent="0.2"/>
    <row r="910" s="27" customFormat="1" ht="11.25" x14ac:dyDescent="0.2"/>
    <row r="911" s="27" customFormat="1" ht="11.25" x14ac:dyDescent="0.2"/>
    <row r="912" s="27" customFormat="1" ht="11.25" x14ac:dyDescent="0.2"/>
    <row r="913" s="27" customFormat="1" ht="11.25" x14ac:dyDescent="0.2"/>
    <row r="914" s="27" customFormat="1" ht="11.25" x14ac:dyDescent="0.2"/>
    <row r="915" s="27" customFormat="1" ht="11.25" x14ac:dyDescent="0.2"/>
    <row r="916" s="27" customFormat="1" ht="11.25" x14ac:dyDescent="0.2"/>
    <row r="917" s="27" customFormat="1" ht="11.25" x14ac:dyDescent="0.2"/>
    <row r="918" s="27" customFormat="1" ht="11.25" x14ac:dyDescent="0.2"/>
    <row r="919" s="27" customFormat="1" ht="11.25" x14ac:dyDescent="0.2"/>
    <row r="920" s="27" customFormat="1" ht="11.25" x14ac:dyDescent="0.2"/>
    <row r="921" s="27" customFormat="1" ht="11.25" x14ac:dyDescent="0.2"/>
    <row r="922" s="27" customFormat="1" ht="11.25" x14ac:dyDescent="0.2"/>
    <row r="923" s="27" customFormat="1" ht="11.25" x14ac:dyDescent="0.2"/>
    <row r="924" s="27" customFormat="1" ht="11.25" x14ac:dyDescent="0.2"/>
    <row r="925" s="27" customFormat="1" ht="11.25" x14ac:dyDescent="0.2"/>
    <row r="926" s="27" customFormat="1" ht="11.25" x14ac:dyDescent="0.2"/>
    <row r="927" s="27" customFormat="1" ht="11.25" x14ac:dyDescent="0.2"/>
    <row r="928" s="27" customFormat="1" ht="11.25" x14ac:dyDescent="0.2"/>
    <row r="929" s="27" customFormat="1" ht="11.25" x14ac:dyDescent="0.2"/>
    <row r="930" s="27" customFormat="1" ht="11.25" x14ac:dyDescent="0.2"/>
    <row r="931" s="27" customFormat="1" ht="11.25" x14ac:dyDescent="0.2"/>
    <row r="932" s="27" customFormat="1" ht="11.25" x14ac:dyDescent="0.2"/>
    <row r="933" s="27" customFormat="1" ht="11.25" x14ac:dyDescent="0.2"/>
    <row r="934" s="27" customFormat="1" ht="11.25" x14ac:dyDescent="0.2"/>
    <row r="935" s="27" customFormat="1" ht="11.25" x14ac:dyDescent="0.2"/>
    <row r="936" s="27" customFormat="1" ht="11.25" x14ac:dyDescent="0.2"/>
    <row r="937" s="27" customFormat="1" ht="11.25" x14ac:dyDescent="0.2"/>
    <row r="938" s="27" customFormat="1" ht="11.25" x14ac:dyDescent="0.2"/>
    <row r="939" s="27" customFormat="1" ht="11.25" x14ac:dyDescent="0.2"/>
    <row r="940" s="27" customFormat="1" ht="11.25" x14ac:dyDescent="0.2"/>
    <row r="941" s="27" customFormat="1" ht="11.25" x14ac:dyDescent="0.2"/>
    <row r="942" s="27" customFormat="1" ht="11.25" x14ac:dyDescent="0.2"/>
    <row r="943" s="27" customFormat="1" ht="11.25" x14ac:dyDescent="0.2"/>
    <row r="944" s="27" customFormat="1" ht="11.25" x14ac:dyDescent="0.2"/>
    <row r="945" s="27" customFormat="1" ht="11.25" x14ac:dyDescent="0.2"/>
    <row r="946" s="27" customFormat="1" ht="11.25" x14ac:dyDescent="0.2"/>
    <row r="947" s="27" customFormat="1" ht="11.25" x14ac:dyDescent="0.2"/>
    <row r="948" s="27" customFormat="1" ht="11.25" x14ac:dyDescent="0.2"/>
    <row r="949" s="27" customFormat="1" ht="11.25" x14ac:dyDescent="0.2"/>
    <row r="950" s="27" customFormat="1" ht="11.25" x14ac:dyDescent="0.2"/>
    <row r="951" s="27" customFormat="1" ht="11.25" x14ac:dyDescent="0.2"/>
    <row r="952" s="27" customFormat="1" ht="11.25" x14ac:dyDescent="0.2"/>
    <row r="953" s="27" customFormat="1" ht="11.25" x14ac:dyDescent="0.2"/>
    <row r="954" s="27" customFormat="1" ht="11.25" x14ac:dyDescent="0.2"/>
    <row r="955" s="27" customFormat="1" ht="11.25" x14ac:dyDescent="0.2"/>
    <row r="956" s="27" customFormat="1" ht="11.25" x14ac:dyDescent="0.2"/>
    <row r="957" s="27" customFormat="1" ht="11.25" x14ac:dyDescent="0.2"/>
    <row r="958" s="27" customFormat="1" ht="11.25" x14ac:dyDescent="0.2"/>
    <row r="959" s="27" customFormat="1" ht="11.25" x14ac:dyDescent="0.2"/>
    <row r="960" s="27" customFormat="1" ht="11.25" x14ac:dyDescent="0.2"/>
    <row r="961" s="27" customFormat="1" ht="11.25" x14ac:dyDescent="0.2"/>
    <row r="962" s="27" customFormat="1" ht="11.25" x14ac:dyDescent="0.2"/>
    <row r="963" s="27" customFormat="1" ht="11.25" x14ac:dyDescent="0.2"/>
    <row r="964" s="27" customFormat="1" ht="11.25" x14ac:dyDescent="0.2"/>
    <row r="965" s="27" customFormat="1" ht="11.25" x14ac:dyDescent="0.2"/>
    <row r="966" s="27" customFormat="1" ht="11.25" x14ac:dyDescent="0.2"/>
    <row r="967" s="27" customFormat="1" ht="11.25" x14ac:dyDescent="0.2"/>
    <row r="968" s="27" customFormat="1" ht="11.25" x14ac:dyDescent="0.2"/>
    <row r="969" s="27" customFormat="1" ht="11.25" x14ac:dyDescent="0.2"/>
    <row r="970" s="27" customFormat="1" ht="11.25" x14ac:dyDescent="0.2"/>
    <row r="971" s="27" customFormat="1" ht="11.25" x14ac:dyDescent="0.2"/>
    <row r="972" s="27" customFormat="1" ht="11.25" x14ac:dyDescent="0.2"/>
    <row r="973" s="27" customFormat="1" ht="11.25" x14ac:dyDescent="0.2"/>
    <row r="974" s="27" customFormat="1" ht="11.25" x14ac:dyDescent="0.2"/>
    <row r="975" s="27" customFormat="1" ht="11.25" x14ac:dyDescent="0.2"/>
    <row r="976" s="27" customFormat="1" ht="11.25" x14ac:dyDescent="0.2"/>
    <row r="977" spans="2:51" s="27" customFormat="1" ht="11.25" x14ac:dyDescent="0.2">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row>
    <row r="978" spans="2:51" s="27" customFormat="1" ht="11.25" x14ac:dyDescent="0.2"/>
    <row r="979" spans="2:51" s="27" customFormat="1" ht="11.25" x14ac:dyDescent="0.2"/>
    <row r="980" spans="2:51" s="27" customFormat="1" ht="11.25" x14ac:dyDescent="0.2"/>
    <row r="981" spans="2:51" s="27" customFormat="1" ht="11.25" x14ac:dyDescent="0.2"/>
    <row r="982" spans="2:51" s="27" customFormat="1" ht="11.25" x14ac:dyDescent="0.2"/>
    <row r="983" spans="2:51" s="27" customFormat="1" ht="11.25" x14ac:dyDescent="0.2"/>
    <row r="984" spans="2:51" s="27" customFormat="1" ht="11.25" x14ac:dyDescent="0.2"/>
    <row r="985" spans="2:51" s="27" customFormat="1" ht="11.25" x14ac:dyDescent="0.2"/>
    <row r="986" spans="2:51" s="27" customFormat="1" ht="11.25" x14ac:dyDescent="0.2"/>
    <row r="987" spans="2:51" s="27" customFormat="1" ht="11.25" x14ac:dyDescent="0.2"/>
    <row r="988" spans="2:51" s="27" customFormat="1" ht="11.25" x14ac:dyDescent="0.2"/>
    <row r="989" spans="2:51" s="27" customFormat="1" ht="11.25" x14ac:dyDescent="0.2"/>
    <row r="990" spans="2:51" s="27" customFormat="1" ht="11.25" x14ac:dyDescent="0.2"/>
    <row r="991" spans="2:51" s="27" customFormat="1" ht="11.25" x14ac:dyDescent="0.2"/>
    <row r="992" spans="2:51" s="27" customFormat="1" ht="11.25" x14ac:dyDescent="0.2"/>
    <row r="993" s="27" customFormat="1" ht="11.25" x14ac:dyDescent="0.2"/>
    <row r="994" s="27" customFormat="1" ht="11.25" x14ac:dyDescent="0.2"/>
    <row r="995" s="27" customFormat="1" ht="11.25" x14ac:dyDescent="0.2"/>
    <row r="996" s="27" customFormat="1" ht="11.25" x14ac:dyDescent="0.2"/>
    <row r="997" s="27" customFormat="1" ht="11.25" x14ac:dyDescent="0.2"/>
    <row r="998" s="27" customFormat="1" ht="11.25" x14ac:dyDescent="0.2"/>
    <row r="999" s="27" customFormat="1" ht="11.25" x14ac:dyDescent="0.2"/>
    <row r="1000" s="27" customFormat="1" ht="11.25" x14ac:dyDescent="0.2"/>
    <row r="1001" s="27" customFormat="1" ht="11.25" x14ac:dyDescent="0.2"/>
    <row r="1002" s="27" customFormat="1" ht="11.25" x14ac:dyDescent="0.2"/>
    <row r="1003" s="27" customFormat="1" ht="11.25" x14ac:dyDescent="0.2"/>
    <row r="1004" s="27" customFormat="1" ht="11.25" x14ac:dyDescent="0.2"/>
    <row r="1005" s="27" customFormat="1" ht="11.25" x14ac:dyDescent="0.2"/>
    <row r="1006" s="27" customFormat="1" ht="11.25" x14ac:dyDescent="0.2"/>
    <row r="1007" s="27" customFormat="1" ht="11.25" x14ac:dyDescent="0.2"/>
    <row r="1008" s="27" customFormat="1" ht="11.25" x14ac:dyDescent="0.2"/>
    <row r="1009" s="27" customFormat="1" ht="11.25" x14ac:dyDescent="0.2"/>
    <row r="1010" s="27" customFormat="1" ht="11.25" x14ac:dyDescent="0.2"/>
    <row r="1011" s="27" customFormat="1" ht="11.25" x14ac:dyDescent="0.2"/>
    <row r="1012" s="27" customFormat="1" ht="11.25" x14ac:dyDescent="0.2"/>
    <row r="1013" s="27" customFormat="1" ht="11.25" x14ac:dyDescent="0.2"/>
    <row r="1014" s="27" customFormat="1" ht="11.25" x14ac:dyDescent="0.2"/>
    <row r="1015" s="27" customFormat="1" ht="11.25" x14ac:dyDescent="0.2"/>
    <row r="1016" s="27" customFormat="1" ht="11.25" x14ac:dyDescent="0.2"/>
    <row r="1017" s="27" customFormat="1" ht="11.25" x14ac:dyDescent="0.2"/>
    <row r="1018" s="27" customFormat="1" ht="11.25" x14ac:dyDescent="0.2"/>
    <row r="1019" s="27" customFormat="1" ht="11.25" x14ac:dyDescent="0.2"/>
    <row r="1020" s="27" customFormat="1" ht="11.25" x14ac:dyDescent="0.2"/>
    <row r="1021" s="27" customFormat="1" ht="11.25" x14ac:dyDescent="0.2"/>
    <row r="1022" s="27" customFormat="1" ht="11.25" x14ac:dyDescent="0.2"/>
    <row r="1023" s="27" customFormat="1" ht="11.25" x14ac:dyDescent="0.2"/>
    <row r="1024" s="27" customFormat="1" ht="11.25" x14ac:dyDescent="0.2"/>
    <row r="1025" s="27" customFormat="1" ht="11.25" x14ac:dyDescent="0.2"/>
    <row r="1026" s="27" customFormat="1" ht="11.25" x14ac:dyDescent="0.2"/>
    <row r="1027" s="27" customFormat="1" ht="11.25" x14ac:dyDescent="0.2"/>
    <row r="1028" s="27" customFormat="1" ht="11.25" x14ac:dyDescent="0.2"/>
    <row r="1029" s="27" customFormat="1" ht="11.25" x14ac:dyDescent="0.2"/>
    <row r="1030" s="27" customFormat="1" ht="11.25" x14ac:dyDescent="0.2"/>
    <row r="1031" s="27" customFormat="1" ht="11.25" x14ac:dyDescent="0.2"/>
    <row r="1032" s="27" customFormat="1" ht="11.25" x14ac:dyDescent="0.2"/>
    <row r="1033" s="27" customFormat="1" ht="11.25" x14ac:dyDescent="0.2"/>
  </sheetData>
  <sheetProtection password="E65B" sheet="1" objects="1" scenarios="1"/>
  <phoneticPr fontId="2" type="noConversion"/>
  <pageMargins left="0.75" right="0.75" top="1" bottom="1" header="0" footer="0"/>
  <pageSetup paperSize="9" orientation="portrait" horizontalDpi="4294967292" verticalDpi="0" r:id="rId1"/>
  <headerFooter alignWithMargins="0"/>
  <ignoredErrors>
    <ignoredError sqref="AI155" formula="1"/>
  </ignoredError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enableFormatConditionsCalculation="0">
    <tabColor indexed="23"/>
  </sheetPr>
  <dimension ref="A1:BP627"/>
  <sheetViews>
    <sheetView showGridLines="0" showOutlineSymbols="0" workbookViewId="0">
      <pane xSplit="2" ySplit="1" topLeftCell="C2" activePane="bottomRight" state="frozen"/>
      <selection pane="topRight" activeCell="C1" sqref="C1"/>
      <selection pane="bottomLeft" activeCell="A2" sqref="A2"/>
      <selection pane="bottomRight" activeCell="J437" sqref="J437"/>
    </sheetView>
  </sheetViews>
  <sheetFormatPr baseColWidth="10" defaultRowHeight="12.75" x14ac:dyDescent="0.2"/>
  <cols>
    <col min="1" max="1" width="9.140625" style="15" hidden="1" customWidth="1"/>
    <col min="2" max="2" width="15.42578125" style="15" customWidth="1"/>
    <col min="3" max="3" width="12.85546875" style="15" customWidth="1"/>
    <col min="4" max="4" width="11.42578125" style="15"/>
    <col min="5" max="6" width="11.85546875" style="15" customWidth="1"/>
    <col min="7" max="7" width="9.7109375" style="15" customWidth="1"/>
    <col min="8" max="8" width="12.42578125" style="15" customWidth="1"/>
    <col min="9" max="9" width="9.7109375" style="15" customWidth="1"/>
    <col min="10" max="11" width="14.28515625" style="15" customWidth="1"/>
    <col min="12" max="12" width="17" style="15" customWidth="1"/>
    <col min="13" max="14" width="9.7109375" style="15" customWidth="1"/>
    <col min="15" max="15" width="14.28515625" style="15" customWidth="1"/>
    <col min="16" max="35" width="11.42578125" style="15"/>
    <col min="36" max="36" width="13.140625" style="15" customWidth="1"/>
    <col min="37" max="52" width="11.42578125" style="15"/>
    <col min="53" max="53" width="13.140625" style="15" customWidth="1"/>
    <col min="54" max="68" width="11.42578125" style="15"/>
  </cols>
  <sheetData>
    <row r="1" spans="2:39" s="27" customFormat="1" ht="25.5" customHeight="1" x14ac:dyDescent="0.2">
      <c r="B1" s="27" t="s">
        <v>1385</v>
      </c>
    </row>
    <row r="2" spans="2:39" s="27" customFormat="1" ht="11.25" hidden="1" x14ac:dyDescent="0.2"/>
    <row r="3" spans="2:39" s="27" customFormat="1" ht="11.25" hidden="1" x14ac:dyDescent="0.2">
      <c r="B3" s="27" t="s">
        <v>175</v>
      </c>
    </row>
    <row r="4" spans="2:39" s="27" customFormat="1" ht="11.25" hidden="1" x14ac:dyDescent="0.2">
      <c r="B4" s="62" t="s">
        <v>1459</v>
      </c>
      <c r="C4" s="63"/>
      <c r="D4" s="63" t="str">
        <f t="shared" ref="D4:O4" si="0">R5</f>
        <v>Enero</v>
      </c>
      <c r="E4" s="63" t="str">
        <f t="shared" si="0"/>
        <v>Febrero</v>
      </c>
      <c r="F4" s="63" t="str">
        <f t="shared" si="0"/>
        <v>Marzo</v>
      </c>
      <c r="G4" s="63" t="str">
        <f t="shared" si="0"/>
        <v>Abril</v>
      </c>
      <c r="H4" s="63" t="str">
        <f t="shared" si="0"/>
        <v xml:space="preserve">Mayo </v>
      </c>
      <c r="I4" s="63" t="str">
        <f t="shared" si="0"/>
        <v>Junio</v>
      </c>
      <c r="J4" s="63" t="str">
        <f t="shared" si="0"/>
        <v>Julio</v>
      </c>
      <c r="K4" s="63" t="str">
        <f t="shared" si="0"/>
        <v>Agosto</v>
      </c>
      <c r="L4" s="63" t="str">
        <f t="shared" si="0"/>
        <v>Septiembre</v>
      </c>
      <c r="M4" s="63" t="str">
        <f t="shared" si="0"/>
        <v>Octubre</v>
      </c>
      <c r="N4" s="63" t="str">
        <f t="shared" si="0"/>
        <v>Noviembre</v>
      </c>
      <c r="O4" s="63" t="str">
        <f t="shared" si="0"/>
        <v>Diciembre</v>
      </c>
      <c r="P4" s="64"/>
      <c r="Q4" s="62" t="s">
        <v>489</v>
      </c>
      <c r="R4" s="63"/>
      <c r="S4" s="63"/>
      <c r="T4" s="63"/>
      <c r="U4" s="63"/>
      <c r="V4" s="63"/>
      <c r="W4" s="63"/>
      <c r="X4" s="63"/>
      <c r="Y4" s="63"/>
      <c r="Z4" s="63"/>
      <c r="AA4" s="63"/>
      <c r="AB4" s="63"/>
      <c r="AC4" s="64"/>
      <c r="AD4" s="62" t="s">
        <v>293</v>
      </c>
      <c r="AE4" s="63"/>
      <c r="AF4" s="63"/>
      <c r="AG4" s="63"/>
      <c r="AH4" s="63"/>
      <c r="AI4" s="63"/>
      <c r="AJ4" s="63"/>
      <c r="AK4" s="63"/>
      <c r="AL4" s="63"/>
      <c r="AM4" s="64"/>
    </row>
    <row r="5" spans="2:39" s="27" customFormat="1" ht="11.25" hidden="1" x14ac:dyDescent="0.2">
      <c r="B5" s="60" t="s">
        <v>1310</v>
      </c>
      <c r="C5" s="27" t="s">
        <v>1460</v>
      </c>
      <c r="D5" s="27">
        <f t="shared" ref="D5:O5" si="1">+AI314+AI285</f>
        <v>0</v>
      </c>
      <c r="E5" s="27">
        <f t="shared" si="1"/>
        <v>0</v>
      </c>
      <c r="F5" s="27">
        <f t="shared" si="1"/>
        <v>0</v>
      </c>
      <c r="G5" s="27">
        <f t="shared" si="1"/>
        <v>0</v>
      </c>
      <c r="H5" s="27">
        <f t="shared" si="1"/>
        <v>0</v>
      </c>
      <c r="I5" s="27">
        <f t="shared" si="1"/>
        <v>0</v>
      </c>
      <c r="J5" s="27">
        <f t="shared" si="1"/>
        <v>0</v>
      </c>
      <c r="K5" s="27">
        <f t="shared" si="1"/>
        <v>0</v>
      </c>
      <c r="L5" s="27">
        <f t="shared" si="1"/>
        <v>0</v>
      </c>
      <c r="M5" s="27">
        <f t="shared" si="1"/>
        <v>0</v>
      </c>
      <c r="N5" s="27">
        <f t="shared" si="1"/>
        <v>0</v>
      </c>
      <c r="O5" s="27">
        <f t="shared" si="1"/>
        <v>0</v>
      </c>
      <c r="P5" s="61"/>
      <c r="Q5" s="60"/>
      <c r="R5" s="27" t="str">
        <f t="shared" ref="R5:AC5" si="2">AI274</f>
        <v>Enero</v>
      </c>
      <c r="S5" s="27" t="str">
        <f t="shared" si="2"/>
        <v>Febrero</v>
      </c>
      <c r="T5" s="27" t="str">
        <f t="shared" si="2"/>
        <v>Marzo</v>
      </c>
      <c r="U5" s="27" t="str">
        <f t="shared" si="2"/>
        <v>Abril</v>
      </c>
      <c r="V5" s="27" t="str">
        <f t="shared" si="2"/>
        <v xml:space="preserve">Mayo </v>
      </c>
      <c r="W5" s="27" t="str">
        <f t="shared" si="2"/>
        <v>Junio</v>
      </c>
      <c r="X5" s="27" t="str">
        <f t="shared" si="2"/>
        <v>Julio</v>
      </c>
      <c r="Y5" s="27" t="str">
        <f t="shared" si="2"/>
        <v>Agosto</v>
      </c>
      <c r="Z5" s="27" t="str">
        <f t="shared" si="2"/>
        <v>Septiembre</v>
      </c>
      <c r="AA5" s="27" t="str">
        <f t="shared" si="2"/>
        <v>Octubre</v>
      </c>
      <c r="AB5" s="27" t="str">
        <f t="shared" si="2"/>
        <v>Noviembre</v>
      </c>
      <c r="AC5" s="61" t="str">
        <f t="shared" si="2"/>
        <v>Diciembre</v>
      </c>
      <c r="AD5" s="60"/>
      <c r="AE5" s="27">
        <v>1</v>
      </c>
      <c r="AF5" s="27">
        <f t="shared" ref="AF5:AM5" si="3">+AE5+1</f>
        <v>2</v>
      </c>
      <c r="AG5" s="27">
        <f t="shared" si="3"/>
        <v>3</v>
      </c>
      <c r="AH5" s="27">
        <f t="shared" si="3"/>
        <v>4</v>
      </c>
      <c r="AI5" s="27">
        <f t="shared" si="3"/>
        <v>5</v>
      </c>
      <c r="AJ5" s="27">
        <f t="shared" si="3"/>
        <v>6</v>
      </c>
      <c r="AK5" s="27">
        <f t="shared" si="3"/>
        <v>7</v>
      </c>
      <c r="AL5" s="27">
        <f t="shared" si="3"/>
        <v>8</v>
      </c>
      <c r="AM5" s="61">
        <f t="shared" si="3"/>
        <v>9</v>
      </c>
    </row>
    <row r="6" spans="2:39" s="27" customFormat="1" ht="11.25" hidden="1" x14ac:dyDescent="0.2">
      <c r="B6" s="60" t="s">
        <v>1461</v>
      </c>
      <c r="C6" s="27" t="s">
        <v>1192</v>
      </c>
      <c r="D6" s="27">
        <f>+AI87+AI123+AI159+I388</f>
        <v>0</v>
      </c>
      <c r="E6" s="27">
        <f t="shared" ref="E6:O6" si="4">+AJ87+AJ123+AJ159+J388</f>
        <v>0</v>
      </c>
      <c r="F6" s="27">
        <f t="shared" si="4"/>
        <v>0</v>
      </c>
      <c r="G6" s="27">
        <f t="shared" si="4"/>
        <v>0</v>
      </c>
      <c r="H6" s="27">
        <f t="shared" si="4"/>
        <v>0</v>
      </c>
      <c r="I6" s="27">
        <f t="shared" si="4"/>
        <v>0</v>
      </c>
      <c r="J6" s="27">
        <f t="shared" si="4"/>
        <v>0</v>
      </c>
      <c r="K6" s="27">
        <f t="shared" si="4"/>
        <v>0</v>
      </c>
      <c r="L6" s="27">
        <f t="shared" si="4"/>
        <v>0</v>
      </c>
      <c r="M6" s="27">
        <f t="shared" si="4"/>
        <v>0</v>
      </c>
      <c r="N6" s="27">
        <f t="shared" si="4"/>
        <v>0</v>
      </c>
      <c r="O6" s="27">
        <f t="shared" si="4"/>
        <v>0</v>
      </c>
      <c r="P6" s="61"/>
      <c r="Q6" s="60" t="s">
        <v>548</v>
      </c>
      <c r="R6" s="27">
        <f t="shared" ref="R6:AC6" si="5">+AI315+AI286</f>
        <v>0</v>
      </c>
      <c r="S6" s="27">
        <f t="shared" si="5"/>
        <v>0</v>
      </c>
      <c r="T6" s="27">
        <f t="shared" si="5"/>
        <v>0</v>
      </c>
      <c r="U6" s="27">
        <f t="shared" si="5"/>
        <v>0</v>
      </c>
      <c r="V6" s="27">
        <f t="shared" si="5"/>
        <v>0</v>
      </c>
      <c r="W6" s="27">
        <f t="shared" si="5"/>
        <v>0</v>
      </c>
      <c r="X6" s="27">
        <f t="shared" si="5"/>
        <v>0</v>
      </c>
      <c r="Y6" s="27">
        <f t="shared" si="5"/>
        <v>0</v>
      </c>
      <c r="Z6" s="27">
        <f t="shared" si="5"/>
        <v>0</v>
      </c>
      <c r="AA6" s="27">
        <f t="shared" si="5"/>
        <v>0</v>
      </c>
      <c r="AB6" s="27">
        <f t="shared" si="5"/>
        <v>0</v>
      </c>
      <c r="AC6" s="61">
        <f t="shared" si="5"/>
        <v>0</v>
      </c>
      <c r="AD6" s="60" t="s">
        <v>12</v>
      </c>
      <c r="AE6" s="27">
        <f>D!$N$6</f>
        <v>2013</v>
      </c>
      <c r="AF6" s="27">
        <f t="shared" ref="AF6:AM6" si="6">+AE6+1</f>
        <v>2014</v>
      </c>
      <c r="AG6" s="27">
        <f t="shared" si="6"/>
        <v>2015</v>
      </c>
      <c r="AH6" s="27">
        <f t="shared" si="6"/>
        <v>2016</v>
      </c>
      <c r="AI6" s="27">
        <f t="shared" si="6"/>
        <v>2017</v>
      </c>
      <c r="AJ6" s="27">
        <f t="shared" si="6"/>
        <v>2018</v>
      </c>
      <c r="AK6" s="27">
        <f t="shared" si="6"/>
        <v>2019</v>
      </c>
      <c r="AL6" s="27">
        <f t="shared" si="6"/>
        <v>2020</v>
      </c>
      <c r="AM6" s="61">
        <f t="shared" si="6"/>
        <v>2021</v>
      </c>
    </row>
    <row r="7" spans="2:39" s="27" customFormat="1" ht="11.25" hidden="1" x14ac:dyDescent="0.2">
      <c r="B7" s="60" t="s">
        <v>1462</v>
      </c>
      <c r="C7" s="27" t="s">
        <v>958</v>
      </c>
      <c r="D7" s="27">
        <f>+D6+D5</f>
        <v>0</v>
      </c>
      <c r="E7" s="27">
        <f t="shared" ref="E7:O7" si="7">+E6+E5</f>
        <v>0</v>
      </c>
      <c r="F7" s="27">
        <f t="shared" si="7"/>
        <v>0</v>
      </c>
      <c r="G7" s="27">
        <f t="shared" si="7"/>
        <v>0</v>
      </c>
      <c r="H7" s="27">
        <f t="shared" si="7"/>
        <v>0</v>
      </c>
      <c r="I7" s="27">
        <f t="shared" si="7"/>
        <v>0</v>
      </c>
      <c r="J7" s="27">
        <f t="shared" si="7"/>
        <v>0</v>
      </c>
      <c r="K7" s="27">
        <f t="shared" si="7"/>
        <v>0</v>
      </c>
      <c r="L7" s="27">
        <f t="shared" si="7"/>
        <v>0</v>
      </c>
      <c r="M7" s="27">
        <f t="shared" si="7"/>
        <v>0</v>
      </c>
      <c r="N7" s="27">
        <f t="shared" si="7"/>
        <v>0</v>
      </c>
      <c r="O7" s="27">
        <f t="shared" si="7"/>
        <v>0</v>
      </c>
      <c r="P7" s="61"/>
      <c r="Q7" s="60" t="s">
        <v>549</v>
      </c>
      <c r="R7" s="27">
        <f t="shared" ref="R7:AC10" si="8">+AI316+AI287</f>
        <v>0</v>
      </c>
      <c r="S7" s="27">
        <f t="shared" si="8"/>
        <v>0</v>
      </c>
      <c r="T7" s="27">
        <f t="shared" si="8"/>
        <v>0</v>
      </c>
      <c r="U7" s="27">
        <f t="shared" si="8"/>
        <v>0</v>
      </c>
      <c r="V7" s="27">
        <f t="shared" si="8"/>
        <v>0</v>
      </c>
      <c r="W7" s="27">
        <f t="shared" si="8"/>
        <v>0</v>
      </c>
      <c r="X7" s="27">
        <f t="shared" si="8"/>
        <v>0</v>
      </c>
      <c r="Y7" s="27">
        <f t="shared" si="8"/>
        <v>0</v>
      </c>
      <c r="Z7" s="27">
        <f t="shared" si="8"/>
        <v>0</v>
      </c>
      <c r="AA7" s="27">
        <f t="shared" si="8"/>
        <v>0</v>
      </c>
      <c r="AB7" s="27">
        <f t="shared" si="8"/>
        <v>0</v>
      </c>
      <c r="AC7" s="61">
        <f t="shared" si="8"/>
        <v>0</v>
      </c>
      <c r="AD7" s="60" t="s">
        <v>7</v>
      </c>
      <c r="AE7" s="27">
        <f t="shared" ref="AE7:AM7" si="9">+AI371+AI353+AI335+AI294+AI323</f>
        <v>0</v>
      </c>
      <c r="AF7" s="27">
        <f t="shared" si="9"/>
        <v>0</v>
      </c>
      <c r="AG7" s="27">
        <f t="shared" si="9"/>
        <v>0</v>
      </c>
      <c r="AH7" s="27">
        <f t="shared" si="9"/>
        <v>0</v>
      </c>
      <c r="AI7" s="27">
        <f t="shared" si="9"/>
        <v>0</v>
      </c>
      <c r="AJ7" s="27">
        <f t="shared" si="9"/>
        <v>0</v>
      </c>
      <c r="AK7" s="27">
        <f t="shared" si="9"/>
        <v>0</v>
      </c>
      <c r="AL7" s="27">
        <f t="shared" si="9"/>
        <v>0</v>
      </c>
      <c r="AM7" s="61">
        <f t="shared" si="9"/>
        <v>0</v>
      </c>
    </row>
    <row r="8" spans="2:39" s="27" customFormat="1" ht="11.25" hidden="1" x14ac:dyDescent="0.2">
      <c r="B8" s="60"/>
      <c r="P8" s="61"/>
      <c r="Q8" s="60" t="s">
        <v>958</v>
      </c>
      <c r="R8" s="27">
        <f t="shared" si="8"/>
        <v>0</v>
      </c>
      <c r="S8" s="27">
        <f t="shared" si="8"/>
        <v>0</v>
      </c>
      <c r="T8" s="27">
        <f t="shared" si="8"/>
        <v>0</v>
      </c>
      <c r="U8" s="27">
        <f t="shared" si="8"/>
        <v>0</v>
      </c>
      <c r="V8" s="27">
        <f t="shared" si="8"/>
        <v>0</v>
      </c>
      <c r="W8" s="27">
        <f t="shared" si="8"/>
        <v>0</v>
      </c>
      <c r="X8" s="27">
        <f t="shared" si="8"/>
        <v>0</v>
      </c>
      <c r="Y8" s="27">
        <f t="shared" si="8"/>
        <v>0</v>
      </c>
      <c r="Z8" s="27">
        <f t="shared" si="8"/>
        <v>0</v>
      </c>
      <c r="AA8" s="27">
        <f t="shared" si="8"/>
        <v>0</v>
      </c>
      <c r="AB8" s="27">
        <f t="shared" si="8"/>
        <v>0</v>
      </c>
      <c r="AC8" s="61">
        <f t="shared" si="8"/>
        <v>0</v>
      </c>
      <c r="AD8" s="60"/>
      <c r="AM8" s="61"/>
    </row>
    <row r="9" spans="2:39" s="27" customFormat="1" ht="11.25" hidden="1" x14ac:dyDescent="0.2">
      <c r="B9" s="60" t="s">
        <v>18</v>
      </c>
      <c r="D9" s="27">
        <f>+R6+R12+I400</f>
        <v>0</v>
      </c>
      <c r="E9" s="27">
        <f t="shared" ref="E9:O9" si="10">+S6+S12+J400</f>
        <v>0</v>
      </c>
      <c r="F9" s="27">
        <f t="shared" si="10"/>
        <v>0</v>
      </c>
      <c r="G9" s="27">
        <f t="shared" si="10"/>
        <v>0</v>
      </c>
      <c r="H9" s="27">
        <f t="shared" si="10"/>
        <v>0</v>
      </c>
      <c r="I9" s="27">
        <f t="shared" si="10"/>
        <v>0</v>
      </c>
      <c r="J9" s="27">
        <f t="shared" si="10"/>
        <v>0</v>
      </c>
      <c r="K9" s="27">
        <f t="shared" si="10"/>
        <v>0</v>
      </c>
      <c r="L9" s="27">
        <f t="shared" si="10"/>
        <v>0</v>
      </c>
      <c r="M9" s="27">
        <f t="shared" si="10"/>
        <v>0</v>
      </c>
      <c r="N9" s="27">
        <f t="shared" si="10"/>
        <v>0</v>
      </c>
      <c r="O9" s="27">
        <f t="shared" si="10"/>
        <v>0</v>
      </c>
      <c r="P9" s="61"/>
      <c r="Q9" s="60" t="s">
        <v>953</v>
      </c>
      <c r="R9" s="27">
        <f t="shared" si="8"/>
        <v>0</v>
      </c>
      <c r="S9" s="27">
        <f t="shared" si="8"/>
        <v>0</v>
      </c>
      <c r="T9" s="27">
        <f t="shared" si="8"/>
        <v>0</v>
      </c>
      <c r="U9" s="27">
        <f t="shared" si="8"/>
        <v>0</v>
      </c>
      <c r="V9" s="27">
        <f t="shared" si="8"/>
        <v>0</v>
      </c>
      <c r="W9" s="27">
        <f t="shared" si="8"/>
        <v>0</v>
      </c>
      <c r="X9" s="27">
        <f t="shared" si="8"/>
        <v>0</v>
      </c>
      <c r="Y9" s="27">
        <f t="shared" si="8"/>
        <v>0</v>
      </c>
      <c r="Z9" s="27">
        <f t="shared" si="8"/>
        <v>0</v>
      </c>
      <c r="AA9" s="27">
        <f t="shared" si="8"/>
        <v>0</v>
      </c>
      <c r="AB9" s="27">
        <f t="shared" si="8"/>
        <v>0</v>
      </c>
      <c r="AC9" s="61">
        <f t="shared" si="8"/>
        <v>0</v>
      </c>
      <c r="AD9" s="60" t="s">
        <v>8</v>
      </c>
      <c r="AE9" s="27">
        <f t="shared" ref="AE9:AM12" si="11">+AI373+AI355+AI337+AI296+AI325</f>
        <v>0</v>
      </c>
      <c r="AF9" s="27">
        <f t="shared" si="11"/>
        <v>0</v>
      </c>
      <c r="AG9" s="27">
        <f t="shared" si="11"/>
        <v>0</v>
      </c>
      <c r="AH9" s="27">
        <f t="shared" si="11"/>
        <v>0</v>
      </c>
      <c r="AI9" s="27">
        <f t="shared" si="11"/>
        <v>0</v>
      </c>
      <c r="AJ9" s="27">
        <f t="shared" si="11"/>
        <v>0</v>
      </c>
      <c r="AK9" s="27">
        <f t="shared" si="11"/>
        <v>0</v>
      </c>
      <c r="AL9" s="27">
        <f t="shared" si="11"/>
        <v>0</v>
      </c>
      <c r="AM9" s="61">
        <f t="shared" si="11"/>
        <v>0</v>
      </c>
    </row>
    <row r="10" spans="2:39" s="27" customFormat="1" ht="11.25" hidden="1" x14ac:dyDescent="0.2">
      <c r="B10" s="60"/>
      <c r="P10" s="61"/>
      <c r="Q10" s="60" t="s">
        <v>954</v>
      </c>
      <c r="R10" s="27">
        <f t="shared" si="8"/>
        <v>0</v>
      </c>
      <c r="S10" s="27">
        <f t="shared" si="8"/>
        <v>0</v>
      </c>
      <c r="T10" s="27">
        <f t="shared" si="8"/>
        <v>0</v>
      </c>
      <c r="U10" s="27">
        <f t="shared" si="8"/>
        <v>0</v>
      </c>
      <c r="V10" s="27">
        <f t="shared" si="8"/>
        <v>0</v>
      </c>
      <c r="W10" s="27">
        <f t="shared" si="8"/>
        <v>0</v>
      </c>
      <c r="X10" s="27">
        <f t="shared" si="8"/>
        <v>0</v>
      </c>
      <c r="Y10" s="27">
        <f t="shared" si="8"/>
        <v>0</v>
      </c>
      <c r="Z10" s="27">
        <f t="shared" si="8"/>
        <v>0</v>
      </c>
      <c r="AA10" s="27">
        <f t="shared" si="8"/>
        <v>0</v>
      </c>
      <c r="AB10" s="27">
        <f t="shared" si="8"/>
        <v>0</v>
      </c>
      <c r="AC10" s="61">
        <f t="shared" si="8"/>
        <v>0</v>
      </c>
      <c r="AD10" s="60" t="s">
        <v>9</v>
      </c>
      <c r="AE10" s="27">
        <f t="shared" si="11"/>
        <v>0</v>
      </c>
      <c r="AF10" s="27">
        <f t="shared" si="11"/>
        <v>0</v>
      </c>
      <c r="AG10" s="27">
        <f t="shared" si="11"/>
        <v>0</v>
      </c>
      <c r="AH10" s="27">
        <f t="shared" si="11"/>
        <v>0</v>
      </c>
      <c r="AI10" s="27">
        <f t="shared" si="11"/>
        <v>0</v>
      </c>
      <c r="AJ10" s="27">
        <f t="shared" si="11"/>
        <v>0</v>
      </c>
      <c r="AK10" s="27">
        <f t="shared" si="11"/>
        <v>0</v>
      </c>
      <c r="AL10" s="27">
        <f t="shared" si="11"/>
        <v>0</v>
      </c>
      <c r="AM10" s="61">
        <f t="shared" si="11"/>
        <v>0</v>
      </c>
    </row>
    <row r="11" spans="2:39" s="27" customFormat="1" ht="11.25" hidden="1" x14ac:dyDescent="0.2">
      <c r="B11" s="60" t="s">
        <v>1463</v>
      </c>
      <c r="P11" s="61"/>
      <c r="Q11" s="60" t="s">
        <v>779</v>
      </c>
      <c r="AC11" s="61"/>
      <c r="AD11" s="60" t="s">
        <v>958</v>
      </c>
      <c r="AE11" s="27">
        <f t="shared" si="11"/>
        <v>0</v>
      </c>
      <c r="AF11" s="27">
        <f t="shared" si="11"/>
        <v>0</v>
      </c>
      <c r="AG11" s="27">
        <f t="shared" si="11"/>
        <v>0</v>
      </c>
      <c r="AH11" s="27">
        <f t="shared" si="11"/>
        <v>0</v>
      </c>
      <c r="AI11" s="27">
        <f t="shared" si="11"/>
        <v>0</v>
      </c>
      <c r="AJ11" s="27">
        <f t="shared" si="11"/>
        <v>0</v>
      </c>
      <c r="AK11" s="27">
        <f t="shared" si="11"/>
        <v>0</v>
      </c>
      <c r="AL11" s="27">
        <f t="shared" si="11"/>
        <v>0</v>
      </c>
      <c r="AM11" s="61">
        <f t="shared" si="11"/>
        <v>0</v>
      </c>
    </row>
    <row r="12" spans="2:39" s="27" customFormat="1" ht="18.75" hidden="1" customHeight="1" x14ac:dyDescent="0.2">
      <c r="B12" s="60" t="s">
        <v>409</v>
      </c>
      <c r="C12" s="27" t="s">
        <v>410</v>
      </c>
      <c r="D12" s="27">
        <f>+AI320+AI291</f>
        <v>0</v>
      </c>
      <c r="E12" s="27">
        <f t="shared" ref="E12:O12" si="12">+AJ320+AJ291</f>
        <v>0</v>
      </c>
      <c r="F12" s="27">
        <f t="shared" si="12"/>
        <v>0</v>
      </c>
      <c r="G12" s="27">
        <f t="shared" si="12"/>
        <v>0</v>
      </c>
      <c r="H12" s="27">
        <f t="shared" si="12"/>
        <v>0</v>
      </c>
      <c r="I12" s="27">
        <f t="shared" si="12"/>
        <v>0</v>
      </c>
      <c r="J12" s="27">
        <f t="shared" si="12"/>
        <v>0</v>
      </c>
      <c r="K12" s="27">
        <f t="shared" si="12"/>
        <v>0</v>
      </c>
      <c r="L12" s="27">
        <f t="shared" si="12"/>
        <v>0</v>
      </c>
      <c r="M12" s="27">
        <f t="shared" si="12"/>
        <v>0</v>
      </c>
      <c r="N12" s="27">
        <f t="shared" si="12"/>
        <v>0</v>
      </c>
      <c r="O12" s="27">
        <f t="shared" si="12"/>
        <v>0</v>
      </c>
      <c r="P12" s="61">
        <f>SUM(D12:O12)</f>
        <v>0</v>
      </c>
      <c r="Q12" s="60" t="s">
        <v>548</v>
      </c>
      <c r="R12" s="27">
        <f t="shared" ref="R12:AC16" si="13">+AI88+AI124+AI160</f>
        <v>0</v>
      </c>
      <c r="S12" s="27">
        <f t="shared" si="13"/>
        <v>0</v>
      </c>
      <c r="T12" s="27">
        <f t="shared" si="13"/>
        <v>0</v>
      </c>
      <c r="U12" s="27">
        <f t="shared" si="13"/>
        <v>0</v>
      </c>
      <c r="V12" s="27">
        <f t="shared" si="13"/>
        <v>0</v>
      </c>
      <c r="W12" s="27">
        <f t="shared" si="13"/>
        <v>0</v>
      </c>
      <c r="X12" s="27">
        <f t="shared" si="13"/>
        <v>0</v>
      </c>
      <c r="Y12" s="27">
        <f t="shared" si="13"/>
        <v>0</v>
      </c>
      <c r="Z12" s="27">
        <f t="shared" si="13"/>
        <v>0</v>
      </c>
      <c r="AA12" s="27">
        <f t="shared" si="13"/>
        <v>0</v>
      </c>
      <c r="AB12" s="27">
        <f t="shared" si="13"/>
        <v>0</v>
      </c>
      <c r="AC12" s="61">
        <f t="shared" si="13"/>
        <v>0</v>
      </c>
      <c r="AD12" s="60" t="s">
        <v>10</v>
      </c>
      <c r="AE12" s="27">
        <f t="shared" si="11"/>
        <v>0</v>
      </c>
      <c r="AF12" s="27">
        <f t="shared" si="11"/>
        <v>0</v>
      </c>
      <c r="AG12" s="27">
        <f t="shared" si="11"/>
        <v>0</v>
      </c>
      <c r="AH12" s="27">
        <f t="shared" si="11"/>
        <v>0</v>
      </c>
      <c r="AI12" s="27">
        <f t="shared" si="11"/>
        <v>0</v>
      </c>
      <c r="AJ12" s="27">
        <f t="shared" si="11"/>
        <v>0</v>
      </c>
      <c r="AK12" s="27">
        <f t="shared" si="11"/>
        <v>0</v>
      </c>
      <c r="AL12" s="27">
        <f t="shared" si="11"/>
        <v>0</v>
      </c>
      <c r="AM12" s="61">
        <f t="shared" si="11"/>
        <v>0</v>
      </c>
    </row>
    <row r="13" spans="2:39" s="27" customFormat="1" ht="12" hidden="1" customHeight="1" x14ac:dyDescent="0.2">
      <c r="B13" s="60" t="s">
        <v>1204</v>
      </c>
      <c r="C13" s="27" t="s">
        <v>1196</v>
      </c>
      <c r="D13" s="27">
        <f>+AI93+AI129+AI165+I389</f>
        <v>0</v>
      </c>
      <c r="E13" s="27">
        <f t="shared" ref="E13:O13" si="14">+AJ93+AJ129+AJ165+J389</f>
        <v>0</v>
      </c>
      <c r="F13" s="27">
        <f t="shared" si="14"/>
        <v>0</v>
      </c>
      <c r="G13" s="27">
        <f t="shared" si="14"/>
        <v>0</v>
      </c>
      <c r="H13" s="27">
        <f t="shared" si="14"/>
        <v>0</v>
      </c>
      <c r="I13" s="27">
        <f t="shared" si="14"/>
        <v>0</v>
      </c>
      <c r="J13" s="27">
        <f t="shared" si="14"/>
        <v>0</v>
      </c>
      <c r="K13" s="27">
        <f t="shared" si="14"/>
        <v>0</v>
      </c>
      <c r="L13" s="27">
        <f t="shared" si="14"/>
        <v>0</v>
      </c>
      <c r="M13" s="27">
        <f t="shared" si="14"/>
        <v>0</v>
      </c>
      <c r="N13" s="27">
        <f t="shared" si="14"/>
        <v>0</v>
      </c>
      <c r="O13" s="27">
        <f t="shared" si="14"/>
        <v>0</v>
      </c>
      <c r="P13" s="61">
        <f>SUM(D13:O13)</f>
        <v>0</v>
      </c>
      <c r="Q13" s="60" t="s">
        <v>549</v>
      </c>
      <c r="R13" s="27">
        <f t="shared" si="13"/>
        <v>0</v>
      </c>
      <c r="S13" s="27">
        <f t="shared" si="13"/>
        <v>0</v>
      </c>
      <c r="T13" s="27">
        <f t="shared" si="13"/>
        <v>0</v>
      </c>
      <c r="U13" s="27">
        <f t="shared" si="13"/>
        <v>0</v>
      </c>
      <c r="V13" s="27">
        <f t="shared" si="13"/>
        <v>0</v>
      </c>
      <c r="W13" s="27">
        <f t="shared" si="13"/>
        <v>0</v>
      </c>
      <c r="X13" s="27">
        <f t="shared" si="13"/>
        <v>0</v>
      </c>
      <c r="Y13" s="27">
        <f t="shared" si="13"/>
        <v>0</v>
      </c>
      <c r="Z13" s="27">
        <f t="shared" si="13"/>
        <v>0</v>
      </c>
      <c r="AA13" s="27">
        <f t="shared" si="13"/>
        <v>0</v>
      </c>
      <c r="AB13" s="27">
        <f t="shared" si="13"/>
        <v>0</v>
      </c>
      <c r="AC13" s="61">
        <f t="shared" si="13"/>
        <v>0</v>
      </c>
      <c r="AD13" s="60" t="s">
        <v>11</v>
      </c>
      <c r="AE13" s="27">
        <f t="shared" ref="AE13:AM13" si="15">+AI377+AI359+AI341+AI300+AI329</f>
        <v>0</v>
      </c>
      <c r="AF13" s="27">
        <f t="shared" si="15"/>
        <v>0</v>
      </c>
      <c r="AG13" s="27">
        <f t="shared" si="15"/>
        <v>0</v>
      </c>
      <c r="AH13" s="27">
        <f t="shared" si="15"/>
        <v>0</v>
      </c>
      <c r="AI13" s="27">
        <f t="shared" si="15"/>
        <v>0</v>
      </c>
      <c r="AJ13" s="27">
        <f t="shared" si="15"/>
        <v>0</v>
      </c>
      <c r="AK13" s="27">
        <f t="shared" si="15"/>
        <v>0</v>
      </c>
      <c r="AL13" s="27">
        <f t="shared" si="15"/>
        <v>0</v>
      </c>
      <c r="AM13" s="61">
        <f t="shared" si="15"/>
        <v>0</v>
      </c>
    </row>
    <row r="14" spans="2:39" s="27" customFormat="1" ht="15" hidden="1" customHeight="1" x14ac:dyDescent="0.2">
      <c r="B14" s="60" t="s">
        <v>1119</v>
      </c>
      <c r="D14" s="27">
        <f>D50+D69+D70</f>
        <v>0</v>
      </c>
      <c r="E14" s="27">
        <f t="shared" ref="E14:O14" si="16">E50+E69+E70</f>
        <v>0</v>
      </c>
      <c r="F14" s="27">
        <f t="shared" si="16"/>
        <v>0</v>
      </c>
      <c r="G14" s="27">
        <f t="shared" si="16"/>
        <v>0</v>
      </c>
      <c r="H14" s="27">
        <f t="shared" si="16"/>
        <v>0</v>
      </c>
      <c r="I14" s="27">
        <f t="shared" si="16"/>
        <v>0</v>
      </c>
      <c r="J14" s="27">
        <f t="shared" si="16"/>
        <v>0</v>
      </c>
      <c r="K14" s="27">
        <f t="shared" si="16"/>
        <v>0</v>
      </c>
      <c r="L14" s="27">
        <f t="shared" si="16"/>
        <v>0</v>
      </c>
      <c r="M14" s="27">
        <f t="shared" si="16"/>
        <v>0</v>
      </c>
      <c r="N14" s="27">
        <f t="shared" si="16"/>
        <v>0</v>
      </c>
      <c r="O14" s="27">
        <f t="shared" si="16"/>
        <v>0</v>
      </c>
      <c r="P14" s="61"/>
      <c r="Q14" s="60" t="s">
        <v>958</v>
      </c>
      <c r="R14" s="27">
        <f t="shared" si="13"/>
        <v>0</v>
      </c>
      <c r="S14" s="27">
        <f t="shared" si="13"/>
        <v>0</v>
      </c>
      <c r="T14" s="27">
        <f t="shared" si="13"/>
        <v>0</v>
      </c>
      <c r="U14" s="27">
        <f t="shared" si="13"/>
        <v>0</v>
      </c>
      <c r="V14" s="27">
        <f t="shared" si="13"/>
        <v>0</v>
      </c>
      <c r="W14" s="27">
        <f t="shared" si="13"/>
        <v>0</v>
      </c>
      <c r="X14" s="27">
        <f t="shared" si="13"/>
        <v>0</v>
      </c>
      <c r="Y14" s="27">
        <f t="shared" si="13"/>
        <v>0</v>
      </c>
      <c r="Z14" s="27">
        <f t="shared" si="13"/>
        <v>0</v>
      </c>
      <c r="AA14" s="27">
        <f t="shared" si="13"/>
        <v>0</v>
      </c>
      <c r="AB14" s="27">
        <f t="shared" si="13"/>
        <v>0</v>
      </c>
      <c r="AC14" s="61">
        <f t="shared" si="13"/>
        <v>0</v>
      </c>
      <c r="AD14" s="60" t="s">
        <v>946</v>
      </c>
      <c r="AE14" s="27">
        <f t="shared" ref="AE14:AM14" si="17">+AI378+AI360+AI342+AI330+AI301</f>
        <v>0</v>
      </c>
      <c r="AF14" s="27">
        <f t="shared" si="17"/>
        <v>0</v>
      </c>
      <c r="AG14" s="27">
        <f t="shared" si="17"/>
        <v>0</v>
      </c>
      <c r="AH14" s="27">
        <f t="shared" si="17"/>
        <v>0</v>
      </c>
      <c r="AI14" s="27">
        <f t="shared" si="17"/>
        <v>0</v>
      </c>
      <c r="AJ14" s="27">
        <f t="shared" si="17"/>
        <v>0</v>
      </c>
      <c r="AK14" s="27">
        <f t="shared" si="17"/>
        <v>0</v>
      </c>
      <c r="AL14" s="27">
        <f t="shared" si="17"/>
        <v>0</v>
      </c>
      <c r="AM14" s="61">
        <f t="shared" si="17"/>
        <v>0</v>
      </c>
    </row>
    <row r="15" spans="2:39" s="27" customFormat="1" ht="15" hidden="1" customHeight="1" x14ac:dyDescent="0.2">
      <c r="B15" s="60" t="s">
        <v>584</v>
      </c>
      <c r="P15" s="61"/>
      <c r="Q15" s="60" t="s">
        <v>953</v>
      </c>
      <c r="R15" s="27">
        <f t="shared" si="13"/>
        <v>0</v>
      </c>
      <c r="S15" s="27">
        <f t="shared" si="13"/>
        <v>0</v>
      </c>
      <c r="T15" s="27">
        <f t="shared" si="13"/>
        <v>0</v>
      </c>
      <c r="U15" s="27">
        <f t="shared" si="13"/>
        <v>0</v>
      </c>
      <c r="V15" s="27">
        <f t="shared" si="13"/>
        <v>0</v>
      </c>
      <c r="W15" s="27">
        <f t="shared" si="13"/>
        <v>0</v>
      </c>
      <c r="X15" s="27">
        <f t="shared" si="13"/>
        <v>0</v>
      </c>
      <c r="Y15" s="27">
        <f t="shared" si="13"/>
        <v>0</v>
      </c>
      <c r="Z15" s="27">
        <f t="shared" si="13"/>
        <v>0</v>
      </c>
      <c r="AA15" s="27">
        <f t="shared" si="13"/>
        <v>0</v>
      </c>
      <c r="AB15" s="27">
        <f t="shared" si="13"/>
        <v>0</v>
      </c>
      <c r="AC15" s="61">
        <f t="shared" si="13"/>
        <v>0</v>
      </c>
      <c r="AD15" s="60" t="s">
        <v>780</v>
      </c>
      <c r="AM15" s="61"/>
    </row>
    <row r="16" spans="2:39" s="27" customFormat="1" ht="15" hidden="1" customHeight="1" x14ac:dyDescent="0.2">
      <c r="B16" s="60" t="s">
        <v>42</v>
      </c>
      <c r="D16" s="27">
        <f>SANDBOX!F96</f>
        <v>0</v>
      </c>
      <c r="E16" s="27">
        <f>SANDBOX!G96</f>
        <v>0</v>
      </c>
      <c r="F16" s="27">
        <f>SANDBOX!H96</f>
        <v>0</v>
      </c>
      <c r="G16" s="27">
        <f>SANDBOX!I96</f>
        <v>0</v>
      </c>
      <c r="H16" s="27">
        <f>SANDBOX!J96</f>
        <v>0</v>
      </c>
      <c r="I16" s="27">
        <f>SANDBOX!K96</f>
        <v>0</v>
      </c>
      <c r="J16" s="27">
        <f>SANDBOX!L96</f>
        <v>0</v>
      </c>
      <c r="K16" s="27">
        <f>SANDBOX!M96</f>
        <v>0</v>
      </c>
      <c r="L16" s="27">
        <f>SANDBOX!N96</f>
        <v>0</v>
      </c>
      <c r="M16" s="27">
        <f>SANDBOX!O96</f>
        <v>0</v>
      </c>
      <c r="N16" s="27">
        <f>SANDBOX!P96</f>
        <v>0</v>
      </c>
      <c r="O16" s="27">
        <f>SANDBOX!Q96</f>
        <v>0</v>
      </c>
      <c r="P16" s="61"/>
      <c r="Q16" s="60" t="s">
        <v>954</v>
      </c>
      <c r="R16" s="27">
        <f t="shared" si="13"/>
        <v>0</v>
      </c>
      <c r="S16" s="27">
        <f t="shared" si="13"/>
        <v>0</v>
      </c>
      <c r="T16" s="27">
        <f t="shared" si="13"/>
        <v>0</v>
      </c>
      <c r="U16" s="27">
        <f t="shared" si="13"/>
        <v>0</v>
      </c>
      <c r="V16" s="27">
        <f t="shared" si="13"/>
        <v>0</v>
      </c>
      <c r="W16" s="27">
        <f t="shared" si="13"/>
        <v>0</v>
      </c>
      <c r="X16" s="27">
        <f t="shared" si="13"/>
        <v>0</v>
      </c>
      <c r="Y16" s="27">
        <f t="shared" si="13"/>
        <v>0</v>
      </c>
      <c r="Z16" s="27">
        <f t="shared" si="13"/>
        <v>0</v>
      </c>
      <c r="AA16" s="27">
        <f t="shared" si="13"/>
        <v>0</v>
      </c>
      <c r="AB16" s="27">
        <f t="shared" si="13"/>
        <v>0</v>
      </c>
      <c r="AC16" s="61">
        <f t="shared" si="13"/>
        <v>0</v>
      </c>
      <c r="AD16" s="60"/>
      <c r="AE16" s="27">
        <v>1</v>
      </c>
      <c r="AF16" s="27">
        <f t="shared" ref="AF16:AM16" si="18">+AE16+1</f>
        <v>2</v>
      </c>
      <c r="AG16" s="27">
        <f t="shared" si="18"/>
        <v>3</v>
      </c>
      <c r="AH16" s="27">
        <f t="shared" si="18"/>
        <v>4</v>
      </c>
      <c r="AI16" s="27">
        <f t="shared" si="18"/>
        <v>5</v>
      </c>
      <c r="AJ16" s="27">
        <f t="shared" si="18"/>
        <v>6</v>
      </c>
      <c r="AK16" s="27">
        <f t="shared" si="18"/>
        <v>7</v>
      </c>
      <c r="AL16" s="27">
        <f t="shared" si="18"/>
        <v>8</v>
      </c>
      <c r="AM16" s="61">
        <f t="shared" si="18"/>
        <v>9</v>
      </c>
    </row>
    <row r="17" spans="2:39" s="27" customFormat="1" ht="15" hidden="1" customHeight="1" x14ac:dyDescent="0.2">
      <c r="B17" s="60" t="s">
        <v>228</v>
      </c>
      <c r="C17" s="27" t="s">
        <v>410</v>
      </c>
      <c r="D17" s="27">
        <f t="shared" ref="D17:O17" si="19">R7</f>
        <v>0</v>
      </c>
      <c r="E17" s="27">
        <f t="shared" si="19"/>
        <v>0</v>
      </c>
      <c r="F17" s="27">
        <f t="shared" si="19"/>
        <v>0</v>
      </c>
      <c r="G17" s="27">
        <f t="shared" si="19"/>
        <v>0</v>
      </c>
      <c r="H17" s="27">
        <f t="shared" si="19"/>
        <v>0</v>
      </c>
      <c r="I17" s="27">
        <f t="shared" si="19"/>
        <v>0</v>
      </c>
      <c r="J17" s="27">
        <f t="shared" si="19"/>
        <v>0</v>
      </c>
      <c r="K17" s="27">
        <f t="shared" si="19"/>
        <v>0</v>
      </c>
      <c r="L17" s="27">
        <f t="shared" si="19"/>
        <v>0</v>
      </c>
      <c r="M17" s="27">
        <f t="shared" si="19"/>
        <v>0</v>
      </c>
      <c r="N17" s="27">
        <f t="shared" si="19"/>
        <v>0</v>
      </c>
      <c r="O17" s="27">
        <f t="shared" si="19"/>
        <v>0</v>
      </c>
      <c r="P17" s="61"/>
      <c r="Q17" s="60"/>
      <c r="AC17" s="61"/>
      <c r="AD17" s="60" t="s">
        <v>12</v>
      </c>
      <c r="AE17" s="27">
        <f t="shared" ref="AE17:AM17" si="20">AE6</f>
        <v>2013</v>
      </c>
      <c r="AF17" s="27">
        <f t="shared" si="20"/>
        <v>2014</v>
      </c>
      <c r="AG17" s="27">
        <f t="shared" si="20"/>
        <v>2015</v>
      </c>
      <c r="AH17" s="27">
        <f t="shared" si="20"/>
        <v>2016</v>
      </c>
      <c r="AI17" s="27">
        <f t="shared" si="20"/>
        <v>2017</v>
      </c>
      <c r="AJ17" s="27">
        <f t="shared" si="20"/>
        <v>2018</v>
      </c>
      <c r="AK17" s="27">
        <f t="shared" si="20"/>
        <v>2019</v>
      </c>
      <c r="AL17" s="27">
        <f t="shared" si="20"/>
        <v>2020</v>
      </c>
      <c r="AM17" s="61">
        <f t="shared" si="20"/>
        <v>2021</v>
      </c>
    </row>
    <row r="18" spans="2:39" s="27" customFormat="1" ht="15" hidden="1" customHeight="1" x14ac:dyDescent="0.2">
      <c r="B18" s="60"/>
      <c r="C18" s="27" t="s">
        <v>294</v>
      </c>
      <c r="D18" s="27">
        <f t="shared" ref="D18:O18" si="21">R13</f>
        <v>0</v>
      </c>
      <c r="E18" s="27">
        <f t="shared" si="21"/>
        <v>0</v>
      </c>
      <c r="F18" s="27">
        <f t="shared" si="21"/>
        <v>0</v>
      </c>
      <c r="G18" s="27">
        <f t="shared" si="21"/>
        <v>0</v>
      </c>
      <c r="H18" s="27">
        <f t="shared" si="21"/>
        <v>0</v>
      </c>
      <c r="I18" s="27">
        <f t="shared" si="21"/>
        <v>0</v>
      </c>
      <c r="J18" s="27">
        <f t="shared" si="21"/>
        <v>0</v>
      </c>
      <c r="K18" s="27">
        <f t="shared" si="21"/>
        <v>0</v>
      </c>
      <c r="L18" s="27">
        <f t="shared" si="21"/>
        <v>0</v>
      </c>
      <c r="M18" s="27">
        <f t="shared" si="21"/>
        <v>0</v>
      </c>
      <c r="N18" s="27">
        <f t="shared" si="21"/>
        <v>0</v>
      </c>
      <c r="O18" s="27">
        <f t="shared" si="21"/>
        <v>0</v>
      </c>
      <c r="P18" s="61"/>
      <c r="Q18" s="60" t="s">
        <v>1124</v>
      </c>
      <c r="R18" s="27" t="s">
        <v>1125</v>
      </c>
      <c r="S18" s="27" t="s">
        <v>1491</v>
      </c>
      <c r="T18" s="27" t="s">
        <v>1317</v>
      </c>
      <c r="V18" s="27" t="s">
        <v>1492</v>
      </c>
      <c r="W18" s="27" t="s">
        <v>1493</v>
      </c>
      <c r="X18" s="27" t="s">
        <v>1494</v>
      </c>
      <c r="Y18" s="27" t="s">
        <v>1495</v>
      </c>
      <c r="AC18" s="61"/>
      <c r="AD18" s="60" t="s">
        <v>7</v>
      </c>
      <c r="AE18" s="27">
        <f>+AI104+AI140+AI176+AI199+AI235+U388</f>
        <v>0</v>
      </c>
      <c r="AF18" s="27">
        <f t="shared" ref="AF18:AM18" si="22">+AJ104+AJ140+AJ176+AJ199+AJ235</f>
        <v>0</v>
      </c>
      <c r="AG18" s="27">
        <f t="shared" si="22"/>
        <v>0</v>
      </c>
      <c r="AH18" s="27">
        <f t="shared" si="22"/>
        <v>0</v>
      </c>
      <c r="AI18" s="27">
        <f t="shared" si="22"/>
        <v>0</v>
      </c>
      <c r="AJ18" s="27">
        <f t="shared" si="22"/>
        <v>0</v>
      </c>
      <c r="AK18" s="27">
        <f t="shared" si="22"/>
        <v>0</v>
      </c>
      <c r="AL18" s="27">
        <f t="shared" si="22"/>
        <v>0</v>
      </c>
      <c r="AM18" s="61">
        <f t="shared" si="22"/>
        <v>0</v>
      </c>
    </row>
    <row r="19" spans="2:39" s="27" customFormat="1" ht="15" hidden="1" customHeight="1" x14ac:dyDescent="0.2">
      <c r="B19" s="60"/>
      <c r="C19" s="27" t="s">
        <v>1118</v>
      </c>
      <c r="D19" s="27">
        <f>D59+D67</f>
        <v>0</v>
      </c>
      <c r="E19" s="27">
        <f t="shared" ref="E19:N19" si="23">E59+E67</f>
        <v>0</v>
      </c>
      <c r="F19" s="27">
        <f t="shared" si="23"/>
        <v>0</v>
      </c>
      <c r="G19" s="27">
        <f t="shared" si="23"/>
        <v>0</v>
      </c>
      <c r="H19" s="27">
        <f t="shared" si="23"/>
        <v>0</v>
      </c>
      <c r="I19" s="27">
        <f t="shared" si="23"/>
        <v>0</v>
      </c>
      <c r="J19" s="27">
        <f t="shared" si="23"/>
        <v>0</v>
      </c>
      <c r="K19" s="27">
        <f t="shared" si="23"/>
        <v>0</v>
      </c>
      <c r="L19" s="27">
        <f t="shared" si="23"/>
        <v>0</v>
      </c>
      <c r="M19" s="27">
        <f t="shared" si="23"/>
        <v>0</v>
      </c>
      <c r="N19" s="27">
        <f t="shared" si="23"/>
        <v>0</v>
      </c>
      <c r="O19" s="27">
        <f>O59+O67</f>
        <v>0</v>
      </c>
      <c r="P19" s="61"/>
      <c r="Q19" s="60"/>
      <c r="R19" s="27" t="s">
        <v>1367</v>
      </c>
      <c r="S19" s="27">
        <f>SUM(D5:O5)</f>
        <v>0</v>
      </c>
      <c r="T19" s="27">
        <f>+AE7</f>
        <v>0</v>
      </c>
      <c r="U19" s="27" t="str">
        <f>IF(T19=S19,"OK")</f>
        <v>OK</v>
      </c>
      <c r="V19" s="27">
        <f>+AF7</f>
        <v>0</v>
      </c>
      <c r="W19" s="27">
        <f>+AG7</f>
        <v>0</v>
      </c>
      <c r="X19" s="27">
        <f>+AH7</f>
        <v>0</v>
      </c>
      <c r="Y19" s="27">
        <f>+AI7</f>
        <v>0</v>
      </c>
      <c r="AA19" s="27" t="s">
        <v>1407</v>
      </c>
      <c r="AC19" s="61"/>
      <c r="AD19" s="60" t="s">
        <v>1530</v>
      </c>
      <c r="AM19" s="61"/>
    </row>
    <row r="20" spans="2:39" s="27" customFormat="1" ht="15" hidden="1" customHeight="1" x14ac:dyDescent="0.2">
      <c r="B20" s="60"/>
      <c r="C20" s="27" t="s">
        <v>867</v>
      </c>
      <c r="D20" s="27">
        <f>+Pagoinversiones!E8</f>
        <v>0</v>
      </c>
      <c r="E20" s="27">
        <f>+Pagoinversiones!F8</f>
        <v>0</v>
      </c>
      <c r="F20" s="27">
        <f>+Pagoinversiones!G8</f>
        <v>0</v>
      </c>
      <c r="G20" s="27">
        <f>+Pagoinversiones!H8</f>
        <v>0</v>
      </c>
      <c r="H20" s="27">
        <f>+Pagoinversiones!I8</f>
        <v>0</v>
      </c>
      <c r="I20" s="27">
        <f>+Pagoinversiones!J8</f>
        <v>0</v>
      </c>
      <c r="J20" s="27">
        <f>+Pagoinversiones!K8</f>
        <v>0</v>
      </c>
      <c r="K20" s="27">
        <f>+Pagoinversiones!L8</f>
        <v>0</v>
      </c>
      <c r="L20" s="27">
        <f>+Pagoinversiones!M8</f>
        <v>0</v>
      </c>
      <c r="M20" s="27">
        <f>+Pagoinversiones!N8</f>
        <v>0</v>
      </c>
      <c r="N20" s="27">
        <f>+Pagoinversiones!O8</f>
        <v>0</v>
      </c>
      <c r="O20" s="27">
        <f>+Pagoinversiones!P8</f>
        <v>0</v>
      </c>
      <c r="P20" s="61"/>
      <c r="Q20" s="60"/>
      <c r="AC20" s="61"/>
      <c r="AD20" s="60"/>
      <c r="AM20" s="61"/>
    </row>
    <row r="21" spans="2:39" s="27" customFormat="1" ht="15" hidden="1" customHeight="1" x14ac:dyDescent="0.2">
      <c r="B21" s="60" t="s">
        <v>1267</v>
      </c>
      <c r="D21" s="27">
        <f>SUM(D12:D20)</f>
        <v>0</v>
      </c>
      <c r="E21" s="27">
        <f t="shared" ref="E21:O21" si="24">SUM(E12:E20)</f>
        <v>0</v>
      </c>
      <c r="F21" s="27">
        <f t="shared" si="24"/>
        <v>0</v>
      </c>
      <c r="G21" s="27">
        <f t="shared" si="24"/>
        <v>0</v>
      </c>
      <c r="H21" s="27">
        <f t="shared" si="24"/>
        <v>0</v>
      </c>
      <c r="I21" s="27">
        <f t="shared" si="24"/>
        <v>0</v>
      </c>
      <c r="J21" s="27">
        <f t="shared" si="24"/>
        <v>0</v>
      </c>
      <c r="K21" s="27">
        <f t="shared" si="24"/>
        <v>0</v>
      </c>
      <c r="L21" s="27">
        <f t="shared" si="24"/>
        <v>0</v>
      </c>
      <c r="M21" s="27">
        <f t="shared" si="24"/>
        <v>0</v>
      </c>
      <c r="N21" s="27">
        <f t="shared" si="24"/>
        <v>0</v>
      </c>
      <c r="O21" s="27">
        <f t="shared" si="24"/>
        <v>0</v>
      </c>
      <c r="P21" s="61"/>
      <c r="Q21" s="60"/>
      <c r="R21" s="27" t="s">
        <v>1126</v>
      </c>
      <c r="S21" s="27">
        <f>SUM(R6:AC6)</f>
        <v>0</v>
      </c>
      <c r="T21" s="27">
        <f>+AE9</f>
        <v>0</v>
      </c>
      <c r="U21" s="27" t="str">
        <f>IF(T21=S21,"OK")</f>
        <v>OK</v>
      </c>
      <c r="V21" s="27">
        <f t="shared" ref="V21:Y23" si="25">+AF9</f>
        <v>0</v>
      </c>
      <c r="W21" s="27">
        <f t="shared" si="25"/>
        <v>0</v>
      </c>
      <c r="X21" s="27">
        <f t="shared" si="25"/>
        <v>0</v>
      </c>
      <c r="Y21" s="27">
        <f t="shared" si="25"/>
        <v>0</v>
      </c>
      <c r="AA21" s="27" t="str">
        <f>SB!H175</f>
        <v>NO</v>
      </c>
      <c r="AB21" s="27">
        <v>0</v>
      </c>
      <c r="AC21" s="61"/>
      <c r="AD21" s="60" t="s">
        <v>8</v>
      </c>
      <c r="AE21" s="27">
        <f>+AI106+AI142+AI178+AI201+AI237+U400</f>
        <v>0</v>
      </c>
      <c r="AF21" s="27">
        <f>+AJ106+AJ142+AJ178+AJ201+AJ237+V400</f>
        <v>0</v>
      </c>
      <c r="AG21" s="27">
        <f>+AK106+AK142+AK178+AK201+AK237+W400</f>
        <v>0</v>
      </c>
      <c r="AH21" s="27">
        <f>+AL106+AL142+AL178+AL201+AL237+X400</f>
        <v>0</v>
      </c>
      <c r="AI21" s="27">
        <f>+AM106+AM142+AM178+AM201+AM237+Y400</f>
        <v>0</v>
      </c>
      <c r="AJ21" s="27">
        <f t="shared" ref="AJ21:AM26" si="26">+AN106+AN142+AN178+AN201+AN237</f>
        <v>0</v>
      </c>
      <c r="AK21" s="27">
        <f t="shared" si="26"/>
        <v>0</v>
      </c>
      <c r="AL21" s="27">
        <f t="shared" si="26"/>
        <v>0</v>
      </c>
      <c r="AM21" s="61">
        <f t="shared" si="26"/>
        <v>0</v>
      </c>
    </row>
    <row r="22" spans="2:39" s="27" customFormat="1" ht="15" hidden="1" customHeight="1" x14ac:dyDescent="0.2">
      <c r="B22" s="60" t="s">
        <v>13</v>
      </c>
      <c r="C22" s="27">
        <f>SUM(D21:O21)</f>
        <v>0</v>
      </c>
      <c r="D22" s="27" t="s">
        <v>57</v>
      </c>
      <c r="E22" s="27">
        <f>INFORME!$E$138</f>
        <v>0</v>
      </c>
      <c r="F22" s="27" t="s">
        <v>14</v>
      </c>
      <c r="P22" s="61"/>
      <c r="Q22" s="60"/>
      <c r="R22" s="27" t="s">
        <v>174</v>
      </c>
      <c r="S22" s="27">
        <f>SUM(R7:AC7)+P12</f>
        <v>0</v>
      </c>
      <c r="T22" s="27">
        <f>+AE10+P12</f>
        <v>0</v>
      </c>
      <c r="U22" s="27" t="str">
        <f>IF(T22=S22,"OK")</f>
        <v>OK</v>
      </c>
      <c r="V22" s="27">
        <f>+AF10+AF14</f>
        <v>0</v>
      </c>
      <c r="W22" s="27">
        <f>+AG10+AG14</f>
        <v>0</v>
      </c>
      <c r="X22" s="27">
        <f>+AH10+AH14</f>
        <v>0</v>
      </c>
      <c r="Y22" s="27">
        <f>+AI10+AI14</f>
        <v>0</v>
      </c>
      <c r="AA22" s="27" t="str">
        <f>SB!H176</f>
        <v>12 MESES</v>
      </c>
      <c r="AB22" s="27">
        <v>12</v>
      </c>
      <c r="AC22" s="61"/>
      <c r="AD22" s="60" t="s">
        <v>9</v>
      </c>
      <c r="AE22" s="27">
        <f t="shared" ref="AE22:AI26" si="27">+AI107+AI143+AI179+AI202+AI238</f>
        <v>0</v>
      </c>
      <c r="AF22" s="27">
        <f t="shared" si="27"/>
        <v>0</v>
      </c>
      <c r="AG22" s="27">
        <f t="shared" si="27"/>
        <v>0</v>
      </c>
      <c r="AH22" s="27">
        <f t="shared" si="27"/>
        <v>0</v>
      </c>
      <c r="AI22" s="27">
        <f t="shared" si="27"/>
        <v>0</v>
      </c>
      <c r="AJ22" s="27">
        <f t="shared" si="26"/>
        <v>0</v>
      </c>
      <c r="AK22" s="27">
        <f t="shared" si="26"/>
        <v>0</v>
      </c>
      <c r="AL22" s="27">
        <f t="shared" si="26"/>
        <v>0</v>
      </c>
      <c r="AM22" s="61">
        <f t="shared" si="26"/>
        <v>0</v>
      </c>
    </row>
    <row r="23" spans="2:39" s="27" customFormat="1" ht="15" hidden="1" customHeight="1" x14ac:dyDescent="0.2">
      <c r="B23" s="65"/>
      <c r="C23" s="66"/>
      <c r="D23" s="66"/>
      <c r="E23" s="66"/>
      <c r="F23" s="66"/>
      <c r="G23" s="66"/>
      <c r="H23" s="66"/>
      <c r="I23" s="66"/>
      <c r="J23" s="66"/>
      <c r="K23" s="66"/>
      <c r="L23" s="66"/>
      <c r="M23" s="66"/>
      <c r="N23" s="66"/>
      <c r="O23" s="66"/>
      <c r="P23" s="67"/>
      <c r="Q23" s="60"/>
      <c r="R23" s="27" t="s">
        <v>786</v>
      </c>
      <c r="S23" s="27">
        <f>SUM(R8:AC8)</f>
        <v>0</v>
      </c>
      <c r="T23" s="27">
        <f>+AE11</f>
        <v>0</v>
      </c>
      <c r="U23" s="27" t="str">
        <f>IF(T23=S23,"OK")</f>
        <v>OK</v>
      </c>
      <c r="V23" s="27">
        <f t="shared" si="25"/>
        <v>0</v>
      </c>
      <c r="W23" s="27">
        <f t="shared" si="25"/>
        <v>0</v>
      </c>
      <c r="X23" s="27">
        <f t="shared" si="25"/>
        <v>0</v>
      </c>
      <c r="Y23" s="27">
        <f t="shared" si="25"/>
        <v>0</v>
      </c>
      <c r="AA23" s="27" t="str">
        <f>SB!H177</f>
        <v>24 MESES</v>
      </c>
      <c r="AB23" s="27">
        <v>24</v>
      </c>
      <c r="AC23" s="61"/>
      <c r="AD23" s="60" t="s">
        <v>958</v>
      </c>
      <c r="AE23" s="27">
        <f t="shared" si="27"/>
        <v>0</v>
      </c>
      <c r="AF23" s="27">
        <f t="shared" si="27"/>
        <v>0</v>
      </c>
      <c r="AG23" s="27">
        <f t="shared" si="27"/>
        <v>0</v>
      </c>
      <c r="AH23" s="27">
        <f t="shared" si="27"/>
        <v>0</v>
      </c>
      <c r="AI23" s="27">
        <f t="shared" si="27"/>
        <v>0</v>
      </c>
      <c r="AJ23" s="27">
        <f t="shared" si="26"/>
        <v>0</v>
      </c>
      <c r="AK23" s="27">
        <f t="shared" si="26"/>
        <v>0</v>
      </c>
      <c r="AL23" s="27">
        <f t="shared" si="26"/>
        <v>0</v>
      </c>
      <c r="AM23" s="61">
        <f t="shared" si="26"/>
        <v>0</v>
      </c>
    </row>
    <row r="24" spans="2:39" s="27" customFormat="1" ht="15" hidden="1" customHeight="1" x14ac:dyDescent="0.2">
      <c r="B24" s="62" t="s">
        <v>1465</v>
      </c>
      <c r="C24" s="63" t="s">
        <v>1220</v>
      </c>
      <c r="D24" s="63" t="s">
        <v>1467</v>
      </c>
      <c r="E24" s="63" t="s">
        <v>1468</v>
      </c>
      <c r="F24" s="63"/>
      <c r="G24" s="63"/>
      <c r="H24" s="63"/>
      <c r="I24" s="63"/>
      <c r="J24" s="63"/>
      <c r="K24" s="63"/>
      <c r="L24" s="63"/>
      <c r="M24" s="63"/>
      <c r="N24" s="63"/>
      <c r="O24" s="63"/>
      <c r="P24" s="64"/>
      <c r="Q24" s="60"/>
      <c r="R24" s="27" t="s">
        <v>1127</v>
      </c>
      <c r="AC24" s="61"/>
      <c r="AD24" s="60" t="s">
        <v>10</v>
      </c>
      <c r="AE24" s="27">
        <f t="shared" si="27"/>
        <v>0</v>
      </c>
      <c r="AF24" s="27">
        <f t="shared" si="27"/>
        <v>0</v>
      </c>
      <c r="AG24" s="27">
        <f t="shared" si="27"/>
        <v>0</v>
      </c>
      <c r="AH24" s="27">
        <f t="shared" si="27"/>
        <v>0</v>
      </c>
      <c r="AI24" s="27">
        <f t="shared" si="27"/>
        <v>0</v>
      </c>
      <c r="AJ24" s="27">
        <f t="shared" si="26"/>
        <v>0</v>
      </c>
      <c r="AK24" s="27">
        <f t="shared" si="26"/>
        <v>0</v>
      </c>
      <c r="AL24" s="27">
        <f t="shared" si="26"/>
        <v>0</v>
      </c>
      <c r="AM24" s="61">
        <f t="shared" si="26"/>
        <v>0</v>
      </c>
    </row>
    <row r="25" spans="2:39" s="27" customFormat="1" ht="15" hidden="1" customHeight="1" x14ac:dyDescent="0.2">
      <c r="B25" s="60" t="s">
        <v>1464</v>
      </c>
      <c r="C25" s="27" t="s">
        <v>232</v>
      </c>
      <c r="D25" s="27">
        <f>R10</f>
        <v>0</v>
      </c>
      <c r="E25" s="27">
        <f>S10</f>
        <v>0</v>
      </c>
      <c r="F25" s="27">
        <f>T10</f>
        <v>0</v>
      </c>
      <c r="G25" s="27">
        <f t="shared" ref="G25:O25" si="28">U10</f>
        <v>0</v>
      </c>
      <c r="H25" s="27">
        <f t="shared" si="28"/>
        <v>0</v>
      </c>
      <c r="I25" s="27">
        <f t="shared" si="28"/>
        <v>0</v>
      </c>
      <c r="J25" s="27">
        <f t="shared" si="28"/>
        <v>0</v>
      </c>
      <c r="K25" s="27">
        <f t="shared" si="28"/>
        <v>0</v>
      </c>
      <c r="L25" s="27">
        <f t="shared" si="28"/>
        <v>0</v>
      </c>
      <c r="M25" s="27">
        <f t="shared" si="28"/>
        <v>0</v>
      </c>
      <c r="N25" s="27">
        <f t="shared" si="28"/>
        <v>0</v>
      </c>
      <c r="O25" s="27">
        <f t="shared" si="28"/>
        <v>0</v>
      </c>
      <c r="P25" s="61"/>
      <c r="Q25" s="60"/>
      <c r="R25" s="27" t="s">
        <v>1367</v>
      </c>
      <c r="S25" s="27">
        <f>SUM(D6:O6)</f>
        <v>0</v>
      </c>
      <c r="T25" s="27">
        <f>+AE18</f>
        <v>0</v>
      </c>
      <c r="U25" s="27" t="str">
        <f>IF(T25=S25,"OK")</f>
        <v>OK</v>
      </c>
      <c r="V25" s="27">
        <f>+AF18</f>
        <v>0</v>
      </c>
      <c r="W25" s="27">
        <f>+AG18</f>
        <v>0</v>
      </c>
      <c r="X25" s="27">
        <f>+AH18</f>
        <v>0</v>
      </c>
      <c r="Y25" s="27">
        <f>+AI18</f>
        <v>0</v>
      </c>
      <c r="AC25" s="61"/>
      <c r="AD25" s="60" t="s">
        <v>11</v>
      </c>
      <c r="AE25" s="27">
        <f t="shared" si="27"/>
        <v>0</v>
      </c>
      <c r="AF25" s="27">
        <f t="shared" si="27"/>
        <v>0</v>
      </c>
      <c r="AG25" s="27">
        <f t="shared" si="27"/>
        <v>0</v>
      </c>
      <c r="AH25" s="27">
        <f t="shared" si="27"/>
        <v>0</v>
      </c>
      <c r="AI25" s="27">
        <f t="shared" si="27"/>
        <v>0</v>
      </c>
      <c r="AJ25" s="27">
        <f t="shared" si="26"/>
        <v>0</v>
      </c>
      <c r="AK25" s="27">
        <f t="shared" si="26"/>
        <v>0</v>
      </c>
      <c r="AL25" s="27">
        <f t="shared" si="26"/>
        <v>0</v>
      </c>
      <c r="AM25" s="61">
        <f t="shared" si="26"/>
        <v>0</v>
      </c>
    </row>
    <row r="26" spans="2:39" s="27" customFormat="1" ht="15" hidden="1" customHeight="1" x14ac:dyDescent="0.2">
      <c r="B26" s="60" t="s">
        <v>1466</v>
      </c>
      <c r="D26" s="27">
        <f t="shared" ref="D26:O26" si="29">R16</f>
        <v>0</v>
      </c>
      <c r="E26" s="27">
        <f t="shared" si="29"/>
        <v>0</v>
      </c>
      <c r="F26" s="27">
        <f t="shared" si="29"/>
        <v>0</v>
      </c>
      <c r="G26" s="27">
        <f t="shared" si="29"/>
        <v>0</v>
      </c>
      <c r="H26" s="27">
        <f t="shared" si="29"/>
        <v>0</v>
      </c>
      <c r="I26" s="27">
        <f t="shared" si="29"/>
        <v>0</v>
      </c>
      <c r="J26" s="27">
        <f t="shared" si="29"/>
        <v>0</v>
      </c>
      <c r="K26" s="27">
        <f t="shared" si="29"/>
        <v>0</v>
      </c>
      <c r="L26" s="27">
        <f t="shared" si="29"/>
        <v>0</v>
      </c>
      <c r="M26" s="27">
        <f t="shared" si="29"/>
        <v>0</v>
      </c>
      <c r="N26" s="27">
        <f t="shared" si="29"/>
        <v>0</v>
      </c>
      <c r="O26" s="27">
        <f t="shared" si="29"/>
        <v>0</v>
      </c>
      <c r="P26" s="61"/>
      <c r="Q26" s="60"/>
      <c r="R26" s="27" t="s">
        <v>1126</v>
      </c>
      <c r="S26" s="27">
        <f>SUM(R12:AC12)</f>
        <v>0</v>
      </c>
      <c r="T26" s="27">
        <f>+AE21</f>
        <v>0</v>
      </c>
      <c r="U26" s="27" t="str">
        <f>IF(T26=S26,"OK")</f>
        <v>OK</v>
      </c>
      <c r="V26" s="27">
        <f t="shared" ref="V26:Y28" si="30">+AF21</f>
        <v>0</v>
      </c>
      <c r="W26" s="27">
        <f t="shared" si="30"/>
        <v>0</v>
      </c>
      <c r="X26" s="27">
        <f t="shared" si="30"/>
        <v>0</v>
      </c>
      <c r="Y26" s="27">
        <f t="shared" si="30"/>
        <v>0</v>
      </c>
      <c r="AC26" s="61"/>
      <c r="AD26" s="60" t="s">
        <v>946</v>
      </c>
      <c r="AE26" s="27">
        <f t="shared" si="27"/>
        <v>0</v>
      </c>
      <c r="AF26" s="27">
        <f t="shared" si="27"/>
        <v>0</v>
      </c>
      <c r="AG26" s="27">
        <f t="shared" si="27"/>
        <v>0</v>
      </c>
      <c r="AH26" s="27">
        <f t="shared" si="27"/>
        <v>0</v>
      </c>
      <c r="AI26" s="27">
        <f t="shared" si="27"/>
        <v>0</v>
      </c>
      <c r="AJ26" s="27">
        <f t="shared" si="26"/>
        <v>0</v>
      </c>
      <c r="AK26" s="27">
        <f t="shared" si="26"/>
        <v>0</v>
      </c>
      <c r="AL26" s="27">
        <f t="shared" si="26"/>
        <v>0</v>
      </c>
      <c r="AM26" s="61">
        <f t="shared" si="26"/>
        <v>0</v>
      </c>
    </row>
    <row r="27" spans="2:39" s="27" customFormat="1" ht="15" hidden="1" customHeight="1" x14ac:dyDescent="0.2">
      <c r="B27" s="60" t="s">
        <v>1193</v>
      </c>
      <c r="D27" s="27">
        <f t="shared" ref="D27:O27" si="31">I401</f>
        <v>0</v>
      </c>
      <c r="E27" s="27">
        <f t="shared" si="31"/>
        <v>0</v>
      </c>
      <c r="F27" s="27">
        <f t="shared" si="31"/>
        <v>0</v>
      </c>
      <c r="G27" s="27">
        <f t="shared" si="31"/>
        <v>0</v>
      </c>
      <c r="H27" s="27">
        <f t="shared" si="31"/>
        <v>0</v>
      </c>
      <c r="I27" s="27">
        <f t="shared" si="31"/>
        <v>0</v>
      </c>
      <c r="J27" s="27">
        <f t="shared" si="31"/>
        <v>0</v>
      </c>
      <c r="K27" s="27">
        <f t="shared" si="31"/>
        <v>0</v>
      </c>
      <c r="L27" s="27">
        <f t="shared" si="31"/>
        <v>0</v>
      </c>
      <c r="M27" s="27">
        <f t="shared" si="31"/>
        <v>0</v>
      </c>
      <c r="N27" s="27">
        <f t="shared" si="31"/>
        <v>0</v>
      </c>
      <c r="O27" s="27">
        <f t="shared" si="31"/>
        <v>0</v>
      </c>
      <c r="P27" s="61"/>
      <c r="Q27" s="60"/>
      <c r="R27" s="27" t="s">
        <v>174</v>
      </c>
      <c r="S27" s="27">
        <f>SUM(R13:AC13)+P13</f>
        <v>0</v>
      </c>
      <c r="T27" s="27">
        <f>+AE22+P13</f>
        <v>0</v>
      </c>
      <c r="U27" s="27" t="str">
        <f>IF(T27=S27,"OK")</f>
        <v>OK</v>
      </c>
      <c r="V27" s="27">
        <f>+AF22+AF26</f>
        <v>0</v>
      </c>
      <c r="W27" s="27">
        <f>+AG22+AG26</f>
        <v>0</v>
      </c>
      <c r="X27" s="27">
        <f>+AH22+AH26</f>
        <v>0</v>
      </c>
      <c r="Y27" s="27">
        <f>+AI22+AI26</f>
        <v>0</v>
      </c>
      <c r="AC27" s="61"/>
      <c r="AD27" s="60"/>
      <c r="AM27" s="61"/>
    </row>
    <row r="28" spans="2:39" s="27" customFormat="1" ht="15" hidden="1" customHeight="1" x14ac:dyDescent="0.2">
      <c r="B28" s="60" t="s">
        <v>1469</v>
      </c>
      <c r="C28" s="27" t="s">
        <v>1471</v>
      </c>
      <c r="D28" s="27">
        <v>1</v>
      </c>
      <c r="E28" s="27">
        <v>2</v>
      </c>
      <c r="F28" s="27">
        <v>3</v>
      </c>
      <c r="G28" s="27">
        <v>4</v>
      </c>
      <c r="H28" s="27">
        <v>5</v>
      </c>
      <c r="P28" s="61"/>
      <c r="Q28" s="60"/>
      <c r="R28" s="27" t="s">
        <v>786</v>
      </c>
      <c r="S28" s="27">
        <f>SUM(R14:AC14)</f>
        <v>0</v>
      </c>
      <c r="T28" s="27">
        <f>+AE23</f>
        <v>0</v>
      </c>
      <c r="U28" s="27" t="str">
        <f>IF(T28=S28,"OK")</f>
        <v>OK</v>
      </c>
      <c r="V28" s="27">
        <f t="shared" si="30"/>
        <v>0</v>
      </c>
      <c r="W28" s="27">
        <f t="shared" si="30"/>
        <v>0</v>
      </c>
      <c r="X28" s="27">
        <f t="shared" si="30"/>
        <v>0</v>
      </c>
      <c r="Y28" s="27">
        <f t="shared" si="30"/>
        <v>0</v>
      </c>
      <c r="AC28" s="61"/>
      <c r="AD28" s="60"/>
      <c r="AM28" s="61"/>
    </row>
    <row r="29" spans="2:39" s="27" customFormat="1" ht="15" hidden="1" customHeight="1" x14ac:dyDescent="0.2">
      <c r="B29" s="60" t="s">
        <v>1464</v>
      </c>
      <c r="D29" s="27">
        <f>+O25</f>
        <v>0</v>
      </c>
      <c r="E29" s="27">
        <f>AF13</f>
        <v>0</v>
      </c>
      <c r="F29" s="27">
        <f>AG13</f>
        <v>0</v>
      </c>
      <c r="G29" s="27">
        <f>AH13</f>
        <v>0</v>
      </c>
      <c r="H29" s="27">
        <f>AI13</f>
        <v>0</v>
      </c>
      <c r="P29" s="61"/>
      <c r="Q29" s="60"/>
      <c r="R29" s="27" t="s">
        <v>958</v>
      </c>
      <c r="AC29" s="61"/>
      <c r="AD29" s="60"/>
      <c r="AM29" s="61"/>
    </row>
    <row r="30" spans="2:39" s="27" customFormat="1" ht="15" hidden="1" customHeight="1" x14ac:dyDescent="0.2">
      <c r="B30" s="60" t="s">
        <v>1466</v>
      </c>
      <c r="D30" s="27">
        <f>+O26</f>
        <v>0</v>
      </c>
      <c r="E30" s="27">
        <f>AF25</f>
        <v>0</v>
      </c>
      <c r="F30" s="27">
        <f>AG25</f>
        <v>0</v>
      </c>
      <c r="G30" s="27">
        <f>AH25</f>
        <v>0</v>
      </c>
      <c r="H30" s="27">
        <f>AI25</f>
        <v>0</v>
      </c>
      <c r="P30" s="61"/>
      <c r="Q30" s="60"/>
      <c r="R30" s="27" t="s">
        <v>1367</v>
      </c>
      <c r="S30" s="27">
        <f>+S19+S25</f>
        <v>0</v>
      </c>
      <c r="V30" s="27">
        <f>+V19+V25</f>
        <v>0</v>
      </c>
      <c r="W30" s="27">
        <f>+W19+W25</f>
        <v>0</v>
      </c>
      <c r="X30" s="27">
        <f>+X19+X25</f>
        <v>0</v>
      </c>
      <c r="Y30" s="27">
        <f>+Y19+Y25</f>
        <v>0</v>
      </c>
      <c r="AC30" s="61"/>
      <c r="AD30" s="60"/>
      <c r="AM30" s="61"/>
    </row>
    <row r="31" spans="2:39" s="27" customFormat="1" ht="15" hidden="1" customHeight="1" x14ac:dyDescent="0.2">
      <c r="B31" s="60" t="s">
        <v>1193</v>
      </c>
      <c r="D31" s="27">
        <f>U401</f>
        <v>0</v>
      </c>
      <c r="E31" s="27">
        <f>V401</f>
        <v>0</v>
      </c>
      <c r="F31" s="27">
        <f>W401</f>
        <v>0</v>
      </c>
      <c r="G31" s="27">
        <f>X401</f>
        <v>0</v>
      </c>
      <c r="H31" s="27">
        <f>Y401</f>
        <v>0</v>
      </c>
      <c r="P31" s="61"/>
      <c r="Q31" s="60"/>
      <c r="R31" s="27" t="s">
        <v>1126</v>
      </c>
      <c r="S31" s="27">
        <f>+S21+S26</f>
        <v>0</v>
      </c>
      <c r="V31" s="27">
        <f t="shared" ref="V31:Y32" si="32">+V21+V26</f>
        <v>0</v>
      </c>
      <c r="W31" s="27">
        <f t="shared" si="32"/>
        <v>0</v>
      </c>
      <c r="X31" s="27">
        <f t="shared" si="32"/>
        <v>0</v>
      </c>
      <c r="Y31" s="27">
        <f t="shared" si="32"/>
        <v>0</v>
      </c>
      <c r="AC31" s="61"/>
      <c r="AD31" s="60"/>
      <c r="AM31" s="61"/>
    </row>
    <row r="32" spans="2:39" s="27" customFormat="1" ht="15" hidden="1" customHeight="1" x14ac:dyDescent="0.2">
      <c r="B32" s="65"/>
      <c r="C32" s="66"/>
      <c r="D32" s="66"/>
      <c r="E32" s="66"/>
      <c r="F32" s="66"/>
      <c r="G32" s="66"/>
      <c r="H32" s="66"/>
      <c r="I32" s="66"/>
      <c r="J32" s="66"/>
      <c r="K32" s="66"/>
      <c r="L32" s="66"/>
      <c r="M32" s="66"/>
      <c r="N32" s="66"/>
      <c r="O32" s="66"/>
      <c r="P32" s="67"/>
      <c r="Q32" s="60"/>
      <c r="R32" s="27" t="s">
        <v>174</v>
      </c>
      <c r="S32" s="27">
        <f>+S22+S27</f>
        <v>0</v>
      </c>
      <c r="V32" s="27">
        <f t="shared" si="32"/>
        <v>0</v>
      </c>
      <c r="W32" s="27">
        <f t="shared" si="32"/>
        <v>0</v>
      </c>
      <c r="X32" s="27">
        <f t="shared" si="32"/>
        <v>0</v>
      </c>
      <c r="Y32" s="27">
        <f t="shared" si="32"/>
        <v>0</v>
      </c>
      <c r="AC32" s="61"/>
      <c r="AD32" s="60"/>
      <c r="AM32" s="61"/>
    </row>
    <row r="33" spans="1:39" s="27" customFormat="1" ht="15" hidden="1" customHeight="1" x14ac:dyDescent="0.2">
      <c r="B33" s="62" t="s">
        <v>485</v>
      </c>
      <c r="C33" s="63"/>
      <c r="D33" s="63"/>
      <c r="E33" s="63"/>
      <c r="F33" s="63"/>
      <c r="G33" s="63"/>
      <c r="H33" s="63"/>
      <c r="I33" s="63"/>
      <c r="J33" s="63"/>
      <c r="K33" s="63"/>
      <c r="L33" s="63"/>
      <c r="M33" s="63"/>
      <c r="N33" s="63"/>
      <c r="O33" s="63"/>
      <c r="P33" s="64"/>
      <c r="Q33" s="60"/>
      <c r="R33" s="27" t="s">
        <v>786</v>
      </c>
      <c r="S33" s="27">
        <f>+S23+S28</f>
        <v>0</v>
      </c>
      <c r="V33" s="27">
        <f>+V23+V28</f>
        <v>0</v>
      </c>
      <c r="W33" s="27">
        <f>+W23+W28</f>
        <v>0</v>
      </c>
      <c r="X33" s="27">
        <f>+X23+X28</f>
        <v>0</v>
      </c>
      <c r="Y33" s="27">
        <f>+Y23+Y28</f>
        <v>0</v>
      </c>
      <c r="AC33" s="61"/>
      <c r="AD33" s="60"/>
      <c r="AM33" s="61"/>
    </row>
    <row r="34" spans="1:39" s="27" customFormat="1" ht="11.25" hidden="1" x14ac:dyDescent="0.2">
      <c r="A34" s="27" t="s">
        <v>838</v>
      </c>
      <c r="B34" s="60"/>
      <c r="P34" s="61"/>
      <c r="Q34" s="65"/>
      <c r="R34" s="66"/>
      <c r="S34" s="66"/>
      <c r="T34" s="66"/>
      <c r="U34" s="66"/>
      <c r="V34" s="66"/>
      <c r="W34" s="66"/>
      <c r="X34" s="66"/>
      <c r="Y34" s="66"/>
      <c r="Z34" s="66"/>
      <c r="AA34" s="66"/>
      <c r="AB34" s="66"/>
      <c r="AC34" s="67"/>
      <c r="AD34" s="65"/>
      <c r="AE34" s="66"/>
      <c r="AF34" s="66"/>
      <c r="AG34" s="66"/>
      <c r="AH34" s="66"/>
      <c r="AI34" s="66"/>
      <c r="AJ34" s="66"/>
      <c r="AK34" s="66"/>
      <c r="AL34" s="66"/>
      <c r="AM34" s="67"/>
    </row>
    <row r="35" spans="1:39" s="27" customFormat="1" ht="11.25" hidden="1" x14ac:dyDescent="0.2">
      <c r="B35" s="60"/>
      <c r="P35" s="61"/>
    </row>
    <row r="36" spans="1:39" s="27" customFormat="1" ht="11.25" hidden="1" x14ac:dyDescent="0.2">
      <c r="B36" s="60"/>
      <c r="D36" s="27">
        <f>SUM(D38:D42)</f>
        <v>0</v>
      </c>
      <c r="P36" s="61"/>
    </row>
    <row r="37" spans="1:39" s="27" customFormat="1" ht="11.25" hidden="1" x14ac:dyDescent="0.2">
      <c r="B37" s="60" t="str">
        <f>'2'!E34</f>
        <v>Denominación</v>
      </c>
      <c r="D37" s="27" t="str">
        <f>'2'!H34</f>
        <v>Importe</v>
      </c>
      <c r="E37" s="27" t="str">
        <f>'2'!I34</f>
        <v>Coste Anual</v>
      </c>
      <c r="F37" s="27" t="str">
        <f>'2'!J34</f>
        <v>Interés</v>
      </c>
      <c r="G37" s="27" t="s">
        <v>640</v>
      </c>
      <c r="P37" s="61"/>
    </row>
    <row r="38" spans="1:39" s="27" customFormat="1" ht="11.25" hidden="1" x14ac:dyDescent="0.2">
      <c r="A38" s="27">
        <v>1</v>
      </c>
      <c r="B38" s="60">
        <f>'2'!E35</f>
        <v>0</v>
      </c>
      <c r="D38" s="27">
        <f>'2'!H35</f>
        <v>0</v>
      </c>
      <c r="E38" s="27">
        <f>'2'!I35</f>
        <v>0</v>
      </c>
      <c r="F38" s="27">
        <f>'2'!J35</f>
        <v>0</v>
      </c>
      <c r="G38" s="27">
        <f>'2'!K35</f>
        <v>0</v>
      </c>
      <c r="H38" s="27">
        <f>+D38*F38+D38</f>
        <v>0</v>
      </c>
      <c r="P38" s="61"/>
    </row>
    <row r="39" spans="1:39" s="27" customFormat="1" ht="11.25" hidden="1" x14ac:dyDescent="0.2">
      <c r="A39" s="27">
        <v>2</v>
      </c>
      <c r="B39" s="60">
        <f>'2'!E36</f>
        <v>0</v>
      </c>
      <c r="D39" s="27">
        <f>'2'!H36</f>
        <v>0</v>
      </c>
      <c r="E39" s="27">
        <f>'2'!I36</f>
        <v>0</v>
      </c>
      <c r="F39" s="27">
        <f>'2'!J36</f>
        <v>0</v>
      </c>
      <c r="G39" s="27">
        <f>'2'!K36</f>
        <v>0</v>
      </c>
      <c r="H39" s="27">
        <f>+D39*F39+D39</f>
        <v>0</v>
      </c>
      <c r="P39" s="61"/>
    </row>
    <row r="40" spans="1:39" s="27" customFormat="1" ht="11.25" hidden="1" x14ac:dyDescent="0.2">
      <c r="B40" s="60"/>
      <c r="H40" s="27">
        <f>+D40*F40+D40</f>
        <v>0</v>
      </c>
      <c r="P40" s="61"/>
    </row>
    <row r="41" spans="1:39" s="27" customFormat="1" ht="11.25" hidden="1" x14ac:dyDescent="0.2">
      <c r="B41" s="60"/>
      <c r="H41" s="27">
        <f>+D41*F41+D41</f>
        <v>0</v>
      </c>
      <c r="P41" s="61"/>
    </row>
    <row r="42" spans="1:39" s="27" customFormat="1" ht="11.25" hidden="1" x14ac:dyDescent="0.2">
      <c r="B42" s="60"/>
      <c r="H42" s="27">
        <f>+D42*F42+D42</f>
        <v>0</v>
      </c>
      <c r="P42" s="61"/>
    </row>
    <row r="43" spans="1:39" s="27" customFormat="1" ht="11.25" hidden="1" x14ac:dyDescent="0.2">
      <c r="B43" s="60"/>
      <c r="D43" s="27">
        <f>SUM(D38:D42)</f>
        <v>0</v>
      </c>
      <c r="E43" s="27">
        <f>IF(D43=0,0,F43)</f>
        <v>0</v>
      </c>
      <c r="F43" s="27">
        <f>SUM(E38:E42)</f>
        <v>0</v>
      </c>
      <c r="H43" s="27">
        <f>SUM(H38:H42)</f>
        <v>0</v>
      </c>
      <c r="J43" s="27">
        <f>IF(D43=0,0,(H43/D43)-100%)</f>
        <v>0</v>
      </c>
      <c r="K43" s="27" t="s">
        <v>58</v>
      </c>
      <c r="P43" s="61"/>
    </row>
    <row r="44" spans="1:39" s="27" customFormat="1" ht="11.25" hidden="1" x14ac:dyDescent="0.2">
      <c r="B44" s="60"/>
      <c r="P44" s="61"/>
    </row>
    <row r="45" spans="1:39" s="27" customFormat="1" ht="11.25" hidden="1" x14ac:dyDescent="0.2">
      <c r="B45" s="60"/>
      <c r="D45" s="27" t="str">
        <f t="shared" ref="D45:O45" si="33">D4</f>
        <v>Enero</v>
      </c>
      <c r="E45" s="27" t="str">
        <f t="shared" si="33"/>
        <v>Febrero</v>
      </c>
      <c r="F45" s="27" t="str">
        <f t="shared" si="33"/>
        <v>Marzo</v>
      </c>
      <c r="G45" s="27" t="str">
        <f t="shared" si="33"/>
        <v>Abril</v>
      </c>
      <c r="H45" s="27" t="str">
        <f t="shared" si="33"/>
        <v xml:space="preserve">Mayo </v>
      </c>
      <c r="I45" s="27" t="str">
        <f t="shared" si="33"/>
        <v>Junio</v>
      </c>
      <c r="J45" s="27" t="str">
        <f t="shared" si="33"/>
        <v>Julio</v>
      </c>
      <c r="K45" s="27" t="str">
        <f t="shared" si="33"/>
        <v>Agosto</v>
      </c>
      <c r="L45" s="27" t="str">
        <f t="shared" si="33"/>
        <v>Septiembre</v>
      </c>
      <c r="M45" s="27" t="str">
        <f t="shared" si="33"/>
        <v>Octubre</v>
      </c>
      <c r="N45" s="27" t="str">
        <f t="shared" si="33"/>
        <v>Noviembre</v>
      </c>
      <c r="O45" s="27" t="str">
        <f t="shared" si="33"/>
        <v>Diciembre</v>
      </c>
      <c r="P45" s="61"/>
    </row>
    <row r="46" spans="1:39" s="27" customFormat="1" ht="11.25" hidden="1" x14ac:dyDescent="0.2">
      <c r="B46" s="60" t="s">
        <v>640</v>
      </c>
      <c r="C46" s="27">
        <f>'2'!F28</f>
        <v>0</v>
      </c>
      <c r="D46" s="27">
        <f>IF(D45=$G38,$E38,0)</f>
        <v>0</v>
      </c>
      <c r="E46" s="27">
        <f t="shared" ref="E46:O46" si="34">IF(E45=$G38,$E38,0)</f>
        <v>0</v>
      </c>
      <c r="F46" s="27">
        <f t="shared" si="34"/>
        <v>0</v>
      </c>
      <c r="G46" s="27">
        <f t="shared" si="34"/>
        <v>0</v>
      </c>
      <c r="H46" s="27">
        <f t="shared" si="34"/>
        <v>0</v>
      </c>
      <c r="I46" s="27">
        <f t="shared" si="34"/>
        <v>0</v>
      </c>
      <c r="J46" s="27">
        <f t="shared" si="34"/>
        <v>0</v>
      </c>
      <c r="K46" s="27">
        <f t="shared" si="34"/>
        <v>0</v>
      </c>
      <c r="L46" s="27">
        <f t="shared" si="34"/>
        <v>0</v>
      </c>
      <c r="M46" s="27">
        <f t="shared" si="34"/>
        <v>0</v>
      </c>
      <c r="N46" s="27">
        <f t="shared" si="34"/>
        <v>0</v>
      </c>
      <c r="O46" s="27">
        <f t="shared" si="34"/>
        <v>0</v>
      </c>
      <c r="P46" s="61"/>
    </row>
    <row r="47" spans="1:39" s="27" customFormat="1" ht="11.25" hidden="1" x14ac:dyDescent="0.2">
      <c r="B47" s="60"/>
      <c r="C47" s="27">
        <f>'2'!F29</f>
        <v>0</v>
      </c>
      <c r="D47" s="27">
        <f>IF(D45=$G39,$E39,0)</f>
        <v>0</v>
      </c>
      <c r="E47" s="27">
        <f t="shared" ref="E47:O47" si="35">IF(E45=$G39,$E39,0)</f>
        <v>0</v>
      </c>
      <c r="F47" s="27">
        <f t="shared" si="35"/>
        <v>0</v>
      </c>
      <c r="G47" s="27">
        <f t="shared" si="35"/>
        <v>0</v>
      </c>
      <c r="H47" s="27">
        <f t="shared" si="35"/>
        <v>0</v>
      </c>
      <c r="I47" s="27">
        <f t="shared" si="35"/>
        <v>0</v>
      </c>
      <c r="J47" s="27">
        <f t="shared" si="35"/>
        <v>0</v>
      </c>
      <c r="K47" s="27">
        <f t="shared" si="35"/>
        <v>0</v>
      </c>
      <c r="L47" s="27">
        <f t="shared" si="35"/>
        <v>0</v>
      </c>
      <c r="M47" s="27">
        <f t="shared" si="35"/>
        <v>0</v>
      </c>
      <c r="N47" s="27">
        <f t="shared" si="35"/>
        <v>0</v>
      </c>
      <c r="O47" s="27">
        <f t="shared" si="35"/>
        <v>0</v>
      </c>
      <c r="P47" s="61"/>
    </row>
    <row r="48" spans="1:39" s="27" customFormat="1" ht="11.25" hidden="1" x14ac:dyDescent="0.2">
      <c r="B48" s="60"/>
      <c r="C48" s="27" t="s">
        <v>641</v>
      </c>
      <c r="D48" s="27">
        <f>IF(D46=0,0,$D38)</f>
        <v>0</v>
      </c>
      <c r="E48" s="27">
        <f t="shared" ref="E48:O48" si="36">IF(E46=0,0,$D38)</f>
        <v>0</v>
      </c>
      <c r="F48" s="27">
        <f t="shared" si="36"/>
        <v>0</v>
      </c>
      <c r="G48" s="27">
        <f t="shared" si="36"/>
        <v>0</v>
      </c>
      <c r="H48" s="27">
        <f t="shared" si="36"/>
        <v>0</v>
      </c>
      <c r="I48" s="27">
        <f t="shared" si="36"/>
        <v>0</v>
      </c>
      <c r="J48" s="27">
        <f t="shared" si="36"/>
        <v>0</v>
      </c>
      <c r="K48" s="27">
        <f t="shared" si="36"/>
        <v>0</v>
      </c>
      <c r="L48" s="27">
        <f t="shared" si="36"/>
        <v>0</v>
      </c>
      <c r="M48" s="27">
        <f t="shared" si="36"/>
        <v>0</v>
      </c>
      <c r="N48" s="27">
        <f t="shared" si="36"/>
        <v>0</v>
      </c>
      <c r="O48" s="27">
        <f t="shared" si="36"/>
        <v>0</v>
      </c>
      <c r="P48" s="61"/>
    </row>
    <row r="49" spans="1:16" s="27" customFormat="1" ht="11.25" hidden="1" x14ac:dyDescent="0.2">
      <c r="B49" s="60"/>
      <c r="D49" s="27">
        <f>IF(D47=0,0,$D39)</f>
        <v>0</v>
      </c>
      <c r="E49" s="27">
        <f t="shared" ref="E49:O49" si="37">IF(E47=0,0,$D39)</f>
        <v>0</v>
      </c>
      <c r="F49" s="27">
        <f t="shared" si="37"/>
        <v>0</v>
      </c>
      <c r="G49" s="27">
        <f t="shared" si="37"/>
        <v>0</v>
      </c>
      <c r="H49" s="27">
        <f t="shared" si="37"/>
        <v>0</v>
      </c>
      <c r="I49" s="27">
        <f t="shared" si="37"/>
        <v>0</v>
      </c>
      <c r="J49" s="27">
        <f t="shared" si="37"/>
        <v>0</v>
      </c>
      <c r="K49" s="27">
        <f t="shared" si="37"/>
        <v>0</v>
      </c>
      <c r="L49" s="27">
        <f t="shared" si="37"/>
        <v>0</v>
      </c>
      <c r="M49" s="27">
        <f t="shared" si="37"/>
        <v>0</v>
      </c>
      <c r="N49" s="27">
        <f t="shared" si="37"/>
        <v>0</v>
      </c>
      <c r="O49" s="27">
        <f t="shared" si="37"/>
        <v>0</v>
      </c>
      <c r="P49" s="61"/>
    </row>
    <row r="50" spans="1:16" s="27" customFormat="1" ht="11.25" hidden="1" x14ac:dyDescent="0.2">
      <c r="B50" s="60"/>
      <c r="C50" s="27" t="s">
        <v>407</v>
      </c>
      <c r="D50" s="27">
        <f>SUM(D46:D47)</f>
        <v>0</v>
      </c>
      <c r="E50" s="27">
        <f t="shared" ref="E50:O50" si="38">SUM(E46:E47)</f>
        <v>0</v>
      </c>
      <c r="F50" s="27">
        <f t="shared" si="38"/>
        <v>0</v>
      </c>
      <c r="G50" s="27">
        <f t="shared" si="38"/>
        <v>0</v>
      </c>
      <c r="H50" s="27">
        <f t="shared" si="38"/>
        <v>0</v>
      </c>
      <c r="I50" s="27">
        <f t="shared" si="38"/>
        <v>0</v>
      </c>
      <c r="J50" s="27">
        <f t="shared" si="38"/>
        <v>0</v>
      </c>
      <c r="K50" s="27">
        <f t="shared" si="38"/>
        <v>0</v>
      </c>
      <c r="L50" s="27">
        <f t="shared" si="38"/>
        <v>0</v>
      </c>
      <c r="M50" s="27">
        <f t="shared" si="38"/>
        <v>0</v>
      </c>
      <c r="N50" s="27">
        <f t="shared" si="38"/>
        <v>0</v>
      </c>
      <c r="O50" s="27">
        <f t="shared" si="38"/>
        <v>0</v>
      </c>
      <c r="P50" s="61"/>
    </row>
    <row r="51" spans="1:16" s="27" customFormat="1" ht="11.25" hidden="1" x14ac:dyDescent="0.2">
      <c r="B51" s="60"/>
      <c r="C51" s="27" t="s">
        <v>642</v>
      </c>
      <c r="D51" s="27">
        <f>+D49+D48</f>
        <v>0</v>
      </c>
      <c r="E51" s="27">
        <f t="shared" ref="E51:O51" si="39">+E49+E48</f>
        <v>0</v>
      </c>
      <c r="F51" s="27">
        <f t="shared" si="39"/>
        <v>0</v>
      </c>
      <c r="G51" s="27">
        <f t="shared" si="39"/>
        <v>0</v>
      </c>
      <c r="H51" s="27">
        <f t="shared" si="39"/>
        <v>0</v>
      </c>
      <c r="I51" s="27">
        <f t="shared" si="39"/>
        <v>0</v>
      </c>
      <c r="J51" s="27">
        <f t="shared" si="39"/>
        <v>0</v>
      </c>
      <c r="K51" s="27">
        <f t="shared" si="39"/>
        <v>0</v>
      </c>
      <c r="L51" s="27">
        <f t="shared" si="39"/>
        <v>0</v>
      </c>
      <c r="M51" s="27">
        <f t="shared" si="39"/>
        <v>0</v>
      </c>
      <c r="N51" s="27">
        <f t="shared" si="39"/>
        <v>0</v>
      </c>
      <c r="O51" s="27">
        <f t="shared" si="39"/>
        <v>0</v>
      </c>
      <c r="P51" s="61"/>
    </row>
    <row r="52" spans="1:16" s="27" customFormat="1" ht="11.25" hidden="1" x14ac:dyDescent="0.2">
      <c r="B52" s="60"/>
      <c r="C52" s="27" t="s">
        <v>166</v>
      </c>
      <c r="D52" s="27">
        <f>+D48+D49</f>
        <v>0</v>
      </c>
      <c r="E52" s="27">
        <f>+E48+E49+D52</f>
        <v>0</v>
      </c>
      <c r="F52" s="27">
        <f t="shared" ref="F52:O52" si="40">+F48+F49+E52</f>
        <v>0</v>
      </c>
      <c r="G52" s="27">
        <f t="shared" si="40"/>
        <v>0</v>
      </c>
      <c r="H52" s="27">
        <f t="shared" si="40"/>
        <v>0</v>
      </c>
      <c r="I52" s="27">
        <f t="shared" si="40"/>
        <v>0</v>
      </c>
      <c r="J52" s="27">
        <f t="shared" si="40"/>
        <v>0</v>
      </c>
      <c r="K52" s="27">
        <f t="shared" si="40"/>
        <v>0</v>
      </c>
      <c r="L52" s="27">
        <f t="shared" si="40"/>
        <v>0</v>
      </c>
      <c r="M52" s="27">
        <f t="shared" si="40"/>
        <v>0</v>
      </c>
      <c r="N52" s="27">
        <f t="shared" si="40"/>
        <v>0</v>
      </c>
      <c r="O52" s="27">
        <f t="shared" si="40"/>
        <v>0</v>
      </c>
      <c r="P52" s="61"/>
    </row>
    <row r="53" spans="1:16" s="27" customFormat="1" ht="11.25" hidden="1" x14ac:dyDescent="0.2">
      <c r="B53" s="60" t="s">
        <v>405</v>
      </c>
      <c r="P53" s="61"/>
    </row>
    <row r="54" spans="1:16" s="27" customFormat="1" ht="11.25" hidden="1" x14ac:dyDescent="0.2">
      <c r="B54" s="60" t="s">
        <v>981</v>
      </c>
      <c r="C54" s="27" t="s">
        <v>982</v>
      </c>
      <c r="D54" s="27">
        <f>+D51</f>
        <v>0</v>
      </c>
      <c r="E54" s="27">
        <f>+D57+E51</f>
        <v>0</v>
      </c>
      <c r="F54" s="27">
        <f t="shared" ref="F54:O54" si="41">+E57+F51</f>
        <v>0</v>
      </c>
      <c r="G54" s="27">
        <f t="shared" si="41"/>
        <v>0</v>
      </c>
      <c r="H54" s="27">
        <f t="shared" si="41"/>
        <v>0</v>
      </c>
      <c r="I54" s="27">
        <f t="shared" si="41"/>
        <v>0</v>
      </c>
      <c r="J54" s="27">
        <f t="shared" si="41"/>
        <v>0</v>
      </c>
      <c r="K54" s="27">
        <f t="shared" si="41"/>
        <v>0</v>
      </c>
      <c r="L54" s="27">
        <f t="shared" si="41"/>
        <v>0</v>
      </c>
      <c r="M54" s="27">
        <f t="shared" si="41"/>
        <v>0</v>
      </c>
      <c r="N54" s="27">
        <f t="shared" si="41"/>
        <v>0</v>
      </c>
      <c r="O54" s="27">
        <f t="shared" si="41"/>
        <v>0</v>
      </c>
      <c r="P54" s="61"/>
    </row>
    <row r="55" spans="1:16" s="27" customFormat="1" ht="11.25" hidden="1" x14ac:dyDescent="0.2">
      <c r="B55" s="60"/>
      <c r="C55" s="27" t="s">
        <v>402</v>
      </c>
      <c r="D55" s="27">
        <f>'6'!G33</f>
        <v>0</v>
      </c>
      <c r="E55" s="27">
        <f>'6'!H33</f>
        <v>0</v>
      </c>
      <c r="F55" s="27">
        <f>'6'!I33</f>
        <v>0</v>
      </c>
      <c r="G55" s="27">
        <f>'6'!J33</f>
        <v>0</v>
      </c>
      <c r="H55" s="27">
        <f>'6'!K33</f>
        <v>0</v>
      </c>
      <c r="I55" s="27">
        <f>'6'!L33</f>
        <v>0</v>
      </c>
      <c r="J55" s="27">
        <f>'6'!M33</f>
        <v>0</v>
      </c>
      <c r="K55" s="27">
        <f>'6'!N33</f>
        <v>0</v>
      </c>
      <c r="L55" s="27">
        <f>'6'!O33</f>
        <v>0</v>
      </c>
      <c r="M55" s="27">
        <f>'6'!P33</f>
        <v>0</v>
      </c>
      <c r="N55" s="27">
        <f>'6'!Q33</f>
        <v>0</v>
      </c>
      <c r="O55" s="27">
        <f>'6'!R33</f>
        <v>0</v>
      </c>
      <c r="P55" s="61"/>
    </row>
    <row r="56" spans="1:16" s="27" customFormat="1" ht="11.25" hidden="1" x14ac:dyDescent="0.2">
      <c r="B56" s="60"/>
      <c r="C56" s="27" t="s">
        <v>403</v>
      </c>
      <c r="D56" s="27">
        <f>'6'!G35</f>
        <v>0</v>
      </c>
      <c r="E56" s="27">
        <f>'6'!H35</f>
        <v>0</v>
      </c>
      <c r="F56" s="27">
        <f>'6'!I35</f>
        <v>0</v>
      </c>
      <c r="G56" s="27">
        <f>'6'!J35</f>
        <v>0</v>
      </c>
      <c r="H56" s="27">
        <f>'6'!K35</f>
        <v>0</v>
      </c>
      <c r="I56" s="27">
        <f>'6'!L35</f>
        <v>0</v>
      </c>
      <c r="J56" s="27">
        <f>'6'!M35</f>
        <v>0</v>
      </c>
      <c r="K56" s="27">
        <f>'6'!N35</f>
        <v>0</v>
      </c>
      <c r="L56" s="27">
        <f>'6'!O35</f>
        <v>0</v>
      </c>
      <c r="M56" s="27">
        <f>'6'!P35</f>
        <v>0</v>
      </c>
      <c r="N56" s="27">
        <f>'6'!Q35</f>
        <v>0</v>
      </c>
      <c r="O56" s="27">
        <f>'6'!R35</f>
        <v>0</v>
      </c>
      <c r="P56" s="61"/>
    </row>
    <row r="57" spans="1:16" s="27" customFormat="1" ht="11.25" hidden="1" x14ac:dyDescent="0.2">
      <c r="B57" s="60" t="s">
        <v>981</v>
      </c>
      <c r="C57" s="27" t="s">
        <v>404</v>
      </c>
      <c r="D57" s="27">
        <f>+D54-D55+D56</f>
        <v>0</v>
      </c>
      <c r="E57" s="27">
        <f t="shared" ref="E57:O57" si="42">+E54-E55+E56</f>
        <v>0</v>
      </c>
      <c r="F57" s="27">
        <f t="shared" si="42"/>
        <v>0</v>
      </c>
      <c r="G57" s="27">
        <f t="shared" si="42"/>
        <v>0</v>
      </c>
      <c r="H57" s="27">
        <f t="shared" si="42"/>
        <v>0</v>
      </c>
      <c r="I57" s="27">
        <f t="shared" si="42"/>
        <v>0</v>
      </c>
      <c r="J57" s="27">
        <f t="shared" si="42"/>
        <v>0</v>
      </c>
      <c r="K57" s="27">
        <f t="shared" si="42"/>
        <v>0</v>
      </c>
      <c r="L57" s="27">
        <f t="shared" si="42"/>
        <v>0</v>
      </c>
      <c r="M57" s="27">
        <f t="shared" si="42"/>
        <v>0</v>
      </c>
      <c r="N57" s="27">
        <f t="shared" si="42"/>
        <v>0</v>
      </c>
      <c r="O57" s="27">
        <f t="shared" si="42"/>
        <v>0</v>
      </c>
      <c r="P57" s="61"/>
    </row>
    <row r="58" spans="1:16" s="27" customFormat="1" ht="11.25" hidden="1" x14ac:dyDescent="0.2">
      <c r="A58" s="27" t="s">
        <v>1416</v>
      </c>
      <c r="B58" s="60" t="s">
        <v>408</v>
      </c>
      <c r="C58" s="27" t="s">
        <v>406</v>
      </c>
      <c r="D58" s="27">
        <f>+D52-D57</f>
        <v>0</v>
      </c>
      <c r="E58" s="27">
        <f t="shared" ref="E58:O58" si="43">+E52-E57</f>
        <v>0</v>
      </c>
      <c r="F58" s="27">
        <f t="shared" si="43"/>
        <v>0</v>
      </c>
      <c r="G58" s="27">
        <f t="shared" si="43"/>
        <v>0</v>
      </c>
      <c r="H58" s="27">
        <f t="shared" si="43"/>
        <v>0</v>
      </c>
      <c r="I58" s="27">
        <f t="shared" si="43"/>
        <v>0</v>
      </c>
      <c r="J58" s="27">
        <f t="shared" si="43"/>
        <v>0</v>
      </c>
      <c r="K58" s="27">
        <f t="shared" si="43"/>
        <v>0</v>
      </c>
      <c r="L58" s="27">
        <f t="shared" si="43"/>
        <v>0</v>
      </c>
      <c r="M58" s="27">
        <f t="shared" si="43"/>
        <v>0</v>
      </c>
      <c r="N58" s="27">
        <f t="shared" si="43"/>
        <v>0</v>
      </c>
      <c r="O58" s="27">
        <f t="shared" si="43"/>
        <v>0</v>
      </c>
      <c r="P58" s="61"/>
    </row>
    <row r="59" spans="1:16" s="27" customFormat="1" ht="11.25" hidden="1" x14ac:dyDescent="0.2">
      <c r="B59" s="60" t="s">
        <v>228</v>
      </c>
      <c r="C59" s="27" t="s">
        <v>407</v>
      </c>
      <c r="D59" s="27">
        <f t="shared" ref="D59:O59" si="44">+(D58*$J$43)/12</f>
        <v>0</v>
      </c>
      <c r="E59" s="27">
        <f t="shared" si="44"/>
        <v>0</v>
      </c>
      <c r="F59" s="27">
        <f t="shared" si="44"/>
        <v>0</v>
      </c>
      <c r="G59" s="27">
        <f t="shared" si="44"/>
        <v>0</v>
      </c>
      <c r="H59" s="27">
        <f t="shared" si="44"/>
        <v>0</v>
      </c>
      <c r="I59" s="27">
        <f t="shared" si="44"/>
        <v>0</v>
      </c>
      <c r="J59" s="27">
        <f t="shared" si="44"/>
        <v>0</v>
      </c>
      <c r="K59" s="27">
        <f t="shared" si="44"/>
        <v>0</v>
      </c>
      <c r="L59" s="27">
        <f t="shared" si="44"/>
        <v>0</v>
      </c>
      <c r="M59" s="27">
        <f t="shared" si="44"/>
        <v>0</v>
      </c>
      <c r="N59" s="27">
        <f t="shared" si="44"/>
        <v>0</v>
      </c>
      <c r="O59" s="27">
        <f t="shared" si="44"/>
        <v>0</v>
      </c>
      <c r="P59" s="61"/>
    </row>
    <row r="60" spans="1:16" s="27" customFormat="1" ht="11.25" hidden="1" x14ac:dyDescent="0.2">
      <c r="B60" s="60"/>
      <c r="P60" s="61"/>
    </row>
    <row r="61" spans="1:16" s="27" customFormat="1" ht="11.25" hidden="1" x14ac:dyDescent="0.2">
      <c r="B61" s="65"/>
      <c r="C61" s="66"/>
      <c r="D61" s="66"/>
      <c r="E61" s="66"/>
      <c r="F61" s="66"/>
      <c r="G61" s="66"/>
      <c r="H61" s="66"/>
      <c r="I61" s="66"/>
      <c r="J61" s="66"/>
      <c r="K61" s="66"/>
      <c r="L61" s="66"/>
      <c r="M61" s="66"/>
      <c r="N61" s="66"/>
      <c r="O61" s="66"/>
      <c r="P61" s="67"/>
    </row>
    <row r="62" spans="1:16" s="27" customFormat="1" ht="11.25" hidden="1" x14ac:dyDescent="0.2">
      <c r="B62" s="62" t="s">
        <v>1107</v>
      </c>
      <c r="C62" s="63"/>
      <c r="D62" s="63"/>
      <c r="E62" s="63"/>
      <c r="F62" s="63"/>
      <c r="G62" s="63"/>
      <c r="H62" s="63"/>
      <c r="I62" s="63"/>
      <c r="J62" s="63"/>
      <c r="K62" s="63"/>
      <c r="L62" s="63"/>
      <c r="M62" s="63"/>
      <c r="N62" s="63"/>
      <c r="O62" s="63"/>
      <c r="P62" s="64"/>
    </row>
    <row r="63" spans="1:16" s="27" customFormat="1" ht="11.25" hidden="1" x14ac:dyDescent="0.2">
      <c r="B63" s="60"/>
      <c r="D63" s="27" t="s">
        <v>1108</v>
      </c>
      <c r="E63" s="27" t="s">
        <v>1109</v>
      </c>
      <c r="F63" s="27" t="s">
        <v>1110</v>
      </c>
      <c r="G63" s="27" t="s">
        <v>1111</v>
      </c>
      <c r="P63" s="61"/>
    </row>
    <row r="64" spans="1:16" s="27" customFormat="1" ht="11.25" hidden="1" x14ac:dyDescent="0.2">
      <c r="B64" s="60" t="str">
        <f>SANDBOX!$D$228</f>
        <v>Línea de crédito</v>
      </c>
      <c r="C64" s="27">
        <f>SANDBOX!$I$228</f>
        <v>0</v>
      </c>
      <c r="D64" s="27">
        <f>SANDBOX!$F$228</f>
        <v>0</v>
      </c>
      <c r="E64" s="27">
        <f>SANDBOX!$G$228</f>
        <v>0</v>
      </c>
      <c r="F64" s="27">
        <f>SANDBOX!$H$228</f>
        <v>0</v>
      </c>
      <c r="G64" s="27">
        <f>SANDBOX!$J$228</f>
        <v>0</v>
      </c>
      <c r="P64" s="61"/>
    </row>
    <row r="65" spans="1:46" s="27" customFormat="1" ht="11.25" hidden="1" x14ac:dyDescent="0.2">
      <c r="B65" s="60"/>
      <c r="D65" s="27" t="str">
        <f t="shared" ref="D65:O65" si="45">D45</f>
        <v>Enero</v>
      </c>
      <c r="E65" s="27" t="str">
        <f t="shared" si="45"/>
        <v>Febrero</v>
      </c>
      <c r="F65" s="27" t="str">
        <f t="shared" si="45"/>
        <v>Marzo</v>
      </c>
      <c r="G65" s="27" t="str">
        <f t="shared" si="45"/>
        <v>Abril</v>
      </c>
      <c r="H65" s="27" t="str">
        <f t="shared" si="45"/>
        <v xml:space="preserve">Mayo </v>
      </c>
      <c r="I65" s="27" t="str">
        <f t="shared" si="45"/>
        <v>Junio</v>
      </c>
      <c r="J65" s="27" t="str">
        <f t="shared" si="45"/>
        <v>Julio</v>
      </c>
      <c r="K65" s="27" t="str">
        <f t="shared" si="45"/>
        <v>Agosto</v>
      </c>
      <c r="L65" s="27" t="str">
        <f t="shared" si="45"/>
        <v>Septiembre</v>
      </c>
      <c r="M65" s="27" t="str">
        <f t="shared" si="45"/>
        <v>Octubre</v>
      </c>
      <c r="N65" s="27" t="str">
        <f t="shared" si="45"/>
        <v>Noviembre</v>
      </c>
      <c r="O65" s="27" t="str">
        <f t="shared" si="45"/>
        <v>Diciembre</v>
      </c>
      <c r="P65" s="61"/>
    </row>
    <row r="66" spans="1:46" s="27" customFormat="1" ht="11.25" hidden="1" x14ac:dyDescent="0.2">
      <c r="B66" s="60">
        <f>SUM(D66:O66)</f>
        <v>0</v>
      </c>
      <c r="C66" s="27" t="s">
        <v>1112</v>
      </c>
      <c r="D66" s="27">
        <f>CTesorería!E39</f>
        <v>0</v>
      </c>
      <c r="E66" s="27">
        <f>CTesorería!F39</f>
        <v>0</v>
      </c>
      <c r="F66" s="27">
        <f>CTesorería!G39</f>
        <v>0</v>
      </c>
      <c r="G66" s="27">
        <f>CTesorería!H39</f>
        <v>0</v>
      </c>
      <c r="H66" s="27">
        <f>CTesorería!I39</f>
        <v>0</v>
      </c>
      <c r="I66" s="27">
        <f>CTesorería!J39</f>
        <v>0</v>
      </c>
      <c r="J66" s="27">
        <f>CTesorería!K39</f>
        <v>0</v>
      </c>
      <c r="K66" s="27">
        <f>CTesorería!L39</f>
        <v>0</v>
      </c>
      <c r="L66" s="27">
        <f>CTesorería!M39</f>
        <v>0</v>
      </c>
      <c r="M66" s="27">
        <f>CTesorería!N39</f>
        <v>0</v>
      </c>
      <c r="N66" s="27">
        <f>CTesorería!O39</f>
        <v>0</v>
      </c>
      <c r="O66" s="27">
        <f>CTesorería!P39</f>
        <v>0</v>
      </c>
      <c r="P66" s="61"/>
    </row>
    <row r="67" spans="1:46" s="27" customFormat="1" ht="11.25" hidden="1" x14ac:dyDescent="0.2">
      <c r="B67" s="60">
        <f>SUM(D67:O67)</f>
        <v>0</v>
      </c>
      <c r="C67" s="27" t="s">
        <v>234</v>
      </c>
      <c r="D67" s="27">
        <f>+(D66*$F$64)/12</f>
        <v>0</v>
      </c>
      <c r="E67" s="27">
        <f t="shared" ref="E67:O67" si="46">+(E66*$F$64)/12</f>
        <v>0</v>
      </c>
      <c r="F67" s="27">
        <f t="shared" si="46"/>
        <v>0</v>
      </c>
      <c r="G67" s="27">
        <f t="shared" si="46"/>
        <v>0</v>
      </c>
      <c r="H67" s="27">
        <f t="shared" si="46"/>
        <v>0</v>
      </c>
      <c r="I67" s="27">
        <f t="shared" si="46"/>
        <v>0</v>
      </c>
      <c r="J67" s="27">
        <f t="shared" si="46"/>
        <v>0</v>
      </c>
      <c r="K67" s="27">
        <f t="shared" si="46"/>
        <v>0</v>
      </c>
      <c r="L67" s="27">
        <f t="shared" si="46"/>
        <v>0</v>
      </c>
      <c r="M67" s="27">
        <f t="shared" si="46"/>
        <v>0</v>
      </c>
      <c r="N67" s="27">
        <f t="shared" si="46"/>
        <v>0</v>
      </c>
      <c r="O67" s="27">
        <f t="shared" si="46"/>
        <v>0</v>
      </c>
      <c r="P67" s="61"/>
    </row>
    <row r="68" spans="1:46" s="27" customFormat="1" ht="11.25" hidden="1" x14ac:dyDescent="0.2">
      <c r="B68" s="60"/>
      <c r="C68" s="27" t="s">
        <v>1113</v>
      </c>
      <c r="D68" s="27">
        <f>CTesorería!E232</f>
        <v>0</v>
      </c>
      <c r="E68" s="27">
        <f>CTesorería!F232</f>
        <v>0</v>
      </c>
      <c r="F68" s="27">
        <f>CTesorería!G232</f>
        <v>0</v>
      </c>
      <c r="G68" s="27">
        <f>CTesorería!H232</f>
        <v>0</v>
      </c>
      <c r="H68" s="27">
        <f>CTesorería!I232</f>
        <v>0</v>
      </c>
      <c r="I68" s="27">
        <f>CTesorería!J232</f>
        <v>0</v>
      </c>
      <c r="J68" s="27">
        <f>CTesorería!K232</f>
        <v>0</v>
      </c>
      <c r="K68" s="27">
        <f>CTesorería!L232</f>
        <v>0</v>
      </c>
      <c r="L68" s="27">
        <f>CTesorería!M232</f>
        <v>0</v>
      </c>
      <c r="M68" s="27">
        <f>CTesorería!N232</f>
        <v>0</v>
      </c>
      <c r="N68" s="27">
        <f>CTesorería!O232</f>
        <v>0</v>
      </c>
      <c r="O68" s="27">
        <f>CTesorería!P232</f>
        <v>0</v>
      </c>
      <c r="P68" s="61"/>
    </row>
    <row r="69" spans="1:46" s="27" customFormat="1" ht="11.25" hidden="1" x14ac:dyDescent="0.2">
      <c r="B69" s="60">
        <f>SUM(D69:O69)</f>
        <v>0</v>
      </c>
      <c r="C69" s="27" t="s">
        <v>1114</v>
      </c>
      <c r="D69" s="27">
        <f>+D68*$G$64</f>
        <v>0</v>
      </c>
      <c r="E69" s="27">
        <f t="shared" ref="E69:O69" si="47">+E68*$G$64</f>
        <v>0</v>
      </c>
      <c r="F69" s="27">
        <f t="shared" si="47"/>
        <v>0</v>
      </c>
      <c r="G69" s="27">
        <f t="shared" si="47"/>
        <v>0</v>
      </c>
      <c r="H69" s="27">
        <f t="shared" si="47"/>
        <v>0</v>
      </c>
      <c r="I69" s="27">
        <f t="shared" si="47"/>
        <v>0</v>
      </c>
      <c r="J69" s="27">
        <f t="shared" si="47"/>
        <v>0</v>
      </c>
      <c r="K69" s="27">
        <f t="shared" si="47"/>
        <v>0</v>
      </c>
      <c r="L69" s="27">
        <f t="shared" si="47"/>
        <v>0</v>
      </c>
      <c r="M69" s="27">
        <f t="shared" si="47"/>
        <v>0</v>
      </c>
      <c r="N69" s="27">
        <f t="shared" si="47"/>
        <v>0</v>
      </c>
      <c r="O69" s="27">
        <f t="shared" si="47"/>
        <v>0</v>
      </c>
      <c r="P69" s="61"/>
    </row>
    <row r="70" spans="1:46" s="27" customFormat="1" ht="11.25" hidden="1" x14ac:dyDescent="0.2">
      <c r="B70" s="60">
        <f>SUM(D70:O70)</f>
        <v>0</v>
      </c>
      <c r="C70" s="27" t="s">
        <v>261</v>
      </c>
      <c r="D70" s="27">
        <f>IF($D$64=0,0,IF(D65=$C$64,$E$64,0))</f>
        <v>0</v>
      </c>
      <c r="E70" s="27">
        <f t="shared" ref="E70:O70" si="48">IF($D$64=0,0,IF(E65=$C$64,$E$64,0))</f>
        <v>0</v>
      </c>
      <c r="F70" s="27">
        <f t="shared" si="48"/>
        <v>0</v>
      </c>
      <c r="G70" s="27">
        <f t="shared" si="48"/>
        <v>0</v>
      </c>
      <c r="H70" s="27">
        <f t="shared" si="48"/>
        <v>0</v>
      </c>
      <c r="I70" s="27">
        <f t="shared" si="48"/>
        <v>0</v>
      </c>
      <c r="J70" s="27">
        <f t="shared" si="48"/>
        <v>0</v>
      </c>
      <c r="K70" s="27">
        <f t="shared" si="48"/>
        <v>0</v>
      </c>
      <c r="L70" s="27">
        <f t="shared" si="48"/>
        <v>0</v>
      </c>
      <c r="M70" s="27">
        <f t="shared" si="48"/>
        <v>0</v>
      </c>
      <c r="N70" s="27">
        <f t="shared" si="48"/>
        <v>0</v>
      </c>
      <c r="O70" s="27">
        <f t="shared" si="48"/>
        <v>0</v>
      </c>
      <c r="P70" s="61"/>
    </row>
    <row r="71" spans="1:46" s="27" customFormat="1" ht="11.25" hidden="1" x14ac:dyDescent="0.2">
      <c r="B71" s="60"/>
      <c r="C71" s="27" t="s">
        <v>1115</v>
      </c>
      <c r="P71" s="61"/>
    </row>
    <row r="72" spans="1:46" s="27" customFormat="1" ht="11.25" hidden="1" x14ac:dyDescent="0.2">
      <c r="B72" s="65"/>
      <c r="C72" s="66"/>
      <c r="D72" s="66"/>
      <c r="E72" s="66"/>
      <c r="F72" s="66"/>
      <c r="G72" s="66"/>
      <c r="H72" s="66"/>
      <c r="I72" s="66"/>
      <c r="J72" s="66"/>
      <c r="K72" s="66"/>
      <c r="L72" s="66"/>
      <c r="M72" s="66"/>
      <c r="N72" s="66"/>
      <c r="O72" s="66"/>
      <c r="P72" s="67"/>
    </row>
    <row r="73" spans="1:46" s="27" customFormat="1" ht="11.25" hidden="1" x14ac:dyDescent="0.2"/>
    <row r="74" spans="1:46" s="27" customFormat="1" ht="11.25" hidden="1" x14ac:dyDescent="0.2">
      <c r="B74" s="27" t="s">
        <v>386</v>
      </c>
    </row>
    <row r="75" spans="1:46" s="27" customFormat="1" ht="11.25" hidden="1" x14ac:dyDescent="0.2">
      <c r="B75" s="27" t="s">
        <v>1310</v>
      </c>
    </row>
    <row r="76" spans="1:46" s="27" customFormat="1" ht="11.25" hidden="1" x14ac:dyDescent="0.2">
      <c r="A76" s="27" t="s">
        <v>387</v>
      </c>
      <c r="B76" s="62" t="s">
        <v>390</v>
      </c>
      <c r="C76" s="63"/>
      <c r="D76" s="63"/>
      <c r="E76" s="63"/>
      <c r="F76" s="63"/>
      <c r="G76" s="63"/>
      <c r="H76" s="63"/>
      <c r="I76" s="63"/>
      <c r="J76" s="63"/>
      <c r="K76" s="63"/>
      <c r="L76" s="63"/>
      <c r="M76" s="63"/>
      <c r="N76" s="63"/>
      <c r="O76" s="63"/>
      <c r="P76" s="63"/>
      <c r="Q76" s="62">
        <v>1</v>
      </c>
      <c r="R76" s="63"/>
      <c r="S76" s="63">
        <f>+Q76+1</f>
        <v>2</v>
      </c>
      <c r="T76" s="63"/>
      <c r="U76" s="63">
        <f>+S76+1</f>
        <v>3</v>
      </c>
      <c r="V76" s="63"/>
      <c r="W76" s="63">
        <f>+U76+1</f>
        <v>4</v>
      </c>
      <c r="X76" s="63"/>
      <c r="Y76" s="63">
        <f>+W76+1</f>
        <v>5</v>
      </c>
      <c r="Z76" s="63"/>
      <c r="AA76" s="63"/>
      <c r="AB76" s="63"/>
      <c r="AC76" s="63"/>
      <c r="AD76" s="63"/>
      <c r="AE76" s="63"/>
      <c r="AF76" s="63"/>
      <c r="AG76" s="64"/>
      <c r="AH76" s="63"/>
      <c r="AI76" s="63" t="str">
        <f>SB!B6</f>
        <v>Enero</v>
      </c>
      <c r="AJ76" s="63" t="str">
        <f>SB!C6</f>
        <v>Febrero</v>
      </c>
      <c r="AK76" s="63" t="str">
        <f>SB!D6</f>
        <v>Marzo</v>
      </c>
      <c r="AL76" s="63" t="str">
        <f>SB!E6</f>
        <v>Abril</v>
      </c>
      <c r="AM76" s="63" t="str">
        <f>SB!F6</f>
        <v xml:space="preserve">Mayo </v>
      </c>
      <c r="AN76" s="63" t="str">
        <f>SB!G6</f>
        <v>Junio</v>
      </c>
      <c r="AO76" s="63" t="str">
        <f>SB!H6</f>
        <v>Julio</v>
      </c>
      <c r="AP76" s="63" t="str">
        <f>SB!I6</f>
        <v>Agosto</v>
      </c>
      <c r="AQ76" s="63" t="str">
        <f>SB!J6</f>
        <v>Septiembre</v>
      </c>
      <c r="AR76" s="63" t="str">
        <f>SB!K6</f>
        <v>Octubre</v>
      </c>
      <c r="AS76" s="63" t="str">
        <f>SB!L6</f>
        <v>Noviembre</v>
      </c>
      <c r="AT76" s="64" t="str">
        <f>SB!M6</f>
        <v>Diciembre</v>
      </c>
    </row>
    <row r="77" spans="1:46" s="27" customFormat="1" ht="11.25" hidden="1" x14ac:dyDescent="0.2">
      <c r="B77" s="60" t="s">
        <v>1404</v>
      </c>
      <c r="C77" s="27" t="str">
        <f>'2'!H21</f>
        <v>Importe</v>
      </c>
      <c r="D77" s="27" t="str">
        <f>'2'!I21</f>
        <v>Años</v>
      </c>
      <c r="E77" s="27" t="str">
        <f>'2'!J21</f>
        <v>Interés</v>
      </c>
      <c r="F77" s="27" t="str">
        <f>'2'!K21</f>
        <v>Pago cuota</v>
      </c>
      <c r="G77" s="27" t="str">
        <f>'2'!L21</f>
        <v>Gastos In.</v>
      </c>
      <c r="H77" s="27" t="s">
        <v>1406</v>
      </c>
      <c r="I77" s="27" t="s">
        <v>1405</v>
      </c>
      <c r="J77" s="27" t="s">
        <v>1410</v>
      </c>
      <c r="K77" s="27" t="s">
        <v>1413</v>
      </c>
      <c r="L77" s="27" t="s">
        <v>1412</v>
      </c>
      <c r="M77" s="27" t="s">
        <v>1414</v>
      </c>
      <c r="N77" s="27" t="s">
        <v>1558</v>
      </c>
      <c r="Q77" s="60" t="s">
        <v>550</v>
      </c>
      <c r="R77" s="27" t="s">
        <v>551</v>
      </c>
      <c r="S77" s="27" t="s">
        <v>550</v>
      </c>
      <c r="T77" s="27" t="s">
        <v>551</v>
      </c>
      <c r="U77" s="27" t="s">
        <v>550</v>
      </c>
      <c r="V77" s="27" t="s">
        <v>551</v>
      </c>
      <c r="W77" s="27" t="s">
        <v>550</v>
      </c>
      <c r="X77" s="27" t="s">
        <v>551</v>
      </c>
      <c r="Y77" s="27" t="s">
        <v>550</v>
      </c>
      <c r="Z77" s="27" t="s">
        <v>551</v>
      </c>
      <c r="AG77" s="61"/>
      <c r="AI77" s="27">
        <v>1</v>
      </c>
      <c r="AJ77" s="27">
        <v>2</v>
      </c>
      <c r="AK77" s="27">
        <v>3</v>
      </c>
      <c r="AL77" s="27">
        <v>4</v>
      </c>
      <c r="AM77" s="27">
        <v>5</v>
      </c>
      <c r="AN77" s="27">
        <v>6</v>
      </c>
      <c r="AO77" s="27">
        <v>7</v>
      </c>
      <c r="AP77" s="27">
        <v>8</v>
      </c>
      <c r="AQ77" s="27">
        <v>9</v>
      </c>
      <c r="AR77" s="27">
        <v>10</v>
      </c>
      <c r="AS77" s="27">
        <v>11</v>
      </c>
      <c r="AT77" s="61">
        <v>12</v>
      </c>
    </row>
    <row r="78" spans="1:46" s="27" customFormat="1" ht="11.25" hidden="1" x14ac:dyDescent="0.2">
      <c r="B78" s="60">
        <f>'2'!$E$28</f>
        <v>0</v>
      </c>
      <c r="C78" s="27">
        <f>'2'!H28</f>
        <v>0</v>
      </c>
      <c r="D78" s="27">
        <f>'2'!I28</f>
        <v>0</v>
      </c>
      <c r="E78" s="27">
        <f>'2'!J28</f>
        <v>0</v>
      </c>
      <c r="F78" s="27">
        <f>'2'!K28</f>
        <v>0</v>
      </c>
      <c r="G78" s="27">
        <f>'2'!L28</f>
        <v>0</v>
      </c>
      <c r="H78" s="27" t="str">
        <f>IF(H79=0,D!$Q$6,H79)</f>
        <v>Enero</v>
      </c>
      <c r="I78" s="27" t="str">
        <f>IF(I79=0,SB!$H$175,I79)</f>
        <v>NO</v>
      </c>
      <c r="J78" s="27">
        <f>SUMIF($AA$21:$AA$23,I78,$AB$21:$AB$23)</f>
        <v>0</v>
      </c>
      <c r="K78" s="27">
        <f>IF(C78=0,0,D78*12)</f>
        <v>0</v>
      </c>
      <c r="L78" s="27">
        <f>IF(C78=0,0,IF(J78=0,K78,K78-J78))</f>
        <v>0</v>
      </c>
      <c r="M78" s="27">
        <f>IF(J78=0,D78,D78-(J78/12))</f>
        <v>0</v>
      </c>
      <c r="N78" s="27">
        <f>IF(O79&gt;13,13,O79)</f>
        <v>13</v>
      </c>
      <c r="O78" s="27">
        <f>SUMIF($AI$76:$AT$76,H78,$AI$77:$AT$77)</f>
        <v>1</v>
      </c>
      <c r="P78" s="27" t="str">
        <f>SB!$P$122</f>
        <v>cada MES</v>
      </c>
      <c r="Q78" s="60">
        <f>IF(N78&gt;12,0,E88)</f>
        <v>0</v>
      </c>
      <c r="R78" s="27">
        <f>IF(N78&gt;12,0,H88)</f>
        <v>0</v>
      </c>
      <c r="S78" s="27">
        <f>+E89</f>
        <v>0</v>
      </c>
      <c r="T78" s="27">
        <f>+H89</f>
        <v>0</v>
      </c>
      <c r="U78" s="27">
        <f>+E90</f>
        <v>0</v>
      </c>
      <c r="V78" s="27">
        <f>+H90</f>
        <v>0</v>
      </c>
      <c r="W78" s="27">
        <f>+E91</f>
        <v>0</v>
      </c>
      <c r="X78" s="27">
        <f>+H91</f>
        <v>0</v>
      </c>
      <c r="Y78" s="27">
        <f>+E92</f>
        <v>0</v>
      </c>
      <c r="Z78" s="27">
        <f>+H92</f>
        <v>0</v>
      </c>
      <c r="AD78" s="27" t="s">
        <v>547</v>
      </c>
      <c r="AG78" s="61"/>
      <c r="AI78" s="27">
        <f t="shared" ref="AI78:AT78" si="49">IF($N78=AI77,"INI",0)</f>
        <v>0</v>
      </c>
      <c r="AJ78" s="27">
        <f t="shared" si="49"/>
        <v>0</v>
      </c>
      <c r="AK78" s="27">
        <f t="shared" si="49"/>
        <v>0</v>
      </c>
      <c r="AL78" s="27">
        <f t="shared" si="49"/>
        <v>0</v>
      </c>
      <c r="AM78" s="27">
        <f t="shared" si="49"/>
        <v>0</v>
      </c>
      <c r="AN78" s="27">
        <f t="shared" si="49"/>
        <v>0</v>
      </c>
      <c r="AO78" s="27">
        <f t="shared" si="49"/>
        <v>0</v>
      </c>
      <c r="AP78" s="27">
        <f t="shared" si="49"/>
        <v>0</v>
      </c>
      <c r="AQ78" s="27">
        <f t="shared" si="49"/>
        <v>0</v>
      </c>
      <c r="AR78" s="27">
        <f t="shared" si="49"/>
        <v>0</v>
      </c>
      <c r="AS78" s="27">
        <f t="shared" si="49"/>
        <v>0</v>
      </c>
      <c r="AT78" s="61">
        <f t="shared" si="49"/>
        <v>0</v>
      </c>
    </row>
    <row r="79" spans="1:46" s="27" customFormat="1" ht="11.25" hidden="1" x14ac:dyDescent="0.2">
      <c r="A79" s="27" t="s">
        <v>5</v>
      </c>
      <c r="B79" s="60"/>
      <c r="H79" s="27">
        <f>'2'!$M$28</f>
        <v>0</v>
      </c>
      <c r="I79" s="27">
        <f>'2'!$N$28</f>
        <v>0</v>
      </c>
      <c r="J79" s="27">
        <f>IF(J78&gt;0,C78*E78,0)</f>
        <v>0</v>
      </c>
      <c r="O79" s="27" t="b">
        <f>IF(F78=P78,O78,IF(F78=P79,O78+1,IF(F78=P80,O78+2,IF(F78=P81,O78+5,IF(F78=P82,O78+11)))))</f>
        <v>0</v>
      </c>
      <c r="P79" s="27" t="str">
        <f>SB!$P$123</f>
        <v>BIMENSUAL</v>
      </c>
      <c r="Q79" s="60">
        <f>IF(N78&gt;12,0,K88)</f>
        <v>0</v>
      </c>
      <c r="R79" s="27">
        <f>IF(N78&gt;12,0,N88)</f>
        <v>0</v>
      </c>
      <c r="S79" s="27">
        <f>+K89</f>
        <v>0</v>
      </c>
      <c r="T79" s="27">
        <f>+N89</f>
        <v>0</v>
      </c>
      <c r="U79" s="27">
        <f>+K90</f>
        <v>0</v>
      </c>
      <c r="V79" s="27">
        <f>+N90</f>
        <v>0</v>
      </c>
      <c r="W79" s="27">
        <f>+K91</f>
        <v>0</v>
      </c>
      <c r="X79" s="27">
        <f>+N91</f>
        <v>0</v>
      </c>
      <c r="Y79" s="27">
        <f>+K92</f>
        <v>0</v>
      </c>
      <c r="Z79" s="27">
        <f>+N92</f>
        <v>0</v>
      </c>
      <c r="AC79" s="27" t="str">
        <f>IF(K78=L78,"OK","¿error?")</f>
        <v>OK</v>
      </c>
      <c r="AD79" s="27">
        <f>IF(D88=0,0,E88/D88)</f>
        <v>0</v>
      </c>
      <c r="AE79" s="27">
        <f>+E88+H88</f>
        <v>0</v>
      </c>
      <c r="AF79" s="27">
        <f>SUM(AI79:AT79)</f>
        <v>0</v>
      </c>
      <c r="AG79" s="61">
        <f>+D110</f>
        <v>0</v>
      </c>
      <c r="AH79" s="27" t="str">
        <f>SB!$P$122</f>
        <v>cada MES</v>
      </c>
      <c r="AI79" s="27">
        <f>IF(AI78=$O$87,$AG79,0)</f>
        <v>0</v>
      </c>
      <c r="AJ79" s="27">
        <f t="shared" ref="AJ79:AT79" si="50">IF(AJ78=$O$87,$AG79,0)+AI79</f>
        <v>0</v>
      </c>
      <c r="AK79" s="27">
        <f t="shared" si="50"/>
        <v>0</v>
      </c>
      <c r="AL79" s="27">
        <f t="shared" si="50"/>
        <v>0</v>
      </c>
      <c r="AM79" s="27">
        <f t="shared" si="50"/>
        <v>0</v>
      </c>
      <c r="AN79" s="27">
        <f t="shared" si="50"/>
        <v>0</v>
      </c>
      <c r="AO79" s="27">
        <f t="shared" si="50"/>
        <v>0</v>
      </c>
      <c r="AP79" s="27">
        <f t="shared" si="50"/>
        <v>0</v>
      </c>
      <c r="AQ79" s="27">
        <f t="shared" si="50"/>
        <v>0</v>
      </c>
      <c r="AR79" s="27">
        <f t="shared" si="50"/>
        <v>0</v>
      </c>
      <c r="AS79" s="27">
        <f t="shared" si="50"/>
        <v>0</v>
      </c>
      <c r="AT79" s="61">
        <f t="shared" si="50"/>
        <v>0</v>
      </c>
    </row>
    <row r="80" spans="1:46" s="27" customFormat="1" ht="11.25" hidden="1" x14ac:dyDescent="0.2">
      <c r="B80" s="60"/>
      <c r="J80" s="27">
        <f>IF(J78=24,C78*E78,0)</f>
        <v>0</v>
      </c>
      <c r="P80" s="27" t="str">
        <f>SB!$P$124</f>
        <v>TRIMESTRAL</v>
      </c>
      <c r="Q80" s="60">
        <f>IF(N78&gt;12,0,Q88)</f>
        <v>0</v>
      </c>
      <c r="R80" s="27">
        <f>IF(N78&gt;12,0,T88)</f>
        <v>0</v>
      </c>
      <c r="S80" s="27">
        <f>+Q89</f>
        <v>0</v>
      </c>
      <c r="T80" s="27">
        <f>+T89</f>
        <v>0</v>
      </c>
      <c r="U80" s="27">
        <f>+Q90</f>
        <v>0</v>
      </c>
      <c r="V80" s="27">
        <f>+T90</f>
        <v>0</v>
      </c>
      <c r="W80" s="27">
        <f>+Q91</f>
        <v>0</v>
      </c>
      <c r="X80" s="27">
        <f>+T91</f>
        <v>0</v>
      </c>
      <c r="Y80" s="27">
        <f>+Q92</f>
        <v>0</v>
      </c>
      <c r="Z80" s="27">
        <f>+T92</f>
        <v>0</v>
      </c>
      <c r="AC80" s="27" t="str">
        <f>IF(AE79=AF79,"OK","¿error?")</f>
        <v>OK</v>
      </c>
      <c r="AD80" s="27">
        <f>IF(J88=0,0,K88/J88)</f>
        <v>0</v>
      </c>
      <c r="AE80" s="27">
        <f>+K88+N88</f>
        <v>0</v>
      </c>
      <c r="AF80" s="27">
        <f>SUM(AI80:AT80)</f>
        <v>0</v>
      </c>
      <c r="AG80" s="61">
        <f>+J110</f>
        <v>0</v>
      </c>
      <c r="AH80" s="27" t="str">
        <f>SB!$P$123</f>
        <v>BIMENSUAL</v>
      </c>
      <c r="AI80" s="27">
        <f>IF(AI78=$O$87,$AG80,0)</f>
        <v>0</v>
      </c>
      <c r="AJ80" s="27">
        <f>IF(AJ78=$O$87,$AG80,0)</f>
        <v>0</v>
      </c>
      <c r="AK80" s="27">
        <f t="shared" ref="AK80:AT80" si="51">IF(AK78=$O$87,$AG80,0)+AI80</f>
        <v>0</v>
      </c>
      <c r="AL80" s="27">
        <f t="shared" si="51"/>
        <v>0</v>
      </c>
      <c r="AM80" s="27">
        <f t="shared" si="51"/>
        <v>0</v>
      </c>
      <c r="AN80" s="27">
        <f t="shared" si="51"/>
        <v>0</v>
      </c>
      <c r="AO80" s="27">
        <f t="shared" si="51"/>
        <v>0</v>
      </c>
      <c r="AP80" s="27">
        <f t="shared" si="51"/>
        <v>0</v>
      </c>
      <c r="AQ80" s="27">
        <f t="shared" si="51"/>
        <v>0</v>
      </c>
      <c r="AR80" s="27">
        <f t="shared" si="51"/>
        <v>0</v>
      </c>
      <c r="AS80" s="27">
        <f t="shared" si="51"/>
        <v>0</v>
      </c>
      <c r="AT80" s="61">
        <f t="shared" si="51"/>
        <v>0</v>
      </c>
    </row>
    <row r="81" spans="2:46" s="27" customFormat="1" ht="11.25" hidden="1" x14ac:dyDescent="0.2">
      <c r="B81" s="60"/>
      <c r="P81" s="27" t="str">
        <f>SB!$P$125</f>
        <v>SEMESTRAL</v>
      </c>
      <c r="Q81" s="60">
        <f>IF(N78&gt;12,0,W88)</f>
        <v>0</v>
      </c>
      <c r="R81" s="27">
        <f>IF(N78&gt;12,0,Z88)</f>
        <v>0</v>
      </c>
      <c r="S81" s="27">
        <f>+W89</f>
        <v>0</v>
      </c>
      <c r="T81" s="27">
        <f>+Z89</f>
        <v>0</v>
      </c>
      <c r="U81" s="27">
        <f>+W90</f>
        <v>0</v>
      </c>
      <c r="V81" s="27">
        <f>+Z90</f>
        <v>0</v>
      </c>
      <c r="W81" s="27">
        <f>+W91</f>
        <v>0</v>
      </c>
      <c r="X81" s="27">
        <f>+Z91</f>
        <v>0</v>
      </c>
      <c r="Y81" s="27">
        <f>+W92</f>
        <v>0</v>
      </c>
      <c r="Z81" s="27">
        <f>+Z92</f>
        <v>0</v>
      </c>
      <c r="AC81" s="27" t="str">
        <f>IF(AE80=AF80,"OK","¿error?")</f>
        <v>OK</v>
      </c>
      <c r="AD81" s="27">
        <f>IF(P88=0,0,Q88/P88)</f>
        <v>0</v>
      </c>
      <c r="AE81" s="27">
        <f>+Q88+T88</f>
        <v>0</v>
      </c>
      <c r="AF81" s="27">
        <f>SUM(AI81:AT81)</f>
        <v>0</v>
      </c>
      <c r="AG81" s="61">
        <f>+P110</f>
        <v>0</v>
      </c>
      <c r="AH81" s="27" t="str">
        <f>SB!$P$124</f>
        <v>TRIMESTRAL</v>
      </c>
      <c r="AI81" s="27">
        <f>IF(AI78=$O$87,$AG81,0)</f>
        <v>0</v>
      </c>
      <c r="AJ81" s="27">
        <f>IF(AJ78=$O$87,$AG81,0)</f>
        <v>0</v>
      </c>
      <c r="AK81" s="27">
        <f>IF(AK78=$O$87,$AG81,0)</f>
        <v>0</v>
      </c>
      <c r="AL81" s="27">
        <f t="shared" ref="AL81:AT81" si="52">IF(AL78=$O$87,$AG81,0)+AI81</f>
        <v>0</v>
      </c>
      <c r="AM81" s="27">
        <f t="shared" si="52"/>
        <v>0</v>
      </c>
      <c r="AN81" s="27">
        <f t="shared" si="52"/>
        <v>0</v>
      </c>
      <c r="AO81" s="27">
        <f t="shared" si="52"/>
        <v>0</v>
      </c>
      <c r="AP81" s="27">
        <f t="shared" si="52"/>
        <v>0</v>
      </c>
      <c r="AQ81" s="27">
        <f t="shared" si="52"/>
        <v>0</v>
      </c>
      <c r="AR81" s="27">
        <f t="shared" si="52"/>
        <v>0</v>
      </c>
      <c r="AS81" s="27">
        <f t="shared" si="52"/>
        <v>0</v>
      </c>
      <c r="AT81" s="61">
        <f t="shared" si="52"/>
        <v>0</v>
      </c>
    </row>
    <row r="82" spans="2:46" s="27" customFormat="1" ht="11.25" hidden="1" x14ac:dyDescent="0.2">
      <c r="B82" s="60"/>
      <c r="P82" s="27" t="str">
        <f>SB!$P$126</f>
        <v>ANUAL</v>
      </c>
      <c r="Q82" s="60">
        <f>IF(N78&gt;12,0,AC88)</f>
        <v>0</v>
      </c>
      <c r="R82" s="27">
        <f>IF(N78&gt;12,0,AF88)</f>
        <v>0</v>
      </c>
      <c r="S82" s="27">
        <f>+AC89</f>
        <v>0</v>
      </c>
      <c r="T82" s="27">
        <f>+AF89</f>
        <v>0</v>
      </c>
      <c r="U82" s="27">
        <f>+AC90</f>
        <v>0</v>
      </c>
      <c r="V82" s="27">
        <f>+AF90</f>
        <v>0</v>
      </c>
      <c r="W82" s="27">
        <f>+AC91</f>
        <v>0</v>
      </c>
      <c r="X82" s="27">
        <f>+AF91</f>
        <v>0</v>
      </c>
      <c r="Y82" s="27">
        <f>+AC92</f>
        <v>0</v>
      </c>
      <c r="Z82" s="27">
        <f>+AF92</f>
        <v>0</v>
      </c>
      <c r="AC82" s="27" t="str">
        <f>IF(AE81=AF81,"OK","¿error?")</f>
        <v>OK</v>
      </c>
      <c r="AD82" s="27">
        <f>IF(V88=0,0,W88/V88)</f>
        <v>0</v>
      </c>
      <c r="AE82" s="27">
        <f>+W88+Z88</f>
        <v>0</v>
      </c>
      <c r="AF82" s="27">
        <f>SUM(AI82:AT82)</f>
        <v>0</v>
      </c>
      <c r="AG82" s="61">
        <f>+V110</f>
        <v>0</v>
      </c>
      <c r="AH82" s="27" t="str">
        <f>SB!$P$125</f>
        <v>SEMESTRAL</v>
      </c>
      <c r="AI82" s="27">
        <f t="shared" ref="AI82:AN82" si="53">IF(AI78=$O$87,$AG82,0)</f>
        <v>0</v>
      </c>
      <c r="AJ82" s="27">
        <f t="shared" si="53"/>
        <v>0</v>
      </c>
      <c r="AK82" s="27">
        <f t="shared" si="53"/>
        <v>0</v>
      </c>
      <c r="AL82" s="27">
        <f t="shared" si="53"/>
        <v>0</v>
      </c>
      <c r="AM82" s="27">
        <f t="shared" si="53"/>
        <v>0</v>
      </c>
      <c r="AN82" s="27">
        <f t="shared" si="53"/>
        <v>0</v>
      </c>
      <c r="AO82" s="27">
        <f t="shared" ref="AO82:AT82" si="54">IF(AO78=$O$87,$AG82,0)+AI82</f>
        <v>0</v>
      </c>
      <c r="AP82" s="27">
        <f t="shared" si="54"/>
        <v>0</v>
      </c>
      <c r="AQ82" s="27">
        <f t="shared" si="54"/>
        <v>0</v>
      </c>
      <c r="AR82" s="27">
        <f t="shared" si="54"/>
        <v>0</v>
      </c>
      <c r="AS82" s="27">
        <f t="shared" si="54"/>
        <v>0</v>
      </c>
      <c r="AT82" s="61">
        <f t="shared" si="54"/>
        <v>0</v>
      </c>
    </row>
    <row r="83" spans="2:46" s="27" customFormat="1" ht="11.25" hidden="1" x14ac:dyDescent="0.2">
      <c r="B83" s="60"/>
      <c r="Q83" s="60"/>
      <c r="AC83" s="27" t="str">
        <f>IF(AE82=AF82,"OK","¿error?")</f>
        <v>OK</v>
      </c>
      <c r="AD83" s="27">
        <f>IF(AB88=0,0,AC88/AB88)</f>
        <v>0</v>
      </c>
      <c r="AE83" s="27">
        <f>+AC88+AF88</f>
        <v>0</v>
      </c>
      <c r="AF83" s="27">
        <f>SUM(AI83:AT83)</f>
        <v>0</v>
      </c>
      <c r="AG83" s="61">
        <f>+AB110</f>
        <v>0</v>
      </c>
      <c r="AH83" s="27" t="str">
        <f>SB!$P$126</f>
        <v>ANUAL</v>
      </c>
      <c r="AI83" s="27">
        <f t="shared" ref="AI83:AT83" si="55">IF(AI78=$O$87,$AG83,0)</f>
        <v>0</v>
      </c>
      <c r="AJ83" s="27">
        <f t="shared" si="55"/>
        <v>0</v>
      </c>
      <c r="AK83" s="27">
        <f t="shared" si="55"/>
        <v>0</v>
      </c>
      <c r="AL83" s="27">
        <f t="shared" si="55"/>
        <v>0</v>
      </c>
      <c r="AM83" s="27">
        <f t="shared" si="55"/>
        <v>0</v>
      </c>
      <c r="AN83" s="27">
        <f t="shared" si="55"/>
        <v>0</v>
      </c>
      <c r="AO83" s="27">
        <f t="shared" si="55"/>
        <v>0</v>
      </c>
      <c r="AP83" s="27">
        <f t="shared" si="55"/>
        <v>0</v>
      </c>
      <c r="AQ83" s="27">
        <f t="shared" si="55"/>
        <v>0</v>
      </c>
      <c r="AR83" s="27">
        <f t="shared" si="55"/>
        <v>0</v>
      </c>
      <c r="AS83" s="27">
        <f t="shared" si="55"/>
        <v>0</v>
      </c>
      <c r="AT83" s="61">
        <f t="shared" si="55"/>
        <v>0</v>
      </c>
    </row>
    <row r="84" spans="2:46" s="27" customFormat="1" ht="11.25" hidden="1" x14ac:dyDescent="0.2">
      <c r="B84" s="60"/>
      <c r="Q84" s="60"/>
      <c r="AG84" s="61"/>
      <c r="AH84" s="27">
        <f>+F78</f>
        <v>0</v>
      </c>
      <c r="AI84" s="27">
        <f t="shared" ref="AI84:AT84" si="56">SUMIF($AH79:$AH83,$AH84,AI79:AI83)</f>
        <v>0</v>
      </c>
      <c r="AJ84" s="27">
        <f t="shared" si="56"/>
        <v>0</v>
      </c>
      <c r="AK84" s="27">
        <f t="shared" si="56"/>
        <v>0</v>
      </c>
      <c r="AL84" s="27">
        <f t="shared" si="56"/>
        <v>0</v>
      </c>
      <c r="AM84" s="27">
        <f t="shared" si="56"/>
        <v>0</v>
      </c>
      <c r="AN84" s="27">
        <f t="shared" si="56"/>
        <v>0</v>
      </c>
      <c r="AO84" s="27">
        <f t="shared" si="56"/>
        <v>0</v>
      </c>
      <c r="AP84" s="27">
        <f t="shared" si="56"/>
        <v>0</v>
      </c>
      <c r="AQ84" s="27">
        <f t="shared" si="56"/>
        <v>0</v>
      </c>
      <c r="AR84" s="27">
        <f t="shared" si="56"/>
        <v>0</v>
      </c>
      <c r="AS84" s="27">
        <f t="shared" si="56"/>
        <v>0</v>
      </c>
      <c r="AT84" s="61">
        <f t="shared" si="56"/>
        <v>0</v>
      </c>
    </row>
    <row r="85" spans="2:46" s="27" customFormat="1" ht="11.25" hidden="1" x14ac:dyDescent="0.2">
      <c r="B85" s="60"/>
      <c r="C85" s="27" t="s">
        <v>706</v>
      </c>
      <c r="J85" s="27" t="s">
        <v>1560</v>
      </c>
      <c r="O85" s="27" t="s">
        <v>573</v>
      </c>
      <c r="Q85" s="60"/>
      <c r="U85" s="27" t="s">
        <v>1561</v>
      </c>
      <c r="AA85" s="27" t="s">
        <v>1446</v>
      </c>
      <c r="AG85" s="61"/>
      <c r="AJ85" s="27" t="s">
        <v>546</v>
      </c>
      <c r="AK85" s="27">
        <f>SUMIF(AH79:AH83,AH84,AD79:AD83)</f>
        <v>0</v>
      </c>
      <c r="AT85" s="61"/>
    </row>
    <row r="86" spans="2:46" s="27" customFormat="1" ht="11.25" hidden="1" x14ac:dyDescent="0.2">
      <c r="B86" s="60"/>
      <c r="E86" s="27" t="s">
        <v>1411</v>
      </c>
      <c r="I86" s="27">
        <f>IF(N78=13,0.5,G88/2)</f>
        <v>0.5</v>
      </c>
      <c r="J86" s="27">
        <f>ROUND(I86,0)</f>
        <v>1</v>
      </c>
      <c r="K86" s="27">
        <f>+L78/2</f>
        <v>0</v>
      </c>
      <c r="L86" s="27">
        <f>ROUND(K86,0)</f>
        <v>0</v>
      </c>
      <c r="M86" s="27">
        <f>+K78/2</f>
        <v>0</v>
      </c>
      <c r="N86" s="27">
        <f>ROUND(M86,0)</f>
        <v>0</v>
      </c>
      <c r="O86" s="27">
        <f>IF(N78=13,0.3,G88/3)</f>
        <v>0.3</v>
      </c>
      <c r="P86" s="27">
        <f>ROUNDUP(O86,0)</f>
        <v>1</v>
      </c>
      <c r="Q86" s="60">
        <f>+L78/3</f>
        <v>0</v>
      </c>
      <c r="R86" s="27">
        <f>ROUNDUP(Q86,0)</f>
        <v>0</v>
      </c>
      <c r="S86" s="27">
        <f>+K78/3</f>
        <v>0</v>
      </c>
      <c r="T86" s="27">
        <f>ROUND(S86,0)</f>
        <v>0</v>
      </c>
      <c r="U86" s="27">
        <f>IF(N78=13,0.167,G88/6)</f>
        <v>0.16700000000000001</v>
      </c>
      <c r="V86" s="27">
        <f>ROUNDUP(U86,0)</f>
        <v>1</v>
      </c>
      <c r="W86" s="27">
        <f>+L78/6</f>
        <v>0</v>
      </c>
      <c r="X86" s="27">
        <f>ROUND(W86,0)</f>
        <v>0</v>
      </c>
      <c r="Y86" s="27">
        <f>+K78/6</f>
        <v>0</v>
      </c>
      <c r="Z86" s="27">
        <f>ROUND(Y86,0)</f>
        <v>0</v>
      </c>
      <c r="AA86" s="27">
        <f>IF(N78=13,0.083,G88/12)</f>
        <v>8.3000000000000004E-2</v>
      </c>
      <c r="AB86" s="27">
        <f>ROUND(AA86,0)</f>
        <v>0</v>
      </c>
      <c r="AC86" s="27">
        <f>+L78/12</f>
        <v>0</v>
      </c>
      <c r="AD86" s="27">
        <f>ROUND(AC86,0)</f>
        <v>0</v>
      </c>
      <c r="AE86" s="27">
        <f>+K78/12</f>
        <v>0</v>
      </c>
      <c r="AF86" s="27">
        <f>ROUND(AE86,0)</f>
        <v>0</v>
      </c>
      <c r="AG86" s="61"/>
      <c r="AT86" s="61"/>
    </row>
    <row r="87" spans="2:46" s="27" customFormat="1" ht="11.25" hidden="1" x14ac:dyDescent="0.2">
      <c r="B87" s="60" t="s">
        <v>1408</v>
      </c>
      <c r="C87" s="27" t="s">
        <v>1409</v>
      </c>
      <c r="D87" s="27" t="s">
        <v>1276</v>
      </c>
      <c r="E87" s="27" t="s">
        <v>673</v>
      </c>
      <c r="H87" s="27" t="s">
        <v>672</v>
      </c>
      <c r="I87" s="27" t="s">
        <v>1409</v>
      </c>
      <c r="J87" s="27" t="s">
        <v>1276</v>
      </c>
      <c r="K87" s="27" t="s">
        <v>673</v>
      </c>
      <c r="N87" s="27" t="s">
        <v>672</v>
      </c>
      <c r="O87" s="27" t="s">
        <v>1409</v>
      </c>
      <c r="P87" s="27" t="s">
        <v>1276</v>
      </c>
      <c r="Q87" s="60" t="s">
        <v>673</v>
      </c>
      <c r="U87" s="27" t="s">
        <v>1409</v>
      </c>
      <c r="V87" s="27" t="s">
        <v>1276</v>
      </c>
      <c r="W87" s="27" t="s">
        <v>673</v>
      </c>
      <c r="AA87" s="27" t="s">
        <v>1409</v>
      </c>
      <c r="AB87" s="27" t="s">
        <v>1276</v>
      </c>
      <c r="AC87" s="27" t="s">
        <v>673</v>
      </c>
      <c r="AG87" s="61"/>
      <c r="AH87" s="27" t="s">
        <v>7</v>
      </c>
      <c r="AI87" s="27">
        <f>IF(AI76=$H78,$C78,0)</f>
        <v>0</v>
      </c>
      <c r="AJ87" s="27">
        <f t="shared" ref="AJ87:AT87" si="57">IF(AJ76=$H78,$C78,0)</f>
        <v>0</v>
      </c>
      <c r="AK87" s="27">
        <f t="shared" si="57"/>
        <v>0</v>
      </c>
      <c r="AL87" s="27">
        <f t="shared" si="57"/>
        <v>0</v>
      </c>
      <c r="AM87" s="27">
        <f t="shared" si="57"/>
        <v>0</v>
      </c>
      <c r="AN87" s="27">
        <f t="shared" si="57"/>
        <v>0</v>
      </c>
      <c r="AO87" s="27">
        <f t="shared" si="57"/>
        <v>0</v>
      </c>
      <c r="AP87" s="27">
        <f t="shared" si="57"/>
        <v>0</v>
      </c>
      <c r="AQ87" s="27">
        <f t="shared" si="57"/>
        <v>0</v>
      </c>
      <c r="AR87" s="27">
        <f t="shared" si="57"/>
        <v>0</v>
      </c>
      <c r="AS87" s="27">
        <f t="shared" si="57"/>
        <v>0</v>
      </c>
      <c r="AT87" s="61">
        <f t="shared" si="57"/>
        <v>0</v>
      </c>
    </row>
    <row r="88" spans="2:46" s="27" customFormat="1" ht="11.25" hidden="1" x14ac:dyDescent="0.2">
      <c r="B88" s="60">
        <v>1</v>
      </c>
      <c r="C88" s="27">
        <f>IF(K78=0,0,IF(J78&gt;0,0,IF(N78&gt;12,0,1)))</f>
        <v>0</v>
      </c>
      <c r="D88" s="27">
        <f>IF(K78=0,0,IF(J78&gt;0,0,13-N78))</f>
        <v>0</v>
      </c>
      <c r="E88" s="27">
        <f>IF(C88=0,0,-CUMPRINC(E78/12,M78*12,C78,C88,D88,0))</f>
        <v>0</v>
      </c>
      <c r="F88" s="27">
        <f>IF(K78=0,0,IF(N78&gt;12,0,1))</f>
        <v>0</v>
      </c>
      <c r="G88" s="27">
        <f>IF(K78=0,0,13-N78)</f>
        <v>0</v>
      </c>
      <c r="H88" s="27">
        <f>IF(F88=0,0,IF(J79&gt;0,J79,-CUMIPMT(E78/12,K78,C78,F88,G88,0)))</f>
        <v>0</v>
      </c>
      <c r="I88" s="27">
        <f>IF(K78=0,0,IF(J78&gt;0,0,IF(N78&gt;12,0,1)))</f>
        <v>0</v>
      </c>
      <c r="J88" s="27">
        <f>IF(K78=0,0,IF(J78&gt;0,0,J86))</f>
        <v>0</v>
      </c>
      <c r="K88" s="27">
        <f>IF(I88=0,0,-CUMPRINC(E78/6,M78*6,C78,I88,J88,0))</f>
        <v>0</v>
      </c>
      <c r="L88" s="27">
        <f>IF(K78=0,0,IF(N78&gt;12,0,1))</f>
        <v>0</v>
      </c>
      <c r="M88" s="27">
        <f>IF(K78=0,0,IF(L88=0,0,J86))</f>
        <v>0</v>
      </c>
      <c r="N88" s="27">
        <f>IF(L88=0,0,IF(J79&gt;0,J79,-CUMIPMT(E78/6,D78*6,C78,L88,M88,0)))</f>
        <v>0</v>
      </c>
      <c r="O88" s="27">
        <f>IF(K78=0,0,IF(J78&gt;0,0,IF(N78&gt;12,0,1)))</f>
        <v>0</v>
      </c>
      <c r="P88" s="27">
        <f>IF(K78=0,0,IF(J78&gt;0,0,P86))</f>
        <v>0</v>
      </c>
      <c r="Q88" s="60">
        <f>IF(O88=0,0,-CUMPRINC(E78/4,M78*4,C78,O88,P88,0))</f>
        <v>0</v>
      </c>
      <c r="R88" s="27">
        <f>IF(K78=0,0,IF(N78&gt;12,0,1))</f>
        <v>0</v>
      </c>
      <c r="S88" s="27">
        <f>IF($K78=0,0,IF(R88=0,0,P86))</f>
        <v>0</v>
      </c>
      <c r="T88" s="27">
        <f>IF(R88=0,0,IF(J79&gt;0,J79,-CUMIPMT(E78/4,D78*4,C78,R88,S88,0)))</f>
        <v>0</v>
      </c>
      <c r="U88" s="27">
        <f>IF(K78=0,0,IF(J78&gt;0,0,IF(N78&gt;12,0,1)))</f>
        <v>0</v>
      </c>
      <c r="V88" s="27">
        <f>IF(K78=0,0,IF(U88=0,0,V86))</f>
        <v>0</v>
      </c>
      <c r="W88" s="27">
        <f>IF(U88=0,0,-CUMPRINC(E78/2,M78*2,C78,U88,V88,0))</f>
        <v>0</v>
      </c>
      <c r="X88" s="27">
        <f>IF(K78=0,0,IF(N78&gt;12,0,1))</f>
        <v>0</v>
      </c>
      <c r="Y88" s="27">
        <f>IF(K78=0,0,IF(X88=0,0,V86))</f>
        <v>0</v>
      </c>
      <c r="Z88" s="27">
        <f>IF(X88=0,0,IF(J79&gt;0,J79,-CUMIPMT(E78/2,D78*2,C78,X88,Y88,0)))</f>
        <v>0</v>
      </c>
      <c r="AA88" s="27">
        <f>IF(K78=0,0,IF(J78&gt;0,0,IF(N78&gt;12,0,1)))</f>
        <v>0</v>
      </c>
      <c r="AB88" s="27">
        <f>IF(K78=0,0,IF(J78&gt;0,0,AA88))</f>
        <v>0</v>
      </c>
      <c r="AC88" s="27">
        <f>IF(AA88=0,0,-CUMPRINC(E78,M78,C78,AA88,AB88,0))</f>
        <v>0</v>
      </c>
      <c r="AD88" s="27">
        <f>IF(K78=0,0,IF(N78&gt;12,0,1))</f>
        <v>0</v>
      </c>
      <c r="AE88" s="27">
        <f>IF(I78="NO",AB88,AD88)</f>
        <v>0</v>
      </c>
      <c r="AF88" s="27">
        <f>IF(AD88=0,0,-CUMIPMT(E78,D78,C78,AD88,AE88,0))</f>
        <v>0</v>
      </c>
      <c r="AG88" s="61"/>
      <c r="AH88" s="27" t="s">
        <v>548</v>
      </c>
      <c r="AI88" s="27">
        <f>IF(AI84&gt;0,AK85,0)</f>
        <v>0</v>
      </c>
      <c r="AJ88" s="27">
        <f>IF(AJ84&gt;0,AK85,0)</f>
        <v>0</v>
      </c>
      <c r="AK88" s="27">
        <f>IF(AK84&gt;0,AK85,0)</f>
        <v>0</v>
      </c>
      <c r="AL88" s="27">
        <f>IF(AL84&gt;0,AK85,0)</f>
        <v>0</v>
      </c>
      <c r="AM88" s="27">
        <f>IF(AM84&gt;0,AK85,0)</f>
        <v>0</v>
      </c>
      <c r="AN88" s="27">
        <f>IF(AN84&gt;0,AK85,0)</f>
        <v>0</v>
      </c>
      <c r="AO88" s="27">
        <f>IF(AO84&gt;0,AK85,0)</f>
        <v>0</v>
      </c>
      <c r="AP88" s="27">
        <f>IF(AP84&gt;0,AK85,0)</f>
        <v>0</v>
      </c>
      <c r="AQ88" s="27">
        <f>IF(AQ84&gt;0,AK85,0)</f>
        <v>0</v>
      </c>
      <c r="AR88" s="27">
        <f>IF(AR84&gt;0,AK85,0)</f>
        <v>0</v>
      </c>
      <c r="AS88" s="27">
        <f>IF(AS84&gt;0,AK85,0)</f>
        <v>0</v>
      </c>
      <c r="AT88" s="61">
        <f>IF(AT84&gt;0,AK85,0)</f>
        <v>0</v>
      </c>
    </row>
    <row r="89" spans="2:46" s="27" customFormat="1" ht="11.25" hidden="1" x14ac:dyDescent="0.2">
      <c r="B89" s="60">
        <f t="shared" ref="B89:B107" si="58">+B88+1</f>
        <v>2</v>
      </c>
      <c r="C89" s="27">
        <f>IF(K78=0,0,IF(J78&gt;=24,0,D88+1))</f>
        <v>0</v>
      </c>
      <c r="D89" s="27">
        <f>IF(K78=0,0,IF(J78&gt;=24,0,IF(N78=13,12,IF(C89=1,13-N78,C89+11))))</f>
        <v>0</v>
      </c>
      <c r="E89" s="27">
        <f>IF(C89=0,0,-CUMPRINC(E78/12,M78*12,C78,C89,D89,0))</f>
        <v>0</v>
      </c>
      <c r="F89" s="27">
        <f>IF(K78=0,0,G88+1)</f>
        <v>0</v>
      </c>
      <c r="G89" s="27">
        <f>IF(K78=0,0,F89+11)</f>
        <v>0</v>
      </c>
      <c r="H89" s="27">
        <f>IF(F89=0,0,IF(J80&gt;0,J80,-CUMIPMT(E78/12,K78,C78,F89,G89,0)))</f>
        <v>0</v>
      </c>
      <c r="I89" s="27">
        <f>IF(K78=0,0,IF(J78&gt;=24,0,J88+1))</f>
        <v>0</v>
      </c>
      <c r="J89" s="27">
        <f>IF(K78=0,0,IF(J78&gt;=24,0,IF(I89&gt;=1,I89+5,0)))</f>
        <v>0</v>
      </c>
      <c r="K89" s="27">
        <f>IF(I89=0,0,-CUMPRINC(E78/6,M78*6,C78,I89,J89,0))</f>
        <v>0</v>
      </c>
      <c r="L89" s="27">
        <f>IF(K78=0,0,M88+1)</f>
        <v>0</v>
      </c>
      <c r="M89" s="27">
        <f>IF(K78=0,0,L89+5)</f>
        <v>0</v>
      </c>
      <c r="N89" s="27">
        <f>IF(L89=0,0,IF(J80&gt;0,J80,-CUMIPMT(E78/6,D78*6,C78,L89,M89,0)))</f>
        <v>0</v>
      </c>
      <c r="O89" s="27">
        <f>IF(K78=0,0,IF(J78&gt;=24,0,P88+1))</f>
        <v>0</v>
      </c>
      <c r="P89" s="27">
        <f>IF(K78=0,0,IF(J78&gt;=24,0,IF(O89&gt;=1,O89+3,0)))</f>
        <v>0</v>
      </c>
      <c r="Q89" s="60">
        <f>IF(O89=0,0,-CUMPRINC(E78/4,M78*4,C78,O89,P89,0))</f>
        <v>0</v>
      </c>
      <c r="R89" s="27">
        <f>IF(K78=0,0,S88+1)</f>
        <v>0</v>
      </c>
      <c r="S89" s="27">
        <f>IF(K78=0,0,R89+3)</f>
        <v>0</v>
      </c>
      <c r="T89" s="27">
        <f>IF(R89=0,0,IF(J80&gt;0,J80,-CUMIPMT(E78/4,D78*4,C78,R89,S89,0)))</f>
        <v>0</v>
      </c>
      <c r="U89" s="27">
        <f>IF(K78=0,0,IF(J78&gt;=24,0,V88+1))</f>
        <v>0</v>
      </c>
      <c r="V89" s="27">
        <f>IF(K78=0,0,IF(J78&gt;=24,0,IF(U89&gt;=1,U89+1,0)))</f>
        <v>0</v>
      </c>
      <c r="W89" s="27">
        <f>IF(U89=0,0,-CUMPRINC(E78/2,M78*2,C78,U89,V89,0))</f>
        <v>0</v>
      </c>
      <c r="X89" s="27">
        <f>IF(K78=0,0,Y88+1)</f>
        <v>0</v>
      </c>
      <c r="Y89" s="27">
        <f>IF(K78=0,0,X89+1)</f>
        <v>0</v>
      </c>
      <c r="Z89" s="27">
        <f>IF(X89=0,0,IF(J80&gt;0,J80,-CUMIPMT(E78/2,D78*2,C78,X89,Y89,0)))</f>
        <v>0</v>
      </c>
      <c r="AA89" s="27">
        <f>IF(K78=0,0,IF(J78&gt;=24,0,AB88+1))</f>
        <v>0</v>
      </c>
      <c r="AB89" s="27">
        <f>IF(K78=0,0,IF(J78&gt;=24,0,IF(AA89&gt;=1,AA89,1)))</f>
        <v>0</v>
      </c>
      <c r="AC89" s="27">
        <f>IF(AA89=0,0,-CUMPRINC(E78,M78,C78,AA89,AB89,0))</f>
        <v>0</v>
      </c>
      <c r="AD89" s="27">
        <f>IF(K78=0,0,AE88+1)</f>
        <v>0</v>
      </c>
      <c r="AE89" s="27">
        <f>+AD89</f>
        <v>0</v>
      </c>
      <c r="AF89" s="27">
        <f>IF(AD89=0,0,IF(J80&gt;0,J80,-CUMIPMT(E78,D78,C78,AD89,AE89,0)))</f>
        <v>0</v>
      </c>
      <c r="AG89" s="61"/>
      <c r="AH89" s="27" t="s">
        <v>549</v>
      </c>
      <c r="AI89" s="27">
        <f t="shared" ref="AI89:AT89" si="59">+AI84-AI88</f>
        <v>0</v>
      </c>
      <c r="AJ89" s="27">
        <f t="shared" si="59"/>
        <v>0</v>
      </c>
      <c r="AK89" s="27">
        <f t="shared" si="59"/>
        <v>0</v>
      </c>
      <c r="AL89" s="27">
        <f t="shared" si="59"/>
        <v>0</v>
      </c>
      <c r="AM89" s="27">
        <f t="shared" si="59"/>
        <v>0</v>
      </c>
      <c r="AN89" s="27">
        <f t="shared" si="59"/>
        <v>0</v>
      </c>
      <c r="AO89" s="27">
        <f t="shared" si="59"/>
        <v>0</v>
      </c>
      <c r="AP89" s="27">
        <f t="shared" si="59"/>
        <v>0</v>
      </c>
      <c r="AQ89" s="27">
        <f t="shared" si="59"/>
        <v>0</v>
      </c>
      <c r="AR89" s="27">
        <f t="shared" si="59"/>
        <v>0</v>
      </c>
      <c r="AS89" s="27">
        <f t="shared" si="59"/>
        <v>0</v>
      </c>
      <c r="AT89" s="61">
        <f t="shared" si="59"/>
        <v>0</v>
      </c>
    </row>
    <row r="90" spans="2:46" s="27" customFormat="1" ht="11.25" hidden="1" x14ac:dyDescent="0.2">
      <c r="B90" s="60">
        <f t="shared" si="58"/>
        <v>3</v>
      </c>
      <c r="C90" s="27">
        <f>IF(K78=0,0,D89+1)</f>
        <v>0</v>
      </c>
      <c r="D90" s="27">
        <f>IF(K78=0,0,IF(C90=1,13-$N$78,C90+11))</f>
        <v>0</v>
      </c>
      <c r="E90" s="27">
        <f t="shared" ref="E90:E109" si="60">IF(C90=0,0,-CUMPRINC($E$78/12,$M$78*12,$C$78,C90,D90,0))</f>
        <v>0</v>
      </c>
      <c r="F90" s="27">
        <f>IF(K78=0,0,G89+1)</f>
        <v>0</v>
      </c>
      <c r="G90" s="27">
        <f>IF(K78=0,0,F90+11)</f>
        <v>0</v>
      </c>
      <c r="H90" s="27">
        <f t="shared" ref="H90:H109" si="61">IF(F90=0,0,-CUMIPMT(E$78/12,K$78,C$78,F90,G90,0))</f>
        <v>0</v>
      </c>
      <c r="I90" s="27">
        <f>IF(K78=0,0,J89+1)</f>
        <v>0</v>
      </c>
      <c r="J90" s="27">
        <f>IF(K78=0,0,IF(I90=1,J86,I90+5))</f>
        <v>0</v>
      </c>
      <c r="K90" s="27">
        <f t="shared" ref="K90:K109" si="62">IF(I90=0,0,-CUMPRINC($E$78/6,$M$78*6,$C$78,I90,J90,0))</f>
        <v>0</v>
      </c>
      <c r="L90" s="27">
        <f>IF(K78=0,0,M89+1)</f>
        <v>0</v>
      </c>
      <c r="M90" s="27">
        <f>IF(K78=0,0,L90+5)</f>
        <v>0</v>
      </c>
      <c r="N90" s="27">
        <f t="shared" ref="N90:N109" si="63">IF(L90=0,0,-CUMIPMT($E$78/6,$D$78*6,$C$78,L90,M90,0))</f>
        <v>0</v>
      </c>
      <c r="O90" s="27">
        <f>IF(K78=0,0,P89+1)</f>
        <v>0</v>
      </c>
      <c r="P90" s="27">
        <f>IF(K78=0,0,IF(O90=1,P86,O90+3))</f>
        <v>0</v>
      </c>
      <c r="Q90" s="60">
        <f t="shared" ref="Q90:Q109" si="64">IF(O90=0,0,-CUMPRINC($E$78/4,$M$78*4,$C$78,O90,P90,0))</f>
        <v>0</v>
      </c>
      <c r="R90" s="27">
        <f>IF(K78=0,0,S89+1)</f>
        <v>0</v>
      </c>
      <c r="S90" s="27">
        <f>IF(K78=0,0,R90+3)</f>
        <v>0</v>
      </c>
      <c r="T90" s="27">
        <f t="shared" ref="T90:T109" si="65">IF(R90=0,0,-CUMIPMT($E$78/4,$D$78*4,$C$78,R90,S90,0))</f>
        <v>0</v>
      </c>
      <c r="U90" s="27">
        <f>IF(K78=0,0,V89+1)</f>
        <v>0</v>
      </c>
      <c r="V90" s="27">
        <f>IF(K78=0,0,IF(U90=1,V86,U90+1))</f>
        <v>0</v>
      </c>
      <c r="W90" s="27">
        <f t="shared" ref="W90:W109" si="66">IF(U90=0,0,-CUMPRINC($E$78/2,$M$78*2,$C$78,U90,V90,0))</f>
        <v>0</v>
      </c>
      <c r="X90" s="27">
        <f>IF(K78=0,0,Y89+1)</f>
        <v>0</v>
      </c>
      <c r="Y90" s="27">
        <f>IF(K78=0,0,X90+1)</f>
        <v>0</v>
      </c>
      <c r="Z90" s="27">
        <f t="shared" ref="Z90:Z109" si="67">IF(X90=0,0,-CUMIPMT($E$78/2,$D$78*2,$C$78,X90,Y90,0))</f>
        <v>0</v>
      </c>
      <c r="AA90" s="27">
        <f>IF(L78=0,0,AB89+1)</f>
        <v>0</v>
      </c>
      <c r="AB90" s="27">
        <f t="shared" ref="AB90:AB109" si="68">+AA90</f>
        <v>0</v>
      </c>
      <c r="AC90" s="27">
        <f t="shared" ref="AC90:AC109" si="69">IF(AA90=0,0,-CUMPRINC($E$78,$M$78,$C$78,AA90,AB90,0))</f>
        <v>0</v>
      </c>
      <c r="AD90" s="27">
        <f>IF(K78=0,0,AE89+1)</f>
        <v>0</v>
      </c>
      <c r="AE90" s="27">
        <f t="shared" ref="AE90:AE109" si="70">+AD90</f>
        <v>0</v>
      </c>
      <c r="AF90" s="27">
        <f t="shared" ref="AF90:AF109" si="71">IF(AD90=0,0,-CUMIPMT($E$78,$D$78,$C$78,AD90,AE90,0))</f>
        <v>0</v>
      </c>
      <c r="AG90" s="61"/>
      <c r="AH90" s="27" t="s">
        <v>958</v>
      </c>
      <c r="AI90" s="27">
        <f t="shared" ref="AI90:AT90" si="72">+AI89+AI88</f>
        <v>0</v>
      </c>
      <c r="AJ90" s="27">
        <f t="shared" si="72"/>
        <v>0</v>
      </c>
      <c r="AK90" s="27">
        <f t="shared" si="72"/>
        <v>0</v>
      </c>
      <c r="AL90" s="27">
        <f t="shared" si="72"/>
        <v>0</v>
      </c>
      <c r="AM90" s="27">
        <f t="shared" si="72"/>
        <v>0</v>
      </c>
      <c r="AN90" s="27">
        <f t="shared" si="72"/>
        <v>0</v>
      </c>
      <c r="AO90" s="27">
        <f t="shared" si="72"/>
        <v>0</v>
      </c>
      <c r="AP90" s="27">
        <f t="shared" si="72"/>
        <v>0</v>
      </c>
      <c r="AQ90" s="27">
        <f t="shared" si="72"/>
        <v>0</v>
      </c>
      <c r="AR90" s="27">
        <f t="shared" si="72"/>
        <v>0</v>
      </c>
      <c r="AS90" s="27">
        <f t="shared" si="72"/>
        <v>0</v>
      </c>
      <c r="AT90" s="61">
        <f t="shared" si="72"/>
        <v>0</v>
      </c>
    </row>
    <row r="91" spans="2:46" s="27" customFormat="1" ht="11.25" hidden="1" x14ac:dyDescent="0.2">
      <c r="B91" s="60">
        <f t="shared" si="58"/>
        <v>4</v>
      </c>
      <c r="C91" s="27">
        <f>IF(D90=L78,0,IF(D90+1&lt;=L78,D90+1,L78))</f>
        <v>0</v>
      </c>
      <c r="D91" s="27">
        <f>IF(C91=0,0,IF(C91+11&gt;L78,L78,C91+11))</f>
        <v>0</v>
      </c>
      <c r="E91" s="27">
        <f t="shared" si="60"/>
        <v>0</v>
      </c>
      <c r="F91" s="27">
        <f>IF(G90=K78,0,IF(G90+1&lt;=K78,G90+1,K78))</f>
        <v>0</v>
      </c>
      <c r="G91" s="27">
        <f>IF(F91=0,0,IF(F91+11&gt;K78,K78,F91+11))</f>
        <v>0</v>
      </c>
      <c r="H91" s="27">
        <f t="shared" si="61"/>
        <v>0</v>
      </c>
      <c r="I91" s="27">
        <f>IF(J90=L86,0,IF(J90+1&lt;=L86,J90+1,L86))</f>
        <v>0</v>
      </c>
      <c r="J91" s="27">
        <f>IF(I91=0,0,IF(I91+5&gt;L86,L86,I91+5))</f>
        <v>0</v>
      </c>
      <c r="K91" s="27">
        <f t="shared" si="62"/>
        <v>0</v>
      </c>
      <c r="L91" s="27">
        <f>IF(M90=N86,0,IF(M90+1&lt;=N86,M90+1,$N$86))</f>
        <v>0</v>
      </c>
      <c r="M91" s="27">
        <f>IF(L91=0,0,IF(L91+5&gt;N86,N86,L91+5))</f>
        <v>0</v>
      </c>
      <c r="N91" s="27">
        <f t="shared" si="63"/>
        <v>0</v>
      </c>
      <c r="O91" s="27">
        <f>IF(P90=R86,0,IF(P90+1&lt;=R86,P90+1,R86))</f>
        <v>0</v>
      </c>
      <c r="P91" s="27">
        <f>IF(O91=0,0,IF(O91+3&gt;R86,R86,O91+3))</f>
        <v>0</v>
      </c>
      <c r="Q91" s="60">
        <f t="shared" si="64"/>
        <v>0</v>
      </c>
      <c r="R91" s="27">
        <f>IF(S90=T86,0,IF(S90+1&lt;=T86,S90+1,T86))</f>
        <v>0</v>
      </c>
      <c r="S91" s="27">
        <f>IF(R91=0,0,IF(R91+3&gt;T86,T86,R91+3))</f>
        <v>0</v>
      </c>
      <c r="T91" s="27">
        <f t="shared" si="65"/>
        <v>0</v>
      </c>
      <c r="U91" s="27">
        <f>IF(V90=X86,0,IF(V90+1&lt;=X86,V90+1,X86))</f>
        <v>0</v>
      </c>
      <c r="V91" s="27">
        <f>IF(U91=0,0,IF(U91+1&gt;X86,X86,U91+1))</f>
        <v>0</v>
      </c>
      <c r="W91" s="27">
        <f t="shared" si="66"/>
        <v>0</v>
      </c>
      <c r="X91" s="27">
        <f>IF(Y90=Z86,0,IF(Y90+1&lt;=Z86,Y90+1,Z86))</f>
        <v>0</v>
      </c>
      <c r="Y91" s="27">
        <f>IF(X91=0,0,IF(X91+1&gt;Z86,Z86,X91+1))</f>
        <v>0</v>
      </c>
      <c r="Z91" s="27">
        <f t="shared" si="67"/>
        <v>0</v>
      </c>
      <c r="AA91" s="27">
        <f>IF(AB90=AD86,0,IF(AB90+1&lt;=AD86,AB90+1,AD86))</f>
        <v>0</v>
      </c>
      <c r="AB91" s="27">
        <f t="shared" si="68"/>
        <v>0</v>
      </c>
      <c r="AC91" s="27">
        <f t="shared" si="69"/>
        <v>0</v>
      </c>
      <c r="AD91" s="27">
        <f>IF(AE90=AF86,0,IF(AE90+1&lt;=AF86,AE90+1,AF86))</f>
        <v>0</v>
      </c>
      <c r="AE91" s="27">
        <f t="shared" si="70"/>
        <v>0</v>
      </c>
      <c r="AF91" s="27">
        <f t="shared" si="71"/>
        <v>0</v>
      </c>
      <c r="AG91" s="61"/>
      <c r="AH91" s="27" t="s">
        <v>953</v>
      </c>
      <c r="AI91" s="27">
        <f>IF(AI87=0,0,$AI109)</f>
        <v>0</v>
      </c>
      <c r="AJ91" s="27">
        <f>IF(AJ87=0,0,$AI109)+AI92</f>
        <v>0</v>
      </c>
      <c r="AK91" s="27">
        <f t="shared" ref="AK91:AT91" si="73">IF(AK87=0,0,$AI109)+AJ92</f>
        <v>0</v>
      </c>
      <c r="AL91" s="27">
        <f t="shared" si="73"/>
        <v>0</v>
      </c>
      <c r="AM91" s="27">
        <f t="shared" si="73"/>
        <v>0</v>
      </c>
      <c r="AN91" s="27">
        <f t="shared" si="73"/>
        <v>0</v>
      </c>
      <c r="AO91" s="27">
        <f t="shared" si="73"/>
        <v>0</v>
      </c>
      <c r="AP91" s="27">
        <f t="shared" si="73"/>
        <v>0</v>
      </c>
      <c r="AQ91" s="27">
        <f t="shared" si="73"/>
        <v>0</v>
      </c>
      <c r="AR91" s="27">
        <f t="shared" si="73"/>
        <v>0</v>
      </c>
      <c r="AS91" s="27">
        <f t="shared" si="73"/>
        <v>0</v>
      </c>
      <c r="AT91" s="61">
        <f t="shared" si="73"/>
        <v>0</v>
      </c>
    </row>
    <row r="92" spans="2:46" s="27" customFormat="1" ht="11.25" hidden="1" x14ac:dyDescent="0.2">
      <c r="B92" s="60">
        <f t="shared" si="58"/>
        <v>5</v>
      </c>
      <c r="C92" s="27">
        <f t="shared" ref="C92:C109" si="74">IF(D91=0,0,IF(D91+1&gt;$L$78,0,D91+1))</f>
        <v>0</v>
      </c>
      <c r="D92" s="27">
        <f>IF(C92=0,0,IF(C92+11&gt;$L$78,$L$78,C92+11))</f>
        <v>0</v>
      </c>
      <c r="E92" s="27">
        <f t="shared" si="60"/>
        <v>0</v>
      </c>
      <c r="F92" s="27">
        <f>IF(G91=0,0,IF(G91+1&gt;$K$78,0,G91+1))</f>
        <v>0</v>
      </c>
      <c r="G92" s="27">
        <f>IF(F92=0,0,IF(F92+11&gt;$K$78,$K$78,F92+11))</f>
        <v>0</v>
      </c>
      <c r="H92" s="27">
        <f t="shared" si="61"/>
        <v>0</v>
      </c>
      <c r="I92" s="27">
        <f t="shared" ref="I92:I109" si="75">IF(J91=0,0,IF(J91+1&gt;L$86,0,J91+1))</f>
        <v>0</v>
      </c>
      <c r="J92" s="27">
        <f>IF(I92=0,0,IF(I92+5&gt;L86,L86,I92+5))</f>
        <v>0</v>
      </c>
      <c r="K92" s="27">
        <f t="shared" si="62"/>
        <v>0</v>
      </c>
      <c r="L92" s="27">
        <f>IF(M91=0,0,IF(M91+1&gt;$N$86,0,M91+1))</f>
        <v>0</v>
      </c>
      <c r="M92" s="27">
        <f>IF(L92=0,0,IF(L92+5&gt;$N$86,$N$86,L92+5))</f>
        <v>0</v>
      </c>
      <c r="N92" s="27">
        <f t="shared" si="63"/>
        <v>0</v>
      </c>
      <c r="O92" s="27">
        <f>IF(P91=0,0,IF(P91+1&gt;R$86,0,P91+1))</f>
        <v>0</v>
      </c>
      <c r="P92" s="27">
        <f>IF(O92=0,0,IF(O92+3&gt;R$86,R$86,O92+3))</f>
        <v>0</v>
      </c>
      <c r="Q92" s="60">
        <f t="shared" si="64"/>
        <v>0</v>
      </c>
      <c r="R92" s="27">
        <f>IF(S91=0,0,IF(S91+1&gt;$T$86,0,S91+1))</f>
        <v>0</v>
      </c>
      <c r="S92" s="27">
        <f>IF(R92=0,0,IF(R92+3&gt;$T$86,$T$86,R92+3))</f>
        <v>0</v>
      </c>
      <c r="T92" s="27">
        <f t="shared" si="65"/>
        <v>0</v>
      </c>
      <c r="U92" s="27">
        <f>IF(V91=0,0,IF(V91+1&gt;X$86,0,V91+1))</f>
        <v>0</v>
      </c>
      <c r="V92" s="27">
        <f>IF(U92=0,0,IF(U92+1&gt;X$86,X$86,U92+1))</f>
        <v>0</v>
      </c>
      <c r="W92" s="27">
        <f t="shared" si="66"/>
        <v>0</v>
      </c>
      <c r="X92" s="27">
        <f>IF(Y91=0,0,IF(Y91+1&gt;Z$86,0,Y91+1))</f>
        <v>0</v>
      </c>
      <c r="Y92" s="27">
        <f>IF(X92=0,0,IF(X92+1&gt;$Z$86,$Z$86,X92+1))</f>
        <v>0</v>
      </c>
      <c r="Z92" s="27">
        <f t="shared" si="67"/>
        <v>0</v>
      </c>
      <c r="AA92" s="27">
        <f>IF(AB91=0,0,IF(AB91+1&gt;AD$86,0,AB91+1))</f>
        <v>0</v>
      </c>
      <c r="AB92" s="27">
        <f t="shared" si="68"/>
        <v>0</v>
      </c>
      <c r="AC92" s="27">
        <f t="shared" si="69"/>
        <v>0</v>
      </c>
      <c r="AD92" s="27">
        <f>IF(AE91=0,0,IF(AE91+1&gt;AF$86,0,AE91+1))</f>
        <v>0</v>
      </c>
      <c r="AE92" s="27">
        <f t="shared" si="70"/>
        <v>0</v>
      </c>
      <c r="AF92" s="27">
        <f t="shared" si="71"/>
        <v>0</v>
      </c>
      <c r="AG92" s="61"/>
      <c r="AH92" s="27" t="s">
        <v>954</v>
      </c>
      <c r="AI92" s="27">
        <f t="shared" ref="AI92:AT92" si="76">+AI91-AI88</f>
        <v>0</v>
      </c>
      <c r="AJ92" s="27">
        <f t="shared" si="76"/>
        <v>0</v>
      </c>
      <c r="AK92" s="27">
        <f t="shared" si="76"/>
        <v>0</v>
      </c>
      <c r="AL92" s="27">
        <f t="shared" si="76"/>
        <v>0</v>
      </c>
      <c r="AM92" s="27">
        <f t="shared" si="76"/>
        <v>0</v>
      </c>
      <c r="AN92" s="27">
        <f t="shared" si="76"/>
        <v>0</v>
      </c>
      <c r="AO92" s="27">
        <f t="shared" si="76"/>
        <v>0</v>
      </c>
      <c r="AP92" s="27">
        <f t="shared" si="76"/>
        <v>0</v>
      </c>
      <c r="AQ92" s="27">
        <f t="shared" si="76"/>
        <v>0</v>
      </c>
      <c r="AR92" s="27">
        <f t="shared" si="76"/>
        <v>0</v>
      </c>
      <c r="AS92" s="27">
        <f t="shared" si="76"/>
        <v>0</v>
      </c>
      <c r="AT92" s="61">
        <f t="shared" si="76"/>
        <v>0</v>
      </c>
    </row>
    <row r="93" spans="2:46" s="27" customFormat="1" ht="11.25" hidden="1" x14ac:dyDescent="0.2">
      <c r="B93" s="60">
        <f t="shared" si="58"/>
        <v>6</v>
      </c>
      <c r="C93" s="27">
        <f>IF(D92=0,0,IF(D92+1&gt;$L$78,0,D92+1))</f>
        <v>0</v>
      </c>
      <c r="D93" s="27">
        <f>IF(C93=0,0,IF(C93+11&gt;$L$78,$L$78,C93+11))</f>
        <v>0</v>
      </c>
      <c r="E93" s="27">
        <f t="shared" si="60"/>
        <v>0</v>
      </c>
      <c r="F93" s="27">
        <f t="shared" ref="F93:F109" si="77">IF(G92=0,0,IF(G92+1&gt;$K$78,0,G92+1))</f>
        <v>0</v>
      </c>
      <c r="G93" s="27">
        <f t="shared" ref="G93:G109" si="78">IF(F93=0,0,IF(F93+11&gt;$K$78,$K$78,F93+11))</f>
        <v>0</v>
      </c>
      <c r="H93" s="27">
        <f t="shared" si="61"/>
        <v>0</v>
      </c>
      <c r="I93" s="27">
        <f t="shared" si="75"/>
        <v>0</v>
      </c>
      <c r="J93" s="27">
        <f t="shared" ref="J93:J109" si="79">IF(I93=0,0,IF(I93+5&gt;L$86,L$86,I93+5))</f>
        <v>0</v>
      </c>
      <c r="K93" s="27">
        <f t="shared" si="62"/>
        <v>0</v>
      </c>
      <c r="L93" s="27">
        <f t="shared" ref="L93:L109" si="80">IF(M92=0,0,IF(M92+1&gt;$N$86,0,M92+1))</f>
        <v>0</v>
      </c>
      <c r="M93" s="27">
        <f t="shared" ref="M93:M109" si="81">IF(L93=0,0,IF(L93+5&gt;$N$86,$N$86,L93+5))</f>
        <v>0</v>
      </c>
      <c r="N93" s="27">
        <f t="shared" si="63"/>
        <v>0</v>
      </c>
      <c r="O93" s="27">
        <f t="shared" ref="O93:O109" si="82">IF(P92=0,0,IF(P92+1&gt;R$86,0,P92+1))</f>
        <v>0</v>
      </c>
      <c r="P93" s="27">
        <f t="shared" ref="P93:P109" si="83">IF(O93=0,0,IF(O93+3&gt;R$86,R$86,O93+3))</f>
        <v>0</v>
      </c>
      <c r="Q93" s="60">
        <f t="shared" si="64"/>
        <v>0</v>
      </c>
      <c r="R93" s="27">
        <f t="shared" ref="R93:R109" si="84">IF(S92=0,0,IF(S92+1&gt;$T$86,0,S92+1))</f>
        <v>0</v>
      </c>
      <c r="S93" s="27">
        <f t="shared" ref="S93:S109" si="85">IF(R93=0,0,IF(R93+3&gt;$T$86,$T$86,R93+3))</f>
        <v>0</v>
      </c>
      <c r="T93" s="27">
        <f t="shared" si="65"/>
        <v>0</v>
      </c>
      <c r="U93" s="27">
        <f t="shared" ref="U93:U109" si="86">IF(V92=0,0,IF(V92+1&gt;X$86,0,V92+1))</f>
        <v>0</v>
      </c>
      <c r="V93" s="27">
        <f t="shared" ref="V93:V109" si="87">IF(U93=0,0,IF(U93+1&gt;X$86,X$86,U93+1))</f>
        <v>0</v>
      </c>
      <c r="W93" s="27">
        <f t="shared" si="66"/>
        <v>0</v>
      </c>
      <c r="X93" s="27">
        <f t="shared" ref="X93:X109" si="88">IF(Y92=0,0,IF(Y92+1&gt;Z$86,0,Y92+1))</f>
        <v>0</v>
      </c>
      <c r="Y93" s="27">
        <f t="shared" ref="Y93:Y109" si="89">IF(X93=0,0,IF(X93+1&gt;$Z$86,$Z$86,X93+1))</f>
        <v>0</v>
      </c>
      <c r="Z93" s="27">
        <f t="shared" si="67"/>
        <v>0</v>
      </c>
      <c r="AA93" s="27">
        <f t="shared" ref="AA93:AA109" si="90">IF(AB92=0,0,IF(AB92+1&gt;AD$86,0,AB92+1))</f>
        <v>0</v>
      </c>
      <c r="AB93" s="27">
        <f t="shared" si="68"/>
        <v>0</v>
      </c>
      <c r="AC93" s="27">
        <f t="shared" si="69"/>
        <v>0</v>
      </c>
      <c r="AD93" s="27">
        <f t="shared" ref="AD93:AD109" si="91">IF(AE92=0,0,IF(AE92+1&gt;AF$86,0,AE92+1))</f>
        <v>0</v>
      </c>
      <c r="AE93" s="27">
        <f t="shared" si="70"/>
        <v>0</v>
      </c>
      <c r="AF93" s="27">
        <f t="shared" si="71"/>
        <v>0</v>
      </c>
      <c r="AG93" s="61"/>
      <c r="AH93" s="27" t="s">
        <v>946</v>
      </c>
      <c r="AI93" s="27">
        <f>IF(AI87=0,0,$G78)</f>
        <v>0</v>
      </c>
      <c r="AJ93" s="27">
        <f t="shared" ref="AJ93:AT93" si="92">IF(AJ87=0,0,$G78)</f>
        <v>0</v>
      </c>
      <c r="AK93" s="27">
        <f t="shared" si="92"/>
        <v>0</v>
      </c>
      <c r="AL93" s="27">
        <f t="shared" si="92"/>
        <v>0</v>
      </c>
      <c r="AM93" s="27">
        <f t="shared" si="92"/>
        <v>0</v>
      </c>
      <c r="AN93" s="27">
        <f t="shared" si="92"/>
        <v>0</v>
      </c>
      <c r="AO93" s="27">
        <f t="shared" si="92"/>
        <v>0</v>
      </c>
      <c r="AP93" s="27">
        <f t="shared" si="92"/>
        <v>0</v>
      </c>
      <c r="AQ93" s="27">
        <f t="shared" si="92"/>
        <v>0</v>
      </c>
      <c r="AR93" s="27">
        <f t="shared" si="92"/>
        <v>0</v>
      </c>
      <c r="AS93" s="27">
        <f t="shared" si="92"/>
        <v>0</v>
      </c>
      <c r="AT93" s="61">
        <f t="shared" si="92"/>
        <v>0</v>
      </c>
    </row>
    <row r="94" spans="2:46" s="27" customFormat="1" ht="11.25" hidden="1" x14ac:dyDescent="0.2">
      <c r="B94" s="60">
        <f t="shared" si="58"/>
        <v>7</v>
      </c>
      <c r="C94" s="27">
        <f t="shared" si="74"/>
        <v>0</v>
      </c>
      <c r="D94" s="27">
        <f t="shared" ref="D94:D109" si="93">IF(C94=0,0,IF(C94+11&gt;$L$78,$L$78,C94+11))</f>
        <v>0</v>
      </c>
      <c r="E94" s="27">
        <f t="shared" si="60"/>
        <v>0</v>
      </c>
      <c r="F94" s="27">
        <f t="shared" si="77"/>
        <v>0</v>
      </c>
      <c r="G94" s="27">
        <f t="shared" si="78"/>
        <v>0</v>
      </c>
      <c r="H94" s="27">
        <f t="shared" si="61"/>
        <v>0</v>
      </c>
      <c r="I94" s="27">
        <f t="shared" si="75"/>
        <v>0</v>
      </c>
      <c r="J94" s="27">
        <f t="shared" si="79"/>
        <v>0</v>
      </c>
      <c r="K94" s="27">
        <f t="shared" si="62"/>
        <v>0</v>
      </c>
      <c r="L94" s="27">
        <f t="shared" si="80"/>
        <v>0</v>
      </c>
      <c r="M94" s="27">
        <f t="shared" si="81"/>
        <v>0</v>
      </c>
      <c r="N94" s="27">
        <f t="shared" si="63"/>
        <v>0</v>
      </c>
      <c r="O94" s="27">
        <f t="shared" si="82"/>
        <v>0</v>
      </c>
      <c r="P94" s="27">
        <f t="shared" si="83"/>
        <v>0</v>
      </c>
      <c r="Q94" s="60">
        <f t="shared" si="64"/>
        <v>0</v>
      </c>
      <c r="R94" s="27">
        <f t="shared" si="84"/>
        <v>0</v>
      </c>
      <c r="S94" s="27">
        <f t="shared" si="85"/>
        <v>0</v>
      </c>
      <c r="T94" s="27">
        <f t="shared" si="65"/>
        <v>0</v>
      </c>
      <c r="U94" s="27">
        <f t="shared" si="86"/>
        <v>0</v>
      </c>
      <c r="V94" s="27">
        <f t="shared" si="87"/>
        <v>0</v>
      </c>
      <c r="W94" s="27">
        <f t="shared" si="66"/>
        <v>0</v>
      </c>
      <c r="X94" s="27">
        <f t="shared" si="88"/>
        <v>0</v>
      </c>
      <c r="Y94" s="27">
        <f t="shared" si="89"/>
        <v>0</v>
      </c>
      <c r="Z94" s="27">
        <f t="shared" si="67"/>
        <v>0</v>
      </c>
      <c r="AA94" s="27">
        <f t="shared" si="90"/>
        <v>0</v>
      </c>
      <c r="AB94" s="27">
        <f t="shared" si="68"/>
        <v>0</v>
      </c>
      <c r="AC94" s="27">
        <f t="shared" si="69"/>
        <v>0</v>
      </c>
      <c r="AD94" s="27">
        <f t="shared" si="91"/>
        <v>0</v>
      </c>
      <c r="AE94" s="27">
        <f t="shared" si="70"/>
        <v>0</v>
      </c>
      <c r="AF94" s="27">
        <f t="shared" si="71"/>
        <v>0</v>
      </c>
      <c r="AG94" s="61"/>
      <c r="AH94" s="66"/>
      <c r="AI94" s="66"/>
      <c r="AJ94" s="66"/>
      <c r="AK94" s="66"/>
      <c r="AL94" s="66"/>
      <c r="AM94" s="66"/>
      <c r="AN94" s="66"/>
      <c r="AO94" s="66"/>
      <c r="AP94" s="66"/>
      <c r="AQ94" s="66"/>
      <c r="AR94" s="66"/>
      <c r="AS94" s="66"/>
      <c r="AT94" s="67"/>
    </row>
    <row r="95" spans="2:46" s="27" customFormat="1" ht="11.25" hidden="1" x14ac:dyDescent="0.2">
      <c r="B95" s="60">
        <f t="shared" si="58"/>
        <v>8</v>
      </c>
      <c r="C95" s="27">
        <f t="shared" si="74"/>
        <v>0</v>
      </c>
      <c r="D95" s="27">
        <f t="shared" si="93"/>
        <v>0</v>
      </c>
      <c r="E95" s="27">
        <f t="shared" si="60"/>
        <v>0</v>
      </c>
      <c r="F95" s="27">
        <f t="shared" si="77"/>
        <v>0</v>
      </c>
      <c r="G95" s="27">
        <f t="shared" si="78"/>
        <v>0</v>
      </c>
      <c r="H95" s="27">
        <f t="shared" si="61"/>
        <v>0</v>
      </c>
      <c r="I95" s="27">
        <f t="shared" si="75"/>
        <v>0</v>
      </c>
      <c r="J95" s="27">
        <f t="shared" si="79"/>
        <v>0</v>
      </c>
      <c r="K95" s="27">
        <f t="shared" si="62"/>
        <v>0</v>
      </c>
      <c r="L95" s="27">
        <f t="shared" si="80"/>
        <v>0</v>
      </c>
      <c r="M95" s="27">
        <f t="shared" si="81"/>
        <v>0</v>
      </c>
      <c r="N95" s="27">
        <f t="shared" si="63"/>
        <v>0</v>
      </c>
      <c r="O95" s="27">
        <f t="shared" si="82"/>
        <v>0</v>
      </c>
      <c r="P95" s="27">
        <f t="shared" si="83"/>
        <v>0</v>
      </c>
      <c r="Q95" s="60">
        <f t="shared" si="64"/>
        <v>0</v>
      </c>
      <c r="R95" s="27">
        <f t="shared" si="84"/>
        <v>0</v>
      </c>
      <c r="S95" s="27">
        <f t="shared" si="85"/>
        <v>0</v>
      </c>
      <c r="T95" s="27">
        <f t="shared" si="65"/>
        <v>0</v>
      </c>
      <c r="U95" s="27">
        <f t="shared" si="86"/>
        <v>0</v>
      </c>
      <c r="V95" s="27">
        <f t="shared" si="87"/>
        <v>0</v>
      </c>
      <c r="W95" s="27">
        <f t="shared" si="66"/>
        <v>0</v>
      </c>
      <c r="X95" s="27">
        <f t="shared" si="88"/>
        <v>0</v>
      </c>
      <c r="Y95" s="27">
        <f t="shared" si="89"/>
        <v>0</v>
      </c>
      <c r="Z95" s="27">
        <f t="shared" si="67"/>
        <v>0</v>
      </c>
      <c r="AA95" s="27">
        <f t="shared" si="90"/>
        <v>0</v>
      </c>
      <c r="AB95" s="27">
        <f t="shared" si="68"/>
        <v>0</v>
      </c>
      <c r="AC95" s="27">
        <f t="shared" si="69"/>
        <v>0</v>
      </c>
      <c r="AD95" s="27">
        <f t="shared" si="91"/>
        <v>0</v>
      </c>
      <c r="AE95" s="27">
        <f t="shared" si="70"/>
        <v>0</v>
      </c>
      <c r="AF95" s="27">
        <f t="shared" si="71"/>
        <v>0</v>
      </c>
      <c r="AG95" s="61"/>
      <c r="AT95" s="61"/>
    </row>
    <row r="96" spans="2:46" s="27" customFormat="1" ht="11.25" hidden="1" x14ac:dyDescent="0.2">
      <c r="B96" s="60">
        <f t="shared" si="58"/>
        <v>9</v>
      </c>
      <c r="C96" s="27">
        <f t="shared" si="74"/>
        <v>0</v>
      </c>
      <c r="D96" s="27">
        <f t="shared" si="93"/>
        <v>0</v>
      </c>
      <c r="E96" s="27">
        <f t="shared" si="60"/>
        <v>0</v>
      </c>
      <c r="F96" s="27">
        <f t="shared" si="77"/>
        <v>0</v>
      </c>
      <c r="G96" s="27">
        <f t="shared" si="78"/>
        <v>0</v>
      </c>
      <c r="H96" s="27">
        <f t="shared" si="61"/>
        <v>0</v>
      </c>
      <c r="I96" s="27">
        <f t="shared" si="75"/>
        <v>0</v>
      </c>
      <c r="J96" s="27">
        <f t="shared" si="79"/>
        <v>0</v>
      </c>
      <c r="K96" s="27">
        <f t="shared" si="62"/>
        <v>0</v>
      </c>
      <c r="L96" s="27">
        <f t="shared" si="80"/>
        <v>0</v>
      </c>
      <c r="M96" s="27">
        <f t="shared" si="81"/>
        <v>0</v>
      </c>
      <c r="N96" s="27">
        <f t="shared" si="63"/>
        <v>0</v>
      </c>
      <c r="O96" s="27">
        <f t="shared" si="82"/>
        <v>0</v>
      </c>
      <c r="P96" s="27">
        <f t="shared" si="83"/>
        <v>0</v>
      </c>
      <c r="Q96" s="60">
        <f t="shared" si="64"/>
        <v>0</v>
      </c>
      <c r="R96" s="27">
        <f t="shared" si="84"/>
        <v>0</v>
      </c>
      <c r="S96" s="27">
        <f t="shared" si="85"/>
        <v>0</v>
      </c>
      <c r="T96" s="27">
        <f t="shared" si="65"/>
        <v>0</v>
      </c>
      <c r="U96" s="27">
        <f t="shared" si="86"/>
        <v>0</v>
      </c>
      <c r="V96" s="27">
        <f t="shared" si="87"/>
        <v>0</v>
      </c>
      <c r="W96" s="27">
        <f t="shared" si="66"/>
        <v>0</v>
      </c>
      <c r="X96" s="27">
        <f t="shared" si="88"/>
        <v>0</v>
      </c>
      <c r="Y96" s="27">
        <f t="shared" si="89"/>
        <v>0</v>
      </c>
      <c r="Z96" s="27">
        <f t="shared" si="67"/>
        <v>0</v>
      </c>
      <c r="AA96" s="27">
        <f t="shared" si="90"/>
        <v>0</v>
      </c>
      <c r="AB96" s="27">
        <f t="shared" si="68"/>
        <v>0</v>
      </c>
      <c r="AC96" s="27">
        <f t="shared" si="69"/>
        <v>0</v>
      </c>
      <c r="AD96" s="27">
        <f t="shared" si="91"/>
        <v>0</v>
      </c>
      <c r="AE96" s="27">
        <f t="shared" si="70"/>
        <v>0</v>
      </c>
      <c r="AF96" s="27">
        <f t="shared" si="71"/>
        <v>0</v>
      </c>
      <c r="AG96" s="61"/>
      <c r="AT96" s="61"/>
    </row>
    <row r="97" spans="1:46" s="27" customFormat="1" ht="11.25" hidden="1" x14ac:dyDescent="0.2">
      <c r="B97" s="60">
        <f t="shared" si="58"/>
        <v>10</v>
      </c>
      <c r="C97" s="27">
        <f t="shared" si="74"/>
        <v>0</v>
      </c>
      <c r="D97" s="27">
        <f t="shared" si="93"/>
        <v>0</v>
      </c>
      <c r="E97" s="27">
        <f t="shared" si="60"/>
        <v>0</v>
      </c>
      <c r="F97" s="27">
        <f t="shared" si="77"/>
        <v>0</v>
      </c>
      <c r="G97" s="27">
        <f t="shared" si="78"/>
        <v>0</v>
      </c>
      <c r="H97" s="27">
        <f t="shared" si="61"/>
        <v>0</v>
      </c>
      <c r="I97" s="27">
        <f t="shared" si="75"/>
        <v>0</v>
      </c>
      <c r="J97" s="27">
        <f t="shared" si="79"/>
        <v>0</v>
      </c>
      <c r="K97" s="27">
        <f t="shared" si="62"/>
        <v>0</v>
      </c>
      <c r="L97" s="27">
        <f t="shared" si="80"/>
        <v>0</v>
      </c>
      <c r="M97" s="27">
        <f t="shared" si="81"/>
        <v>0</v>
      </c>
      <c r="N97" s="27">
        <f t="shared" si="63"/>
        <v>0</v>
      </c>
      <c r="O97" s="27">
        <f t="shared" si="82"/>
        <v>0</v>
      </c>
      <c r="P97" s="27">
        <f t="shared" si="83"/>
        <v>0</v>
      </c>
      <c r="Q97" s="60">
        <f t="shared" si="64"/>
        <v>0</v>
      </c>
      <c r="R97" s="27">
        <f t="shared" si="84"/>
        <v>0</v>
      </c>
      <c r="S97" s="27">
        <f t="shared" si="85"/>
        <v>0</v>
      </c>
      <c r="T97" s="27">
        <f t="shared" si="65"/>
        <v>0</v>
      </c>
      <c r="U97" s="27">
        <f t="shared" si="86"/>
        <v>0</v>
      </c>
      <c r="V97" s="27">
        <f t="shared" si="87"/>
        <v>0</v>
      </c>
      <c r="W97" s="27">
        <f t="shared" si="66"/>
        <v>0</v>
      </c>
      <c r="X97" s="27">
        <f t="shared" si="88"/>
        <v>0</v>
      </c>
      <c r="Y97" s="27">
        <f t="shared" si="89"/>
        <v>0</v>
      </c>
      <c r="Z97" s="27">
        <f t="shared" si="67"/>
        <v>0</v>
      </c>
      <c r="AA97" s="27">
        <f t="shared" si="90"/>
        <v>0</v>
      </c>
      <c r="AB97" s="27">
        <f t="shared" si="68"/>
        <v>0</v>
      </c>
      <c r="AC97" s="27">
        <f t="shared" si="69"/>
        <v>0</v>
      </c>
      <c r="AD97" s="27">
        <f t="shared" si="91"/>
        <v>0</v>
      </c>
      <c r="AE97" s="27">
        <f t="shared" si="70"/>
        <v>0</v>
      </c>
      <c r="AF97" s="27">
        <f t="shared" si="71"/>
        <v>0</v>
      </c>
      <c r="AG97" s="61"/>
      <c r="AT97" s="61"/>
    </row>
    <row r="98" spans="1:46" s="27" customFormat="1" ht="11.25" hidden="1" x14ac:dyDescent="0.2">
      <c r="B98" s="60">
        <f t="shared" si="58"/>
        <v>11</v>
      </c>
      <c r="C98" s="27">
        <f t="shared" si="74"/>
        <v>0</v>
      </c>
      <c r="D98" s="27">
        <f t="shared" si="93"/>
        <v>0</v>
      </c>
      <c r="E98" s="27">
        <f t="shared" si="60"/>
        <v>0</v>
      </c>
      <c r="F98" s="27">
        <f t="shared" si="77"/>
        <v>0</v>
      </c>
      <c r="G98" s="27">
        <f t="shared" si="78"/>
        <v>0</v>
      </c>
      <c r="H98" s="27">
        <f t="shared" si="61"/>
        <v>0</v>
      </c>
      <c r="I98" s="27">
        <f t="shared" si="75"/>
        <v>0</v>
      </c>
      <c r="J98" s="27">
        <f t="shared" si="79"/>
        <v>0</v>
      </c>
      <c r="K98" s="27">
        <f t="shared" si="62"/>
        <v>0</v>
      </c>
      <c r="L98" s="27">
        <f t="shared" si="80"/>
        <v>0</v>
      </c>
      <c r="M98" s="27">
        <f t="shared" si="81"/>
        <v>0</v>
      </c>
      <c r="N98" s="27">
        <f t="shared" si="63"/>
        <v>0</v>
      </c>
      <c r="O98" s="27">
        <f t="shared" si="82"/>
        <v>0</v>
      </c>
      <c r="P98" s="27">
        <f t="shared" si="83"/>
        <v>0</v>
      </c>
      <c r="Q98" s="60">
        <f t="shared" si="64"/>
        <v>0</v>
      </c>
      <c r="R98" s="27">
        <f t="shared" si="84"/>
        <v>0</v>
      </c>
      <c r="S98" s="27">
        <f t="shared" si="85"/>
        <v>0</v>
      </c>
      <c r="T98" s="27">
        <f t="shared" si="65"/>
        <v>0</v>
      </c>
      <c r="U98" s="27">
        <f t="shared" si="86"/>
        <v>0</v>
      </c>
      <c r="V98" s="27">
        <f t="shared" si="87"/>
        <v>0</v>
      </c>
      <c r="W98" s="27">
        <f t="shared" si="66"/>
        <v>0</v>
      </c>
      <c r="X98" s="27">
        <f t="shared" si="88"/>
        <v>0</v>
      </c>
      <c r="Y98" s="27">
        <f t="shared" si="89"/>
        <v>0</v>
      </c>
      <c r="Z98" s="27">
        <f t="shared" si="67"/>
        <v>0</v>
      </c>
      <c r="AA98" s="27">
        <f t="shared" si="90"/>
        <v>0</v>
      </c>
      <c r="AB98" s="27">
        <f t="shared" si="68"/>
        <v>0</v>
      </c>
      <c r="AC98" s="27">
        <f t="shared" si="69"/>
        <v>0</v>
      </c>
      <c r="AD98" s="27">
        <f t="shared" si="91"/>
        <v>0</v>
      </c>
      <c r="AE98" s="27">
        <f t="shared" si="70"/>
        <v>0</v>
      </c>
      <c r="AF98" s="27">
        <f t="shared" si="71"/>
        <v>0</v>
      </c>
      <c r="AG98" s="61"/>
      <c r="AT98" s="61"/>
    </row>
    <row r="99" spans="1:46" s="27" customFormat="1" ht="11.25" hidden="1" x14ac:dyDescent="0.2">
      <c r="B99" s="60">
        <f t="shared" si="58"/>
        <v>12</v>
      </c>
      <c r="C99" s="27">
        <f t="shared" si="74"/>
        <v>0</v>
      </c>
      <c r="D99" s="27">
        <f t="shared" si="93"/>
        <v>0</v>
      </c>
      <c r="E99" s="27">
        <f t="shared" si="60"/>
        <v>0</v>
      </c>
      <c r="F99" s="27">
        <f t="shared" si="77"/>
        <v>0</v>
      </c>
      <c r="G99" s="27">
        <f t="shared" si="78"/>
        <v>0</v>
      </c>
      <c r="H99" s="27">
        <f t="shared" si="61"/>
        <v>0</v>
      </c>
      <c r="I99" s="27">
        <f t="shared" si="75"/>
        <v>0</v>
      </c>
      <c r="J99" s="27">
        <f t="shared" si="79"/>
        <v>0</v>
      </c>
      <c r="K99" s="27">
        <f t="shared" si="62"/>
        <v>0</v>
      </c>
      <c r="L99" s="27">
        <f t="shared" si="80"/>
        <v>0</v>
      </c>
      <c r="M99" s="27">
        <f t="shared" si="81"/>
        <v>0</v>
      </c>
      <c r="N99" s="27">
        <f t="shared" si="63"/>
        <v>0</v>
      </c>
      <c r="O99" s="27">
        <f t="shared" si="82"/>
        <v>0</v>
      </c>
      <c r="P99" s="27">
        <f t="shared" si="83"/>
        <v>0</v>
      </c>
      <c r="Q99" s="60">
        <f t="shared" si="64"/>
        <v>0</v>
      </c>
      <c r="R99" s="27">
        <f t="shared" si="84"/>
        <v>0</v>
      </c>
      <c r="S99" s="27">
        <f t="shared" si="85"/>
        <v>0</v>
      </c>
      <c r="T99" s="27">
        <f t="shared" si="65"/>
        <v>0</v>
      </c>
      <c r="U99" s="27">
        <f t="shared" si="86"/>
        <v>0</v>
      </c>
      <c r="V99" s="27">
        <f t="shared" si="87"/>
        <v>0</v>
      </c>
      <c r="W99" s="27">
        <f t="shared" si="66"/>
        <v>0</v>
      </c>
      <c r="X99" s="27">
        <f t="shared" si="88"/>
        <v>0</v>
      </c>
      <c r="Y99" s="27">
        <f t="shared" si="89"/>
        <v>0</v>
      </c>
      <c r="Z99" s="27">
        <f t="shared" si="67"/>
        <v>0</v>
      </c>
      <c r="AA99" s="27">
        <f t="shared" si="90"/>
        <v>0</v>
      </c>
      <c r="AB99" s="27">
        <f t="shared" si="68"/>
        <v>0</v>
      </c>
      <c r="AC99" s="27">
        <f t="shared" si="69"/>
        <v>0</v>
      </c>
      <c r="AD99" s="27">
        <f t="shared" si="91"/>
        <v>0</v>
      </c>
      <c r="AE99" s="27">
        <f t="shared" si="70"/>
        <v>0</v>
      </c>
      <c r="AF99" s="27">
        <f t="shared" si="71"/>
        <v>0</v>
      </c>
      <c r="AG99" s="61"/>
      <c r="AT99" s="61"/>
    </row>
    <row r="100" spans="1:46" s="27" customFormat="1" ht="11.25" hidden="1" x14ac:dyDescent="0.2">
      <c r="B100" s="60">
        <f t="shared" si="58"/>
        <v>13</v>
      </c>
      <c r="C100" s="27">
        <f t="shared" si="74"/>
        <v>0</v>
      </c>
      <c r="D100" s="27">
        <f t="shared" si="93"/>
        <v>0</v>
      </c>
      <c r="E100" s="27">
        <f t="shared" si="60"/>
        <v>0</v>
      </c>
      <c r="F100" s="27">
        <f t="shared" si="77"/>
        <v>0</v>
      </c>
      <c r="G100" s="27">
        <f t="shared" si="78"/>
        <v>0</v>
      </c>
      <c r="H100" s="27">
        <f t="shared" si="61"/>
        <v>0</v>
      </c>
      <c r="I100" s="27">
        <f t="shared" si="75"/>
        <v>0</v>
      </c>
      <c r="J100" s="27">
        <f t="shared" si="79"/>
        <v>0</v>
      </c>
      <c r="K100" s="27">
        <f t="shared" si="62"/>
        <v>0</v>
      </c>
      <c r="L100" s="27">
        <f t="shared" si="80"/>
        <v>0</v>
      </c>
      <c r="M100" s="27">
        <f t="shared" si="81"/>
        <v>0</v>
      </c>
      <c r="N100" s="27">
        <f t="shared" si="63"/>
        <v>0</v>
      </c>
      <c r="O100" s="27">
        <f t="shared" si="82"/>
        <v>0</v>
      </c>
      <c r="P100" s="27">
        <f t="shared" si="83"/>
        <v>0</v>
      </c>
      <c r="Q100" s="60">
        <f t="shared" si="64"/>
        <v>0</v>
      </c>
      <c r="R100" s="27">
        <f t="shared" si="84"/>
        <v>0</v>
      </c>
      <c r="S100" s="27">
        <f t="shared" si="85"/>
        <v>0</v>
      </c>
      <c r="T100" s="27">
        <f t="shared" si="65"/>
        <v>0</v>
      </c>
      <c r="U100" s="27">
        <f t="shared" si="86"/>
        <v>0</v>
      </c>
      <c r="V100" s="27">
        <f t="shared" si="87"/>
        <v>0</v>
      </c>
      <c r="W100" s="27">
        <f t="shared" si="66"/>
        <v>0</v>
      </c>
      <c r="X100" s="27">
        <f t="shared" si="88"/>
        <v>0</v>
      </c>
      <c r="Y100" s="27">
        <f t="shared" si="89"/>
        <v>0</v>
      </c>
      <c r="Z100" s="27">
        <f t="shared" si="67"/>
        <v>0</v>
      </c>
      <c r="AA100" s="27">
        <f t="shared" si="90"/>
        <v>0</v>
      </c>
      <c r="AB100" s="27">
        <f t="shared" si="68"/>
        <v>0</v>
      </c>
      <c r="AC100" s="27">
        <f t="shared" si="69"/>
        <v>0</v>
      </c>
      <c r="AD100" s="27">
        <f t="shared" si="91"/>
        <v>0</v>
      </c>
      <c r="AE100" s="27">
        <f t="shared" si="70"/>
        <v>0</v>
      </c>
      <c r="AF100" s="27">
        <f t="shared" si="71"/>
        <v>0</v>
      </c>
      <c r="AG100" s="61"/>
      <c r="AT100" s="61"/>
    </row>
    <row r="101" spans="1:46" s="27" customFormat="1" ht="11.25" hidden="1" x14ac:dyDescent="0.2">
      <c r="B101" s="60">
        <f t="shared" si="58"/>
        <v>14</v>
      </c>
      <c r="C101" s="27">
        <f t="shared" si="74"/>
        <v>0</v>
      </c>
      <c r="D101" s="27">
        <f t="shared" si="93"/>
        <v>0</v>
      </c>
      <c r="E101" s="27">
        <f t="shared" si="60"/>
        <v>0</v>
      </c>
      <c r="F101" s="27">
        <f t="shared" si="77"/>
        <v>0</v>
      </c>
      <c r="G101" s="27">
        <f t="shared" si="78"/>
        <v>0</v>
      </c>
      <c r="H101" s="27">
        <f t="shared" si="61"/>
        <v>0</v>
      </c>
      <c r="I101" s="27">
        <f t="shared" si="75"/>
        <v>0</v>
      </c>
      <c r="J101" s="27">
        <f t="shared" si="79"/>
        <v>0</v>
      </c>
      <c r="K101" s="27">
        <f t="shared" si="62"/>
        <v>0</v>
      </c>
      <c r="L101" s="27">
        <f t="shared" si="80"/>
        <v>0</v>
      </c>
      <c r="M101" s="27">
        <f t="shared" si="81"/>
        <v>0</v>
      </c>
      <c r="N101" s="27">
        <f t="shared" si="63"/>
        <v>0</v>
      </c>
      <c r="O101" s="27">
        <f t="shared" si="82"/>
        <v>0</v>
      </c>
      <c r="P101" s="27">
        <f t="shared" si="83"/>
        <v>0</v>
      </c>
      <c r="Q101" s="60">
        <f t="shared" si="64"/>
        <v>0</v>
      </c>
      <c r="R101" s="27">
        <f t="shared" si="84"/>
        <v>0</v>
      </c>
      <c r="S101" s="27">
        <f t="shared" si="85"/>
        <v>0</v>
      </c>
      <c r="T101" s="27">
        <f t="shared" si="65"/>
        <v>0</v>
      </c>
      <c r="U101" s="27">
        <f t="shared" si="86"/>
        <v>0</v>
      </c>
      <c r="V101" s="27">
        <f t="shared" si="87"/>
        <v>0</v>
      </c>
      <c r="W101" s="27">
        <f t="shared" si="66"/>
        <v>0</v>
      </c>
      <c r="X101" s="27">
        <f t="shared" si="88"/>
        <v>0</v>
      </c>
      <c r="Y101" s="27">
        <f t="shared" si="89"/>
        <v>0</v>
      </c>
      <c r="Z101" s="27">
        <f t="shared" si="67"/>
        <v>0</v>
      </c>
      <c r="AA101" s="27">
        <f t="shared" si="90"/>
        <v>0</v>
      </c>
      <c r="AB101" s="27">
        <f t="shared" si="68"/>
        <v>0</v>
      </c>
      <c r="AC101" s="27">
        <f t="shared" si="69"/>
        <v>0</v>
      </c>
      <c r="AD101" s="27">
        <f t="shared" si="91"/>
        <v>0</v>
      </c>
      <c r="AE101" s="27">
        <f t="shared" si="70"/>
        <v>0</v>
      </c>
      <c r="AF101" s="27">
        <f t="shared" si="71"/>
        <v>0</v>
      </c>
      <c r="AG101" s="61"/>
      <c r="AT101" s="61"/>
    </row>
    <row r="102" spans="1:46" s="27" customFormat="1" ht="11.25" hidden="1" x14ac:dyDescent="0.2">
      <c r="B102" s="60">
        <f t="shared" si="58"/>
        <v>15</v>
      </c>
      <c r="C102" s="27">
        <f t="shared" si="74"/>
        <v>0</v>
      </c>
      <c r="D102" s="27">
        <f t="shared" si="93"/>
        <v>0</v>
      </c>
      <c r="E102" s="27">
        <f t="shared" si="60"/>
        <v>0</v>
      </c>
      <c r="F102" s="27">
        <f t="shared" si="77"/>
        <v>0</v>
      </c>
      <c r="G102" s="27">
        <f t="shared" si="78"/>
        <v>0</v>
      </c>
      <c r="H102" s="27">
        <f t="shared" si="61"/>
        <v>0</v>
      </c>
      <c r="I102" s="27">
        <f t="shared" si="75"/>
        <v>0</v>
      </c>
      <c r="J102" s="27">
        <f t="shared" si="79"/>
        <v>0</v>
      </c>
      <c r="K102" s="27">
        <f t="shared" si="62"/>
        <v>0</v>
      </c>
      <c r="L102" s="27">
        <f t="shared" si="80"/>
        <v>0</v>
      </c>
      <c r="M102" s="27">
        <f t="shared" si="81"/>
        <v>0</v>
      </c>
      <c r="N102" s="27">
        <f t="shared" si="63"/>
        <v>0</v>
      </c>
      <c r="O102" s="27">
        <f t="shared" si="82"/>
        <v>0</v>
      </c>
      <c r="P102" s="27">
        <f t="shared" si="83"/>
        <v>0</v>
      </c>
      <c r="Q102" s="60">
        <f t="shared" si="64"/>
        <v>0</v>
      </c>
      <c r="R102" s="27">
        <f t="shared" si="84"/>
        <v>0</v>
      </c>
      <c r="S102" s="27">
        <f t="shared" si="85"/>
        <v>0</v>
      </c>
      <c r="T102" s="27">
        <f t="shared" si="65"/>
        <v>0</v>
      </c>
      <c r="U102" s="27">
        <f t="shared" si="86"/>
        <v>0</v>
      </c>
      <c r="V102" s="27">
        <f t="shared" si="87"/>
        <v>0</v>
      </c>
      <c r="W102" s="27">
        <f t="shared" si="66"/>
        <v>0</v>
      </c>
      <c r="X102" s="27">
        <f t="shared" si="88"/>
        <v>0</v>
      </c>
      <c r="Y102" s="27">
        <f t="shared" si="89"/>
        <v>0</v>
      </c>
      <c r="Z102" s="27">
        <f t="shared" si="67"/>
        <v>0</v>
      </c>
      <c r="AA102" s="27">
        <f t="shared" si="90"/>
        <v>0</v>
      </c>
      <c r="AB102" s="27">
        <f t="shared" si="68"/>
        <v>0</v>
      </c>
      <c r="AC102" s="27">
        <f t="shared" si="69"/>
        <v>0</v>
      </c>
      <c r="AD102" s="27">
        <f t="shared" si="91"/>
        <v>0</v>
      </c>
      <c r="AE102" s="27">
        <f t="shared" si="70"/>
        <v>0</v>
      </c>
      <c r="AF102" s="27">
        <f t="shared" si="71"/>
        <v>0</v>
      </c>
      <c r="AG102" s="61"/>
      <c r="AI102" s="27">
        <v>1</v>
      </c>
      <c r="AJ102" s="27">
        <f t="shared" ref="AJ102:AT102" si="94">+AI102+1</f>
        <v>2</v>
      </c>
      <c r="AK102" s="27">
        <f t="shared" si="94"/>
        <v>3</v>
      </c>
      <c r="AL102" s="27">
        <f t="shared" si="94"/>
        <v>4</v>
      </c>
      <c r="AM102" s="27">
        <f t="shared" si="94"/>
        <v>5</v>
      </c>
      <c r="AN102" s="27">
        <f t="shared" si="94"/>
        <v>6</v>
      </c>
      <c r="AO102" s="27">
        <f t="shared" si="94"/>
        <v>7</v>
      </c>
      <c r="AP102" s="27">
        <f t="shared" si="94"/>
        <v>8</v>
      </c>
      <c r="AQ102" s="27">
        <f t="shared" si="94"/>
        <v>9</v>
      </c>
      <c r="AR102" s="27">
        <f t="shared" si="94"/>
        <v>10</v>
      </c>
      <c r="AS102" s="27">
        <f t="shared" si="94"/>
        <v>11</v>
      </c>
      <c r="AT102" s="61">
        <f t="shared" si="94"/>
        <v>12</v>
      </c>
    </row>
    <row r="103" spans="1:46" s="27" customFormat="1" ht="11.25" hidden="1" x14ac:dyDescent="0.2">
      <c r="B103" s="60">
        <f t="shared" si="58"/>
        <v>16</v>
      </c>
      <c r="C103" s="27">
        <f t="shared" si="74"/>
        <v>0</v>
      </c>
      <c r="D103" s="27">
        <f t="shared" si="93"/>
        <v>0</v>
      </c>
      <c r="E103" s="27">
        <f t="shared" si="60"/>
        <v>0</v>
      </c>
      <c r="F103" s="27">
        <f t="shared" si="77"/>
        <v>0</v>
      </c>
      <c r="G103" s="27">
        <f t="shared" si="78"/>
        <v>0</v>
      </c>
      <c r="H103" s="27">
        <f t="shared" si="61"/>
        <v>0</v>
      </c>
      <c r="I103" s="27">
        <f t="shared" si="75"/>
        <v>0</v>
      </c>
      <c r="J103" s="27">
        <f t="shared" si="79"/>
        <v>0</v>
      </c>
      <c r="K103" s="27">
        <f t="shared" si="62"/>
        <v>0</v>
      </c>
      <c r="L103" s="27">
        <f t="shared" si="80"/>
        <v>0</v>
      </c>
      <c r="M103" s="27">
        <f t="shared" si="81"/>
        <v>0</v>
      </c>
      <c r="N103" s="27">
        <f t="shared" si="63"/>
        <v>0</v>
      </c>
      <c r="O103" s="27">
        <f t="shared" si="82"/>
        <v>0</v>
      </c>
      <c r="P103" s="27">
        <f t="shared" si="83"/>
        <v>0</v>
      </c>
      <c r="Q103" s="60">
        <f t="shared" si="64"/>
        <v>0</v>
      </c>
      <c r="R103" s="27">
        <f t="shared" si="84"/>
        <v>0</v>
      </c>
      <c r="S103" s="27">
        <f t="shared" si="85"/>
        <v>0</v>
      </c>
      <c r="T103" s="27">
        <f t="shared" si="65"/>
        <v>0</v>
      </c>
      <c r="U103" s="27">
        <f t="shared" si="86"/>
        <v>0</v>
      </c>
      <c r="V103" s="27">
        <f t="shared" si="87"/>
        <v>0</v>
      </c>
      <c r="W103" s="27">
        <f t="shared" si="66"/>
        <v>0</v>
      </c>
      <c r="X103" s="27">
        <f t="shared" si="88"/>
        <v>0</v>
      </c>
      <c r="Y103" s="27">
        <f t="shared" si="89"/>
        <v>0</v>
      </c>
      <c r="Z103" s="27">
        <f t="shared" si="67"/>
        <v>0</v>
      </c>
      <c r="AA103" s="27">
        <f t="shared" si="90"/>
        <v>0</v>
      </c>
      <c r="AB103" s="27">
        <f t="shared" si="68"/>
        <v>0</v>
      </c>
      <c r="AC103" s="27">
        <f t="shared" si="69"/>
        <v>0</v>
      </c>
      <c r="AD103" s="27">
        <f t="shared" si="91"/>
        <v>0</v>
      </c>
      <c r="AE103" s="27">
        <f t="shared" si="70"/>
        <v>0</v>
      </c>
      <c r="AF103" s="27">
        <f t="shared" si="71"/>
        <v>0</v>
      </c>
      <c r="AG103" s="61"/>
      <c r="AH103" s="27" t="s">
        <v>12</v>
      </c>
      <c r="AI103" s="27">
        <f>D!$N$6</f>
        <v>2013</v>
      </c>
      <c r="AJ103" s="27">
        <f t="shared" ref="AJ103:AT103" si="95">+AI103+1</f>
        <v>2014</v>
      </c>
      <c r="AK103" s="27">
        <f t="shared" si="95"/>
        <v>2015</v>
      </c>
      <c r="AL103" s="27">
        <f t="shared" si="95"/>
        <v>2016</v>
      </c>
      <c r="AM103" s="27">
        <f t="shared" si="95"/>
        <v>2017</v>
      </c>
      <c r="AN103" s="27">
        <f t="shared" si="95"/>
        <v>2018</v>
      </c>
      <c r="AO103" s="27">
        <f t="shared" si="95"/>
        <v>2019</v>
      </c>
      <c r="AP103" s="27">
        <f t="shared" si="95"/>
        <v>2020</v>
      </c>
      <c r="AQ103" s="27">
        <f t="shared" si="95"/>
        <v>2021</v>
      </c>
      <c r="AR103" s="27">
        <f t="shared" si="95"/>
        <v>2022</v>
      </c>
      <c r="AS103" s="27">
        <f t="shared" si="95"/>
        <v>2023</v>
      </c>
      <c r="AT103" s="61">
        <f t="shared" si="95"/>
        <v>2024</v>
      </c>
    </row>
    <row r="104" spans="1:46" s="27" customFormat="1" ht="11.25" hidden="1" x14ac:dyDescent="0.2">
      <c r="B104" s="60">
        <f t="shared" si="58"/>
        <v>17</v>
      </c>
      <c r="C104" s="27">
        <f t="shared" si="74"/>
        <v>0</v>
      </c>
      <c r="D104" s="27">
        <f t="shared" si="93"/>
        <v>0</v>
      </c>
      <c r="E104" s="27">
        <f t="shared" si="60"/>
        <v>0</v>
      </c>
      <c r="F104" s="27">
        <f t="shared" si="77"/>
        <v>0</v>
      </c>
      <c r="G104" s="27">
        <f t="shared" si="78"/>
        <v>0</v>
      </c>
      <c r="H104" s="27">
        <f t="shared" si="61"/>
        <v>0</v>
      </c>
      <c r="I104" s="27">
        <f t="shared" si="75"/>
        <v>0</v>
      </c>
      <c r="J104" s="27">
        <f t="shared" si="79"/>
        <v>0</v>
      </c>
      <c r="K104" s="27">
        <f t="shared" si="62"/>
        <v>0</v>
      </c>
      <c r="L104" s="27">
        <f t="shared" si="80"/>
        <v>0</v>
      </c>
      <c r="M104" s="27">
        <f t="shared" si="81"/>
        <v>0</v>
      </c>
      <c r="N104" s="27">
        <f t="shared" si="63"/>
        <v>0</v>
      </c>
      <c r="O104" s="27">
        <f t="shared" si="82"/>
        <v>0</v>
      </c>
      <c r="P104" s="27">
        <f t="shared" si="83"/>
        <v>0</v>
      </c>
      <c r="Q104" s="60">
        <f t="shared" si="64"/>
        <v>0</v>
      </c>
      <c r="R104" s="27">
        <f t="shared" si="84"/>
        <v>0</v>
      </c>
      <c r="S104" s="27">
        <f t="shared" si="85"/>
        <v>0</v>
      </c>
      <c r="T104" s="27">
        <f t="shared" si="65"/>
        <v>0</v>
      </c>
      <c r="U104" s="27">
        <f t="shared" si="86"/>
        <v>0</v>
      </c>
      <c r="V104" s="27">
        <f t="shared" si="87"/>
        <v>0</v>
      </c>
      <c r="W104" s="27">
        <f t="shared" si="66"/>
        <v>0</v>
      </c>
      <c r="X104" s="27">
        <f t="shared" si="88"/>
        <v>0</v>
      </c>
      <c r="Y104" s="27">
        <f t="shared" si="89"/>
        <v>0</v>
      </c>
      <c r="Z104" s="27">
        <f t="shared" si="67"/>
        <v>0</v>
      </c>
      <c r="AA104" s="27">
        <f t="shared" si="90"/>
        <v>0</v>
      </c>
      <c r="AB104" s="27">
        <f t="shared" si="68"/>
        <v>0</v>
      </c>
      <c r="AC104" s="27">
        <f t="shared" si="69"/>
        <v>0</v>
      </c>
      <c r="AD104" s="27">
        <f t="shared" si="91"/>
        <v>0</v>
      </c>
      <c r="AE104" s="27">
        <f t="shared" si="70"/>
        <v>0</v>
      </c>
      <c r="AF104" s="27">
        <f t="shared" si="71"/>
        <v>0</v>
      </c>
      <c r="AG104" s="61"/>
      <c r="AH104" s="27" t="s">
        <v>7</v>
      </c>
      <c r="AI104" s="27">
        <f>+C78</f>
        <v>0</v>
      </c>
      <c r="AT104" s="61"/>
    </row>
    <row r="105" spans="1:46" s="27" customFormat="1" ht="11.25" hidden="1" x14ac:dyDescent="0.2">
      <c r="B105" s="60">
        <f t="shared" si="58"/>
        <v>18</v>
      </c>
      <c r="C105" s="27">
        <f t="shared" si="74"/>
        <v>0</v>
      </c>
      <c r="D105" s="27">
        <f t="shared" si="93"/>
        <v>0</v>
      </c>
      <c r="E105" s="27">
        <f t="shared" si="60"/>
        <v>0</v>
      </c>
      <c r="F105" s="27">
        <f t="shared" si="77"/>
        <v>0</v>
      </c>
      <c r="G105" s="27">
        <f t="shared" si="78"/>
        <v>0</v>
      </c>
      <c r="H105" s="27">
        <f t="shared" si="61"/>
        <v>0</v>
      </c>
      <c r="I105" s="27">
        <f t="shared" si="75"/>
        <v>0</v>
      </c>
      <c r="J105" s="27">
        <f t="shared" si="79"/>
        <v>0</v>
      </c>
      <c r="K105" s="27">
        <f t="shared" si="62"/>
        <v>0</v>
      </c>
      <c r="L105" s="27">
        <f t="shared" si="80"/>
        <v>0</v>
      </c>
      <c r="M105" s="27">
        <f t="shared" si="81"/>
        <v>0</v>
      </c>
      <c r="N105" s="27">
        <f t="shared" si="63"/>
        <v>0</v>
      </c>
      <c r="O105" s="27">
        <f t="shared" si="82"/>
        <v>0</v>
      </c>
      <c r="P105" s="27">
        <f t="shared" si="83"/>
        <v>0</v>
      </c>
      <c r="Q105" s="60">
        <f t="shared" si="64"/>
        <v>0</v>
      </c>
      <c r="R105" s="27">
        <f t="shared" si="84"/>
        <v>0</v>
      </c>
      <c r="S105" s="27">
        <f t="shared" si="85"/>
        <v>0</v>
      </c>
      <c r="T105" s="27">
        <f t="shared" si="65"/>
        <v>0</v>
      </c>
      <c r="U105" s="27">
        <f t="shared" si="86"/>
        <v>0</v>
      </c>
      <c r="V105" s="27">
        <f t="shared" si="87"/>
        <v>0</v>
      </c>
      <c r="W105" s="27">
        <f t="shared" si="66"/>
        <v>0</v>
      </c>
      <c r="X105" s="27">
        <f t="shared" si="88"/>
        <v>0</v>
      </c>
      <c r="Y105" s="27">
        <f t="shared" si="89"/>
        <v>0</v>
      </c>
      <c r="Z105" s="27">
        <f t="shared" si="67"/>
        <v>0</v>
      </c>
      <c r="AA105" s="27">
        <f t="shared" si="90"/>
        <v>0</v>
      </c>
      <c r="AB105" s="27">
        <f t="shared" si="68"/>
        <v>0</v>
      </c>
      <c r="AC105" s="27">
        <f t="shared" si="69"/>
        <v>0</v>
      </c>
      <c r="AD105" s="27">
        <f t="shared" si="91"/>
        <v>0</v>
      </c>
      <c r="AE105" s="27">
        <f t="shared" si="70"/>
        <v>0</v>
      </c>
      <c r="AF105" s="27">
        <f t="shared" si="71"/>
        <v>0</v>
      </c>
      <c r="AG105" s="61"/>
      <c r="AH105" s="27" t="s">
        <v>1530</v>
      </c>
      <c r="AT105" s="61"/>
    </row>
    <row r="106" spans="1:46" s="27" customFormat="1" ht="11.25" hidden="1" x14ac:dyDescent="0.2">
      <c r="B106" s="60">
        <f t="shared" si="58"/>
        <v>19</v>
      </c>
      <c r="C106" s="27">
        <f t="shared" si="74"/>
        <v>0</v>
      </c>
      <c r="D106" s="27">
        <f t="shared" si="93"/>
        <v>0</v>
      </c>
      <c r="E106" s="27">
        <f t="shared" si="60"/>
        <v>0</v>
      </c>
      <c r="F106" s="27">
        <f t="shared" si="77"/>
        <v>0</v>
      </c>
      <c r="G106" s="27">
        <f t="shared" si="78"/>
        <v>0</v>
      </c>
      <c r="H106" s="27">
        <f t="shared" si="61"/>
        <v>0</v>
      </c>
      <c r="I106" s="27">
        <f t="shared" si="75"/>
        <v>0</v>
      </c>
      <c r="J106" s="27">
        <f t="shared" si="79"/>
        <v>0</v>
      </c>
      <c r="K106" s="27">
        <f t="shared" si="62"/>
        <v>0</v>
      </c>
      <c r="L106" s="27">
        <f t="shared" si="80"/>
        <v>0</v>
      </c>
      <c r="M106" s="27">
        <f t="shared" si="81"/>
        <v>0</v>
      </c>
      <c r="N106" s="27">
        <f t="shared" si="63"/>
        <v>0</v>
      </c>
      <c r="O106" s="27">
        <f t="shared" si="82"/>
        <v>0</v>
      </c>
      <c r="P106" s="27">
        <f t="shared" si="83"/>
        <v>0</v>
      </c>
      <c r="Q106" s="60">
        <f t="shared" si="64"/>
        <v>0</v>
      </c>
      <c r="R106" s="27">
        <f t="shared" si="84"/>
        <v>0</v>
      </c>
      <c r="S106" s="27">
        <f t="shared" si="85"/>
        <v>0</v>
      </c>
      <c r="T106" s="27">
        <f t="shared" si="65"/>
        <v>0</v>
      </c>
      <c r="U106" s="27">
        <f t="shared" si="86"/>
        <v>0</v>
      </c>
      <c r="V106" s="27">
        <f t="shared" si="87"/>
        <v>0</v>
      </c>
      <c r="W106" s="27">
        <f t="shared" si="66"/>
        <v>0</v>
      </c>
      <c r="X106" s="27">
        <f t="shared" si="88"/>
        <v>0</v>
      </c>
      <c r="Y106" s="27">
        <f t="shared" si="89"/>
        <v>0</v>
      </c>
      <c r="Z106" s="27">
        <f t="shared" si="67"/>
        <v>0</v>
      </c>
      <c r="AA106" s="27">
        <f t="shared" si="90"/>
        <v>0</v>
      </c>
      <c r="AB106" s="27">
        <f t="shared" si="68"/>
        <v>0</v>
      </c>
      <c r="AC106" s="27">
        <f t="shared" si="69"/>
        <v>0</v>
      </c>
      <c r="AD106" s="27">
        <f t="shared" si="91"/>
        <v>0</v>
      </c>
      <c r="AE106" s="27">
        <f t="shared" si="70"/>
        <v>0</v>
      </c>
      <c r="AF106" s="27">
        <f t="shared" si="71"/>
        <v>0</v>
      </c>
      <c r="AG106" s="61"/>
      <c r="AH106" s="27" t="s">
        <v>8</v>
      </c>
      <c r="AI106" s="27">
        <f>SUMIF($P78:$P82,$AH84,Q78:Q82)</f>
        <v>0</v>
      </c>
      <c r="AJ106" s="27">
        <f>SUMIF($P78:$P82,$AH84,S78:S82)</f>
        <v>0</v>
      </c>
      <c r="AK106" s="27">
        <f>SUMIF($P78:$P82,$AH84,U78:U82)</f>
        <v>0</v>
      </c>
      <c r="AL106" s="27">
        <f>SUMIF($P78:$P82,$AH84,W78:W82)</f>
        <v>0</v>
      </c>
      <c r="AM106" s="27">
        <f>SUMIF($P78:$P82,$AH84,Y78:Y82)</f>
        <v>0</v>
      </c>
      <c r="AN106" s="27">
        <f>SUM(AI106:AM106)</f>
        <v>0</v>
      </c>
      <c r="AT106" s="61"/>
    </row>
    <row r="107" spans="1:46" s="27" customFormat="1" ht="11.25" hidden="1" x14ac:dyDescent="0.2">
      <c r="B107" s="60">
        <f t="shared" si="58"/>
        <v>20</v>
      </c>
      <c r="C107" s="27">
        <f t="shared" si="74"/>
        <v>0</v>
      </c>
      <c r="D107" s="27">
        <f t="shared" si="93"/>
        <v>0</v>
      </c>
      <c r="E107" s="27">
        <f t="shared" si="60"/>
        <v>0</v>
      </c>
      <c r="F107" s="27">
        <f t="shared" si="77"/>
        <v>0</v>
      </c>
      <c r="G107" s="27">
        <f t="shared" si="78"/>
        <v>0</v>
      </c>
      <c r="H107" s="27">
        <f t="shared" si="61"/>
        <v>0</v>
      </c>
      <c r="I107" s="27">
        <f t="shared" si="75"/>
        <v>0</v>
      </c>
      <c r="J107" s="27">
        <f t="shared" si="79"/>
        <v>0</v>
      </c>
      <c r="K107" s="27">
        <f t="shared" si="62"/>
        <v>0</v>
      </c>
      <c r="L107" s="27">
        <f t="shared" si="80"/>
        <v>0</v>
      </c>
      <c r="M107" s="27">
        <f t="shared" si="81"/>
        <v>0</v>
      </c>
      <c r="N107" s="27">
        <f t="shared" si="63"/>
        <v>0</v>
      </c>
      <c r="O107" s="27">
        <f t="shared" si="82"/>
        <v>0</v>
      </c>
      <c r="P107" s="27">
        <f t="shared" si="83"/>
        <v>0</v>
      </c>
      <c r="Q107" s="60">
        <f t="shared" si="64"/>
        <v>0</v>
      </c>
      <c r="R107" s="27">
        <f t="shared" si="84"/>
        <v>0</v>
      </c>
      <c r="S107" s="27">
        <f t="shared" si="85"/>
        <v>0</v>
      </c>
      <c r="T107" s="27">
        <f t="shared" si="65"/>
        <v>0</v>
      </c>
      <c r="U107" s="27">
        <f t="shared" si="86"/>
        <v>0</v>
      </c>
      <c r="V107" s="27">
        <f t="shared" si="87"/>
        <v>0</v>
      </c>
      <c r="W107" s="27">
        <f t="shared" si="66"/>
        <v>0</v>
      </c>
      <c r="X107" s="27">
        <f t="shared" si="88"/>
        <v>0</v>
      </c>
      <c r="Y107" s="27">
        <f t="shared" si="89"/>
        <v>0</v>
      </c>
      <c r="Z107" s="27">
        <f t="shared" si="67"/>
        <v>0</v>
      </c>
      <c r="AA107" s="27">
        <f t="shared" si="90"/>
        <v>0</v>
      </c>
      <c r="AB107" s="27">
        <f t="shared" si="68"/>
        <v>0</v>
      </c>
      <c r="AC107" s="27">
        <f t="shared" si="69"/>
        <v>0</v>
      </c>
      <c r="AD107" s="27">
        <f t="shared" si="91"/>
        <v>0</v>
      </c>
      <c r="AE107" s="27">
        <f t="shared" si="70"/>
        <v>0</v>
      </c>
      <c r="AF107" s="27">
        <f t="shared" si="71"/>
        <v>0</v>
      </c>
      <c r="AG107" s="61"/>
      <c r="AH107" s="27" t="s">
        <v>9</v>
      </c>
      <c r="AI107" s="27">
        <f>SUMIF($P78:$P82,$AH84,R78:R82)</f>
        <v>0</v>
      </c>
      <c r="AJ107" s="27">
        <f>SUMIF($P78:$P82,$AH84,T78:T82)</f>
        <v>0</v>
      </c>
      <c r="AK107" s="27">
        <f>SUMIF($P78:$P82,$AH84,V78:V82)</f>
        <v>0</v>
      </c>
      <c r="AL107" s="27">
        <f>SUMIF($P78:$P82,$AH84,X78:X82)</f>
        <v>0</v>
      </c>
      <c r="AM107" s="27">
        <f>SUMIF($P78:$P82,$AH84,Z78:Z82)</f>
        <v>0</v>
      </c>
      <c r="AT107" s="61"/>
    </row>
    <row r="108" spans="1:46" s="27" customFormat="1" ht="11.25" hidden="1" x14ac:dyDescent="0.2">
      <c r="B108" s="60">
        <v>21</v>
      </c>
      <c r="C108" s="27">
        <f t="shared" si="74"/>
        <v>0</v>
      </c>
      <c r="D108" s="27">
        <f t="shared" si="93"/>
        <v>0</v>
      </c>
      <c r="E108" s="27">
        <f t="shared" si="60"/>
        <v>0</v>
      </c>
      <c r="F108" s="27">
        <f t="shared" si="77"/>
        <v>0</v>
      </c>
      <c r="G108" s="27">
        <f t="shared" si="78"/>
        <v>0</v>
      </c>
      <c r="H108" s="27">
        <f t="shared" si="61"/>
        <v>0</v>
      </c>
      <c r="I108" s="27">
        <f t="shared" si="75"/>
        <v>0</v>
      </c>
      <c r="J108" s="27">
        <f t="shared" si="79"/>
        <v>0</v>
      </c>
      <c r="K108" s="27">
        <f t="shared" si="62"/>
        <v>0</v>
      </c>
      <c r="L108" s="27">
        <f t="shared" si="80"/>
        <v>0</v>
      </c>
      <c r="M108" s="27">
        <f t="shared" si="81"/>
        <v>0</v>
      </c>
      <c r="N108" s="27">
        <f t="shared" si="63"/>
        <v>0</v>
      </c>
      <c r="O108" s="27">
        <f t="shared" si="82"/>
        <v>0</v>
      </c>
      <c r="P108" s="27">
        <f t="shared" si="83"/>
        <v>0</v>
      </c>
      <c r="Q108" s="60">
        <f t="shared" si="64"/>
        <v>0</v>
      </c>
      <c r="R108" s="27">
        <f t="shared" si="84"/>
        <v>0</v>
      </c>
      <c r="S108" s="27">
        <f t="shared" si="85"/>
        <v>0</v>
      </c>
      <c r="T108" s="27">
        <f t="shared" si="65"/>
        <v>0</v>
      </c>
      <c r="U108" s="27">
        <f t="shared" si="86"/>
        <v>0</v>
      </c>
      <c r="V108" s="27">
        <f t="shared" si="87"/>
        <v>0</v>
      </c>
      <c r="W108" s="27">
        <f t="shared" si="66"/>
        <v>0</v>
      </c>
      <c r="X108" s="27">
        <f t="shared" si="88"/>
        <v>0</v>
      </c>
      <c r="Y108" s="27">
        <f t="shared" si="89"/>
        <v>0</v>
      </c>
      <c r="Z108" s="27">
        <f t="shared" si="67"/>
        <v>0</v>
      </c>
      <c r="AA108" s="27">
        <f t="shared" si="90"/>
        <v>0</v>
      </c>
      <c r="AB108" s="27">
        <f t="shared" si="68"/>
        <v>0</v>
      </c>
      <c r="AC108" s="27">
        <f t="shared" si="69"/>
        <v>0</v>
      </c>
      <c r="AD108" s="27">
        <f t="shared" si="91"/>
        <v>0</v>
      </c>
      <c r="AE108" s="27">
        <f t="shared" si="70"/>
        <v>0</v>
      </c>
      <c r="AF108" s="27">
        <f t="shared" si="71"/>
        <v>0</v>
      </c>
      <c r="AG108" s="61"/>
      <c r="AH108" s="27" t="s">
        <v>958</v>
      </c>
      <c r="AI108" s="27">
        <f>+AI107+AI106</f>
        <v>0</v>
      </c>
      <c r="AJ108" s="27">
        <f>+AJ107+AJ106</f>
        <v>0</v>
      </c>
      <c r="AK108" s="27">
        <f>+AK107+AK106</f>
        <v>0</v>
      </c>
      <c r="AL108" s="27">
        <f>+AL107+AL106</f>
        <v>0</v>
      </c>
      <c r="AM108" s="27">
        <f>+AM107+AM106</f>
        <v>0</v>
      </c>
      <c r="AT108" s="61"/>
    </row>
    <row r="109" spans="1:46" s="27" customFormat="1" ht="11.25" hidden="1" x14ac:dyDescent="0.2">
      <c r="B109" s="60">
        <v>21</v>
      </c>
      <c r="C109" s="27">
        <f t="shared" si="74"/>
        <v>0</v>
      </c>
      <c r="D109" s="27">
        <f t="shared" si="93"/>
        <v>0</v>
      </c>
      <c r="E109" s="27">
        <f t="shared" si="60"/>
        <v>0</v>
      </c>
      <c r="F109" s="27">
        <f t="shared" si="77"/>
        <v>0</v>
      </c>
      <c r="G109" s="27">
        <f t="shared" si="78"/>
        <v>0</v>
      </c>
      <c r="H109" s="27">
        <f t="shared" si="61"/>
        <v>0</v>
      </c>
      <c r="I109" s="27">
        <f t="shared" si="75"/>
        <v>0</v>
      </c>
      <c r="J109" s="27">
        <f t="shared" si="79"/>
        <v>0</v>
      </c>
      <c r="K109" s="27">
        <f t="shared" si="62"/>
        <v>0</v>
      </c>
      <c r="L109" s="27">
        <f t="shared" si="80"/>
        <v>0</v>
      </c>
      <c r="M109" s="27">
        <f t="shared" si="81"/>
        <v>0</v>
      </c>
      <c r="N109" s="27">
        <f t="shared" si="63"/>
        <v>0</v>
      </c>
      <c r="O109" s="27">
        <f t="shared" si="82"/>
        <v>0</v>
      </c>
      <c r="P109" s="27">
        <f t="shared" si="83"/>
        <v>0</v>
      </c>
      <c r="Q109" s="60">
        <f t="shared" si="64"/>
        <v>0</v>
      </c>
      <c r="R109" s="27">
        <f t="shared" si="84"/>
        <v>0</v>
      </c>
      <c r="S109" s="27">
        <f t="shared" si="85"/>
        <v>0</v>
      </c>
      <c r="T109" s="27">
        <f t="shared" si="65"/>
        <v>0</v>
      </c>
      <c r="U109" s="27">
        <f t="shared" si="86"/>
        <v>0</v>
      </c>
      <c r="V109" s="27">
        <f t="shared" si="87"/>
        <v>0</v>
      </c>
      <c r="W109" s="27">
        <f t="shared" si="66"/>
        <v>0</v>
      </c>
      <c r="X109" s="27">
        <f t="shared" si="88"/>
        <v>0</v>
      </c>
      <c r="Y109" s="27">
        <f t="shared" si="89"/>
        <v>0</v>
      </c>
      <c r="Z109" s="27">
        <f t="shared" si="67"/>
        <v>0</v>
      </c>
      <c r="AA109" s="27">
        <f t="shared" si="90"/>
        <v>0</v>
      </c>
      <c r="AB109" s="27">
        <f t="shared" si="68"/>
        <v>0</v>
      </c>
      <c r="AC109" s="27">
        <f t="shared" si="69"/>
        <v>0</v>
      </c>
      <c r="AD109" s="27">
        <f t="shared" si="91"/>
        <v>0</v>
      </c>
      <c r="AE109" s="27">
        <f t="shared" si="70"/>
        <v>0</v>
      </c>
      <c r="AF109" s="27">
        <f t="shared" si="71"/>
        <v>0</v>
      </c>
      <c r="AG109" s="61"/>
      <c r="AH109" s="27" t="s">
        <v>10</v>
      </c>
      <c r="AI109" s="27">
        <f>+C78</f>
        <v>0</v>
      </c>
      <c r="AT109" s="61"/>
    </row>
    <row r="110" spans="1:46" s="27" customFormat="1" ht="11.25" hidden="1" x14ac:dyDescent="0.2">
      <c r="B110" s="60"/>
      <c r="C110" s="27" t="s">
        <v>1559</v>
      </c>
      <c r="D110" s="27">
        <f>IF(G88=0,0,(H88+E88)/G88)</f>
        <v>0</v>
      </c>
      <c r="E110" s="27">
        <f>SUM(E88:E109)</f>
        <v>0</v>
      </c>
      <c r="H110" s="27">
        <f>SUM(H88:H109)</f>
        <v>0</v>
      </c>
      <c r="I110" s="27" t="s">
        <v>1559</v>
      </c>
      <c r="J110" s="27">
        <f>IF(M88=0,0,(N88+K88)/M88)</f>
        <v>0</v>
      </c>
      <c r="K110" s="27">
        <f>SUM(K88:K109)</f>
        <v>0</v>
      </c>
      <c r="N110" s="27">
        <f>SUM(N88:N109)</f>
        <v>0</v>
      </c>
      <c r="O110" s="27" t="s">
        <v>1559</v>
      </c>
      <c r="P110" s="27">
        <f>IF(S88=0,0,(T88+Q88)/S88)</f>
        <v>0</v>
      </c>
      <c r="Q110" s="60">
        <f>SUM(Q88:Q109)</f>
        <v>0</v>
      </c>
      <c r="T110" s="27">
        <f>SUM(T88:T109)</f>
        <v>0</v>
      </c>
      <c r="U110" s="27" t="s">
        <v>1559</v>
      </c>
      <c r="V110" s="27">
        <f>IF(Y88=0,0,(Z88+W88)/Y88)</f>
        <v>0</v>
      </c>
      <c r="W110" s="27">
        <f>SUM(W88:W109)</f>
        <v>0</v>
      </c>
      <c r="Z110" s="27">
        <f>SUM(Z88:Z109)</f>
        <v>0</v>
      </c>
      <c r="AA110" s="27" t="s">
        <v>1559</v>
      </c>
      <c r="AB110" s="27">
        <f>IF(AE88=0,0,(AF88+AC88)/AE88)</f>
        <v>0</v>
      </c>
      <c r="AC110" s="27">
        <f>SUM(AC88:AC109)</f>
        <v>0</v>
      </c>
      <c r="AF110" s="27">
        <f>SUM(AF88:AF109)</f>
        <v>0</v>
      </c>
      <c r="AG110" s="61"/>
      <c r="AH110" s="27" t="s">
        <v>11</v>
      </c>
      <c r="AI110" s="27">
        <f>+AI109-AI106</f>
        <v>0</v>
      </c>
      <c r="AJ110" s="27">
        <f>+AI110-AJ106</f>
        <v>0</v>
      </c>
      <c r="AK110" s="27">
        <f>+AJ110-AK106</f>
        <v>0</v>
      </c>
      <c r="AL110" s="27">
        <f>+AK110-AL106</f>
        <v>0</v>
      </c>
      <c r="AM110" s="27">
        <f>+AL110-AM106</f>
        <v>0</v>
      </c>
      <c r="AT110" s="61"/>
    </row>
    <row r="111" spans="1:46" s="27" customFormat="1" ht="11.25" hidden="1" x14ac:dyDescent="0.2">
      <c r="B111" s="65"/>
      <c r="C111" s="66"/>
      <c r="D111" s="66"/>
      <c r="E111" s="66"/>
      <c r="F111" s="66"/>
      <c r="G111" s="66"/>
      <c r="H111" s="66"/>
      <c r="I111" s="66"/>
      <c r="J111" s="66"/>
      <c r="K111" s="66"/>
      <c r="L111" s="66"/>
      <c r="M111" s="66"/>
      <c r="N111" s="66"/>
      <c r="O111" s="66"/>
      <c r="P111" s="66"/>
      <c r="Q111" s="65"/>
      <c r="R111" s="66"/>
      <c r="S111" s="66"/>
      <c r="T111" s="66"/>
      <c r="U111" s="66"/>
      <c r="V111" s="66"/>
      <c r="W111" s="66"/>
      <c r="X111" s="66"/>
      <c r="Y111" s="66"/>
      <c r="Z111" s="66"/>
      <c r="AA111" s="66"/>
      <c r="AB111" s="66"/>
      <c r="AC111" s="66"/>
      <c r="AD111" s="66"/>
      <c r="AE111" s="66"/>
      <c r="AF111" s="66"/>
      <c r="AG111" s="67"/>
      <c r="AH111" s="66" t="s">
        <v>946</v>
      </c>
      <c r="AI111" s="66">
        <f>IF(AI104=0,0,$G78)</f>
        <v>0</v>
      </c>
      <c r="AJ111" s="66">
        <f>IF(AJ104=0,0,$G78)</f>
        <v>0</v>
      </c>
      <c r="AK111" s="66">
        <f>IF(AK104=0,0,$G78)</f>
        <v>0</v>
      </c>
      <c r="AL111" s="66">
        <f>IF(AL104=0,0,$G78)</f>
        <v>0</v>
      </c>
      <c r="AM111" s="66">
        <f>IF(AM104=0,0,$G78)</f>
        <v>0</v>
      </c>
      <c r="AN111" s="66"/>
      <c r="AO111" s="66"/>
      <c r="AP111" s="66"/>
      <c r="AQ111" s="66"/>
      <c r="AR111" s="66"/>
      <c r="AS111" s="66"/>
      <c r="AT111" s="67"/>
    </row>
    <row r="112" spans="1:46" s="27" customFormat="1" ht="11.25" hidden="1" x14ac:dyDescent="0.2">
      <c r="A112" s="27" t="s">
        <v>388</v>
      </c>
      <c r="B112" s="62" t="s">
        <v>391</v>
      </c>
      <c r="C112" s="63"/>
      <c r="D112" s="63"/>
      <c r="E112" s="63"/>
      <c r="F112" s="63"/>
      <c r="G112" s="63"/>
      <c r="H112" s="63"/>
      <c r="I112" s="63"/>
      <c r="J112" s="63"/>
      <c r="K112" s="63"/>
      <c r="L112" s="63"/>
      <c r="M112" s="63"/>
      <c r="N112" s="63"/>
      <c r="O112" s="63"/>
      <c r="P112" s="63"/>
      <c r="Q112" s="62">
        <v>1</v>
      </c>
      <c r="R112" s="63"/>
      <c r="S112" s="63">
        <f>+Q112+1</f>
        <v>2</v>
      </c>
      <c r="T112" s="63"/>
      <c r="U112" s="63">
        <f>+S112+1</f>
        <v>3</v>
      </c>
      <c r="V112" s="63"/>
      <c r="W112" s="63">
        <f>+U112+1</f>
        <v>4</v>
      </c>
      <c r="X112" s="63"/>
      <c r="Y112" s="63">
        <f>+W112+1</f>
        <v>5</v>
      </c>
      <c r="Z112" s="63"/>
      <c r="AA112" s="63"/>
      <c r="AB112" s="63"/>
      <c r="AC112" s="63"/>
      <c r="AD112" s="63"/>
      <c r="AE112" s="63"/>
      <c r="AF112" s="63"/>
      <c r="AG112" s="64"/>
      <c r="AH112" s="63"/>
      <c r="AI112" s="63" t="str">
        <f t="shared" ref="AI112:AT112" si="96">AI76</f>
        <v>Enero</v>
      </c>
      <c r="AJ112" s="63" t="str">
        <f t="shared" si="96"/>
        <v>Febrero</v>
      </c>
      <c r="AK112" s="63" t="str">
        <f t="shared" si="96"/>
        <v>Marzo</v>
      </c>
      <c r="AL112" s="63" t="str">
        <f t="shared" si="96"/>
        <v>Abril</v>
      </c>
      <c r="AM112" s="63" t="str">
        <f t="shared" si="96"/>
        <v xml:space="preserve">Mayo </v>
      </c>
      <c r="AN112" s="63" t="str">
        <f t="shared" si="96"/>
        <v>Junio</v>
      </c>
      <c r="AO112" s="63" t="str">
        <f t="shared" si="96"/>
        <v>Julio</v>
      </c>
      <c r="AP112" s="63" t="str">
        <f t="shared" si="96"/>
        <v>Agosto</v>
      </c>
      <c r="AQ112" s="63" t="str">
        <f t="shared" si="96"/>
        <v>Septiembre</v>
      </c>
      <c r="AR112" s="63" t="str">
        <f t="shared" si="96"/>
        <v>Octubre</v>
      </c>
      <c r="AS112" s="63" t="str">
        <f t="shared" si="96"/>
        <v>Noviembre</v>
      </c>
      <c r="AT112" s="64" t="str">
        <f t="shared" si="96"/>
        <v>Diciembre</v>
      </c>
    </row>
    <row r="113" spans="2:46" s="27" customFormat="1" ht="11.25" hidden="1" x14ac:dyDescent="0.2">
      <c r="B113" s="60" t="str">
        <f t="shared" ref="B113:I113" si="97">B77</f>
        <v>Préstamo</v>
      </c>
      <c r="C113" s="27" t="str">
        <f t="shared" si="97"/>
        <v>Importe</v>
      </c>
      <c r="D113" s="27" t="str">
        <f t="shared" si="97"/>
        <v>Años</v>
      </c>
      <c r="E113" s="27" t="str">
        <f t="shared" si="97"/>
        <v>Interés</v>
      </c>
      <c r="F113" s="27" t="str">
        <f t="shared" si="97"/>
        <v>Pago cuota</v>
      </c>
      <c r="G113" s="27" t="str">
        <f t="shared" si="97"/>
        <v>Gastos In.</v>
      </c>
      <c r="H113" s="27" t="str">
        <f t="shared" si="97"/>
        <v>concesión</v>
      </c>
      <c r="I113" s="27" t="str">
        <f t="shared" si="97"/>
        <v>Carencia</v>
      </c>
      <c r="J113" s="27" t="s">
        <v>1410</v>
      </c>
      <c r="K113" s="27" t="s">
        <v>1413</v>
      </c>
      <c r="L113" s="27" t="s">
        <v>1412</v>
      </c>
      <c r="M113" s="27" t="s">
        <v>1414</v>
      </c>
      <c r="N113" s="27" t="s">
        <v>1558</v>
      </c>
      <c r="Q113" s="60" t="s">
        <v>550</v>
      </c>
      <c r="R113" s="27" t="s">
        <v>551</v>
      </c>
      <c r="S113" s="27" t="s">
        <v>550</v>
      </c>
      <c r="T113" s="27" t="s">
        <v>551</v>
      </c>
      <c r="U113" s="27" t="s">
        <v>550</v>
      </c>
      <c r="V113" s="27" t="s">
        <v>551</v>
      </c>
      <c r="W113" s="27" t="s">
        <v>550</v>
      </c>
      <c r="X113" s="27" t="s">
        <v>551</v>
      </c>
      <c r="Y113" s="27" t="s">
        <v>550</v>
      </c>
      <c r="Z113" s="27" t="s">
        <v>551</v>
      </c>
      <c r="AG113" s="61"/>
      <c r="AI113" s="27">
        <v>1</v>
      </c>
      <c r="AJ113" s="27">
        <v>2</v>
      </c>
      <c r="AK113" s="27">
        <v>3</v>
      </c>
      <c r="AL113" s="27">
        <v>4</v>
      </c>
      <c r="AM113" s="27">
        <v>5</v>
      </c>
      <c r="AN113" s="27">
        <v>6</v>
      </c>
      <c r="AO113" s="27">
        <v>7</v>
      </c>
      <c r="AP113" s="27">
        <v>8</v>
      </c>
      <c r="AQ113" s="27">
        <v>9</v>
      </c>
      <c r="AR113" s="27">
        <v>10</v>
      </c>
      <c r="AS113" s="27">
        <v>11</v>
      </c>
      <c r="AT113" s="61">
        <v>12</v>
      </c>
    </row>
    <row r="114" spans="2:46" s="27" customFormat="1" ht="11.25" hidden="1" x14ac:dyDescent="0.2">
      <c r="B114" s="60">
        <f>'2'!$E$29</f>
        <v>0</v>
      </c>
      <c r="C114" s="27">
        <f>'2'!H29</f>
        <v>0</v>
      </c>
      <c r="D114" s="27">
        <f>'2'!I29</f>
        <v>0</v>
      </c>
      <c r="E114" s="27">
        <f>'2'!J29</f>
        <v>0</v>
      </c>
      <c r="F114" s="27">
        <f>'2'!K29</f>
        <v>0</v>
      </c>
      <c r="G114" s="27">
        <f>'2'!L29</f>
        <v>0</v>
      </c>
      <c r="H114" s="27" t="str">
        <f>IF(H115=0,D!$Q$6,H115)</f>
        <v>Enero</v>
      </c>
      <c r="I114" s="27" t="str">
        <f>IF(I115=0,SB!$H$175,I115)</f>
        <v>NO</v>
      </c>
      <c r="J114" s="27">
        <f>SUMIF($AA$21:$AA$23,I114,$AB$21:$AB$23)</f>
        <v>0</v>
      </c>
      <c r="K114" s="27">
        <f>IF(C114=0,0,D114*12)</f>
        <v>0</v>
      </c>
      <c r="L114" s="27">
        <f>IF(C114=0,0,IF(J114=0,K114,K114-J114))</f>
        <v>0</v>
      </c>
      <c r="M114" s="27">
        <f>IF(J114=0,D114,D114-(J114/12))</f>
        <v>0</v>
      </c>
      <c r="N114" s="27">
        <f>IF(O115&gt;13,13,O115)</f>
        <v>13</v>
      </c>
      <c r="O114" s="27">
        <f>SUMIF($AI$76:$AT$76,H114,$AI$77:$AT$77)</f>
        <v>1</v>
      </c>
      <c r="P114" s="27" t="str">
        <f>SB!$P$122</f>
        <v>cada MES</v>
      </c>
      <c r="Q114" s="60">
        <f>IF(N114&gt;12,0,E124)</f>
        <v>0</v>
      </c>
      <c r="R114" s="27">
        <f>IF(N114&gt;12,0,H124)</f>
        <v>0</v>
      </c>
      <c r="S114" s="27">
        <f>+E125</f>
        <v>0</v>
      </c>
      <c r="T114" s="27">
        <f>+H125</f>
        <v>0</v>
      </c>
      <c r="U114" s="27">
        <f>+E126</f>
        <v>0</v>
      </c>
      <c r="V114" s="27">
        <f>+H126</f>
        <v>0</v>
      </c>
      <c r="W114" s="27">
        <f>+E127</f>
        <v>0</v>
      </c>
      <c r="X114" s="27">
        <f>+H127</f>
        <v>0</v>
      </c>
      <c r="Y114" s="27">
        <f>+E128</f>
        <v>0</v>
      </c>
      <c r="Z114" s="27">
        <f>+H128</f>
        <v>0</v>
      </c>
      <c r="AD114" s="27" t="s">
        <v>547</v>
      </c>
      <c r="AG114" s="61"/>
      <c r="AI114" s="27">
        <f t="shared" ref="AI114:AT114" si="98">IF($N114=AI113,"INI",0)</f>
        <v>0</v>
      </c>
      <c r="AJ114" s="27">
        <f t="shared" si="98"/>
        <v>0</v>
      </c>
      <c r="AK114" s="27">
        <f t="shared" si="98"/>
        <v>0</v>
      </c>
      <c r="AL114" s="27">
        <f t="shared" si="98"/>
        <v>0</v>
      </c>
      <c r="AM114" s="27">
        <f t="shared" si="98"/>
        <v>0</v>
      </c>
      <c r="AN114" s="27">
        <f t="shared" si="98"/>
        <v>0</v>
      </c>
      <c r="AO114" s="27">
        <f t="shared" si="98"/>
        <v>0</v>
      </c>
      <c r="AP114" s="27">
        <f t="shared" si="98"/>
        <v>0</v>
      </c>
      <c r="AQ114" s="27">
        <f t="shared" si="98"/>
        <v>0</v>
      </c>
      <c r="AR114" s="27">
        <f t="shared" si="98"/>
        <v>0</v>
      </c>
      <c r="AS114" s="27">
        <f t="shared" si="98"/>
        <v>0</v>
      </c>
      <c r="AT114" s="61">
        <f t="shared" si="98"/>
        <v>0</v>
      </c>
    </row>
    <row r="115" spans="2:46" s="27" customFormat="1" ht="11.25" hidden="1" x14ac:dyDescent="0.2">
      <c r="B115" s="60"/>
      <c r="H115" s="27">
        <f>'2'!M29</f>
        <v>0</v>
      </c>
      <c r="I115" s="27">
        <f>'2'!N29</f>
        <v>0</v>
      </c>
      <c r="J115" s="27">
        <f>IF(J114&gt;0,C114*E114,0)</f>
        <v>0</v>
      </c>
      <c r="O115" s="27" t="b">
        <f>IF(F114=P114,O114,IF(F114=P115,O114+1,IF(F114=P116,O114+2,IF(F114=P117,O114+5,IF(F114=P118,O114+11)))))</f>
        <v>0</v>
      </c>
      <c r="P115" s="27" t="str">
        <f>SB!$P$123</f>
        <v>BIMENSUAL</v>
      </c>
      <c r="Q115" s="60">
        <f>IF(N114&gt;12,0,K124)</f>
        <v>0</v>
      </c>
      <c r="R115" s="27">
        <f>IF(N114&gt;12,0,N124)</f>
        <v>0</v>
      </c>
      <c r="S115" s="27">
        <f>+K125</f>
        <v>0</v>
      </c>
      <c r="T115" s="27">
        <f>+N125</f>
        <v>0</v>
      </c>
      <c r="U115" s="27">
        <f>+K126</f>
        <v>0</v>
      </c>
      <c r="V115" s="27">
        <f>+N126</f>
        <v>0</v>
      </c>
      <c r="W115" s="27">
        <f>+K127</f>
        <v>0</v>
      </c>
      <c r="X115" s="27">
        <f>+N127</f>
        <v>0</v>
      </c>
      <c r="Y115" s="27">
        <f>+K128</f>
        <v>0</v>
      </c>
      <c r="Z115" s="27">
        <f>+N128</f>
        <v>0</v>
      </c>
      <c r="AC115" s="27" t="str">
        <f>IF(K114=L114,"OK","¿error?")</f>
        <v>OK</v>
      </c>
      <c r="AD115" s="27">
        <f>IF(D124=0,0,E124/D124)</f>
        <v>0</v>
      </c>
      <c r="AE115" s="27">
        <f>+E124+H124</f>
        <v>0</v>
      </c>
      <c r="AF115" s="27">
        <f>SUM(AI115:AT115)</f>
        <v>0</v>
      </c>
      <c r="AG115" s="61">
        <f>+D146</f>
        <v>0</v>
      </c>
      <c r="AH115" s="27" t="str">
        <f>SB!$P$122</f>
        <v>cada MES</v>
      </c>
      <c r="AI115" s="27">
        <f>IF(AI114=$O$87,$AG115,0)</f>
        <v>0</v>
      </c>
      <c r="AJ115" s="27">
        <f t="shared" ref="AJ115:AT115" si="99">IF(AJ114=$O$87,$AG115,0)+AI115</f>
        <v>0</v>
      </c>
      <c r="AK115" s="27">
        <f t="shared" si="99"/>
        <v>0</v>
      </c>
      <c r="AL115" s="27">
        <f t="shared" si="99"/>
        <v>0</v>
      </c>
      <c r="AM115" s="27">
        <f t="shared" si="99"/>
        <v>0</v>
      </c>
      <c r="AN115" s="27">
        <f t="shared" si="99"/>
        <v>0</v>
      </c>
      <c r="AO115" s="27">
        <f t="shared" si="99"/>
        <v>0</v>
      </c>
      <c r="AP115" s="27">
        <f t="shared" si="99"/>
        <v>0</v>
      </c>
      <c r="AQ115" s="27">
        <f t="shared" si="99"/>
        <v>0</v>
      </c>
      <c r="AR115" s="27">
        <f t="shared" si="99"/>
        <v>0</v>
      </c>
      <c r="AS115" s="27">
        <f t="shared" si="99"/>
        <v>0</v>
      </c>
      <c r="AT115" s="61">
        <f t="shared" si="99"/>
        <v>0</v>
      </c>
    </row>
    <row r="116" spans="2:46" s="27" customFormat="1" ht="11.25" hidden="1" x14ac:dyDescent="0.2">
      <c r="B116" s="60"/>
      <c r="J116" s="27">
        <f>IF(J114=24,C114*E114,0)</f>
        <v>0</v>
      </c>
      <c r="P116" s="27" t="str">
        <f>SB!$P$124</f>
        <v>TRIMESTRAL</v>
      </c>
      <c r="Q116" s="60">
        <f>IF(N114&gt;12,0,Q124)</f>
        <v>0</v>
      </c>
      <c r="R116" s="27">
        <f>IF(N114&gt;12,0,T124)</f>
        <v>0</v>
      </c>
      <c r="S116" s="27">
        <f>+Q125</f>
        <v>0</v>
      </c>
      <c r="T116" s="27">
        <f>+T125</f>
        <v>0</v>
      </c>
      <c r="U116" s="27">
        <f>+Q126</f>
        <v>0</v>
      </c>
      <c r="V116" s="27">
        <f>+T126</f>
        <v>0</v>
      </c>
      <c r="W116" s="27">
        <f>+Q127</f>
        <v>0</v>
      </c>
      <c r="X116" s="27">
        <f>+T127</f>
        <v>0</v>
      </c>
      <c r="Y116" s="27">
        <f>+Q128</f>
        <v>0</v>
      </c>
      <c r="Z116" s="27">
        <f>+T128</f>
        <v>0</v>
      </c>
      <c r="AC116" s="27" t="str">
        <f>IF(AE115=AF115,"OK","¿error?")</f>
        <v>OK</v>
      </c>
      <c r="AD116" s="27">
        <f>IF(J124=0,0,K124/J124)</f>
        <v>0</v>
      </c>
      <c r="AE116" s="27">
        <f>+K124+N124</f>
        <v>0</v>
      </c>
      <c r="AF116" s="27">
        <f>SUM(AI116:AT116)</f>
        <v>0</v>
      </c>
      <c r="AG116" s="61">
        <f>+J146</f>
        <v>0</v>
      </c>
      <c r="AH116" s="27" t="str">
        <f>SB!$P$123</f>
        <v>BIMENSUAL</v>
      </c>
      <c r="AI116" s="27">
        <f>IF(AI114=$O$87,$AG116,0)</f>
        <v>0</v>
      </c>
      <c r="AJ116" s="27">
        <f>IF(AJ114=$O$87,$AG116,0)</f>
        <v>0</v>
      </c>
      <c r="AK116" s="27">
        <f t="shared" ref="AK116:AT116" si="100">IF(AK114=$O$87,$AG116,0)+AI116</f>
        <v>0</v>
      </c>
      <c r="AL116" s="27">
        <f t="shared" si="100"/>
        <v>0</v>
      </c>
      <c r="AM116" s="27">
        <f t="shared" si="100"/>
        <v>0</v>
      </c>
      <c r="AN116" s="27">
        <f t="shared" si="100"/>
        <v>0</v>
      </c>
      <c r="AO116" s="27">
        <f t="shared" si="100"/>
        <v>0</v>
      </c>
      <c r="AP116" s="27">
        <f t="shared" si="100"/>
        <v>0</v>
      </c>
      <c r="AQ116" s="27">
        <f t="shared" si="100"/>
        <v>0</v>
      </c>
      <c r="AR116" s="27">
        <f t="shared" si="100"/>
        <v>0</v>
      </c>
      <c r="AS116" s="27">
        <f t="shared" si="100"/>
        <v>0</v>
      </c>
      <c r="AT116" s="61">
        <f t="shared" si="100"/>
        <v>0</v>
      </c>
    </row>
    <row r="117" spans="2:46" s="27" customFormat="1" ht="11.25" hidden="1" x14ac:dyDescent="0.2">
      <c r="B117" s="60"/>
      <c r="P117" s="27" t="str">
        <f>SB!$P$125</f>
        <v>SEMESTRAL</v>
      </c>
      <c r="Q117" s="60">
        <f>IF(N114&gt;12,0,W124)</f>
        <v>0</v>
      </c>
      <c r="R117" s="27">
        <f>IF(N114&gt;12,0,Z124)</f>
        <v>0</v>
      </c>
      <c r="S117" s="27">
        <f>+W125</f>
        <v>0</v>
      </c>
      <c r="T117" s="27">
        <f>+Z125</f>
        <v>0</v>
      </c>
      <c r="U117" s="27">
        <f>+W126</f>
        <v>0</v>
      </c>
      <c r="V117" s="27">
        <f>+Z126</f>
        <v>0</v>
      </c>
      <c r="W117" s="27">
        <f>+W127</f>
        <v>0</v>
      </c>
      <c r="X117" s="27">
        <f>+Z127</f>
        <v>0</v>
      </c>
      <c r="Y117" s="27">
        <f>+W128</f>
        <v>0</v>
      </c>
      <c r="Z117" s="27">
        <f>+Z128</f>
        <v>0</v>
      </c>
      <c r="AC117" s="27" t="str">
        <f>IF(AE116=AF116,"OK","¿error?")</f>
        <v>OK</v>
      </c>
      <c r="AD117" s="27">
        <f>IF(P124=0,0,Q124/P124)</f>
        <v>0</v>
      </c>
      <c r="AE117" s="27">
        <f>+Q124+T124</f>
        <v>0</v>
      </c>
      <c r="AF117" s="27">
        <f>SUM(AI117:AT117)</f>
        <v>0</v>
      </c>
      <c r="AG117" s="61">
        <f>+P146</f>
        <v>0</v>
      </c>
      <c r="AH117" s="27" t="str">
        <f>SB!$P$124</f>
        <v>TRIMESTRAL</v>
      </c>
      <c r="AI117" s="27">
        <f>IF(AI114=$O$87,$AG117,0)</f>
        <v>0</v>
      </c>
      <c r="AJ117" s="27">
        <f>IF(AJ114=$O$87,$AG117,0)</f>
        <v>0</v>
      </c>
      <c r="AK117" s="27">
        <f>IF(AK114=$O$87,$AG117,0)</f>
        <v>0</v>
      </c>
      <c r="AL117" s="27">
        <f t="shared" ref="AL117:AT117" si="101">IF(AL114=$O$87,$AG117,0)+AI117</f>
        <v>0</v>
      </c>
      <c r="AM117" s="27">
        <f t="shared" si="101"/>
        <v>0</v>
      </c>
      <c r="AN117" s="27">
        <f t="shared" si="101"/>
        <v>0</v>
      </c>
      <c r="AO117" s="27">
        <f t="shared" si="101"/>
        <v>0</v>
      </c>
      <c r="AP117" s="27">
        <f t="shared" si="101"/>
        <v>0</v>
      </c>
      <c r="AQ117" s="27">
        <f t="shared" si="101"/>
        <v>0</v>
      </c>
      <c r="AR117" s="27">
        <f t="shared" si="101"/>
        <v>0</v>
      </c>
      <c r="AS117" s="27">
        <f t="shared" si="101"/>
        <v>0</v>
      </c>
      <c r="AT117" s="61">
        <f t="shared" si="101"/>
        <v>0</v>
      </c>
    </row>
    <row r="118" spans="2:46" s="27" customFormat="1" ht="11.25" hidden="1" x14ac:dyDescent="0.2">
      <c r="B118" s="60"/>
      <c r="P118" s="27" t="str">
        <f>SB!$P$126</f>
        <v>ANUAL</v>
      </c>
      <c r="Q118" s="60">
        <f>IF(N114&gt;12,0,AC124)</f>
        <v>0</v>
      </c>
      <c r="R118" s="27">
        <f>IF(N114&gt;12,0,AF124)</f>
        <v>0</v>
      </c>
      <c r="S118" s="27">
        <f>+AC125</f>
        <v>0</v>
      </c>
      <c r="T118" s="27">
        <f>+AF125</f>
        <v>0</v>
      </c>
      <c r="U118" s="27">
        <f>+AC126</f>
        <v>0</v>
      </c>
      <c r="V118" s="27">
        <f>+AF126</f>
        <v>0</v>
      </c>
      <c r="W118" s="27">
        <f>+AC127</f>
        <v>0</v>
      </c>
      <c r="X118" s="27">
        <f>+AF127</f>
        <v>0</v>
      </c>
      <c r="Y118" s="27">
        <f>+AC128</f>
        <v>0</v>
      </c>
      <c r="Z118" s="27">
        <f>+AF128</f>
        <v>0</v>
      </c>
      <c r="AC118" s="27" t="str">
        <f>IF(AE117=AF117,"OK","¿error?")</f>
        <v>OK</v>
      </c>
      <c r="AD118" s="27">
        <f>IF(V124=0,0,W124/V124)</f>
        <v>0</v>
      </c>
      <c r="AE118" s="27">
        <f>+W124+Z124</f>
        <v>0</v>
      </c>
      <c r="AF118" s="27">
        <f>SUM(AI118:AT118)</f>
        <v>0</v>
      </c>
      <c r="AG118" s="61">
        <f>+V146</f>
        <v>0</v>
      </c>
      <c r="AH118" s="27" t="str">
        <f>SB!$P$125</f>
        <v>SEMESTRAL</v>
      </c>
      <c r="AI118" s="27">
        <f t="shared" ref="AI118:AN118" si="102">IF(AI114=$O$87,$AG118,0)</f>
        <v>0</v>
      </c>
      <c r="AJ118" s="27">
        <f t="shared" si="102"/>
        <v>0</v>
      </c>
      <c r="AK118" s="27">
        <f t="shared" si="102"/>
        <v>0</v>
      </c>
      <c r="AL118" s="27">
        <f t="shared" si="102"/>
        <v>0</v>
      </c>
      <c r="AM118" s="27">
        <f t="shared" si="102"/>
        <v>0</v>
      </c>
      <c r="AN118" s="27">
        <f t="shared" si="102"/>
        <v>0</v>
      </c>
      <c r="AO118" s="27">
        <f t="shared" ref="AO118:AT118" si="103">IF(AO114=$O$87,$AG118,0)+AI118</f>
        <v>0</v>
      </c>
      <c r="AP118" s="27">
        <f t="shared" si="103"/>
        <v>0</v>
      </c>
      <c r="AQ118" s="27">
        <f t="shared" si="103"/>
        <v>0</v>
      </c>
      <c r="AR118" s="27">
        <f t="shared" si="103"/>
        <v>0</v>
      </c>
      <c r="AS118" s="27">
        <f t="shared" si="103"/>
        <v>0</v>
      </c>
      <c r="AT118" s="61">
        <f t="shared" si="103"/>
        <v>0</v>
      </c>
    </row>
    <row r="119" spans="2:46" s="27" customFormat="1" ht="11.25" hidden="1" x14ac:dyDescent="0.2">
      <c r="B119" s="60"/>
      <c r="Q119" s="60"/>
      <c r="AC119" s="27" t="str">
        <f>IF(AE118=AF118,"OK","¿error?")</f>
        <v>OK</v>
      </c>
      <c r="AD119" s="27">
        <f>IF(AB124=0,0,AC124/AB124)</f>
        <v>0</v>
      </c>
      <c r="AE119" s="27">
        <f>+AC124+AF124</f>
        <v>0</v>
      </c>
      <c r="AF119" s="27">
        <f>SUM(AI119:AT119)</f>
        <v>0</v>
      </c>
      <c r="AG119" s="61">
        <f>+AB146</f>
        <v>0</v>
      </c>
      <c r="AH119" s="27" t="str">
        <f>SB!$P$126</f>
        <v>ANUAL</v>
      </c>
      <c r="AI119" s="27">
        <f t="shared" ref="AI119:AT119" si="104">IF(AI114=$O$87,$AG119,0)</f>
        <v>0</v>
      </c>
      <c r="AJ119" s="27">
        <f t="shared" si="104"/>
        <v>0</v>
      </c>
      <c r="AK119" s="27">
        <f t="shared" si="104"/>
        <v>0</v>
      </c>
      <c r="AL119" s="27">
        <f t="shared" si="104"/>
        <v>0</v>
      </c>
      <c r="AM119" s="27">
        <f t="shared" si="104"/>
        <v>0</v>
      </c>
      <c r="AN119" s="27">
        <f t="shared" si="104"/>
        <v>0</v>
      </c>
      <c r="AO119" s="27">
        <f t="shared" si="104"/>
        <v>0</v>
      </c>
      <c r="AP119" s="27">
        <f t="shared" si="104"/>
        <v>0</v>
      </c>
      <c r="AQ119" s="27">
        <f t="shared" si="104"/>
        <v>0</v>
      </c>
      <c r="AR119" s="27">
        <f t="shared" si="104"/>
        <v>0</v>
      </c>
      <c r="AS119" s="27">
        <f t="shared" si="104"/>
        <v>0</v>
      </c>
      <c r="AT119" s="61">
        <f t="shared" si="104"/>
        <v>0</v>
      </c>
    </row>
    <row r="120" spans="2:46" s="27" customFormat="1" ht="11.25" hidden="1" x14ac:dyDescent="0.2">
      <c r="B120" s="60"/>
      <c r="Q120" s="60"/>
      <c r="AG120" s="61"/>
      <c r="AH120" s="27">
        <f>+F114</f>
        <v>0</v>
      </c>
      <c r="AI120" s="27">
        <f t="shared" ref="AI120:AT120" si="105">SUMIF($AH115:$AH119,$AH120,AI115:AI119)</f>
        <v>0</v>
      </c>
      <c r="AJ120" s="27">
        <f t="shared" si="105"/>
        <v>0</v>
      </c>
      <c r="AK120" s="27">
        <f t="shared" si="105"/>
        <v>0</v>
      </c>
      <c r="AL120" s="27">
        <f t="shared" si="105"/>
        <v>0</v>
      </c>
      <c r="AM120" s="27">
        <f t="shared" si="105"/>
        <v>0</v>
      </c>
      <c r="AN120" s="27">
        <f t="shared" si="105"/>
        <v>0</v>
      </c>
      <c r="AO120" s="27">
        <f t="shared" si="105"/>
        <v>0</v>
      </c>
      <c r="AP120" s="27">
        <f t="shared" si="105"/>
        <v>0</v>
      </c>
      <c r="AQ120" s="27">
        <f t="shared" si="105"/>
        <v>0</v>
      </c>
      <c r="AR120" s="27">
        <f t="shared" si="105"/>
        <v>0</v>
      </c>
      <c r="AS120" s="27">
        <f t="shared" si="105"/>
        <v>0</v>
      </c>
      <c r="AT120" s="61">
        <f t="shared" si="105"/>
        <v>0</v>
      </c>
    </row>
    <row r="121" spans="2:46" s="27" customFormat="1" ht="11.25" hidden="1" x14ac:dyDescent="0.2">
      <c r="B121" s="60"/>
      <c r="C121" s="27" t="s">
        <v>706</v>
      </c>
      <c r="J121" s="27" t="s">
        <v>1560</v>
      </c>
      <c r="O121" s="27" t="s">
        <v>573</v>
      </c>
      <c r="Q121" s="60"/>
      <c r="U121" s="27" t="s">
        <v>1561</v>
      </c>
      <c r="AA121" s="27" t="s">
        <v>1446</v>
      </c>
      <c r="AG121" s="61"/>
      <c r="AJ121" s="27" t="s">
        <v>546</v>
      </c>
      <c r="AK121" s="27">
        <f>SUMIF(AH115:AH119,AH120,AD115:AD119)</f>
        <v>0</v>
      </c>
      <c r="AT121" s="61"/>
    </row>
    <row r="122" spans="2:46" s="27" customFormat="1" ht="11.25" hidden="1" x14ac:dyDescent="0.2">
      <c r="B122" s="60"/>
      <c r="E122" s="27" t="s">
        <v>1411</v>
      </c>
      <c r="I122" s="27">
        <f>IF(N114=13,0.5,G124/2)</f>
        <v>0.5</v>
      </c>
      <c r="J122" s="27">
        <f>ROUND(I122,0)</f>
        <v>1</v>
      </c>
      <c r="K122" s="27">
        <f>+L114/2</f>
        <v>0</v>
      </c>
      <c r="L122" s="27">
        <f>ROUND(K122,0)</f>
        <v>0</v>
      </c>
      <c r="M122" s="27">
        <f>+K114/2</f>
        <v>0</v>
      </c>
      <c r="N122" s="27">
        <f>ROUND(M122,0)</f>
        <v>0</v>
      </c>
      <c r="O122" s="27">
        <f>IF(N114=13,0.3,G124/3)</f>
        <v>0.3</v>
      </c>
      <c r="P122" s="27">
        <f>ROUNDUP(O122,0)</f>
        <v>1</v>
      </c>
      <c r="Q122" s="60">
        <f>+L114/3</f>
        <v>0</v>
      </c>
      <c r="R122" s="27">
        <f>ROUNDUP(Q122,0)</f>
        <v>0</v>
      </c>
      <c r="S122" s="27">
        <f>+K114/3</f>
        <v>0</v>
      </c>
      <c r="T122" s="27">
        <f>ROUND(S122,0)</f>
        <v>0</v>
      </c>
      <c r="U122" s="27">
        <f>IF(N114=13,0.167,G124/6)</f>
        <v>0.16700000000000001</v>
      </c>
      <c r="V122" s="27">
        <f>ROUNDUP(U122,0)</f>
        <v>1</v>
      </c>
      <c r="W122" s="27">
        <f>+L114/6</f>
        <v>0</v>
      </c>
      <c r="X122" s="27">
        <f>ROUND(W122,0)</f>
        <v>0</v>
      </c>
      <c r="Y122" s="27">
        <f>+K114/6</f>
        <v>0</v>
      </c>
      <c r="Z122" s="27">
        <f>ROUND(Y122,0)</f>
        <v>0</v>
      </c>
      <c r="AA122" s="27">
        <f>IF(N114=13,0.083,G124/12)</f>
        <v>8.3000000000000004E-2</v>
      </c>
      <c r="AB122" s="27">
        <f>ROUND(AA122,0)</f>
        <v>0</v>
      </c>
      <c r="AC122" s="27">
        <f>+L114/12</f>
        <v>0</v>
      </c>
      <c r="AD122" s="27">
        <f>ROUND(AC122,0)</f>
        <v>0</v>
      </c>
      <c r="AE122" s="27">
        <f>+K114/12</f>
        <v>0</v>
      </c>
      <c r="AF122" s="27">
        <f>ROUND(AE122,0)</f>
        <v>0</v>
      </c>
      <c r="AG122" s="61"/>
      <c r="AT122" s="61"/>
    </row>
    <row r="123" spans="2:46" s="27" customFormat="1" ht="11.25" hidden="1" x14ac:dyDescent="0.2">
      <c r="B123" s="60" t="s">
        <v>1408</v>
      </c>
      <c r="C123" s="27" t="s">
        <v>1409</v>
      </c>
      <c r="D123" s="27" t="s">
        <v>1276</v>
      </c>
      <c r="E123" s="27" t="s">
        <v>673</v>
      </c>
      <c r="H123" s="27" t="s">
        <v>672</v>
      </c>
      <c r="I123" s="27" t="s">
        <v>1409</v>
      </c>
      <c r="J123" s="27" t="s">
        <v>1276</v>
      </c>
      <c r="K123" s="27" t="s">
        <v>673</v>
      </c>
      <c r="N123" s="27" t="s">
        <v>672</v>
      </c>
      <c r="O123" s="27" t="s">
        <v>1409</v>
      </c>
      <c r="P123" s="27" t="s">
        <v>1276</v>
      </c>
      <c r="Q123" s="60" t="s">
        <v>673</v>
      </c>
      <c r="U123" s="27" t="s">
        <v>1409</v>
      </c>
      <c r="V123" s="27" t="s">
        <v>1276</v>
      </c>
      <c r="W123" s="27" t="s">
        <v>673</v>
      </c>
      <c r="AA123" s="27" t="s">
        <v>1409</v>
      </c>
      <c r="AB123" s="27" t="s">
        <v>1276</v>
      </c>
      <c r="AC123" s="27" t="s">
        <v>673</v>
      </c>
      <c r="AG123" s="61"/>
      <c r="AH123" s="27" t="s">
        <v>7</v>
      </c>
      <c r="AI123" s="27">
        <f t="shared" ref="AI123:AT123" si="106">IF(AI112=$H114,$C114,0)</f>
        <v>0</v>
      </c>
      <c r="AJ123" s="27">
        <f t="shared" si="106"/>
        <v>0</v>
      </c>
      <c r="AK123" s="27">
        <f t="shared" si="106"/>
        <v>0</v>
      </c>
      <c r="AL123" s="27">
        <f t="shared" si="106"/>
        <v>0</v>
      </c>
      <c r="AM123" s="27">
        <f t="shared" si="106"/>
        <v>0</v>
      </c>
      <c r="AN123" s="27">
        <f t="shared" si="106"/>
        <v>0</v>
      </c>
      <c r="AO123" s="27">
        <f t="shared" si="106"/>
        <v>0</v>
      </c>
      <c r="AP123" s="27">
        <f t="shared" si="106"/>
        <v>0</v>
      </c>
      <c r="AQ123" s="27">
        <f t="shared" si="106"/>
        <v>0</v>
      </c>
      <c r="AR123" s="27">
        <f t="shared" si="106"/>
        <v>0</v>
      </c>
      <c r="AS123" s="27">
        <f t="shared" si="106"/>
        <v>0</v>
      </c>
      <c r="AT123" s="61">
        <f t="shared" si="106"/>
        <v>0</v>
      </c>
    </row>
    <row r="124" spans="2:46" s="27" customFormat="1" ht="11.25" hidden="1" x14ac:dyDescent="0.2">
      <c r="B124" s="60">
        <v>1</v>
      </c>
      <c r="C124" s="27">
        <f>IF(K114=0,0,IF(J114&gt;0,0,IF(N114&gt;12,0,1)))</f>
        <v>0</v>
      </c>
      <c r="D124" s="27">
        <f>IF(K114=0,0,IF(J114&gt;0,0,13-N114))</f>
        <v>0</v>
      </c>
      <c r="E124" s="27">
        <f>IF(C124=0,0,-CUMPRINC(E114/12,M114*12,C114,C124,D124,0))</f>
        <v>0</v>
      </c>
      <c r="F124" s="27">
        <f>IF(K114=0,0,IF(N114&gt;12,0,1))</f>
        <v>0</v>
      </c>
      <c r="G124" s="27">
        <f>IF(K114=0,0,13-N114)</f>
        <v>0</v>
      </c>
      <c r="H124" s="27">
        <f>IF(F124=0,0,IF(J115&gt;0,J115,-CUMIPMT(E114/12,K114,C114,F124,G124,0)))</f>
        <v>0</v>
      </c>
      <c r="I124" s="27">
        <f>IF(K114=0,0,IF(J114&gt;0,0,IF(N114&gt;12,0,1)))</f>
        <v>0</v>
      </c>
      <c r="J124" s="27">
        <f>IF(K114=0,0,IF(J114&gt;0,0,J122))</f>
        <v>0</v>
      </c>
      <c r="K124" s="27">
        <f>IF(I124=0,0,-CUMPRINC(E114/6,M114*6,C114,I124,J124,0))</f>
        <v>0</v>
      </c>
      <c r="L124" s="27">
        <f>IF(K114=0,0,IF(N114&gt;12,0,1))</f>
        <v>0</v>
      </c>
      <c r="M124" s="27">
        <f>IF(K114=0,0,IF(L124=0,0,J122))</f>
        <v>0</v>
      </c>
      <c r="N124" s="27">
        <f>IF(L124=0,0,IF(J115&gt;0,J115,-CUMIPMT(E114/6,D114*6,C114,L124,M124,0)))</f>
        <v>0</v>
      </c>
      <c r="O124" s="27">
        <f>IF(K114=0,0,IF(J114&gt;0,0,IF(N114&gt;12,0,1)))</f>
        <v>0</v>
      </c>
      <c r="P124" s="27">
        <f>IF(K114=0,0,IF(J114&gt;0,0,P122))</f>
        <v>0</v>
      </c>
      <c r="Q124" s="60">
        <f>IF(O124=0,0,-CUMPRINC(E114/4,M114*4,C114,O124,P124,0))</f>
        <v>0</v>
      </c>
      <c r="R124" s="27">
        <f>IF(K114=0,0,IF(N114&gt;12,0,1))</f>
        <v>0</v>
      </c>
      <c r="S124" s="27">
        <f>IF($K114=0,0,IF(R124=0,0,P122))</f>
        <v>0</v>
      </c>
      <c r="T124" s="27">
        <f>IF(R124=0,0,IF(J115&gt;0,J115,-CUMIPMT(E114/4,D114*4,C114,R124,S124,0)))</f>
        <v>0</v>
      </c>
      <c r="U124" s="27">
        <f>IF(K114=0,0,IF(J114&gt;0,0,IF(N114&gt;12,0,1)))</f>
        <v>0</v>
      </c>
      <c r="V124" s="27">
        <f>IF(K114=0,0,IF(U124=0,0,V122))</f>
        <v>0</v>
      </c>
      <c r="W124" s="27">
        <f>IF(U124=0,0,-CUMPRINC(E114/2,M114*2,C114,U124,V124,0))</f>
        <v>0</v>
      </c>
      <c r="X124" s="27">
        <f>IF(K114=0,0,IF(N114&gt;12,0,1))</f>
        <v>0</v>
      </c>
      <c r="Y124" s="27">
        <f>IF(K114=0,0,IF(X124=0,0,V122))</f>
        <v>0</v>
      </c>
      <c r="Z124" s="27">
        <f>IF(X124=0,0,IF(J115&gt;0,J115,-CUMIPMT(E114/2,D114*2,C114,X124,Y124,0)))</f>
        <v>0</v>
      </c>
      <c r="AA124" s="27">
        <f>IF(K114=0,0,IF(J114&gt;0,0,IF(N114&gt;12,0,1)))</f>
        <v>0</v>
      </c>
      <c r="AB124" s="27">
        <f>IF(K114=0,0,IF(J114&gt;0,0,AA124))</f>
        <v>0</v>
      </c>
      <c r="AC124" s="27">
        <f>IF(AA124=0,0,-CUMPRINC(E114,M114,C114,AA124,AB124,0))</f>
        <v>0</v>
      </c>
      <c r="AD124" s="27">
        <f>IF(K114=0,0,IF(N114&gt;12,0,1))</f>
        <v>0</v>
      </c>
      <c r="AE124" s="27">
        <f>IF(I114="NO",AB124,AD124)</f>
        <v>0</v>
      </c>
      <c r="AF124" s="27">
        <f>IF(AD124=0,0,-CUMIPMT(E114,D114,C114,AD124,AE124,0))</f>
        <v>0</v>
      </c>
      <c r="AG124" s="61"/>
      <c r="AH124" s="27" t="s">
        <v>548</v>
      </c>
      <c r="AI124" s="27">
        <f>IF(AI120&gt;0,AK121,0)</f>
        <v>0</v>
      </c>
      <c r="AJ124" s="27">
        <f>IF(AJ120&gt;0,AK121,0)</f>
        <v>0</v>
      </c>
      <c r="AK124" s="27">
        <f>IF(AK120&gt;0,AK121,0)</f>
        <v>0</v>
      </c>
      <c r="AL124" s="27">
        <f>IF(AL120&gt;0,AK121,0)</f>
        <v>0</v>
      </c>
      <c r="AM124" s="27">
        <f>IF(AM120&gt;0,AK121,0)</f>
        <v>0</v>
      </c>
      <c r="AN124" s="27">
        <f>IF(AN120&gt;0,AK121,0)</f>
        <v>0</v>
      </c>
      <c r="AO124" s="27">
        <f>IF(AO120&gt;0,AK121,0)</f>
        <v>0</v>
      </c>
      <c r="AP124" s="27">
        <f>IF(AP120&gt;0,AK121,0)</f>
        <v>0</v>
      </c>
      <c r="AQ124" s="27">
        <f>IF(AQ120&gt;0,AK121,0)</f>
        <v>0</v>
      </c>
      <c r="AR124" s="27">
        <f>IF(AR120&gt;0,AK121,0)</f>
        <v>0</v>
      </c>
      <c r="AS124" s="27">
        <f>IF(AS120&gt;0,AK121,0)</f>
        <v>0</v>
      </c>
      <c r="AT124" s="61">
        <f>IF(AT120&gt;0,AK121,0)</f>
        <v>0</v>
      </c>
    </row>
    <row r="125" spans="2:46" s="27" customFormat="1" ht="11.25" hidden="1" x14ac:dyDescent="0.2">
      <c r="B125" s="60">
        <f t="shared" ref="B125:B143" si="107">+B124+1</f>
        <v>2</v>
      </c>
      <c r="C125" s="27">
        <f>IF(K114=0,0,IF(J114&gt;=24,0,D124+1))</f>
        <v>0</v>
      </c>
      <c r="D125" s="27">
        <f>IF(K114=0,0,IF(J114&gt;=24,0,IF(N114=13,12,IF(C125=1,13-N114,C125+11))))</f>
        <v>0</v>
      </c>
      <c r="E125" s="27">
        <f>IF(C125=0,0,-CUMPRINC(E114/12,M114*12,C114,C125,D125,0))</f>
        <v>0</v>
      </c>
      <c r="F125" s="27">
        <f>IF(K114=0,0,G124+1)</f>
        <v>0</v>
      </c>
      <c r="G125" s="27">
        <f>IF(K114=0,0,F125+11)</f>
        <v>0</v>
      </c>
      <c r="H125" s="27">
        <f>IF(F125=0,0,IF(J116&gt;0,J116,-CUMIPMT(E114/12,K114,C114,F125,G125,0)))</f>
        <v>0</v>
      </c>
      <c r="I125" s="27">
        <f>IF(K114=0,0,IF(J114&gt;=24,0,J124+1))</f>
        <v>0</v>
      </c>
      <c r="J125" s="27">
        <f>IF(K114=0,0,IF(J114&gt;=24,0,IF(I125&gt;=1,I125+5,0)))</f>
        <v>0</v>
      </c>
      <c r="K125" s="27">
        <f>IF(I125=0,0,-CUMPRINC(E114/6,M114*6,C114,I125,J125,0))</f>
        <v>0</v>
      </c>
      <c r="L125" s="27">
        <f>IF(K114=0,0,M124+1)</f>
        <v>0</v>
      </c>
      <c r="M125" s="27">
        <f>IF(K114=0,0,L125+5)</f>
        <v>0</v>
      </c>
      <c r="N125" s="27">
        <f>IF(L125=0,0,IF(J116&gt;0,J116,-CUMIPMT(E114/6,D114*6,C114,L125,M125,0)))</f>
        <v>0</v>
      </c>
      <c r="O125" s="27">
        <f>IF(K114=0,0,IF(J114&gt;=24,0,P124+1))</f>
        <v>0</v>
      </c>
      <c r="P125" s="27">
        <f>IF(K114=0,0,IF(J114&gt;=24,0,IF(O125&gt;=1,O125+3,0)))</f>
        <v>0</v>
      </c>
      <c r="Q125" s="60">
        <f>IF(O125=0,0,-CUMPRINC(E114/4,M114*4,C114,O125,P125,0))</f>
        <v>0</v>
      </c>
      <c r="R125" s="27">
        <f>IF(K114=0,0,S124+1)</f>
        <v>0</v>
      </c>
      <c r="S125" s="27">
        <f>IF(K114=0,0,R125+3)</f>
        <v>0</v>
      </c>
      <c r="T125" s="27">
        <f>IF(R125=0,0,IF(J116&gt;0,J116,-CUMIPMT(E114/4,D114*4,C114,R125,S125,0)))</f>
        <v>0</v>
      </c>
      <c r="U125" s="27">
        <f>IF(K114=0,0,IF(J114&gt;=24,0,V124+1))</f>
        <v>0</v>
      </c>
      <c r="V125" s="27">
        <f>IF(K114=0,0,IF(J114&gt;=24,0,IF(U125&gt;=1,U125+1,0)))</f>
        <v>0</v>
      </c>
      <c r="W125" s="27">
        <f>IF(U125=0,0,-CUMPRINC(E114/2,M114*2,C114,U125,V125,0))</f>
        <v>0</v>
      </c>
      <c r="X125" s="27">
        <f>IF(K114=0,0,Y124+1)</f>
        <v>0</v>
      </c>
      <c r="Y125" s="27">
        <f>IF(K114=0,0,X125+1)</f>
        <v>0</v>
      </c>
      <c r="Z125" s="27">
        <f>IF(X125=0,0,IF(J116&gt;0,J116,-CUMIPMT(E114/2,D114*2,C114,X125,Y125,0)))</f>
        <v>0</v>
      </c>
      <c r="AA125" s="27">
        <f>IF(K114=0,0,IF(J114&gt;=24,0,AB124+1))</f>
        <v>0</v>
      </c>
      <c r="AB125" s="27">
        <f>IF(K114=0,0,IF(J114&gt;=24,0,IF(AA125&gt;=1,AA125,1)))</f>
        <v>0</v>
      </c>
      <c r="AC125" s="27">
        <f>IF(AA125=0,0,-CUMPRINC(E114,M114,C114,AA125,AB125,0))</f>
        <v>0</v>
      </c>
      <c r="AD125" s="27">
        <f>IF(K114=0,0,AE124+1)</f>
        <v>0</v>
      </c>
      <c r="AE125" s="27">
        <f>+AD125</f>
        <v>0</v>
      </c>
      <c r="AF125" s="27">
        <f>IF(AD125=0,0,IF(J116&gt;0,J116,-CUMIPMT(E114,D114,C114,AD125,AE125,0)))</f>
        <v>0</v>
      </c>
      <c r="AG125" s="61"/>
      <c r="AH125" s="27" t="s">
        <v>549</v>
      </c>
      <c r="AI125" s="27">
        <f t="shared" ref="AI125:AT125" si="108">+AI120-AI124</f>
        <v>0</v>
      </c>
      <c r="AJ125" s="27">
        <f t="shared" si="108"/>
        <v>0</v>
      </c>
      <c r="AK125" s="27">
        <f t="shared" si="108"/>
        <v>0</v>
      </c>
      <c r="AL125" s="27">
        <f t="shared" si="108"/>
        <v>0</v>
      </c>
      <c r="AM125" s="27">
        <f t="shared" si="108"/>
        <v>0</v>
      </c>
      <c r="AN125" s="27">
        <f t="shared" si="108"/>
        <v>0</v>
      </c>
      <c r="AO125" s="27">
        <f t="shared" si="108"/>
        <v>0</v>
      </c>
      <c r="AP125" s="27">
        <f t="shared" si="108"/>
        <v>0</v>
      </c>
      <c r="AQ125" s="27">
        <f t="shared" si="108"/>
        <v>0</v>
      </c>
      <c r="AR125" s="27">
        <f t="shared" si="108"/>
        <v>0</v>
      </c>
      <c r="AS125" s="27">
        <f t="shared" si="108"/>
        <v>0</v>
      </c>
      <c r="AT125" s="61">
        <f t="shared" si="108"/>
        <v>0</v>
      </c>
    </row>
    <row r="126" spans="2:46" s="27" customFormat="1" ht="11.25" hidden="1" x14ac:dyDescent="0.2">
      <c r="B126" s="60">
        <f t="shared" si="107"/>
        <v>3</v>
      </c>
      <c r="C126" s="27">
        <f>IF(K114=0,0,D125+1)</f>
        <v>0</v>
      </c>
      <c r="D126" s="27">
        <f>IF(K114=0,0,IF(C126=1,13-$N$78,C126+11))</f>
        <v>0</v>
      </c>
      <c r="E126" s="27">
        <f t="shared" ref="E126:E145" si="109">IF(C126=0,0,-CUMPRINC($E$114/12,$M$114*12,$C$114,C126,D126,0))</f>
        <v>0</v>
      </c>
      <c r="F126" s="27">
        <f>IF(K114=0,0,G125+1)</f>
        <v>0</v>
      </c>
      <c r="G126" s="27">
        <f>IF(K114=0,0,F126+11)</f>
        <v>0</v>
      </c>
      <c r="H126" s="27">
        <f t="shared" ref="H126:H145" si="110">IF(F126=0,0,-CUMIPMT($E$114/12,$K$114,$C$114,F126,G126,0))</f>
        <v>0</v>
      </c>
      <c r="I126" s="27">
        <f>IF(K114=0,0,J125+1)</f>
        <v>0</v>
      </c>
      <c r="J126" s="27">
        <f>IF(K114=0,0,IF(I126=1,J122,I126+5))</f>
        <v>0</v>
      </c>
      <c r="K126" s="27">
        <f t="shared" ref="K126:K145" si="111">IF(I126=0,0,-CUMPRINC($E$114/6,$M$114*6,$C$114,I126,J126,0))</f>
        <v>0</v>
      </c>
      <c r="L126" s="27">
        <f>IF(K114=0,0,M125+1)</f>
        <v>0</v>
      </c>
      <c r="M126" s="27">
        <f>IF(K114=0,0,L126+5)</f>
        <v>0</v>
      </c>
      <c r="N126" s="27">
        <f t="shared" ref="N126:N145" si="112">IF(L126=0,0,-CUMIPMT($E$114/6,$D$114*6,$C$114,L126,M126,0))</f>
        <v>0</v>
      </c>
      <c r="O126" s="27">
        <f>IF(K114=0,0,P125+1)</f>
        <v>0</v>
      </c>
      <c r="P126" s="27">
        <f>IF(K114=0,0,IF(O126=1,P122,O126+3))</f>
        <v>0</v>
      </c>
      <c r="Q126" s="60">
        <f t="shared" ref="Q126:Q145" si="113">IF(O126=0,0,-CUMPRINC($E$114/4,$M$114*4,$C$114,O126,P126,0))</f>
        <v>0</v>
      </c>
      <c r="R126" s="27">
        <f>IF(K114=0,0,S125+1)</f>
        <v>0</v>
      </c>
      <c r="S126" s="27">
        <f>IF(K114=0,0,R126+3)</f>
        <v>0</v>
      </c>
      <c r="T126" s="27">
        <f t="shared" ref="T126:T145" si="114">IF(R126=0,0,-CUMIPMT($E$114/4,$D$114*4,$C$114,R126,S126,0))</f>
        <v>0</v>
      </c>
      <c r="U126" s="27">
        <f>IF(K114=0,0,V125+1)</f>
        <v>0</v>
      </c>
      <c r="V126" s="27">
        <f>IF(K114=0,0,IF(U126=1,V122,U126+1))</f>
        <v>0</v>
      </c>
      <c r="W126" s="27">
        <f t="shared" ref="W126:W145" si="115">IF(U126=0,0,-CUMPRINC($E$114/2,$M$114*2,$C$114,U126,V126,0))</f>
        <v>0</v>
      </c>
      <c r="X126" s="27">
        <f>IF(K114=0,0,Y125+1)</f>
        <v>0</v>
      </c>
      <c r="Y126" s="27">
        <f>IF(K114=0,0,X126+1)</f>
        <v>0</v>
      </c>
      <c r="Z126" s="27">
        <f t="shared" ref="Z126:Z145" si="116">IF(X126=0,0,-CUMIPMT($E$114/2,$D$114*2,$C$114,X126,Y126,0))</f>
        <v>0</v>
      </c>
      <c r="AA126" s="27">
        <f>IF(L114=0,0,AB125+1)</f>
        <v>0</v>
      </c>
      <c r="AB126" s="27">
        <f t="shared" ref="AB126:AB145" si="117">+AA126</f>
        <v>0</v>
      </c>
      <c r="AC126" s="27">
        <f t="shared" ref="AC126:AC145" si="118">IF(AA126=0,0,-CUMPRINC($E$114,$M$114,$C$114,AA126,AB126,0))</f>
        <v>0</v>
      </c>
      <c r="AD126" s="27">
        <f>IF(K114=0,0,AE125+1)</f>
        <v>0</v>
      </c>
      <c r="AE126" s="27">
        <f t="shared" ref="AE126:AE145" si="119">+AD126</f>
        <v>0</v>
      </c>
      <c r="AF126" s="27">
        <f t="shared" ref="AF126:AF145" si="120">IF(AD126=0,0,-CUMIPMT($E$114,$D$114,$C$114,AD126,AE126,0))</f>
        <v>0</v>
      </c>
      <c r="AG126" s="61"/>
      <c r="AH126" s="27" t="s">
        <v>958</v>
      </c>
      <c r="AI126" s="27">
        <f t="shared" ref="AI126:AT126" si="121">+AI125+AI124</f>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61">
        <f t="shared" si="121"/>
        <v>0</v>
      </c>
    </row>
    <row r="127" spans="2:46" s="27" customFormat="1" ht="11.25" hidden="1" x14ac:dyDescent="0.2">
      <c r="B127" s="60">
        <f t="shared" si="107"/>
        <v>4</v>
      </c>
      <c r="C127" s="27">
        <f>IF(D126=L114,0,IF(D126+1&lt;=L114,D126+1,L114))</f>
        <v>0</v>
      </c>
      <c r="D127" s="27">
        <f>IF(C127=0,0,IF(C127+11&gt;L114,L114,C127+11))</f>
        <v>0</v>
      </c>
      <c r="E127" s="27">
        <f t="shared" si="109"/>
        <v>0</v>
      </c>
      <c r="F127" s="27">
        <f>IF(G126=K114,0,IF(G126+1&lt;=K114,G126+1,K114))</f>
        <v>0</v>
      </c>
      <c r="G127" s="27">
        <f>IF(F127=0,0,IF(F127+11&gt;K114,K114,F127+11))</f>
        <v>0</v>
      </c>
      <c r="H127" s="27">
        <f t="shared" si="110"/>
        <v>0</v>
      </c>
      <c r="I127" s="27">
        <f>IF(J126=L122,0,IF(J126+1&lt;=L122,J126+1,L122))</f>
        <v>0</v>
      </c>
      <c r="J127" s="27">
        <f>IF(I127=0,0,IF(I127+5&gt;L122,L122,I127+5))</f>
        <v>0</v>
      </c>
      <c r="K127" s="27">
        <f t="shared" si="111"/>
        <v>0</v>
      </c>
      <c r="L127" s="27">
        <f>IF(M126=N122,0,IF(M126+1&lt;=N122,M126+1,N122))</f>
        <v>0</v>
      </c>
      <c r="M127" s="27">
        <f>IF(L127=0,0,IF(L127+5&gt;N122,N122,L127+5))</f>
        <v>0</v>
      </c>
      <c r="N127" s="27">
        <f t="shared" si="112"/>
        <v>0</v>
      </c>
      <c r="O127" s="27">
        <f>IF(P126=R122,0,IF(P126+1&lt;=R122,P126+1,R122))</f>
        <v>0</v>
      </c>
      <c r="P127" s="27">
        <f>IF(O127=0,0,IF(O127+3&gt;R122,R122,O127+3))</f>
        <v>0</v>
      </c>
      <c r="Q127" s="60">
        <f t="shared" si="113"/>
        <v>0</v>
      </c>
      <c r="R127" s="27">
        <f>IF(S126=T122,0,IF(S126+1&lt;=T122,S126+1,T122))</f>
        <v>0</v>
      </c>
      <c r="S127" s="27">
        <f>IF(R127=0,0,IF(R127+3&gt;T122,T122,R127+3))</f>
        <v>0</v>
      </c>
      <c r="T127" s="27">
        <f t="shared" si="114"/>
        <v>0</v>
      </c>
      <c r="U127" s="27">
        <f>IF(V126=X122,0,IF(V126+1&lt;=X122,V126+1,X122))</f>
        <v>0</v>
      </c>
      <c r="V127" s="27">
        <f>IF(U127=0,0,IF(U127+1&gt;X122,X122,U127+1))</f>
        <v>0</v>
      </c>
      <c r="W127" s="27">
        <f t="shared" si="115"/>
        <v>0</v>
      </c>
      <c r="X127" s="27">
        <f>IF(Y126=Z122,0,IF(Y126+1&lt;=Z122,Y126+1,Z122))</f>
        <v>0</v>
      </c>
      <c r="Y127" s="27">
        <f>IF(X127=0,0,IF(X127+1&gt;Z122,Z122,X127+1))</f>
        <v>0</v>
      </c>
      <c r="Z127" s="27">
        <f t="shared" si="116"/>
        <v>0</v>
      </c>
      <c r="AA127" s="27">
        <f>IF(AB126=AD122,0,IF(AB126+1&lt;=AD122,AB126+1,AD122))</f>
        <v>0</v>
      </c>
      <c r="AB127" s="27">
        <f t="shared" si="117"/>
        <v>0</v>
      </c>
      <c r="AC127" s="27">
        <f t="shared" si="118"/>
        <v>0</v>
      </c>
      <c r="AD127" s="27">
        <f>IF(AE126=AF122,0,IF(AE126+1&lt;=AF122,AE126+1,AF122))</f>
        <v>0</v>
      </c>
      <c r="AE127" s="27">
        <f t="shared" si="119"/>
        <v>0</v>
      </c>
      <c r="AF127" s="27">
        <f t="shared" si="120"/>
        <v>0</v>
      </c>
      <c r="AG127" s="61"/>
      <c r="AH127" s="27" t="s">
        <v>953</v>
      </c>
      <c r="AI127" s="27">
        <f>IF(AI123=0,0,$AI145)</f>
        <v>0</v>
      </c>
      <c r="AJ127" s="27">
        <f>IF(AJ123=0,0,$AI145)+AI128</f>
        <v>0</v>
      </c>
      <c r="AK127" s="27">
        <f t="shared" ref="AK127:AT127" si="122">IF(AK123=0,0,$AI145)+AJ128</f>
        <v>0</v>
      </c>
      <c r="AL127" s="27">
        <f t="shared" si="122"/>
        <v>0</v>
      </c>
      <c r="AM127" s="27">
        <f t="shared" si="122"/>
        <v>0</v>
      </c>
      <c r="AN127" s="27">
        <f t="shared" si="122"/>
        <v>0</v>
      </c>
      <c r="AO127" s="27">
        <f t="shared" si="122"/>
        <v>0</v>
      </c>
      <c r="AP127" s="27">
        <f t="shared" si="122"/>
        <v>0</v>
      </c>
      <c r="AQ127" s="27">
        <f t="shared" si="122"/>
        <v>0</v>
      </c>
      <c r="AR127" s="27">
        <f t="shared" si="122"/>
        <v>0</v>
      </c>
      <c r="AS127" s="27">
        <f t="shared" si="122"/>
        <v>0</v>
      </c>
      <c r="AT127" s="61">
        <f t="shared" si="122"/>
        <v>0</v>
      </c>
    </row>
    <row r="128" spans="2:46" s="27" customFormat="1" ht="11.25" hidden="1" x14ac:dyDescent="0.2">
      <c r="B128" s="60">
        <f t="shared" si="107"/>
        <v>5</v>
      </c>
      <c r="C128" s="27">
        <f>IF(D127=0,0,IF(D127+1&gt;L114,0,D127+1))</f>
        <v>0</v>
      </c>
      <c r="D128" s="27">
        <f>IF(C128=0,0,IF(C128+11&gt;L114,L114,C128+11))</f>
        <v>0</v>
      </c>
      <c r="E128" s="27">
        <f t="shared" si="109"/>
        <v>0</v>
      </c>
      <c r="F128" s="27">
        <f>IF(G127=0,0,IF(G127+1&gt;$K$114,0,G127+1))</f>
        <v>0</v>
      </c>
      <c r="G128" s="27">
        <f>IF(F128=0,0,IF(F128+11&gt;$K$114,$K$114,F128+11))</f>
        <v>0</v>
      </c>
      <c r="H128" s="27">
        <f t="shared" si="110"/>
        <v>0</v>
      </c>
      <c r="I128" s="27">
        <f>IF(J127=0,0,IF(J127+1&gt;L122,0,J127+1))</f>
        <v>0</v>
      </c>
      <c r="J128" s="27">
        <f>IF(I128=0,0,IF(I128+5&gt;L122,L122,I128+5))</f>
        <v>0</v>
      </c>
      <c r="K128" s="27">
        <f t="shared" si="111"/>
        <v>0</v>
      </c>
      <c r="L128" s="27">
        <f>IF(M127=0,0,IF(M127+1&gt;$N$122,0,M127+1))</f>
        <v>0</v>
      </c>
      <c r="M128" s="27">
        <f>IF(L128=0,0,IF(L128+5&gt;$N$122,$N$122,L128+5))</f>
        <v>0</v>
      </c>
      <c r="N128" s="27">
        <f t="shared" si="112"/>
        <v>0</v>
      </c>
      <c r="O128" s="27">
        <f>IF(P127=0,0,IF(P127+1&gt;R$122,0,P127+1))</f>
        <v>0</v>
      </c>
      <c r="P128" s="27">
        <f>IF(O128=0,0,IF(O128+3&gt;R$122,R$122,O128+3))</f>
        <v>0</v>
      </c>
      <c r="Q128" s="60">
        <f t="shared" si="113"/>
        <v>0</v>
      </c>
      <c r="R128" s="27">
        <f>IF(S127=0,0,IF(S127+1&gt;$T$122,0,S127+1))</f>
        <v>0</v>
      </c>
      <c r="S128" s="27">
        <f>IF(R128=0,0,IF(R128+3&gt;$T$122,$T$122,R128+3))</f>
        <v>0</v>
      </c>
      <c r="T128" s="27">
        <f t="shared" si="114"/>
        <v>0</v>
      </c>
      <c r="U128" s="27">
        <f>IF(V127=0,0,IF(V127+1&gt;X$122,0,V127+1))</f>
        <v>0</v>
      </c>
      <c r="V128" s="27">
        <f>IF(U128=0,0,IF(U128+1&gt;X$122,X$122,U128+1))</f>
        <v>0</v>
      </c>
      <c r="W128" s="27">
        <f t="shared" si="115"/>
        <v>0</v>
      </c>
      <c r="X128" s="27">
        <f>IF(Y127=0,0,IF(Y127+1&gt;Z$122,0,Y127+1))</f>
        <v>0</v>
      </c>
      <c r="Y128" s="27">
        <f>IF(X128=0,0,IF(X128+1&gt;$Z$122,$Z$122,X128+1))</f>
        <v>0</v>
      </c>
      <c r="Z128" s="27">
        <f t="shared" si="116"/>
        <v>0</v>
      </c>
      <c r="AA128" s="27">
        <f>IF(AB127=0,0,IF(AB127+1&gt;AD$122,0,AB127+1))</f>
        <v>0</v>
      </c>
      <c r="AB128" s="27">
        <f t="shared" si="117"/>
        <v>0</v>
      </c>
      <c r="AC128" s="27">
        <f t="shared" si="118"/>
        <v>0</v>
      </c>
      <c r="AD128" s="27">
        <f>IF(AE127=0,0,IF(AE127+1&gt;AF$122,0,AE127+1))</f>
        <v>0</v>
      </c>
      <c r="AE128" s="27">
        <f t="shared" si="119"/>
        <v>0</v>
      </c>
      <c r="AF128" s="27">
        <f t="shared" si="120"/>
        <v>0</v>
      </c>
      <c r="AG128" s="61"/>
      <c r="AH128" s="27" t="s">
        <v>954</v>
      </c>
      <c r="AI128" s="27">
        <f t="shared" ref="AI128:AT128" si="123">+AI127-AI124</f>
        <v>0</v>
      </c>
      <c r="AJ128" s="27">
        <f t="shared" si="123"/>
        <v>0</v>
      </c>
      <c r="AK128" s="27">
        <f t="shared" si="123"/>
        <v>0</v>
      </c>
      <c r="AL128" s="27">
        <f t="shared" si="123"/>
        <v>0</v>
      </c>
      <c r="AM128" s="27">
        <f t="shared" si="123"/>
        <v>0</v>
      </c>
      <c r="AN128" s="27">
        <f t="shared" si="123"/>
        <v>0</v>
      </c>
      <c r="AO128" s="27">
        <f t="shared" si="123"/>
        <v>0</v>
      </c>
      <c r="AP128" s="27">
        <f t="shared" si="123"/>
        <v>0</v>
      </c>
      <c r="AQ128" s="27">
        <f t="shared" si="123"/>
        <v>0</v>
      </c>
      <c r="AR128" s="27">
        <f t="shared" si="123"/>
        <v>0</v>
      </c>
      <c r="AS128" s="27">
        <f t="shared" si="123"/>
        <v>0</v>
      </c>
      <c r="AT128" s="61">
        <f t="shared" si="123"/>
        <v>0</v>
      </c>
    </row>
    <row r="129" spans="2:46" s="27" customFormat="1" ht="11.25" hidden="1" x14ac:dyDescent="0.2">
      <c r="B129" s="60">
        <f t="shared" si="107"/>
        <v>6</v>
      </c>
      <c r="C129" s="27">
        <f>IF(D128=0,0,IF(D128+1&gt;L114,0,D128+1))</f>
        <v>0</v>
      </c>
      <c r="D129" s="27">
        <f>IF(C129=0,0,IF(C129+11&gt;L114,L114,C129+11))</f>
        <v>0</v>
      </c>
      <c r="E129" s="27">
        <f t="shared" si="109"/>
        <v>0</v>
      </c>
      <c r="F129" s="27">
        <f t="shared" ref="F129:F145" si="124">IF(G128=0,0,IF(G128+1&gt;$K$114,0,G128+1))</f>
        <v>0</v>
      </c>
      <c r="G129" s="27">
        <f t="shared" ref="G129:G145" si="125">IF(F129=0,0,IF(F129+11&gt;$K$114,$K$114,F129+11))</f>
        <v>0</v>
      </c>
      <c r="H129" s="27">
        <f t="shared" si="110"/>
        <v>0</v>
      </c>
      <c r="I129" s="27">
        <f t="shared" ref="I129:I145" si="126">IF(J128=0,0,IF(J128+1&gt;L$122,0,J128+1))</f>
        <v>0</v>
      </c>
      <c r="J129" s="27">
        <f t="shared" ref="J129:J145" si="127">IF(I129=0,0,IF(I129+5&gt;L$122,L$122,I129+5))</f>
        <v>0</v>
      </c>
      <c r="K129" s="27">
        <f t="shared" si="111"/>
        <v>0</v>
      </c>
      <c r="L129" s="27">
        <f t="shared" ref="L129:L145" si="128">IF(M128=0,0,IF(M128+1&gt;$N$122,0,M128+1))</f>
        <v>0</v>
      </c>
      <c r="M129" s="27">
        <f t="shared" ref="M129:M145" si="129">IF(L129=0,0,IF(L129+5&gt;$N$122,$N$122,L129+5))</f>
        <v>0</v>
      </c>
      <c r="N129" s="27">
        <f t="shared" si="112"/>
        <v>0</v>
      </c>
      <c r="O129" s="27">
        <f t="shared" ref="O129:O145" si="130">IF(P128=0,0,IF(P128+1&gt;R$122,0,P128+1))</f>
        <v>0</v>
      </c>
      <c r="P129" s="27">
        <f t="shared" ref="P129:P145" si="131">IF(O129=0,0,IF(O129+3&gt;R$122,R$122,O129+3))</f>
        <v>0</v>
      </c>
      <c r="Q129" s="60">
        <f t="shared" si="113"/>
        <v>0</v>
      </c>
      <c r="R129" s="27">
        <f t="shared" ref="R129:R145" si="132">IF(S128=0,0,IF(S128+1&gt;$T$122,0,S128+1))</f>
        <v>0</v>
      </c>
      <c r="S129" s="27">
        <f t="shared" ref="S129:S145" si="133">IF(R129=0,0,IF(R129+3&gt;$T$122,$T$122,R129+3))</f>
        <v>0</v>
      </c>
      <c r="T129" s="27">
        <f t="shared" si="114"/>
        <v>0</v>
      </c>
      <c r="U129" s="27">
        <f t="shared" ref="U129:U145" si="134">IF(V128=0,0,IF(V128+1&gt;X$122,0,V128+1))</f>
        <v>0</v>
      </c>
      <c r="V129" s="27">
        <f t="shared" ref="V129:V145" si="135">IF(U129=0,0,IF(U129+1&gt;X$122,X$122,U129+1))</f>
        <v>0</v>
      </c>
      <c r="W129" s="27">
        <f t="shared" si="115"/>
        <v>0</v>
      </c>
      <c r="X129" s="27">
        <f t="shared" ref="X129:X145" si="136">IF(Y128=0,0,IF(Y128+1&gt;Z$122,0,Y128+1))</f>
        <v>0</v>
      </c>
      <c r="Y129" s="27">
        <f t="shared" ref="Y129:Y145" si="137">IF(X129=0,0,IF(X129+1&gt;$Z$122,$Z$122,X129+1))</f>
        <v>0</v>
      </c>
      <c r="Z129" s="27">
        <f t="shared" si="116"/>
        <v>0</v>
      </c>
      <c r="AA129" s="27">
        <f t="shared" ref="AA129:AA145" si="138">IF(AB128=0,0,IF(AB128+1&gt;AD$122,0,AB128+1))</f>
        <v>0</v>
      </c>
      <c r="AB129" s="27">
        <f t="shared" si="117"/>
        <v>0</v>
      </c>
      <c r="AC129" s="27">
        <f t="shared" si="118"/>
        <v>0</v>
      </c>
      <c r="AD129" s="27">
        <f t="shared" ref="AD129:AD145" si="139">IF(AE128=0,0,IF(AE128+1&gt;AF$122,0,AE128+1))</f>
        <v>0</v>
      </c>
      <c r="AE129" s="27">
        <f t="shared" si="119"/>
        <v>0</v>
      </c>
      <c r="AF129" s="27">
        <f t="shared" si="120"/>
        <v>0</v>
      </c>
      <c r="AG129" s="61"/>
      <c r="AH129" s="27" t="s">
        <v>946</v>
      </c>
      <c r="AI129" s="27">
        <f>IF(AI123=0,0,$G114)</f>
        <v>0</v>
      </c>
      <c r="AJ129" s="27">
        <f t="shared" ref="AJ129:AT129" si="140">IF(AJ123=0,0,$G114)</f>
        <v>0</v>
      </c>
      <c r="AK129" s="27">
        <f t="shared" si="140"/>
        <v>0</v>
      </c>
      <c r="AL129" s="27">
        <f t="shared" si="140"/>
        <v>0</v>
      </c>
      <c r="AM129" s="27">
        <f t="shared" si="140"/>
        <v>0</v>
      </c>
      <c r="AN129" s="27">
        <f t="shared" si="140"/>
        <v>0</v>
      </c>
      <c r="AO129" s="27">
        <f t="shared" si="140"/>
        <v>0</v>
      </c>
      <c r="AP129" s="27">
        <f t="shared" si="140"/>
        <v>0</v>
      </c>
      <c r="AQ129" s="27">
        <f t="shared" si="140"/>
        <v>0</v>
      </c>
      <c r="AR129" s="27">
        <f t="shared" si="140"/>
        <v>0</v>
      </c>
      <c r="AS129" s="27">
        <f t="shared" si="140"/>
        <v>0</v>
      </c>
      <c r="AT129" s="61">
        <f t="shared" si="140"/>
        <v>0</v>
      </c>
    </row>
    <row r="130" spans="2:46" s="27" customFormat="1" ht="11.25" hidden="1" x14ac:dyDescent="0.2">
      <c r="B130" s="60">
        <f t="shared" si="107"/>
        <v>7</v>
      </c>
      <c r="C130" s="27">
        <f>IF(D129=0,0,IF(D129+1&gt;L114,0,D129+1))</f>
        <v>0</v>
      </c>
      <c r="D130" s="27">
        <f>IF(C130=0,0,IF(C130+11&gt;L114,L114,C130+11))</f>
        <v>0</v>
      </c>
      <c r="E130" s="27">
        <f t="shared" si="109"/>
        <v>0</v>
      </c>
      <c r="F130" s="27">
        <f t="shared" si="124"/>
        <v>0</v>
      </c>
      <c r="G130" s="27">
        <f t="shared" si="125"/>
        <v>0</v>
      </c>
      <c r="H130" s="27">
        <f t="shared" si="110"/>
        <v>0</v>
      </c>
      <c r="I130" s="27">
        <f t="shared" si="126"/>
        <v>0</v>
      </c>
      <c r="J130" s="27">
        <f t="shared" si="127"/>
        <v>0</v>
      </c>
      <c r="K130" s="27">
        <f t="shared" si="111"/>
        <v>0</v>
      </c>
      <c r="L130" s="27">
        <f t="shared" si="128"/>
        <v>0</v>
      </c>
      <c r="M130" s="27">
        <f t="shared" si="129"/>
        <v>0</v>
      </c>
      <c r="N130" s="27">
        <f t="shared" si="112"/>
        <v>0</v>
      </c>
      <c r="O130" s="27">
        <f t="shared" si="130"/>
        <v>0</v>
      </c>
      <c r="P130" s="27">
        <f t="shared" si="131"/>
        <v>0</v>
      </c>
      <c r="Q130" s="60">
        <f t="shared" si="113"/>
        <v>0</v>
      </c>
      <c r="R130" s="27">
        <f t="shared" si="132"/>
        <v>0</v>
      </c>
      <c r="S130" s="27">
        <f t="shared" si="133"/>
        <v>0</v>
      </c>
      <c r="T130" s="27">
        <f t="shared" si="114"/>
        <v>0</v>
      </c>
      <c r="U130" s="27">
        <f t="shared" si="134"/>
        <v>0</v>
      </c>
      <c r="V130" s="27">
        <f t="shared" si="135"/>
        <v>0</v>
      </c>
      <c r="W130" s="27">
        <f t="shared" si="115"/>
        <v>0</v>
      </c>
      <c r="X130" s="27">
        <f t="shared" si="136"/>
        <v>0</v>
      </c>
      <c r="Y130" s="27">
        <f t="shared" si="137"/>
        <v>0</v>
      </c>
      <c r="Z130" s="27">
        <f t="shared" si="116"/>
        <v>0</v>
      </c>
      <c r="AA130" s="27">
        <f t="shared" si="138"/>
        <v>0</v>
      </c>
      <c r="AB130" s="27">
        <f t="shared" si="117"/>
        <v>0</v>
      </c>
      <c r="AC130" s="27">
        <f t="shared" si="118"/>
        <v>0</v>
      </c>
      <c r="AD130" s="27">
        <f t="shared" si="139"/>
        <v>0</v>
      </c>
      <c r="AE130" s="27">
        <f t="shared" si="119"/>
        <v>0</v>
      </c>
      <c r="AF130" s="27">
        <f t="shared" si="120"/>
        <v>0</v>
      </c>
      <c r="AG130" s="61"/>
      <c r="AT130" s="61"/>
    </row>
    <row r="131" spans="2:46" s="27" customFormat="1" ht="11.25" hidden="1" x14ac:dyDescent="0.2">
      <c r="B131" s="60">
        <f t="shared" si="107"/>
        <v>8</v>
      </c>
      <c r="C131" s="27">
        <f>IF(D130=0,0,IF(D130+1&gt;L114,0,D130+1))</f>
        <v>0</v>
      </c>
      <c r="D131" s="27">
        <f>IF(C131=0,0,IF(C131+11&gt;L114,L114,C131+11))</f>
        <v>0</v>
      </c>
      <c r="E131" s="27">
        <f t="shared" si="109"/>
        <v>0</v>
      </c>
      <c r="F131" s="27">
        <f t="shared" si="124"/>
        <v>0</v>
      </c>
      <c r="G131" s="27">
        <f t="shared" si="125"/>
        <v>0</v>
      </c>
      <c r="H131" s="27">
        <f t="shared" si="110"/>
        <v>0</v>
      </c>
      <c r="I131" s="27">
        <f t="shared" si="126"/>
        <v>0</v>
      </c>
      <c r="J131" s="27">
        <f t="shared" si="127"/>
        <v>0</v>
      </c>
      <c r="K131" s="27">
        <f t="shared" si="111"/>
        <v>0</v>
      </c>
      <c r="L131" s="27">
        <f t="shared" si="128"/>
        <v>0</v>
      </c>
      <c r="M131" s="27">
        <f t="shared" si="129"/>
        <v>0</v>
      </c>
      <c r="N131" s="27">
        <f t="shared" si="112"/>
        <v>0</v>
      </c>
      <c r="O131" s="27">
        <f t="shared" si="130"/>
        <v>0</v>
      </c>
      <c r="P131" s="27">
        <f t="shared" si="131"/>
        <v>0</v>
      </c>
      <c r="Q131" s="60">
        <f t="shared" si="113"/>
        <v>0</v>
      </c>
      <c r="R131" s="27">
        <f t="shared" si="132"/>
        <v>0</v>
      </c>
      <c r="S131" s="27">
        <f t="shared" si="133"/>
        <v>0</v>
      </c>
      <c r="T131" s="27">
        <f t="shared" si="114"/>
        <v>0</v>
      </c>
      <c r="U131" s="27">
        <f t="shared" si="134"/>
        <v>0</v>
      </c>
      <c r="V131" s="27">
        <f t="shared" si="135"/>
        <v>0</v>
      </c>
      <c r="W131" s="27">
        <f t="shared" si="115"/>
        <v>0</v>
      </c>
      <c r="X131" s="27">
        <f t="shared" si="136"/>
        <v>0</v>
      </c>
      <c r="Y131" s="27">
        <f t="shared" si="137"/>
        <v>0</v>
      </c>
      <c r="Z131" s="27">
        <f t="shared" si="116"/>
        <v>0</v>
      </c>
      <c r="AA131" s="27">
        <f t="shared" si="138"/>
        <v>0</v>
      </c>
      <c r="AB131" s="27">
        <f t="shared" si="117"/>
        <v>0</v>
      </c>
      <c r="AC131" s="27">
        <f t="shared" si="118"/>
        <v>0</v>
      </c>
      <c r="AD131" s="27">
        <f t="shared" si="139"/>
        <v>0</v>
      </c>
      <c r="AE131" s="27">
        <f t="shared" si="119"/>
        <v>0</v>
      </c>
      <c r="AF131" s="27">
        <f t="shared" si="120"/>
        <v>0</v>
      </c>
      <c r="AG131" s="61"/>
      <c r="AT131" s="61"/>
    </row>
    <row r="132" spans="2:46" s="27" customFormat="1" ht="11.25" hidden="1" x14ac:dyDescent="0.2">
      <c r="B132" s="60">
        <f t="shared" si="107"/>
        <v>9</v>
      </c>
      <c r="C132" s="27">
        <f>IF(D131=0,0,IF(D131+1&gt;L114,0,D131+1))</f>
        <v>0</v>
      </c>
      <c r="D132" s="27">
        <f>IF(C132=0,0,IF(C132+11&gt;L114,L114,C132+11))</f>
        <v>0</v>
      </c>
      <c r="E132" s="27">
        <f t="shared" si="109"/>
        <v>0</v>
      </c>
      <c r="F132" s="27">
        <f t="shared" si="124"/>
        <v>0</v>
      </c>
      <c r="G132" s="27">
        <f t="shared" si="125"/>
        <v>0</v>
      </c>
      <c r="H132" s="27">
        <f t="shared" si="110"/>
        <v>0</v>
      </c>
      <c r="I132" s="27">
        <f t="shared" si="126"/>
        <v>0</v>
      </c>
      <c r="J132" s="27">
        <f t="shared" si="127"/>
        <v>0</v>
      </c>
      <c r="K132" s="27">
        <f t="shared" si="111"/>
        <v>0</v>
      </c>
      <c r="L132" s="27">
        <f t="shared" si="128"/>
        <v>0</v>
      </c>
      <c r="M132" s="27">
        <f t="shared" si="129"/>
        <v>0</v>
      </c>
      <c r="N132" s="27">
        <f t="shared" si="112"/>
        <v>0</v>
      </c>
      <c r="O132" s="27">
        <f t="shared" si="130"/>
        <v>0</v>
      </c>
      <c r="P132" s="27">
        <f t="shared" si="131"/>
        <v>0</v>
      </c>
      <c r="Q132" s="60">
        <f t="shared" si="113"/>
        <v>0</v>
      </c>
      <c r="R132" s="27">
        <f t="shared" si="132"/>
        <v>0</v>
      </c>
      <c r="S132" s="27">
        <f t="shared" si="133"/>
        <v>0</v>
      </c>
      <c r="T132" s="27">
        <f t="shared" si="114"/>
        <v>0</v>
      </c>
      <c r="U132" s="27">
        <f t="shared" si="134"/>
        <v>0</v>
      </c>
      <c r="V132" s="27">
        <f t="shared" si="135"/>
        <v>0</v>
      </c>
      <c r="W132" s="27">
        <f t="shared" si="115"/>
        <v>0</v>
      </c>
      <c r="X132" s="27">
        <f t="shared" si="136"/>
        <v>0</v>
      </c>
      <c r="Y132" s="27">
        <f t="shared" si="137"/>
        <v>0</v>
      </c>
      <c r="Z132" s="27">
        <f t="shared" si="116"/>
        <v>0</v>
      </c>
      <c r="AA132" s="27">
        <f t="shared" si="138"/>
        <v>0</v>
      </c>
      <c r="AB132" s="27">
        <f t="shared" si="117"/>
        <v>0</v>
      </c>
      <c r="AC132" s="27">
        <f t="shared" si="118"/>
        <v>0</v>
      </c>
      <c r="AD132" s="27">
        <f t="shared" si="139"/>
        <v>0</v>
      </c>
      <c r="AE132" s="27">
        <f t="shared" si="119"/>
        <v>0</v>
      </c>
      <c r="AF132" s="27">
        <f t="shared" si="120"/>
        <v>0</v>
      </c>
      <c r="AG132" s="61"/>
      <c r="AT132" s="61"/>
    </row>
    <row r="133" spans="2:46" s="27" customFormat="1" ht="11.25" hidden="1" x14ac:dyDescent="0.2">
      <c r="B133" s="60">
        <f t="shared" si="107"/>
        <v>10</v>
      </c>
      <c r="C133" s="27">
        <f>IF(D132=0,0,IF(D132+1&gt;L114,0,D132+1))</f>
        <v>0</v>
      </c>
      <c r="D133" s="27">
        <f>IF(C133=0,0,IF(C133+11&gt;L114,L114,C133+11))</f>
        <v>0</v>
      </c>
      <c r="E133" s="27">
        <f t="shared" si="109"/>
        <v>0</v>
      </c>
      <c r="F133" s="27">
        <f t="shared" si="124"/>
        <v>0</v>
      </c>
      <c r="G133" s="27">
        <f t="shared" si="125"/>
        <v>0</v>
      </c>
      <c r="H133" s="27">
        <f t="shared" si="110"/>
        <v>0</v>
      </c>
      <c r="I133" s="27">
        <f t="shared" si="126"/>
        <v>0</v>
      </c>
      <c r="J133" s="27">
        <f t="shared" si="127"/>
        <v>0</v>
      </c>
      <c r="K133" s="27">
        <f t="shared" si="111"/>
        <v>0</v>
      </c>
      <c r="L133" s="27">
        <f t="shared" si="128"/>
        <v>0</v>
      </c>
      <c r="M133" s="27">
        <f t="shared" si="129"/>
        <v>0</v>
      </c>
      <c r="N133" s="27">
        <f t="shared" si="112"/>
        <v>0</v>
      </c>
      <c r="O133" s="27">
        <f t="shared" si="130"/>
        <v>0</v>
      </c>
      <c r="P133" s="27">
        <f t="shared" si="131"/>
        <v>0</v>
      </c>
      <c r="Q133" s="60">
        <f t="shared" si="113"/>
        <v>0</v>
      </c>
      <c r="R133" s="27">
        <f t="shared" si="132"/>
        <v>0</v>
      </c>
      <c r="S133" s="27">
        <f t="shared" si="133"/>
        <v>0</v>
      </c>
      <c r="T133" s="27">
        <f t="shared" si="114"/>
        <v>0</v>
      </c>
      <c r="U133" s="27">
        <f t="shared" si="134"/>
        <v>0</v>
      </c>
      <c r="V133" s="27">
        <f t="shared" si="135"/>
        <v>0</v>
      </c>
      <c r="W133" s="27">
        <f t="shared" si="115"/>
        <v>0</v>
      </c>
      <c r="X133" s="27">
        <f t="shared" si="136"/>
        <v>0</v>
      </c>
      <c r="Y133" s="27">
        <f t="shared" si="137"/>
        <v>0</v>
      </c>
      <c r="Z133" s="27">
        <f t="shared" si="116"/>
        <v>0</v>
      </c>
      <c r="AA133" s="27">
        <f t="shared" si="138"/>
        <v>0</v>
      </c>
      <c r="AB133" s="27">
        <f t="shared" si="117"/>
        <v>0</v>
      </c>
      <c r="AC133" s="27">
        <f t="shared" si="118"/>
        <v>0</v>
      </c>
      <c r="AD133" s="27">
        <f t="shared" si="139"/>
        <v>0</v>
      </c>
      <c r="AE133" s="27">
        <f t="shared" si="119"/>
        <v>0</v>
      </c>
      <c r="AF133" s="27">
        <f t="shared" si="120"/>
        <v>0</v>
      </c>
      <c r="AG133" s="61"/>
      <c r="AT133" s="61"/>
    </row>
    <row r="134" spans="2:46" s="27" customFormat="1" ht="11.25" hidden="1" x14ac:dyDescent="0.2">
      <c r="B134" s="60">
        <f t="shared" si="107"/>
        <v>11</v>
      </c>
      <c r="C134" s="27">
        <f>IF(D133=0,0,IF(D133+1&gt;L114,0,D133+1))</f>
        <v>0</v>
      </c>
      <c r="D134" s="27">
        <f>IF(C134=0,0,IF(C134+11&gt;L114,L114,C134+11))</f>
        <v>0</v>
      </c>
      <c r="E134" s="27">
        <f t="shared" si="109"/>
        <v>0</v>
      </c>
      <c r="F134" s="27">
        <f t="shared" si="124"/>
        <v>0</v>
      </c>
      <c r="G134" s="27">
        <f t="shared" si="125"/>
        <v>0</v>
      </c>
      <c r="H134" s="27">
        <f t="shared" si="110"/>
        <v>0</v>
      </c>
      <c r="I134" s="27">
        <f t="shared" si="126"/>
        <v>0</v>
      </c>
      <c r="J134" s="27">
        <f t="shared" si="127"/>
        <v>0</v>
      </c>
      <c r="K134" s="27">
        <f t="shared" si="111"/>
        <v>0</v>
      </c>
      <c r="L134" s="27">
        <f t="shared" si="128"/>
        <v>0</v>
      </c>
      <c r="M134" s="27">
        <f t="shared" si="129"/>
        <v>0</v>
      </c>
      <c r="N134" s="27">
        <f t="shared" si="112"/>
        <v>0</v>
      </c>
      <c r="O134" s="27">
        <f t="shared" si="130"/>
        <v>0</v>
      </c>
      <c r="P134" s="27">
        <f t="shared" si="131"/>
        <v>0</v>
      </c>
      <c r="Q134" s="60">
        <f t="shared" si="113"/>
        <v>0</v>
      </c>
      <c r="R134" s="27">
        <f t="shared" si="132"/>
        <v>0</v>
      </c>
      <c r="S134" s="27">
        <f t="shared" si="133"/>
        <v>0</v>
      </c>
      <c r="T134" s="27">
        <f t="shared" si="114"/>
        <v>0</v>
      </c>
      <c r="U134" s="27">
        <f t="shared" si="134"/>
        <v>0</v>
      </c>
      <c r="V134" s="27">
        <f t="shared" si="135"/>
        <v>0</v>
      </c>
      <c r="W134" s="27">
        <f t="shared" si="115"/>
        <v>0</v>
      </c>
      <c r="X134" s="27">
        <f t="shared" si="136"/>
        <v>0</v>
      </c>
      <c r="Y134" s="27">
        <f t="shared" si="137"/>
        <v>0</v>
      </c>
      <c r="Z134" s="27">
        <f t="shared" si="116"/>
        <v>0</v>
      </c>
      <c r="AA134" s="27">
        <f t="shared" si="138"/>
        <v>0</v>
      </c>
      <c r="AB134" s="27">
        <f t="shared" si="117"/>
        <v>0</v>
      </c>
      <c r="AC134" s="27">
        <f t="shared" si="118"/>
        <v>0</v>
      </c>
      <c r="AD134" s="27">
        <f t="shared" si="139"/>
        <v>0</v>
      </c>
      <c r="AE134" s="27">
        <f t="shared" si="119"/>
        <v>0</v>
      </c>
      <c r="AF134" s="27">
        <f t="shared" si="120"/>
        <v>0</v>
      </c>
      <c r="AG134" s="61"/>
      <c r="AT134" s="61"/>
    </row>
    <row r="135" spans="2:46" s="27" customFormat="1" ht="11.25" hidden="1" x14ac:dyDescent="0.2">
      <c r="B135" s="60">
        <f t="shared" si="107"/>
        <v>12</v>
      </c>
      <c r="C135" s="27">
        <f>IF(D134=0,0,IF(D134+1&gt;L114,0,D134+1))</f>
        <v>0</v>
      </c>
      <c r="D135" s="27">
        <f>IF(C135=0,0,IF(C135+11&gt;L114,L114,C135+11))</f>
        <v>0</v>
      </c>
      <c r="E135" s="27">
        <f t="shared" si="109"/>
        <v>0</v>
      </c>
      <c r="F135" s="27">
        <f t="shared" si="124"/>
        <v>0</v>
      </c>
      <c r="G135" s="27">
        <f t="shared" si="125"/>
        <v>0</v>
      </c>
      <c r="H135" s="27">
        <f t="shared" si="110"/>
        <v>0</v>
      </c>
      <c r="I135" s="27">
        <f t="shared" si="126"/>
        <v>0</v>
      </c>
      <c r="J135" s="27">
        <f t="shared" si="127"/>
        <v>0</v>
      </c>
      <c r="K135" s="27">
        <f t="shared" si="111"/>
        <v>0</v>
      </c>
      <c r="L135" s="27">
        <f t="shared" si="128"/>
        <v>0</v>
      </c>
      <c r="M135" s="27">
        <f t="shared" si="129"/>
        <v>0</v>
      </c>
      <c r="N135" s="27">
        <f t="shared" si="112"/>
        <v>0</v>
      </c>
      <c r="O135" s="27">
        <f t="shared" si="130"/>
        <v>0</v>
      </c>
      <c r="P135" s="27">
        <f t="shared" si="131"/>
        <v>0</v>
      </c>
      <c r="Q135" s="60">
        <f t="shared" si="113"/>
        <v>0</v>
      </c>
      <c r="R135" s="27">
        <f t="shared" si="132"/>
        <v>0</v>
      </c>
      <c r="S135" s="27">
        <f t="shared" si="133"/>
        <v>0</v>
      </c>
      <c r="T135" s="27">
        <f t="shared" si="114"/>
        <v>0</v>
      </c>
      <c r="U135" s="27">
        <f t="shared" si="134"/>
        <v>0</v>
      </c>
      <c r="V135" s="27">
        <f t="shared" si="135"/>
        <v>0</v>
      </c>
      <c r="W135" s="27">
        <f t="shared" si="115"/>
        <v>0</v>
      </c>
      <c r="X135" s="27">
        <f t="shared" si="136"/>
        <v>0</v>
      </c>
      <c r="Y135" s="27">
        <f t="shared" si="137"/>
        <v>0</v>
      </c>
      <c r="Z135" s="27">
        <f t="shared" si="116"/>
        <v>0</v>
      </c>
      <c r="AA135" s="27">
        <f t="shared" si="138"/>
        <v>0</v>
      </c>
      <c r="AB135" s="27">
        <f t="shared" si="117"/>
        <v>0</v>
      </c>
      <c r="AC135" s="27">
        <f t="shared" si="118"/>
        <v>0</v>
      </c>
      <c r="AD135" s="27">
        <f t="shared" si="139"/>
        <v>0</v>
      </c>
      <c r="AE135" s="27">
        <f t="shared" si="119"/>
        <v>0</v>
      </c>
      <c r="AF135" s="27">
        <f t="shared" si="120"/>
        <v>0</v>
      </c>
      <c r="AG135" s="61"/>
      <c r="AT135" s="61"/>
    </row>
    <row r="136" spans="2:46" s="27" customFormat="1" ht="11.25" hidden="1" x14ac:dyDescent="0.2">
      <c r="B136" s="60">
        <f t="shared" si="107"/>
        <v>13</v>
      </c>
      <c r="C136" s="27">
        <f>IF(D135=0,0,IF(D135+1&gt;L114,0,D135+1))</f>
        <v>0</v>
      </c>
      <c r="D136" s="27">
        <f>IF(C136=0,0,IF(C136+11&gt;L114,L114,C136+11))</f>
        <v>0</v>
      </c>
      <c r="E136" s="27">
        <f t="shared" si="109"/>
        <v>0</v>
      </c>
      <c r="F136" s="27">
        <f t="shared" si="124"/>
        <v>0</v>
      </c>
      <c r="G136" s="27">
        <f t="shared" si="125"/>
        <v>0</v>
      </c>
      <c r="H136" s="27">
        <f t="shared" si="110"/>
        <v>0</v>
      </c>
      <c r="I136" s="27">
        <f t="shared" si="126"/>
        <v>0</v>
      </c>
      <c r="J136" s="27">
        <f t="shared" si="127"/>
        <v>0</v>
      </c>
      <c r="K136" s="27">
        <f t="shared" si="111"/>
        <v>0</v>
      </c>
      <c r="L136" s="27">
        <f t="shared" si="128"/>
        <v>0</v>
      </c>
      <c r="M136" s="27">
        <f t="shared" si="129"/>
        <v>0</v>
      </c>
      <c r="N136" s="27">
        <f t="shared" si="112"/>
        <v>0</v>
      </c>
      <c r="O136" s="27">
        <f t="shared" si="130"/>
        <v>0</v>
      </c>
      <c r="P136" s="27">
        <f t="shared" si="131"/>
        <v>0</v>
      </c>
      <c r="Q136" s="60">
        <f t="shared" si="113"/>
        <v>0</v>
      </c>
      <c r="R136" s="27">
        <f t="shared" si="132"/>
        <v>0</v>
      </c>
      <c r="S136" s="27">
        <f t="shared" si="133"/>
        <v>0</v>
      </c>
      <c r="T136" s="27">
        <f t="shared" si="114"/>
        <v>0</v>
      </c>
      <c r="U136" s="27">
        <f t="shared" si="134"/>
        <v>0</v>
      </c>
      <c r="V136" s="27">
        <f t="shared" si="135"/>
        <v>0</v>
      </c>
      <c r="W136" s="27">
        <f t="shared" si="115"/>
        <v>0</v>
      </c>
      <c r="X136" s="27">
        <f t="shared" si="136"/>
        <v>0</v>
      </c>
      <c r="Y136" s="27">
        <f t="shared" si="137"/>
        <v>0</v>
      </c>
      <c r="Z136" s="27">
        <f t="shared" si="116"/>
        <v>0</v>
      </c>
      <c r="AA136" s="27">
        <f t="shared" si="138"/>
        <v>0</v>
      </c>
      <c r="AB136" s="27">
        <f t="shared" si="117"/>
        <v>0</v>
      </c>
      <c r="AC136" s="27">
        <f t="shared" si="118"/>
        <v>0</v>
      </c>
      <c r="AD136" s="27">
        <f t="shared" si="139"/>
        <v>0</v>
      </c>
      <c r="AE136" s="27">
        <f t="shared" si="119"/>
        <v>0</v>
      </c>
      <c r="AF136" s="27">
        <f t="shared" si="120"/>
        <v>0</v>
      </c>
      <c r="AG136" s="61"/>
      <c r="AT136" s="61"/>
    </row>
    <row r="137" spans="2:46" s="27" customFormat="1" ht="11.25" hidden="1" x14ac:dyDescent="0.2">
      <c r="B137" s="60">
        <f t="shared" si="107"/>
        <v>14</v>
      </c>
      <c r="C137" s="27">
        <f>IF(D136=0,0,IF(D136+1&gt;L114,0,D136+1))</f>
        <v>0</v>
      </c>
      <c r="D137" s="27">
        <f>IF(C137=0,0,IF(C137+11&gt;L114,L114,C137+11))</f>
        <v>0</v>
      </c>
      <c r="E137" s="27">
        <f t="shared" si="109"/>
        <v>0</v>
      </c>
      <c r="F137" s="27">
        <f t="shared" si="124"/>
        <v>0</v>
      </c>
      <c r="G137" s="27">
        <f t="shared" si="125"/>
        <v>0</v>
      </c>
      <c r="H137" s="27">
        <f t="shared" si="110"/>
        <v>0</v>
      </c>
      <c r="I137" s="27">
        <f t="shared" si="126"/>
        <v>0</v>
      </c>
      <c r="J137" s="27">
        <f t="shared" si="127"/>
        <v>0</v>
      </c>
      <c r="K137" s="27">
        <f t="shared" si="111"/>
        <v>0</v>
      </c>
      <c r="L137" s="27">
        <f t="shared" si="128"/>
        <v>0</v>
      </c>
      <c r="M137" s="27">
        <f t="shared" si="129"/>
        <v>0</v>
      </c>
      <c r="N137" s="27">
        <f t="shared" si="112"/>
        <v>0</v>
      </c>
      <c r="O137" s="27">
        <f t="shared" si="130"/>
        <v>0</v>
      </c>
      <c r="P137" s="27">
        <f t="shared" si="131"/>
        <v>0</v>
      </c>
      <c r="Q137" s="60">
        <f t="shared" si="113"/>
        <v>0</v>
      </c>
      <c r="R137" s="27">
        <f t="shared" si="132"/>
        <v>0</v>
      </c>
      <c r="S137" s="27">
        <f t="shared" si="133"/>
        <v>0</v>
      </c>
      <c r="T137" s="27">
        <f t="shared" si="114"/>
        <v>0</v>
      </c>
      <c r="U137" s="27">
        <f t="shared" si="134"/>
        <v>0</v>
      </c>
      <c r="V137" s="27">
        <f t="shared" si="135"/>
        <v>0</v>
      </c>
      <c r="W137" s="27">
        <f t="shared" si="115"/>
        <v>0</v>
      </c>
      <c r="X137" s="27">
        <f t="shared" si="136"/>
        <v>0</v>
      </c>
      <c r="Y137" s="27">
        <f t="shared" si="137"/>
        <v>0</v>
      </c>
      <c r="Z137" s="27">
        <f t="shared" si="116"/>
        <v>0</v>
      </c>
      <c r="AA137" s="27">
        <f t="shared" si="138"/>
        <v>0</v>
      </c>
      <c r="AB137" s="27">
        <f t="shared" si="117"/>
        <v>0</v>
      </c>
      <c r="AC137" s="27">
        <f t="shared" si="118"/>
        <v>0</v>
      </c>
      <c r="AD137" s="27">
        <f t="shared" si="139"/>
        <v>0</v>
      </c>
      <c r="AE137" s="27">
        <f t="shared" si="119"/>
        <v>0</v>
      </c>
      <c r="AF137" s="27">
        <f t="shared" si="120"/>
        <v>0</v>
      </c>
      <c r="AG137" s="61"/>
      <c r="AT137" s="61"/>
    </row>
    <row r="138" spans="2:46" s="27" customFormat="1" ht="11.25" hidden="1" x14ac:dyDescent="0.2">
      <c r="B138" s="60">
        <f t="shared" si="107"/>
        <v>15</v>
      </c>
      <c r="C138" s="27">
        <f>IF(D137=0,0,IF(D137+1&gt;L114,0,D137+1))</f>
        <v>0</v>
      </c>
      <c r="D138" s="27">
        <f>IF(C138=0,0,IF(C138+11&gt;L114,L114,C138+11))</f>
        <v>0</v>
      </c>
      <c r="E138" s="27">
        <f t="shared" si="109"/>
        <v>0</v>
      </c>
      <c r="F138" s="27">
        <f t="shared" si="124"/>
        <v>0</v>
      </c>
      <c r="G138" s="27">
        <f t="shared" si="125"/>
        <v>0</v>
      </c>
      <c r="H138" s="27">
        <f t="shared" si="110"/>
        <v>0</v>
      </c>
      <c r="I138" s="27">
        <f t="shared" si="126"/>
        <v>0</v>
      </c>
      <c r="J138" s="27">
        <f t="shared" si="127"/>
        <v>0</v>
      </c>
      <c r="K138" s="27">
        <f t="shared" si="111"/>
        <v>0</v>
      </c>
      <c r="L138" s="27">
        <f t="shared" si="128"/>
        <v>0</v>
      </c>
      <c r="M138" s="27">
        <f t="shared" si="129"/>
        <v>0</v>
      </c>
      <c r="N138" s="27">
        <f t="shared" si="112"/>
        <v>0</v>
      </c>
      <c r="O138" s="27">
        <f t="shared" si="130"/>
        <v>0</v>
      </c>
      <c r="P138" s="27">
        <f t="shared" si="131"/>
        <v>0</v>
      </c>
      <c r="Q138" s="60">
        <f t="shared" si="113"/>
        <v>0</v>
      </c>
      <c r="R138" s="27">
        <f t="shared" si="132"/>
        <v>0</v>
      </c>
      <c r="S138" s="27">
        <f t="shared" si="133"/>
        <v>0</v>
      </c>
      <c r="T138" s="27">
        <f t="shared" si="114"/>
        <v>0</v>
      </c>
      <c r="U138" s="27">
        <f t="shared" si="134"/>
        <v>0</v>
      </c>
      <c r="V138" s="27">
        <f t="shared" si="135"/>
        <v>0</v>
      </c>
      <c r="W138" s="27">
        <f t="shared" si="115"/>
        <v>0</v>
      </c>
      <c r="X138" s="27">
        <f t="shared" si="136"/>
        <v>0</v>
      </c>
      <c r="Y138" s="27">
        <f t="shared" si="137"/>
        <v>0</v>
      </c>
      <c r="Z138" s="27">
        <f t="shared" si="116"/>
        <v>0</v>
      </c>
      <c r="AA138" s="27">
        <f t="shared" si="138"/>
        <v>0</v>
      </c>
      <c r="AB138" s="27">
        <f t="shared" si="117"/>
        <v>0</v>
      </c>
      <c r="AC138" s="27">
        <f t="shared" si="118"/>
        <v>0</v>
      </c>
      <c r="AD138" s="27">
        <f t="shared" si="139"/>
        <v>0</v>
      </c>
      <c r="AE138" s="27">
        <f t="shared" si="119"/>
        <v>0</v>
      </c>
      <c r="AF138" s="27">
        <f t="shared" si="120"/>
        <v>0</v>
      </c>
      <c r="AG138" s="61"/>
      <c r="AI138" s="27">
        <v>1</v>
      </c>
      <c r="AJ138" s="27">
        <f t="shared" ref="AJ138:AT138" si="141">+AI138+1</f>
        <v>2</v>
      </c>
      <c r="AK138" s="27">
        <f t="shared" si="141"/>
        <v>3</v>
      </c>
      <c r="AL138" s="27">
        <f t="shared" si="141"/>
        <v>4</v>
      </c>
      <c r="AM138" s="27">
        <f t="shared" si="141"/>
        <v>5</v>
      </c>
      <c r="AN138" s="27">
        <f t="shared" si="141"/>
        <v>6</v>
      </c>
      <c r="AO138" s="27">
        <f t="shared" si="141"/>
        <v>7</v>
      </c>
      <c r="AP138" s="27">
        <f t="shared" si="141"/>
        <v>8</v>
      </c>
      <c r="AQ138" s="27">
        <f t="shared" si="141"/>
        <v>9</v>
      </c>
      <c r="AR138" s="27">
        <f t="shared" si="141"/>
        <v>10</v>
      </c>
      <c r="AS138" s="27">
        <f t="shared" si="141"/>
        <v>11</v>
      </c>
      <c r="AT138" s="61">
        <f t="shared" si="141"/>
        <v>12</v>
      </c>
    </row>
    <row r="139" spans="2:46" s="27" customFormat="1" ht="11.25" hidden="1" x14ac:dyDescent="0.2">
      <c r="B139" s="60">
        <f t="shared" si="107"/>
        <v>16</v>
      </c>
      <c r="C139" s="27">
        <f>IF(D138=0,0,IF(D138+1&gt;L114,0,D138+1))</f>
        <v>0</v>
      </c>
      <c r="D139" s="27">
        <f>IF(C139=0,0,IF(C139+11&gt;L114,L114,C139+11))</f>
        <v>0</v>
      </c>
      <c r="E139" s="27">
        <f t="shared" si="109"/>
        <v>0</v>
      </c>
      <c r="F139" s="27">
        <f t="shared" si="124"/>
        <v>0</v>
      </c>
      <c r="G139" s="27">
        <f t="shared" si="125"/>
        <v>0</v>
      </c>
      <c r="H139" s="27">
        <f t="shared" si="110"/>
        <v>0</v>
      </c>
      <c r="I139" s="27">
        <f t="shared" si="126"/>
        <v>0</v>
      </c>
      <c r="J139" s="27">
        <f t="shared" si="127"/>
        <v>0</v>
      </c>
      <c r="K139" s="27">
        <f t="shared" si="111"/>
        <v>0</v>
      </c>
      <c r="L139" s="27">
        <f t="shared" si="128"/>
        <v>0</v>
      </c>
      <c r="M139" s="27">
        <f t="shared" si="129"/>
        <v>0</v>
      </c>
      <c r="N139" s="27">
        <f t="shared" si="112"/>
        <v>0</v>
      </c>
      <c r="O139" s="27">
        <f t="shared" si="130"/>
        <v>0</v>
      </c>
      <c r="P139" s="27">
        <f t="shared" si="131"/>
        <v>0</v>
      </c>
      <c r="Q139" s="60">
        <f t="shared" si="113"/>
        <v>0</v>
      </c>
      <c r="R139" s="27">
        <f t="shared" si="132"/>
        <v>0</v>
      </c>
      <c r="S139" s="27">
        <f t="shared" si="133"/>
        <v>0</v>
      </c>
      <c r="T139" s="27">
        <f t="shared" si="114"/>
        <v>0</v>
      </c>
      <c r="U139" s="27">
        <f t="shared" si="134"/>
        <v>0</v>
      </c>
      <c r="V139" s="27">
        <f t="shared" si="135"/>
        <v>0</v>
      </c>
      <c r="W139" s="27">
        <f t="shared" si="115"/>
        <v>0</v>
      </c>
      <c r="X139" s="27">
        <f t="shared" si="136"/>
        <v>0</v>
      </c>
      <c r="Y139" s="27">
        <f t="shared" si="137"/>
        <v>0</v>
      </c>
      <c r="Z139" s="27">
        <f t="shared" si="116"/>
        <v>0</v>
      </c>
      <c r="AA139" s="27">
        <f t="shared" si="138"/>
        <v>0</v>
      </c>
      <c r="AB139" s="27">
        <f t="shared" si="117"/>
        <v>0</v>
      </c>
      <c r="AC139" s="27">
        <f t="shared" si="118"/>
        <v>0</v>
      </c>
      <c r="AD139" s="27">
        <f t="shared" si="139"/>
        <v>0</v>
      </c>
      <c r="AE139" s="27">
        <f t="shared" si="119"/>
        <v>0</v>
      </c>
      <c r="AF139" s="27">
        <f t="shared" si="120"/>
        <v>0</v>
      </c>
      <c r="AG139" s="61"/>
      <c r="AH139" s="27" t="s">
        <v>12</v>
      </c>
      <c r="AI139" s="27">
        <f>D!$N$6</f>
        <v>2013</v>
      </c>
      <c r="AJ139" s="27">
        <f t="shared" ref="AJ139:AT139" si="142">+AI139+1</f>
        <v>2014</v>
      </c>
      <c r="AK139" s="27">
        <f t="shared" si="142"/>
        <v>2015</v>
      </c>
      <c r="AL139" s="27">
        <f t="shared" si="142"/>
        <v>2016</v>
      </c>
      <c r="AM139" s="27">
        <f t="shared" si="142"/>
        <v>2017</v>
      </c>
      <c r="AN139" s="27">
        <f t="shared" si="142"/>
        <v>2018</v>
      </c>
      <c r="AO139" s="27">
        <f t="shared" si="142"/>
        <v>2019</v>
      </c>
      <c r="AP139" s="27">
        <f t="shared" si="142"/>
        <v>2020</v>
      </c>
      <c r="AQ139" s="27">
        <f t="shared" si="142"/>
        <v>2021</v>
      </c>
      <c r="AR139" s="27">
        <f t="shared" si="142"/>
        <v>2022</v>
      </c>
      <c r="AS139" s="27">
        <f t="shared" si="142"/>
        <v>2023</v>
      </c>
      <c r="AT139" s="61">
        <f t="shared" si="142"/>
        <v>2024</v>
      </c>
    </row>
    <row r="140" spans="2:46" s="27" customFormat="1" ht="11.25" hidden="1" x14ac:dyDescent="0.2">
      <c r="B140" s="60">
        <f t="shared" si="107"/>
        <v>17</v>
      </c>
      <c r="C140" s="27">
        <f>IF(D139=0,0,IF(D139+1&gt;L114,0,D139+1))</f>
        <v>0</v>
      </c>
      <c r="D140" s="27">
        <f>IF(C140=0,0,IF(C140+11&gt;L114,L114,C140+11))</f>
        <v>0</v>
      </c>
      <c r="E140" s="27">
        <f t="shared" si="109"/>
        <v>0</v>
      </c>
      <c r="F140" s="27">
        <f t="shared" si="124"/>
        <v>0</v>
      </c>
      <c r="G140" s="27">
        <f t="shared" si="125"/>
        <v>0</v>
      </c>
      <c r="H140" s="27">
        <f t="shared" si="110"/>
        <v>0</v>
      </c>
      <c r="I140" s="27">
        <f t="shared" si="126"/>
        <v>0</v>
      </c>
      <c r="J140" s="27">
        <f t="shared" si="127"/>
        <v>0</v>
      </c>
      <c r="K140" s="27">
        <f t="shared" si="111"/>
        <v>0</v>
      </c>
      <c r="L140" s="27">
        <f t="shared" si="128"/>
        <v>0</v>
      </c>
      <c r="M140" s="27">
        <f t="shared" si="129"/>
        <v>0</v>
      </c>
      <c r="N140" s="27">
        <f t="shared" si="112"/>
        <v>0</v>
      </c>
      <c r="O140" s="27">
        <f t="shared" si="130"/>
        <v>0</v>
      </c>
      <c r="P140" s="27">
        <f t="shared" si="131"/>
        <v>0</v>
      </c>
      <c r="Q140" s="60">
        <f t="shared" si="113"/>
        <v>0</v>
      </c>
      <c r="R140" s="27">
        <f t="shared" si="132"/>
        <v>0</v>
      </c>
      <c r="S140" s="27">
        <f t="shared" si="133"/>
        <v>0</v>
      </c>
      <c r="T140" s="27">
        <f t="shared" si="114"/>
        <v>0</v>
      </c>
      <c r="U140" s="27">
        <f t="shared" si="134"/>
        <v>0</v>
      </c>
      <c r="V140" s="27">
        <f t="shared" si="135"/>
        <v>0</v>
      </c>
      <c r="W140" s="27">
        <f t="shared" si="115"/>
        <v>0</v>
      </c>
      <c r="X140" s="27">
        <f t="shared" si="136"/>
        <v>0</v>
      </c>
      <c r="Y140" s="27">
        <f t="shared" si="137"/>
        <v>0</v>
      </c>
      <c r="Z140" s="27">
        <f t="shared" si="116"/>
        <v>0</v>
      </c>
      <c r="AA140" s="27">
        <f t="shared" si="138"/>
        <v>0</v>
      </c>
      <c r="AB140" s="27">
        <f t="shared" si="117"/>
        <v>0</v>
      </c>
      <c r="AC140" s="27">
        <f t="shared" si="118"/>
        <v>0</v>
      </c>
      <c r="AD140" s="27">
        <f t="shared" si="139"/>
        <v>0</v>
      </c>
      <c r="AE140" s="27">
        <f t="shared" si="119"/>
        <v>0</v>
      </c>
      <c r="AF140" s="27">
        <f t="shared" si="120"/>
        <v>0</v>
      </c>
      <c r="AG140" s="61"/>
      <c r="AH140" s="27" t="s">
        <v>7</v>
      </c>
      <c r="AI140" s="27">
        <f>+C114</f>
        <v>0</v>
      </c>
      <c r="AT140" s="61"/>
    </row>
    <row r="141" spans="2:46" s="27" customFormat="1" ht="11.25" hidden="1" x14ac:dyDescent="0.2">
      <c r="B141" s="60">
        <f t="shared" si="107"/>
        <v>18</v>
      </c>
      <c r="C141" s="27">
        <f>IF(D140=0,0,IF(D140+1&gt;L114,0,D140+1))</f>
        <v>0</v>
      </c>
      <c r="D141" s="27">
        <f>IF(C141=0,0,IF(C141+11&gt;L114,L114,C141+11))</f>
        <v>0</v>
      </c>
      <c r="E141" s="27">
        <f t="shared" si="109"/>
        <v>0</v>
      </c>
      <c r="F141" s="27">
        <f t="shared" si="124"/>
        <v>0</v>
      </c>
      <c r="G141" s="27">
        <f t="shared" si="125"/>
        <v>0</v>
      </c>
      <c r="H141" s="27">
        <f t="shared" si="110"/>
        <v>0</v>
      </c>
      <c r="I141" s="27">
        <f t="shared" si="126"/>
        <v>0</v>
      </c>
      <c r="J141" s="27">
        <f t="shared" si="127"/>
        <v>0</v>
      </c>
      <c r="K141" s="27">
        <f t="shared" si="111"/>
        <v>0</v>
      </c>
      <c r="L141" s="27">
        <f t="shared" si="128"/>
        <v>0</v>
      </c>
      <c r="M141" s="27">
        <f t="shared" si="129"/>
        <v>0</v>
      </c>
      <c r="N141" s="27">
        <f t="shared" si="112"/>
        <v>0</v>
      </c>
      <c r="O141" s="27">
        <f t="shared" si="130"/>
        <v>0</v>
      </c>
      <c r="P141" s="27">
        <f t="shared" si="131"/>
        <v>0</v>
      </c>
      <c r="Q141" s="60">
        <f t="shared" si="113"/>
        <v>0</v>
      </c>
      <c r="R141" s="27">
        <f t="shared" si="132"/>
        <v>0</v>
      </c>
      <c r="S141" s="27">
        <f t="shared" si="133"/>
        <v>0</v>
      </c>
      <c r="T141" s="27">
        <f t="shared" si="114"/>
        <v>0</v>
      </c>
      <c r="U141" s="27">
        <f t="shared" si="134"/>
        <v>0</v>
      </c>
      <c r="V141" s="27">
        <f t="shared" si="135"/>
        <v>0</v>
      </c>
      <c r="W141" s="27">
        <f t="shared" si="115"/>
        <v>0</v>
      </c>
      <c r="X141" s="27">
        <f t="shared" si="136"/>
        <v>0</v>
      </c>
      <c r="Y141" s="27">
        <f t="shared" si="137"/>
        <v>0</v>
      </c>
      <c r="Z141" s="27">
        <f t="shared" si="116"/>
        <v>0</v>
      </c>
      <c r="AA141" s="27">
        <f t="shared" si="138"/>
        <v>0</v>
      </c>
      <c r="AB141" s="27">
        <f t="shared" si="117"/>
        <v>0</v>
      </c>
      <c r="AC141" s="27">
        <f t="shared" si="118"/>
        <v>0</v>
      </c>
      <c r="AD141" s="27">
        <f t="shared" si="139"/>
        <v>0</v>
      </c>
      <c r="AE141" s="27">
        <f t="shared" si="119"/>
        <v>0</v>
      </c>
      <c r="AF141" s="27">
        <f t="shared" si="120"/>
        <v>0</v>
      </c>
      <c r="AG141" s="61"/>
      <c r="AH141" s="27" t="s">
        <v>1530</v>
      </c>
      <c r="AT141" s="61"/>
    </row>
    <row r="142" spans="2:46" s="27" customFormat="1" ht="11.25" hidden="1" x14ac:dyDescent="0.2">
      <c r="B142" s="60">
        <f t="shared" si="107"/>
        <v>19</v>
      </c>
      <c r="C142" s="27">
        <f>IF(D141=0,0,IF(D141+1&gt;L114,0,D141+1))</f>
        <v>0</v>
      </c>
      <c r="D142" s="27">
        <f>IF(C142=0,0,IF(C142+11&gt;L114,L114,C142+11))</f>
        <v>0</v>
      </c>
      <c r="E142" s="27">
        <f t="shared" si="109"/>
        <v>0</v>
      </c>
      <c r="F142" s="27">
        <f t="shared" si="124"/>
        <v>0</v>
      </c>
      <c r="G142" s="27">
        <f t="shared" si="125"/>
        <v>0</v>
      </c>
      <c r="H142" s="27">
        <f t="shared" si="110"/>
        <v>0</v>
      </c>
      <c r="I142" s="27">
        <f t="shared" si="126"/>
        <v>0</v>
      </c>
      <c r="J142" s="27">
        <f t="shared" si="127"/>
        <v>0</v>
      </c>
      <c r="K142" s="27">
        <f t="shared" si="111"/>
        <v>0</v>
      </c>
      <c r="L142" s="27">
        <f t="shared" si="128"/>
        <v>0</v>
      </c>
      <c r="M142" s="27">
        <f t="shared" si="129"/>
        <v>0</v>
      </c>
      <c r="N142" s="27">
        <f t="shared" si="112"/>
        <v>0</v>
      </c>
      <c r="O142" s="27">
        <f t="shared" si="130"/>
        <v>0</v>
      </c>
      <c r="P142" s="27">
        <f t="shared" si="131"/>
        <v>0</v>
      </c>
      <c r="Q142" s="60">
        <f t="shared" si="113"/>
        <v>0</v>
      </c>
      <c r="R142" s="27">
        <f t="shared" si="132"/>
        <v>0</v>
      </c>
      <c r="S142" s="27">
        <f t="shared" si="133"/>
        <v>0</v>
      </c>
      <c r="T142" s="27">
        <f t="shared" si="114"/>
        <v>0</v>
      </c>
      <c r="U142" s="27">
        <f t="shared" si="134"/>
        <v>0</v>
      </c>
      <c r="V142" s="27">
        <f t="shared" si="135"/>
        <v>0</v>
      </c>
      <c r="W142" s="27">
        <f t="shared" si="115"/>
        <v>0</v>
      </c>
      <c r="X142" s="27">
        <f t="shared" si="136"/>
        <v>0</v>
      </c>
      <c r="Y142" s="27">
        <f t="shared" si="137"/>
        <v>0</v>
      </c>
      <c r="Z142" s="27">
        <f t="shared" si="116"/>
        <v>0</v>
      </c>
      <c r="AA142" s="27">
        <f t="shared" si="138"/>
        <v>0</v>
      </c>
      <c r="AB142" s="27">
        <f t="shared" si="117"/>
        <v>0</v>
      </c>
      <c r="AC142" s="27">
        <f t="shared" si="118"/>
        <v>0</v>
      </c>
      <c r="AD142" s="27">
        <f t="shared" si="139"/>
        <v>0</v>
      </c>
      <c r="AE142" s="27">
        <f t="shared" si="119"/>
        <v>0</v>
      </c>
      <c r="AF142" s="27">
        <f t="shared" si="120"/>
        <v>0</v>
      </c>
      <c r="AG142" s="61"/>
      <c r="AH142" s="27" t="s">
        <v>8</v>
      </c>
      <c r="AI142" s="27">
        <f>SUMIF($P114:$P118,$AH120,Q114:Q118)</f>
        <v>0</v>
      </c>
      <c r="AJ142" s="27">
        <f>SUMIF($P114:$P118,$AH120,S114:S118)</f>
        <v>0</v>
      </c>
      <c r="AK142" s="27">
        <f>SUMIF($P114:$P118,$AH120,U114:U118)</f>
        <v>0</v>
      </c>
      <c r="AL142" s="27">
        <f>SUMIF($P114:$P118,$AH120,W114:W118)</f>
        <v>0</v>
      </c>
      <c r="AM142" s="27">
        <f>SUMIF($P114:$P118,$AH120,Y114:Y118)</f>
        <v>0</v>
      </c>
      <c r="AN142" s="27">
        <f>SUM(AI142:AM142)</f>
        <v>0</v>
      </c>
      <c r="AT142" s="61"/>
    </row>
    <row r="143" spans="2:46" s="27" customFormat="1" ht="11.25" hidden="1" x14ac:dyDescent="0.2">
      <c r="B143" s="60">
        <f t="shared" si="107"/>
        <v>20</v>
      </c>
      <c r="C143" s="27">
        <f>IF(D142=0,0,IF(D142+1&gt;L114,0,D142+1))</f>
        <v>0</v>
      </c>
      <c r="D143" s="27">
        <f>IF(C143=0,0,IF(C143+11&gt;L114,L114,C143+11))</f>
        <v>0</v>
      </c>
      <c r="E143" s="27">
        <f t="shared" si="109"/>
        <v>0</v>
      </c>
      <c r="F143" s="27">
        <f t="shared" si="124"/>
        <v>0</v>
      </c>
      <c r="G143" s="27">
        <f t="shared" si="125"/>
        <v>0</v>
      </c>
      <c r="H143" s="27">
        <f t="shared" si="110"/>
        <v>0</v>
      </c>
      <c r="I143" s="27">
        <f t="shared" si="126"/>
        <v>0</v>
      </c>
      <c r="J143" s="27">
        <f t="shared" si="127"/>
        <v>0</v>
      </c>
      <c r="K143" s="27">
        <f t="shared" si="111"/>
        <v>0</v>
      </c>
      <c r="L143" s="27">
        <f t="shared" si="128"/>
        <v>0</v>
      </c>
      <c r="M143" s="27">
        <f t="shared" si="129"/>
        <v>0</v>
      </c>
      <c r="N143" s="27">
        <f t="shared" si="112"/>
        <v>0</v>
      </c>
      <c r="O143" s="27">
        <f t="shared" si="130"/>
        <v>0</v>
      </c>
      <c r="P143" s="27">
        <f t="shared" si="131"/>
        <v>0</v>
      </c>
      <c r="Q143" s="60">
        <f t="shared" si="113"/>
        <v>0</v>
      </c>
      <c r="R143" s="27">
        <f t="shared" si="132"/>
        <v>0</v>
      </c>
      <c r="S143" s="27">
        <f t="shared" si="133"/>
        <v>0</v>
      </c>
      <c r="T143" s="27">
        <f t="shared" si="114"/>
        <v>0</v>
      </c>
      <c r="U143" s="27">
        <f t="shared" si="134"/>
        <v>0</v>
      </c>
      <c r="V143" s="27">
        <f t="shared" si="135"/>
        <v>0</v>
      </c>
      <c r="W143" s="27">
        <f t="shared" si="115"/>
        <v>0</v>
      </c>
      <c r="X143" s="27">
        <f t="shared" si="136"/>
        <v>0</v>
      </c>
      <c r="Y143" s="27">
        <f t="shared" si="137"/>
        <v>0</v>
      </c>
      <c r="Z143" s="27">
        <f t="shared" si="116"/>
        <v>0</v>
      </c>
      <c r="AA143" s="27">
        <f t="shared" si="138"/>
        <v>0</v>
      </c>
      <c r="AB143" s="27">
        <f t="shared" si="117"/>
        <v>0</v>
      </c>
      <c r="AC143" s="27">
        <f t="shared" si="118"/>
        <v>0</v>
      </c>
      <c r="AD143" s="27">
        <f t="shared" si="139"/>
        <v>0</v>
      </c>
      <c r="AE143" s="27">
        <f t="shared" si="119"/>
        <v>0</v>
      </c>
      <c r="AF143" s="27">
        <f t="shared" si="120"/>
        <v>0</v>
      </c>
      <c r="AG143" s="61"/>
      <c r="AH143" s="27" t="s">
        <v>9</v>
      </c>
      <c r="AI143" s="27">
        <f>SUMIF($P114:$P118,$AH120,R114:R118)</f>
        <v>0</v>
      </c>
      <c r="AJ143" s="27">
        <f>SUMIF($P114:$P118,$AH120,T114:T118)</f>
        <v>0</v>
      </c>
      <c r="AK143" s="27">
        <f>SUMIF($P114:$P118,$AH120,V114:V118)</f>
        <v>0</v>
      </c>
      <c r="AL143" s="27">
        <f>SUMIF($P114:$P118,$AH120,X114:X118)</f>
        <v>0</v>
      </c>
      <c r="AM143" s="27">
        <f>SUMIF($P114:$P118,$AH120,Z114:Z118)</f>
        <v>0</v>
      </c>
      <c r="AT143" s="61"/>
    </row>
    <row r="144" spans="2:46" s="27" customFormat="1" ht="11.25" hidden="1" x14ac:dyDescent="0.2">
      <c r="B144" s="60">
        <v>21</v>
      </c>
      <c r="C144" s="27">
        <f>IF(D143=0,0,IF(D143+1&gt;L114,0,D143+1))</f>
        <v>0</v>
      </c>
      <c r="D144" s="27">
        <f>IF(C144=0,0,IF(C144+11&gt;L114,L114,C144+11))</f>
        <v>0</v>
      </c>
      <c r="E144" s="27">
        <f t="shared" si="109"/>
        <v>0</v>
      </c>
      <c r="F144" s="27">
        <f t="shared" si="124"/>
        <v>0</v>
      </c>
      <c r="G144" s="27">
        <f t="shared" si="125"/>
        <v>0</v>
      </c>
      <c r="H144" s="27">
        <f t="shared" si="110"/>
        <v>0</v>
      </c>
      <c r="I144" s="27">
        <f t="shared" si="126"/>
        <v>0</v>
      </c>
      <c r="J144" s="27">
        <f t="shared" si="127"/>
        <v>0</v>
      </c>
      <c r="K144" s="27">
        <f t="shared" si="111"/>
        <v>0</v>
      </c>
      <c r="L144" s="27">
        <f t="shared" si="128"/>
        <v>0</v>
      </c>
      <c r="M144" s="27">
        <f t="shared" si="129"/>
        <v>0</v>
      </c>
      <c r="N144" s="27">
        <f t="shared" si="112"/>
        <v>0</v>
      </c>
      <c r="O144" s="27">
        <f t="shared" si="130"/>
        <v>0</v>
      </c>
      <c r="P144" s="27">
        <f t="shared" si="131"/>
        <v>0</v>
      </c>
      <c r="Q144" s="60">
        <f t="shared" si="113"/>
        <v>0</v>
      </c>
      <c r="R144" s="27">
        <f t="shared" si="132"/>
        <v>0</v>
      </c>
      <c r="S144" s="27">
        <f t="shared" si="133"/>
        <v>0</v>
      </c>
      <c r="T144" s="27">
        <f t="shared" si="114"/>
        <v>0</v>
      </c>
      <c r="U144" s="27">
        <f t="shared" si="134"/>
        <v>0</v>
      </c>
      <c r="V144" s="27">
        <f t="shared" si="135"/>
        <v>0</v>
      </c>
      <c r="W144" s="27">
        <f t="shared" si="115"/>
        <v>0</v>
      </c>
      <c r="X144" s="27">
        <f t="shared" si="136"/>
        <v>0</v>
      </c>
      <c r="Y144" s="27">
        <f t="shared" si="137"/>
        <v>0</v>
      </c>
      <c r="Z144" s="27">
        <f t="shared" si="116"/>
        <v>0</v>
      </c>
      <c r="AA144" s="27">
        <f t="shared" si="138"/>
        <v>0</v>
      </c>
      <c r="AB144" s="27">
        <f t="shared" si="117"/>
        <v>0</v>
      </c>
      <c r="AC144" s="27">
        <f t="shared" si="118"/>
        <v>0</v>
      </c>
      <c r="AD144" s="27">
        <f t="shared" si="139"/>
        <v>0</v>
      </c>
      <c r="AE144" s="27">
        <f t="shared" si="119"/>
        <v>0</v>
      </c>
      <c r="AF144" s="27">
        <f t="shared" si="120"/>
        <v>0</v>
      </c>
      <c r="AG144" s="61"/>
      <c r="AH144" s="27" t="s">
        <v>958</v>
      </c>
      <c r="AI144" s="27">
        <f>+AI143+AI142</f>
        <v>0</v>
      </c>
      <c r="AJ144" s="27">
        <f>+AJ143+AJ142</f>
        <v>0</v>
      </c>
      <c r="AK144" s="27">
        <f>+AK143+AK142</f>
        <v>0</v>
      </c>
      <c r="AL144" s="27">
        <f>+AL143+AL142</f>
        <v>0</v>
      </c>
      <c r="AM144" s="27">
        <f>+AM143+AM142</f>
        <v>0</v>
      </c>
      <c r="AT144" s="61"/>
    </row>
    <row r="145" spans="1:46" s="27" customFormat="1" ht="11.25" hidden="1" x14ac:dyDescent="0.2">
      <c r="B145" s="60">
        <v>21</v>
      </c>
      <c r="C145" s="27">
        <f>IF(D144=0,0,IF(D144+1&gt;L114,0,D144+1))</f>
        <v>0</v>
      </c>
      <c r="D145" s="27">
        <f>IF(C145=0,0,IF(C145+11&gt;L114,L114,C145+11))</f>
        <v>0</v>
      </c>
      <c r="E145" s="27">
        <f t="shared" si="109"/>
        <v>0</v>
      </c>
      <c r="F145" s="27">
        <f t="shared" si="124"/>
        <v>0</v>
      </c>
      <c r="G145" s="27">
        <f t="shared" si="125"/>
        <v>0</v>
      </c>
      <c r="H145" s="27">
        <f t="shared" si="110"/>
        <v>0</v>
      </c>
      <c r="I145" s="27">
        <f t="shared" si="126"/>
        <v>0</v>
      </c>
      <c r="J145" s="27">
        <f t="shared" si="127"/>
        <v>0</v>
      </c>
      <c r="K145" s="27">
        <f t="shared" si="111"/>
        <v>0</v>
      </c>
      <c r="L145" s="27">
        <f t="shared" si="128"/>
        <v>0</v>
      </c>
      <c r="M145" s="27">
        <f t="shared" si="129"/>
        <v>0</v>
      </c>
      <c r="N145" s="27">
        <f t="shared" si="112"/>
        <v>0</v>
      </c>
      <c r="O145" s="27">
        <f t="shared" si="130"/>
        <v>0</v>
      </c>
      <c r="P145" s="27">
        <f t="shared" si="131"/>
        <v>0</v>
      </c>
      <c r="Q145" s="60">
        <f t="shared" si="113"/>
        <v>0</v>
      </c>
      <c r="R145" s="27">
        <f t="shared" si="132"/>
        <v>0</v>
      </c>
      <c r="S145" s="27">
        <f t="shared" si="133"/>
        <v>0</v>
      </c>
      <c r="T145" s="27">
        <f t="shared" si="114"/>
        <v>0</v>
      </c>
      <c r="U145" s="27">
        <f t="shared" si="134"/>
        <v>0</v>
      </c>
      <c r="V145" s="27">
        <f t="shared" si="135"/>
        <v>0</v>
      </c>
      <c r="W145" s="27">
        <f t="shared" si="115"/>
        <v>0</v>
      </c>
      <c r="X145" s="27">
        <f t="shared" si="136"/>
        <v>0</v>
      </c>
      <c r="Y145" s="27">
        <f t="shared" si="137"/>
        <v>0</v>
      </c>
      <c r="Z145" s="27">
        <f t="shared" si="116"/>
        <v>0</v>
      </c>
      <c r="AA145" s="27">
        <f t="shared" si="138"/>
        <v>0</v>
      </c>
      <c r="AB145" s="27">
        <f t="shared" si="117"/>
        <v>0</v>
      </c>
      <c r="AC145" s="27">
        <f t="shared" si="118"/>
        <v>0</v>
      </c>
      <c r="AD145" s="27">
        <f t="shared" si="139"/>
        <v>0</v>
      </c>
      <c r="AE145" s="27">
        <f t="shared" si="119"/>
        <v>0</v>
      </c>
      <c r="AF145" s="27">
        <f t="shared" si="120"/>
        <v>0</v>
      </c>
      <c r="AG145" s="61"/>
      <c r="AH145" s="27" t="s">
        <v>10</v>
      </c>
      <c r="AI145" s="27">
        <f>+C114</f>
        <v>0</v>
      </c>
      <c r="AT145" s="61"/>
    </row>
    <row r="146" spans="1:46" s="27" customFormat="1" ht="11.25" hidden="1" x14ac:dyDescent="0.2">
      <c r="B146" s="60"/>
      <c r="C146" s="27" t="s">
        <v>1559</v>
      </c>
      <c r="D146" s="27">
        <f>IF(G124=0,0,(H124+E124)/G124)</f>
        <v>0</v>
      </c>
      <c r="E146" s="27">
        <f>SUM(E124:E145)</f>
        <v>0</v>
      </c>
      <c r="H146" s="27">
        <f>SUM(H124:H145)</f>
        <v>0</v>
      </c>
      <c r="I146" s="27" t="s">
        <v>1559</v>
      </c>
      <c r="J146" s="27">
        <f>IF(M124=0,0,(N124+K124)/M124)</f>
        <v>0</v>
      </c>
      <c r="K146" s="27">
        <f>SUM(K124:K145)</f>
        <v>0</v>
      </c>
      <c r="N146" s="27">
        <f>SUM(N124:N145)</f>
        <v>0</v>
      </c>
      <c r="O146" s="27" t="s">
        <v>1559</v>
      </c>
      <c r="P146" s="27">
        <f>IF(S124=0,0,(T124+Q124)/S124)</f>
        <v>0</v>
      </c>
      <c r="Q146" s="60">
        <f>SUM(Q124:Q145)</f>
        <v>0</v>
      </c>
      <c r="T146" s="27">
        <f>SUM(T124:T145)</f>
        <v>0</v>
      </c>
      <c r="U146" s="27" t="s">
        <v>1559</v>
      </c>
      <c r="V146" s="27">
        <f>IF(Y124=0,0,(Z124+W124)/Y124)</f>
        <v>0</v>
      </c>
      <c r="W146" s="27">
        <f>SUM(W124:W145)</f>
        <v>0</v>
      </c>
      <c r="Z146" s="27">
        <f>SUM(Z124:Z145)</f>
        <v>0</v>
      </c>
      <c r="AA146" s="27" t="s">
        <v>1559</v>
      </c>
      <c r="AB146" s="27">
        <f>IF(AE124=0,0,(AF124+AC124)/AE124)</f>
        <v>0</v>
      </c>
      <c r="AC146" s="27">
        <f>SUM(AC124:AC145)</f>
        <v>0</v>
      </c>
      <c r="AF146" s="27">
        <f>SUM(AF124:AF145)</f>
        <v>0</v>
      </c>
      <c r="AG146" s="61"/>
      <c r="AH146" s="27" t="s">
        <v>11</v>
      </c>
      <c r="AI146" s="27">
        <f>+AI145-AI142</f>
        <v>0</v>
      </c>
      <c r="AJ146" s="27">
        <f>+AI146-AJ142</f>
        <v>0</v>
      </c>
      <c r="AK146" s="27">
        <f>+AJ146-AK142</f>
        <v>0</v>
      </c>
      <c r="AL146" s="27">
        <f>+AK146-AL142</f>
        <v>0</v>
      </c>
      <c r="AM146" s="27">
        <f>+AL146-AM142</f>
        <v>0</v>
      </c>
      <c r="AT146" s="61"/>
    </row>
    <row r="147" spans="1:46" s="27" customFormat="1" ht="11.25" hidden="1" x14ac:dyDescent="0.2">
      <c r="B147" s="60"/>
      <c r="Q147" s="60"/>
      <c r="AG147" s="61"/>
      <c r="AH147" s="66" t="s">
        <v>946</v>
      </c>
      <c r="AI147" s="66">
        <f>IF(AI140=0,0,$G114)</f>
        <v>0</v>
      </c>
      <c r="AJ147" s="66">
        <f>IF(AJ140=0,0,$G114)</f>
        <v>0</v>
      </c>
      <c r="AK147" s="66">
        <f>IF(AK140=0,0,$G114)</f>
        <v>0</v>
      </c>
      <c r="AL147" s="66">
        <f>IF(AL140=0,0,$G114)</f>
        <v>0</v>
      </c>
      <c r="AM147" s="66">
        <f>IF(AM140=0,0,$G114)</f>
        <v>0</v>
      </c>
      <c r="AN147" s="66"/>
      <c r="AO147" s="66"/>
      <c r="AP147" s="66"/>
      <c r="AQ147" s="66"/>
      <c r="AR147" s="66"/>
      <c r="AS147" s="66"/>
      <c r="AT147" s="67"/>
    </row>
    <row r="148" spans="1:46" s="27" customFormat="1" ht="11.25" hidden="1" x14ac:dyDescent="0.2">
      <c r="A148" s="27" t="s">
        <v>389</v>
      </c>
      <c r="B148" s="62" t="s">
        <v>392</v>
      </c>
      <c r="C148" s="63"/>
      <c r="D148" s="63"/>
      <c r="E148" s="63"/>
      <c r="F148" s="63"/>
      <c r="G148" s="63"/>
      <c r="H148" s="63"/>
      <c r="I148" s="63"/>
      <c r="J148" s="63"/>
      <c r="K148" s="63"/>
      <c r="L148" s="63"/>
      <c r="M148" s="63"/>
      <c r="N148" s="63"/>
      <c r="O148" s="63"/>
      <c r="P148" s="63"/>
      <c r="Q148" s="62">
        <v>1</v>
      </c>
      <c r="R148" s="63"/>
      <c r="S148" s="63">
        <f>+Q148+1</f>
        <v>2</v>
      </c>
      <c r="T148" s="63"/>
      <c r="U148" s="63">
        <f>+S148+1</f>
        <v>3</v>
      </c>
      <c r="V148" s="63"/>
      <c r="W148" s="63">
        <f>+U148+1</f>
        <v>4</v>
      </c>
      <c r="X148" s="63"/>
      <c r="Y148" s="63">
        <f>+W148+1</f>
        <v>5</v>
      </c>
      <c r="Z148" s="63"/>
      <c r="AA148" s="63"/>
      <c r="AB148" s="63"/>
      <c r="AC148" s="63"/>
      <c r="AD148" s="63"/>
      <c r="AE148" s="63"/>
      <c r="AF148" s="63"/>
      <c r="AG148" s="64"/>
      <c r="AH148" s="63"/>
      <c r="AI148" s="63" t="str">
        <f t="shared" ref="AI148:AT148" si="143">AI112</f>
        <v>Enero</v>
      </c>
      <c r="AJ148" s="63" t="str">
        <f t="shared" si="143"/>
        <v>Febrero</v>
      </c>
      <c r="AK148" s="63" t="str">
        <f t="shared" si="143"/>
        <v>Marzo</v>
      </c>
      <c r="AL148" s="63" t="str">
        <f t="shared" si="143"/>
        <v>Abril</v>
      </c>
      <c r="AM148" s="63" t="str">
        <f t="shared" si="143"/>
        <v xml:space="preserve">Mayo </v>
      </c>
      <c r="AN148" s="63" t="str">
        <f t="shared" si="143"/>
        <v>Junio</v>
      </c>
      <c r="AO148" s="63" t="str">
        <f t="shared" si="143"/>
        <v>Julio</v>
      </c>
      <c r="AP148" s="63" t="str">
        <f t="shared" si="143"/>
        <v>Agosto</v>
      </c>
      <c r="AQ148" s="63" t="str">
        <f t="shared" si="143"/>
        <v>Septiembre</v>
      </c>
      <c r="AR148" s="63" t="str">
        <f t="shared" si="143"/>
        <v>Octubre</v>
      </c>
      <c r="AS148" s="63" t="str">
        <f t="shared" si="143"/>
        <v>Noviembre</v>
      </c>
      <c r="AT148" s="64" t="str">
        <f t="shared" si="143"/>
        <v>Diciembre</v>
      </c>
    </row>
    <row r="149" spans="1:46" s="27" customFormat="1" ht="11.25" hidden="1" x14ac:dyDescent="0.2">
      <c r="B149" s="60" t="str">
        <f t="shared" ref="B149:I149" si="144">B113</f>
        <v>Préstamo</v>
      </c>
      <c r="C149" s="27" t="str">
        <f t="shared" si="144"/>
        <v>Importe</v>
      </c>
      <c r="D149" s="27" t="str">
        <f t="shared" si="144"/>
        <v>Años</v>
      </c>
      <c r="E149" s="27" t="str">
        <f t="shared" si="144"/>
        <v>Interés</v>
      </c>
      <c r="F149" s="27" t="str">
        <f t="shared" si="144"/>
        <v>Pago cuota</v>
      </c>
      <c r="G149" s="27" t="str">
        <f t="shared" si="144"/>
        <v>Gastos In.</v>
      </c>
      <c r="H149" s="27" t="str">
        <f t="shared" si="144"/>
        <v>concesión</v>
      </c>
      <c r="I149" s="27" t="str">
        <f t="shared" si="144"/>
        <v>Carencia</v>
      </c>
      <c r="J149" s="27" t="s">
        <v>1410</v>
      </c>
      <c r="K149" s="27" t="s">
        <v>1413</v>
      </c>
      <c r="L149" s="27" t="s">
        <v>1412</v>
      </c>
      <c r="M149" s="27" t="s">
        <v>1414</v>
      </c>
      <c r="N149" s="27" t="s">
        <v>1558</v>
      </c>
      <c r="Q149" s="60" t="s">
        <v>550</v>
      </c>
      <c r="R149" s="27" t="s">
        <v>551</v>
      </c>
      <c r="S149" s="27" t="s">
        <v>550</v>
      </c>
      <c r="T149" s="27" t="s">
        <v>551</v>
      </c>
      <c r="U149" s="27" t="s">
        <v>550</v>
      </c>
      <c r="V149" s="27" t="s">
        <v>551</v>
      </c>
      <c r="W149" s="27" t="s">
        <v>550</v>
      </c>
      <c r="X149" s="27" t="s">
        <v>551</v>
      </c>
      <c r="Y149" s="27" t="s">
        <v>550</v>
      </c>
      <c r="Z149" s="27" t="s">
        <v>551</v>
      </c>
      <c r="AG149" s="61"/>
      <c r="AI149" s="27">
        <v>1</v>
      </c>
      <c r="AJ149" s="27">
        <v>2</v>
      </c>
      <c r="AK149" s="27">
        <v>3</v>
      </c>
      <c r="AL149" s="27">
        <v>4</v>
      </c>
      <c r="AM149" s="27">
        <v>5</v>
      </c>
      <c r="AN149" s="27">
        <v>6</v>
      </c>
      <c r="AO149" s="27">
        <v>7</v>
      </c>
      <c r="AP149" s="27">
        <v>8</v>
      </c>
      <c r="AQ149" s="27">
        <v>9</v>
      </c>
      <c r="AR149" s="27">
        <v>10</v>
      </c>
      <c r="AS149" s="27">
        <v>11</v>
      </c>
      <c r="AT149" s="61">
        <v>12</v>
      </c>
    </row>
    <row r="150" spans="1:46" s="27" customFormat="1" ht="11.25" hidden="1" x14ac:dyDescent="0.2">
      <c r="B150" s="60">
        <f>'2'!$E$30</f>
        <v>0</v>
      </c>
      <c r="C150" s="27">
        <f>'2'!H30</f>
        <v>0</v>
      </c>
      <c r="D150" s="27">
        <f>'2'!I30</f>
        <v>0</v>
      </c>
      <c r="E150" s="27">
        <f>'2'!J30</f>
        <v>0</v>
      </c>
      <c r="F150" s="27">
        <f>'2'!K30</f>
        <v>0</v>
      </c>
      <c r="G150" s="27">
        <f>'2'!L30</f>
        <v>0</v>
      </c>
      <c r="H150" s="27" t="str">
        <f>IF(H151=0,D!$Q$6,H151)</f>
        <v>Enero</v>
      </c>
      <c r="I150" s="27" t="str">
        <f>IF(I151=0,SB!$H$175,I151)</f>
        <v>NO</v>
      </c>
      <c r="J150" s="27">
        <f>SUMIF($AA$21:$AA$23,I150,$AB$21:$AB$23)</f>
        <v>0</v>
      </c>
      <c r="K150" s="27">
        <f>IF(C150=0,0,D150*12)</f>
        <v>0</v>
      </c>
      <c r="L150" s="27">
        <f>IF(C150=0,0,IF(J150=0,K150,K150-J150))</f>
        <v>0</v>
      </c>
      <c r="M150" s="27">
        <f>IF(J150=0,D150,D150-(J150/12))</f>
        <v>0</v>
      </c>
      <c r="N150" s="27">
        <f>IF(O151&gt;13,13,O151)</f>
        <v>13</v>
      </c>
      <c r="O150" s="27">
        <f>SUMIF($AI$76:$AT$76,H150,$AI$77:$AT$77)</f>
        <v>1</v>
      </c>
      <c r="P150" s="27" t="str">
        <f>SB!$P$122</f>
        <v>cada MES</v>
      </c>
      <c r="Q150" s="60">
        <f>IF(N150&gt;12,0,E160)</f>
        <v>0</v>
      </c>
      <c r="R150" s="27">
        <f>IF(N150&gt;12,0,H160)</f>
        <v>0</v>
      </c>
      <c r="S150" s="27">
        <f>+E161</f>
        <v>0</v>
      </c>
      <c r="T150" s="27">
        <f>+H161</f>
        <v>0</v>
      </c>
      <c r="U150" s="27">
        <f>+E162</f>
        <v>0</v>
      </c>
      <c r="V150" s="27">
        <f>+H162</f>
        <v>0</v>
      </c>
      <c r="W150" s="27">
        <f>+E163</f>
        <v>0</v>
      </c>
      <c r="X150" s="27">
        <f>+H163</f>
        <v>0</v>
      </c>
      <c r="Y150" s="27">
        <f>+E164</f>
        <v>0</v>
      </c>
      <c r="Z150" s="27">
        <f>+H164</f>
        <v>0</v>
      </c>
      <c r="AD150" s="27" t="s">
        <v>547</v>
      </c>
      <c r="AG150" s="61"/>
      <c r="AI150" s="27">
        <f t="shared" ref="AI150:AT150" si="145">IF($N150=AI149,"INI",0)</f>
        <v>0</v>
      </c>
      <c r="AJ150" s="27">
        <f t="shared" si="145"/>
        <v>0</v>
      </c>
      <c r="AK150" s="27">
        <f t="shared" si="145"/>
        <v>0</v>
      </c>
      <c r="AL150" s="27">
        <f t="shared" si="145"/>
        <v>0</v>
      </c>
      <c r="AM150" s="27">
        <f t="shared" si="145"/>
        <v>0</v>
      </c>
      <c r="AN150" s="27">
        <f t="shared" si="145"/>
        <v>0</v>
      </c>
      <c r="AO150" s="27">
        <f t="shared" si="145"/>
        <v>0</v>
      </c>
      <c r="AP150" s="27">
        <f t="shared" si="145"/>
        <v>0</v>
      </c>
      <c r="AQ150" s="27">
        <f t="shared" si="145"/>
        <v>0</v>
      </c>
      <c r="AR150" s="27">
        <f t="shared" si="145"/>
        <v>0</v>
      </c>
      <c r="AS150" s="27">
        <f t="shared" si="145"/>
        <v>0</v>
      </c>
      <c r="AT150" s="61">
        <f t="shared" si="145"/>
        <v>0</v>
      </c>
    </row>
    <row r="151" spans="1:46" s="27" customFormat="1" ht="11.25" hidden="1" x14ac:dyDescent="0.2">
      <c r="B151" s="60"/>
      <c r="H151" s="27">
        <f>'2'!M30</f>
        <v>0</v>
      </c>
      <c r="I151" s="27">
        <f>'2'!N30</f>
        <v>0</v>
      </c>
      <c r="J151" s="27">
        <f>IF(J150&gt;0,C150*E150,0)</f>
        <v>0</v>
      </c>
      <c r="O151" s="27" t="b">
        <f>IF(F150=P150,O150,IF(F150=P151,O150+1,IF(F150=P152,O150+2,IF(F150=P153,O150+5,IF(F150=P154,O150+11)))))</f>
        <v>0</v>
      </c>
      <c r="P151" s="27" t="str">
        <f>SB!$P$123</f>
        <v>BIMENSUAL</v>
      </c>
      <c r="Q151" s="60">
        <f>IF(N150&gt;12,0,K160)</f>
        <v>0</v>
      </c>
      <c r="R151" s="27">
        <f>IF(N150&gt;12,0,N160)</f>
        <v>0</v>
      </c>
      <c r="S151" s="27">
        <f>+K161</f>
        <v>0</v>
      </c>
      <c r="T151" s="27">
        <f>+N161</f>
        <v>0</v>
      </c>
      <c r="U151" s="27">
        <f>+K162</f>
        <v>0</v>
      </c>
      <c r="V151" s="27">
        <f>+N162</f>
        <v>0</v>
      </c>
      <c r="W151" s="27">
        <f>+K163</f>
        <v>0</v>
      </c>
      <c r="X151" s="27">
        <f>+N163</f>
        <v>0</v>
      </c>
      <c r="Y151" s="27">
        <f>+K164</f>
        <v>0</v>
      </c>
      <c r="Z151" s="27">
        <f>+N164</f>
        <v>0</v>
      </c>
      <c r="AC151" s="27" t="str">
        <f>IF(K150=L150,"OK","¿error?")</f>
        <v>OK</v>
      </c>
      <c r="AD151" s="27">
        <f>IF(D160=0,0,E160/D160)</f>
        <v>0</v>
      </c>
      <c r="AE151" s="27">
        <f>+E160+H160</f>
        <v>0</v>
      </c>
      <c r="AF151" s="27">
        <f>SUM(AI151:AT151)</f>
        <v>0</v>
      </c>
      <c r="AG151" s="61">
        <f>+D182</f>
        <v>0</v>
      </c>
      <c r="AH151" s="27" t="str">
        <f>SB!$P$122</f>
        <v>cada MES</v>
      </c>
      <c r="AI151" s="27">
        <f>IF(AI150=$O$87,$AG151,0)</f>
        <v>0</v>
      </c>
      <c r="AJ151" s="27">
        <f t="shared" ref="AJ151:AT151" si="146">IF(AJ150=$O$87,$AG151,0)+AI151</f>
        <v>0</v>
      </c>
      <c r="AK151" s="27">
        <f t="shared" si="146"/>
        <v>0</v>
      </c>
      <c r="AL151" s="27">
        <f t="shared" si="146"/>
        <v>0</v>
      </c>
      <c r="AM151" s="27">
        <f t="shared" si="146"/>
        <v>0</v>
      </c>
      <c r="AN151" s="27">
        <f t="shared" si="146"/>
        <v>0</v>
      </c>
      <c r="AO151" s="27">
        <f t="shared" si="146"/>
        <v>0</v>
      </c>
      <c r="AP151" s="27">
        <f t="shared" si="146"/>
        <v>0</v>
      </c>
      <c r="AQ151" s="27">
        <f t="shared" si="146"/>
        <v>0</v>
      </c>
      <c r="AR151" s="27">
        <f t="shared" si="146"/>
        <v>0</v>
      </c>
      <c r="AS151" s="27">
        <f t="shared" si="146"/>
        <v>0</v>
      </c>
      <c r="AT151" s="61">
        <f t="shared" si="146"/>
        <v>0</v>
      </c>
    </row>
    <row r="152" spans="1:46" s="27" customFormat="1" ht="11.25" hidden="1" x14ac:dyDescent="0.2">
      <c r="B152" s="60"/>
      <c r="J152" s="27">
        <f>IF(J150=24,C150*E150,0)</f>
        <v>0</v>
      </c>
      <c r="P152" s="27" t="str">
        <f>SB!$P$124</f>
        <v>TRIMESTRAL</v>
      </c>
      <c r="Q152" s="60">
        <f>IF(N150&gt;12,0,Q160)</f>
        <v>0</v>
      </c>
      <c r="R152" s="27">
        <f>IF(N150&gt;12,0,T160)</f>
        <v>0</v>
      </c>
      <c r="S152" s="27">
        <f>+Q161</f>
        <v>0</v>
      </c>
      <c r="T152" s="27">
        <f>+T161</f>
        <v>0</v>
      </c>
      <c r="U152" s="27">
        <f>+Q162</f>
        <v>0</v>
      </c>
      <c r="V152" s="27">
        <f>+T162</f>
        <v>0</v>
      </c>
      <c r="W152" s="27">
        <f>+Q163</f>
        <v>0</v>
      </c>
      <c r="X152" s="27">
        <f>+T163</f>
        <v>0</v>
      </c>
      <c r="Y152" s="27">
        <f>+Q164</f>
        <v>0</v>
      </c>
      <c r="Z152" s="27">
        <f>+T164</f>
        <v>0</v>
      </c>
      <c r="AC152" s="27" t="str">
        <f>IF(AE151=AF151,"OK","¿error?")</f>
        <v>OK</v>
      </c>
      <c r="AD152" s="27">
        <f>IF(J160=0,0,K160/J160)</f>
        <v>0</v>
      </c>
      <c r="AE152" s="27">
        <f>+K160+N160</f>
        <v>0</v>
      </c>
      <c r="AF152" s="27">
        <f>SUM(AI152:AT152)</f>
        <v>0</v>
      </c>
      <c r="AG152" s="61">
        <f>+J182</f>
        <v>0</v>
      </c>
      <c r="AH152" s="27" t="str">
        <f>SB!$P$123</f>
        <v>BIMENSUAL</v>
      </c>
      <c r="AI152" s="27">
        <f>IF(AI150=$O$87,$AG152,0)</f>
        <v>0</v>
      </c>
      <c r="AJ152" s="27">
        <f>IF(AJ150=$O$87,$AG152,0)</f>
        <v>0</v>
      </c>
      <c r="AK152" s="27">
        <f t="shared" ref="AK152:AT152" si="147">IF(AK150=$O$87,$AG152,0)+AI152</f>
        <v>0</v>
      </c>
      <c r="AL152" s="27">
        <f t="shared" si="147"/>
        <v>0</v>
      </c>
      <c r="AM152" s="27">
        <f t="shared" si="147"/>
        <v>0</v>
      </c>
      <c r="AN152" s="27">
        <f t="shared" si="147"/>
        <v>0</v>
      </c>
      <c r="AO152" s="27">
        <f t="shared" si="147"/>
        <v>0</v>
      </c>
      <c r="AP152" s="27">
        <f t="shared" si="147"/>
        <v>0</v>
      </c>
      <c r="AQ152" s="27">
        <f t="shared" si="147"/>
        <v>0</v>
      </c>
      <c r="AR152" s="27">
        <f t="shared" si="147"/>
        <v>0</v>
      </c>
      <c r="AS152" s="27">
        <f t="shared" si="147"/>
        <v>0</v>
      </c>
      <c r="AT152" s="61">
        <f t="shared" si="147"/>
        <v>0</v>
      </c>
    </row>
    <row r="153" spans="1:46" s="27" customFormat="1" ht="11.25" hidden="1" x14ac:dyDescent="0.2">
      <c r="B153" s="60"/>
      <c r="P153" s="27" t="str">
        <f>SB!$P$125</f>
        <v>SEMESTRAL</v>
      </c>
      <c r="Q153" s="60">
        <f>IF(N150&gt;12,0,W160)</f>
        <v>0</v>
      </c>
      <c r="R153" s="27">
        <f>IF(N150&gt;12,0,Z160)</f>
        <v>0</v>
      </c>
      <c r="S153" s="27">
        <f>+W161</f>
        <v>0</v>
      </c>
      <c r="T153" s="27">
        <f>+Z161</f>
        <v>0</v>
      </c>
      <c r="U153" s="27">
        <f>+W162</f>
        <v>0</v>
      </c>
      <c r="V153" s="27">
        <f>+Z162</f>
        <v>0</v>
      </c>
      <c r="W153" s="27">
        <f>+W163</f>
        <v>0</v>
      </c>
      <c r="X153" s="27">
        <f>+Z163</f>
        <v>0</v>
      </c>
      <c r="Y153" s="27">
        <f>+W164</f>
        <v>0</v>
      </c>
      <c r="Z153" s="27">
        <f>+Z164</f>
        <v>0</v>
      </c>
      <c r="AC153" s="27" t="str">
        <f>IF(AE152=AF152,"OK","¿error?")</f>
        <v>OK</v>
      </c>
      <c r="AD153" s="27">
        <f>IF(P160=0,0,Q160/P160)</f>
        <v>0</v>
      </c>
      <c r="AE153" s="27">
        <f>+Q160+T160</f>
        <v>0</v>
      </c>
      <c r="AF153" s="27">
        <f>SUM(AI153:AT153)</f>
        <v>0</v>
      </c>
      <c r="AG153" s="61">
        <f>+P182</f>
        <v>0</v>
      </c>
      <c r="AH153" s="27" t="str">
        <f>SB!$P$124</f>
        <v>TRIMESTRAL</v>
      </c>
      <c r="AI153" s="27">
        <f>IF(AI150=$O$87,$AG153,0)</f>
        <v>0</v>
      </c>
      <c r="AJ153" s="27">
        <f>IF(AJ150=$O$87,$AG153,0)</f>
        <v>0</v>
      </c>
      <c r="AK153" s="27">
        <f>IF(AK150=$O$87,$AG153,0)</f>
        <v>0</v>
      </c>
      <c r="AL153" s="27">
        <f t="shared" ref="AL153:AT153" si="148">IF(AL150=$O$87,$AG153,0)+AI153</f>
        <v>0</v>
      </c>
      <c r="AM153" s="27">
        <f t="shared" si="148"/>
        <v>0</v>
      </c>
      <c r="AN153" s="27">
        <f t="shared" si="148"/>
        <v>0</v>
      </c>
      <c r="AO153" s="27">
        <f t="shared" si="148"/>
        <v>0</v>
      </c>
      <c r="AP153" s="27">
        <f t="shared" si="148"/>
        <v>0</v>
      </c>
      <c r="AQ153" s="27">
        <f t="shared" si="148"/>
        <v>0</v>
      </c>
      <c r="AR153" s="27">
        <f t="shared" si="148"/>
        <v>0</v>
      </c>
      <c r="AS153" s="27">
        <f t="shared" si="148"/>
        <v>0</v>
      </c>
      <c r="AT153" s="61">
        <f t="shared" si="148"/>
        <v>0</v>
      </c>
    </row>
    <row r="154" spans="1:46" s="27" customFormat="1" ht="11.25" hidden="1" x14ac:dyDescent="0.2">
      <c r="B154" s="60"/>
      <c r="P154" s="27" t="str">
        <f>SB!$P$126</f>
        <v>ANUAL</v>
      </c>
      <c r="Q154" s="60">
        <f>IF(N150&gt;12,0,AC160)</f>
        <v>0</v>
      </c>
      <c r="R154" s="27">
        <f>IF(N150&gt;12,0,AF160)</f>
        <v>0</v>
      </c>
      <c r="S154" s="27">
        <f>+AC161</f>
        <v>0</v>
      </c>
      <c r="T154" s="27">
        <f>+AF161</f>
        <v>0</v>
      </c>
      <c r="U154" s="27">
        <f>+AC162</f>
        <v>0</v>
      </c>
      <c r="V154" s="27">
        <f>+AF162</f>
        <v>0</v>
      </c>
      <c r="W154" s="27">
        <f>+AC163</f>
        <v>0</v>
      </c>
      <c r="X154" s="27">
        <f>+AF163</f>
        <v>0</v>
      </c>
      <c r="Y154" s="27">
        <f>+AC164</f>
        <v>0</v>
      </c>
      <c r="Z154" s="27">
        <f>+AF164</f>
        <v>0</v>
      </c>
      <c r="AC154" s="27" t="str">
        <f>IF(AE153=AF153,"OK","¿error?")</f>
        <v>OK</v>
      </c>
      <c r="AD154" s="27">
        <f>IF(V160=0,0,W160/V160)</f>
        <v>0</v>
      </c>
      <c r="AE154" s="27">
        <f>+W160+Z160</f>
        <v>0</v>
      </c>
      <c r="AF154" s="27">
        <f>SUM(AI154:AT154)</f>
        <v>0</v>
      </c>
      <c r="AG154" s="61">
        <f>+V182</f>
        <v>0</v>
      </c>
      <c r="AH154" s="27" t="str">
        <f>SB!$P$125</f>
        <v>SEMESTRAL</v>
      </c>
      <c r="AI154" s="27">
        <f t="shared" ref="AI154:AN154" si="149">IF(AI150=$O$87,$AG154,0)</f>
        <v>0</v>
      </c>
      <c r="AJ154" s="27">
        <f t="shared" si="149"/>
        <v>0</v>
      </c>
      <c r="AK154" s="27">
        <f t="shared" si="149"/>
        <v>0</v>
      </c>
      <c r="AL154" s="27">
        <f t="shared" si="149"/>
        <v>0</v>
      </c>
      <c r="AM154" s="27">
        <f t="shared" si="149"/>
        <v>0</v>
      </c>
      <c r="AN154" s="27">
        <f t="shared" si="149"/>
        <v>0</v>
      </c>
      <c r="AO154" s="27">
        <f t="shared" ref="AO154:AT154" si="150">IF(AO150=$O$87,$AG154,0)+AI154</f>
        <v>0</v>
      </c>
      <c r="AP154" s="27">
        <f t="shared" si="150"/>
        <v>0</v>
      </c>
      <c r="AQ154" s="27">
        <f t="shared" si="150"/>
        <v>0</v>
      </c>
      <c r="AR154" s="27">
        <f t="shared" si="150"/>
        <v>0</v>
      </c>
      <c r="AS154" s="27">
        <f t="shared" si="150"/>
        <v>0</v>
      </c>
      <c r="AT154" s="61">
        <f t="shared" si="150"/>
        <v>0</v>
      </c>
    </row>
    <row r="155" spans="1:46" s="27" customFormat="1" ht="11.25" hidden="1" x14ac:dyDescent="0.2">
      <c r="B155" s="60"/>
      <c r="Q155" s="60"/>
      <c r="AC155" s="27" t="str">
        <f>IF(AE154=AF154,"OK","¿error?")</f>
        <v>OK</v>
      </c>
      <c r="AD155" s="27">
        <f>IF(AB160=0,0,AC160/AB160)</f>
        <v>0</v>
      </c>
      <c r="AE155" s="27">
        <f>+AC160+AF160</f>
        <v>0</v>
      </c>
      <c r="AF155" s="27">
        <f>SUM(AI155:AT155)</f>
        <v>0</v>
      </c>
      <c r="AG155" s="61">
        <f>+AB182</f>
        <v>0</v>
      </c>
      <c r="AH155" s="27" t="str">
        <f>SB!$P$126</f>
        <v>ANUAL</v>
      </c>
      <c r="AI155" s="27">
        <f t="shared" ref="AI155:AT155" si="151">IF(AI150=$O$87,$AG155,0)</f>
        <v>0</v>
      </c>
      <c r="AJ155" s="27">
        <f t="shared" si="151"/>
        <v>0</v>
      </c>
      <c r="AK155" s="27">
        <f t="shared" si="151"/>
        <v>0</v>
      </c>
      <c r="AL155" s="27">
        <f t="shared" si="151"/>
        <v>0</v>
      </c>
      <c r="AM155" s="27">
        <f t="shared" si="151"/>
        <v>0</v>
      </c>
      <c r="AN155" s="27">
        <f t="shared" si="151"/>
        <v>0</v>
      </c>
      <c r="AO155" s="27">
        <f t="shared" si="151"/>
        <v>0</v>
      </c>
      <c r="AP155" s="27">
        <f t="shared" si="151"/>
        <v>0</v>
      </c>
      <c r="AQ155" s="27">
        <f t="shared" si="151"/>
        <v>0</v>
      </c>
      <c r="AR155" s="27">
        <f t="shared" si="151"/>
        <v>0</v>
      </c>
      <c r="AS155" s="27">
        <f t="shared" si="151"/>
        <v>0</v>
      </c>
      <c r="AT155" s="61">
        <f t="shared" si="151"/>
        <v>0</v>
      </c>
    </row>
    <row r="156" spans="1:46" s="27" customFormat="1" ht="11.25" hidden="1" x14ac:dyDescent="0.2">
      <c r="B156" s="60"/>
      <c r="Q156" s="60"/>
      <c r="AG156" s="61"/>
      <c r="AH156" s="27">
        <f>+F150</f>
        <v>0</v>
      </c>
      <c r="AI156" s="27">
        <f t="shared" ref="AI156:AT156" si="152">SUMIF($AH151:$AH155,$AH156,AI151:AI155)</f>
        <v>0</v>
      </c>
      <c r="AJ156" s="27">
        <f t="shared" si="152"/>
        <v>0</v>
      </c>
      <c r="AK156" s="27">
        <f t="shared" si="152"/>
        <v>0</v>
      </c>
      <c r="AL156" s="27">
        <f t="shared" si="152"/>
        <v>0</v>
      </c>
      <c r="AM156" s="27">
        <f t="shared" si="152"/>
        <v>0</v>
      </c>
      <c r="AN156" s="27">
        <f t="shared" si="152"/>
        <v>0</v>
      </c>
      <c r="AO156" s="27">
        <f t="shared" si="152"/>
        <v>0</v>
      </c>
      <c r="AP156" s="27">
        <f t="shared" si="152"/>
        <v>0</v>
      </c>
      <c r="AQ156" s="27">
        <f t="shared" si="152"/>
        <v>0</v>
      </c>
      <c r="AR156" s="27">
        <f t="shared" si="152"/>
        <v>0</v>
      </c>
      <c r="AS156" s="27">
        <f t="shared" si="152"/>
        <v>0</v>
      </c>
      <c r="AT156" s="61">
        <f t="shared" si="152"/>
        <v>0</v>
      </c>
    </row>
    <row r="157" spans="1:46" s="27" customFormat="1" ht="11.25" hidden="1" x14ac:dyDescent="0.2">
      <c r="B157" s="60"/>
      <c r="C157" s="27" t="s">
        <v>706</v>
      </c>
      <c r="J157" s="27" t="s">
        <v>1560</v>
      </c>
      <c r="O157" s="27" t="s">
        <v>573</v>
      </c>
      <c r="Q157" s="60"/>
      <c r="U157" s="27" t="s">
        <v>1561</v>
      </c>
      <c r="AA157" s="27" t="s">
        <v>1446</v>
      </c>
      <c r="AG157" s="61"/>
      <c r="AJ157" s="27" t="s">
        <v>546</v>
      </c>
      <c r="AK157" s="27">
        <f>SUMIF(AH151:AH155,AH156,AD151:AD155)</f>
        <v>0</v>
      </c>
      <c r="AT157" s="61"/>
    </row>
    <row r="158" spans="1:46" s="27" customFormat="1" ht="11.25" hidden="1" x14ac:dyDescent="0.2">
      <c r="B158" s="60"/>
      <c r="E158" s="27" t="s">
        <v>1411</v>
      </c>
      <c r="I158" s="27">
        <f>IF(N150=13,0.5,G160/2)</f>
        <v>0.5</v>
      </c>
      <c r="J158" s="27">
        <f>ROUND(I158,0)</f>
        <v>1</v>
      </c>
      <c r="K158" s="27">
        <f>+L150/2</f>
        <v>0</v>
      </c>
      <c r="L158" s="27">
        <f>ROUND(K158,0)</f>
        <v>0</v>
      </c>
      <c r="M158" s="27">
        <f>+K150/2</f>
        <v>0</v>
      </c>
      <c r="N158" s="27">
        <f>ROUND(M158,0)</f>
        <v>0</v>
      </c>
      <c r="O158" s="27">
        <f>IF(N150=13,0.3,G160/3)</f>
        <v>0.3</v>
      </c>
      <c r="P158" s="27">
        <f>ROUNDUP(O158,0)</f>
        <v>1</v>
      </c>
      <c r="Q158" s="60">
        <f>+L150/3</f>
        <v>0</v>
      </c>
      <c r="R158" s="27">
        <f>ROUNDUP(Q158,0)</f>
        <v>0</v>
      </c>
      <c r="S158" s="27">
        <f>+K150/3</f>
        <v>0</v>
      </c>
      <c r="T158" s="27">
        <f>ROUND(S158,0)</f>
        <v>0</v>
      </c>
      <c r="U158" s="27">
        <f>IF(N150=13,0.167,G160/6)</f>
        <v>0.16700000000000001</v>
      </c>
      <c r="V158" s="27">
        <f>ROUNDUP(U158,0)</f>
        <v>1</v>
      </c>
      <c r="W158" s="27">
        <f>+L150/6</f>
        <v>0</v>
      </c>
      <c r="X158" s="27">
        <f>ROUND(W158,0)</f>
        <v>0</v>
      </c>
      <c r="Y158" s="27">
        <f>+K150/6</f>
        <v>0</v>
      </c>
      <c r="Z158" s="27">
        <f>ROUND(Y158,0)</f>
        <v>0</v>
      </c>
      <c r="AA158" s="27">
        <f>IF(N150=13,0.083,G160/12)</f>
        <v>8.3000000000000004E-2</v>
      </c>
      <c r="AB158" s="27">
        <f>ROUND(AA158,0)</f>
        <v>0</v>
      </c>
      <c r="AC158" s="27">
        <f>+L150/12</f>
        <v>0</v>
      </c>
      <c r="AD158" s="27">
        <f>ROUND(AC158,0)</f>
        <v>0</v>
      </c>
      <c r="AE158" s="27">
        <f>+K150/12</f>
        <v>0</v>
      </c>
      <c r="AF158" s="27">
        <f>ROUND(AE158,0)</f>
        <v>0</v>
      </c>
      <c r="AG158" s="61"/>
      <c r="AT158" s="61"/>
    </row>
    <row r="159" spans="1:46" s="27" customFormat="1" ht="11.25" hidden="1" x14ac:dyDescent="0.2">
      <c r="B159" s="60" t="s">
        <v>1408</v>
      </c>
      <c r="C159" s="27" t="s">
        <v>1409</v>
      </c>
      <c r="D159" s="27" t="s">
        <v>1276</v>
      </c>
      <c r="E159" s="27" t="s">
        <v>673</v>
      </c>
      <c r="H159" s="27" t="s">
        <v>672</v>
      </c>
      <c r="I159" s="27" t="s">
        <v>1409</v>
      </c>
      <c r="J159" s="27" t="s">
        <v>1276</v>
      </c>
      <c r="K159" s="27" t="s">
        <v>673</v>
      </c>
      <c r="N159" s="27" t="s">
        <v>672</v>
      </c>
      <c r="O159" s="27" t="s">
        <v>1409</v>
      </c>
      <c r="P159" s="27" t="s">
        <v>1276</v>
      </c>
      <c r="Q159" s="60" t="s">
        <v>673</v>
      </c>
      <c r="T159" s="27" t="s">
        <v>672</v>
      </c>
      <c r="U159" s="27" t="s">
        <v>1409</v>
      </c>
      <c r="V159" s="27" t="s">
        <v>1276</v>
      </c>
      <c r="W159" s="27" t="s">
        <v>673</v>
      </c>
      <c r="Z159" s="27" t="s">
        <v>672</v>
      </c>
      <c r="AA159" s="27" t="s">
        <v>1409</v>
      </c>
      <c r="AB159" s="27" t="s">
        <v>1276</v>
      </c>
      <c r="AC159" s="27" t="s">
        <v>673</v>
      </c>
      <c r="AG159" s="61"/>
      <c r="AH159" s="27" t="s">
        <v>7</v>
      </c>
      <c r="AI159" s="27">
        <f>IF(AI148=$H150,$C150,0)</f>
        <v>0</v>
      </c>
      <c r="AJ159" s="27">
        <f t="shared" ref="AJ159:AT159" si="153">IF(AJ148=$H150,$C150,0)</f>
        <v>0</v>
      </c>
      <c r="AK159" s="27">
        <f t="shared" si="153"/>
        <v>0</v>
      </c>
      <c r="AL159" s="27">
        <f t="shared" si="153"/>
        <v>0</v>
      </c>
      <c r="AM159" s="27">
        <f t="shared" si="153"/>
        <v>0</v>
      </c>
      <c r="AN159" s="27">
        <f t="shared" si="153"/>
        <v>0</v>
      </c>
      <c r="AO159" s="27">
        <f t="shared" si="153"/>
        <v>0</v>
      </c>
      <c r="AP159" s="27">
        <f t="shared" si="153"/>
        <v>0</v>
      </c>
      <c r="AQ159" s="27">
        <f t="shared" si="153"/>
        <v>0</v>
      </c>
      <c r="AR159" s="27">
        <f t="shared" si="153"/>
        <v>0</v>
      </c>
      <c r="AS159" s="27">
        <f t="shared" si="153"/>
        <v>0</v>
      </c>
      <c r="AT159" s="61">
        <f t="shared" si="153"/>
        <v>0</v>
      </c>
    </row>
    <row r="160" spans="1:46" s="27" customFormat="1" ht="11.25" hidden="1" x14ac:dyDescent="0.2">
      <c r="B160" s="60">
        <v>1</v>
      </c>
      <c r="C160" s="27">
        <f>IF(K150=0,0,IF(J150&gt;0,0,IF(N150&gt;12,0,1)))</f>
        <v>0</v>
      </c>
      <c r="D160" s="27">
        <f>IF(K150=0,0,IF(J150&gt;0,0,13-N150))</f>
        <v>0</v>
      </c>
      <c r="E160" s="27">
        <f>IF(C160=0,0,-CUMPRINC(E150/12,M150*12,C150,C160,D160,0))</f>
        <v>0</v>
      </c>
      <c r="F160" s="27">
        <f>IF(K150=0,0,IF(N150&gt;12,0,1))</f>
        <v>0</v>
      </c>
      <c r="G160" s="27">
        <f>IF(K150=0,0,13-N150)</f>
        <v>0</v>
      </c>
      <c r="H160" s="27">
        <f>IF(F160=0,0,IF(J151&gt;0,J151,-CUMIPMT(E150/12,K150,C150,F160,G160,0)))</f>
        <v>0</v>
      </c>
      <c r="I160" s="27">
        <f>IF(K150=0,0,IF(J150&gt;0,0,IF(N150&gt;12,0,1)))</f>
        <v>0</v>
      </c>
      <c r="J160" s="27">
        <f>IF(K150=0,0,IF(J150&gt;0,0,J158))</f>
        <v>0</v>
      </c>
      <c r="K160" s="27">
        <f>IF(I160=0,0,-CUMPRINC(E150/6,M150*6,C150,I160,J160,0))</f>
        <v>0</v>
      </c>
      <c r="L160" s="27">
        <f>IF(K150=0,0,IF(N150&gt;12,0,1))</f>
        <v>0</v>
      </c>
      <c r="M160" s="27">
        <f>IF(K150=0,0,IF(L160=0,0,J158))</f>
        <v>0</v>
      </c>
      <c r="N160" s="27">
        <f>IF(L160=0,0,IF(J151&gt;0,J151,-CUMIPMT(E150/6,D150*6,C150,L160,M160,0)))</f>
        <v>0</v>
      </c>
      <c r="O160" s="27">
        <f>IF(K150=0,0,IF(J150&gt;0,0,IF(N150&gt;12,0,1)))</f>
        <v>0</v>
      </c>
      <c r="P160" s="27">
        <f>IF(K150=0,0,IF(J150&gt;0,0,P158))</f>
        <v>0</v>
      </c>
      <c r="Q160" s="60">
        <f>IF(O160=0,0,-CUMPRINC(E150/4,M150*4,C150,O160,P160,0))</f>
        <v>0</v>
      </c>
      <c r="R160" s="27">
        <f>IF(K150=0,0,IF(N150&gt;12,0,1))</f>
        <v>0</v>
      </c>
      <c r="S160" s="27">
        <f>IF($K150=0,0,IF(R160=0,0,P158))</f>
        <v>0</v>
      </c>
      <c r="T160" s="27">
        <f>IF(R160=0,0,IF(J151&gt;0,J151,-CUMIPMT(E150/4,D150*4,C150,R160,S160,0)))</f>
        <v>0</v>
      </c>
      <c r="U160" s="27">
        <f>IF(K150=0,0,IF(J150&gt;0,0,IF(N150&gt;12,0,1)))</f>
        <v>0</v>
      </c>
      <c r="V160" s="27">
        <f>IF(K150=0,0,IF(U160=0,0,V158))</f>
        <v>0</v>
      </c>
      <c r="W160" s="27">
        <f>IF(U160=0,0,-CUMPRINC(E150/2,M150*2,C150,U160,V160,0))</f>
        <v>0</v>
      </c>
      <c r="X160" s="27">
        <f>IF(K150=0,0,IF(N150&gt;12,0,1))</f>
        <v>0</v>
      </c>
      <c r="Y160" s="27">
        <f>IF(K150=0,0,IF(X160=0,0,V158))</f>
        <v>0</v>
      </c>
      <c r="Z160" s="27">
        <f>IF(X160=0,0,IF(J151&gt;0,J151,-CUMIPMT(E150/2,D150*2,C150,X160,Y160,0)))</f>
        <v>0</v>
      </c>
      <c r="AA160" s="27">
        <f>IF(K150=0,0,IF(J150&gt;0,0,IF(N150&gt;12,0,1)))</f>
        <v>0</v>
      </c>
      <c r="AB160" s="27">
        <f>IF(K150=0,0,IF(J150&gt;0,0,AA160))</f>
        <v>0</v>
      </c>
      <c r="AC160" s="27">
        <f>IF(AA160=0,0,-CUMPRINC(E150,M150,C150,AA160,AB160,0))</f>
        <v>0</v>
      </c>
      <c r="AD160" s="27">
        <f>IF(K150=0,0,IF(N150&gt;12,0,1))</f>
        <v>0</v>
      </c>
      <c r="AE160" s="27">
        <f>IF(I150="NO",AB160,AD160)</f>
        <v>0</v>
      </c>
      <c r="AF160" s="27">
        <f>IF(AD160=0,0,-CUMIPMT(E150,D150,C150,AD160,AE160,0))</f>
        <v>0</v>
      </c>
      <c r="AG160" s="61"/>
      <c r="AH160" s="27" t="s">
        <v>548</v>
      </c>
      <c r="AI160" s="27">
        <f>IF(AI156&gt;0,AK157,0)</f>
        <v>0</v>
      </c>
      <c r="AJ160" s="27">
        <f>IF(AJ156&gt;0,AK157,0)</f>
        <v>0</v>
      </c>
      <c r="AK160" s="27">
        <f>IF(AK156&gt;0,AK157,0)</f>
        <v>0</v>
      </c>
      <c r="AL160" s="27">
        <f>IF(AL156&gt;0,AK157,0)</f>
        <v>0</v>
      </c>
      <c r="AM160" s="27">
        <f>IF(AM156&gt;0,AK157,0)</f>
        <v>0</v>
      </c>
      <c r="AN160" s="27">
        <f>IF(AN156&gt;0,AK157,0)</f>
        <v>0</v>
      </c>
      <c r="AO160" s="27">
        <f>IF(AO156&gt;0,AK157,0)</f>
        <v>0</v>
      </c>
      <c r="AP160" s="27">
        <f>IF(AP156&gt;0,AK157,0)</f>
        <v>0</v>
      </c>
      <c r="AQ160" s="27">
        <f>IF(AQ156&gt;0,AK157,0)</f>
        <v>0</v>
      </c>
      <c r="AR160" s="27">
        <f>IF(AR156&gt;0,AK157,0)</f>
        <v>0</v>
      </c>
      <c r="AS160" s="27">
        <f>IF(AS156&gt;0,AK157,0)</f>
        <v>0</v>
      </c>
      <c r="AT160" s="61">
        <f>IF(AT156&gt;0,AK157,0)</f>
        <v>0</v>
      </c>
    </row>
    <row r="161" spans="2:46" s="27" customFormat="1" ht="11.25" hidden="1" x14ac:dyDescent="0.2">
      <c r="B161" s="60">
        <f t="shared" ref="B161:B179" si="154">+B160+1</f>
        <v>2</v>
      </c>
      <c r="C161" s="27">
        <f>IF(K150=0,0,IF(J150&gt;=24,0,D160+1))</f>
        <v>0</v>
      </c>
      <c r="D161" s="27">
        <f>IF(K150=0,0,IF(J150&gt;=24,0,IF(N150=13,12,IF(C161=1,13-N150,C161+11))))</f>
        <v>0</v>
      </c>
      <c r="E161" s="27">
        <f>IF(C161=0,0,-CUMPRINC(E150/12,M150*12,C150,C161,D161,0))</f>
        <v>0</v>
      </c>
      <c r="F161" s="27">
        <f>IF(K150=0,0,G160+1)</f>
        <v>0</v>
      </c>
      <c r="G161" s="27">
        <f>IF(K150=0,0,F161+11)</f>
        <v>0</v>
      </c>
      <c r="H161" s="27">
        <f>IF(F161=0,0,IF(J152&gt;0,J152,-CUMIPMT(E150/12,K150,C150,F161,G161,0)))</f>
        <v>0</v>
      </c>
      <c r="I161" s="27">
        <f>IF(K150=0,0,IF(J150&gt;=24,0,J160+1))</f>
        <v>0</v>
      </c>
      <c r="J161" s="27">
        <f>IF(K150=0,0,IF(J150&gt;=24,0,IF(I161&gt;=1,I161+5,0)))</f>
        <v>0</v>
      </c>
      <c r="K161" s="27">
        <f>IF(I161=0,0,-CUMPRINC(E150/6,M150*6,C150,I161,J161,0))</f>
        <v>0</v>
      </c>
      <c r="L161" s="27">
        <f>IF(K150=0,0,M160+1)</f>
        <v>0</v>
      </c>
      <c r="M161" s="27">
        <f>IF(K150=0,0,L161+5)</f>
        <v>0</v>
      </c>
      <c r="N161" s="27">
        <f>IF(L161=0,0,IF(J152&gt;0,J152,-CUMIPMT(E150/6,D150*6,C150,L161,M161,0)))</f>
        <v>0</v>
      </c>
      <c r="O161" s="27">
        <f>IF(K150=0,0,IF(J150&gt;=24,0,P160+1))</f>
        <v>0</v>
      </c>
      <c r="P161" s="27">
        <f>IF(K150=0,0,IF(J150&gt;=24,0,IF(O161&gt;=1,O161+3,0)))</f>
        <v>0</v>
      </c>
      <c r="Q161" s="60">
        <f>IF(O161=0,0,-CUMPRINC(E150/4,M150*4,C150,O161,P161,0))</f>
        <v>0</v>
      </c>
      <c r="R161" s="27">
        <f>IF(K150=0,0,S160+1)</f>
        <v>0</v>
      </c>
      <c r="S161" s="27">
        <f>IF(K150=0,0,R161+3)</f>
        <v>0</v>
      </c>
      <c r="T161" s="27">
        <f>IF(R161=0,0,IF(J152&gt;0,J152,-CUMIPMT(E150/4,D150*4,C150,R161,S161,0)))</f>
        <v>0</v>
      </c>
      <c r="U161" s="27">
        <f>IF(K150=0,0,IF(J150&gt;=24,0,V160+1))</f>
        <v>0</v>
      </c>
      <c r="V161" s="27">
        <f>IF(K150=0,0,IF(J150&gt;=24,0,IF(U161&gt;=1,U161+1,0)))</f>
        <v>0</v>
      </c>
      <c r="W161" s="27">
        <f>IF(U161=0,0,-CUMPRINC(E150/2,M150*2,C150,U161,V161,0))</f>
        <v>0</v>
      </c>
      <c r="X161" s="27">
        <f>IF(K150=0,0,Y160+1)</f>
        <v>0</v>
      </c>
      <c r="Y161" s="27">
        <f>IF(K150=0,0,X161+1)</f>
        <v>0</v>
      </c>
      <c r="Z161" s="27">
        <f>IF(X161=0,0,IF(J152&gt;0,J152,-CUMIPMT(E150/2,D150*2,C150,X161,Y161,0)))</f>
        <v>0</v>
      </c>
      <c r="AA161" s="27">
        <f>IF(K150=0,0,IF(J150&gt;=24,0,AB160+1))</f>
        <v>0</v>
      </c>
      <c r="AB161" s="27">
        <f>IF(K150=0,0,IF(J150&gt;=24,0,IF(AA161&gt;=1,AA161,1)))</f>
        <v>0</v>
      </c>
      <c r="AC161" s="27">
        <f>IF(AA161=0,0,-CUMPRINC(E150,M150,C150,AA161,AB161,0))</f>
        <v>0</v>
      </c>
      <c r="AD161" s="27">
        <f>IF(K150=0,0,AE160+1)</f>
        <v>0</v>
      </c>
      <c r="AE161" s="27">
        <f>+AD161</f>
        <v>0</v>
      </c>
      <c r="AF161" s="27">
        <f>IF(AD161=0,0,IF(J152&gt;0,J152,-CUMIPMT(E150,D150,C150,AD161,AE161,0)))</f>
        <v>0</v>
      </c>
      <c r="AG161" s="61"/>
      <c r="AH161" s="27" t="s">
        <v>549</v>
      </c>
      <c r="AI161" s="27">
        <f t="shared" ref="AI161:AT161" si="155">+AI156-AI160</f>
        <v>0</v>
      </c>
      <c r="AJ161" s="27">
        <f t="shared" si="155"/>
        <v>0</v>
      </c>
      <c r="AK161" s="27">
        <f t="shared" si="155"/>
        <v>0</v>
      </c>
      <c r="AL161" s="27">
        <f t="shared" si="155"/>
        <v>0</v>
      </c>
      <c r="AM161" s="27">
        <f t="shared" si="155"/>
        <v>0</v>
      </c>
      <c r="AN161" s="27">
        <f t="shared" si="155"/>
        <v>0</v>
      </c>
      <c r="AO161" s="27">
        <f t="shared" si="155"/>
        <v>0</v>
      </c>
      <c r="AP161" s="27">
        <f t="shared" si="155"/>
        <v>0</v>
      </c>
      <c r="AQ161" s="27">
        <f t="shared" si="155"/>
        <v>0</v>
      </c>
      <c r="AR161" s="27">
        <f t="shared" si="155"/>
        <v>0</v>
      </c>
      <c r="AS161" s="27">
        <f t="shared" si="155"/>
        <v>0</v>
      </c>
      <c r="AT161" s="61">
        <f t="shared" si="155"/>
        <v>0</v>
      </c>
    </row>
    <row r="162" spans="2:46" s="27" customFormat="1" ht="11.25" hidden="1" x14ac:dyDescent="0.2">
      <c r="B162" s="60">
        <f t="shared" si="154"/>
        <v>3</v>
      </c>
      <c r="C162" s="27">
        <f>IF(K150=0,0,D161+1)</f>
        <v>0</v>
      </c>
      <c r="D162" s="27">
        <f>IF(K150=0,0,IF(C162=1,13-$N$78,C162+11))</f>
        <v>0</v>
      </c>
      <c r="E162" s="27">
        <f>IF(C162=0,0,-CUMPRINC(E150/12,M150*12,C150,C162,D162,0))</f>
        <v>0</v>
      </c>
      <c r="F162" s="27">
        <f>IF(K150=0,0,G161+1)</f>
        <v>0</v>
      </c>
      <c r="G162" s="27">
        <f>IF(K150=0,0,F162+11)</f>
        <v>0</v>
      </c>
      <c r="H162" s="27">
        <f t="shared" ref="H162:H181" si="156">IF(F162=0,0,-CUMIPMT($E$150/12,$K$150,$C$150,F162,G162,0))</f>
        <v>0</v>
      </c>
      <c r="I162" s="27">
        <f>IF(K150=0,0,J161+1)</f>
        <v>0</v>
      </c>
      <c r="J162" s="27">
        <f>IF(K150=0,0,IF(I162=1,J158,I162+5))</f>
        <v>0</v>
      </c>
      <c r="K162" s="27">
        <f t="shared" ref="K162:K181" si="157">IF(I162=0,0,-CUMPRINC($E$150/6,$M$150*6,$C$150,I162,J162,0))</f>
        <v>0</v>
      </c>
      <c r="L162" s="27">
        <f>IF(K150=0,0,M161+1)</f>
        <v>0</v>
      </c>
      <c r="M162" s="27">
        <f>IF(K150=0,0,L162+5)</f>
        <v>0</v>
      </c>
      <c r="N162" s="27">
        <f t="shared" ref="N162:N181" si="158">IF(L162=0,0,-CUMIPMT($E$150/6,$D$150*6,$C$150,L162,M162,0))</f>
        <v>0</v>
      </c>
      <c r="O162" s="27">
        <f>IF(K150=0,0,P161+1)</f>
        <v>0</v>
      </c>
      <c r="P162" s="27">
        <f>IF(K150=0,0,IF(O162=1,P158,O162+3))</f>
        <v>0</v>
      </c>
      <c r="Q162" s="60">
        <f t="shared" ref="Q162:Q181" si="159">IF(O162=0,0,-CUMPRINC($E$150/4,$M$150*4,$C$150,O162,P162,0))</f>
        <v>0</v>
      </c>
      <c r="R162" s="27">
        <f>IF(K150=0,0,S161+1)</f>
        <v>0</v>
      </c>
      <c r="S162" s="27">
        <f>IF(K150=0,0,R162+3)</f>
        <v>0</v>
      </c>
      <c r="T162" s="27">
        <f t="shared" ref="T162:T181" si="160">IF(R162=0,0,-CUMIPMT($E$150/4,$D$150*4,$C$150,R162,S162,0))</f>
        <v>0</v>
      </c>
      <c r="U162" s="27">
        <f>IF(K150=0,0,V161+1)</f>
        <v>0</v>
      </c>
      <c r="V162" s="27">
        <f>IF(K150=0,0,IF(U162=1,V158,U162+1))</f>
        <v>0</v>
      </c>
      <c r="W162" s="27">
        <f t="shared" ref="W162:W181" si="161">IF(U162=0,0,-CUMPRINC($E$150/2,$M$150*2,$C$150,U162,V162,0))</f>
        <v>0</v>
      </c>
      <c r="X162" s="27">
        <f>IF(K150=0,0,Y161+1)</f>
        <v>0</v>
      </c>
      <c r="Y162" s="27">
        <f>IF(K150=0,0,X162+1)</f>
        <v>0</v>
      </c>
      <c r="Z162" s="27">
        <f t="shared" ref="Z162:Z181" si="162">IF(X162=0,0,-CUMIPMT($E$150/2,$D$150*2,$C$150,X162,Y162,0))</f>
        <v>0</v>
      </c>
      <c r="AA162" s="27">
        <f>IF(L150=0,0,AB161+1)</f>
        <v>0</v>
      </c>
      <c r="AB162" s="27">
        <f t="shared" ref="AB162:AB181" si="163">+AA162</f>
        <v>0</v>
      </c>
      <c r="AC162" s="27">
        <f t="shared" ref="AC162:AC181" si="164">IF(AA162=0,0,-CUMPRINC($E$150,$M$150,$C$150,AA162,AB162,0))</f>
        <v>0</v>
      </c>
      <c r="AD162" s="27">
        <f>IF(K150=0,0,AE161+1)</f>
        <v>0</v>
      </c>
      <c r="AE162" s="27">
        <f t="shared" ref="AE162:AE181" si="165">+AD162</f>
        <v>0</v>
      </c>
      <c r="AF162" s="27">
        <f t="shared" ref="AF162:AF181" si="166">IF(AD162=0,0,-CUMIPMT($E$150,$D$150,$C$150,AD162,AE162,0))</f>
        <v>0</v>
      </c>
      <c r="AG162" s="61"/>
      <c r="AH162" s="27" t="s">
        <v>958</v>
      </c>
      <c r="AI162" s="27">
        <f>+AI161+AI160</f>
        <v>0</v>
      </c>
      <c r="AJ162" s="27">
        <f t="shared" ref="AJ162:AT162" si="167">+AJ161+AJ160</f>
        <v>0</v>
      </c>
      <c r="AK162" s="27">
        <f t="shared" si="167"/>
        <v>0</v>
      </c>
      <c r="AL162" s="27">
        <f t="shared" si="167"/>
        <v>0</v>
      </c>
      <c r="AM162" s="27">
        <f t="shared" si="167"/>
        <v>0</v>
      </c>
      <c r="AN162" s="27">
        <f t="shared" si="167"/>
        <v>0</v>
      </c>
      <c r="AO162" s="27">
        <f t="shared" si="167"/>
        <v>0</v>
      </c>
      <c r="AP162" s="27">
        <f t="shared" si="167"/>
        <v>0</v>
      </c>
      <c r="AQ162" s="27">
        <f t="shared" si="167"/>
        <v>0</v>
      </c>
      <c r="AR162" s="27">
        <f t="shared" si="167"/>
        <v>0</v>
      </c>
      <c r="AS162" s="27">
        <f t="shared" si="167"/>
        <v>0</v>
      </c>
      <c r="AT162" s="61">
        <f t="shared" si="167"/>
        <v>0</v>
      </c>
    </row>
    <row r="163" spans="2:46" s="27" customFormat="1" ht="11.25" hidden="1" x14ac:dyDescent="0.2">
      <c r="B163" s="60">
        <f t="shared" si="154"/>
        <v>4</v>
      </c>
      <c r="C163" s="27">
        <f>IF(D162=L150,0,IF(D162+1&lt;=L150,D162+1,L150))</f>
        <v>0</v>
      </c>
      <c r="D163" s="27">
        <f>IF(C163=0,0,IF(C163+11&gt;L150,L150,C163+11))</f>
        <v>0</v>
      </c>
      <c r="E163" s="27">
        <f>IF(C163=0,0,-CUMPRINC(E150/12,M150*12,C150,C163,D163,0))</f>
        <v>0</v>
      </c>
      <c r="F163" s="27">
        <f>IF(G162=K150,0,IF(G162+1&lt;=K150,G162+1,K150))</f>
        <v>0</v>
      </c>
      <c r="G163" s="27">
        <f>IF(F163=0,0,IF(F163+11&gt;K150,K150,F163+11))</f>
        <v>0</v>
      </c>
      <c r="H163" s="27">
        <f t="shared" si="156"/>
        <v>0</v>
      </c>
      <c r="I163" s="27">
        <f>IF(J162=L158,0,IF(J162+1&lt;=L158,J162+1,L158))</f>
        <v>0</v>
      </c>
      <c r="J163" s="27">
        <f>IF(I163=0,0,IF(I163+5&gt;L158,L158,I163+5))</f>
        <v>0</v>
      </c>
      <c r="K163" s="27">
        <f t="shared" si="157"/>
        <v>0</v>
      </c>
      <c r="L163" s="27">
        <f>IF(M162=N158,0,IF(M162+1&lt;=N158,M162+1,N158))</f>
        <v>0</v>
      </c>
      <c r="M163" s="27">
        <f>IF(L163=0,0,IF(L163+5&gt;N158,N158,L163+5))</f>
        <v>0</v>
      </c>
      <c r="N163" s="27">
        <f t="shared" si="158"/>
        <v>0</v>
      </c>
      <c r="O163" s="27">
        <f>IF(P162=R158,0,IF(P162+1&lt;=R158,P162+1,R158))</f>
        <v>0</v>
      </c>
      <c r="P163" s="27">
        <f>IF(O163=0,0,IF(O163+3&gt;R158,R158,O163+3))</f>
        <v>0</v>
      </c>
      <c r="Q163" s="60">
        <f t="shared" si="159"/>
        <v>0</v>
      </c>
      <c r="R163" s="27">
        <f>IF(S162=T158,0,IF(S162+1&lt;=T158,S162+1,T158))</f>
        <v>0</v>
      </c>
      <c r="S163" s="27">
        <f>IF(R163=0,0,IF(R163+3&gt;T158,T158,R163+3))</f>
        <v>0</v>
      </c>
      <c r="T163" s="27">
        <f t="shared" si="160"/>
        <v>0</v>
      </c>
      <c r="U163" s="27">
        <f>IF(V162=X158,0,IF(V162+1&lt;=X158,V162+1,X158))</f>
        <v>0</v>
      </c>
      <c r="V163" s="27">
        <f>IF(U163=0,0,IF(U163+1&gt;X158,X158,U163+1))</f>
        <v>0</v>
      </c>
      <c r="W163" s="27">
        <f t="shared" si="161"/>
        <v>0</v>
      </c>
      <c r="X163" s="27">
        <f>IF(Y162=Z158,0,IF(Y162+1&lt;=Z158,Y162+1,Z158))</f>
        <v>0</v>
      </c>
      <c r="Y163" s="27">
        <f>IF(X163=0,0,IF(X163+1&gt;Z158,Z158,X163+1))</f>
        <v>0</v>
      </c>
      <c r="Z163" s="27">
        <f t="shared" si="162"/>
        <v>0</v>
      </c>
      <c r="AA163" s="27">
        <f>IF(AB162=AD158,0,IF(AB162+1&lt;=AD158,AB162+1,AD158))</f>
        <v>0</v>
      </c>
      <c r="AB163" s="27">
        <f t="shared" si="163"/>
        <v>0</v>
      </c>
      <c r="AC163" s="27">
        <f t="shared" si="164"/>
        <v>0</v>
      </c>
      <c r="AD163" s="27">
        <f>IF(AE162=AF158,0,IF(AE162+1&lt;=AF158,AE162+1,AF158))</f>
        <v>0</v>
      </c>
      <c r="AE163" s="27">
        <f t="shared" si="165"/>
        <v>0</v>
      </c>
      <c r="AF163" s="27">
        <f t="shared" si="166"/>
        <v>0</v>
      </c>
      <c r="AG163" s="61"/>
      <c r="AH163" s="27" t="s">
        <v>953</v>
      </c>
      <c r="AI163" s="27">
        <f>IF(AI159=0,0,$AI181)</f>
        <v>0</v>
      </c>
      <c r="AJ163" s="27">
        <f>IF(AJ159=0,0,$AI181)+AI164</f>
        <v>0</v>
      </c>
      <c r="AK163" s="27">
        <f t="shared" ref="AK163:AT163" si="168">IF(AK159=0,0,$AI181)+AJ164</f>
        <v>0</v>
      </c>
      <c r="AL163" s="27">
        <f t="shared" si="168"/>
        <v>0</v>
      </c>
      <c r="AM163" s="27">
        <f t="shared" si="168"/>
        <v>0</v>
      </c>
      <c r="AN163" s="27">
        <f t="shared" si="168"/>
        <v>0</v>
      </c>
      <c r="AO163" s="27">
        <f t="shared" si="168"/>
        <v>0</v>
      </c>
      <c r="AP163" s="27">
        <f t="shared" si="168"/>
        <v>0</v>
      </c>
      <c r="AQ163" s="27">
        <f t="shared" si="168"/>
        <v>0</v>
      </c>
      <c r="AR163" s="27">
        <f t="shared" si="168"/>
        <v>0</v>
      </c>
      <c r="AS163" s="27">
        <f t="shared" si="168"/>
        <v>0</v>
      </c>
      <c r="AT163" s="61">
        <f t="shared" si="168"/>
        <v>0</v>
      </c>
    </row>
    <row r="164" spans="2:46" s="27" customFormat="1" ht="11.25" hidden="1" x14ac:dyDescent="0.2">
      <c r="B164" s="60">
        <f t="shared" si="154"/>
        <v>5</v>
      </c>
      <c r="C164" s="27">
        <f>IF(D163=0,0,IF(D163+1&gt;L150,0,D163+1))</f>
        <v>0</v>
      </c>
      <c r="D164" s="27">
        <f>IF(C164=0,0,IF(C164+11&gt;L150,L150,C164+11))</f>
        <v>0</v>
      </c>
      <c r="E164" s="27">
        <f>IF(C164=0,0,-CUMPRINC(E150/12,M150*12,C150,C164,D164,0))</f>
        <v>0</v>
      </c>
      <c r="F164" s="27">
        <f>IF(G163=0,0,IF(G163+1&gt;K150,0,G163+1))</f>
        <v>0</v>
      </c>
      <c r="G164" s="27">
        <f>IF(F164=0,0,IF(F164+11&gt;$K$150,$K$150,F164+11))</f>
        <v>0</v>
      </c>
      <c r="H164" s="27">
        <f t="shared" si="156"/>
        <v>0</v>
      </c>
      <c r="I164" s="27">
        <f>IF(J163=0,0,IF(J163+1&gt;L158,0,J163+1))</f>
        <v>0</v>
      </c>
      <c r="J164" s="27">
        <f>IF(I164=0,0,IF(I164+5&gt;L158,L158,I164+5))</f>
        <v>0</v>
      </c>
      <c r="K164" s="27">
        <f t="shared" si="157"/>
        <v>0</v>
      </c>
      <c r="L164" s="27">
        <f>IF(M163=0,0,IF(M163+1&gt;N158,0,M163+1))</f>
        <v>0</v>
      </c>
      <c r="M164" s="27">
        <f>IF(L164=0,0,IF(L164+5&gt;$N$158,$N$158,L164+5))</f>
        <v>0</v>
      </c>
      <c r="N164" s="27">
        <f t="shared" si="158"/>
        <v>0</v>
      </c>
      <c r="O164" s="27">
        <f>IF(P163=0,0,IF(P163+1&gt;R158,0,P163+1))</f>
        <v>0</v>
      </c>
      <c r="P164" s="27">
        <f>IF(O164=0,0,IF(O164+3&gt;R158,R158,O164+3))</f>
        <v>0</v>
      </c>
      <c r="Q164" s="60">
        <f t="shared" si="159"/>
        <v>0</v>
      </c>
      <c r="R164" s="27">
        <f>IF(S163=0,0,IF(S163+1&gt;T158,0,S163+1))</f>
        <v>0</v>
      </c>
      <c r="S164" s="27">
        <f>IF(R164=0,0,IF(R164+3&gt;$T$158,$T$158,R164+3))</f>
        <v>0</v>
      </c>
      <c r="T164" s="27">
        <f t="shared" si="160"/>
        <v>0</v>
      </c>
      <c r="U164" s="27">
        <f>IF(V163=0,0,IF(V163+1&gt;X158,0,V163+1))</f>
        <v>0</v>
      </c>
      <c r="V164" s="27">
        <f>IF(U164=0,0,IF(U164+1&gt;X$158,X$158,U164+1))</f>
        <v>0</v>
      </c>
      <c r="W164" s="27">
        <f t="shared" si="161"/>
        <v>0</v>
      </c>
      <c r="X164" s="27">
        <f>IF(Y163=0,0,IF(Y163+1&gt;Z158,0,Y163+1))</f>
        <v>0</v>
      </c>
      <c r="Y164" s="27">
        <f>IF(X164=0,0,IF(X164+1&gt;$Z$158,$Z$158,X164+1))</f>
        <v>0</v>
      </c>
      <c r="Z164" s="27">
        <f t="shared" si="162"/>
        <v>0</v>
      </c>
      <c r="AA164" s="27">
        <f>IF(AB163=0,0,IF(AB163+1&gt;AD158,0,AB163+1))</f>
        <v>0</v>
      </c>
      <c r="AB164" s="27">
        <f t="shared" si="163"/>
        <v>0</v>
      </c>
      <c r="AC164" s="27">
        <f t="shared" si="164"/>
        <v>0</v>
      </c>
      <c r="AD164" s="27">
        <f>IF(AE163=0,0,IF(AE163+1&gt;AF158,0,AE163+1))</f>
        <v>0</v>
      </c>
      <c r="AE164" s="27">
        <f t="shared" si="165"/>
        <v>0</v>
      </c>
      <c r="AF164" s="27">
        <f t="shared" si="166"/>
        <v>0</v>
      </c>
      <c r="AG164" s="61"/>
      <c r="AH164" s="27" t="s">
        <v>954</v>
      </c>
      <c r="AI164" s="27">
        <f t="shared" ref="AI164:AT164" si="169">+AI163-AI160</f>
        <v>0</v>
      </c>
      <c r="AJ164" s="27">
        <f t="shared" si="169"/>
        <v>0</v>
      </c>
      <c r="AK164" s="27">
        <f t="shared" si="169"/>
        <v>0</v>
      </c>
      <c r="AL164" s="27">
        <f t="shared" si="169"/>
        <v>0</v>
      </c>
      <c r="AM164" s="27">
        <f t="shared" si="169"/>
        <v>0</v>
      </c>
      <c r="AN164" s="27">
        <f t="shared" si="169"/>
        <v>0</v>
      </c>
      <c r="AO164" s="27">
        <f t="shared" si="169"/>
        <v>0</v>
      </c>
      <c r="AP164" s="27">
        <f t="shared" si="169"/>
        <v>0</v>
      </c>
      <c r="AQ164" s="27">
        <f t="shared" si="169"/>
        <v>0</v>
      </c>
      <c r="AR164" s="27">
        <f t="shared" si="169"/>
        <v>0</v>
      </c>
      <c r="AS164" s="27">
        <f t="shared" si="169"/>
        <v>0</v>
      </c>
      <c r="AT164" s="61">
        <f t="shared" si="169"/>
        <v>0</v>
      </c>
    </row>
    <row r="165" spans="2:46" s="27" customFormat="1" ht="11.25" hidden="1" x14ac:dyDescent="0.2">
      <c r="B165" s="60">
        <f t="shared" si="154"/>
        <v>6</v>
      </c>
      <c r="C165" s="27">
        <f>IF(D164=0,0,IF(D164+1&gt;L150,0,D164+1))</f>
        <v>0</v>
      </c>
      <c r="D165" s="27">
        <f>IF(C165=0,0,IF(C165+11&gt;L150,L150,C165+11))</f>
        <v>0</v>
      </c>
      <c r="E165" s="27">
        <f>IF(C165=0,0,-CUMPRINC(E150/12,M150*12,C150,C165,D165,0))</f>
        <v>0</v>
      </c>
      <c r="F165" s="27">
        <f>IF(G164=0,0,IF(G164+1&gt;K150,0,G164+1))</f>
        <v>0</v>
      </c>
      <c r="G165" s="27">
        <f t="shared" ref="G165:G181" si="170">IF(F165=0,0,IF(F165+11&gt;$K$150,$K$150,F165+11))</f>
        <v>0</v>
      </c>
      <c r="H165" s="27">
        <f t="shared" si="156"/>
        <v>0</v>
      </c>
      <c r="I165" s="27">
        <f>IF(J164=0,0,IF(J164+1&gt;L158,0,J164+1))</f>
        <v>0</v>
      </c>
      <c r="J165" s="27">
        <f>IF(I165=0,0,IF(I165+5&gt;L158,L158,I165+5))</f>
        <v>0</v>
      </c>
      <c r="K165" s="27">
        <f t="shared" si="157"/>
        <v>0</v>
      </c>
      <c r="L165" s="27">
        <f>IF(M164=0,0,IF(M164+1&gt;N158,0,M164+1))</f>
        <v>0</v>
      </c>
      <c r="M165" s="27">
        <f t="shared" ref="M165:M181" si="171">IF(L165=0,0,IF(L165+5&gt;$N$158,$N$158,L165+5))</f>
        <v>0</v>
      </c>
      <c r="N165" s="27">
        <f t="shared" si="158"/>
        <v>0</v>
      </c>
      <c r="O165" s="27">
        <f>IF(P164=0,0,IF(P164+1&gt;R158,0,P164+1))</f>
        <v>0</v>
      </c>
      <c r="P165" s="27">
        <f>IF(O165=0,0,IF(O165+3&gt;R$158,R$158,O165+3))</f>
        <v>0</v>
      </c>
      <c r="Q165" s="60">
        <f t="shared" si="159"/>
        <v>0</v>
      </c>
      <c r="R165" s="27">
        <f>IF(S164=0,0,IF(S164+1&gt;T158,0,S164+1))</f>
        <v>0</v>
      </c>
      <c r="S165" s="27">
        <f t="shared" ref="S165:S181" si="172">IF(R165=0,0,IF(R165+3&gt;$T$158,$T$158,R165+3))</f>
        <v>0</v>
      </c>
      <c r="T165" s="27">
        <f t="shared" si="160"/>
        <v>0</v>
      </c>
      <c r="U165" s="27">
        <f>IF(V164=0,0,IF(V164+1&gt;X158,0,V164+1))</f>
        <v>0</v>
      </c>
      <c r="V165" s="27">
        <f t="shared" ref="V165:V181" si="173">IF(U165=0,0,IF(U165+1&gt;X$158,X$158,U165+1))</f>
        <v>0</v>
      </c>
      <c r="W165" s="27">
        <f t="shared" si="161"/>
        <v>0</v>
      </c>
      <c r="X165" s="27">
        <f>IF(Y164=0,0,IF(Y164+1&gt;Z158,0,Y164+1))</f>
        <v>0</v>
      </c>
      <c r="Y165" s="27">
        <f t="shared" ref="Y165:Y181" si="174">IF(X165=0,0,IF(X165+1&gt;$Z$158,$Z$158,X165+1))</f>
        <v>0</v>
      </c>
      <c r="Z165" s="27">
        <f t="shared" si="162"/>
        <v>0</v>
      </c>
      <c r="AA165" s="27">
        <f>IF(AB164=0,0,IF(AB164+1&gt;AD158,0,AB164+1))</f>
        <v>0</v>
      </c>
      <c r="AB165" s="27">
        <f t="shared" si="163"/>
        <v>0</v>
      </c>
      <c r="AC165" s="27">
        <f t="shared" si="164"/>
        <v>0</v>
      </c>
      <c r="AD165" s="27">
        <f>IF(AE164=0,0,IF(AE164+1&gt;AF158,0,AE164+1))</f>
        <v>0</v>
      </c>
      <c r="AE165" s="27">
        <f t="shared" si="165"/>
        <v>0</v>
      </c>
      <c r="AF165" s="27">
        <f t="shared" si="166"/>
        <v>0</v>
      </c>
      <c r="AG165" s="61"/>
      <c r="AH165" s="27" t="s">
        <v>946</v>
      </c>
      <c r="AI165" s="27">
        <f>IF(AI159=0,0,$G150)</f>
        <v>0</v>
      </c>
      <c r="AJ165" s="27">
        <f t="shared" ref="AJ165:AT165" si="175">IF(AJ159=0,0,$G150)</f>
        <v>0</v>
      </c>
      <c r="AK165" s="27">
        <f t="shared" si="175"/>
        <v>0</v>
      </c>
      <c r="AL165" s="27">
        <f t="shared" si="175"/>
        <v>0</v>
      </c>
      <c r="AM165" s="27">
        <f t="shared" si="175"/>
        <v>0</v>
      </c>
      <c r="AN165" s="27">
        <f t="shared" si="175"/>
        <v>0</v>
      </c>
      <c r="AO165" s="27">
        <f t="shared" si="175"/>
        <v>0</v>
      </c>
      <c r="AP165" s="27">
        <f t="shared" si="175"/>
        <v>0</v>
      </c>
      <c r="AQ165" s="27">
        <f t="shared" si="175"/>
        <v>0</v>
      </c>
      <c r="AR165" s="27">
        <f t="shared" si="175"/>
        <v>0</v>
      </c>
      <c r="AS165" s="27">
        <f t="shared" si="175"/>
        <v>0</v>
      </c>
      <c r="AT165" s="61">
        <f t="shared" si="175"/>
        <v>0</v>
      </c>
    </row>
    <row r="166" spans="2:46" s="27" customFormat="1" ht="11.25" hidden="1" x14ac:dyDescent="0.2">
      <c r="B166" s="60">
        <f t="shared" si="154"/>
        <v>7</v>
      </c>
      <c r="C166" s="27">
        <f>IF(D165=0,0,IF(D165+1&gt;L150,0,D165+1))</f>
        <v>0</v>
      </c>
      <c r="D166" s="27">
        <f>IF(C166=0,0,IF(C166+11&gt;L150,L150,C166+11))</f>
        <v>0</v>
      </c>
      <c r="E166" s="27">
        <f>IF(C166=0,0,-CUMPRINC(E150/12,M150*12,C150,C166,D166,0))</f>
        <v>0</v>
      </c>
      <c r="F166" s="27">
        <f>IF(G165=0,0,IF(G165+1&gt;K150,0,G165+1))</f>
        <v>0</v>
      </c>
      <c r="G166" s="27">
        <f t="shared" si="170"/>
        <v>0</v>
      </c>
      <c r="H166" s="27">
        <f t="shared" si="156"/>
        <v>0</v>
      </c>
      <c r="I166" s="27">
        <f>IF(J165=0,0,IF(J165+1&gt;L158,0,J165+1))</f>
        <v>0</v>
      </c>
      <c r="J166" s="27">
        <f>IF(I166=0,0,IF(I166+5&gt;L158,L158,I166+5))</f>
        <v>0</v>
      </c>
      <c r="K166" s="27">
        <f t="shared" si="157"/>
        <v>0</v>
      </c>
      <c r="L166" s="27">
        <f>IF(M165=0,0,IF(M165+1&gt;N158,0,M165+1))</f>
        <v>0</v>
      </c>
      <c r="M166" s="27">
        <f t="shared" si="171"/>
        <v>0</v>
      </c>
      <c r="N166" s="27">
        <f t="shared" si="158"/>
        <v>0</v>
      </c>
      <c r="O166" s="27">
        <f>IF(P165=0,0,IF(P165+1&gt;R158,0,P165+1))</f>
        <v>0</v>
      </c>
      <c r="P166" s="27">
        <f t="shared" ref="P166:P180" si="176">IF(O166=0,0,IF(O166+3&gt;R$158,R$158,O166+3))</f>
        <v>0</v>
      </c>
      <c r="Q166" s="60">
        <f t="shared" si="159"/>
        <v>0</v>
      </c>
      <c r="R166" s="27">
        <f>IF(S165=0,0,IF(S165+1&gt;T158,0,S165+1))</f>
        <v>0</v>
      </c>
      <c r="S166" s="27">
        <f t="shared" si="172"/>
        <v>0</v>
      </c>
      <c r="T166" s="27">
        <f t="shared" si="160"/>
        <v>0</v>
      </c>
      <c r="U166" s="27">
        <f>IF(V165=0,0,IF(V165+1&gt;X158,0,V165+1))</f>
        <v>0</v>
      </c>
      <c r="V166" s="27">
        <f t="shared" si="173"/>
        <v>0</v>
      </c>
      <c r="W166" s="27">
        <f t="shared" si="161"/>
        <v>0</v>
      </c>
      <c r="X166" s="27">
        <f>IF(Y165=0,0,IF(Y165+1&gt;Z158,0,Y165+1))</f>
        <v>0</v>
      </c>
      <c r="Y166" s="27">
        <f t="shared" si="174"/>
        <v>0</v>
      </c>
      <c r="Z166" s="27">
        <f t="shared" si="162"/>
        <v>0</v>
      </c>
      <c r="AA166" s="27">
        <f>IF(AB165=0,0,IF(AB165+1&gt;AD158,0,AB165+1))</f>
        <v>0</v>
      </c>
      <c r="AB166" s="27">
        <f t="shared" si="163"/>
        <v>0</v>
      </c>
      <c r="AC166" s="27">
        <f t="shared" si="164"/>
        <v>0</v>
      </c>
      <c r="AD166" s="27">
        <f>IF(AE165=0,0,IF(AE165+1&gt;AF158,0,AE165+1))</f>
        <v>0</v>
      </c>
      <c r="AE166" s="27">
        <f t="shared" si="165"/>
        <v>0</v>
      </c>
      <c r="AF166" s="27">
        <f t="shared" si="166"/>
        <v>0</v>
      </c>
      <c r="AG166" s="61"/>
      <c r="AT166" s="61"/>
    </row>
    <row r="167" spans="2:46" s="27" customFormat="1" ht="11.25" hidden="1" x14ac:dyDescent="0.2">
      <c r="B167" s="60">
        <f t="shared" si="154"/>
        <v>8</v>
      </c>
      <c r="C167" s="27">
        <f>IF(D166=0,0,IF(D166+1&gt;L150,0,D166+1))</f>
        <v>0</v>
      </c>
      <c r="D167" s="27">
        <f>IF(C167=0,0,IF(C167+11&gt;L150,L150,C167+11))</f>
        <v>0</v>
      </c>
      <c r="E167" s="27">
        <f>IF(C167=0,0,-CUMPRINC(E150/12,M150*12,C150,C167,D167,0))</f>
        <v>0</v>
      </c>
      <c r="F167" s="27">
        <f>IF(G166=0,0,IF(G166+1&gt;K150,0,G166+1))</f>
        <v>0</v>
      </c>
      <c r="G167" s="27">
        <f t="shared" si="170"/>
        <v>0</v>
      </c>
      <c r="H167" s="27">
        <f t="shared" si="156"/>
        <v>0</v>
      </c>
      <c r="I167" s="27">
        <f>IF(J166=0,0,IF(J166+1&gt;L158,0,J166+1))</f>
        <v>0</v>
      </c>
      <c r="J167" s="27">
        <f>IF(I167=0,0,IF(I167+5&gt;L158,L158,I167+5))</f>
        <v>0</v>
      </c>
      <c r="K167" s="27">
        <f t="shared" si="157"/>
        <v>0</v>
      </c>
      <c r="L167" s="27">
        <f>IF(M166=0,0,IF(M166+1&gt;N158,0,M166+1))</f>
        <v>0</v>
      </c>
      <c r="M167" s="27">
        <f t="shared" si="171"/>
        <v>0</v>
      </c>
      <c r="N167" s="27">
        <f t="shared" si="158"/>
        <v>0</v>
      </c>
      <c r="O167" s="27">
        <f>IF(P166=0,0,IF(P166+1&gt;R158,0,P166+1))</f>
        <v>0</v>
      </c>
      <c r="P167" s="27">
        <f t="shared" si="176"/>
        <v>0</v>
      </c>
      <c r="Q167" s="60">
        <f t="shared" si="159"/>
        <v>0</v>
      </c>
      <c r="R167" s="27">
        <f>IF(S166=0,0,IF(S166+1&gt;T158,0,S166+1))</f>
        <v>0</v>
      </c>
      <c r="S167" s="27">
        <f t="shared" si="172"/>
        <v>0</v>
      </c>
      <c r="T167" s="27">
        <f t="shared" si="160"/>
        <v>0</v>
      </c>
      <c r="U167" s="27">
        <f>IF(V166=0,0,IF(V166+1&gt;X158,0,V166+1))</f>
        <v>0</v>
      </c>
      <c r="V167" s="27">
        <f t="shared" si="173"/>
        <v>0</v>
      </c>
      <c r="W167" s="27">
        <f t="shared" si="161"/>
        <v>0</v>
      </c>
      <c r="X167" s="27">
        <f>IF(Y166=0,0,IF(Y166+1&gt;Z158,0,Y166+1))</f>
        <v>0</v>
      </c>
      <c r="Y167" s="27">
        <f t="shared" si="174"/>
        <v>0</v>
      </c>
      <c r="Z167" s="27">
        <f t="shared" si="162"/>
        <v>0</v>
      </c>
      <c r="AA167" s="27">
        <f>IF(AB166=0,0,IF(AB166+1&gt;AD158,0,AB166+1))</f>
        <v>0</v>
      </c>
      <c r="AB167" s="27">
        <f t="shared" si="163"/>
        <v>0</v>
      </c>
      <c r="AC167" s="27">
        <f t="shared" si="164"/>
        <v>0</v>
      </c>
      <c r="AD167" s="27">
        <f>IF(AE166=0,0,IF(AE166+1&gt;AF158,0,AE166+1))</f>
        <v>0</v>
      </c>
      <c r="AE167" s="27">
        <f t="shared" si="165"/>
        <v>0</v>
      </c>
      <c r="AF167" s="27">
        <f t="shared" si="166"/>
        <v>0</v>
      </c>
      <c r="AG167" s="61"/>
      <c r="AT167" s="61"/>
    </row>
    <row r="168" spans="2:46" s="27" customFormat="1" ht="11.25" hidden="1" x14ac:dyDescent="0.2">
      <c r="B168" s="60">
        <f t="shared" si="154"/>
        <v>9</v>
      </c>
      <c r="C168" s="27">
        <f>IF(D167=0,0,IF(D167+1&gt;L150,0,D167+1))</f>
        <v>0</v>
      </c>
      <c r="D168" s="27">
        <f>IF(C168=0,0,IF(C168+11&gt;L150,L150,C168+11))</f>
        <v>0</v>
      </c>
      <c r="E168" s="27">
        <f>IF(C168=0,0,-CUMPRINC(E150/12,M150*12,C150,C168,D168,0))</f>
        <v>0</v>
      </c>
      <c r="F168" s="27">
        <f>IF(G167=0,0,IF(G167+1&gt;K150,0,G167+1))</f>
        <v>0</v>
      </c>
      <c r="G168" s="27">
        <f t="shared" si="170"/>
        <v>0</v>
      </c>
      <c r="H168" s="27">
        <f t="shared" si="156"/>
        <v>0</v>
      </c>
      <c r="I168" s="27">
        <f>IF(J167=0,0,IF(J167+1&gt;L158,0,J167+1))</f>
        <v>0</v>
      </c>
      <c r="J168" s="27">
        <f>IF(I168=0,0,IF(I168+5&gt;L158,L158,I168+5))</f>
        <v>0</v>
      </c>
      <c r="K168" s="27">
        <f t="shared" si="157"/>
        <v>0</v>
      </c>
      <c r="L168" s="27">
        <f>IF(M167=0,0,IF(M167+1&gt;N158,0,M167+1))</f>
        <v>0</v>
      </c>
      <c r="M168" s="27">
        <f t="shared" si="171"/>
        <v>0</v>
      </c>
      <c r="N168" s="27">
        <f t="shared" si="158"/>
        <v>0</v>
      </c>
      <c r="O168" s="27">
        <f>IF(P167=0,0,IF(P167+1&gt;R158,0,P167+1))</f>
        <v>0</v>
      </c>
      <c r="P168" s="27">
        <f t="shared" si="176"/>
        <v>0</v>
      </c>
      <c r="Q168" s="60">
        <f t="shared" si="159"/>
        <v>0</v>
      </c>
      <c r="R168" s="27">
        <f>IF(S167=0,0,IF(S167+1&gt;T158,0,S167+1))</f>
        <v>0</v>
      </c>
      <c r="S168" s="27">
        <f t="shared" si="172"/>
        <v>0</v>
      </c>
      <c r="T168" s="27">
        <f t="shared" si="160"/>
        <v>0</v>
      </c>
      <c r="U168" s="27">
        <f>IF(V167=0,0,IF(V167+1&gt;X158,0,V167+1))</f>
        <v>0</v>
      </c>
      <c r="V168" s="27">
        <f t="shared" si="173"/>
        <v>0</v>
      </c>
      <c r="W168" s="27">
        <f t="shared" si="161"/>
        <v>0</v>
      </c>
      <c r="X168" s="27">
        <f>IF(Y167=0,0,IF(Y167+1&gt;Z158,0,Y167+1))</f>
        <v>0</v>
      </c>
      <c r="Y168" s="27">
        <f t="shared" si="174"/>
        <v>0</v>
      </c>
      <c r="Z168" s="27">
        <f t="shared" si="162"/>
        <v>0</v>
      </c>
      <c r="AA168" s="27">
        <f>IF(AB167=0,0,IF(AB167+1&gt;AD158,0,AB167+1))</f>
        <v>0</v>
      </c>
      <c r="AB168" s="27">
        <f t="shared" si="163"/>
        <v>0</v>
      </c>
      <c r="AC168" s="27">
        <f t="shared" si="164"/>
        <v>0</v>
      </c>
      <c r="AD168" s="27">
        <f>IF(AE167=0,0,IF(AE167+1&gt;AF158,0,AE167+1))</f>
        <v>0</v>
      </c>
      <c r="AE168" s="27">
        <f t="shared" si="165"/>
        <v>0</v>
      </c>
      <c r="AF168" s="27">
        <f t="shared" si="166"/>
        <v>0</v>
      </c>
      <c r="AG168" s="61"/>
      <c r="AT168" s="61"/>
    </row>
    <row r="169" spans="2:46" s="27" customFormat="1" ht="11.25" hidden="1" x14ac:dyDescent="0.2">
      <c r="B169" s="60">
        <f t="shared" si="154"/>
        <v>10</v>
      </c>
      <c r="C169" s="27">
        <f>IF(D168=0,0,IF(D168+1&gt;L150,0,D168+1))</f>
        <v>0</v>
      </c>
      <c r="D169" s="27">
        <f>IF(C169=0,0,IF(C169+11&gt;L150,L150,C169+11))</f>
        <v>0</v>
      </c>
      <c r="E169" s="27">
        <f>IF(C169=0,0,-CUMPRINC(E150/12,M150*12,C150,C169,D169,0))</f>
        <v>0</v>
      </c>
      <c r="F169" s="27">
        <f>IF(G168=0,0,IF(G168+1&gt;K150,0,G168+1))</f>
        <v>0</v>
      </c>
      <c r="G169" s="27">
        <f t="shared" si="170"/>
        <v>0</v>
      </c>
      <c r="H169" s="27">
        <f t="shared" si="156"/>
        <v>0</v>
      </c>
      <c r="I169" s="27">
        <f>IF(J168=0,0,IF(J168+1&gt;L158,0,J168+1))</f>
        <v>0</v>
      </c>
      <c r="J169" s="27">
        <f>IF(I169=0,0,IF(I169+5&gt;L158,L158,I169+5))</f>
        <v>0</v>
      </c>
      <c r="K169" s="27">
        <f t="shared" si="157"/>
        <v>0</v>
      </c>
      <c r="L169" s="27">
        <f>IF(M168=0,0,IF(M168+1&gt;N158,0,M168+1))</f>
        <v>0</v>
      </c>
      <c r="M169" s="27">
        <f t="shared" si="171"/>
        <v>0</v>
      </c>
      <c r="N169" s="27">
        <f t="shared" si="158"/>
        <v>0</v>
      </c>
      <c r="O169" s="27">
        <f>IF(P168=0,0,IF(P168+1&gt;R158,0,P168+1))</f>
        <v>0</v>
      </c>
      <c r="P169" s="27">
        <f t="shared" si="176"/>
        <v>0</v>
      </c>
      <c r="Q169" s="60">
        <f t="shared" si="159"/>
        <v>0</v>
      </c>
      <c r="R169" s="27">
        <f>IF(S168=0,0,IF(S168+1&gt;T158,0,S168+1))</f>
        <v>0</v>
      </c>
      <c r="S169" s="27">
        <f t="shared" si="172"/>
        <v>0</v>
      </c>
      <c r="T169" s="27">
        <f t="shared" si="160"/>
        <v>0</v>
      </c>
      <c r="U169" s="27">
        <f>IF(V168=0,0,IF(V168+1&gt;X158,0,V168+1))</f>
        <v>0</v>
      </c>
      <c r="V169" s="27">
        <f t="shared" si="173"/>
        <v>0</v>
      </c>
      <c r="W169" s="27">
        <f t="shared" si="161"/>
        <v>0</v>
      </c>
      <c r="X169" s="27">
        <f>IF(Y168=0,0,IF(Y168+1&gt;Z158,0,Y168+1))</f>
        <v>0</v>
      </c>
      <c r="Y169" s="27">
        <f t="shared" si="174"/>
        <v>0</v>
      </c>
      <c r="Z169" s="27">
        <f t="shared" si="162"/>
        <v>0</v>
      </c>
      <c r="AA169" s="27">
        <f>IF(AB168=0,0,IF(AB168+1&gt;AD158,0,AB168+1))</f>
        <v>0</v>
      </c>
      <c r="AB169" s="27">
        <f t="shared" si="163"/>
        <v>0</v>
      </c>
      <c r="AC169" s="27">
        <f t="shared" si="164"/>
        <v>0</v>
      </c>
      <c r="AD169" s="27">
        <f>IF(AE168=0,0,IF(AE168+1&gt;AF158,0,AE168+1))</f>
        <v>0</v>
      </c>
      <c r="AE169" s="27">
        <f t="shared" si="165"/>
        <v>0</v>
      </c>
      <c r="AF169" s="27">
        <f t="shared" si="166"/>
        <v>0</v>
      </c>
      <c r="AG169" s="61"/>
      <c r="AT169" s="61"/>
    </row>
    <row r="170" spans="2:46" s="27" customFormat="1" ht="11.25" hidden="1" x14ac:dyDescent="0.2">
      <c r="B170" s="60">
        <f t="shared" si="154"/>
        <v>11</v>
      </c>
      <c r="C170" s="27">
        <f>IF(D169=0,0,IF(D169+1&gt;L150,0,D169+1))</f>
        <v>0</v>
      </c>
      <c r="D170" s="27">
        <f>IF(C170=0,0,IF(C170+11&gt;L150,L150,C170+11))</f>
        <v>0</v>
      </c>
      <c r="E170" s="27">
        <f>IF(C170=0,0,-CUMPRINC(E150/12,M150*12,C150,C170,D170,0))</f>
        <v>0</v>
      </c>
      <c r="F170" s="27">
        <f>IF(G169=0,0,IF(G169+1&gt;K150,0,G169+1))</f>
        <v>0</v>
      </c>
      <c r="G170" s="27">
        <f>IF(F170=0,0,IF(F170+11&gt;$K$150,$K$150,F170+11))</f>
        <v>0</v>
      </c>
      <c r="H170" s="27">
        <f t="shared" si="156"/>
        <v>0</v>
      </c>
      <c r="I170" s="27">
        <f>IF(J169=0,0,IF(J169+1&gt;L158,0,J169+1))</f>
        <v>0</v>
      </c>
      <c r="J170" s="27">
        <f>IF(I170=0,0,IF(I170+5&gt;L158,L158,I170+5))</f>
        <v>0</v>
      </c>
      <c r="K170" s="27">
        <f t="shared" si="157"/>
        <v>0</v>
      </c>
      <c r="L170" s="27">
        <f>IF(M169=0,0,IF(M169+1&gt;N158,0,M169+1))</f>
        <v>0</v>
      </c>
      <c r="M170" s="27">
        <f t="shared" si="171"/>
        <v>0</v>
      </c>
      <c r="N170" s="27">
        <f t="shared" si="158"/>
        <v>0</v>
      </c>
      <c r="O170" s="27">
        <f>IF(P169=0,0,IF(P169+1&gt;R158,0,P169+1))</f>
        <v>0</v>
      </c>
      <c r="P170" s="27">
        <f t="shared" si="176"/>
        <v>0</v>
      </c>
      <c r="Q170" s="60">
        <f t="shared" si="159"/>
        <v>0</v>
      </c>
      <c r="R170" s="27">
        <f>IF(S169=0,0,IF(S169+1&gt;T158,0,S169+1))</f>
        <v>0</v>
      </c>
      <c r="S170" s="27">
        <f t="shared" si="172"/>
        <v>0</v>
      </c>
      <c r="T170" s="27">
        <f t="shared" si="160"/>
        <v>0</v>
      </c>
      <c r="U170" s="27">
        <f>IF(V169=0,0,IF(V169+1&gt;X158,0,V169+1))</f>
        <v>0</v>
      </c>
      <c r="V170" s="27">
        <f t="shared" si="173"/>
        <v>0</v>
      </c>
      <c r="W170" s="27">
        <f t="shared" si="161"/>
        <v>0</v>
      </c>
      <c r="X170" s="27">
        <f>IF(Y169=0,0,IF(Y169+1&gt;Z158,0,Y169+1))</f>
        <v>0</v>
      </c>
      <c r="Y170" s="27">
        <f t="shared" si="174"/>
        <v>0</v>
      </c>
      <c r="Z170" s="27">
        <f t="shared" si="162"/>
        <v>0</v>
      </c>
      <c r="AA170" s="27">
        <f>IF(AB169=0,0,IF(AB169+1&gt;AD158,0,AB169+1))</f>
        <v>0</v>
      </c>
      <c r="AB170" s="27">
        <f t="shared" si="163"/>
        <v>0</v>
      </c>
      <c r="AC170" s="27">
        <f t="shared" si="164"/>
        <v>0</v>
      </c>
      <c r="AD170" s="27">
        <f>IF(AE169=0,0,IF(AE169+1&gt;AF158,0,AE169+1))</f>
        <v>0</v>
      </c>
      <c r="AE170" s="27">
        <f t="shared" si="165"/>
        <v>0</v>
      </c>
      <c r="AF170" s="27">
        <f t="shared" si="166"/>
        <v>0</v>
      </c>
      <c r="AG170" s="61"/>
      <c r="AT170" s="61"/>
    </row>
    <row r="171" spans="2:46" s="27" customFormat="1" ht="11.25" hidden="1" x14ac:dyDescent="0.2">
      <c r="B171" s="60">
        <f t="shared" si="154"/>
        <v>12</v>
      </c>
      <c r="C171" s="27">
        <f>IF(D170=0,0,IF(D170+1&gt;L150,0,D170+1))</f>
        <v>0</v>
      </c>
      <c r="D171" s="27">
        <f>IF(C171=0,0,IF(C171+11&gt;L150,L150,C171+11))</f>
        <v>0</v>
      </c>
      <c r="E171" s="27">
        <f>IF(C171=0,0,-CUMPRINC(E150/12,M150*12,C150,C171,D171,0))</f>
        <v>0</v>
      </c>
      <c r="F171" s="27">
        <f>IF(G170=0,0,IF(G170+1&gt;K150,0,G170+1))</f>
        <v>0</v>
      </c>
      <c r="G171" s="27">
        <f>IF(F171=0,0,IF(F171+11&gt;$K$150,$K$150,F171+11))</f>
        <v>0</v>
      </c>
      <c r="H171" s="27">
        <f t="shared" si="156"/>
        <v>0</v>
      </c>
      <c r="I171" s="27">
        <f>IF(J170=0,0,IF(J170+1&gt;L158,0,J170+1))</f>
        <v>0</v>
      </c>
      <c r="J171" s="27">
        <f>IF(I171=0,0,IF(I171+5&gt;L158,L158,I171+5))</f>
        <v>0</v>
      </c>
      <c r="K171" s="27">
        <f t="shared" si="157"/>
        <v>0</v>
      </c>
      <c r="L171" s="27">
        <f>IF(M170=0,0,IF(M170+1&gt;N158,0,M170+1))</f>
        <v>0</v>
      </c>
      <c r="M171" s="27">
        <f t="shared" si="171"/>
        <v>0</v>
      </c>
      <c r="N171" s="27">
        <f t="shared" si="158"/>
        <v>0</v>
      </c>
      <c r="O171" s="27">
        <f>IF(P170=0,0,IF(P170+1&gt;R158,0,P170+1))</f>
        <v>0</v>
      </c>
      <c r="P171" s="27">
        <f t="shared" si="176"/>
        <v>0</v>
      </c>
      <c r="Q171" s="60">
        <f t="shared" si="159"/>
        <v>0</v>
      </c>
      <c r="R171" s="27">
        <f>IF(S170=0,0,IF(S170+1&gt;T158,0,S170+1))</f>
        <v>0</v>
      </c>
      <c r="S171" s="27">
        <f t="shared" si="172"/>
        <v>0</v>
      </c>
      <c r="T171" s="27">
        <f t="shared" si="160"/>
        <v>0</v>
      </c>
      <c r="U171" s="27">
        <f>IF(V170=0,0,IF(V170+1&gt;X158,0,V170+1))</f>
        <v>0</v>
      </c>
      <c r="V171" s="27">
        <f t="shared" si="173"/>
        <v>0</v>
      </c>
      <c r="W171" s="27">
        <f t="shared" si="161"/>
        <v>0</v>
      </c>
      <c r="X171" s="27">
        <f>IF(Y170=0,0,IF(Y170+1&gt;Z158,0,Y170+1))</f>
        <v>0</v>
      </c>
      <c r="Y171" s="27">
        <f t="shared" si="174"/>
        <v>0</v>
      </c>
      <c r="Z171" s="27">
        <f t="shared" si="162"/>
        <v>0</v>
      </c>
      <c r="AA171" s="27">
        <f>IF(AB170=0,0,IF(AB170+1&gt;AD158,0,AB170+1))</f>
        <v>0</v>
      </c>
      <c r="AB171" s="27">
        <f t="shared" si="163"/>
        <v>0</v>
      </c>
      <c r="AC171" s="27">
        <f t="shared" si="164"/>
        <v>0</v>
      </c>
      <c r="AD171" s="27">
        <f>IF(AE170=0,0,IF(AE170+1&gt;AF158,0,AE170+1))</f>
        <v>0</v>
      </c>
      <c r="AE171" s="27">
        <f t="shared" si="165"/>
        <v>0</v>
      </c>
      <c r="AF171" s="27">
        <f t="shared" si="166"/>
        <v>0</v>
      </c>
      <c r="AG171" s="61"/>
      <c r="AT171" s="61"/>
    </row>
    <row r="172" spans="2:46" s="27" customFormat="1" ht="11.25" hidden="1" x14ac:dyDescent="0.2">
      <c r="B172" s="60">
        <f t="shared" si="154"/>
        <v>13</v>
      </c>
      <c r="C172" s="27">
        <f>IF(D171=0,0,IF(D171+1&gt;L150,0,D171+1))</f>
        <v>0</v>
      </c>
      <c r="D172" s="27">
        <f>IF(C172=0,0,IF(C172+11&gt;L150,L150,C172+11))</f>
        <v>0</v>
      </c>
      <c r="E172" s="27">
        <f>IF(C172=0,0,-CUMPRINC(E150/12,M150*12,C150,C172,D172,0))</f>
        <v>0</v>
      </c>
      <c r="F172" s="27">
        <f>IF(G171=0,0,IF(G171+1&gt;K150,0,G171+1))</f>
        <v>0</v>
      </c>
      <c r="G172" s="27">
        <f t="shared" si="170"/>
        <v>0</v>
      </c>
      <c r="H172" s="27">
        <f t="shared" si="156"/>
        <v>0</v>
      </c>
      <c r="I172" s="27">
        <f>IF(J171=0,0,IF(J171+1&gt;L158,0,J171+1))</f>
        <v>0</v>
      </c>
      <c r="J172" s="27">
        <f>IF(I172=0,0,IF(I172+5&gt;L158,L158,I172+5))</f>
        <v>0</v>
      </c>
      <c r="K172" s="27">
        <f t="shared" si="157"/>
        <v>0</v>
      </c>
      <c r="L172" s="27">
        <f>IF(M171=0,0,IF(M171+1&gt;N158,0,M171+1))</f>
        <v>0</v>
      </c>
      <c r="M172" s="27">
        <f t="shared" si="171"/>
        <v>0</v>
      </c>
      <c r="N172" s="27">
        <f t="shared" si="158"/>
        <v>0</v>
      </c>
      <c r="O172" s="27">
        <f>IF(P171=0,0,IF(P171+1&gt;R158,0,P171+1))</f>
        <v>0</v>
      </c>
      <c r="P172" s="27">
        <f t="shared" si="176"/>
        <v>0</v>
      </c>
      <c r="Q172" s="60">
        <f t="shared" si="159"/>
        <v>0</v>
      </c>
      <c r="R172" s="27">
        <f>IF(S171=0,0,IF(S171+1&gt;T158,0,S171+1))</f>
        <v>0</v>
      </c>
      <c r="S172" s="27">
        <f t="shared" si="172"/>
        <v>0</v>
      </c>
      <c r="T172" s="27">
        <f t="shared" si="160"/>
        <v>0</v>
      </c>
      <c r="U172" s="27">
        <f>IF(V171=0,0,IF(V171+1&gt;X158,0,V171+1))</f>
        <v>0</v>
      </c>
      <c r="V172" s="27">
        <f t="shared" si="173"/>
        <v>0</v>
      </c>
      <c r="W172" s="27">
        <f t="shared" si="161"/>
        <v>0</v>
      </c>
      <c r="X172" s="27">
        <f>IF(Y171=0,0,IF(Y171+1&gt;Z158,0,Y171+1))</f>
        <v>0</v>
      </c>
      <c r="Y172" s="27">
        <f t="shared" si="174"/>
        <v>0</v>
      </c>
      <c r="Z172" s="27">
        <f t="shared" si="162"/>
        <v>0</v>
      </c>
      <c r="AA172" s="27">
        <f>IF(AB171=0,0,IF(AB171+1&gt;AD158,0,AB171+1))</f>
        <v>0</v>
      </c>
      <c r="AB172" s="27">
        <f t="shared" si="163"/>
        <v>0</v>
      </c>
      <c r="AC172" s="27">
        <f t="shared" si="164"/>
        <v>0</v>
      </c>
      <c r="AD172" s="27">
        <f>IF(AE171=0,0,IF(AE171+1&gt;AF158,0,AE171+1))</f>
        <v>0</v>
      </c>
      <c r="AE172" s="27">
        <f t="shared" si="165"/>
        <v>0</v>
      </c>
      <c r="AF172" s="27">
        <f t="shared" si="166"/>
        <v>0</v>
      </c>
      <c r="AG172" s="61"/>
      <c r="AT172" s="61"/>
    </row>
    <row r="173" spans="2:46" s="27" customFormat="1" ht="11.25" hidden="1" x14ac:dyDescent="0.2">
      <c r="B173" s="60">
        <f t="shared" si="154"/>
        <v>14</v>
      </c>
      <c r="C173" s="27">
        <f>IF(D172=0,0,IF(D172+1&gt;L150,0,D172+1))</f>
        <v>0</v>
      </c>
      <c r="D173" s="27">
        <f>IF(C173=0,0,IF(C173+11&gt;L150,L150,C173+11))</f>
        <v>0</v>
      </c>
      <c r="E173" s="27">
        <f>IF(C173=0,0,-CUMPRINC(E150/12,M150*12,C150,C173,D173,0))</f>
        <v>0</v>
      </c>
      <c r="F173" s="27">
        <f>IF(G172=0,0,IF(G172+1&gt;K150,0,G172+1))</f>
        <v>0</v>
      </c>
      <c r="G173" s="27">
        <f t="shared" si="170"/>
        <v>0</v>
      </c>
      <c r="H173" s="27">
        <f t="shared" si="156"/>
        <v>0</v>
      </c>
      <c r="I173" s="27">
        <f>IF(J172=0,0,IF(J172+1&gt;L158,0,J172+1))</f>
        <v>0</v>
      </c>
      <c r="J173" s="27">
        <f>IF(I173=0,0,IF(I173+5&gt;L158,L158,I173+5))</f>
        <v>0</v>
      </c>
      <c r="K173" s="27">
        <f t="shared" si="157"/>
        <v>0</v>
      </c>
      <c r="L173" s="27">
        <f>IF(M172=0,0,IF(M172+1&gt;N158,0,M172+1))</f>
        <v>0</v>
      </c>
      <c r="M173" s="27">
        <f t="shared" si="171"/>
        <v>0</v>
      </c>
      <c r="N173" s="27">
        <f t="shared" si="158"/>
        <v>0</v>
      </c>
      <c r="O173" s="27">
        <f>IF(P172=0,0,IF(P172+1&gt;R158,0,P172+1))</f>
        <v>0</v>
      </c>
      <c r="P173" s="27">
        <f t="shared" si="176"/>
        <v>0</v>
      </c>
      <c r="Q173" s="60">
        <f t="shared" si="159"/>
        <v>0</v>
      </c>
      <c r="R173" s="27">
        <f>IF(S172=0,0,IF(S172+1&gt;T158,0,S172+1))</f>
        <v>0</v>
      </c>
      <c r="S173" s="27">
        <f t="shared" si="172"/>
        <v>0</v>
      </c>
      <c r="T173" s="27">
        <f t="shared" si="160"/>
        <v>0</v>
      </c>
      <c r="U173" s="27">
        <f>IF(V172=0,0,IF(V172+1&gt;X158,0,V172+1))</f>
        <v>0</v>
      </c>
      <c r="V173" s="27">
        <f t="shared" si="173"/>
        <v>0</v>
      </c>
      <c r="W173" s="27">
        <f t="shared" si="161"/>
        <v>0</v>
      </c>
      <c r="X173" s="27">
        <f>IF(Y172=0,0,IF(Y172+1&gt;Z158,0,Y172+1))</f>
        <v>0</v>
      </c>
      <c r="Y173" s="27">
        <f t="shared" si="174"/>
        <v>0</v>
      </c>
      <c r="Z173" s="27">
        <f t="shared" si="162"/>
        <v>0</v>
      </c>
      <c r="AA173" s="27">
        <f>IF(AB172=0,0,IF(AB172+1&gt;AD158,0,AB172+1))</f>
        <v>0</v>
      </c>
      <c r="AB173" s="27">
        <f t="shared" si="163"/>
        <v>0</v>
      </c>
      <c r="AC173" s="27">
        <f t="shared" si="164"/>
        <v>0</v>
      </c>
      <c r="AD173" s="27">
        <f>IF(AE172=0,0,IF(AE172+1&gt;AF158,0,AE172+1))</f>
        <v>0</v>
      </c>
      <c r="AE173" s="27">
        <f t="shared" si="165"/>
        <v>0</v>
      </c>
      <c r="AF173" s="27">
        <f t="shared" si="166"/>
        <v>0</v>
      </c>
      <c r="AG173" s="61"/>
      <c r="AT173" s="61"/>
    </row>
    <row r="174" spans="2:46" s="27" customFormat="1" ht="11.25" hidden="1" x14ac:dyDescent="0.2">
      <c r="B174" s="60">
        <f t="shared" si="154"/>
        <v>15</v>
      </c>
      <c r="C174" s="27">
        <f>IF(D173=0,0,IF(D173+1&gt;L150,0,D173+1))</f>
        <v>0</v>
      </c>
      <c r="D174" s="27">
        <f>IF(C174=0,0,IF(C174+11&gt;L150,L150,C174+11))</f>
        <v>0</v>
      </c>
      <c r="E174" s="27">
        <f>IF(C174=0,0,-CUMPRINC(E150/12,M150*12,C150,C174,D174,0))</f>
        <v>0</v>
      </c>
      <c r="F174" s="27">
        <f>IF(G173=0,0,IF(G173+1&gt;K150,0,G173+1))</f>
        <v>0</v>
      </c>
      <c r="G174" s="27">
        <f t="shared" si="170"/>
        <v>0</v>
      </c>
      <c r="H174" s="27">
        <f t="shared" si="156"/>
        <v>0</v>
      </c>
      <c r="I174" s="27">
        <f>IF(J173=0,0,IF(J173+1&gt;L158,0,J173+1))</f>
        <v>0</v>
      </c>
      <c r="J174" s="27">
        <f>IF(I174=0,0,IF(I174+5&gt;L158,L158,I174+5))</f>
        <v>0</v>
      </c>
      <c r="K174" s="27">
        <f t="shared" si="157"/>
        <v>0</v>
      </c>
      <c r="L174" s="27">
        <f>IF(M173=0,0,IF(M173+1&gt;N158,0,M173+1))</f>
        <v>0</v>
      </c>
      <c r="M174" s="27">
        <f t="shared" si="171"/>
        <v>0</v>
      </c>
      <c r="N174" s="27">
        <f t="shared" si="158"/>
        <v>0</v>
      </c>
      <c r="O174" s="27">
        <f>IF(P173=0,0,IF(P173+1&gt;R158,0,P173+1))</f>
        <v>0</v>
      </c>
      <c r="P174" s="27">
        <f t="shared" si="176"/>
        <v>0</v>
      </c>
      <c r="Q174" s="60">
        <f t="shared" si="159"/>
        <v>0</v>
      </c>
      <c r="R174" s="27">
        <f>IF(S173=0,0,IF(S173+1&gt;T158,0,S173+1))</f>
        <v>0</v>
      </c>
      <c r="S174" s="27">
        <f t="shared" si="172"/>
        <v>0</v>
      </c>
      <c r="T174" s="27">
        <f t="shared" si="160"/>
        <v>0</v>
      </c>
      <c r="U174" s="27">
        <f>IF(V173=0,0,IF(V173+1&gt;X158,0,V173+1))</f>
        <v>0</v>
      </c>
      <c r="V174" s="27">
        <f t="shared" si="173"/>
        <v>0</v>
      </c>
      <c r="W174" s="27">
        <f t="shared" si="161"/>
        <v>0</v>
      </c>
      <c r="X174" s="27">
        <f>IF(Y173=0,0,IF(Y173+1&gt;Z158,0,Y173+1))</f>
        <v>0</v>
      </c>
      <c r="Y174" s="27">
        <f t="shared" si="174"/>
        <v>0</v>
      </c>
      <c r="Z174" s="27">
        <f t="shared" si="162"/>
        <v>0</v>
      </c>
      <c r="AA174" s="27">
        <f>IF(AB173=0,0,IF(AB173+1&gt;AD158,0,AB173+1))</f>
        <v>0</v>
      </c>
      <c r="AB174" s="27">
        <f t="shared" si="163"/>
        <v>0</v>
      </c>
      <c r="AC174" s="27">
        <f t="shared" si="164"/>
        <v>0</v>
      </c>
      <c r="AD174" s="27">
        <f>IF(AE173=0,0,IF(AE173+1&gt;AF158,0,AE173+1))</f>
        <v>0</v>
      </c>
      <c r="AE174" s="27">
        <f t="shared" si="165"/>
        <v>0</v>
      </c>
      <c r="AF174" s="27">
        <f t="shared" si="166"/>
        <v>0</v>
      </c>
      <c r="AG174" s="61"/>
      <c r="AI174" s="27">
        <v>1</v>
      </c>
      <c r="AJ174" s="27">
        <f t="shared" ref="AJ174:AT175" si="177">+AI174+1</f>
        <v>2</v>
      </c>
      <c r="AK174" s="27">
        <f t="shared" si="177"/>
        <v>3</v>
      </c>
      <c r="AL174" s="27">
        <f t="shared" si="177"/>
        <v>4</v>
      </c>
      <c r="AM174" s="27">
        <f t="shared" si="177"/>
        <v>5</v>
      </c>
      <c r="AN174" s="27">
        <f t="shared" si="177"/>
        <v>6</v>
      </c>
      <c r="AO174" s="27">
        <f t="shared" si="177"/>
        <v>7</v>
      </c>
      <c r="AP174" s="27">
        <f t="shared" si="177"/>
        <v>8</v>
      </c>
      <c r="AQ174" s="27">
        <f t="shared" si="177"/>
        <v>9</v>
      </c>
      <c r="AR174" s="27">
        <f t="shared" si="177"/>
        <v>10</v>
      </c>
      <c r="AS174" s="27">
        <f t="shared" si="177"/>
        <v>11</v>
      </c>
      <c r="AT174" s="61">
        <f t="shared" si="177"/>
        <v>12</v>
      </c>
    </row>
    <row r="175" spans="2:46" s="27" customFormat="1" ht="11.25" hidden="1" x14ac:dyDescent="0.2">
      <c r="B175" s="60">
        <f t="shared" si="154"/>
        <v>16</v>
      </c>
      <c r="C175" s="27">
        <f>IF(D174=0,0,IF(D174+1&gt;L150,0,D174+1))</f>
        <v>0</v>
      </c>
      <c r="D175" s="27">
        <f>IF(C175=0,0,IF(C175+11&gt;L150,L150,C175+11))</f>
        <v>0</v>
      </c>
      <c r="E175" s="27">
        <f>IF(C175=0,0,-CUMPRINC(E150/12,M150*12,C150,C175,D175,0))</f>
        <v>0</v>
      </c>
      <c r="F175" s="27">
        <f>IF(G174=0,0,IF(G174+1&gt;K150,0,G174+1))</f>
        <v>0</v>
      </c>
      <c r="G175" s="27">
        <f t="shared" si="170"/>
        <v>0</v>
      </c>
      <c r="H175" s="27">
        <f t="shared" si="156"/>
        <v>0</v>
      </c>
      <c r="I175" s="27">
        <f>IF(J174=0,0,IF(J174+1&gt;L158,0,J174+1))</f>
        <v>0</v>
      </c>
      <c r="J175" s="27">
        <f>IF(I175=0,0,IF(I175+5&gt;L158,L158,I175+5))</f>
        <v>0</v>
      </c>
      <c r="K175" s="27">
        <f t="shared" si="157"/>
        <v>0</v>
      </c>
      <c r="L175" s="27">
        <f>IF(M174=0,0,IF(M174+1&gt;N158,0,M174+1))</f>
        <v>0</v>
      </c>
      <c r="M175" s="27">
        <f t="shared" si="171"/>
        <v>0</v>
      </c>
      <c r="N175" s="27">
        <f t="shared" si="158"/>
        <v>0</v>
      </c>
      <c r="O175" s="27">
        <f>IF(P174=0,0,IF(P174+1&gt;R158,0,P174+1))</f>
        <v>0</v>
      </c>
      <c r="P175" s="27">
        <f t="shared" si="176"/>
        <v>0</v>
      </c>
      <c r="Q175" s="60">
        <f t="shared" si="159"/>
        <v>0</v>
      </c>
      <c r="R175" s="27">
        <f>IF(S174=0,0,IF(S174+1&gt;T158,0,S174+1))</f>
        <v>0</v>
      </c>
      <c r="S175" s="27">
        <f t="shared" si="172"/>
        <v>0</v>
      </c>
      <c r="T175" s="27">
        <f t="shared" si="160"/>
        <v>0</v>
      </c>
      <c r="U175" s="27">
        <f>IF(V174=0,0,IF(V174+1&gt;X158,0,V174+1))</f>
        <v>0</v>
      </c>
      <c r="V175" s="27">
        <f t="shared" si="173"/>
        <v>0</v>
      </c>
      <c r="W175" s="27">
        <f t="shared" si="161"/>
        <v>0</v>
      </c>
      <c r="X175" s="27">
        <f>IF(Y174=0,0,IF(Y174+1&gt;Z158,0,Y174+1))</f>
        <v>0</v>
      </c>
      <c r="Y175" s="27">
        <f t="shared" si="174"/>
        <v>0</v>
      </c>
      <c r="Z175" s="27">
        <f t="shared" si="162"/>
        <v>0</v>
      </c>
      <c r="AA175" s="27">
        <f>IF(AB174=0,0,IF(AB174+1&gt;AD158,0,AB174+1))</f>
        <v>0</v>
      </c>
      <c r="AB175" s="27">
        <f t="shared" si="163"/>
        <v>0</v>
      </c>
      <c r="AC175" s="27">
        <f t="shared" si="164"/>
        <v>0</v>
      </c>
      <c r="AD175" s="27">
        <f>IF(AE174=0,0,IF(AE174+1&gt;AF158,0,AE174+1))</f>
        <v>0</v>
      </c>
      <c r="AE175" s="27">
        <f t="shared" si="165"/>
        <v>0</v>
      </c>
      <c r="AF175" s="27">
        <f t="shared" si="166"/>
        <v>0</v>
      </c>
      <c r="AG175" s="61"/>
      <c r="AH175" s="27" t="s">
        <v>12</v>
      </c>
      <c r="AI175" s="27">
        <f>D!$N$6</f>
        <v>2013</v>
      </c>
      <c r="AJ175" s="27">
        <f t="shared" si="177"/>
        <v>2014</v>
      </c>
      <c r="AK175" s="27">
        <f t="shared" si="177"/>
        <v>2015</v>
      </c>
      <c r="AL175" s="27">
        <f t="shared" si="177"/>
        <v>2016</v>
      </c>
      <c r="AM175" s="27">
        <f t="shared" si="177"/>
        <v>2017</v>
      </c>
      <c r="AN175" s="27">
        <f t="shared" si="177"/>
        <v>2018</v>
      </c>
      <c r="AO175" s="27">
        <f t="shared" si="177"/>
        <v>2019</v>
      </c>
      <c r="AP175" s="27">
        <f t="shared" si="177"/>
        <v>2020</v>
      </c>
      <c r="AQ175" s="27">
        <f t="shared" si="177"/>
        <v>2021</v>
      </c>
      <c r="AR175" s="27">
        <f t="shared" si="177"/>
        <v>2022</v>
      </c>
      <c r="AS175" s="27">
        <f t="shared" si="177"/>
        <v>2023</v>
      </c>
      <c r="AT175" s="61">
        <f t="shared" si="177"/>
        <v>2024</v>
      </c>
    </row>
    <row r="176" spans="2:46" s="27" customFormat="1" ht="11.25" hidden="1" x14ac:dyDescent="0.2">
      <c r="B176" s="60">
        <f t="shared" si="154"/>
        <v>17</v>
      </c>
      <c r="C176" s="27">
        <f>IF(D175=0,0,IF(D175+1&gt;L150,0,D175+1))</f>
        <v>0</v>
      </c>
      <c r="D176" s="27">
        <f>IF(C176=0,0,IF(C176+11&gt;L150,L150,C176+11))</f>
        <v>0</v>
      </c>
      <c r="E176" s="27">
        <f>IF(C176=0,0,-CUMPRINC(E150/12,M150*12,C150,C176,D176,0))</f>
        <v>0</v>
      </c>
      <c r="F176" s="27">
        <f>IF(G175=0,0,IF(G175+1&gt;K150,0,G175+1))</f>
        <v>0</v>
      </c>
      <c r="G176" s="27">
        <f t="shared" si="170"/>
        <v>0</v>
      </c>
      <c r="H176" s="27">
        <f t="shared" si="156"/>
        <v>0</v>
      </c>
      <c r="I176" s="27">
        <f>IF(J175=0,0,IF(J175+1&gt;L158,0,J175+1))</f>
        <v>0</v>
      </c>
      <c r="J176" s="27">
        <f>IF(I176=0,0,IF(I176+5&gt;L158,L158,I176+5))</f>
        <v>0</v>
      </c>
      <c r="K176" s="27">
        <f t="shared" si="157"/>
        <v>0</v>
      </c>
      <c r="L176" s="27">
        <f>IF(M175=0,0,IF(M175+1&gt;N158,0,M175+1))</f>
        <v>0</v>
      </c>
      <c r="M176" s="27">
        <f t="shared" si="171"/>
        <v>0</v>
      </c>
      <c r="N176" s="27">
        <f t="shared" si="158"/>
        <v>0</v>
      </c>
      <c r="O176" s="27">
        <f>IF(P175=0,0,IF(P175+1&gt;R158,0,P175+1))</f>
        <v>0</v>
      </c>
      <c r="P176" s="27">
        <f t="shared" si="176"/>
        <v>0</v>
      </c>
      <c r="Q176" s="60">
        <f t="shared" si="159"/>
        <v>0</v>
      </c>
      <c r="R176" s="27">
        <f>IF(S175=0,0,IF(S175+1&gt;T158,0,S175+1))</f>
        <v>0</v>
      </c>
      <c r="S176" s="27">
        <f t="shared" si="172"/>
        <v>0</v>
      </c>
      <c r="T176" s="27">
        <f t="shared" si="160"/>
        <v>0</v>
      </c>
      <c r="U176" s="27">
        <f>IF(V175=0,0,IF(V175+1&gt;X158,0,V175+1))</f>
        <v>0</v>
      </c>
      <c r="V176" s="27">
        <f t="shared" si="173"/>
        <v>0</v>
      </c>
      <c r="W176" s="27">
        <f t="shared" si="161"/>
        <v>0</v>
      </c>
      <c r="X176" s="27">
        <f>IF(Y175=0,0,IF(Y175+1&gt;Z158,0,Y175+1))</f>
        <v>0</v>
      </c>
      <c r="Y176" s="27">
        <f t="shared" si="174"/>
        <v>0</v>
      </c>
      <c r="Z176" s="27">
        <f t="shared" si="162"/>
        <v>0</v>
      </c>
      <c r="AA176" s="27">
        <f>IF(AB175=0,0,IF(AB175+1&gt;AD158,0,AB175+1))</f>
        <v>0</v>
      </c>
      <c r="AB176" s="27">
        <f t="shared" si="163"/>
        <v>0</v>
      </c>
      <c r="AC176" s="27">
        <f t="shared" si="164"/>
        <v>0</v>
      </c>
      <c r="AD176" s="27">
        <f>IF(AE175=0,0,IF(AE175+1&gt;AF158,0,AE175+1))</f>
        <v>0</v>
      </c>
      <c r="AE176" s="27">
        <f t="shared" si="165"/>
        <v>0</v>
      </c>
      <c r="AF176" s="27">
        <f t="shared" si="166"/>
        <v>0</v>
      </c>
      <c r="AG176" s="61"/>
      <c r="AH176" s="27" t="s">
        <v>7</v>
      </c>
      <c r="AI176" s="27">
        <f>+C150</f>
        <v>0</v>
      </c>
      <c r="AT176" s="61"/>
    </row>
    <row r="177" spans="2:46" s="27" customFormat="1" ht="11.25" hidden="1" x14ac:dyDescent="0.2">
      <c r="B177" s="60">
        <f t="shared" si="154"/>
        <v>18</v>
      </c>
      <c r="C177" s="27">
        <f>IF(D176=0,0,IF(D176+1&gt;L150,0,D176+1))</f>
        <v>0</v>
      </c>
      <c r="D177" s="27">
        <f>IF(C177=0,0,IF(C177+11&gt;L150,L150,C177+11))</f>
        <v>0</v>
      </c>
      <c r="E177" s="27">
        <f>IF(C177=0,0,-CUMPRINC(E150/12,M150*12,C150,C177,D177,0))</f>
        <v>0</v>
      </c>
      <c r="F177" s="27">
        <f>IF(G176=0,0,IF(G176+1&gt;K150,0,G176+1))</f>
        <v>0</v>
      </c>
      <c r="G177" s="27">
        <f t="shared" si="170"/>
        <v>0</v>
      </c>
      <c r="H177" s="27">
        <f t="shared" si="156"/>
        <v>0</v>
      </c>
      <c r="I177" s="27">
        <f>IF(J176=0,0,IF(J176+1&gt;L158,0,J176+1))</f>
        <v>0</v>
      </c>
      <c r="J177" s="27">
        <f>IF(I177=0,0,IF(I177+5&gt;L158,L158,I177+5))</f>
        <v>0</v>
      </c>
      <c r="K177" s="27">
        <f t="shared" si="157"/>
        <v>0</v>
      </c>
      <c r="L177" s="27">
        <f>IF(M176=0,0,IF(M176+1&gt;N158,0,M176+1))</f>
        <v>0</v>
      </c>
      <c r="M177" s="27">
        <f t="shared" si="171"/>
        <v>0</v>
      </c>
      <c r="N177" s="27">
        <f t="shared" si="158"/>
        <v>0</v>
      </c>
      <c r="O177" s="27">
        <f>IF(P176=0,0,IF(P176+1&gt;R158,0,P176+1))</f>
        <v>0</v>
      </c>
      <c r="P177" s="27">
        <f t="shared" si="176"/>
        <v>0</v>
      </c>
      <c r="Q177" s="60">
        <f t="shared" si="159"/>
        <v>0</v>
      </c>
      <c r="R177" s="27">
        <f>IF(S176=0,0,IF(S176+1&gt;T158,0,S176+1))</f>
        <v>0</v>
      </c>
      <c r="S177" s="27">
        <f t="shared" si="172"/>
        <v>0</v>
      </c>
      <c r="T177" s="27">
        <f t="shared" si="160"/>
        <v>0</v>
      </c>
      <c r="U177" s="27">
        <f>IF(V176=0,0,IF(V176+1&gt;X158,0,V176+1))</f>
        <v>0</v>
      </c>
      <c r="V177" s="27">
        <f t="shared" si="173"/>
        <v>0</v>
      </c>
      <c r="W177" s="27">
        <f t="shared" si="161"/>
        <v>0</v>
      </c>
      <c r="X177" s="27">
        <f>IF(Y176=0,0,IF(Y176+1&gt;Z158,0,Y176+1))</f>
        <v>0</v>
      </c>
      <c r="Y177" s="27">
        <f t="shared" si="174"/>
        <v>0</v>
      </c>
      <c r="Z177" s="27">
        <f t="shared" si="162"/>
        <v>0</v>
      </c>
      <c r="AA177" s="27">
        <f>IF(AB176=0,0,IF(AB176+1&gt;AD158,0,AB176+1))</f>
        <v>0</v>
      </c>
      <c r="AB177" s="27">
        <f t="shared" si="163"/>
        <v>0</v>
      </c>
      <c r="AC177" s="27">
        <f t="shared" si="164"/>
        <v>0</v>
      </c>
      <c r="AD177" s="27">
        <f>IF(AE176=0,0,IF(AE176+1&gt;AF158,0,AE176+1))</f>
        <v>0</v>
      </c>
      <c r="AE177" s="27">
        <f t="shared" si="165"/>
        <v>0</v>
      </c>
      <c r="AF177" s="27">
        <f t="shared" si="166"/>
        <v>0</v>
      </c>
      <c r="AG177" s="61"/>
      <c r="AH177" s="27" t="s">
        <v>1530</v>
      </c>
      <c r="AT177" s="61"/>
    </row>
    <row r="178" spans="2:46" s="27" customFormat="1" ht="11.25" hidden="1" x14ac:dyDescent="0.2">
      <c r="B178" s="60">
        <f t="shared" si="154"/>
        <v>19</v>
      </c>
      <c r="C178" s="27">
        <f>IF(D177=0,0,IF(D177+1&gt;L150,0,D177+1))</f>
        <v>0</v>
      </c>
      <c r="D178" s="27">
        <f>IF(C178=0,0,IF(C178+11&gt;L150,L150,C178+11))</f>
        <v>0</v>
      </c>
      <c r="E178" s="27">
        <f>IF(C178=0,0,-CUMPRINC(E150/12,M150*12,C150,C178,D178,0))</f>
        <v>0</v>
      </c>
      <c r="F178" s="27">
        <f>IF(G177=0,0,IF(G177+1&gt;K150,0,G177+1))</f>
        <v>0</v>
      </c>
      <c r="G178" s="27">
        <f t="shared" si="170"/>
        <v>0</v>
      </c>
      <c r="H178" s="27">
        <f t="shared" si="156"/>
        <v>0</v>
      </c>
      <c r="I178" s="27">
        <f>IF(J177=0,0,IF(J177+1&gt;L158,0,J177+1))</f>
        <v>0</v>
      </c>
      <c r="J178" s="27">
        <f>IF(I178=0,0,IF(I178+5&gt;L158,L158,I178+5))</f>
        <v>0</v>
      </c>
      <c r="K178" s="27">
        <f t="shared" si="157"/>
        <v>0</v>
      </c>
      <c r="L178" s="27">
        <f>IF(M177=0,0,IF(M177+1&gt;N158,0,M177+1))</f>
        <v>0</v>
      </c>
      <c r="M178" s="27">
        <f t="shared" si="171"/>
        <v>0</v>
      </c>
      <c r="N178" s="27">
        <f t="shared" si="158"/>
        <v>0</v>
      </c>
      <c r="O178" s="27">
        <f>IF(P177=0,0,IF(P177+1&gt;R158,0,P177+1))</f>
        <v>0</v>
      </c>
      <c r="P178" s="27">
        <f t="shared" si="176"/>
        <v>0</v>
      </c>
      <c r="Q178" s="60">
        <f t="shared" si="159"/>
        <v>0</v>
      </c>
      <c r="R178" s="27">
        <f>IF(S177=0,0,IF(S177+1&gt;T158,0,S177+1))</f>
        <v>0</v>
      </c>
      <c r="S178" s="27">
        <f t="shared" si="172"/>
        <v>0</v>
      </c>
      <c r="T178" s="27">
        <f t="shared" si="160"/>
        <v>0</v>
      </c>
      <c r="U178" s="27">
        <f>IF(V177=0,0,IF(V177+1&gt;X158,0,V177+1))</f>
        <v>0</v>
      </c>
      <c r="V178" s="27">
        <f t="shared" si="173"/>
        <v>0</v>
      </c>
      <c r="W178" s="27">
        <f t="shared" si="161"/>
        <v>0</v>
      </c>
      <c r="X178" s="27">
        <f>IF(Y177=0,0,IF(Y177+1&gt;Z158,0,Y177+1))</f>
        <v>0</v>
      </c>
      <c r="Y178" s="27">
        <f t="shared" si="174"/>
        <v>0</v>
      </c>
      <c r="Z178" s="27">
        <f t="shared" si="162"/>
        <v>0</v>
      </c>
      <c r="AA178" s="27">
        <f>IF(AB177=0,0,IF(AB177+1&gt;AD158,0,AB177+1))</f>
        <v>0</v>
      </c>
      <c r="AB178" s="27">
        <f t="shared" si="163"/>
        <v>0</v>
      </c>
      <c r="AC178" s="27">
        <f t="shared" si="164"/>
        <v>0</v>
      </c>
      <c r="AD178" s="27">
        <f>IF(AE177=0,0,IF(AE177+1&gt;AF158,0,AE177+1))</f>
        <v>0</v>
      </c>
      <c r="AE178" s="27">
        <f t="shared" si="165"/>
        <v>0</v>
      </c>
      <c r="AF178" s="27">
        <f t="shared" si="166"/>
        <v>0</v>
      </c>
      <c r="AG178" s="61"/>
      <c r="AH178" s="27" t="s">
        <v>8</v>
      </c>
      <c r="AI178" s="27">
        <f>SUMIF($P150:$P154,$AH156,Q150:Q154)</f>
        <v>0</v>
      </c>
      <c r="AJ178" s="27">
        <f>SUMIF($P150:$P154,$AH156,S150:S154)</f>
        <v>0</v>
      </c>
      <c r="AK178" s="27">
        <f>SUMIF($P150:$P154,$AH156,U150:U154)</f>
        <v>0</v>
      </c>
      <c r="AL178" s="27">
        <f>SUMIF($P150:$P154,$AH156,W150:W154)</f>
        <v>0</v>
      </c>
      <c r="AM178" s="27">
        <f>SUMIF($P150:$P154,$AH156,Y150:Y154)</f>
        <v>0</v>
      </c>
      <c r="AT178" s="61"/>
    </row>
    <row r="179" spans="2:46" s="27" customFormat="1" ht="11.25" hidden="1" x14ac:dyDescent="0.2">
      <c r="B179" s="60">
        <f t="shared" si="154"/>
        <v>20</v>
      </c>
      <c r="C179" s="27">
        <f>IF(D178=0,0,IF(D178+1&gt;L150,0,D178+1))</f>
        <v>0</v>
      </c>
      <c r="D179" s="27">
        <f>IF(C179=0,0,IF(C179+11&gt;L150,L150,C179+11))</f>
        <v>0</v>
      </c>
      <c r="E179" s="27">
        <f>IF(C179=0,0,-CUMPRINC(E150/12,M150*12,C150,C179,D179,0))</f>
        <v>0</v>
      </c>
      <c r="F179" s="27">
        <f>IF(G178=0,0,IF(G178+1&gt;K150,0,G178+1))</f>
        <v>0</v>
      </c>
      <c r="G179" s="27">
        <f t="shared" si="170"/>
        <v>0</v>
      </c>
      <c r="H179" s="27">
        <f t="shared" si="156"/>
        <v>0</v>
      </c>
      <c r="I179" s="27">
        <f>IF(J178=0,0,IF(J178+1&gt;L158,0,J178+1))</f>
        <v>0</v>
      </c>
      <c r="J179" s="27">
        <f>IF(I179=0,0,IF(I179+5&gt;L158,L158,I179+5))</f>
        <v>0</v>
      </c>
      <c r="K179" s="27">
        <f t="shared" si="157"/>
        <v>0</v>
      </c>
      <c r="L179" s="27">
        <f>IF(M178=0,0,IF(M178+1&gt;N158,0,M178+1))</f>
        <v>0</v>
      </c>
      <c r="M179" s="27">
        <f t="shared" si="171"/>
        <v>0</v>
      </c>
      <c r="N179" s="27">
        <f t="shared" si="158"/>
        <v>0</v>
      </c>
      <c r="O179" s="27">
        <f>IF(P178=0,0,IF(P178+1&gt;R158,0,P178+1))</f>
        <v>0</v>
      </c>
      <c r="P179" s="27">
        <f t="shared" si="176"/>
        <v>0</v>
      </c>
      <c r="Q179" s="60">
        <f t="shared" si="159"/>
        <v>0</v>
      </c>
      <c r="R179" s="27">
        <f>IF(S178=0,0,IF(S178+1&gt;T158,0,S178+1))</f>
        <v>0</v>
      </c>
      <c r="S179" s="27">
        <f t="shared" si="172"/>
        <v>0</v>
      </c>
      <c r="T179" s="27">
        <f t="shared" si="160"/>
        <v>0</v>
      </c>
      <c r="U179" s="27">
        <f>IF(V178=0,0,IF(V178+1&gt;X158,0,V178+1))</f>
        <v>0</v>
      </c>
      <c r="V179" s="27">
        <f t="shared" si="173"/>
        <v>0</v>
      </c>
      <c r="W179" s="27">
        <f t="shared" si="161"/>
        <v>0</v>
      </c>
      <c r="X179" s="27">
        <f>IF(Y178=0,0,IF(Y178+1&gt;Z158,0,Y178+1))</f>
        <v>0</v>
      </c>
      <c r="Y179" s="27">
        <f t="shared" si="174"/>
        <v>0</v>
      </c>
      <c r="Z179" s="27">
        <f t="shared" si="162"/>
        <v>0</v>
      </c>
      <c r="AA179" s="27">
        <f>IF(AB178=0,0,IF(AB178+1&gt;AD158,0,AB178+1))</f>
        <v>0</v>
      </c>
      <c r="AB179" s="27">
        <f t="shared" si="163"/>
        <v>0</v>
      </c>
      <c r="AC179" s="27">
        <f t="shared" si="164"/>
        <v>0</v>
      </c>
      <c r="AD179" s="27">
        <f>IF(AE178=0,0,IF(AE178+1&gt;AF158,0,AE178+1))</f>
        <v>0</v>
      </c>
      <c r="AE179" s="27">
        <f t="shared" si="165"/>
        <v>0</v>
      </c>
      <c r="AF179" s="27">
        <f t="shared" si="166"/>
        <v>0</v>
      </c>
      <c r="AG179" s="61"/>
      <c r="AH179" s="27" t="s">
        <v>9</v>
      </c>
      <c r="AI179" s="27">
        <f>SUMIF($P150:$P154,$AH156,R150:R154)</f>
        <v>0</v>
      </c>
      <c r="AJ179" s="27">
        <f>SUMIF($P150:$P154,$AH156,T150:T154)</f>
        <v>0</v>
      </c>
      <c r="AK179" s="27">
        <f>SUMIF($P150:$P154,$AH156,V150:V154)</f>
        <v>0</v>
      </c>
      <c r="AL179" s="27">
        <f>SUMIF($P150:$P154,$AH156,X150:X154)</f>
        <v>0</v>
      </c>
      <c r="AM179" s="27">
        <f>SUMIF($P150:$P154,$AH156,Z150:Z154)</f>
        <v>0</v>
      </c>
      <c r="AT179" s="61"/>
    </row>
    <row r="180" spans="2:46" s="27" customFormat="1" ht="11.25" hidden="1" x14ac:dyDescent="0.2">
      <c r="B180" s="60">
        <v>21</v>
      </c>
      <c r="C180" s="27">
        <f>IF(D179=0,0,IF(D179+1&gt;L150,0,D179+1))</f>
        <v>0</v>
      </c>
      <c r="D180" s="27">
        <f>IF(C180=0,0,IF(C180+11&gt;L150,L150,C180+11))</f>
        <v>0</v>
      </c>
      <c r="E180" s="27">
        <f>IF(C180=0,0,-CUMPRINC(E150/12,M150*12,C150,C180,D180,0))</f>
        <v>0</v>
      </c>
      <c r="F180" s="27">
        <f>IF(G179=0,0,IF(G179+1&gt;K150,0,G179+1))</f>
        <v>0</v>
      </c>
      <c r="G180" s="27">
        <f t="shared" si="170"/>
        <v>0</v>
      </c>
      <c r="H180" s="27">
        <f t="shared" si="156"/>
        <v>0</v>
      </c>
      <c r="I180" s="27">
        <f>IF(J179=0,0,IF(J179+1&gt;L158,0,J179+1))</f>
        <v>0</v>
      </c>
      <c r="J180" s="27">
        <f>IF(I180=0,0,IF(I180+5&gt;L158,L158,I180+5))</f>
        <v>0</v>
      </c>
      <c r="K180" s="27">
        <f t="shared" si="157"/>
        <v>0</v>
      </c>
      <c r="L180" s="27">
        <f>IF(M179=0,0,IF(M179+1&gt;N158,0,M179+1))</f>
        <v>0</v>
      </c>
      <c r="M180" s="27">
        <f t="shared" si="171"/>
        <v>0</v>
      </c>
      <c r="N180" s="27">
        <f t="shared" si="158"/>
        <v>0</v>
      </c>
      <c r="O180" s="27">
        <f>IF(P179=0,0,IF(P179+1&gt;R158,0,P179+1))</f>
        <v>0</v>
      </c>
      <c r="P180" s="27">
        <f t="shared" si="176"/>
        <v>0</v>
      </c>
      <c r="Q180" s="60">
        <f t="shared" si="159"/>
        <v>0</v>
      </c>
      <c r="R180" s="27">
        <f>IF(S179=0,0,IF(S179+1&gt;T158,0,S179+1))</f>
        <v>0</v>
      </c>
      <c r="S180" s="27">
        <f t="shared" si="172"/>
        <v>0</v>
      </c>
      <c r="T180" s="27">
        <f t="shared" si="160"/>
        <v>0</v>
      </c>
      <c r="U180" s="27">
        <f>IF(V179=0,0,IF(V179+1&gt;X158,0,V179+1))</f>
        <v>0</v>
      </c>
      <c r="V180" s="27">
        <f t="shared" si="173"/>
        <v>0</v>
      </c>
      <c r="W180" s="27">
        <f t="shared" si="161"/>
        <v>0</v>
      </c>
      <c r="X180" s="27">
        <f>IF(Y179=0,0,IF(Y179+1&gt;Z158,0,Y179+1))</f>
        <v>0</v>
      </c>
      <c r="Y180" s="27">
        <f t="shared" si="174"/>
        <v>0</v>
      </c>
      <c r="Z180" s="27">
        <f t="shared" si="162"/>
        <v>0</v>
      </c>
      <c r="AA180" s="27">
        <f>IF(AB179=0,0,IF(AB179+1&gt;AD158,0,AB179+1))</f>
        <v>0</v>
      </c>
      <c r="AB180" s="27">
        <f t="shared" si="163"/>
        <v>0</v>
      </c>
      <c r="AC180" s="27">
        <f t="shared" si="164"/>
        <v>0</v>
      </c>
      <c r="AD180" s="27">
        <f>IF(AE179=0,0,IF(AE179+1&gt;AF158,0,AE179+1))</f>
        <v>0</v>
      </c>
      <c r="AE180" s="27">
        <f t="shared" si="165"/>
        <v>0</v>
      </c>
      <c r="AF180" s="27">
        <f t="shared" si="166"/>
        <v>0</v>
      </c>
      <c r="AG180" s="61"/>
      <c r="AH180" s="27" t="s">
        <v>958</v>
      </c>
      <c r="AI180" s="27">
        <f>+AI179+AI178</f>
        <v>0</v>
      </c>
      <c r="AJ180" s="27">
        <f>+AJ179+AJ178</f>
        <v>0</v>
      </c>
      <c r="AK180" s="27">
        <f>+AK179+AK178</f>
        <v>0</v>
      </c>
      <c r="AL180" s="27">
        <f>+AL179+AL178</f>
        <v>0</v>
      </c>
      <c r="AM180" s="27">
        <f>+AM179+AM178</f>
        <v>0</v>
      </c>
      <c r="AT180" s="61"/>
    </row>
    <row r="181" spans="2:46" s="27" customFormat="1" ht="11.25" hidden="1" x14ac:dyDescent="0.2">
      <c r="B181" s="60">
        <v>21</v>
      </c>
      <c r="C181" s="27">
        <f>IF(D180=0,0,IF(D180+1&gt;L150,0,D180+1))</f>
        <v>0</v>
      </c>
      <c r="D181" s="27">
        <f>IF(C181=0,0,IF(C181+11&gt;L150,L150,C181+11))</f>
        <v>0</v>
      </c>
      <c r="E181" s="27">
        <f>IF(C181=0,0,-CUMPRINC(E150/12,M150*12,C150,C181,D181,0))</f>
        <v>0</v>
      </c>
      <c r="F181" s="27">
        <f>IF(G180=0,0,IF(G180+1&gt;K150,0,G180+1))</f>
        <v>0</v>
      </c>
      <c r="G181" s="27">
        <f t="shared" si="170"/>
        <v>0</v>
      </c>
      <c r="H181" s="27">
        <f t="shared" si="156"/>
        <v>0</v>
      </c>
      <c r="I181" s="27">
        <f>IF(J180=0,0,IF(J180+1&gt;L158,0,J180+1))</f>
        <v>0</v>
      </c>
      <c r="J181" s="27">
        <f>IF(I181=0,0,IF(I181+5&gt;L158,L158,I181+5))</f>
        <v>0</v>
      </c>
      <c r="K181" s="27">
        <f t="shared" si="157"/>
        <v>0</v>
      </c>
      <c r="L181" s="27">
        <f>IF(M180=0,0,IF(M180+1&gt;N158,0,M180+1))</f>
        <v>0</v>
      </c>
      <c r="M181" s="27">
        <f t="shared" si="171"/>
        <v>0</v>
      </c>
      <c r="N181" s="27">
        <f t="shared" si="158"/>
        <v>0</v>
      </c>
      <c r="O181" s="27">
        <f>IF(P180=0,0,IF(P180+1&gt;R158,0,P180+1))</f>
        <v>0</v>
      </c>
      <c r="P181" s="27">
        <f>IF(O181=0,0,IF(O181+3&gt;R$158,R$158,O181+3))</f>
        <v>0</v>
      </c>
      <c r="Q181" s="60">
        <f t="shared" si="159"/>
        <v>0</v>
      </c>
      <c r="R181" s="27">
        <f>IF(S180=0,0,IF(S180+1&gt;T158,0,S180+1))</f>
        <v>0</v>
      </c>
      <c r="S181" s="27">
        <f t="shared" si="172"/>
        <v>0</v>
      </c>
      <c r="T181" s="27">
        <f t="shared" si="160"/>
        <v>0</v>
      </c>
      <c r="U181" s="27">
        <f>IF(V180=0,0,IF(V180+1&gt;X158,0,V180+1))</f>
        <v>0</v>
      </c>
      <c r="V181" s="27">
        <f t="shared" si="173"/>
        <v>0</v>
      </c>
      <c r="W181" s="27">
        <f t="shared" si="161"/>
        <v>0</v>
      </c>
      <c r="X181" s="27">
        <f>IF(Y180=0,0,IF(Y180+1&gt;Z158,0,Y180+1))</f>
        <v>0</v>
      </c>
      <c r="Y181" s="27">
        <f t="shared" si="174"/>
        <v>0</v>
      </c>
      <c r="Z181" s="27">
        <f t="shared" si="162"/>
        <v>0</v>
      </c>
      <c r="AA181" s="27">
        <f>IF(AB180=0,0,IF(AB180+1&gt;AD158,0,AB180+1))</f>
        <v>0</v>
      </c>
      <c r="AB181" s="27">
        <f t="shared" si="163"/>
        <v>0</v>
      </c>
      <c r="AC181" s="27">
        <f t="shared" si="164"/>
        <v>0</v>
      </c>
      <c r="AD181" s="27">
        <f>IF(AE180=0,0,IF(AE180+1&gt;AF158,0,AE180+1))</f>
        <v>0</v>
      </c>
      <c r="AE181" s="27">
        <f t="shared" si="165"/>
        <v>0</v>
      </c>
      <c r="AF181" s="27">
        <f t="shared" si="166"/>
        <v>0</v>
      </c>
      <c r="AG181" s="61"/>
      <c r="AH181" s="27" t="s">
        <v>10</v>
      </c>
      <c r="AI181" s="27">
        <f>+C150</f>
        <v>0</v>
      </c>
      <c r="AT181" s="61"/>
    </row>
    <row r="182" spans="2:46" s="27" customFormat="1" ht="11.25" hidden="1" x14ac:dyDescent="0.2">
      <c r="B182" s="60"/>
      <c r="C182" s="27" t="s">
        <v>1559</v>
      </c>
      <c r="D182" s="27">
        <f>IF(G160=0,0,(H160+E160)/G160)</f>
        <v>0</v>
      </c>
      <c r="E182" s="27">
        <f>SUM(E160:E181)</f>
        <v>0</v>
      </c>
      <c r="H182" s="27">
        <f>SUM(H160:H181)</f>
        <v>0</v>
      </c>
      <c r="I182" s="27" t="s">
        <v>1559</v>
      </c>
      <c r="J182" s="27">
        <f>IF(M160=0,0,(N160+K160)/M160)</f>
        <v>0</v>
      </c>
      <c r="K182" s="27">
        <f>SUM(K160:K181)</f>
        <v>0</v>
      </c>
      <c r="N182" s="27">
        <f>SUM(N160:N181)</f>
        <v>0</v>
      </c>
      <c r="O182" s="27" t="s">
        <v>1559</v>
      </c>
      <c r="P182" s="27">
        <f>IF(S160=0,0,(T160+Q160)/S160)</f>
        <v>0</v>
      </c>
      <c r="Q182" s="60">
        <f>SUM(Q160:Q181)</f>
        <v>0</v>
      </c>
      <c r="T182" s="27">
        <f>SUM(T160:T181)</f>
        <v>0</v>
      </c>
      <c r="U182" s="27" t="s">
        <v>1559</v>
      </c>
      <c r="V182" s="27">
        <f>IF(Y160=0,0,(Z160+W160)/Y160)</f>
        <v>0</v>
      </c>
      <c r="W182" s="27">
        <f>SUM(W160:W181)</f>
        <v>0</v>
      </c>
      <c r="Z182" s="27">
        <f>SUM(Z160:Z181)</f>
        <v>0</v>
      </c>
      <c r="AA182" s="27" t="s">
        <v>1559</v>
      </c>
      <c r="AB182" s="27">
        <f>IF(AE160=0,0,(AF160+AC160)/AE160)</f>
        <v>0</v>
      </c>
      <c r="AC182" s="27">
        <f>SUM(AC160:AC181)</f>
        <v>0</v>
      </c>
      <c r="AF182" s="27">
        <f>SUM(AF160:AF181)</f>
        <v>0</v>
      </c>
      <c r="AG182" s="61"/>
      <c r="AH182" s="27" t="s">
        <v>11</v>
      </c>
      <c r="AI182" s="27">
        <f>+AI181-AI178</f>
        <v>0</v>
      </c>
      <c r="AJ182" s="27">
        <f>+AI182-AJ178</f>
        <v>0</v>
      </c>
      <c r="AK182" s="27">
        <f>+AJ182-AK178</f>
        <v>0</v>
      </c>
      <c r="AL182" s="27">
        <f>+AK182-AL178</f>
        <v>0</v>
      </c>
      <c r="AM182" s="27">
        <f>+AL182-AM178</f>
        <v>0</v>
      </c>
      <c r="AT182" s="61"/>
    </row>
    <row r="183" spans="2:46" s="27" customFormat="1" ht="11.25" hidden="1" x14ac:dyDescent="0.2">
      <c r="B183" s="65"/>
      <c r="C183" s="66"/>
      <c r="D183" s="66"/>
      <c r="E183" s="66"/>
      <c r="F183" s="66"/>
      <c r="G183" s="66"/>
      <c r="H183" s="66"/>
      <c r="I183" s="66"/>
      <c r="J183" s="66"/>
      <c r="K183" s="66"/>
      <c r="L183" s="66"/>
      <c r="M183" s="66"/>
      <c r="N183" s="66"/>
      <c r="O183" s="66"/>
      <c r="P183" s="66"/>
      <c r="Q183" s="65"/>
      <c r="R183" s="66"/>
      <c r="S183" s="66"/>
      <c r="T183" s="66"/>
      <c r="U183" s="66"/>
      <c r="V183" s="66"/>
      <c r="W183" s="66"/>
      <c r="X183" s="66"/>
      <c r="Y183" s="66"/>
      <c r="Z183" s="66"/>
      <c r="AA183" s="66"/>
      <c r="AB183" s="66"/>
      <c r="AC183" s="66"/>
      <c r="AD183" s="66"/>
      <c r="AE183" s="66"/>
      <c r="AF183" s="66"/>
      <c r="AG183" s="67"/>
      <c r="AH183" s="66" t="s">
        <v>946</v>
      </c>
      <c r="AI183" s="66">
        <f>IF(AI176=0,0,$G150)</f>
        <v>0</v>
      </c>
      <c r="AJ183" s="66">
        <f>IF(AJ176=0,0,$G150)</f>
        <v>0</v>
      </c>
      <c r="AK183" s="66">
        <f>IF(AK176=0,0,$G150)</f>
        <v>0</v>
      </c>
      <c r="AL183" s="66">
        <f>IF(AL176=0,0,$G150)</f>
        <v>0</v>
      </c>
      <c r="AM183" s="66">
        <f>IF(AM176=0,0,$G150)</f>
        <v>0</v>
      </c>
      <c r="AN183" s="66"/>
      <c r="AO183" s="66"/>
      <c r="AP183" s="66"/>
      <c r="AQ183" s="66"/>
      <c r="AR183" s="66"/>
      <c r="AS183" s="66"/>
      <c r="AT183" s="67"/>
    </row>
    <row r="184" spans="2:46" s="27" customFormat="1" ht="11.25" hidden="1" x14ac:dyDescent="0.2">
      <c r="B184" s="27" t="s">
        <v>393</v>
      </c>
      <c r="Q184" s="60"/>
      <c r="AG184" s="61"/>
      <c r="AT184" s="61"/>
    </row>
    <row r="185" spans="2:46" s="27" customFormat="1" ht="11.25" hidden="1" x14ac:dyDescent="0.2">
      <c r="B185" s="62"/>
      <c r="C185" s="63"/>
      <c r="D185" s="63"/>
      <c r="E185" s="63"/>
      <c r="F185" s="63"/>
      <c r="G185" s="63"/>
      <c r="H185" s="63"/>
      <c r="I185" s="63"/>
      <c r="J185" s="63"/>
      <c r="K185" s="63"/>
      <c r="L185" s="63"/>
      <c r="M185" s="63"/>
      <c r="N185" s="63"/>
      <c r="O185" s="63"/>
      <c r="P185" s="63"/>
      <c r="Q185" s="62"/>
      <c r="R185" s="63"/>
      <c r="S185" s="63"/>
      <c r="T185" s="63"/>
      <c r="U185" s="63"/>
      <c r="V185" s="63"/>
      <c r="W185" s="63"/>
      <c r="X185" s="63"/>
      <c r="Y185" s="63"/>
      <c r="Z185" s="63"/>
      <c r="AA185" s="63"/>
      <c r="AB185" s="63"/>
      <c r="AC185" s="63"/>
      <c r="AD185" s="63"/>
      <c r="AE185" s="63"/>
      <c r="AF185" s="63"/>
      <c r="AG185" s="64"/>
      <c r="AH185" s="63"/>
      <c r="AI185" s="63"/>
      <c r="AJ185" s="63"/>
      <c r="AK185" s="63"/>
      <c r="AL185" s="63"/>
      <c r="AM185" s="63"/>
      <c r="AN185" s="63"/>
      <c r="AO185" s="63"/>
      <c r="AP185" s="63"/>
      <c r="AQ185" s="63"/>
      <c r="AR185" s="63"/>
      <c r="AS185" s="63"/>
      <c r="AT185" s="64"/>
    </row>
    <row r="186" spans="2:46" s="27" customFormat="1" ht="11.25" hidden="1" x14ac:dyDescent="0.2">
      <c r="B186" s="60"/>
      <c r="Q186" s="60"/>
      <c r="AG186" s="61"/>
      <c r="AT186" s="61"/>
    </row>
    <row r="187" spans="2:46" s="27" customFormat="1" ht="11.25" hidden="1" x14ac:dyDescent="0.2">
      <c r="B187" s="60"/>
      <c r="Q187" s="60"/>
      <c r="AG187" s="61"/>
      <c r="AT187" s="61"/>
    </row>
    <row r="188" spans="2:46" s="27" customFormat="1" ht="11.25" hidden="1" x14ac:dyDescent="0.2">
      <c r="B188" s="60"/>
      <c r="Q188" s="60"/>
      <c r="AG188" s="61"/>
      <c r="AT188" s="61"/>
    </row>
    <row r="189" spans="2:46" s="27" customFormat="1" ht="11.25" hidden="1" x14ac:dyDescent="0.2">
      <c r="B189" s="60"/>
      <c r="Q189" s="60"/>
      <c r="AG189" s="61"/>
      <c r="AT189" s="61"/>
    </row>
    <row r="190" spans="2:46" s="27" customFormat="1" ht="11.25" hidden="1" x14ac:dyDescent="0.2">
      <c r="B190" s="60"/>
      <c r="Q190" s="60"/>
      <c r="AG190" s="61"/>
      <c r="AT190" s="61"/>
    </row>
    <row r="191" spans="2:46" s="27" customFormat="1" ht="11.25" hidden="1" x14ac:dyDescent="0.2">
      <c r="B191" s="60"/>
      <c r="Q191" s="60"/>
      <c r="AG191" s="61"/>
      <c r="AT191" s="61"/>
    </row>
    <row r="192" spans="2:46" s="27" customFormat="1" ht="11.25" hidden="1" x14ac:dyDescent="0.2">
      <c r="B192" s="60"/>
      <c r="Q192" s="60"/>
      <c r="AG192" s="61"/>
      <c r="AT192" s="61"/>
    </row>
    <row r="193" spans="2:46" s="27" customFormat="1" ht="11.25" hidden="1" x14ac:dyDescent="0.2">
      <c r="B193" s="60"/>
      <c r="Q193" s="60"/>
      <c r="AG193" s="61"/>
      <c r="AT193" s="61"/>
    </row>
    <row r="194" spans="2:46" s="27" customFormat="1" ht="11.25" hidden="1" x14ac:dyDescent="0.2">
      <c r="B194" s="60"/>
      <c r="Q194" s="60"/>
      <c r="AG194" s="61"/>
      <c r="AT194" s="61"/>
    </row>
    <row r="195" spans="2:46" s="27" customFormat="1" ht="11.25" hidden="1" x14ac:dyDescent="0.2">
      <c r="B195" s="60"/>
      <c r="Q195" s="60"/>
      <c r="AG195" s="61"/>
      <c r="AT195" s="61"/>
    </row>
    <row r="196" spans="2:46" s="27" customFormat="1" ht="11.25" hidden="1" x14ac:dyDescent="0.2">
      <c r="B196" s="60"/>
      <c r="Q196" s="60"/>
      <c r="AG196" s="61"/>
      <c r="AT196" s="61"/>
    </row>
    <row r="197" spans="2:46" s="27" customFormat="1" ht="11.25" hidden="1" x14ac:dyDescent="0.2">
      <c r="B197" s="60"/>
      <c r="Q197" s="60"/>
      <c r="AG197" s="61"/>
      <c r="AT197" s="61"/>
    </row>
    <row r="198" spans="2:46" s="27" customFormat="1" ht="11.25" hidden="1" x14ac:dyDescent="0.2">
      <c r="B198" s="60"/>
      <c r="Q198" s="60"/>
      <c r="AG198" s="61"/>
      <c r="AT198" s="61"/>
    </row>
    <row r="199" spans="2:46" s="27" customFormat="1" ht="11.25" hidden="1" x14ac:dyDescent="0.2">
      <c r="B199" s="60"/>
      <c r="Q199" s="60"/>
      <c r="AG199" s="61"/>
      <c r="AT199" s="61"/>
    </row>
    <row r="200" spans="2:46" s="27" customFormat="1" ht="11.25" hidden="1" x14ac:dyDescent="0.2">
      <c r="B200" s="60"/>
      <c r="Q200" s="60"/>
      <c r="AG200" s="61"/>
      <c r="AT200" s="61"/>
    </row>
    <row r="201" spans="2:46" s="27" customFormat="1" ht="11.25" hidden="1" x14ac:dyDescent="0.2">
      <c r="B201" s="60"/>
      <c r="Q201" s="60"/>
      <c r="AG201" s="61"/>
      <c r="AT201" s="61"/>
    </row>
    <row r="202" spans="2:46" s="27" customFormat="1" ht="11.25" hidden="1" x14ac:dyDescent="0.2">
      <c r="B202" s="60"/>
      <c r="Q202" s="60"/>
      <c r="AG202" s="61"/>
      <c r="AT202" s="61"/>
    </row>
    <row r="203" spans="2:46" s="27" customFormat="1" ht="11.25" hidden="1" x14ac:dyDescent="0.2">
      <c r="B203" s="60"/>
      <c r="Q203" s="60"/>
      <c r="AG203" s="61"/>
      <c r="AT203" s="61"/>
    </row>
    <row r="204" spans="2:46" s="27" customFormat="1" ht="11.25" hidden="1" x14ac:dyDescent="0.2">
      <c r="B204" s="60"/>
      <c r="Q204" s="60"/>
      <c r="AG204" s="61"/>
      <c r="AT204" s="61"/>
    </row>
    <row r="205" spans="2:46" s="27" customFormat="1" ht="11.25" hidden="1" x14ac:dyDescent="0.2">
      <c r="B205" s="60"/>
      <c r="Q205" s="60"/>
      <c r="AG205" s="61"/>
      <c r="AT205" s="61"/>
    </row>
    <row r="206" spans="2:46" s="27" customFormat="1" ht="11.25" hidden="1" x14ac:dyDescent="0.2">
      <c r="B206" s="60"/>
      <c r="Q206" s="60"/>
      <c r="AG206" s="61"/>
      <c r="AT206" s="61"/>
    </row>
    <row r="207" spans="2:46" s="27" customFormat="1" ht="11.25" hidden="1" x14ac:dyDescent="0.2">
      <c r="B207" s="60"/>
      <c r="Q207" s="60"/>
      <c r="AG207" s="61"/>
      <c r="AT207" s="61"/>
    </row>
    <row r="208" spans="2:46" s="27" customFormat="1" ht="11.25" hidden="1" x14ac:dyDescent="0.2">
      <c r="B208" s="60"/>
      <c r="Q208" s="60"/>
      <c r="AG208" s="61"/>
      <c r="AT208" s="61"/>
    </row>
    <row r="209" spans="2:46" s="27" customFormat="1" ht="11.25" hidden="1" x14ac:dyDescent="0.2">
      <c r="B209" s="60"/>
      <c r="Q209" s="60"/>
      <c r="AG209" s="61"/>
      <c r="AT209" s="61"/>
    </row>
    <row r="210" spans="2:46" s="27" customFormat="1" ht="11.25" hidden="1" x14ac:dyDescent="0.2">
      <c r="B210" s="60"/>
      <c r="Q210" s="60"/>
      <c r="AG210" s="61"/>
      <c r="AT210" s="61"/>
    </row>
    <row r="211" spans="2:46" s="27" customFormat="1" ht="11.25" hidden="1" x14ac:dyDescent="0.2">
      <c r="B211" s="60"/>
      <c r="Q211" s="60"/>
      <c r="AG211" s="61"/>
      <c r="AT211" s="61"/>
    </row>
    <row r="212" spans="2:46" s="27" customFormat="1" ht="11.25" hidden="1" x14ac:dyDescent="0.2">
      <c r="B212" s="60"/>
      <c r="Q212" s="60"/>
      <c r="AG212" s="61"/>
      <c r="AT212" s="61"/>
    </row>
    <row r="213" spans="2:46" s="27" customFormat="1" ht="11.25" hidden="1" x14ac:dyDescent="0.2">
      <c r="B213" s="60"/>
      <c r="Q213" s="60"/>
      <c r="AG213" s="61"/>
      <c r="AT213" s="61"/>
    </row>
    <row r="214" spans="2:46" s="27" customFormat="1" ht="11.25" hidden="1" x14ac:dyDescent="0.2">
      <c r="B214" s="60"/>
      <c r="Q214" s="60"/>
      <c r="AG214" s="61"/>
      <c r="AT214" s="61"/>
    </row>
    <row r="215" spans="2:46" s="27" customFormat="1" ht="11.25" hidden="1" x14ac:dyDescent="0.2">
      <c r="B215" s="60"/>
      <c r="Q215" s="60"/>
      <c r="AG215" s="61"/>
      <c r="AT215" s="61"/>
    </row>
    <row r="216" spans="2:46" s="27" customFormat="1" ht="11.25" hidden="1" x14ac:dyDescent="0.2">
      <c r="B216" s="60"/>
      <c r="Q216" s="60"/>
      <c r="AG216" s="61"/>
      <c r="AT216" s="61"/>
    </row>
    <row r="217" spans="2:46" s="27" customFormat="1" ht="11.25" hidden="1" x14ac:dyDescent="0.2">
      <c r="B217" s="60"/>
      <c r="Q217" s="60"/>
      <c r="AG217" s="61"/>
      <c r="AT217" s="61"/>
    </row>
    <row r="218" spans="2:46" s="27" customFormat="1" ht="11.25" hidden="1" x14ac:dyDescent="0.2">
      <c r="B218" s="60"/>
      <c r="Q218" s="60"/>
      <c r="AG218" s="61"/>
      <c r="AT218" s="61"/>
    </row>
    <row r="219" spans="2:46" s="27" customFormat="1" ht="11.25" hidden="1" x14ac:dyDescent="0.2">
      <c r="B219" s="60"/>
      <c r="Q219" s="60"/>
      <c r="AG219" s="61"/>
      <c r="AT219" s="61"/>
    </row>
    <row r="220" spans="2:46" s="27" customFormat="1" ht="11.25" hidden="1" x14ac:dyDescent="0.2">
      <c r="B220" s="60"/>
      <c r="Q220" s="60"/>
      <c r="AG220" s="61"/>
      <c r="AT220" s="61"/>
    </row>
    <row r="221" spans="2:46" s="27" customFormat="1" ht="11.25" hidden="1" x14ac:dyDescent="0.2">
      <c r="B221" s="60"/>
      <c r="Q221" s="60"/>
      <c r="AG221" s="61"/>
      <c r="AT221" s="61"/>
    </row>
    <row r="222" spans="2:46" s="27" customFormat="1" ht="11.25" hidden="1" x14ac:dyDescent="0.2">
      <c r="B222" s="62"/>
      <c r="C222" s="63"/>
      <c r="D222" s="63"/>
      <c r="E222" s="63"/>
      <c r="F222" s="63"/>
      <c r="G222" s="63"/>
      <c r="H222" s="63"/>
      <c r="I222" s="63"/>
      <c r="J222" s="63"/>
      <c r="K222" s="63"/>
      <c r="L222" s="63"/>
      <c r="M222" s="63"/>
      <c r="N222" s="63"/>
      <c r="O222" s="63"/>
      <c r="P222" s="63"/>
      <c r="Q222" s="62"/>
      <c r="R222" s="63"/>
      <c r="S222" s="63"/>
      <c r="T222" s="63"/>
      <c r="U222" s="63"/>
      <c r="V222" s="63"/>
      <c r="W222" s="63"/>
      <c r="X222" s="63"/>
      <c r="Y222" s="63"/>
      <c r="Z222" s="63"/>
      <c r="AA222" s="63"/>
      <c r="AB222" s="63"/>
      <c r="AC222" s="63"/>
      <c r="AD222" s="63"/>
      <c r="AE222" s="63"/>
      <c r="AF222" s="63"/>
      <c r="AG222" s="64"/>
      <c r="AH222" s="63"/>
      <c r="AI222" s="63"/>
      <c r="AJ222" s="63"/>
      <c r="AK222" s="63"/>
      <c r="AL222" s="63"/>
      <c r="AM222" s="63"/>
      <c r="AN222" s="63"/>
      <c r="AO222" s="63"/>
      <c r="AP222" s="63"/>
      <c r="AQ222" s="63"/>
      <c r="AR222" s="63"/>
      <c r="AS222" s="63"/>
      <c r="AT222" s="64"/>
    </row>
    <row r="223" spans="2:46" s="27" customFormat="1" ht="11.25" hidden="1" x14ac:dyDescent="0.2">
      <c r="B223" s="60"/>
      <c r="Q223" s="60"/>
      <c r="AG223" s="61"/>
      <c r="AT223" s="61"/>
    </row>
    <row r="224" spans="2:46" s="27" customFormat="1" ht="11.25" hidden="1" x14ac:dyDescent="0.2">
      <c r="B224" s="60"/>
      <c r="Q224" s="60"/>
      <c r="AG224" s="61"/>
      <c r="AT224" s="61"/>
    </row>
    <row r="225" spans="2:46" s="27" customFormat="1" ht="11.25" hidden="1" x14ac:dyDescent="0.2">
      <c r="B225" s="60"/>
      <c r="Q225" s="60"/>
      <c r="AG225" s="61"/>
      <c r="AT225" s="61"/>
    </row>
    <row r="226" spans="2:46" s="27" customFormat="1" ht="11.25" hidden="1" x14ac:dyDescent="0.2">
      <c r="B226" s="60"/>
      <c r="Q226" s="60"/>
      <c r="AG226" s="61"/>
      <c r="AT226" s="61"/>
    </row>
    <row r="227" spans="2:46" s="27" customFormat="1" ht="11.25" hidden="1" x14ac:dyDescent="0.2">
      <c r="B227" s="60"/>
      <c r="Q227" s="60"/>
      <c r="AG227" s="61"/>
      <c r="AT227" s="61"/>
    </row>
    <row r="228" spans="2:46" s="27" customFormat="1" ht="11.25" hidden="1" x14ac:dyDescent="0.2">
      <c r="B228" s="60"/>
      <c r="Q228" s="60"/>
      <c r="AG228" s="61"/>
      <c r="AT228" s="61"/>
    </row>
    <row r="229" spans="2:46" s="27" customFormat="1" ht="11.25" hidden="1" x14ac:dyDescent="0.2">
      <c r="B229" s="60"/>
      <c r="Q229" s="60"/>
      <c r="AG229" s="61"/>
      <c r="AT229" s="61"/>
    </row>
    <row r="230" spans="2:46" s="27" customFormat="1" ht="11.25" hidden="1" x14ac:dyDescent="0.2">
      <c r="B230" s="60"/>
      <c r="Q230" s="60"/>
      <c r="AG230" s="61"/>
      <c r="AT230" s="61"/>
    </row>
    <row r="231" spans="2:46" s="27" customFormat="1" ht="11.25" hidden="1" x14ac:dyDescent="0.2">
      <c r="B231" s="60"/>
      <c r="Q231" s="60"/>
      <c r="AG231" s="61"/>
      <c r="AT231" s="61"/>
    </row>
    <row r="232" spans="2:46" s="27" customFormat="1" ht="11.25" hidden="1" x14ac:dyDescent="0.2">
      <c r="B232" s="60"/>
      <c r="Q232" s="60"/>
      <c r="AG232" s="61"/>
      <c r="AT232" s="61"/>
    </row>
    <row r="233" spans="2:46" s="27" customFormat="1" ht="11.25" hidden="1" x14ac:dyDescent="0.2">
      <c r="B233" s="60"/>
      <c r="Q233" s="60"/>
      <c r="AG233" s="61"/>
      <c r="AT233" s="61"/>
    </row>
    <row r="234" spans="2:46" s="27" customFormat="1" ht="11.25" hidden="1" x14ac:dyDescent="0.2">
      <c r="B234" s="60"/>
      <c r="Q234" s="60"/>
      <c r="AG234" s="61"/>
      <c r="AT234" s="61"/>
    </row>
    <row r="235" spans="2:46" s="27" customFormat="1" ht="11.25" hidden="1" x14ac:dyDescent="0.2">
      <c r="B235" s="60"/>
      <c r="Q235" s="60"/>
      <c r="AG235" s="61"/>
      <c r="AT235" s="61"/>
    </row>
    <row r="236" spans="2:46" s="27" customFormat="1" ht="11.25" hidden="1" x14ac:dyDescent="0.2">
      <c r="B236" s="60"/>
      <c r="Q236" s="60"/>
      <c r="AG236" s="61"/>
      <c r="AT236" s="61"/>
    </row>
    <row r="237" spans="2:46" s="27" customFormat="1" ht="11.25" hidden="1" x14ac:dyDescent="0.2">
      <c r="B237" s="60"/>
      <c r="Q237" s="60"/>
      <c r="AG237" s="61"/>
      <c r="AT237" s="61"/>
    </row>
    <row r="238" spans="2:46" s="27" customFormat="1" ht="11.25" hidden="1" x14ac:dyDescent="0.2">
      <c r="B238" s="60"/>
      <c r="Q238" s="60"/>
      <c r="AG238" s="61"/>
      <c r="AT238" s="61"/>
    </row>
    <row r="239" spans="2:46" s="27" customFormat="1" ht="11.25" hidden="1" x14ac:dyDescent="0.2">
      <c r="B239" s="60"/>
      <c r="Q239" s="60"/>
      <c r="AG239" s="61"/>
      <c r="AT239" s="61"/>
    </row>
    <row r="240" spans="2:46" s="27" customFormat="1" ht="11.25" hidden="1" x14ac:dyDescent="0.2">
      <c r="B240" s="60"/>
      <c r="Q240" s="60"/>
      <c r="AG240" s="61"/>
      <c r="AT240" s="61"/>
    </row>
    <row r="241" spans="2:46" s="27" customFormat="1" ht="11.25" hidden="1" x14ac:dyDescent="0.2">
      <c r="B241" s="60"/>
      <c r="Q241" s="60"/>
      <c r="AG241" s="61"/>
      <c r="AT241" s="61"/>
    </row>
    <row r="242" spans="2:46" s="27" customFormat="1" ht="11.25" hidden="1" x14ac:dyDescent="0.2">
      <c r="B242" s="60"/>
      <c r="Q242" s="60"/>
      <c r="AG242" s="61"/>
      <c r="AT242" s="61"/>
    </row>
    <row r="243" spans="2:46" s="27" customFormat="1" ht="11.25" hidden="1" x14ac:dyDescent="0.2">
      <c r="B243" s="60"/>
      <c r="Q243" s="60"/>
      <c r="AG243" s="61"/>
      <c r="AT243" s="61"/>
    </row>
    <row r="244" spans="2:46" s="27" customFormat="1" ht="11.25" hidden="1" x14ac:dyDescent="0.2">
      <c r="B244" s="60"/>
      <c r="Q244" s="60"/>
      <c r="AG244" s="61"/>
      <c r="AT244" s="61"/>
    </row>
    <row r="245" spans="2:46" s="27" customFormat="1" ht="11.25" hidden="1" x14ac:dyDescent="0.2">
      <c r="B245" s="60"/>
      <c r="Q245" s="60"/>
      <c r="AG245" s="61"/>
      <c r="AT245" s="61"/>
    </row>
    <row r="246" spans="2:46" s="27" customFormat="1" ht="11.25" hidden="1" x14ac:dyDescent="0.2">
      <c r="B246" s="60"/>
      <c r="Q246" s="60"/>
      <c r="AG246" s="61"/>
      <c r="AT246" s="61"/>
    </row>
    <row r="247" spans="2:46" s="27" customFormat="1" ht="11.25" hidden="1" x14ac:dyDescent="0.2">
      <c r="B247" s="60"/>
      <c r="Q247" s="60"/>
      <c r="AG247" s="61"/>
      <c r="AT247" s="61"/>
    </row>
    <row r="248" spans="2:46" s="27" customFormat="1" ht="11.25" hidden="1" x14ac:dyDescent="0.2">
      <c r="B248" s="60"/>
      <c r="Q248" s="60"/>
      <c r="AG248" s="61"/>
      <c r="AT248" s="61"/>
    </row>
    <row r="249" spans="2:46" s="27" customFormat="1" ht="11.25" hidden="1" x14ac:dyDescent="0.2">
      <c r="B249" s="60"/>
      <c r="Q249" s="60"/>
      <c r="AG249" s="61"/>
      <c r="AT249" s="61"/>
    </row>
    <row r="250" spans="2:46" s="27" customFormat="1" ht="11.25" hidden="1" x14ac:dyDescent="0.2">
      <c r="B250" s="60"/>
      <c r="Q250" s="60"/>
      <c r="AG250" s="61"/>
      <c r="AT250" s="61"/>
    </row>
    <row r="251" spans="2:46" s="27" customFormat="1" ht="11.25" hidden="1" x14ac:dyDescent="0.2">
      <c r="B251" s="60"/>
      <c r="Q251" s="60"/>
      <c r="AG251" s="61"/>
      <c r="AT251" s="61"/>
    </row>
    <row r="252" spans="2:46" s="27" customFormat="1" ht="11.25" hidden="1" x14ac:dyDescent="0.2">
      <c r="B252" s="60"/>
      <c r="Q252" s="60"/>
      <c r="AG252" s="61"/>
      <c r="AT252" s="61"/>
    </row>
    <row r="253" spans="2:46" s="27" customFormat="1" ht="11.25" hidden="1" x14ac:dyDescent="0.2">
      <c r="B253" s="60"/>
      <c r="Q253" s="60"/>
      <c r="AG253" s="61"/>
      <c r="AT253" s="61"/>
    </row>
    <row r="254" spans="2:46" s="27" customFormat="1" ht="11.25" hidden="1" x14ac:dyDescent="0.2">
      <c r="B254" s="60"/>
      <c r="Q254" s="60"/>
      <c r="AG254" s="61"/>
      <c r="AT254" s="61"/>
    </row>
    <row r="255" spans="2:46" s="27" customFormat="1" ht="11.25" hidden="1" x14ac:dyDescent="0.2">
      <c r="B255" s="60"/>
      <c r="Q255" s="60"/>
      <c r="AG255" s="61"/>
      <c r="AT255" s="61"/>
    </row>
    <row r="256" spans="2:46" s="27" customFormat="1" ht="11.25" hidden="1" x14ac:dyDescent="0.2">
      <c r="B256" s="60"/>
      <c r="Q256" s="60"/>
      <c r="AG256" s="61"/>
      <c r="AT256" s="61"/>
    </row>
    <row r="257" spans="2:53" s="27" customFormat="1" ht="11.25" hidden="1" x14ac:dyDescent="0.2">
      <c r="B257" s="65"/>
      <c r="C257" s="66"/>
      <c r="D257" s="66"/>
      <c r="E257" s="66"/>
      <c r="F257" s="66"/>
      <c r="G257" s="66"/>
      <c r="H257" s="66"/>
      <c r="I257" s="66"/>
      <c r="J257" s="66"/>
      <c r="K257" s="66"/>
      <c r="L257" s="66"/>
      <c r="M257" s="66"/>
      <c r="N257" s="66"/>
      <c r="O257" s="66"/>
      <c r="P257" s="66"/>
      <c r="Q257" s="65"/>
      <c r="R257" s="66"/>
      <c r="S257" s="66"/>
      <c r="T257" s="66"/>
      <c r="U257" s="66"/>
      <c r="V257" s="66"/>
      <c r="W257" s="66"/>
      <c r="X257" s="66"/>
      <c r="Y257" s="66"/>
      <c r="Z257" s="66"/>
      <c r="AA257" s="66"/>
      <c r="AB257" s="66"/>
      <c r="AC257" s="66"/>
      <c r="AD257" s="66"/>
      <c r="AE257" s="66"/>
      <c r="AF257" s="66"/>
      <c r="AG257" s="67"/>
      <c r="AH257" s="66"/>
      <c r="AI257" s="66"/>
      <c r="AJ257" s="66"/>
      <c r="AK257" s="66"/>
      <c r="AL257" s="66"/>
      <c r="AM257" s="66"/>
      <c r="AN257" s="66"/>
      <c r="AO257" s="66"/>
      <c r="AP257" s="66"/>
      <c r="AQ257" s="66"/>
      <c r="AR257" s="66"/>
      <c r="AS257" s="66"/>
      <c r="AT257" s="67"/>
    </row>
    <row r="258" spans="2:53" s="27" customFormat="1" ht="11.25" hidden="1" x14ac:dyDescent="0.2"/>
    <row r="259" spans="2:53" s="27" customFormat="1" ht="11.25" hidden="1" x14ac:dyDescent="0.2"/>
    <row r="260" spans="2:53" s="27" customFormat="1" ht="11.25" hidden="1" x14ac:dyDescent="0.2"/>
    <row r="261" spans="2:53" s="27" customFormat="1" ht="11.25" hidden="1" x14ac:dyDescent="0.2"/>
    <row r="262" spans="2:53" s="27" customFormat="1" ht="11.25" hidden="1" x14ac:dyDescent="0.2"/>
    <row r="263" spans="2:53" s="27" customFormat="1" ht="11.25" hidden="1" x14ac:dyDescent="0.2"/>
    <row r="264" spans="2:53" s="27" customFormat="1" ht="11.25" hidden="1" x14ac:dyDescent="0.2"/>
    <row r="265" spans="2:53" s="27" customFormat="1" ht="11.25" hidden="1" x14ac:dyDescent="0.2"/>
    <row r="266" spans="2:53" s="27" customFormat="1" ht="11.25" hidden="1" x14ac:dyDescent="0.2"/>
    <row r="267" spans="2:53" s="27" customFormat="1" ht="11.25" hidden="1" x14ac:dyDescent="0.2"/>
    <row r="268" spans="2:53" s="27" customFormat="1" ht="11.25" hidden="1" x14ac:dyDescent="0.2">
      <c r="BA268" s="27" t="str">
        <f>SB!P122</f>
        <v>cada MES</v>
      </c>
    </row>
    <row r="269" spans="2:53" s="27" customFormat="1" ht="11.25" hidden="1" x14ac:dyDescent="0.2">
      <c r="BA269" s="27" t="str">
        <f>SB!P123</f>
        <v>BIMENSUAL</v>
      </c>
    </row>
    <row r="270" spans="2:53" s="27" customFormat="1" ht="11.25" hidden="1" x14ac:dyDescent="0.2">
      <c r="BA270" s="27" t="str">
        <f>SB!P124</f>
        <v>TRIMESTRAL</v>
      </c>
    </row>
    <row r="271" spans="2:53" s="27" customFormat="1" ht="11.25" hidden="1" x14ac:dyDescent="0.2">
      <c r="BA271" s="27" t="str">
        <f>SB!P125</f>
        <v>SEMESTRAL</v>
      </c>
    </row>
    <row r="272" spans="2:53" s="27" customFormat="1" ht="11.25" hidden="1" x14ac:dyDescent="0.2"/>
    <row r="273" spans="1:46" s="27" customFormat="1" ht="11.25" hidden="1" x14ac:dyDescent="0.2">
      <c r="B273" s="27" t="s">
        <v>396</v>
      </c>
      <c r="E273" s="27" t="s">
        <v>542</v>
      </c>
    </row>
    <row r="274" spans="1:46" s="27" customFormat="1" ht="11.25" hidden="1" x14ac:dyDescent="0.2">
      <c r="A274" s="27" t="s">
        <v>1508</v>
      </c>
      <c r="B274" s="62" t="s">
        <v>1509</v>
      </c>
      <c r="C274" s="63"/>
      <c r="D274" s="63"/>
      <c r="E274" s="63"/>
      <c r="F274" s="63"/>
      <c r="G274" s="63"/>
      <c r="H274" s="63"/>
      <c r="I274" s="63"/>
      <c r="J274" s="63"/>
      <c r="K274" s="63"/>
      <c r="L274" s="63"/>
      <c r="M274" s="63"/>
      <c r="N274" s="63"/>
      <c r="O274" s="63"/>
      <c r="P274" s="63"/>
      <c r="Q274" s="63">
        <v>1</v>
      </c>
      <c r="R274" s="63"/>
      <c r="S274" s="63">
        <f>+Q274+1</f>
        <v>2</v>
      </c>
      <c r="T274" s="63"/>
      <c r="U274" s="63">
        <f>+S274+1</f>
        <v>3</v>
      </c>
      <c r="V274" s="63"/>
      <c r="W274" s="63">
        <f>+U274+1</f>
        <v>4</v>
      </c>
      <c r="X274" s="63"/>
      <c r="Y274" s="63">
        <f>+W274+1</f>
        <v>5</v>
      </c>
      <c r="Z274" s="63"/>
      <c r="AA274" s="63"/>
      <c r="AB274" s="63"/>
      <c r="AC274" s="63"/>
      <c r="AD274" s="63"/>
      <c r="AE274" s="63"/>
      <c r="AF274" s="63"/>
      <c r="AG274" s="63"/>
      <c r="AH274" s="62"/>
      <c r="AI274" s="63" t="str">
        <f t="shared" ref="AI274:AT274" si="178">AI148</f>
        <v>Enero</v>
      </c>
      <c r="AJ274" s="63" t="str">
        <f t="shared" si="178"/>
        <v>Febrero</v>
      </c>
      <c r="AK274" s="63" t="str">
        <f t="shared" si="178"/>
        <v>Marzo</v>
      </c>
      <c r="AL274" s="63" t="str">
        <f t="shared" si="178"/>
        <v>Abril</v>
      </c>
      <c r="AM274" s="63" t="str">
        <f t="shared" si="178"/>
        <v xml:space="preserve">Mayo </v>
      </c>
      <c r="AN274" s="63" t="str">
        <f t="shared" si="178"/>
        <v>Junio</v>
      </c>
      <c r="AO274" s="63" t="str">
        <f t="shared" si="178"/>
        <v>Julio</v>
      </c>
      <c r="AP274" s="63" t="str">
        <f t="shared" si="178"/>
        <v>Agosto</v>
      </c>
      <c r="AQ274" s="63" t="str">
        <f t="shared" si="178"/>
        <v>Septiembre</v>
      </c>
      <c r="AR274" s="63" t="str">
        <f t="shared" si="178"/>
        <v>Octubre</v>
      </c>
      <c r="AS274" s="63" t="str">
        <f t="shared" si="178"/>
        <v>Noviembre</v>
      </c>
      <c r="AT274" s="64" t="str">
        <f t="shared" si="178"/>
        <v>Diciembre</v>
      </c>
    </row>
    <row r="275" spans="1:46" s="27" customFormat="1" ht="11.25" hidden="1" x14ac:dyDescent="0.2">
      <c r="B275" s="60">
        <f t="shared" ref="B275:H275" si="179">B223</f>
        <v>0</v>
      </c>
      <c r="C275" s="27">
        <f t="shared" si="179"/>
        <v>0</v>
      </c>
      <c r="D275" s="27">
        <f t="shared" si="179"/>
        <v>0</v>
      </c>
      <c r="E275" s="27">
        <f t="shared" si="179"/>
        <v>0</v>
      </c>
      <c r="F275" s="27">
        <f t="shared" si="179"/>
        <v>0</v>
      </c>
      <c r="G275" s="27">
        <f t="shared" si="179"/>
        <v>0</v>
      </c>
      <c r="H275" s="27">
        <f t="shared" si="179"/>
        <v>0</v>
      </c>
      <c r="J275" s="27" t="s">
        <v>1410</v>
      </c>
      <c r="K275" s="27" t="s">
        <v>1413</v>
      </c>
      <c r="L275" s="27" t="s">
        <v>1412</v>
      </c>
      <c r="M275" s="27" t="s">
        <v>1414</v>
      </c>
      <c r="N275" s="27" t="s">
        <v>1558</v>
      </c>
      <c r="Q275" s="27" t="s">
        <v>550</v>
      </c>
      <c r="R275" s="27" t="s">
        <v>551</v>
      </c>
      <c r="S275" s="27" t="s">
        <v>550</v>
      </c>
      <c r="T275" s="27" t="s">
        <v>551</v>
      </c>
      <c r="U275" s="27" t="s">
        <v>550</v>
      </c>
      <c r="V275" s="27" t="s">
        <v>551</v>
      </c>
      <c r="W275" s="27" t="s">
        <v>550</v>
      </c>
      <c r="X275" s="27" t="s">
        <v>551</v>
      </c>
      <c r="Y275" s="27" t="s">
        <v>550</v>
      </c>
      <c r="Z275" s="27" t="s">
        <v>551</v>
      </c>
      <c r="AH275" s="60"/>
      <c r="AI275" s="27">
        <v>1</v>
      </c>
      <c r="AJ275" s="27">
        <v>2</v>
      </c>
      <c r="AK275" s="27">
        <v>3</v>
      </c>
      <c r="AL275" s="27">
        <v>4</v>
      </c>
      <c r="AM275" s="27">
        <v>5</v>
      </c>
      <c r="AN275" s="27">
        <v>6</v>
      </c>
      <c r="AO275" s="27">
        <v>7</v>
      </c>
      <c r="AP275" s="27">
        <v>8</v>
      </c>
      <c r="AQ275" s="27">
        <v>9</v>
      </c>
      <c r="AR275" s="27">
        <v>10</v>
      </c>
      <c r="AS275" s="27">
        <v>11</v>
      </c>
      <c r="AT275" s="61">
        <v>12</v>
      </c>
    </row>
    <row r="276" spans="1:46" s="27" customFormat="1" ht="11.25" hidden="1" x14ac:dyDescent="0.2">
      <c r="B276" s="60"/>
      <c r="C276" s="27">
        <f>+C277</f>
        <v>0</v>
      </c>
      <c r="D276" s="27">
        <f>SUMIF(pcorto,D277,SB!$O$122:$O$123)</f>
        <v>0</v>
      </c>
      <c r="E276" s="27">
        <f>+E277</f>
        <v>0</v>
      </c>
      <c r="G276" s="27">
        <f>+G277</f>
        <v>0</v>
      </c>
      <c r="H276" s="27" t="str">
        <f>IF(H277=0,D!$Q$6,H277)</f>
        <v>Enero</v>
      </c>
      <c r="K276" s="27">
        <f>IF(C276=0,0,D276*12)</f>
        <v>0</v>
      </c>
      <c r="L276" s="27">
        <f>IF(C276=0,0,IF(J276=0,K276,K276-J276))</f>
        <v>0</v>
      </c>
      <c r="M276" s="27">
        <f>IF(J276=0,D276,D276-(J276/12))</f>
        <v>0</v>
      </c>
      <c r="N276" s="27">
        <f>IF(O277&gt;13,13,O277)</f>
        <v>13</v>
      </c>
      <c r="O276" s="27">
        <f>SUMIF($AI$76:$AT$76,H276,$AI$77:$AT$77)</f>
        <v>1</v>
      </c>
      <c r="P276" s="27" t="str">
        <f>SB!$P$122</f>
        <v>cada MES</v>
      </c>
      <c r="Q276" s="27">
        <f>IF(N276&gt;12,0,E286)</f>
        <v>0</v>
      </c>
      <c r="R276" s="27">
        <f>IF(N276&gt;12,0,H286)</f>
        <v>0</v>
      </c>
      <c r="S276" s="27">
        <f>+E287</f>
        <v>0</v>
      </c>
      <c r="T276" s="27">
        <f>+H287</f>
        <v>0</v>
      </c>
      <c r="U276" s="27">
        <f>+E288</f>
        <v>0</v>
      </c>
      <c r="V276" s="27">
        <f>+H288</f>
        <v>0</v>
      </c>
      <c r="AD276" s="27" t="s">
        <v>547</v>
      </c>
      <c r="AH276" s="60"/>
      <c r="AI276" s="27">
        <f t="shared" ref="AI276:AT276" si="180">IF($N276=AI275,"INI",0)</f>
        <v>0</v>
      </c>
      <c r="AJ276" s="27">
        <f t="shared" si="180"/>
        <v>0</v>
      </c>
      <c r="AK276" s="27">
        <f t="shared" si="180"/>
        <v>0</v>
      </c>
      <c r="AL276" s="27">
        <f t="shared" si="180"/>
        <v>0</v>
      </c>
      <c r="AM276" s="27">
        <f t="shared" si="180"/>
        <v>0</v>
      </c>
      <c r="AN276" s="27">
        <f t="shared" si="180"/>
        <v>0</v>
      </c>
      <c r="AO276" s="27">
        <f t="shared" si="180"/>
        <v>0</v>
      </c>
      <c r="AP276" s="27">
        <f t="shared" si="180"/>
        <v>0</v>
      </c>
      <c r="AQ276" s="27">
        <f t="shared" si="180"/>
        <v>0</v>
      </c>
      <c r="AR276" s="27">
        <f t="shared" si="180"/>
        <v>0</v>
      </c>
      <c r="AS276" s="27">
        <f t="shared" si="180"/>
        <v>0</v>
      </c>
      <c r="AT276" s="61">
        <f t="shared" si="180"/>
        <v>0</v>
      </c>
    </row>
    <row r="277" spans="1:46" s="27" customFormat="1" ht="11.25" hidden="1" x14ac:dyDescent="0.2">
      <c r="B277" s="60">
        <f>'2'!$E$22</f>
        <v>0</v>
      </c>
      <c r="C277" s="27">
        <f>'2'!H22</f>
        <v>0</v>
      </c>
      <c r="D277" s="27">
        <f>'2'!I22</f>
        <v>0</v>
      </c>
      <c r="E277" s="27">
        <f>'2'!J22</f>
        <v>0</v>
      </c>
      <c r="F277" s="27">
        <f>'2'!K22</f>
        <v>0</v>
      </c>
      <c r="G277" s="27">
        <f>'2'!L22</f>
        <v>0</v>
      </c>
      <c r="H277" s="27">
        <f>'2'!M22</f>
        <v>0</v>
      </c>
      <c r="J277" s="27" t="str">
        <f>IF(K276=L276,"OK","¿error?")</f>
        <v>OK</v>
      </c>
      <c r="O277" s="27" t="b">
        <f>IF(F277=P276,O276,IF(F277=P277,O276+1,IF(F277=P278,O276+2,IF(F277=P279,O276+5,IF(F277=P280,O276+11)))))</f>
        <v>0</v>
      </c>
      <c r="P277" s="27" t="str">
        <f>SB!$P$123</f>
        <v>BIMENSUAL</v>
      </c>
      <c r="Q277" s="27">
        <f>IF(N276&gt;12,0,K286)</f>
        <v>0</v>
      </c>
      <c r="R277" s="27">
        <f>IF(N276&gt;12,0,N286)</f>
        <v>0</v>
      </c>
      <c r="S277" s="27">
        <f>+K287</f>
        <v>0</v>
      </c>
      <c r="T277" s="27">
        <f>+N287</f>
        <v>0</v>
      </c>
      <c r="U277" s="27">
        <f>+K288</f>
        <v>0</v>
      </c>
      <c r="V277" s="27">
        <f>+N288</f>
        <v>0</v>
      </c>
      <c r="AD277" s="27">
        <f>IF(D286=0,0,E286/D286)</f>
        <v>0</v>
      </c>
      <c r="AE277" s="27">
        <f>IF(O277&gt;12,0,E289+H289)</f>
        <v>0</v>
      </c>
      <c r="AF277" s="27">
        <f>SUM(AI277:AT277)</f>
        <v>0</v>
      </c>
      <c r="AG277" s="27">
        <f>+D289</f>
        <v>0</v>
      </c>
      <c r="AH277" s="60" t="str">
        <f>SB!$P$122</f>
        <v>cada MES</v>
      </c>
      <c r="AI277" s="27">
        <f>IF(AI276=$O$87,$AG277,0)</f>
        <v>0</v>
      </c>
      <c r="AJ277" s="27">
        <f t="shared" ref="AJ277:AT277" si="181">IF(AJ276=$O$87,$AG277,0)+AI277</f>
        <v>0</v>
      </c>
      <c r="AK277" s="27">
        <f t="shared" si="181"/>
        <v>0</v>
      </c>
      <c r="AL277" s="27">
        <f t="shared" si="181"/>
        <v>0</v>
      </c>
      <c r="AM277" s="27">
        <f t="shared" si="181"/>
        <v>0</v>
      </c>
      <c r="AN277" s="27">
        <f t="shared" si="181"/>
        <v>0</v>
      </c>
      <c r="AO277" s="27">
        <f t="shared" si="181"/>
        <v>0</v>
      </c>
      <c r="AP277" s="27">
        <f t="shared" si="181"/>
        <v>0</v>
      </c>
      <c r="AQ277" s="27">
        <f t="shared" si="181"/>
        <v>0</v>
      </c>
      <c r="AR277" s="27">
        <f t="shared" si="181"/>
        <v>0</v>
      </c>
      <c r="AS277" s="27">
        <f t="shared" si="181"/>
        <v>0</v>
      </c>
      <c r="AT277" s="61">
        <f t="shared" si="181"/>
        <v>0</v>
      </c>
    </row>
    <row r="278" spans="1:46" s="27" customFormat="1" ht="11.25" hidden="1" x14ac:dyDescent="0.2">
      <c r="B278" s="60"/>
      <c r="J278" s="27" t="str">
        <f>IF(AE277=AF277,"OK","¿error?")</f>
        <v>OK</v>
      </c>
      <c r="P278" s="27" t="str">
        <f>SB!$P$124</f>
        <v>TRIMESTRAL</v>
      </c>
      <c r="Q278" s="27">
        <f>IF(N276&gt;12,0,Q286)</f>
        <v>0</v>
      </c>
      <c r="R278" s="27">
        <f>IF(N276&gt;12,0,T286)</f>
        <v>0</v>
      </c>
      <c r="S278" s="27">
        <f>+Q287</f>
        <v>0</v>
      </c>
      <c r="T278" s="27">
        <f>+T287</f>
        <v>0</v>
      </c>
      <c r="U278" s="27">
        <f>+Q288</f>
        <v>0</v>
      </c>
      <c r="V278" s="27">
        <f>+T288</f>
        <v>0</v>
      </c>
      <c r="AD278" s="27">
        <f>IF(J286=0,0,K286/J286)</f>
        <v>0</v>
      </c>
      <c r="AE278" s="27">
        <f>IF(O277&gt;12,0,K289+N289)</f>
        <v>0</v>
      </c>
      <c r="AF278" s="27">
        <f>SUM(AI278:AT278)</f>
        <v>0</v>
      </c>
      <c r="AG278" s="27">
        <f>+J289</f>
        <v>0</v>
      </c>
      <c r="AH278" s="60" t="str">
        <f>SB!$P$123</f>
        <v>BIMENSUAL</v>
      </c>
      <c r="AI278" s="27">
        <f>IF(AI276=$O$87,$AG278,0)</f>
        <v>0</v>
      </c>
      <c r="AJ278" s="27">
        <f>IF(AJ276=$O$87,$AG278,0)</f>
        <v>0</v>
      </c>
      <c r="AK278" s="27">
        <f t="shared" ref="AK278:AT278" si="182">IF(AK276=$O$87,$AG278,0)+AI278</f>
        <v>0</v>
      </c>
      <c r="AL278" s="27">
        <f t="shared" si="182"/>
        <v>0</v>
      </c>
      <c r="AM278" s="27">
        <f t="shared" si="182"/>
        <v>0</v>
      </c>
      <c r="AN278" s="27">
        <f t="shared" si="182"/>
        <v>0</v>
      </c>
      <c r="AO278" s="27">
        <f t="shared" si="182"/>
        <v>0</v>
      </c>
      <c r="AP278" s="27">
        <f t="shared" si="182"/>
        <v>0</v>
      </c>
      <c r="AQ278" s="27">
        <f t="shared" si="182"/>
        <v>0</v>
      </c>
      <c r="AR278" s="27">
        <f t="shared" si="182"/>
        <v>0</v>
      </c>
      <c r="AS278" s="27">
        <f t="shared" si="182"/>
        <v>0</v>
      </c>
      <c r="AT278" s="61">
        <f t="shared" si="182"/>
        <v>0</v>
      </c>
    </row>
    <row r="279" spans="1:46" s="27" customFormat="1" ht="11.25" hidden="1" x14ac:dyDescent="0.2">
      <c r="B279" s="60"/>
      <c r="J279" s="27" t="str">
        <f>IF(AE278=AF278,"OK","¿error?")</f>
        <v>OK</v>
      </c>
      <c r="P279" s="27" t="str">
        <f>SB!$P$125</f>
        <v>SEMESTRAL</v>
      </c>
      <c r="Q279" s="27">
        <f>IF(N276&gt;12,0,W286)</f>
        <v>0</v>
      </c>
      <c r="R279" s="27">
        <f>IF(N276&gt;12,0,Z286)</f>
        <v>0</v>
      </c>
      <c r="S279" s="27">
        <f>+W287</f>
        <v>0</v>
      </c>
      <c r="T279" s="27">
        <f>+Z287</f>
        <v>0</v>
      </c>
      <c r="U279" s="27">
        <f>+W288</f>
        <v>0</v>
      </c>
      <c r="V279" s="27">
        <f>+Z288</f>
        <v>0</v>
      </c>
      <c r="AD279" s="27">
        <f>IF(P286=0,0,Q286/P286)</f>
        <v>0</v>
      </c>
      <c r="AE279" s="27">
        <f>IF(O277&gt;12,0,Q289+T289)</f>
        <v>0</v>
      </c>
      <c r="AF279" s="27">
        <f>SUM(AI279:AT279)</f>
        <v>0</v>
      </c>
      <c r="AG279" s="27">
        <f>+P289</f>
        <v>0</v>
      </c>
      <c r="AH279" s="60" t="str">
        <f>SB!$P$124</f>
        <v>TRIMESTRAL</v>
      </c>
      <c r="AI279" s="27">
        <f>IF(AI276=$O$87,$AG279,0)</f>
        <v>0</v>
      </c>
      <c r="AJ279" s="27">
        <f>IF(AJ276=$O$87,$AG279,0)</f>
        <v>0</v>
      </c>
      <c r="AK279" s="27">
        <f>IF(AK276=$O$87,$AG279,0)</f>
        <v>0</v>
      </c>
      <c r="AL279" s="27">
        <f t="shared" ref="AL279:AT279" si="183">IF(AL276=$O$87,$AG279,0)+AI279</f>
        <v>0</v>
      </c>
      <c r="AM279" s="27">
        <f t="shared" si="183"/>
        <v>0</v>
      </c>
      <c r="AN279" s="27">
        <f t="shared" si="183"/>
        <v>0</v>
      </c>
      <c r="AO279" s="27">
        <f t="shared" si="183"/>
        <v>0</v>
      </c>
      <c r="AP279" s="27">
        <f t="shared" si="183"/>
        <v>0</v>
      </c>
      <c r="AQ279" s="27">
        <f t="shared" si="183"/>
        <v>0</v>
      </c>
      <c r="AR279" s="27">
        <f t="shared" si="183"/>
        <v>0</v>
      </c>
      <c r="AS279" s="27">
        <f t="shared" si="183"/>
        <v>0</v>
      </c>
      <c r="AT279" s="61">
        <f t="shared" si="183"/>
        <v>0</v>
      </c>
    </row>
    <row r="280" spans="1:46" s="27" customFormat="1" ht="11.25" hidden="1" x14ac:dyDescent="0.2">
      <c r="B280" s="60"/>
      <c r="J280" s="27" t="str">
        <f>IF(AE279=AF279,"OK","¿error?")</f>
        <v>OK</v>
      </c>
      <c r="P280" s="27" t="str">
        <f>SB!$P$126</f>
        <v>ANUAL</v>
      </c>
      <c r="Q280" s="27">
        <f>IF(N276&gt;12,0,AC286)</f>
        <v>0</v>
      </c>
      <c r="R280" s="27">
        <f>IF(N276&gt;12,0,AF286)</f>
        <v>0</v>
      </c>
      <c r="S280" s="27">
        <f>+AC287</f>
        <v>0</v>
      </c>
      <c r="T280" s="27">
        <f>+AF287</f>
        <v>0</v>
      </c>
      <c r="U280" s="27">
        <f>+AC288</f>
        <v>0</v>
      </c>
      <c r="V280" s="27">
        <f>+AF288</f>
        <v>0</v>
      </c>
      <c r="AD280" s="27">
        <f>IF(V286=0,0,W286/V286)</f>
        <v>0</v>
      </c>
      <c r="AE280" s="27">
        <f>IF(O277&gt;12,0,W289+Z289)</f>
        <v>0</v>
      </c>
      <c r="AF280" s="27">
        <f>SUM(AI280:AT280)</f>
        <v>0</v>
      </c>
      <c r="AG280" s="27">
        <f>+V289</f>
        <v>0</v>
      </c>
      <c r="AH280" s="60" t="str">
        <f>SB!$P$125</f>
        <v>SEMESTRAL</v>
      </c>
      <c r="AI280" s="27">
        <f t="shared" ref="AI280:AN280" si="184">IF(AI276=$O$87,$AG280,0)</f>
        <v>0</v>
      </c>
      <c r="AJ280" s="27">
        <f t="shared" si="184"/>
        <v>0</v>
      </c>
      <c r="AK280" s="27">
        <f t="shared" si="184"/>
        <v>0</v>
      </c>
      <c r="AL280" s="27">
        <f t="shared" si="184"/>
        <v>0</v>
      </c>
      <c r="AM280" s="27">
        <f t="shared" si="184"/>
        <v>0</v>
      </c>
      <c r="AN280" s="27">
        <f t="shared" si="184"/>
        <v>0</v>
      </c>
      <c r="AO280" s="27">
        <f t="shared" ref="AO280:AT280" si="185">IF(AO276=$O$87,$AG280,0)+AI280</f>
        <v>0</v>
      </c>
      <c r="AP280" s="27">
        <f t="shared" si="185"/>
        <v>0</v>
      </c>
      <c r="AQ280" s="27">
        <f t="shared" si="185"/>
        <v>0</v>
      </c>
      <c r="AR280" s="27">
        <f t="shared" si="185"/>
        <v>0</v>
      </c>
      <c r="AS280" s="27">
        <f t="shared" si="185"/>
        <v>0</v>
      </c>
      <c r="AT280" s="61">
        <f t="shared" si="185"/>
        <v>0</v>
      </c>
    </row>
    <row r="281" spans="1:46" s="27" customFormat="1" ht="11.25" hidden="1" x14ac:dyDescent="0.2">
      <c r="B281" s="60"/>
      <c r="J281" s="27" t="str">
        <f>IF(AE280=AF280,"OK","¿error?")</f>
        <v>OK</v>
      </c>
      <c r="AD281" s="27">
        <f>IF(AB286=0,0,AC286/AB286)</f>
        <v>0</v>
      </c>
      <c r="AE281" s="27">
        <f>IF(O277&gt;12,0,AC289+AF289)</f>
        <v>0</v>
      </c>
      <c r="AF281" s="27">
        <f>SUM(AI281:AT281)</f>
        <v>0</v>
      </c>
      <c r="AG281" s="27">
        <f>+AB289</f>
        <v>0</v>
      </c>
      <c r="AH281" s="60" t="str">
        <f>SB!$P$126</f>
        <v>ANUAL</v>
      </c>
      <c r="AI281" s="27">
        <f t="shared" ref="AI281:AT281" si="186">IF(AI276=$O$87,$AG281,0)</f>
        <v>0</v>
      </c>
      <c r="AJ281" s="27">
        <f t="shared" si="186"/>
        <v>0</v>
      </c>
      <c r="AK281" s="27">
        <f t="shared" si="186"/>
        <v>0</v>
      </c>
      <c r="AL281" s="27">
        <f t="shared" si="186"/>
        <v>0</v>
      </c>
      <c r="AM281" s="27">
        <f t="shared" si="186"/>
        <v>0</v>
      </c>
      <c r="AN281" s="27">
        <f t="shared" si="186"/>
        <v>0</v>
      </c>
      <c r="AO281" s="27">
        <f t="shared" si="186"/>
        <v>0</v>
      </c>
      <c r="AP281" s="27">
        <f t="shared" si="186"/>
        <v>0</v>
      </c>
      <c r="AQ281" s="27">
        <f t="shared" si="186"/>
        <v>0</v>
      </c>
      <c r="AR281" s="27">
        <f t="shared" si="186"/>
        <v>0</v>
      </c>
      <c r="AS281" s="27">
        <f t="shared" si="186"/>
        <v>0</v>
      </c>
      <c r="AT281" s="61">
        <f t="shared" si="186"/>
        <v>0</v>
      </c>
    </row>
    <row r="282" spans="1:46" s="27" customFormat="1" ht="11.25" hidden="1" x14ac:dyDescent="0.2">
      <c r="B282" s="60"/>
      <c r="I282" s="27">
        <f>+D276*6</f>
        <v>0</v>
      </c>
      <c r="AH282" s="60">
        <f>+F277</f>
        <v>0</v>
      </c>
      <c r="AI282" s="27">
        <f>SUMIF($AH277:$AH281,$AH282,AI277:AI281)</f>
        <v>0</v>
      </c>
      <c r="AJ282" s="27">
        <f t="shared" ref="AJ282:AT282" si="187">SUMIF($AH277:$AH281,$AH282,AJ277:AJ281)</f>
        <v>0</v>
      </c>
      <c r="AK282" s="27">
        <f t="shared" si="187"/>
        <v>0</v>
      </c>
      <c r="AL282" s="27">
        <f t="shared" si="187"/>
        <v>0</v>
      </c>
      <c r="AM282" s="27">
        <f t="shared" si="187"/>
        <v>0</v>
      </c>
      <c r="AN282" s="27">
        <f t="shared" si="187"/>
        <v>0</v>
      </c>
      <c r="AO282" s="27">
        <f t="shared" si="187"/>
        <v>0</v>
      </c>
      <c r="AP282" s="27">
        <f t="shared" si="187"/>
        <v>0</v>
      </c>
      <c r="AQ282" s="27">
        <f t="shared" si="187"/>
        <v>0</v>
      </c>
      <c r="AR282" s="27">
        <f t="shared" si="187"/>
        <v>0</v>
      </c>
      <c r="AS282" s="27">
        <f t="shared" si="187"/>
        <v>0</v>
      </c>
      <c r="AT282" s="61">
        <f t="shared" si="187"/>
        <v>0</v>
      </c>
    </row>
    <row r="283" spans="1:46" s="27" customFormat="1" ht="11.25" hidden="1" x14ac:dyDescent="0.2">
      <c r="B283" s="60"/>
      <c r="E283" s="27" t="str">
        <f>$BA$268</f>
        <v>cada MES</v>
      </c>
      <c r="J283" s="27" t="s">
        <v>1560</v>
      </c>
      <c r="K283" s="27" t="str">
        <f>$AH$307</f>
        <v>BIMENSUAL</v>
      </c>
      <c r="O283" s="27" t="s">
        <v>573</v>
      </c>
      <c r="U283" s="27" t="s">
        <v>1561</v>
      </c>
      <c r="AA283" s="27" t="s">
        <v>1446</v>
      </c>
      <c r="AH283" s="60" t="s">
        <v>545</v>
      </c>
      <c r="AI283" s="27">
        <f>+C276</f>
        <v>0</v>
      </c>
      <c r="AJ283" s="27" t="s">
        <v>546</v>
      </c>
      <c r="AK283" s="27">
        <f>SUMIF(AH277:AH281,AH282,AD277:AD281)</f>
        <v>0</v>
      </c>
      <c r="AT283" s="61"/>
    </row>
    <row r="284" spans="1:46" s="27" customFormat="1" ht="11.25" hidden="1" x14ac:dyDescent="0.2">
      <c r="B284" s="60"/>
      <c r="E284" s="27" t="s">
        <v>1411</v>
      </c>
      <c r="I284" s="27">
        <f>+G286/2</f>
        <v>0</v>
      </c>
      <c r="J284" s="27">
        <f>ROUND(I284,0)</f>
        <v>0</v>
      </c>
      <c r="K284" s="27">
        <f>+L276/2</f>
        <v>0</v>
      </c>
      <c r="L284" s="27">
        <f>ROUND(K284,0)</f>
        <v>0</v>
      </c>
      <c r="M284" s="27">
        <f>+K276/2</f>
        <v>0</v>
      </c>
      <c r="N284" s="27">
        <f>ROUND(M284,0)</f>
        <v>0</v>
      </c>
      <c r="O284" s="27">
        <f>+G286/3</f>
        <v>0</v>
      </c>
      <c r="P284" s="27">
        <f>ROUNDUP(O284,0)</f>
        <v>0</v>
      </c>
      <c r="Q284" s="27">
        <f>+L276/3</f>
        <v>0</v>
      </c>
      <c r="R284" s="27">
        <f>ROUNDUP(Q284,0)</f>
        <v>0</v>
      </c>
      <c r="S284" s="27">
        <f>+K276/3</f>
        <v>0</v>
      </c>
      <c r="T284" s="27">
        <f>ROUND(S284,0)</f>
        <v>0</v>
      </c>
      <c r="U284" s="27">
        <f>+G286/6</f>
        <v>0</v>
      </c>
      <c r="V284" s="27">
        <f>ROUNDUP(U284,0)</f>
        <v>0</v>
      </c>
      <c r="W284" s="27">
        <f>+L276/6</f>
        <v>0</v>
      </c>
      <c r="X284" s="27">
        <f>ROUND(W284,0)</f>
        <v>0</v>
      </c>
      <c r="Y284" s="27">
        <f>+K276/6</f>
        <v>0</v>
      </c>
      <c r="Z284" s="27">
        <f>ROUND(Y284,0)</f>
        <v>0</v>
      </c>
      <c r="AA284" s="27">
        <f>+G286/12</f>
        <v>0</v>
      </c>
      <c r="AB284" s="27">
        <f>ROUNDUP(AA284,0)</f>
        <v>0</v>
      </c>
      <c r="AC284" s="27">
        <f>+L276/12</f>
        <v>0</v>
      </c>
      <c r="AD284" s="27">
        <f>ROUND(AC284,0)</f>
        <v>0</v>
      </c>
      <c r="AE284" s="27">
        <f>+K276/12</f>
        <v>0</v>
      </c>
      <c r="AF284" s="27">
        <f>ROUND(AE284,0)</f>
        <v>0</v>
      </c>
      <c r="AH284" s="60"/>
      <c r="AT284" s="61"/>
    </row>
    <row r="285" spans="1:46" s="27" customFormat="1" ht="11.25" hidden="1" x14ac:dyDescent="0.2">
      <c r="B285" s="60" t="s">
        <v>1408</v>
      </c>
      <c r="C285" s="27" t="s">
        <v>1409</v>
      </c>
      <c r="D285" s="27" t="s">
        <v>1276</v>
      </c>
      <c r="E285" s="27" t="s">
        <v>673</v>
      </c>
      <c r="H285" s="27" t="s">
        <v>672</v>
      </c>
      <c r="I285" s="27" t="s">
        <v>1409</v>
      </c>
      <c r="J285" s="27" t="s">
        <v>1276</v>
      </c>
      <c r="K285" s="27" t="s">
        <v>673</v>
      </c>
      <c r="N285" s="27" t="s">
        <v>672</v>
      </c>
      <c r="O285" s="27" t="s">
        <v>1409</v>
      </c>
      <c r="P285" s="27" t="s">
        <v>1276</v>
      </c>
      <c r="Q285" s="27" t="s">
        <v>673</v>
      </c>
      <c r="T285" s="27" t="s">
        <v>672</v>
      </c>
      <c r="U285" s="27" t="s">
        <v>1409</v>
      </c>
      <c r="V285" s="27" t="s">
        <v>1276</v>
      </c>
      <c r="W285" s="27" t="s">
        <v>673</v>
      </c>
      <c r="Z285" s="27" t="s">
        <v>672</v>
      </c>
      <c r="AA285" s="27" t="s">
        <v>1409</v>
      </c>
      <c r="AB285" s="27" t="s">
        <v>1276</v>
      </c>
      <c r="AC285" s="27" t="s">
        <v>673</v>
      </c>
      <c r="AH285" s="60" t="s">
        <v>7</v>
      </c>
      <c r="AI285" s="27">
        <f>IF(AI274=$H276,$C276,0)</f>
        <v>0</v>
      </c>
      <c r="AJ285" s="27">
        <f t="shared" ref="AJ285:AT285" si="188">IF(AJ274=$H276,$C276,0)</f>
        <v>0</v>
      </c>
      <c r="AK285" s="27">
        <f t="shared" si="188"/>
        <v>0</v>
      </c>
      <c r="AL285" s="27">
        <f t="shared" si="188"/>
        <v>0</v>
      </c>
      <c r="AM285" s="27">
        <f t="shared" si="188"/>
        <v>0</v>
      </c>
      <c r="AN285" s="27">
        <f t="shared" si="188"/>
        <v>0</v>
      </c>
      <c r="AO285" s="27">
        <f t="shared" si="188"/>
        <v>0</v>
      </c>
      <c r="AP285" s="27">
        <f t="shared" si="188"/>
        <v>0</v>
      </c>
      <c r="AQ285" s="27">
        <f t="shared" si="188"/>
        <v>0</v>
      </c>
      <c r="AR285" s="27">
        <f t="shared" si="188"/>
        <v>0</v>
      </c>
      <c r="AS285" s="27">
        <f t="shared" si="188"/>
        <v>0</v>
      </c>
      <c r="AT285" s="61">
        <f t="shared" si="188"/>
        <v>0</v>
      </c>
    </row>
    <row r="286" spans="1:46" s="27" customFormat="1" ht="11.25" hidden="1" x14ac:dyDescent="0.2">
      <c r="B286" s="60">
        <v>1</v>
      </c>
      <c r="C286" s="27">
        <f>IF($K276=0,0,1)</f>
        <v>0</v>
      </c>
      <c r="D286" s="27">
        <f>IF($K276=0,0,13-$N276)</f>
        <v>0</v>
      </c>
      <c r="E286" s="27">
        <f>IF(C286=0,0,-CUMPRINC(E276/12,M276*12,C276,C286,D286,0))</f>
        <v>0</v>
      </c>
      <c r="F286" s="27">
        <f>IF($K276=0,0,1)</f>
        <v>0</v>
      </c>
      <c r="G286" s="27">
        <f>IF($K276=0,0,13-$N276)</f>
        <v>0</v>
      </c>
      <c r="H286" s="27">
        <f>IF(F286=0,0,-CUMIPMT($E$276/12,$K$276,$C$276,F286,G286,0))</f>
        <v>0</v>
      </c>
      <c r="I286" s="27">
        <f>IF($K276=0,0,1)</f>
        <v>0</v>
      </c>
      <c r="J286" s="27">
        <f>J284</f>
        <v>0</v>
      </c>
      <c r="K286" s="27">
        <f>IF(I286=0,0,-CUMPRINC(E276/6,M276*6,C276,I286,J286,0))</f>
        <v>0</v>
      </c>
      <c r="L286" s="27">
        <f>IF($K276=0,0,1)</f>
        <v>0</v>
      </c>
      <c r="M286" s="27">
        <f>J284</f>
        <v>0</v>
      </c>
      <c r="N286" s="27">
        <f>IF(L286=0,0,-CUMIPMT(E276/6,D276*6,C276,L286,M286,0))</f>
        <v>0</v>
      </c>
      <c r="O286" s="27">
        <f>IF($K276=0,0,1)</f>
        <v>0</v>
      </c>
      <c r="P286" s="27">
        <f>P284</f>
        <v>0</v>
      </c>
      <c r="Q286" s="27">
        <f>IF(O286=0,0,-CUMPRINC(E276/4,M276*4,C276,O286,P286,0))</f>
        <v>0</v>
      </c>
      <c r="R286" s="27">
        <f>IF($K276=0,0,1)</f>
        <v>0</v>
      </c>
      <c r="S286" s="27">
        <f>P284</f>
        <v>0</v>
      </c>
      <c r="T286" s="27">
        <f>IF(R286=0,0,-CUMIPMT(E276/4,D276*4,C276,R286,S286,0))</f>
        <v>0</v>
      </c>
      <c r="U286" s="27">
        <f>IF($K276=0,0,1)</f>
        <v>0</v>
      </c>
      <c r="V286" s="27">
        <f>V284</f>
        <v>0</v>
      </c>
      <c r="W286" s="27">
        <f>IF(U286=0,0,-CUMPRINC(E276/2,M276*2,C276,U286,V286,0))</f>
        <v>0</v>
      </c>
      <c r="X286" s="27">
        <f>IF($K276=0,0,1)</f>
        <v>0</v>
      </c>
      <c r="Y286" s="27">
        <f>V284</f>
        <v>0</v>
      </c>
      <c r="Z286" s="27">
        <f>IF(X286=0,0,-CUMIPMT(E276/2,D276*2,C276,X286,Y286,0))</f>
        <v>0</v>
      </c>
      <c r="AA286" s="27">
        <f>IF($K276=0,0,1)</f>
        <v>0</v>
      </c>
      <c r="AB286" s="27">
        <f>AB284</f>
        <v>0</v>
      </c>
      <c r="AC286" s="27">
        <f>IF(AA286=0,0,-CUMPRINC(E276,M276,C276,AA286,AB286,0))</f>
        <v>0</v>
      </c>
      <c r="AD286" s="27">
        <f>IF($K276=0,0,1)</f>
        <v>0</v>
      </c>
      <c r="AE286" s="27">
        <f>AB284</f>
        <v>0</v>
      </c>
      <c r="AF286" s="27">
        <f>IF(AD286=0,0,-CUMIPMT(E276,D276,C276,AD286,AE286,0))</f>
        <v>0</v>
      </c>
      <c r="AH286" s="60" t="s">
        <v>548</v>
      </c>
      <c r="AI286" s="27">
        <f>IF(AI282&gt;0,AK283,0)</f>
        <v>0</v>
      </c>
      <c r="AJ286" s="27">
        <f>IF(AJ282&gt;0,AK283,0)</f>
        <v>0</v>
      </c>
      <c r="AK286" s="27">
        <f>IF(AK282&gt;0,AK283,0)</f>
        <v>0</v>
      </c>
      <c r="AL286" s="27">
        <f>IF(AL282&gt;0,AK283,0)</f>
        <v>0</v>
      </c>
      <c r="AM286" s="27">
        <f>IF(AM282&gt;0,AK283,0)</f>
        <v>0</v>
      </c>
      <c r="AN286" s="27">
        <f>IF(AN282&gt;0,AK283,0)</f>
        <v>0</v>
      </c>
      <c r="AO286" s="27">
        <f>IF(AO282&gt;0,AK283,0)</f>
        <v>0</v>
      </c>
      <c r="AP286" s="27">
        <f>IF(AP282&gt;0,AK283,0)</f>
        <v>0</v>
      </c>
      <c r="AQ286" s="27">
        <f>IF(AQ282&gt;0,AK283,0)</f>
        <v>0</v>
      </c>
      <c r="AR286" s="27">
        <f>IF(AR282&gt;0,AK283,0)</f>
        <v>0</v>
      </c>
      <c r="AS286" s="27">
        <f>IF(AS282&gt;0,AK283,0)</f>
        <v>0</v>
      </c>
      <c r="AT286" s="61">
        <f>IF(AT282&gt;0,AK283,0)</f>
        <v>0</v>
      </c>
    </row>
    <row r="287" spans="1:46" s="27" customFormat="1" ht="11.25" hidden="1" x14ac:dyDescent="0.2">
      <c r="B287" s="60">
        <f>+B286+1</f>
        <v>2</v>
      </c>
      <c r="C287" s="27">
        <f>IF(D286+1&gt;L276,0,D286+1)</f>
        <v>0</v>
      </c>
      <c r="D287" s="27">
        <f>IF(C287=0,0,IF(C287+11&gt;L276,L276,C287+11))</f>
        <v>0</v>
      </c>
      <c r="E287" s="27">
        <f>IF(C287=0,0,-CUMPRINC(E276/12,M276*12,C276,C287,D287,0))</f>
        <v>0</v>
      </c>
      <c r="F287" s="27">
        <f>IF(G286+1&gt;K276,0,G286+1)</f>
        <v>0</v>
      </c>
      <c r="G287" s="27">
        <f>IF(F287=0,0,IF(F287+11&gt;K276,K276,F287+11))</f>
        <v>0</v>
      </c>
      <c r="H287" s="27">
        <f>IF(F287=0,0,-CUMIPMT($E$276/12,$K$276,$C$276,F287,G287,0))</f>
        <v>0</v>
      </c>
      <c r="I287" s="27">
        <f>IF(J286+1&gt;L284,0,J286+1)</f>
        <v>0</v>
      </c>
      <c r="J287" s="27">
        <f>IF(I287=0,0,IF(I287+5&gt;L284,L284,I287+5))</f>
        <v>0</v>
      </c>
      <c r="K287" s="27">
        <f>IF(I287=0,0,-CUMPRINC(E276/6,M276*6,C276,I287,J287,0))</f>
        <v>0</v>
      </c>
      <c r="L287" s="27">
        <f>IF(M286+1&gt;N284,0,M286+1)</f>
        <v>0</v>
      </c>
      <c r="M287" s="27">
        <f>IF(L287=0,0,IF(L287+5&gt;N284,N284,L287+5))</f>
        <v>0</v>
      </c>
      <c r="N287" s="27">
        <f>IF(L287=0,0,-CUMIPMT(E276/6,D276*6,C276,L287,M287,0))</f>
        <v>0</v>
      </c>
      <c r="O287" s="27">
        <f>IF(P286+1&gt;R284,0,P286+1)</f>
        <v>0</v>
      </c>
      <c r="P287" s="27">
        <f>IF(O287=0,0,IF(O287+3&gt;R284,R284,O287+3))</f>
        <v>0</v>
      </c>
      <c r="Q287" s="27">
        <f>IF(O287=0,0,-CUMPRINC(E276/4,M276*4,C276,O287,P287,0))</f>
        <v>0</v>
      </c>
      <c r="R287" s="27">
        <f>IF(S286+1&gt;T284,0,S286+1)</f>
        <v>0</v>
      </c>
      <c r="S287" s="27">
        <f>IF(R287=0,0,IF(R287+3&gt;T284,T284,R287+3))</f>
        <v>0</v>
      </c>
      <c r="T287" s="27">
        <f>IF(R287=0,0,-CUMIPMT(E276/4,D276*4,C276,R287,S287,0))</f>
        <v>0</v>
      </c>
      <c r="U287" s="27">
        <f>IF(V286+1&gt;X284,0,V286+1)</f>
        <v>0</v>
      </c>
      <c r="V287" s="27">
        <f>IF(U287=0,0,IF(U287+1&gt;X284,X284,U287+1))</f>
        <v>0</v>
      </c>
      <c r="W287" s="27">
        <f>IF(U287=0,0,-CUMPRINC(E276/2,M276*2,C276,U287,V287,0))</f>
        <v>0</v>
      </c>
      <c r="X287" s="27">
        <f>IF(Y286+1&gt;Z284,0,Y286+1)</f>
        <v>0</v>
      </c>
      <c r="Y287" s="27">
        <f>IF(X287=0,0,IF(X287+1&gt;Z284,Z284,X287+1))</f>
        <v>0</v>
      </c>
      <c r="Z287" s="27">
        <f>IF(X287=0,0,-CUMIPMT(E276/2,D276*2,C276,X287,Y287,0))</f>
        <v>0</v>
      </c>
      <c r="AA287" s="27">
        <f>IF(AB286+1&gt;AD284,0,AB286+1)</f>
        <v>0</v>
      </c>
      <c r="AB287" s="27">
        <f>IF(AA287=0,0,IF(AA287&gt;AD284,AD284,AA287))</f>
        <v>0</v>
      </c>
      <c r="AC287" s="27">
        <f>IF(AA287=0,0,-CUMPRINC(E276,M276,C276,AA287,AB287,0))</f>
        <v>0</v>
      </c>
      <c r="AD287" s="27">
        <f>IF(AE286+1&gt;AF284,0,AE286+1)</f>
        <v>0</v>
      </c>
      <c r="AE287" s="27">
        <f>IF(AD287=0,0,IF(AD287&gt;AF284,AF284,AD287))</f>
        <v>0</v>
      </c>
      <c r="AF287" s="27">
        <f>IF(AD287=0,0,-CUMIPMT(E276,D276,C276,AD287,AE287,0))</f>
        <v>0</v>
      </c>
      <c r="AH287" s="60" t="s">
        <v>549</v>
      </c>
      <c r="AI287" s="27">
        <f t="shared" ref="AI287:AT287" si="189">+AI282-AI286</f>
        <v>0</v>
      </c>
      <c r="AJ287" s="27">
        <f t="shared" si="189"/>
        <v>0</v>
      </c>
      <c r="AK287" s="27">
        <f t="shared" si="189"/>
        <v>0</v>
      </c>
      <c r="AL287" s="27">
        <f t="shared" si="189"/>
        <v>0</v>
      </c>
      <c r="AM287" s="27">
        <f t="shared" si="189"/>
        <v>0</v>
      </c>
      <c r="AN287" s="27">
        <f t="shared" si="189"/>
        <v>0</v>
      </c>
      <c r="AO287" s="27">
        <f t="shared" si="189"/>
        <v>0</v>
      </c>
      <c r="AP287" s="27">
        <f t="shared" si="189"/>
        <v>0</v>
      </c>
      <c r="AQ287" s="27">
        <f t="shared" si="189"/>
        <v>0</v>
      </c>
      <c r="AR287" s="27">
        <f t="shared" si="189"/>
        <v>0</v>
      </c>
      <c r="AS287" s="27">
        <f t="shared" si="189"/>
        <v>0</v>
      </c>
      <c r="AT287" s="61">
        <f t="shared" si="189"/>
        <v>0</v>
      </c>
    </row>
    <row r="288" spans="1:46" s="27" customFormat="1" ht="11.25" hidden="1" x14ac:dyDescent="0.2">
      <c r="B288" s="60">
        <f>+B287+1</f>
        <v>3</v>
      </c>
      <c r="C288" s="27">
        <f>IF(D287=0,0,IF(D287+1&gt;L276,0,D287+1))</f>
        <v>0</v>
      </c>
      <c r="D288" s="27">
        <f>IF(C288=0,0,IF(C288+11&gt;L276,L276,C288+11))</f>
        <v>0</v>
      </c>
      <c r="E288" s="27">
        <f>IF(C288=0,0,-CUMPRINC(E276/12,M276*12,C276,C288,D288,0))</f>
        <v>0</v>
      </c>
      <c r="F288" s="27">
        <f>IF(G287=0,0,IF(G287+1&gt;K276,0,G287+1))</f>
        <v>0</v>
      </c>
      <c r="G288" s="27">
        <f>IF(F288=0,0,IF(F288+11&gt;K276,K276,F288+11))</f>
        <v>0</v>
      </c>
      <c r="H288" s="27">
        <f>IF(F288=0,0,-CUMIPMT($E$276/12,$K$276,$C$276,F288,G288,0))</f>
        <v>0</v>
      </c>
      <c r="I288" s="27">
        <f>IF(J287=0,0,IF(J287+1&gt;L284,0,J287+1))</f>
        <v>0</v>
      </c>
      <c r="J288" s="27">
        <f>IF(I288=0,0,IF(I288+5&gt;L284,L284,I288+5))</f>
        <v>0</v>
      </c>
      <c r="K288" s="27">
        <f>IF(I288=0,0,-CUMPRINC(E276/6,M276*6,C276,I288,J288,0))</f>
        <v>0</v>
      </c>
      <c r="L288" s="27">
        <f>IF(M287=0,0,IF(M287+1&gt;N284,0,M287+1))</f>
        <v>0</v>
      </c>
      <c r="M288" s="27">
        <f>IF(L288=0,0,IF(L288+5&gt;N284,N284,L288+5))</f>
        <v>0</v>
      </c>
      <c r="N288" s="27">
        <f>IF(L288=0,0,-CUMIPMT(E276/6,D276*6,C276,L288,M288,0))</f>
        <v>0</v>
      </c>
      <c r="O288" s="27">
        <f>IF(P287=0,0,IF(P287+1&gt;R284,0,P287+1))</f>
        <v>0</v>
      </c>
      <c r="P288" s="27">
        <f>IF(O288=0,0,IF(O288+3&gt;R284,R284,O288+3))</f>
        <v>0</v>
      </c>
      <c r="Q288" s="27">
        <f>IF(O288=0,0,-CUMPRINC(E276/4,M276*4,C276,O288,P288,0))</f>
        <v>0</v>
      </c>
      <c r="R288" s="27">
        <f>IF(S287=0,0,IF(S287+1&gt;T284,0,S287+1))</f>
        <v>0</v>
      </c>
      <c r="S288" s="27">
        <f>IF(R288=0,0,IF(R288+3&gt;T284,T284,R288+3))</f>
        <v>0</v>
      </c>
      <c r="T288" s="27">
        <f>IF(R288=0,0,-CUMIPMT(E276/4,D276*4,C276,R288,S288,0))</f>
        <v>0</v>
      </c>
      <c r="U288" s="27">
        <f>IF(V287=0,0,IF(V287+1&gt;X284,0,V287+1))</f>
        <v>0</v>
      </c>
      <c r="V288" s="27">
        <f>IF(U288=0,0,IF(U288+1&gt;X284,X284,U288+1))</f>
        <v>0</v>
      </c>
      <c r="W288" s="27">
        <f>IF(U288=0,0,-CUMPRINC(E276/2,M276*2,C276,U288,V288,0))</f>
        <v>0</v>
      </c>
      <c r="X288" s="27">
        <f>IF(Y287=0,0,IF(Y287+1&gt;Z284,0,Y287+1))</f>
        <v>0</v>
      </c>
      <c r="Y288" s="27">
        <f>IF(X288=0,0,IF(X288+1&gt;Z284,Z284,X288+1))</f>
        <v>0</v>
      </c>
      <c r="Z288" s="27">
        <f>IF(X288=0,0,-CUMIPMT(E276/2,D276*2,C276,X288,Y288,0))</f>
        <v>0</v>
      </c>
      <c r="AA288" s="27">
        <f>IF(AB287=0,0,IF(AB287+1&gt;AD284,0,AB287+1))</f>
        <v>0</v>
      </c>
      <c r="AB288" s="27">
        <f>IF(AA288=0,0,IF(AA288&gt;AD284,AD284,AA288))</f>
        <v>0</v>
      </c>
      <c r="AC288" s="27">
        <f>IF(AA288=0,0,-CUMPRINC(E276,M276,C276,AA288,AB288,0))</f>
        <v>0</v>
      </c>
      <c r="AD288" s="27">
        <f>IF(AE287=0,0,IF(AE287+1&gt;AF284,0,AE287+1))</f>
        <v>0</v>
      </c>
      <c r="AE288" s="27">
        <f>IF(AD288=0,0,IF(AD288&gt;AF284,AF284,AD288))</f>
        <v>0</v>
      </c>
      <c r="AF288" s="27">
        <f>IF(AD288=0,0,-CUMIPMT(E276,D276,C276,AD288,AE288,0))</f>
        <v>0</v>
      </c>
      <c r="AH288" s="60" t="s">
        <v>958</v>
      </c>
      <c r="AI288" s="27">
        <f t="shared" ref="AI288:AT288" si="190">+AI287+AI286</f>
        <v>0</v>
      </c>
      <c r="AJ288" s="27">
        <f t="shared" si="190"/>
        <v>0</v>
      </c>
      <c r="AK288" s="27">
        <f t="shared" si="190"/>
        <v>0</v>
      </c>
      <c r="AL288" s="27">
        <f t="shared" si="190"/>
        <v>0</v>
      </c>
      <c r="AM288" s="27">
        <f t="shared" si="190"/>
        <v>0</v>
      </c>
      <c r="AN288" s="27">
        <f t="shared" si="190"/>
        <v>0</v>
      </c>
      <c r="AO288" s="27">
        <f t="shared" si="190"/>
        <v>0</v>
      </c>
      <c r="AP288" s="27">
        <f t="shared" si="190"/>
        <v>0</v>
      </c>
      <c r="AQ288" s="27">
        <f t="shared" si="190"/>
        <v>0</v>
      </c>
      <c r="AR288" s="27">
        <f t="shared" si="190"/>
        <v>0</v>
      </c>
      <c r="AS288" s="27">
        <f t="shared" si="190"/>
        <v>0</v>
      </c>
      <c r="AT288" s="61">
        <f t="shared" si="190"/>
        <v>0</v>
      </c>
    </row>
    <row r="289" spans="1:46" s="27" customFormat="1" ht="11.25" hidden="1" x14ac:dyDescent="0.2">
      <c r="B289" s="60"/>
      <c r="C289" s="27" t="s">
        <v>1559</v>
      </c>
      <c r="D289" s="27">
        <f>IF(G286=0,0,(H286+E286)/G286)</f>
        <v>0</v>
      </c>
      <c r="E289" s="27">
        <f>SUM(E286:E288)</f>
        <v>0</v>
      </c>
      <c r="H289" s="27">
        <f>SUM(H286:H288)</f>
        <v>0</v>
      </c>
      <c r="I289" s="27" t="s">
        <v>1559</v>
      </c>
      <c r="J289" s="27">
        <f>IF(M286=0,0,(N286+K286)/M286)</f>
        <v>0</v>
      </c>
      <c r="K289" s="27">
        <f>SUM(K286:K288)</f>
        <v>0</v>
      </c>
      <c r="N289" s="27">
        <f>SUM(N286:N288)</f>
        <v>0</v>
      </c>
      <c r="O289" s="27" t="s">
        <v>1559</v>
      </c>
      <c r="P289" s="27">
        <f>IF(S286=0,0,(T286+Q286)/S286)</f>
        <v>0</v>
      </c>
      <c r="Q289" s="27">
        <f>SUM(Q286:Q288)</f>
        <v>0</v>
      </c>
      <c r="T289" s="27">
        <f>SUM(T286:T288)</f>
        <v>0</v>
      </c>
      <c r="U289" s="27" t="s">
        <v>1559</v>
      </c>
      <c r="V289" s="27">
        <f>IF(Y286=0,0,(Z286+W286)/Y286)</f>
        <v>0</v>
      </c>
      <c r="W289" s="27">
        <f>SUM(W286:W288)</f>
        <v>0</v>
      </c>
      <c r="Z289" s="27">
        <f>SUM(Z286:Z288)</f>
        <v>0</v>
      </c>
      <c r="AA289" s="27" t="s">
        <v>1559</v>
      </c>
      <c r="AB289" s="27">
        <f>IF(AE286=0,0,(AF286+AC286)/AE286)</f>
        <v>0</v>
      </c>
      <c r="AC289" s="27">
        <f>SUM(AC286:AC288)</f>
        <v>0</v>
      </c>
      <c r="AF289" s="27">
        <f>SUM(AF286:AF288)</f>
        <v>0</v>
      </c>
      <c r="AH289" s="60" t="s">
        <v>953</v>
      </c>
      <c r="AI289" s="27">
        <f>IF(AI285=0,0,$AI299)</f>
        <v>0</v>
      </c>
      <c r="AJ289" s="27">
        <f t="shared" ref="AJ289:AT289" si="191">IF(AJ285=0,0,$AI299)+AI290</f>
        <v>0</v>
      </c>
      <c r="AK289" s="27">
        <f t="shared" si="191"/>
        <v>0</v>
      </c>
      <c r="AL289" s="27">
        <f t="shared" si="191"/>
        <v>0</v>
      </c>
      <c r="AM289" s="27">
        <f t="shared" si="191"/>
        <v>0</v>
      </c>
      <c r="AN289" s="27">
        <f t="shared" si="191"/>
        <v>0</v>
      </c>
      <c r="AO289" s="27">
        <f t="shared" si="191"/>
        <v>0</v>
      </c>
      <c r="AP289" s="27">
        <f t="shared" si="191"/>
        <v>0</v>
      </c>
      <c r="AQ289" s="27">
        <f t="shared" si="191"/>
        <v>0</v>
      </c>
      <c r="AR289" s="27">
        <f t="shared" si="191"/>
        <v>0</v>
      </c>
      <c r="AS289" s="27">
        <f t="shared" si="191"/>
        <v>0</v>
      </c>
      <c r="AT289" s="61">
        <f t="shared" si="191"/>
        <v>0</v>
      </c>
    </row>
    <row r="290" spans="1:46" s="27" customFormat="1" ht="11.25" hidden="1" x14ac:dyDescent="0.2">
      <c r="B290" s="60"/>
      <c r="AH290" s="60" t="s">
        <v>954</v>
      </c>
      <c r="AI290" s="27">
        <f>+AI289-AI286</f>
        <v>0</v>
      </c>
      <c r="AJ290" s="27">
        <f t="shared" ref="AJ290:AT290" si="192">+AJ289-AJ286</f>
        <v>0</v>
      </c>
      <c r="AK290" s="27">
        <f t="shared" si="192"/>
        <v>0</v>
      </c>
      <c r="AL290" s="27">
        <f t="shared" si="192"/>
        <v>0</v>
      </c>
      <c r="AM290" s="27">
        <f t="shared" si="192"/>
        <v>0</v>
      </c>
      <c r="AN290" s="27">
        <f t="shared" si="192"/>
        <v>0</v>
      </c>
      <c r="AO290" s="27">
        <f t="shared" si="192"/>
        <v>0</v>
      </c>
      <c r="AP290" s="27">
        <f t="shared" si="192"/>
        <v>0</v>
      </c>
      <c r="AQ290" s="27">
        <f t="shared" si="192"/>
        <v>0</v>
      </c>
      <c r="AR290" s="27">
        <f t="shared" si="192"/>
        <v>0</v>
      </c>
      <c r="AS290" s="27">
        <f t="shared" si="192"/>
        <v>0</v>
      </c>
      <c r="AT290" s="61">
        <f t="shared" si="192"/>
        <v>0</v>
      </c>
    </row>
    <row r="291" spans="1:46" s="27" customFormat="1" ht="11.25" hidden="1" x14ac:dyDescent="0.2">
      <c r="B291" s="60"/>
      <c r="AH291" s="60" t="s">
        <v>1392</v>
      </c>
      <c r="AI291" s="27">
        <f>IF(AI285=0,0,$G276)</f>
        <v>0</v>
      </c>
      <c r="AJ291" s="27">
        <f t="shared" ref="AJ291:AT291" si="193">IF(AJ285=0,0,$G276)</f>
        <v>0</v>
      </c>
      <c r="AK291" s="27">
        <f t="shared" si="193"/>
        <v>0</v>
      </c>
      <c r="AL291" s="27">
        <f t="shared" si="193"/>
        <v>0</v>
      </c>
      <c r="AM291" s="27">
        <f t="shared" si="193"/>
        <v>0</v>
      </c>
      <c r="AN291" s="27">
        <f t="shared" si="193"/>
        <v>0</v>
      </c>
      <c r="AO291" s="27">
        <f t="shared" si="193"/>
        <v>0</v>
      </c>
      <c r="AP291" s="27">
        <f t="shared" si="193"/>
        <v>0</v>
      </c>
      <c r="AQ291" s="27">
        <f t="shared" si="193"/>
        <v>0</v>
      </c>
      <c r="AR291" s="27">
        <f t="shared" si="193"/>
        <v>0</v>
      </c>
      <c r="AS291" s="27">
        <f t="shared" si="193"/>
        <v>0</v>
      </c>
      <c r="AT291" s="61">
        <f t="shared" si="193"/>
        <v>0</v>
      </c>
    </row>
    <row r="292" spans="1:46" s="27" customFormat="1" ht="11.25" hidden="1" x14ac:dyDescent="0.2">
      <c r="B292" s="60"/>
      <c r="AH292" s="60"/>
      <c r="AI292" s="27">
        <v>1</v>
      </c>
      <c r="AJ292" s="27">
        <f t="shared" ref="AJ292:AT292" si="194">+AI292+1</f>
        <v>2</v>
      </c>
      <c r="AK292" s="27">
        <f t="shared" si="194"/>
        <v>3</v>
      </c>
      <c r="AL292" s="27">
        <f t="shared" si="194"/>
        <v>4</v>
      </c>
      <c r="AM292" s="27">
        <f t="shared" si="194"/>
        <v>5</v>
      </c>
      <c r="AN292" s="27">
        <f t="shared" si="194"/>
        <v>6</v>
      </c>
      <c r="AO292" s="27">
        <f t="shared" si="194"/>
        <v>7</v>
      </c>
      <c r="AP292" s="27">
        <f t="shared" si="194"/>
        <v>8</v>
      </c>
      <c r="AQ292" s="27">
        <f t="shared" si="194"/>
        <v>9</v>
      </c>
      <c r="AR292" s="27">
        <f t="shared" si="194"/>
        <v>10</v>
      </c>
      <c r="AS292" s="27">
        <f t="shared" si="194"/>
        <v>11</v>
      </c>
      <c r="AT292" s="61">
        <f t="shared" si="194"/>
        <v>12</v>
      </c>
    </row>
    <row r="293" spans="1:46" s="27" customFormat="1" ht="11.25" hidden="1" x14ac:dyDescent="0.2">
      <c r="B293" s="60"/>
      <c r="AH293" s="60" t="s">
        <v>12</v>
      </c>
      <c r="AI293" s="27">
        <f>D!$N$6</f>
        <v>2013</v>
      </c>
      <c r="AJ293" s="27">
        <f t="shared" ref="AJ293:AT293" si="195">+AI293+1</f>
        <v>2014</v>
      </c>
      <c r="AK293" s="27">
        <f t="shared" si="195"/>
        <v>2015</v>
      </c>
      <c r="AL293" s="27">
        <f t="shared" si="195"/>
        <v>2016</v>
      </c>
      <c r="AM293" s="27">
        <f t="shared" si="195"/>
        <v>2017</v>
      </c>
      <c r="AN293" s="27">
        <f t="shared" si="195"/>
        <v>2018</v>
      </c>
      <c r="AO293" s="27">
        <f t="shared" si="195"/>
        <v>2019</v>
      </c>
      <c r="AP293" s="27">
        <f t="shared" si="195"/>
        <v>2020</v>
      </c>
      <c r="AQ293" s="27">
        <f t="shared" si="195"/>
        <v>2021</v>
      </c>
      <c r="AR293" s="27">
        <f t="shared" si="195"/>
        <v>2022</v>
      </c>
      <c r="AS293" s="27">
        <f t="shared" si="195"/>
        <v>2023</v>
      </c>
      <c r="AT293" s="61">
        <f t="shared" si="195"/>
        <v>2024</v>
      </c>
    </row>
    <row r="294" spans="1:46" s="27" customFormat="1" ht="11.25" hidden="1" x14ac:dyDescent="0.2">
      <c r="B294" s="60"/>
      <c r="AH294" s="60" t="s">
        <v>7</v>
      </c>
      <c r="AI294" s="27">
        <f>+C276</f>
        <v>0</v>
      </c>
      <c r="AT294" s="61"/>
    </row>
    <row r="295" spans="1:46" s="27" customFormat="1" ht="11.25" hidden="1" x14ac:dyDescent="0.2">
      <c r="B295" s="60"/>
      <c r="AH295" s="60" t="s">
        <v>1530</v>
      </c>
      <c r="AT295" s="61"/>
    </row>
    <row r="296" spans="1:46" s="27" customFormat="1" ht="11.25" hidden="1" x14ac:dyDescent="0.2">
      <c r="B296" s="60"/>
      <c r="AH296" s="60" t="s">
        <v>8</v>
      </c>
      <c r="AI296" s="27">
        <f>SUMIF($P276:$P280,$AH282,Q276:Q280)</f>
        <v>0</v>
      </c>
      <c r="AJ296" s="27">
        <f>SUMIF($P276:$P280,$AH282,S276:S280)</f>
        <v>0</v>
      </c>
      <c r="AK296" s="27">
        <f>SUMIF($P276:$P280,$AH282,U276:U280)</f>
        <v>0</v>
      </c>
      <c r="AL296" s="27">
        <f>SUMIF($P276:$P280,$AH282,W276:W280)</f>
        <v>0</v>
      </c>
      <c r="AM296" s="27">
        <f>SUMIF($P276:$P280,$AH282,Y276:Y280)</f>
        <v>0</v>
      </c>
      <c r="AT296" s="61"/>
    </row>
    <row r="297" spans="1:46" s="27" customFormat="1" ht="11.25" hidden="1" x14ac:dyDescent="0.2">
      <c r="B297" s="60"/>
      <c r="AH297" s="60" t="s">
        <v>9</v>
      </c>
      <c r="AI297" s="27">
        <f>SUMIF($P276:$P280,$AH282,R276:R280)</f>
        <v>0</v>
      </c>
      <c r="AJ297" s="27">
        <f>SUMIF($P276:$P280,$AH282,T276:T280)</f>
        <v>0</v>
      </c>
      <c r="AK297" s="27">
        <f>SUMIF($P276:$P280,$AH282,V276:V280)</f>
        <v>0</v>
      </c>
      <c r="AL297" s="27">
        <f>SUMIF($P276:$P280,$AH282,X276:X280)</f>
        <v>0</v>
      </c>
      <c r="AM297" s="27">
        <f>SUMIF($P276:$P280,$AH282,Z276:Z280)</f>
        <v>0</v>
      </c>
      <c r="AT297" s="61"/>
    </row>
    <row r="298" spans="1:46" s="27" customFormat="1" ht="11.25" hidden="1" x14ac:dyDescent="0.2">
      <c r="B298" s="60"/>
      <c r="AH298" s="60" t="s">
        <v>958</v>
      </c>
      <c r="AI298" s="27">
        <f>+AI297+AI296</f>
        <v>0</v>
      </c>
      <c r="AJ298" s="27">
        <f>+AJ297+AJ296</f>
        <v>0</v>
      </c>
      <c r="AK298" s="27">
        <f>+AK297+AK296</f>
        <v>0</v>
      </c>
      <c r="AL298" s="27">
        <f>+AL297+AL296</f>
        <v>0</v>
      </c>
      <c r="AM298" s="27">
        <f>+AM297+AM296</f>
        <v>0</v>
      </c>
      <c r="AT298" s="61"/>
    </row>
    <row r="299" spans="1:46" s="27" customFormat="1" ht="11.25" hidden="1" x14ac:dyDescent="0.2">
      <c r="B299" s="60"/>
      <c r="AH299" s="60" t="s">
        <v>10</v>
      </c>
      <c r="AI299" s="27">
        <f>+C276</f>
        <v>0</v>
      </c>
      <c r="AT299" s="61"/>
    </row>
    <row r="300" spans="1:46" s="27" customFormat="1" ht="11.25" hidden="1" x14ac:dyDescent="0.2">
      <c r="B300" s="60"/>
      <c r="AH300" s="60" t="s">
        <v>11</v>
      </c>
      <c r="AI300" s="27">
        <f>+AI299-AI296</f>
        <v>0</v>
      </c>
      <c r="AJ300" s="27">
        <f>+AI300-AJ296</f>
        <v>0</v>
      </c>
      <c r="AK300" s="27">
        <f>+AJ300-AK296</f>
        <v>0</v>
      </c>
      <c r="AL300" s="27">
        <f>+AK300-AL296</f>
        <v>0</v>
      </c>
      <c r="AM300" s="27">
        <f>+AL300-AM296</f>
        <v>0</v>
      </c>
      <c r="AT300" s="61"/>
    </row>
    <row r="301" spans="1:46" s="27" customFormat="1" ht="11.25" hidden="1" x14ac:dyDescent="0.2">
      <c r="B301" s="65"/>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5" t="s">
        <v>1392</v>
      </c>
      <c r="AI301" s="66">
        <f>IF(AI294=0,0,$G276)</f>
        <v>0</v>
      </c>
      <c r="AJ301" s="66">
        <f>IF(AJ294=0,0,$G276)</f>
        <v>0</v>
      </c>
      <c r="AK301" s="66">
        <f>IF(AK294=0,0,$G276)</f>
        <v>0</v>
      </c>
      <c r="AL301" s="66">
        <f>IF(AL294=0,0,$G276)</f>
        <v>0</v>
      </c>
      <c r="AM301" s="66">
        <f>IF(AM294=0,0,$G276)</f>
        <v>0</v>
      </c>
      <c r="AN301" s="66"/>
      <c r="AO301" s="66"/>
      <c r="AP301" s="66"/>
      <c r="AQ301" s="66"/>
      <c r="AR301" s="66"/>
      <c r="AS301" s="66"/>
      <c r="AT301" s="67"/>
    </row>
    <row r="302" spans="1:46" s="27" customFormat="1" ht="11.25" hidden="1" x14ac:dyDescent="0.2">
      <c r="AH302" s="60"/>
      <c r="AT302" s="61"/>
    </row>
    <row r="303" spans="1:46" s="27" customFormat="1" ht="11.25" hidden="1" x14ac:dyDescent="0.2">
      <c r="A303" s="27" t="s">
        <v>395</v>
      </c>
      <c r="B303" s="62" t="s">
        <v>394</v>
      </c>
      <c r="C303" s="63"/>
      <c r="D303" s="63"/>
      <c r="E303" s="63"/>
      <c r="F303" s="63"/>
      <c r="G303" s="63"/>
      <c r="H303" s="63"/>
      <c r="I303" s="63"/>
      <c r="J303" s="63"/>
      <c r="K303" s="63"/>
      <c r="L303" s="63"/>
      <c r="M303" s="63"/>
      <c r="N303" s="63"/>
      <c r="O303" s="63"/>
      <c r="P303" s="63"/>
      <c r="Q303" s="63">
        <v>1</v>
      </c>
      <c r="R303" s="63"/>
      <c r="S303" s="63">
        <f>+Q303+1</f>
        <v>2</v>
      </c>
      <c r="T303" s="63"/>
      <c r="U303" s="63">
        <f>+S303+1</f>
        <v>3</v>
      </c>
      <c r="V303" s="63"/>
      <c r="W303" s="63">
        <f>+U303+1</f>
        <v>4</v>
      </c>
      <c r="X303" s="63"/>
      <c r="Y303" s="63">
        <f>+W303+1</f>
        <v>5</v>
      </c>
      <c r="Z303" s="63"/>
      <c r="AA303" s="63"/>
      <c r="AB303" s="63"/>
      <c r="AC303" s="63"/>
      <c r="AD303" s="63"/>
      <c r="AE303" s="63"/>
      <c r="AF303" s="63"/>
      <c r="AG303" s="63"/>
      <c r="AH303" s="62"/>
      <c r="AI303" s="63" t="str">
        <f t="shared" ref="AI303:AT303" si="196">AI274</f>
        <v>Enero</v>
      </c>
      <c r="AJ303" s="63" t="str">
        <f t="shared" si="196"/>
        <v>Febrero</v>
      </c>
      <c r="AK303" s="63" t="str">
        <f t="shared" si="196"/>
        <v>Marzo</v>
      </c>
      <c r="AL303" s="63" t="str">
        <f t="shared" si="196"/>
        <v>Abril</v>
      </c>
      <c r="AM303" s="63" t="str">
        <f t="shared" si="196"/>
        <v xml:space="preserve">Mayo </v>
      </c>
      <c r="AN303" s="63" t="str">
        <f t="shared" si="196"/>
        <v>Junio</v>
      </c>
      <c r="AO303" s="63" t="str">
        <f t="shared" si="196"/>
        <v>Julio</v>
      </c>
      <c r="AP303" s="63" t="str">
        <f t="shared" si="196"/>
        <v>Agosto</v>
      </c>
      <c r="AQ303" s="63" t="str">
        <f t="shared" si="196"/>
        <v>Septiembre</v>
      </c>
      <c r="AR303" s="63" t="str">
        <f t="shared" si="196"/>
        <v>Octubre</v>
      </c>
      <c r="AS303" s="63" t="str">
        <f t="shared" si="196"/>
        <v>Noviembre</v>
      </c>
      <c r="AT303" s="64" t="str">
        <f t="shared" si="196"/>
        <v>Diciembre</v>
      </c>
    </row>
    <row r="304" spans="1:46" s="27" customFormat="1" ht="11.25" hidden="1" x14ac:dyDescent="0.2">
      <c r="B304" s="60" t="s">
        <v>1404</v>
      </c>
      <c r="C304" s="27" t="s">
        <v>1453</v>
      </c>
      <c r="D304" s="27" t="s">
        <v>1435</v>
      </c>
      <c r="E304" s="27" t="s">
        <v>236</v>
      </c>
      <c r="F304" s="27" t="s">
        <v>1443</v>
      </c>
      <c r="G304" s="27" t="s">
        <v>1437</v>
      </c>
      <c r="H304" s="27" t="s">
        <v>1406</v>
      </c>
      <c r="J304" s="27" t="s">
        <v>1410</v>
      </c>
      <c r="K304" s="27" t="s">
        <v>1413</v>
      </c>
      <c r="L304" s="27" t="s">
        <v>1412</v>
      </c>
      <c r="M304" s="27" t="s">
        <v>1414</v>
      </c>
      <c r="N304" s="27" t="s">
        <v>1558</v>
      </c>
      <c r="Q304" s="27" t="s">
        <v>550</v>
      </c>
      <c r="R304" s="27" t="s">
        <v>551</v>
      </c>
      <c r="S304" s="27" t="s">
        <v>550</v>
      </c>
      <c r="T304" s="27" t="s">
        <v>551</v>
      </c>
      <c r="U304" s="27" t="s">
        <v>550</v>
      </c>
      <c r="V304" s="27" t="s">
        <v>551</v>
      </c>
      <c r="W304" s="27" t="s">
        <v>550</v>
      </c>
      <c r="X304" s="27" t="s">
        <v>551</v>
      </c>
      <c r="Y304" s="27" t="s">
        <v>550</v>
      </c>
      <c r="Z304" s="27" t="s">
        <v>551</v>
      </c>
      <c r="AH304" s="60"/>
      <c r="AI304" s="27">
        <v>1</v>
      </c>
      <c r="AJ304" s="27">
        <v>2</v>
      </c>
      <c r="AK304" s="27">
        <v>3</v>
      </c>
      <c r="AL304" s="27">
        <v>4</v>
      </c>
      <c r="AM304" s="27">
        <v>5</v>
      </c>
      <c r="AN304" s="27">
        <v>6</v>
      </c>
      <c r="AO304" s="27">
        <v>7</v>
      </c>
      <c r="AP304" s="27">
        <v>8</v>
      </c>
      <c r="AQ304" s="27">
        <v>9</v>
      </c>
      <c r="AR304" s="27">
        <v>10</v>
      </c>
      <c r="AS304" s="27">
        <v>11</v>
      </c>
      <c r="AT304" s="61">
        <v>12</v>
      </c>
    </row>
    <row r="305" spans="2:46" s="27" customFormat="1" ht="11.25" hidden="1" x14ac:dyDescent="0.2">
      <c r="B305" s="60"/>
      <c r="C305" s="27">
        <f>+C306</f>
        <v>0</v>
      </c>
      <c r="D305" s="27">
        <f>SUMIF(pcorto,D306,SB!$O$122:$O$123)</f>
        <v>0</v>
      </c>
      <c r="E305" s="27">
        <f>+E306</f>
        <v>0</v>
      </c>
      <c r="G305" s="27">
        <f>+G306</f>
        <v>0</v>
      </c>
      <c r="H305" s="27" t="str">
        <f>IF(H306=0,D!$Q$6,H306)</f>
        <v>Enero</v>
      </c>
      <c r="K305" s="27">
        <f>IF(C305=0,0,D305*12)</f>
        <v>0</v>
      </c>
      <c r="L305" s="27">
        <f>IF(C305=0,0,IF(J305=0,K305,K305-J305))</f>
        <v>0</v>
      </c>
      <c r="M305" s="27">
        <f>IF(J305=0,D305,D305-(J305/12))</f>
        <v>0</v>
      </c>
      <c r="N305" s="27">
        <f>IF(O306&gt;13,13,O306)</f>
        <v>13</v>
      </c>
      <c r="O305" s="27">
        <f>SUMIF($AI$76:$AT$76,H305,$AI$77:$AT$77)</f>
        <v>1</v>
      </c>
      <c r="P305" s="27" t="str">
        <f>SB!$P$122</f>
        <v>cada MES</v>
      </c>
      <c r="Q305" s="27">
        <f>IF(N305&gt;12,0,E315)</f>
        <v>0</v>
      </c>
      <c r="R305" s="27">
        <f>IF(N305&gt;12,0,H315)</f>
        <v>0</v>
      </c>
      <c r="S305" s="27">
        <f>+E316</f>
        <v>0</v>
      </c>
      <c r="T305" s="27">
        <f>+H316</f>
        <v>0</v>
      </c>
      <c r="U305" s="27">
        <f>+E317</f>
        <v>0</v>
      </c>
      <c r="V305" s="27">
        <f>+H317</f>
        <v>0</v>
      </c>
      <c r="AD305" s="27" t="s">
        <v>547</v>
      </c>
      <c r="AH305" s="60"/>
      <c r="AI305" s="27">
        <f t="shared" ref="AI305:AT305" si="197">IF($N305=AI304,"INI",0)</f>
        <v>0</v>
      </c>
      <c r="AJ305" s="27">
        <f t="shared" si="197"/>
        <v>0</v>
      </c>
      <c r="AK305" s="27">
        <f t="shared" si="197"/>
        <v>0</v>
      </c>
      <c r="AL305" s="27">
        <f t="shared" si="197"/>
        <v>0</v>
      </c>
      <c r="AM305" s="27">
        <f t="shared" si="197"/>
        <v>0</v>
      </c>
      <c r="AN305" s="27">
        <f t="shared" si="197"/>
        <v>0</v>
      </c>
      <c r="AO305" s="27">
        <f t="shared" si="197"/>
        <v>0</v>
      </c>
      <c r="AP305" s="27">
        <f t="shared" si="197"/>
        <v>0</v>
      </c>
      <c r="AQ305" s="27">
        <f t="shared" si="197"/>
        <v>0</v>
      </c>
      <c r="AR305" s="27">
        <f t="shared" si="197"/>
        <v>0</v>
      </c>
      <c r="AS305" s="27">
        <f t="shared" si="197"/>
        <v>0</v>
      </c>
      <c r="AT305" s="61">
        <f t="shared" si="197"/>
        <v>0</v>
      </c>
    </row>
    <row r="306" spans="2:46" s="27" customFormat="1" ht="11.25" hidden="1" x14ac:dyDescent="0.2">
      <c r="B306" s="60">
        <f>'2'!$E$23</f>
        <v>0</v>
      </c>
      <c r="C306" s="27">
        <f>'2'!H23</f>
        <v>0</v>
      </c>
      <c r="D306" s="27">
        <f>'2'!I23</f>
        <v>0</v>
      </c>
      <c r="E306" s="27">
        <f>'2'!J23</f>
        <v>0</v>
      </c>
      <c r="F306" s="27">
        <f>'2'!K23</f>
        <v>0</v>
      </c>
      <c r="G306" s="27">
        <f>'2'!L23</f>
        <v>0</v>
      </c>
      <c r="H306" s="27">
        <f>'2'!M23</f>
        <v>0</v>
      </c>
      <c r="J306" s="27" t="str">
        <f>IF(K305=L305,"OK","¿error?")</f>
        <v>OK</v>
      </c>
      <c r="O306" s="27" t="b">
        <f>IF(F306=P305,O305,IF(F306=P306,O305+1,IF(F306=P307,O305+2,IF(F306=P308,O305+5,IF(F306=P309,O305+11)))))</f>
        <v>0</v>
      </c>
      <c r="P306" s="27" t="str">
        <f>SB!$P$123</f>
        <v>BIMENSUAL</v>
      </c>
      <c r="Q306" s="27">
        <f>IF(N305&gt;12,0,K315)</f>
        <v>0</v>
      </c>
      <c r="R306" s="27">
        <f>IF(N305&gt;12,0,N315)</f>
        <v>0</v>
      </c>
      <c r="S306" s="27">
        <f>+K316</f>
        <v>0</v>
      </c>
      <c r="T306" s="27">
        <f>+N316</f>
        <v>0</v>
      </c>
      <c r="U306" s="27">
        <f>+K317</f>
        <v>0</v>
      </c>
      <c r="V306" s="27">
        <f>+N317</f>
        <v>0</v>
      </c>
      <c r="AD306" s="27">
        <f>IF(D315=0,0,E315/D315)</f>
        <v>0</v>
      </c>
      <c r="AE306" s="27">
        <f>IF(O306&gt;12,0,E318+H318)</f>
        <v>0</v>
      </c>
      <c r="AF306" s="27">
        <f>SUM(AI306:AT306)</f>
        <v>0</v>
      </c>
      <c r="AG306" s="27">
        <f>+D318</f>
        <v>0</v>
      </c>
      <c r="AH306" s="60" t="str">
        <f>SB!$P$122</f>
        <v>cada MES</v>
      </c>
      <c r="AI306" s="27">
        <f>IF(AI305=$O$87,$AG306,0)</f>
        <v>0</v>
      </c>
      <c r="AJ306" s="27">
        <f t="shared" ref="AJ306:AT306" si="198">IF(AJ305=$O$87,$AG306,0)+AI306</f>
        <v>0</v>
      </c>
      <c r="AK306" s="27">
        <f t="shared" si="198"/>
        <v>0</v>
      </c>
      <c r="AL306" s="27">
        <f t="shared" si="198"/>
        <v>0</v>
      </c>
      <c r="AM306" s="27">
        <f t="shared" si="198"/>
        <v>0</v>
      </c>
      <c r="AN306" s="27">
        <f t="shared" si="198"/>
        <v>0</v>
      </c>
      <c r="AO306" s="27">
        <f t="shared" si="198"/>
        <v>0</v>
      </c>
      <c r="AP306" s="27">
        <f t="shared" si="198"/>
        <v>0</v>
      </c>
      <c r="AQ306" s="27">
        <f t="shared" si="198"/>
        <v>0</v>
      </c>
      <c r="AR306" s="27">
        <f t="shared" si="198"/>
        <v>0</v>
      </c>
      <c r="AS306" s="27">
        <f t="shared" si="198"/>
        <v>0</v>
      </c>
      <c r="AT306" s="61">
        <f t="shared" si="198"/>
        <v>0</v>
      </c>
    </row>
    <row r="307" spans="2:46" s="27" customFormat="1" ht="11.25" hidden="1" x14ac:dyDescent="0.2">
      <c r="B307" s="60"/>
      <c r="J307" s="27" t="str">
        <f>IF(AE306=AF306,"OK","¿error?")</f>
        <v>OK</v>
      </c>
      <c r="P307" s="27" t="str">
        <f>SB!$P$124</f>
        <v>TRIMESTRAL</v>
      </c>
      <c r="Q307" s="27">
        <f>IF(N305&gt;12,0,Q315)</f>
        <v>0</v>
      </c>
      <c r="R307" s="27">
        <f>IF(N305&gt;12,0,T315)</f>
        <v>0</v>
      </c>
      <c r="S307" s="27">
        <f>+Q316</f>
        <v>0</v>
      </c>
      <c r="T307" s="27">
        <f>+T316</f>
        <v>0</v>
      </c>
      <c r="U307" s="27">
        <f>+Q317</f>
        <v>0</v>
      </c>
      <c r="V307" s="27">
        <f>+T317</f>
        <v>0</v>
      </c>
      <c r="AD307" s="27">
        <f>IF(J315=0,0,K315/J315)</f>
        <v>0</v>
      </c>
      <c r="AE307" s="27">
        <f>IF(O306&gt;12,0,K318+N318)</f>
        <v>0</v>
      </c>
      <c r="AF307" s="27">
        <f>SUM(AI307:AT307)</f>
        <v>0</v>
      </c>
      <c r="AG307" s="27">
        <f>+J318</f>
        <v>0</v>
      </c>
      <c r="AH307" s="60" t="str">
        <f>SB!$P$123</f>
        <v>BIMENSUAL</v>
      </c>
      <c r="AI307" s="27">
        <f>IF(AI305=$O$87,$AG307,0)</f>
        <v>0</v>
      </c>
      <c r="AJ307" s="27">
        <f>IF(AJ305=$O$87,$AG307,0)</f>
        <v>0</v>
      </c>
      <c r="AK307" s="27">
        <f t="shared" ref="AK307:AT307" si="199">IF(AK305=$O$87,$AG307,0)+AI307</f>
        <v>0</v>
      </c>
      <c r="AL307" s="27">
        <f t="shared" si="199"/>
        <v>0</v>
      </c>
      <c r="AM307" s="27">
        <f t="shared" si="199"/>
        <v>0</v>
      </c>
      <c r="AN307" s="27">
        <f t="shared" si="199"/>
        <v>0</v>
      </c>
      <c r="AO307" s="27">
        <f t="shared" si="199"/>
        <v>0</v>
      </c>
      <c r="AP307" s="27">
        <f t="shared" si="199"/>
        <v>0</v>
      </c>
      <c r="AQ307" s="27">
        <f t="shared" si="199"/>
        <v>0</v>
      </c>
      <c r="AR307" s="27">
        <f t="shared" si="199"/>
        <v>0</v>
      </c>
      <c r="AS307" s="27">
        <f t="shared" si="199"/>
        <v>0</v>
      </c>
      <c r="AT307" s="61">
        <f t="shared" si="199"/>
        <v>0</v>
      </c>
    </row>
    <row r="308" spans="2:46" s="27" customFormat="1" ht="11.25" hidden="1" x14ac:dyDescent="0.2">
      <c r="B308" s="60"/>
      <c r="J308" s="27" t="str">
        <f>IF(AE307=AF307,"OK","¿error?")</f>
        <v>OK</v>
      </c>
      <c r="P308" s="27" t="str">
        <f>SB!$P$125</f>
        <v>SEMESTRAL</v>
      </c>
      <c r="Q308" s="27">
        <f>IF(N305&gt;12,0,W315)</f>
        <v>0</v>
      </c>
      <c r="R308" s="27">
        <f>IF(N305&gt;12,0,Z315)</f>
        <v>0</v>
      </c>
      <c r="S308" s="27">
        <f>+W316</f>
        <v>0</v>
      </c>
      <c r="T308" s="27">
        <f>+Z316</f>
        <v>0</v>
      </c>
      <c r="U308" s="27">
        <f>+W317</f>
        <v>0</v>
      </c>
      <c r="V308" s="27">
        <f>+Z317</f>
        <v>0</v>
      </c>
      <c r="AD308" s="27">
        <f>IF(P315=0,0,Q315/P315)</f>
        <v>0</v>
      </c>
      <c r="AE308" s="27">
        <f>IF(O306&gt;12,0,Q318+T318)</f>
        <v>0</v>
      </c>
      <c r="AF308" s="27">
        <f>SUM(AI308:AT308)</f>
        <v>0</v>
      </c>
      <c r="AG308" s="27">
        <f>+P318</f>
        <v>0</v>
      </c>
      <c r="AH308" s="60" t="str">
        <f>SB!$P$124</f>
        <v>TRIMESTRAL</v>
      </c>
      <c r="AI308" s="27">
        <f>IF(AI305=$O$87,$AG308,0)</f>
        <v>0</v>
      </c>
      <c r="AJ308" s="27">
        <f>IF(AJ305=$O$87,$AG308,0)</f>
        <v>0</v>
      </c>
      <c r="AK308" s="27">
        <f>IF(AK305=$O$87,$AG308,0)</f>
        <v>0</v>
      </c>
      <c r="AL308" s="27">
        <f t="shared" ref="AL308:AT308" si="200">IF(AL305=$O$87,$AG308,0)+AI308</f>
        <v>0</v>
      </c>
      <c r="AM308" s="27">
        <f t="shared" si="200"/>
        <v>0</v>
      </c>
      <c r="AN308" s="27">
        <f t="shared" si="200"/>
        <v>0</v>
      </c>
      <c r="AO308" s="27">
        <f t="shared" si="200"/>
        <v>0</v>
      </c>
      <c r="AP308" s="27">
        <f t="shared" si="200"/>
        <v>0</v>
      </c>
      <c r="AQ308" s="27">
        <f t="shared" si="200"/>
        <v>0</v>
      </c>
      <c r="AR308" s="27">
        <f t="shared" si="200"/>
        <v>0</v>
      </c>
      <c r="AS308" s="27">
        <f t="shared" si="200"/>
        <v>0</v>
      </c>
      <c r="AT308" s="61">
        <f t="shared" si="200"/>
        <v>0</v>
      </c>
    </row>
    <row r="309" spans="2:46" s="27" customFormat="1" ht="11.25" hidden="1" x14ac:dyDescent="0.2">
      <c r="B309" s="60"/>
      <c r="J309" s="27" t="str">
        <f>IF(AE308=AF308,"OK","¿error?")</f>
        <v>OK</v>
      </c>
      <c r="P309" s="27" t="str">
        <f>SB!$P$126</f>
        <v>ANUAL</v>
      </c>
      <c r="Q309" s="27">
        <f>IF(N305&gt;12,0,AC315)</f>
        <v>0</v>
      </c>
      <c r="R309" s="27">
        <f>IF(N305&gt;12,0,AF315)</f>
        <v>0</v>
      </c>
      <c r="S309" s="27">
        <f>+AC316</f>
        <v>0</v>
      </c>
      <c r="T309" s="27">
        <f>+AF316</f>
        <v>0</v>
      </c>
      <c r="U309" s="27">
        <f>+AC317</f>
        <v>0</v>
      </c>
      <c r="V309" s="27">
        <f>+AF317</f>
        <v>0</v>
      </c>
      <c r="AD309" s="27">
        <f>IF(V315=0,0,W315/V315)</f>
        <v>0</v>
      </c>
      <c r="AE309" s="27">
        <f>IF(O306&gt;12,0,W318+Z318)</f>
        <v>0</v>
      </c>
      <c r="AF309" s="27">
        <f>SUM(AI309:AT309)</f>
        <v>0</v>
      </c>
      <c r="AG309" s="27">
        <f>+V318</f>
        <v>0</v>
      </c>
      <c r="AH309" s="60" t="str">
        <f>SB!$P$125</f>
        <v>SEMESTRAL</v>
      </c>
      <c r="AI309" s="27">
        <f t="shared" ref="AI309:AN309" si="201">IF(AI305=$O$87,$AG309,0)</f>
        <v>0</v>
      </c>
      <c r="AJ309" s="27">
        <f t="shared" si="201"/>
        <v>0</v>
      </c>
      <c r="AK309" s="27">
        <f t="shared" si="201"/>
        <v>0</v>
      </c>
      <c r="AL309" s="27">
        <f t="shared" si="201"/>
        <v>0</v>
      </c>
      <c r="AM309" s="27">
        <f t="shared" si="201"/>
        <v>0</v>
      </c>
      <c r="AN309" s="27">
        <f t="shared" si="201"/>
        <v>0</v>
      </c>
      <c r="AO309" s="27">
        <f t="shared" ref="AO309:AT309" si="202">IF(AO305=$O$87,$AG309,0)+AI309</f>
        <v>0</v>
      </c>
      <c r="AP309" s="27">
        <f t="shared" si="202"/>
        <v>0</v>
      </c>
      <c r="AQ309" s="27">
        <f t="shared" si="202"/>
        <v>0</v>
      </c>
      <c r="AR309" s="27">
        <f t="shared" si="202"/>
        <v>0</v>
      </c>
      <c r="AS309" s="27">
        <f t="shared" si="202"/>
        <v>0</v>
      </c>
      <c r="AT309" s="61">
        <f t="shared" si="202"/>
        <v>0</v>
      </c>
    </row>
    <row r="310" spans="2:46" s="27" customFormat="1" ht="11.25" hidden="1" x14ac:dyDescent="0.2">
      <c r="B310" s="60"/>
      <c r="J310" s="27" t="str">
        <f>IF(AE309=AF309,"OK","¿error?")</f>
        <v>OK</v>
      </c>
      <c r="AD310" s="27">
        <f>IF(AB315=0,0,AC315/AB315)</f>
        <v>0</v>
      </c>
      <c r="AE310" s="27">
        <f>IF(O306&gt;12,0,AC318+AF318)</f>
        <v>0</v>
      </c>
      <c r="AF310" s="27">
        <f>SUM(AI310:AT310)</f>
        <v>0</v>
      </c>
      <c r="AG310" s="27">
        <f>+AB318</f>
        <v>0</v>
      </c>
      <c r="AH310" s="60" t="str">
        <f>SB!$P$126</f>
        <v>ANUAL</v>
      </c>
      <c r="AI310" s="27">
        <f t="shared" ref="AI310:AT310" si="203">IF(AI305=$O$87,$AG310,0)</f>
        <v>0</v>
      </c>
      <c r="AJ310" s="27">
        <f t="shared" si="203"/>
        <v>0</v>
      </c>
      <c r="AK310" s="27">
        <f t="shared" si="203"/>
        <v>0</v>
      </c>
      <c r="AL310" s="27">
        <f t="shared" si="203"/>
        <v>0</v>
      </c>
      <c r="AM310" s="27">
        <f t="shared" si="203"/>
        <v>0</v>
      </c>
      <c r="AN310" s="27">
        <f t="shared" si="203"/>
        <v>0</v>
      </c>
      <c r="AO310" s="27">
        <f t="shared" si="203"/>
        <v>0</v>
      </c>
      <c r="AP310" s="27">
        <f t="shared" si="203"/>
        <v>0</v>
      </c>
      <c r="AQ310" s="27">
        <f t="shared" si="203"/>
        <v>0</v>
      </c>
      <c r="AR310" s="27">
        <f t="shared" si="203"/>
        <v>0</v>
      </c>
      <c r="AS310" s="27">
        <f t="shared" si="203"/>
        <v>0</v>
      </c>
      <c r="AT310" s="61">
        <f t="shared" si="203"/>
        <v>0</v>
      </c>
    </row>
    <row r="311" spans="2:46" s="27" customFormat="1" ht="11.25" hidden="1" x14ac:dyDescent="0.2">
      <c r="B311" s="60"/>
      <c r="AH311" s="60">
        <f>+F306</f>
        <v>0</v>
      </c>
      <c r="AI311" s="27">
        <f t="shared" ref="AI311:AT311" si="204">SUMIF($AH306:$AH310,$AH311,AI306:AI310)</f>
        <v>0</v>
      </c>
      <c r="AJ311" s="27">
        <f t="shared" si="204"/>
        <v>0</v>
      </c>
      <c r="AK311" s="27">
        <f t="shared" si="204"/>
        <v>0</v>
      </c>
      <c r="AL311" s="27">
        <f t="shared" si="204"/>
        <v>0</v>
      </c>
      <c r="AM311" s="27">
        <f t="shared" si="204"/>
        <v>0</v>
      </c>
      <c r="AN311" s="27">
        <f t="shared" si="204"/>
        <v>0</v>
      </c>
      <c r="AO311" s="27">
        <f t="shared" si="204"/>
        <v>0</v>
      </c>
      <c r="AP311" s="27">
        <f t="shared" si="204"/>
        <v>0</v>
      </c>
      <c r="AQ311" s="27">
        <f t="shared" si="204"/>
        <v>0</v>
      </c>
      <c r="AR311" s="27">
        <f t="shared" si="204"/>
        <v>0</v>
      </c>
      <c r="AS311" s="27">
        <f t="shared" si="204"/>
        <v>0</v>
      </c>
      <c r="AT311" s="61">
        <f t="shared" si="204"/>
        <v>0</v>
      </c>
    </row>
    <row r="312" spans="2:46" s="27" customFormat="1" ht="11.25" hidden="1" x14ac:dyDescent="0.2">
      <c r="B312" s="60"/>
      <c r="C312" s="27" t="s">
        <v>706</v>
      </c>
      <c r="E312" s="27" t="str">
        <f>$E$283</f>
        <v>cada MES</v>
      </c>
      <c r="J312" s="27" t="s">
        <v>1560</v>
      </c>
      <c r="K312" s="27" t="str">
        <f>SB!$P$123</f>
        <v>BIMENSUAL</v>
      </c>
      <c r="O312" s="27" t="s">
        <v>573</v>
      </c>
      <c r="Q312" s="27">
        <v>3</v>
      </c>
      <c r="U312" s="27" t="s">
        <v>1561</v>
      </c>
      <c r="AA312" s="27" t="s">
        <v>1446</v>
      </c>
      <c r="AH312" s="60" t="s">
        <v>545</v>
      </c>
      <c r="AI312" s="27">
        <f>+C305</f>
        <v>0</v>
      </c>
      <c r="AJ312" s="27" t="s">
        <v>546</v>
      </c>
      <c r="AK312" s="27">
        <f>SUMIF(AH306:AH310,AH311,AD306:AD310)</f>
        <v>0</v>
      </c>
      <c r="AT312" s="61"/>
    </row>
    <row r="313" spans="2:46" s="27" customFormat="1" ht="11.25" hidden="1" x14ac:dyDescent="0.2">
      <c r="B313" s="60"/>
      <c r="E313" s="27" t="s">
        <v>1411</v>
      </c>
      <c r="I313" s="27">
        <f>+G315/2</f>
        <v>0</v>
      </c>
      <c r="J313" s="27">
        <f>ROUND(I313,0)</f>
        <v>0</v>
      </c>
      <c r="K313" s="27">
        <f>+L305/2</f>
        <v>0</v>
      </c>
      <c r="L313" s="27">
        <f>ROUND(K313,0)</f>
        <v>0</v>
      </c>
      <c r="M313" s="27">
        <f>+K305/2</f>
        <v>0</v>
      </c>
      <c r="N313" s="27">
        <f>ROUND(M313,0)</f>
        <v>0</v>
      </c>
      <c r="O313" s="27">
        <f>+G315/3</f>
        <v>0</v>
      </c>
      <c r="P313" s="27">
        <f>ROUNDUP(O313,0)</f>
        <v>0</v>
      </c>
      <c r="Q313" s="27">
        <f>+L305/3</f>
        <v>0</v>
      </c>
      <c r="R313" s="27">
        <f>ROUNDUP(Q313,0)</f>
        <v>0</v>
      </c>
      <c r="S313" s="27">
        <f>+K305/3</f>
        <v>0</v>
      </c>
      <c r="T313" s="27">
        <f>ROUND(S313,0)</f>
        <v>0</v>
      </c>
      <c r="U313" s="27">
        <f>+G315/6</f>
        <v>0</v>
      </c>
      <c r="V313" s="27">
        <f>ROUNDUP(U313,0)</f>
        <v>0</v>
      </c>
      <c r="W313" s="27">
        <f>+L305/6</f>
        <v>0</v>
      </c>
      <c r="X313" s="27">
        <f>ROUND(W313,0)</f>
        <v>0</v>
      </c>
      <c r="Y313" s="27">
        <f>+K305/6</f>
        <v>0</v>
      </c>
      <c r="Z313" s="27">
        <f>ROUND(Y313,0)</f>
        <v>0</v>
      </c>
      <c r="AA313" s="27">
        <f>+G315/12</f>
        <v>0</v>
      </c>
      <c r="AB313" s="27">
        <f>ROUNDUP(AA313,0)</f>
        <v>0</v>
      </c>
      <c r="AC313" s="27">
        <f>+L305/12</f>
        <v>0</v>
      </c>
      <c r="AD313" s="27">
        <f>ROUND(AC313,0)</f>
        <v>0</v>
      </c>
      <c r="AE313" s="27">
        <f>+K305/12</f>
        <v>0</v>
      </c>
      <c r="AF313" s="27">
        <f>ROUND(AE313,0)</f>
        <v>0</v>
      </c>
      <c r="AH313" s="60"/>
      <c r="AT313" s="61"/>
    </row>
    <row r="314" spans="2:46" s="27" customFormat="1" ht="11.25" hidden="1" x14ac:dyDescent="0.2">
      <c r="B314" s="60" t="s">
        <v>1408</v>
      </c>
      <c r="C314" s="27" t="s">
        <v>1409</v>
      </c>
      <c r="D314" s="27" t="s">
        <v>1276</v>
      </c>
      <c r="E314" s="27" t="s">
        <v>673</v>
      </c>
      <c r="H314" s="27" t="s">
        <v>672</v>
      </c>
      <c r="I314" s="27" t="s">
        <v>1409</v>
      </c>
      <c r="J314" s="27" t="s">
        <v>1276</v>
      </c>
      <c r="K314" s="27" t="s">
        <v>673</v>
      </c>
      <c r="N314" s="27" t="s">
        <v>672</v>
      </c>
      <c r="O314" s="27" t="s">
        <v>1409</v>
      </c>
      <c r="P314" s="27" t="s">
        <v>1276</v>
      </c>
      <c r="Q314" s="27" t="s">
        <v>673</v>
      </c>
      <c r="T314" s="27" t="s">
        <v>672</v>
      </c>
      <c r="U314" s="27" t="s">
        <v>1409</v>
      </c>
      <c r="V314" s="27" t="s">
        <v>1276</v>
      </c>
      <c r="W314" s="27" t="s">
        <v>673</v>
      </c>
      <c r="Z314" s="27" t="s">
        <v>672</v>
      </c>
      <c r="AA314" s="27" t="s">
        <v>1409</v>
      </c>
      <c r="AB314" s="27" t="s">
        <v>1276</v>
      </c>
      <c r="AC314" s="27" t="s">
        <v>673</v>
      </c>
      <c r="AH314" s="60" t="s">
        <v>7</v>
      </c>
      <c r="AI314" s="27">
        <f>IF(AI303=$H305,$C305,0)</f>
        <v>0</v>
      </c>
      <c r="AJ314" s="27">
        <f t="shared" ref="AJ314:AT314" si="205">IF(AJ303=$H305,$C305,0)</f>
        <v>0</v>
      </c>
      <c r="AK314" s="27">
        <f t="shared" si="205"/>
        <v>0</v>
      </c>
      <c r="AL314" s="27">
        <f t="shared" si="205"/>
        <v>0</v>
      </c>
      <c r="AM314" s="27">
        <f t="shared" si="205"/>
        <v>0</v>
      </c>
      <c r="AN314" s="27">
        <f t="shared" si="205"/>
        <v>0</v>
      </c>
      <c r="AO314" s="27">
        <f t="shared" si="205"/>
        <v>0</v>
      </c>
      <c r="AP314" s="27">
        <f t="shared" si="205"/>
        <v>0</v>
      </c>
      <c r="AQ314" s="27">
        <f t="shared" si="205"/>
        <v>0</v>
      </c>
      <c r="AR314" s="27">
        <f t="shared" si="205"/>
        <v>0</v>
      </c>
      <c r="AS314" s="27">
        <f t="shared" si="205"/>
        <v>0</v>
      </c>
      <c r="AT314" s="61">
        <f t="shared" si="205"/>
        <v>0</v>
      </c>
    </row>
    <row r="315" spans="2:46" s="27" customFormat="1" ht="11.25" hidden="1" x14ac:dyDescent="0.2">
      <c r="B315" s="60">
        <v>1</v>
      </c>
      <c r="C315" s="27">
        <f>IF($K305=0,0,1)</f>
        <v>0</v>
      </c>
      <c r="D315" s="27">
        <f>IF($K305=0,0,13-$N305)</f>
        <v>0</v>
      </c>
      <c r="E315" s="27">
        <f>IF(C315=0,0,-CUMPRINC(E305/12,M305*12,C305,C315,D315,0))</f>
        <v>0</v>
      </c>
      <c r="F315" s="27">
        <f>IF($K305=0,0,1)</f>
        <v>0</v>
      </c>
      <c r="G315" s="27">
        <f>IF($K305=0,0,13-$N305)</f>
        <v>0</v>
      </c>
      <c r="H315" s="27">
        <f>IF(F315=0,0,-CUMIPMT($E$305/12,$K$305,$C$305,F315,G315,0))</f>
        <v>0</v>
      </c>
      <c r="I315" s="27">
        <f>IF($K305=0,0,1)</f>
        <v>0</v>
      </c>
      <c r="J315" s="27">
        <f>J313</f>
        <v>0</v>
      </c>
      <c r="K315" s="27">
        <f>IF(I315=0,0,-CUMPRINC(E305/6,M305*6,C305,I315,J315,0))</f>
        <v>0</v>
      </c>
      <c r="L315" s="27">
        <f>IF($K305=0,0,1)</f>
        <v>0</v>
      </c>
      <c r="M315" s="27">
        <f>J313</f>
        <v>0</v>
      </c>
      <c r="N315" s="27">
        <f>IF(L315=0,0,-CUMIPMT(E305/6,D305*6,C305,L315,M315,0))</f>
        <v>0</v>
      </c>
      <c r="O315" s="27">
        <f>IF($K305=0,0,1)</f>
        <v>0</v>
      </c>
      <c r="P315" s="27">
        <f>P313</f>
        <v>0</v>
      </c>
      <c r="Q315" s="27">
        <f>IF(O315=0,0,-CUMPRINC(E305/4,M305*4,C305,O315,P315,0))</f>
        <v>0</v>
      </c>
      <c r="R315" s="27">
        <f>IF($K305=0,0,1)</f>
        <v>0</v>
      </c>
      <c r="S315" s="27">
        <f>P313</f>
        <v>0</v>
      </c>
      <c r="T315" s="27">
        <f>IF(R315=0,0,-CUMIPMT(E305/4,D305*4,C305,R315,S315,0))</f>
        <v>0</v>
      </c>
      <c r="U315" s="27">
        <f>IF($K305=0,0,1)</f>
        <v>0</v>
      </c>
      <c r="V315" s="27">
        <f>V313</f>
        <v>0</v>
      </c>
      <c r="W315" s="27">
        <f>IF(U315=0,0,-CUMPRINC(E305/2,M305*2,C305,U315,V315,0))</f>
        <v>0</v>
      </c>
      <c r="X315" s="27">
        <f>IF($K305=0,0,1)</f>
        <v>0</v>
      </c>
      <c r="Y315" s="27">
        <f>V313</f>
        <v>0</v>
      </c>
      <c r="Z315" s="27">
        <f>IF(X315=0,0,-CUMIPMT(E305/2,D305*2,C305,X315,Y315,0))</f>
        <v>0</v>
      </c>
      <c r="AA315" s="27">
        <f>IF($K305=0,0,1)</f>
        <v>0</v>
      </c>
      <c r="AB315" s="27">
        <f>AB313</f>
        <v>0</v>
      </c>
      <c r="AC315" s="27">
        <f>IF(AA315=0,0,-CUMPRINC(E305,M305,C305,AA315,AB315,0))</f>
        <v>0</v>
      </c>
      <c r="AD315" s="27">
        <f>IF($K305=0,0,1)</f>
        <v>0</v>
      </c>
      <c r="AE315" s="27">
        <f>AB313</f>
        <v>0</v>
      </c>
      <c r="AF315" s="27">
        <f>IF(AD315=0,0,-CUMIPMT(E305,D305,C305,AD315,AE315,0))</f>
        <v>0</v>
      </c>
      <c r="AH315" s="60" t="s">
        <v>548</v>
      </c>
      <c r="AI315" s="27">
        <f>IF(AI311&gt;0,AK312,0)</f>
        <v>0</v>
      </c>
      <c r="AJ315" s="27">
        <f>IF(AJ311&gt;0,AK312,0)</f>
        <v>0</v>
      </c>
      <c r="AK315" s="27">
        <f>IF(AK311&gt;0,AK312,0)</f>
        <v>0</v>
      </c>
      <c r="AL315" s="27">
        <f>IF(AL311&gt;0,AK312,0)</f>
        <v>0</v>
      </c>
      <c r="AM315" s="27">
        <f>IF(AM311&gt;0,AK312,0)</f>
        <v>0</v>
      </c>
      <c r="AN315" s="27">
        <f>IF(AN311&gt;0,AK312,0)</f>
        <v>0</v>
      </c>
      <c r="AO315" s="27">
        <f>IF(AO311&gt;0,AK312,0)</f>
        <v>0</v>
      </c>
      <c r="AP315" s="27">
        <f>IF(AP311&gt;0,AK312,0)</f>
        <v>0</v>
      </c>
      <c r="AQ315" s="27">
        <f>IF(AQ311&gt;0,AK312,0)</f>
        <v>0</v>
      </c>
      <c r="AR315" s="27">
        <f>IF(AR311&gt;0,AK312,0)</f>
        <v>0</v>
      </c>
      <c r="AS315" s="27">
        <f>IF(AS311&gt;0,AK312,0)</f>
        <v>0</v>
      </c>
      <c r="AT315" s="61">
        <f>IF(AT311&gt;0,AK312,0)</f>
        <v>0</v>
      </c>
    </row>
    <row r="316" spans="2:46" s="27" customFormat="1" ht="11.25" hidden="1" x14ac:dyDescent="0.2">
      <c r="B316" s="60">
        <f>+B315+1</f>
        <v>2</v>
      </c>
      <c r="C316" s="27">
        <f>IF(D315+1&gt;L305,0,D315+1)</f>
        <v>0</v>
      </c>
      <c r="D316" s="27">
        <f>IF(C316=0,0,IF(C316+11&gt;L305,L305,C316+11))</f>
        <v>0</v>
      </c>
      <c r="E316" s="27">
        <f>IF(C316=0,0,-CUMPRINC(E305/12,M305*12,C305,C316,D316,0))</f>
        <v>0</v>
      </c>
      <c r="F316" s="27">
        <f>IF(G315+1&gt;K305,0,G315+1)</f>
        <v>0</v>
      </c>
      <c r="G316" s="27">
        <f>IF(F316=0,0,IF(F316+11&gt;K305,K305,F316+11))</f>
        <v>0</v>
      </c>
      <c r="H316" s="27">
        <f>IF(F316=0,0,-CUMIPMT($E$305/12,$K$305,$C$305,F316,G316,0))</f>
        <v>0</v>
      </c>
      <c r="I316" s="27">
        <f>IF(J315+1&gt;L313,0,J315+1)</f>
        <v>0</v>
      </c>
      <c r="J316" s="27">
        <f>IF(I316=0,0,IF(I316+5&gt;L313,L313,I316+5))</f>
        <v>0</v>
      </c>
      <c r="K316" s="27">
        <f>IF(I316=0,0,-CUMPRINC(E305/6,M305*6,C305,I316,J316,0))</f>
        <v>0</v>
      </c>
      <c r="L316" s="27">
        <f>IF(M315+1&gt;N313,0,M315+1)</f>
        <v>0</v>
      </c>
      <c r="M316" s="27">
        <f>IF(L316=0,0,IF(L316+5&gt;N313,N313,L316+5))</f>
        <v>0</v>
      </c>
      <c r="N316" s="27">
        <f>IF(L316=0,0,-CUMIPMT(E305/6,D305*6,C305,L316,M316,0))</f>
        <v>0</v>
      </c>
      <c r="O316" s="27">
        <f>IF(P315+1&gt;R313,0,P315+1)</f>
        <v>0</v>
      </c>
      <c r="P316" s="27">
        <f>IF(O316=0,0,IF(O316+3&gt;R313,R313,O316+3))</f>
        <v>0</v>
      </c>
      <c r="Q316" s="27">
        <f>IF(O316=0,0,-CUMPRINC(E305/4,M305*4,C305,O316,P316,0))</f>
        <v>0</v>
      </c>
      <c r="R316" s="27">
        <f>IF(S315+1&gt;T313,0,S315+1)</f>
        <v>0</v>
      </c>
      <c r="S316" s="27">
        <f>IF(R316=0,0,IF(R316+3&gt;T313,T313,R316+3))</f>
        <v>0</v>
      </c>
      <c r="T316" s="27">
        <f>IF(R316=0,0,-CUMIPMT(E305/4,D305*4,C305,R316,S316,0))</f>
        <v>0</v>
      </c>
      <c r="U316" s="27">
        <f>IF(V315+1&gt;X313,0,V315+1)</f>
        <v>0</v>
      </c>
      <c r="V316" s="27">
        <f>IF(U316=0,0,IF(U316+1&gt;X313,X313,U316+1))</f>
        <v>0</v>
      </c>
      <c r="W316" s="27">
        <f>IF(U316=0,0,-CUMPRINC(E305/2,M305*2,C305,U316,V316,0))</f>
        <v>0</v>
      </c>
      <c r="X316" s="27">
        <f>IF(Y315+1&gt;Z313,0,Y315+1)</f>
        <v>0</v>
      </c>
      <c r="Y316" s="27">
        <f>IF(X316=0,0,IF(X316+1&gt;Z313,Z313,X316+1))</f>
        <v>0</v>
      </c>
      <c r="Z316" s="27">
        <f>IF(X316=0,0,-CUMIPMT(E305/2,D305*2,C305,X316,Y316,0))</f>
        <v>0</v>
      </c>
      <c r="AA316" s="27">
        <f>IF(AB315+1&gt;AD313,0,AB315+1)</f>
        <v>0</v>
      </c>
      <c r="AB316" s="27">
        <f>IF(AA316=0,0,IF(AA316&gt;AD313,AD313,AA316))</f>
        <v>0</v>
      </c>
      <c r="AC316" s="27">
        <f>IF(AA316=0,0,-CUMPRINC(E305,M305,C305,AA316,AB316,0))</f>
        <v>0</v>
      </c>
      <c r="AD316" s="27">
        <f>IF(AE315+1&gt;AF313,0,AE315+1)</f>
        <v>0</v>
      </c>
      <c r="AE316" s="27">
        <f>IF(AD316=0,0,IF(AD316&gt;AF313,AF313,AD316))</f>
        <v>0</v>
      </c>
      <c r="AF316" s="27">
        <f>IF(AD316=0,0,-CUMIPMT(E305,D305,C305,AD316,AE316,0))</f>
        <v>0</v>
      </c>
      <c r="AH316" s="60" t="s">
        <v>549</v>
      </c>
      <c r="AI316" s="27">
        <f t="shared" ref="AI316:AT316" si="206">+AI311-AI315</f>
        <v>0</v>
      </c>
      <c r="AJ316" s="27">
        <f t="shared" si="206"/>
        <v>0</v>
      </c>
      <c r="AK316" s="27">
        <f t="shared" si="206"/>
        <v>0</v>
      </c>
      <c r="AL316" s="27">
        <f t="shared" si="206"/>
        <v>0</v>
      </c>
      <c r="AM316" s="27">
        <f t="shared" si="206"/>
        <v>0</v>
      </c>
      <c r="AN316" s="27">
        <f t="shared" si="206"/>
        <v>0</v>
      </c>
      <c r="AO316" s="27">
        <f t="shared" si="206"/>
        <v>0</v>
      </c>
      <c r="AP316" s="27">
        <f t="shared" si="206"/>
        <v>0</v>
      </c>
      <c r="AQ316" s="27">
        <f t="shared" si="206"/>
        <v>0</v>
      </c>
      <c r="AR316" s="27">
        <f t="shared" si="206"/>
        <v>0</v>
      </c>
      <c r="AS316" s="27">
        <f t="shared" si="206"/>
        <v>0</v>
      </c>
      <c r="AT316" s="61">
        <f t="shared" si="206"/>
        <v>0</v>
      </c>
    </row>
    <row r="317" spans="2:46" s="27" customFormat="1" ht="11.25" hidden="1" x14ac:dyDescent="0.2">
      <c r="B317" s="60">
        <f>+B316+1</f>
        <v>3</v>
      </c>
      <c r="C317" s="27">
        <f>IF(D316=0,0,IF(D316+1&gt;L305,0,D316+1))</f>
        <v>0</v>
      </c>
      <c r="D317" s="27">
        <f>IF(C317=0,0,IF(C317+11&gt;L305,L305,C317+11))</f>
        <v>0</v>
      </c>
      <c r="E317" s="27">
        <f>IF(C317=0,0,-CUMPRINC(E305/12,M305*12,C305,C317,D317,0))</f>
        <v>0</v>
      </c>
      <c r="F317" s="27">
        <f>IF(G316=0,0,IF(G316+1&gt;K305,0,G316+1))</f>
        <v>0</v>
      </c>
      <c r="G317" s="27">
        <f>IF(F317=0,0,IF(F317+11&gt;K305,K305,F317+11))</f>
        <v>0</v>
      </c>
      <c r="H317" s="27">
        <f>IF(F317=0,0,-CUMIPMT($E$305/12,$K$305,$C$305,F317,G317,0))</f>
        <v>0</v>
      </c>
      <c r="I317" s="27">
        <f>IF(J316=0,0,IF(J316+1&gt;L313,0,J316+1))</f>
        <v>0</v>
      </c>
      <c r="J317" s="27">
        <f>IF(I317=0,0,IF(I317+5&gt;L313,L313,I317+5))</f>
        <v>0</v>
      </c>
      <c r="K317" s="27">
        <f>IF(I317=0,0,-CUMPRINC(E305/6,M305*6,C305,I317,J317,0))</f>
        <v>0</v>
      </c>
      <c r="L317" s="27">
        <f>IF(M316=0,0,IF(M316+1&gt;N313,0,M316+1))</f>
        <v>0</v>
      </c>
      <c r="M317" s="27">
        <f>IF(L317=0,0,IF(L317+5&gt;N313,N313,L317+5))</f>
        <v>0</v>
      </c>
      <c r="N317" s="27">
        <f>IF(L317=0,0,-CUMIPMT(E305/6,D305*6,C305,L317,M317,0))</f>
        <v>0</v>
      </c>
      <c r="O317" s="27">
        <f>IF(P316=0,0,IF(P316+1&gt;R313,0,P316+1))</f>
        <v>0</v>
      </c>
      <c r="P317" s="27">
        <f>IF(O317=0,0,IF(O317+3&gt;R313,R313,O317+3))</f>
        <v>0</v>
      </c>
      <c r="Q317" s="27">
        <f>IF(O317=0,0,-CUMPRINC(E305/4,M305*4,C305,O317,P317,0))</f>
        <v>0</v>
      </c>
      <c r="R317" s="27">
        <f>IF(S316=0,0,IF(S316+1&gt;T313,0,S316+1))</f>
        <v>0</v>
      </c>
      <c r="S317" s="27">
        <f>IF(R317=0,0,IF(R317+3&gt;T313,T313,R317+3))</f>
        <v>0</v>
      </c>
      <c r="T317" s="27">
        <f>IF(R317=0,0,-CUMIPMT(E305/4,D305*4,C305,R317,S317,0))</f>
        <v>0</v>
      </c>
      <c r="U317" s="27">
        <f>IF(V316=0,0,IF(V316+1&gt;X313,0,V316+1))</f>
        <v>0</v>
      </c>
      <c r="V317" s="27">
        <f>IF(U317=0,0,IF(U317+1&gt;X313,X313,U317+1))</f>
        <v>0</v>
      </c>
      <c r="W317" s="27">
        <f>IF(U317=0,0,-CUMPRINC(E305/2,M305*2,C305,U317,V317,0))</f>
        <v>0</v>
      </c>
      <c r="X317" s="27">
        <f>IF(Y316=0,0,IF(Y316+1&gt;Z313,0,Y316+1))</f>
        <v>0</v>
      </c>
      <c r="Y317" s="27">
        <f>IF(X317=0,0,IF(X317+1&gt;Z313,Z313,X317+1))</f>
        <v>0</v>
      </c>
      <c r="Z317" s="27">
        <f>IF(X317=0,0,-CUMIPMT(E305/2,D305*2,C305,X317,Y317,0))</f>
        <v>0</v>
      </c>
      <c r="AA317" s="27">
        <f>IF(AB316=0,0,IF(AB316+1&gt;AD313,0,AB316+1))</f>
        <v>0</v>
      </c>
      <c r="AB317" s="27">
        <f>IF(AA317=0,0,IF(AA317&gt;AD313,AD313,AA317))</f>
        <v>0</v>
      </c>
      <c r="AC317" s="27">
        <f>IF(AA317=0,0,-CUMPRINC(E305,M305,C305,AA317,AB317,0))</f>
        <v>0</v>
      </c>
      <c r="AD317" s="27">
        <f>IF(AE316=0,0,IF(AE316+1&gt;AF313,0,AE316+1))</f>
        <v>0</v>
      </c>
      <c r="AE317" s="27">
        <f>IF(AD317=0,0,IF(AD317&gt;AF313,AF313,AD317))</f>
        <v>0</v>
      </c>
      <c r="AF317" s="27">
        <f>IF(AD317=0,0,-CUMIPMT(E305,D305,C305,AD317,AE317,0))</f>
        <v>0</v>
      </c>
      <c r="AH317" s="60" t="s">
        <v>958</v>
      </c>
      <c r="AI317" s="27">
        <f t="shared" ref="AI317:AT317" si="207">+AI316+AI315</f>
        <v>0</v>
      </c>
      <c r="AJ317" s="27">
        <f t="shared" si="207"/>
        <v>0</v>
      </c>
      <c r="AK317" s="27">
        <f t="shared" si="207"/>
        <v>0</v>
      </c>
      <c r="AL317" s="27">
        <f t="shared" si="207"/>
        <v>0</v>
      </c>
      <c r="AM317" s="27">
        <f t="shared" si="207"/>
        <v>0</v>
      </c>
      <c r="AN317" s="27">
        <f t="shared" si="207"/>
        <v>0</v>
      </c>
      <c r="AO317" s="27">
        <f t="shared" si="207"/>
        <v>0</v>
      </c>
      <c r="AP317" s="27">
        <f t="shared" si="207"/>
        <v>0</v>
      </c>
      <c r="AQ317" s="27">
        <f t="shared" si="207"/>
        <v>0</v>
      </c>
      <c r="AR317" s="27">
        <f t="shared" si="207"/>
        <v>0</v>
      </c>
      <c r="AS317" s="27">
        <f t="shared" si="207"/>
        <v>0</v>
      </c>
      <c r="AT317" s="61">
        <f t="shared" si="207"/>
        <v>0</v>
      </c>
    </row>
    <row r="318" spans="2:46" s="27" customFormat="1" ht="11.25" hidden="1" x14ac:dyDescent="0.2">
      <c r="B318" s="60"/>
      <c r="C318" s="27" t="s">
        <v>1559</v>
      </c>
      <c r="D318" s="27">
        <f>IF(G315=0,0,(H315+E315)/G315)</f>
        <v>0</v>
      </c>
      <c r="E318" s="27">
        <f>SUM(E315:E317)</f>
        <v>0</v>
      </c>
      <c r="H318" s="27">
        <f>SUM(H315:H317)</f>
        <v>0</v>
      </c>
      <c r="I318" s="27" t="s">
        <v>1559</v>
      </c>
      <c r="J318" s="27">
        <f>IF(M315=0,0,(N315+K315)/M315)</f>
        <v>0</v>
      </c>
      <c r="K318" s="27">
        <f>SUM(K315:K317)</f>
        <v>0</v>
      </c>
      <c r="N318" s="27">
        <f>SUM(N315:N317)</f>
        <v>0</v>
      </c>
      <c r="O318" s="27" t="s">
        <v>1559</v>
      </c>
      <c r="P318" s="27">
        <f>IF(S315=0,0,(T315+Q315)/S315)</f>
        <v>0</v>
      </c>
      <c r="Q318" s="27">
        <f>SUM(Q315:Q317)</f>
        <v>0</v>
      </c>
      <c r="T318" s="27">
        <f>SUM(T315:T317)</f>
        <v>0</v>
      </c>
      <c r="U318" s="27" t="s">
        <v>1559</v>
      </c>
      <c r="V318" s="27">
        <f>IF(Y315=0,0,(Z315+W315)/Y315)</f>
        <v>0</v>
      </c>
      <c r="W318" s="27">
        <f>SUM(W315:W317)</f>
        <v>0</v>
      </c>
      <c r="Z318" s="27">
        <f>SUM(Z315:Z317)</f>
        <v>0</v>
      </c>
      <c r="AA318" s="27" t="s">
        <v>1559</v>
      </c>
      <c r="AB318" s="27">
        <f>IF(AE315=0,0,(AF315+AC315)/AE315)</f>
        <v>0</v>
      </c>
      <c r="AC318" s="27">
        <f>SUM(AC315:AC317)</f>
        <v>0</v>
      </c>
      <c r="AF318" s="27">
        <f>SUM(AF315:AF317)</f>
        <v>0</v>
      </c>
      <c r="AH318" s="60" t="s">
        <v>953</v>
      </c>
      <c r="AI318" s="27">
        <f>IF(AI314=0,0,$AI328)</f>
        <v>0</v>
      </c>
      <c r="AJ318" s="27">
        <f t="shared" ref="AJ318:AT318" si="208">IF(AJ314=0,0,$AI328)+AI319</f>
        <v>0</v>
      </c>
      <c r="AK318" s="27">
        <f t="shared" si="208"/>
        <v>0</v>
      </c>
      <c r="AL318" s="27">
        <f t="shared" si="208"/>
        <v>0</v>
      </c>
      <c r="AM318" s="27">
        <f t="shared" si="208"/>
        <v>0</v>
      </c>
      <c r="AN318" s="27">
        <f t="shared" si="208"/>
        <v>0</v>
      </c>
      <c r="AO318" s="27">
        <f t="shared" si="208"/>
        <v>0</v>
      </c>
      <c r="AP318" s="27">
        <f t="shared" si="208"/>
        <v>0</v>
      </c>
      <c r="AQ318" s="27">
        <f t="shared" si="208"/>
        <v>0</v>
      </c>
      <c r="AR318" s="27">
        <f t="shared" si="208"/>
        <v>0</v>
      </c>
      <c r="AS318" s="27">
        <f t="shared" si="208"/>
        <v>0</v>
      </c>
      <c r="AT318" s="61">
        <f t="shared" si="208"/>
        <v>0</v>
      </c>
    </row>
    <row r="319" spans="2:46" s="27" customFormat="1" ht="11.25" hidden="1" x14ac:dyDescent="0.2">
      <c r="B319" s="60"/>
      <c r="AH319" s="60" t="s">
        <v>954</v>
      </c>
      <c r="AI319" s="27">
        <f t="shared" ref="AI319:AT319" si="209">+AI318-AI315</f>
        <v>0</v>
      </c>
      <c r="AJ319" s="27">
        <f t="shared" si="209"/>
        <v>0</v>
      </c>
      <c r="AK319" s="27">
        <f t="shared" si="209"/>
        <v>0</v>
      </c>
      <c r="AL319" s="27">
        <f t="shared" si="209"/>
        <v>0</v>
      </c>
      <c r="AM319" s="27">
        <f t="shared" si="209"/>
        <v>0</v>
      </c>
      <c r="AN319" s="27">
        <f t="shared" si="209"/>
        <v>0</v>
      </c>
      <c r="AO319" s="27">
        <f t="shared" si="209"/>
        <v>0</v>
      </c>
      <c r="AP319" s="27">
        <f t="shared" si="209"/>
        <v>0</v>
      </c>
      <c r="AQ319" s="27">
        <f t="shared" si="209"/>
        <v>0</v>
      </c>
      <c r="AR319" s="27">
        <f t="shared" si="209"/>
        <v>0</v>
      </c>
      <c r="AS319" s="27">
        <f t="shared" si="209"/>
        <v>0</v>
      </c>
      <c r="AT319" s="61">
        <f t="shared" si="209"/>
        <v>0</v>
      </c>
    </row>
    <row r="320" spans="2:46" s="27" customFormat="1" ht="11.25" hidden="1" x14ac:dyDescent="0.2">
      <c r="B320" s="60"/>
      <c r="AH320" s="60" t="s">
        <v>1392</v>
      </c>
      <c r="AI320" s="27">
        <f>IF(AI314=0,0,$G305)</f>
        <v>0</v>
      </c>
      <c r="AJ320" s="27">
        <f t="shared" ref="AJ320:AT320" si="210">IF(AJ314=0,0,$G305)</f>
        <v>0</v>
      </c>
      <c r="AK320" s="27">
        <f t="shared" si="210"/>
        <v>0</v>
      </c>
      <c r="AL320" s="27">
        <f t="shared" si="210"/>
        <v>0</v>
      </c>
      <c r="AM320" s="27">
        <f t="shared" si="210"/>
        <v>0</v>
      </c>
      <c r="AN320" s="27">
        <f t="shared" si="210"/>
        <v>0</v>
      </c>
      <c r="AO320" s="27">
        <f t="shared" si="210"/>
        <v>0</v>
      </c>
      <c r="AP320" s="27">
        <f t="shared" si="210"/>
        <v>0</v>
      </c>
      <c r="AQ320" s="27">
        <f t="shared" si="210"/>
        <v>0</v>
      </c>
      <c r="AR320" s="27">
        <f t="shared" si="210"/>
        <v>0</v>
      </c>
      <c r="AS320" s="27">
        <f t="shared" si="210"/>
        <v>0</v>
      </c>
      <c r="AT320" s="61">
        <f t="shared" si="210"/>
        <v>0</v>
      </c>
    </row>
    <row r="321" spans="2:46" s="27" customFormat="1" ht="11.25" hidden="1" x14ac:dyDescent="0.2">
      <c r="B321" s="60"/>
      <c r="AH321" s="60"/>
      <c r="AI321" s="27">
        <v>1</v>
      </c>
      <c r="AJ321" s="27">
        <f t="shared" ref="AJ321:AT321" si="211">+AI321+1</f>
        <v>2</v>
      </c>
      <c r="AK321" s="27">
        <f t="shared" si="211"/>
        <v>3</v>
      </c>
      <c r="AL321" s="27">
        <f t="shared" si="211"/>
        <v>4</v>
      </c>
      <c r="AM321" s="27">
        <f t="shared" si="211"/>
        <v>5</v>
      </c>
      <c r="AN321" s="27">
        <f t="shared" si="211"/>
        <v>6</v>
      </c>
      <c r="AO321" s="27">
        <f t="shared" si="211"/>
        <v>7</v>
      </c>
      <c r="AP321" s="27">
        <f t="shared" si="211"/>
        <v>8</v>
      </c>
      <c r="AQ321" s="27">
        <f t="shared" si="211"/>
        <v>9</v>
      </c>
      <c r="AR321" s="27">
        <f t="shared" si="211"/>
        <v>10</v>
      </c>
      <c r="AS321" s="27">
        <f t="shared" si="211"/>
        <v>11</v>
      </c>
      <c r="AT321" s="61">
        <f t="shared" si="211"/>
        <v>12</v>
      </c>
    </row>
    <row r="322" spans="2:46" s="27" customFormat="1" ht="11.25" hidden="1" x14ac:dyDescent="0.2">
      <c r="B322" s="60"/>
      <c r="AH322" s="60" t="s">
        <v>12</v>
      </c>
      <c r="AI322" s="27">
        <f>D!$N$6</f>
        <v>2013</v>
      </c>
      <c r="AJ322" s="27">
        <f t="shared" ref="AJ322:AT322" si="212">+AI322+1</f>
        <v>2014</v>
      </c>
      <c r="AK322" s="27">
        <f t="shared" si="212"/>
        <v>2015</v>
      </c>
      <c r="AL322" s="27">
        <f t="shared" si="212"/>
        <v>2016</v>
      </c>
      <c r="AM322" s="27">
        <f t="shared" si="212"/>
        <v>2017</v>
      </c>
      <c r="AN322" s="27">
        <f t="shared" si="212"/>
        <v>2018</v>
      </c>
      <c r="AO322" s="27">
        <f t="shared" si="212"/>
        <v>2019</v>
      </c>
      <c r="AP322" s="27">
        <f t="shared" si="212"/>
        <v>2020</v>
      </c>
      <c r="AQ322" s="27">
        <f t="shared" si="212"/>
        <v>2021</v>
      </c>
      <c r="AR322" s="27">
        <f t="shared" si="212"/>
        <v>2022</v>
      </c>
      <c r="AS322" s="27">
        <f t="shared" si="212"/>
        <v>2023</v>
      </c>
      <c r="AT322" s="61">
        <f t="shared" si="212"/>
        <v>2024</v>
      </c>
    </row>
    <row r="323" spans="2:46" s="27" customFormat="1" ht="11.25" hidden="1" x14ac:dyDescent="0.2">
      <c r="B323" s="60"/>
      <c r="AH323" s="60" t="s">
        <v>7</v>
      </c>
      <c r="AI323" s="27">
        <f>+C305</f>
        <v>0</v>
      </c>
      <c r="AT323" s="61"/>
    </row>
    <row r="324" spans="2:46" s="27" customFormat="1" ht="11.25" hidden="1" x14ac:dyDescent="0.2">
      <c r="B324" s="60"/>
      <c r="AH324" s="60" t="s">
        <v>1530</v>
      </c>
      <c r="AT324" s="61"/>
    </row>
    <row r="325" spans="2:46" s="27" customFormat="1" ht="11.25" hidden="1" x14ac:dyDescent="0.2">
      <c r="B325" s="60"/>
      <c r="AH325" s="60" t="s">
        <v>8</v>
      </c>
      <c r="AI325" s="27">
        <f>SUMIF($P305:$P309,$AH311,Q305:Q309)</f>
        <v>0</v>
      </c>
      <c r="AJ325" s="27">
        <f>SUMIF($P305:$P309,$AH311,S305:S309)</f>
        <v>0</v>
      </c>
      <c r="AK325" s="27">
        <f>SUMIF($P305:$P309,$AH311,U305:U309)</f>
        <v>0</v>
      </c>
      <c r="AL325" s="27">
        <f>SUMIF($P305:$P309,$AH311,W305:W309)</f>
        <v>0</v>
      </c>
      <c r="AM325" s="27">
        <f>SUMIF($P305:$P309,$AH311,Y305:Y309)</f>
        <v>0</v>
      </c>
      <c r="AT325" s="61"/>
    </row>
    <row r="326" spans="2:46" s="27" customFormat="1" ht="11.25" hidden="1" x14ac:dyDescent="0.2">
      <c r="B326" s="60"/>
      <c r="AH326" s="60" t="s">
        <v>9</v>
      </c>
      <c r="AI326" s="27">
        <f>SUMIF($P305:$P309,$AH311,R305:R309)</f>
        <v>0</v>
      </c>
      <c r="AJ326" s="27">
        <f>SUMIF($P305:$P309,$AH311,T305:T309)</f>
        <v>0</v>
      </c>
      <c r="AK326" s="27">
        <f>SUMIF($P305:$P309,$AH311,V305:V309)</f>
        <v>0</v>
      </c>
      <c r="AL326" s="27">
        <f>SUMIF($P305:$P309,$AH311,X305:X309)</f>
        <v>0</v>
      </c>
      <c r="AM326" s="27">
        <f>SUMIF($P305:$P309,$AH311,Z305:Z309)</f>
        <v>0</v>
      </c>
      <c r="AT326" s="61"/>
    </row>
    <row r="327" spans="2:46" s="27" customFormat="1" ht="11.25" hidden="1" x14ac:dyDescent="0.2">
      <c r="B327" s="60"/>
      <c r="AH327" s="60" t="s">
        <v>958</v>
      </c>
      <c r="AI327" s="27">
        <f>+AI326+AI325</f>
        <v>0</v>
      </c>
      <c r="AJ327" s="27">
        <f>+AJ326+AJ325</f>
        <v>0</v>
      </c>
      <c r="AK327" s="27">
        <f>+AK326+AK325</f>
        <v>0</v>
      </c>
      <c r="AL327" s="27">
        <f>+AL326+AL325</f>
        <v>0</v>
      </c>
      <c r="AM327" s="27">
        <f>+AM326+AM325</f>
        <v>0</v>
      </c>
      <c r="AT327" s="61"/>
    </row>
    <row r="328" spans="2:46" s="27" customFormat="1" ht="11.25" hidden="1" x14ac:dyDescent="0.2">
      <c r="B328" s="60"/>
      <c r="AH328" s="60" t="s">
        <v>10</v>
      </c>
      <c r="AI328" s="27">
        <f>+C305</f>
        <v>0</v>
      </c>
      <c r="AT328" s="61"/>
    </row>
    <row r="329" spans="2:46" s="27" customFormat="1" ht="11.25" hidden="1" x14ac:dyDescent="0.2">
      <c r="B329" s="60"/>
      <c r="AH329" s="60" t="s">
        <v>11</v>
      </c>
      <c r="AI329" s="27">
        <f>+AI328-AI325</f>
        <v>0</v>
      </c>
      <c r="AJ329" s="27">
        <f>+AI329-AJ325</f>
        <v>0</v>
      </c>
      <c r="AK329" s="27">
        <f>+AJ329-AK325</f>
        <v>0</v>
      </c>
      <c r="AL329" s="27">
        <f>+AK329-AL325</f>
        <v>0</v>
      </c>
      <c r="AM329" s="27">
        <f>+AL329-AM325</f>
        <v>0</v>
      </c>
      <c r="AT329" s="61"/>
    </row>
    <row r="330" spans="2:46" s="27" customFormat="1" ht="11.25" hidden="1" x14ac:dyDescent="0.2">
      <c r="B330" s="65"/>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5" t="s">
        <v>1392</v>
      </c>
      <c r="AI330" s="66">
        <f>IF(AI323=0,0,$G305)</f>
        <v>0</v>
      </c>
      <c r="AJ330" s="66">
        <f>IF(AJ323=0,0,$G305)</f>
        <v>0</v>
      </c>
      <c r="AK330" s="66">
        <f>IF(AK323=0,0,$G305)</f>
        <v>0</v>
      </c>
      <c r="AL330" s="66">
        <f>IF(AL323=0,0,$G305)</f>
        <v>0</v>
      </c>
      <c r="AM330" s="66">
        <f>IF(AM323=0,0,$G305)</f>
        <v>0</v>
      </c>
      <c r="AN330" s="66"/>
      <c r="AO330" s="66"/>
      <c r="AP330" s="66"/>
      <c r="AQ330" s="66"/>
      <c r="AR330" s="66"/>
      <c r="AS330" s="66"/>
      <c r="AT330" s="67"/>
    </row>
    <row r="331" spans="2:46" s="27" customFormat="1" ht="11.25" hidden="1" x14ac:dyDescent="0.2"/>
    <row r="332" spans="2:46" s="27" customFormat="1" ht="11.25" hidden="1" x14ac:dyDescent="0.2">
      <c r="B332" s="62"/>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2"/>
      <c r="AI332" s="63"/>
      <c r="AJ332" s="63"/>
      <c r="AK332" s="63"/>
      <c r="AL332" s="63"/>
      <c r="AM332" s="63"/>
      <c r="AN332" s="63"/>
      <c r="AO332" s="63"/>
      <c r="AP332" s="63"/>
      <c r="AQ332" s="63"/>
      <c r="AR332" s="63"/>
      <c r="AS332" s="63"/>
      <c r="AT332" s="64"/>
    </row>
    <row r="333" spans="2:46" s="27" customFormat="1" ht="11.25" hidden="1" x14ac:dyDescent="0.2">
      <c r="B333" s="60"/>
      <c r="AH333" s="60"/>
      <c r="AT333" s="61"/>
    </row>
    <row r="334" spans="2:46" s="27" customFormat="1" ht="11.25" hidden="1" x14ac:dyDescent="0.2">
      <c r="B334" s="60"/>
      <c r="AH334" s="60"/>
      <c r="AT334" s="61"/>
    </row>
    <row r="335" spans="2:46" s="27" customFormat="1" ht="11.25" hidden="1" x14ac:dyDescent="0.2">
      <c r="B335" s="60"/>
      <c r="AH335" s="60"/>
      <c r="AT335" s="61"/>
    </row>
    <row r="336" spans="2:46" s="27" customFormat="1" ht="11.25" hidden="1" x14ac:dyDescent="0.2">
      <c r="B336" s="60"/>
      <c r="AH336" s="60"/>
      <c r="AT336" s="61"/>
    </row>
    <row r="337" spans="2:46" s="27" customFormat="1" ht="11.25" hidden="1" x14ac:dyDescent="0.2">
      <c r="B337" s="60"/>
      <c r="AH337" s="60"/>
      <c r="AT337" s="61"/>
    </row>
    <row r="338" spans="2:46" s="27" customFormat="1" ht="11.25" hidden="1" x14ac:dyDescent="0.2">
      <c r="B338" s="60"/>
      <c r="AH338" s="60"/>
      <c r="AT338" s="61"/>
    </row>
    <row r="339" spans="2:46" s="27" customFormat="1" ht="11.25" hidden="1" x14ac:dyDescent="0.2">
      <c r="B339" s="60"/>
      <c r="AH339" s="60"/>
      <c r="AT339" s="61"/>
    </row>
    <row r="340" spans="2:46" s="27" customFormat="1" ht="11.25" hidden="1" x14ac:dyDescent="0.2">
      <c r="B340" s="60"/>
      <c r="AH340" s="60"/>
      <c r="AT340" s="61"/>
    </row>
    <row r="341" spans="2:46" s="27" customFormat="1" ht="11.25" hidden="1" x14ac:dyDescent="0.2">
      <c r="B341" s="60"/>
      <c r="AH341" s="60"/>
      <c r="AT341" s="61"/>
    </row>
    <row r="342" spans="2:46" s="27" customFormat="1" ht="11.25" hidden="1" x14ac:dyDescent="0.2">
      <c r="B342" s="60"/>
      <c r="AH342" s="60"/>
      <c r="AT342" s="61"/>
    </row>
    <row r="343" spans="2:46" s="27" customFormat="1" ht="11.25" hidden="1" x14ac:dyDescent="0.2">
      <c r="B343" s="60"/>
      <c r="AH343" s="60"/>
      <c r="AT343" s="61"/>
    </row>
    <row r="344" spans="2:46" s="27" customFormat="1" ht="11.25" hidden="1" x14ac:dyDescent="0.2">
      <c r="B344" s="60"/>
      <c r="AH344" s="60"/>
      <c r="AT344" s="61"/>
    </row>
    <row r="345" spans="2:46" s="27" customFormat="1" ht="11.25" hidden="1" x14ac:dyDescent="0.2">
      <c r="B345" s="60"/>
      <c r="AH345" s="60"/>
      <c r="AT345" s="61"/>
    </row>
    <row r="346" spans="2:46" s="27" customFormat="1" ht="11.25" hidden="1" x14ac:dyDescent="0.2">
      <c r="B346" s="60"/>
      <c r="AH346" s="60"/>
      <c r="AT346" s="61"/>
    </row>
    <row r="347" spans="2:46" s="27" customFormat="1" ht="11.25" hidden="1" x14ac:dyDescent="0.2">
      <c r="B347" s="60"/>
      <c r="AH347" s="60"/>
      <c r="AT347" s="61"/>
    </row>
    <row r="348" spans="2:46" s="27" customFormat="1" ht="11.25" hidden="1" x14ac:dyDescent="0.2">
      <c r="B348" s="65"/>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5"/>
      <c r="AI348" s="66"/>
      <c r="AJ348" s="66"/>
      <c r="AK348" s="66"/>
      <c r="AL348" s="66"/>
      <c r="AM348" s="66"/>
      <c r="AN348" s="66"/>
      <c r="AO348" s="66"/>
      <c r="AP348" s="66"/>
      <c r="AQ348" s="66"/>
      <c r="AR348" s="66"/>
      <c r="AS348" s="66"/>
      <c r="AT348" s="67"/>
    </row>
    <row r="349" spans="2:46" s="27" customFormat="1" ht="11.25" hidden="1" x14ac:dyDescent="0.2"/>
    <row r="350" spans="2:46" s="27" customFormat="1" ht="11.25" hidden="1" x14ac:dyDescent="0.2">
      <c r="B350" s="62"/>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2"/>
      <c r="AI350" s="63"/>
      <c r="AJ350" s="63"/>
      <c r="AK350" s="63"/>
      <c r="AL350" s="63"/>
      <c r="AM350" s="63"/>
      <c r="AN350" s="63"/>
      <c r="AO350" s="63"/>
      <c r="AP350" s="63"/>
      <c r="AQ350" s="63"/>
      <c r="AR350" s="63"/>
      <c r="AS350" s="63"/>
      <c r="AT350" s="64"/>
    </row>
    <row r="351" spans="2:46" s="27" customFormat="1" ht="11.25" hidden="1" x14ac:dyDescent="0.2">
      <c r="B351" s="60"/>
      <c r="AH351" s="60"/>
      <c r="AT351" s="61"/>
    </row>
    <row r="352" spans="2:46" s="27" customFormat="1" ht="11.25" hidden="1" x14ac:dyDescent="0.2">
      <c r="B352" s="60"/>
      <c r="AH352" s="60"/>
      <c r="AT352" s="61"/>
    </row>
    <row r="353" spans="2:46" s="27" customFormat="1" ht="11.25" hidden="1" x14ac:dyDescent="0.2">
      <c r="B353" s="60"/>
      <c r="AH353" s="60"/>
      <c r="AT353" s="61"/>
    </row>
    <row r="354" spans="2:46" s="27" customFormat="1" ht="11.25" hidden="1" x14ac:dyDescent="0.2">
      <c r="B354" s="60"/>
      <c r="AH354" s="60"/>
      <c r="AT354" s="61"/>
    </row>
    <row r="355" spans="2:46" s="27" customFormat="1" ht="11.25" hidden="1" x14ac:dyDescent="0.2">
      <c r="B355" s="60"/>
      <c r="AH355" s="60"/>
      <c r="AT355" s="61"/>
    </row>
    <row r="356" spans="2:46" s="27" customFormat="1" ht="11.25" hidden="1" x14ac:dyDescent="0.2">
      <c r="B356" s="60"/>
      <c r="AH356" s="60"/>
      <c r="AT356" s="61"/>
    </row>
    <row r="357" spans="2:46" s="27" customFormat="1" ht="11.25" hidden="1" x14ac:dyDescent="0.2">
      <c r="B357" s="60"/>
      <c r="AH357" s="60"/>
      <c r="AT357" s="61"/>
    </row>
    <row r="358" spans="2:46" s="27" customFormat="1" ht="11.25" hidden="1" x14ac:dyDescent="0.2">
      <c r="B358" s="60"/>
      <c r="AH358" s="60"/>
      <c r="AT358" s="61"/>
    </row>
    <row r="359" spans="2:46" s="27" customFormat="1" ht="11.25" hidden="1" x14ac:dyDescent="0.2">
      <c r="B359" s="60"/>
      <c r="AH359" s="60"/>
      <c r="AT359" s="61"/>
    </row>
    <row r="360" spans="2:46" s="27" customFormat="1" ht="11.25" hidden="1" x14ac:dyDescent="0.2">
      <c r="B360" s="60"/>
      <c r="AH360" s="60"/>
      <c r="AT360" s="61"/>
    </row>
    <row r="361" spans="2:46" s="27" customFormat="1" ht="11.25" hidden="1" x14ac:dyDescent="0.2">
      <c r="B361" s="60"/>
      <c r="AH361" s="60"/>
      <c r="AT361" s="61"/>
    </row>
    <row r="362" spans="2:46" s="27" customFormat="1" ht="11.25" hidden="1" x14ac:dyDescent="0.2">
      <c r="B362" s="60"/>
      <c r="AH362" s="60"/>
      <c r="AT362" s="61"/>
    </row>
    <row r="363" spans="2:46" s="27" customFormat="1" ht="11.25" hidden="1" x14ac:dyDescent="0.2">
      <c r="B363" s="60"/>
      <c r="AH363" s="60"/>
      <c r="AT363" s="61"/>
    </row>
    <row r="364" spans="2:46" s="27" customFormat="1" ht="11.25" hidden="1" x14ac:dyDescent="0.2">
      <c r="B364" s="60"/>
      <c r="AH364" s="60"/>
      <c r="AT364" s="61"/>
    </row>
    <row r="365" spans="2:46" s="27" customFormat="1" ht="11.25" hidden="1" x14ac:dyDescent="0.2">
      <c r="B365" s="60"/>
      <c r="AH365" s="60"/>
      <c r="AT365" s="61"/>
    </row>
    <row r="366" spans="2:46" s="27" customFormat="1" ht="11.25" hidden="1" x14ac:dyDescent="0.2">
      <c r="B366" s="65"/>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5"/>
      <c r="AI366" s="66"/>
      <c r="AJ366" s="66"/>
      <c r="AK366" s="66"/>
      <c r="AL366" s="66"/>
      <c r="AM366" s="66"/>
      <c r="AN366" s="66"/>
      <c r="AO366" s="66"/>
      <c r="AP366" s="66"/>
      <c r="AQ366" s="66"/>
      <c r="AR366" s="66"/>
      <c r="AS366" s="66"/>
      <c r="AT366" s="67"/>
    </row>
    <row r="367" spans="2:46" s="27" customFormat="1" ht="11.25" hidden="1" x14ac:dyDescent="0.2"/>
    <row r="368" spans="2:46" s="27" customFormat="1" ht="11.25" hidden="1" x14ac:dyDescent="0.2">
      <c r="B368" s="62"/>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2"/>
      <c r="AI368" s="63"/>
      <c r="AJ368" s="63"/>
      <c r="AK368" s="63"/>
      <c r="AL368" s="63"/>
      <c r="AM368" s="63"/>
      <c r="AN368" s="63"/>
      <c r="AO368" s="63"/>
      <c r="AP368" s="63"/>
      <c r="AQ368" s="63"/>
      <c r="AR368" s="63"/>
      <c r="AS368" s="63"/>
      <c r="AT368" s="64"/>
    </row>
    <row r="369" spans="2:46" s="27" customFormat="1" ht="11.25" hidden="1" x14ac:dyDescent="0.2">
      <c r="B369" s="60"/>
      <c r="AH369" s="60"/>
      <c r="AT369" s="61"/>
    </row>
    <row r="370" spans="2:46" s="27" customFormat="1" ht="11.25" hidden="1" x14ac:dyDescent="0.2">
      <c r="B370" s="60"/>
      <c r="AH370" s="60"/>
      <c r="AT370" s="61"/>
    </row>
    <row r="371" spans="2:46" s="27" customFormat="1" ht="11.25" hidden="1" x14ac:dyDescent="0.2">
      <c r="B371" s="60"/>
      <c r="AH371" s="60"/>
      <c r="AT371" s="61"/>
    </row>
    <row r="372" spans="2:46" s="27" customFormat="1" ht="11.25" hidden="1" x14ac:dyDescent="0.2">
      <c r="B372" s="60"/>
      <c r="AH372" s="60"/>
      <c r="AT372" s="61"/>
    </row>
    <row r="373" spans="2:46" s="27" customFormat="1" ht="11.25" hidden="1" x14ac:dyDescent="0.2">
      <c r="B373" s="60"/>
      <c r="AH373" s="60"/>
      <c r="AT373" s="61"/>
    </row>
    <row r="374" spans="2:46" s="27" customFormat="1" ht="11.25" hidden="1" x14ac:dyDescent="0.2">
      <c r="B374" s="60"/>
      <c r="AH374" s="60"/>
      <c r="AT374" s="61"/>
    </row>
    <row r="375" spans="2:46" s="27" customFormat="1" ht="11.25" hidden="1" x14ac:dyDescent="0.2">
      <c r="B375" s="60"/>
      <c r="AH375" s="60"/>
      <c r="AT375" s="61"/>
    </row>
    <row r="376" spans="2:46" s="27" customFormat="1" ht="11.25" hidden="1" x14ac:dyDescent="0.2">
      <c r="B376" s="60"/>
      <c r="AH376" s="60"/>
      <c r="AT376" s="61"/>
    </row>
    <row r="377" spans="2:46" s="27" customFormat="1" ht="11.25" hidden="1" x14ac:dyDescent="0.2">
      <c r="B377" s="60"/>
      <c r="AH377" s="60"/>
      <c r="AT377" s="61"/>
    </row>
    <row r="378" spans="2:46" s="27" customFormat="1" ht="11.25" hidden="1" x14ac:dyDescent="0.2">
      <c r="B378" s="60"/>
      <c r="AH378" s="60"/>
      <c r="AT378" s="61"/>
    </row>
    <row r="379" spans="2:46" s="27" customFormat="1" ht="11.25" hidden="1" x14ac:dyDescent="0.2">
      <c r="B379" s="60"/>
      <c r="AH379" s="60"/>
      <c r="AT379" s="61"/>
    </row>
    <row r="380" spans="2:46" s="27" customFormat="1" ht="11.25" hidden="1" x14ac:dyDescent="0.2">
      <c r="B380" s="60"/>
      <c r="AH380" s="60"/>
      <c r="AT380" s="61"/>
    </row>
    <row r="381" spans="2:46" s="27" customFormat="1" ht="11.25" hidden="1" x14ac:dyDescent="0.2">
      <c r="B381" s="60"/>
      <c r="AH381" s="60"/>
      <c r="AT381" s="61"/>
    </row>
    <row r="382" spans="2:46" s="27" customFormat="1" ht="11.25" hidden="1" x14ac:dyDescent="0.2">
      <c r="B382" s="60"/>
      <c r="AH382" s="60"/>
      <c r="AT382" s="61"/>
    </row>
    <row r="383" spans="2:46" s="27" customFormat="1" ht="11.25" hidden="1" x14ac:dyDescent="0.2">
      <c r="B383" s="60"/>
      <c r="AH383" s="60"/>
      <c r="AT383" s="61"/>
    </row>
    <row r="384" spans="2:46" s="27" customFormat="1" ht="11.25" hidden="1" x14ac:dyDescent="0.2">
      <c r="B384" s="65"/>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5"/>
      <c r="AI384" s="66"/>
      <c r="AJ384" s="66"/>
      <c r="AK384" s="66"/>
      <c r="AL384" s="66"/>
      <c r="AM384" s="66"/>
      <c r="AN384" s="66"/>
      <c r="AO384" s="66"/>
      <c r="AP384" s="66"/>
      <c r="AQ384" s="66"/>
      <c r="AR384" s="66"/>
      <c r="AS384" s="66"/>
      <c r="AT384" s="67"/>
    </row>
    <row r="385" spans="1:25" s="27" customFormat="1" ht="11.25" hidden="1" x14ac:dyDescent="0.2"/>
    <row r="386" spans="1:25" s="27" customFormat="1" ht="11.25" hidden="1" x14ac:dyDescent="0.2">
      <c r="B386" s="62"/>
      <c r="C386" s="63"/>
      <c r="D386" s="63"/>
      <c r="E386" s="63"/>
      <c r="F386" s="63"/>
      <c r="G386" s="63"/>
      <c r="H386" s="62"/>
      <c r="I386" s="63"/>
      <c r="J386" s="63"/>
      <c r="K386" s="63"/>
      <c r="L386" s="63"/>
      <c r="M386" s="63"/>
      <c r="N386" s="63"/>
      <c r="O386" s="63"/>
      <c r="P386" s="63"/>
      <c r="Q386" s="63"/>
      <c r="R386" s="63"/>
      <c r="S386" s="63"/>
      <c r="T386" s="63"/>
      <c r="U386" s="63"/>
      <c r="V386" s="63"/>
      <c r="W386" s="63"/>
      <c r="X386" s="63"/>
      <c r="Y386" s="64"/>
    </row>
    <row r="387" spans="1:25" s="27" customFormat="1" ht="11.25" hidden="1" x14ac:dyDescent="0.2">
      <c r="B387" s="60"/>
      <c r="H387" s="60"/>
      <c r="Y387" s="61"/>
    </row>
    <row r="388" spans="1:25" s="27" customFormat="1" ht="11.25" hidden="1" x14ac:dyDescent="0.2">
      <c r="B388" s="60"/>
      <c r="H388" s="60"/>
      <c r="Y388" s="61"/>
    </row>
    <row r="389" spans="1:25" s="27" customFormat="1" ht="11.25" hidden="1" x14ac:dyDescent="0.2">
      <c r="B389" s="60"/>
      <c r="H389" s="60"/>
      <c r="Y389" s="61"/>
    </row>
    <row r="390" spans="1:25" s="27" customFormat="1" ht="11.25" hidden="1" x14ac:dyDescent="0.2">
      <c r="A390" s="68"/>
      <c r="B390" s="60"/>
      <c r="H390" s="60"/>
      <c r="Y390" s="61"/>
    </row>
    <row r="391" spans="1:25" s="27" customFormat="1" ht="11.25" hidden="1" x14ac:dyDescent="0.2">
      <c r="B391" s="60"/>
      <c r="H391" s="60"/>
      <c r="Y391" s="61"/>
    </row>
    <row r="392" spans="1:25" s="27" customFormat="1" ht="11.25" hidden="1" x14ac:dyDescent="0.2">
      <c r="B392" s="60"/>
      <c r="H392" s="60"/>
      <c r="Y392" s="61"/>
    </row>
    <row r="393" spans="1:25" s="27" customFormat="1" ht="11.25" hidden="1" x14ac:dyDescent="0.2">
      <c r="B393" s="60"/>
      <c r="H393" s="60"/>
      <c r="Y393" s="61"/>
    </row>
    <row r="394" spans="1:25" s="27" customFormat="1" ht="11.25" hidden="1" x14ac:dyDescent="0.2">
      <c r="B394" s="60"/>
      <c r="H394" s="60"/>
      <c r="Y394" s="61"/>
    </row>
    <row r="395" spans="1:25" s="27" customFormat="1" ht="11.25" hidden="1" x14ac:dyDescent="0.2">
      <c r="B395" s="60"/>
      <c r="H395" s="60"/>
      <c r="Y395" s="61"/>
    </row>
    <row r="396" spans="1:25" s="27" customFormat="1" ht="11.25" hidden="1" x14ac:dyDescent="0.2">
      <c r="B396" s="60"/>
      <c r="H396" s="60"/>
      <c r="Y396" s="61"/>
    </row>
    <row r="397" spans="1:25" s="27" customFormat="1" ht="11.25" hidden="1" x14ac:dyDescent="0.2">
      <c r="B397" s="60"/>
      <c r="H397" s="60"/>
      <c r="Y397" s="61"/>
    </row>
    <row r="398" spans="1:25" s="27" customFormat="1" ht="11.25" hidden="1" x14ac:dyDescent="0.2">
      <c r="B398" s="60"/>
      <c r="H398" s="60"/>
      <c r="Y398" s="61"/>
    </row>
    <row r="399" spans="1:25" s="27" customFormat="1" ht="11.25" hidden="1" x14ac:dyDescent="0.2">
      <c r="B399" s="60"/>
      <c r="H399" s="60"/>
      <c r="Y399" s="61"/>
    </row>
    <row r="400" spans="1:25" s="27" customFormat="1" ht="11.25" hidden="1" x14ac:dyDescent="0.2">
      <c r="B400" s="60"/>
      <c r="H400" s="60"/>
      <c r="Y400" s="61"/>
    </row>
    <row r="401" spans="2:25" s="27" customFormat="1" ht="11.25" hidden="1" x14ac:dyDescent="0.2">
      <c r="B401" s="65"/>
      <c r="C401" s="66"/>
      <c r="D401" s="66"/>
      <c r="E401" s="66"/>
      <c r="F401" s="66"/>
      <c r="G401" s="66"/>
      <c r="H401" s="65"/>
      <c r="I401" s="66"/>
      <c r="J401" s="66"/>
      <c r="K401" s="66"/>
      <c r="L401" s="66"/>
      <c r="M401" s="66"/>
      <c r="N401" s="66"/>
      <c r="O401" s="66"/>
      <c r="P401" s="66"/>
      <c r="Q401" s="66"/>
      <c r="R401" s="66"/>
      <c r="S401" s="66"/>
      <c r="T401" s="66"/>
      <c r="U401" s="66"/>
      <c r="V401" s="66"/>
      <c r="W401" s="66"/>
      <c r="X401" s="66"/>
      <c r="Y401" s="67"/>
    </row>
    <row r="402" spans="2:25" s="27" customFormat="1" ht="11.25" hidden="1" x14ac:dyDescent="0.2"/>
    <row r="403" spans="2:25" s="27" customFormat="1" ht="11.25" hidden="1" x14ac:dyDescent="0.2"/>
    <row r="404" spans="2:25" s="27" customFormat="1" ht="11.25" hidden="1" x14ac:dyDescent="0.2"/>
    <row r="405" spans="2:25" s="27" customFormat="1" ht="11.25" hidden="1" x14ac:dyDescent="0.2"/>
    <row r="406" spans="2:25" s="27" customFormat="1" ht="11.25" x14ac:dyDescent="0.2"/>
    <row r="407" spans="2:25" s="27" customFormat="1" ht="11.25" x14ac:dyDescent="0.2"/>
    <row r="408" spans="2:25" s="27" customFormat="1" ht="11.25" x14ac:dyDescent="0.2"/>
    <row r="409" spans="2:25" s="27" customFormat="1" ht="11.25" x14ac:dyDescent="0.2"/>
    <row r="410" spans="2:25" s="27" customFormat="1" ht="11.25" x14ac:dyDescent="0.2"/>
    <row r="411" spans="2:25" s="27" customFormat="1" ht="11.25" x14ac:dyDescent="0.2"/>
    <row r="412" spans="2:25" s="27" customFormat="1" ht="11.25" x14ac:dyDescent="0.2"/>
    <row r="413" spans="2:25" s="27" customFormat="1" ht="11.25" x14ac:dyDescent="0.2"/>
    <row r="414" spans="2:25" s="27" customFormat="1" ht="11.25" x14ac:dyDescent="0.2"/>
    <row r="415" spans="2:25" s="27" customFormat="1" ht="11.25" x14ac:dyDescent="0.2"/>
    <row r="416" spans="2:25" s="27" customFormat="1" ht="11.25" x14ac:dyDescent="0.2"/>
    <row r="417" s="27" customFormat="1" ht="11.25" x14ac:dyDescent="0.2"/>
    <row r="418" s="27" customFormat="1" ht="11.25" x14ac:dyDescent="0.2"/>
    <row r="419" s="27" customFormat="1" ht="11.25" x14ac:dyDescent="0.2"/>
    <row r="420" s="27" customFormat="1" ht="11.25" x14ac:dyDescent="0.2"/>
    <row r="421" s="27" customFormat="1" ht="11.25" x14ac:dyDescent="0.2"/>
    <row r="422" s="27" customFormat="1" ht="11.25" x14ac:dyDescent="0.2"/>
    <row r="423" s="27" customFormat="1" ht="11.25" x14ac:dyDescent="0.2"/>
    <row r="424" s="27" customFormat="1" ht="11.25" x14ac:dyDescent="0.2"/>
    <row r="425" s="27" customFormat="1" ht="11.25" x14ac:dyDescent="0.2"/>
    <row r="426" s="27" customFormat="1" ht="11.25" x14ac:dyDescent="0.2"/>
    <row r="427" s="27" customFormat="1" ht="11.25" x14ac:dyDescent="0.2"/>
    <row r="428" s="27" customFormat="1" ht="11.25" x14ac:dyDescent="0.2"/>
    <row r="429" s="27" customFormat="1" ht="11.25" x14ac:dyDescent="0.2"/>
    <row r="430" s="27" customFormat="1" ht="11.25" x14ac:dyDescent="0.2"/>
    <row r="431" s="27" customFormat="1" ht="11.25" x14ac:dyDescent="0.2"/>
    <row r="432" s="27" customFormat="1" ht="11.25" x14ac:dyDescent="0.2"/>
    <row r="433" s="27" customFormat="1" ht="11.25" x14ac:dyDescent="0.2"/>
    <row r="434" s="27" customFormat="1" ht="11.25" x14ac:dyDescent="0.2"/>
    <row r="435" s="27" customFormat="1" ht="11.25" x14ac:dyDescent="0.2"/>
    <row r="436" s="27" customFormat="1" ht="11.25" x14ac:dyDescent="0.2"/>
    <row r="437" s="27" customFormat="1" ht="11.25" x14ac:dyDescent="0.2"/>
    <row r="438" s="27" customFormat="1" ht="11.25" x14ac:dyDescent="0.2"/>
    <row r="439" s="27" customFormat="1" ht="11.25" x14ac:dyDescent="0.2"/>
    <row r="440" s="27" customFormat="1" ht="11.25" x14ac:dyDescent="0.2"/>
    <row r="441" s="27" customFormat="1" ht="11.25" x14ac:dyDescent="0.2"/>
    <row r="442" s="27" customFormat="1" ht="11.25" x14ac:dyDescent="0.2"/>
    <row r="443" s="27" customFormat="1" ht="11.25" x14ac:dyDescent="0.2"/>
    <row r="444" s="27" customFormat="1" ht="11.25" x14ac:dyDescent="0.2"/>
    <row r="445" s="27" customFormat="1" ht="11.25" x14ac:dyDescent="0.2"/>
    <row r="446" s="27" customFormat="1" ht="11.25" x14ac:dyDescent="0.2"/>
    <row r="447" s="27" customFormat="1" ht="11.25" x14ac:dyDescent="0.2"/>
    <row r="448" s="27" customFormat="1" ht="11.25" x14ac:dyDescent="0.2"/>
    <row r="449" s="27" customFormat="1" ht="11.25" x14ac:dyDescent="0.2"/>
    <row r="450" s="27" customFormat="1" ht="11.25" x14ac:dyDescent="0.2"/>
    <row r="451" s="27" customFormat="1" ht="11.25" x14ac:dyDescent="0.2"/>
    <row r="452" s="27" customFormat="1" ht="11.25" x14ac:dyDescent="0.2"/>
    <row r="453" s="27" customFormat="1" ht="11.25" x14ac:dyDescent="0.2"/>
    <row r="454" s="27" customFormat="1" ht="11.25" x14ac:dyDescent="0.2"/>
    <row r="455" s="27" customFormat="1" ht="11.25" x14ac:dyDescent="0.2"/>
    <row r="456" s="27" customFormat="1" ht="11.25" x14ac:dyDescent="0.2"/>
    <row r="457" s="27" customFormat="1" ht="11.25" x14ac:dyDescent="0.2"/>
    <row r="458" s="27" customFormat="1" ht="11.25" x14ac:dyDescent="0.2"/>
    <row r="459" s="27" customFormat="1" ht="11.25" x14ac:dyDescent="0.2"/>
    <row r="460" s="27" customFormat="1" ht="11.25" x14ac:dyDescent="0.2"/>
    <row r="461" s="27" customFormat="1" ht="11.25" x14ac:dyDescent="0.2"/>
    <row r="462" s="27" customFormat="1" ht="11.25" x14ac:dyDescent="0.2"/>
    <row r="463" s="27" customFormat="1" ht="11.25" x14ac:dyDescent="0.2"/>
    <row r="464" s="27" customFormat="1" ht="11.25" x14ac:dyDescent="0.2"/>
    <row r="465" s="27" customFormat="1" ht="11.25" x14ac:dyDescent="0.2"/>
    <row r="466" s="27" customFormat="1" ht="11.25" x14ac:dyDescent="0.2"/>
    <row r="467" s="27" customFormat="1" ht="11.25" x14ac:dyDescent="0.2"/>
    <row r="468" s="27" customFormat="1" ht="11.25" x14ac:dyDescent="0.2"/>
    <row r="469" s="27" customFormat="1" ht="11.25" x14ac:dyDescent="0.2"/>
    <row r="470" s="27" customFormat="1" ht="11.25" x14ac:dyDescent="0.2"/>
    <row r="471" s="27" customFormat="1" ht="11.25" x14ac:dyDescent="0.2"/>
    <row r="472" s="27" customFormat="1" ht="11.25" x14ac:dyDescent="0.2"/>
    <row r="473" s="27" customFormat="1" ht="11.25" x14ac:dyDescent="0.2"/>
    <row r="474" s="27" customFormat="1" ht="11.25" x14ac:dyDescent="0.2"/>
    <row r="475" s="27" customFormat="1" ht="11.25" x14ac:dyDescent="0.2"/>
    <row r="476" s="27" customFormat="1" ht="11.25" x14ac:dyDescent="0.2"/>
    <row r="477" s="27" customFormat="1" ht="11.25" x14ac:dyDescent="0.2"/>
    <row r="478" s="27" customFormat="1" ht="11.25" x14ac:dyDescent="0.2"/>
    <row r="479" s="27" customFormat="1" ht="11.25" x14ac:dyDescent="0.2"/>
    <row r="480" s="27" customFormat="1" ht="11.25" x14ac:dyDescent="0.2"/>
    <row r="481" s="27" customFormat="1" ht="11.25" x14ac:dyDescent="0.2"/>
    <row r="482" s="27" customFormat="1" ht="11.25" x14ac:dyDescent="0.2"/>
    <row r="483" s="27" customFormat="1" ht="11.25" x14ac:dyDescent="0.2"/>
    <row r="484" s="27" customFormat="1" ht="11.25" x14ac:dyDescent="0.2"/>
    <row r="485" s="27" customFormat="1" ht="11.25" x14ac:dyDescent="0.2"/>
    <row r="486" s="27" customFormat="1" ht="11.25" x14ac:dyDescent="0.2"/>
    <row r="487" s="27" customFormat="1" ht="11.25" x14ac:dyDescent="0.2"/>
    <row r="488" s="27" customFormat="1" ht="11.25" x14ac:dyDescent="0.2"/>
    <row r="489" s="27" customFormat="1" ht="11.25" x14ac:dyDescent="0.2"/>
    <row r="490" s="27" customFormat="1" ht="11.25" x14ac:dyDescent="0.2"/>
    <row r="491" s="27" customFormat="1" ht="11.25" x14ac:dyDescent="0.2"/>
    <row r="492" s="27" customFormat="1" ht="11.25" x14ac:dyDescent="0.2"/>
    <row r="493" s="27" customFormat="1" ht="11.25" x14ac:dyDescent="0.2"/>
    <row r="494" s="27" customFormat="1" ht="11.25" x14ac:dyDescent="0.2"/>
    <row r="495" s="27" customFormat="1" ht="11.25" x14ac:dyDescent="0.2"/>
    <row r="496" s="27" customFormat="1" ht="11.25" x14ac:dyDescent="0.2"/>
    <row r="497" s="27" customFormat="1" ht="11.25" x14ac:dyDescent="0.2"/>
    <row r="498" s="27" customFormat="1" ht="11.25" x14ac:dyDescent="0.2"/>
    <row r="499" s="27" customFormat="1" ht="11.25" x14ac:dyDescent="0.2"/>
    <row r="500" s="27" customFormat="1" ht="11.25" x14ac:dyDescent="0.2"/>
    <row r="501" s="27" customFormat="1" ht="11.25" x14ac:dyDescent="0.2"/>
    <row r="502" s="27" customFormat="1" ht="11.25" x14ac:dyDescent="0.2"/>
    <row r="503" s="27" customFormat="1" ht="11.25" x14ac:dyDescent="0.2"/>
    <row r="504" s="27" customFormat="1" ht="11.25" x14ac:dyDescent="0.2"/>
    <row r="505" s="27" customFormat="1" ht="11.25" x14ac:dyDescent="0.2"/>
    <row r="506" s="27" customFormat="1" ht="11.25" x14ac:dyDescent="0.2"/>
    <row r="507" s="27" customFormat="1" ht="11.25" x14ac:dyDescent="0.2"/>
    <row r="508" s="27" customFormat="1" ht="11.25" x14ac:dyDescent="0.2"/>
    <row r="509" s="27" customFormat="1" ht="11.25" x14ac:dyDescent="0.2"/>
    <row r="510" s="27" customFormat="1" ht="11.25" x14ac:dyDescent="0.2"/>
    <row r="511" s="27" customFormat="1" ht="11.25" x14ac:dyDescent="0.2"/>
    <row r="512" s="27" customFormat="1" ht="11.25" x14ac:dyDescent="0.2"/>
    <row r="513" s="27" customFormat="1" ht="11.25" x14ac:dyDescent="0.2"/>
    <row r="514" s="27" customFormat="1" ht="11.25" x14ac:dyDescent="0.2"/>
    <row r="515" s="27" customFormat="1" ht="11.25" x14ac:dyDescent="0.2"/>
    <row r="516" s="27" customFormat="1" ht="11.25" x14ac:dyDescent="0.2"/>
    <row r="517" s="27" customFormat="1" ht="11.25" x14ac:dyDescent="0.2"/>
    <row r="518" s="27" customFormat="1" ht="11.25" x14ac:dyDescent="0.2"/>
    <row r="519" s="27" customFormat="1" ht="11.25" x14ac:dyDescent="0.2"/>
    <row r="520" s="27" customFormat="1" ht="11.25" x14ac:dyDescent="0.2"/>
    <row r="521" s="27" customFormat="1" ht="11.25" x14ac:dyDescent="0.2"/>
    <row r="522" s="27" customFormat="1" ht="11.25" x14ac:dyDescent="0.2"/>
    <row r="523" s="27" customFormat="1" ht="11.25" x14ac:dyDescent="0.2"/>
    <row r="524" s="27" customFormat="1" ht="11.25" x14ac:dyDescent="0.2"/>
    <row r="525" s="27" customFormat="1" ht="11.25" x14ac:dyDescent="0.2"/>
    <row r="526" s="27" customFormat="1" ht="11.25" x14ac:dyDescent="0.2"/>
    <row r="527" s="27" customFormat="1" ht="11.25" x14ac:dyDescent="0.2"/>
    <row r="528" s="27" customFormat="1" ht="11.25" x14ac:dyDescent="0.2"/>
    <row r="529" s="27" customFormat="1" ht="11.25" x14ac:dyDescent="0.2"/>
    <row r="530" s="27" customFormat="1" ht="11.25" x14ac:dyDescent="0.2"/>
    <row r="531" s="27" customFormat="1" ht="11.25" x14ac:dyDescent="0.2"/>
    <row r="532" s="27" customFormat="1" ht="11.25" x14ac:dyDescent="0.2"/>
    <row r="533" s="27" customFormat="1" ht="11.25" x14ac:dyDescent="0.2"/>
    <row r="534" s="27" customFormat="1" ht="11.25" x14ac:dyDescent="0.2"/>
    <row r="535" s="27" customFormat="1" ht="11.25" x14ac:dyDescent="0.2"/>
    <row r="536" s="27" customFormat="1" ht="11.25" x14ac:dyDescent="0.2"/>
    <row r="537" s="27" customFormat="1" ht="11.25" x14ac:dyDescent="0.2"/>
    <row r="538" s="27" customFormat="1" ht="11.25" x14ac:dyDescent="0.2"/>
    <row r="539" s="27" customFormat="1" ht="11.25" x14ac:dyDescent="0.2"/>
    <row r="540" s="27" customFormat="1" ht="11.25" x14ac:dyDescent="0.2"/>
    <row r="541" s="27" customFormat="1" ht="11.25" x14ac:dyDescent="0.2"/>
    <row r="542" s="27" customFormat="1" ht="11.25" x14ac:dyDescent="0.2"/>
    <row r="543" s="27" customFormat="1" ht="11.25" x14ac:dyDescent="0.2"/>
    <row r="544" s="27" customFormat="1" ht="11.25" x14ac:dyDescent="0.2"/>
    <row r="545" s="27" customFormat="1" ht="11.25" x14ac:dyDescent="0.2"/>
    <row r="546" s="27" customFormat="1" ht="11.25" x14ac:dyDescent="0.2"/>
    <row r="547" s="27" customFormat="1" ht="11.25" x14ac:dyDescent="0.2"/>
    <row r="548" s="27" customFormat="1" ht="11.25" x14ac:dyDescent="0.2"/>
    <row r="549" s="27" customFormat="1" ht="11.25" x14ac:dyDescent="0.2"/>
    <row r="550" s="27" customFormat="1" ht="11.25" x14ac:dyDescent="0.2"/>
    <row r="551" s="27" customFormat="1" ht="11.25" x14ac:dyDescent="0.2"/>
    <row r="552" s="27" customFormat="1" ht="11.25" x14ac:dyDescent="0.2"/>
    <row r="553" s="27" customFormat="1" ht="11.25" x14ac:dyDescent="0.2"/>
    <row r="554" s="27" customFormat="1" ht="11.25" x14ac:dyDescent="0.2"/>
    <row r="555" s="27" customFormat="1" ht="11.25" x14ac:dyDescent="0.2"/>
    <row r="556" s="27" customFormat="1" ht="11.25" x14ac:dyDescent="0.2"/>
    <row r="557" s="27" customFormat="1" ht="11.25" x14ac:dyDescent="0.2"/>
    <row r="558" s="27" customFormat="1" ht="11.25" x14ac:dyDescent="0.2"/>
    <row r="559" s="27" customFormat="1" ht="11.25" x14ac:dyDescent="0.2"/>
    <row r="560" s="27" customFormat="1" ht="11.25" x14ac:dyDescent="0.2"/>
    <row r="561" s="27" customFormat="1" ht="11.25" x14ac:dyDescent="0.2"/>
    <row r="562" s="27" customFormat="1" ht="11.25" x14ac:dyDescent="0.2"/>
    <row r="563" s="27" customFormat="1" ht="11.25" x14ac:dyDescent="0.2"/>
    <row r="564" s="27" customFormat="1" ht="11.25" x14ac:dyDescent="0.2"/>
    <row r="565" s="27" customFormat="1" ht="11.25" x14ac:dyDescent="0.2"/>
    <row r="566" s="27" customFormat="1" ht="11.25" x14ac:dyDescent="0.2"/>
    <row r="567" s="27" customFormat="1" ht="11.25" x14ac:dyDescent="0.2"/>
    <row r="568" s="27" customFormat="1" ht="11.25" x14ac:dyDescent="0.2"/>
    <row r="569" s="27" customFormat="1" ht="11.25" x14ac:dyDescent="0.2"/>
    <row r="570" s="27" customFormat="1" ht="11.25" x14ac:dyDescent="0.2"/>
    <row r="571" s="27" customFormat="1" ht="11.25" x14ac:dyDescent="0.2"/>
    <row r="572" s="27" customFormat="1" ht="11.25" x14ac:dyDescent="0.2"/>
    <row r="573" s="27" customFormat="1" ht="11.25" x14ac:dyDescent="0.2"/>
    <row r="574" s="27" customFormat="1" ht="11.25" x14ac:dyDescent="0.2"/>
    <row r="575" s="27" customFormat="1" ht="11.25" x14ac:dyDescent="0.2"/>
    <row r="576" s="27" customFormat="1" ht="11.25" x14ac:dyDescent="0.2"/>
    <row r="577" s="27" customFormat="1" ht="11.25" x14ac:dyDescent="0.2"/>
    <row r="578" s="27" customFormat="1" ht="11.25" x14ac:dyDescent="0.2"/>
    <row r="579" s="27" customFormat="1" ht="11.25" x14ac:dyDescent="0.2"/>
    <row r="580" s="27" customFormat="1" ht="11.25" x14ac:dyDescent="0.2"/>
    <row r="581" s="27" customFormat="1" ht="11.25" x14ac:dyDescent="0.2"/>
    <row r="582" s="27" customFormat="1" ht="11.25" x14ac:dyDescent="0.2"/>
    <row r="583" s="27" customFormat="1" ht="11.25" x14ac:dyDescent="0.2"/>
    <row r="584" s="27" customFormat="1" ht="11.25" x14ac:dyDescent="0.2"/>
    <row r="585" s="27" customFormat="1" ht="11.25" x14ac:dyDescent="0.2"/>
    <row r="586" s="27" customFormat="1" ht="11.25" x14ac:dyDescent="0.2"/>
    <row r="587" s="27" customFormat="1" ht="11.25" x14ac:dyDescent="0.2"/>
    <row r="588" s="27" customFormat="1" ht="11.25" x14ac:dyDescent="0.2"/>
    <row r="589" s="27" customFormat="1" ht="11.25" x14ac:dyDescent="0.2"/>
    <row r="590" s="27" customFormat="1" ht="11.25" x14ac:dyDescent="0.2"/>
    <row r="591" s="27" customFormat="1" ht="11.25" x14ac:dyDescent="0.2"/>
    <row r="592" s="27" customFormat="1" ht="11.25" x14ac:dyDescent="0.2"/>
    <row r="593" s="27" customFormat="1" ht="11.25" x14ac:dyDescent="0.2"/>
    <row r="594" s="27" customFormat="1" ht="11.25" x14ac:dyDescent="0.2"/>
    <row r="595" s="27" customFormat="1" ht="11.25" x14ac:dyDescent="0.2"/>
    <row r="596" s="27" customFormat="1" ht="11.25" x14ac:dyDescent="0.2"/>
    <row r="597" s="27" customFormat="1" ht="11.25" x14ac:dyDescent="0.2"/>
    <row r="598" s="27" customFormat="1" ht="11.25" x14ac:dyDescent="0.2"/>
    <row r="599" s="27" customFormat="1" ht="11.25" x14ac:dyDescent="0.2"/>
    <row r="600" s="27" customFormat="1" ht="11.25" x14ac:dyDescent="0.2"/>
    <row r="601" s="27" customFormat="1" ht="11.25" x14ac:dyDescent="0.2"/>
    <row r="602" s="27" customFormat="1" ht="11.25" x14ac:dyDescent="0.2"/>
    <row r="603" s="27" customFormat="1" ht="11.25" x14ac:dyDescent="0.2"/>
    <row r="604" s="27" customFormat="1" ht="11.25" x14ac:dyDescent="0.2"/>
    <row r="605" s="27" customFormat="1" ht="11.25" x14ac:dyDescent="0.2"/>
    <row r="606" s="27" customFormat="1" ht="11.25" x14ac:dyDescent="0.2"/>
    <row r="607" s="27" customFormat="1" ht="11.25" x14ac:dyDescent="0.2"/>
    <row r="608" s="27" customFormat="1" ht="11.25" x14ac:dyDescent="0.2"/>
    <row r="609" s="27" customFormat="1" ht="11.25" x14ac:dyDescent="0.2"/>
    <row r="610" s="27" customFormat="1" ht="11.25" x14ac:dyDescent="0.2"/>
    <row r="611" s="27" customFormat="1" ht="11.25" x14ac:dyDescent="0.2"/>
    <row r="612" s="27" customFormat="1" ht="11.25" x14ac:dyDescent="0.2"/>
    <row r="613" s="27" customFormat="1" ht="11.25" x14ac:dyDescent="0.2"/>
    <row r="614" s="27" customFormat="1" ht="11.25" x14ac:dyDescent="0.2"/>
    <row r="615" s="27" customFormat="1" ht="11.25" x14ac:dyDescent="0.2"/>
    <row r="616" s="27" customFormat="1" ht="11.25" x14ac:dyDescent="0.2"/>
    <row r="617" s="27" customFormat="1" ht="11.25" x14ac:dyDescent="0.2"/>
    <row r="618" s="27" customFormat="1" ht="11.25" x14ac:dyDescent="0.2"/>
    <row r="619" s="27" customFormat="1" ht="11.25" x14ac:dyDescent="0.2"/>
    <row r="620" s="27" customFormat="1" ht="11.25" x14ac:dyDescent="0.2"/>
    <row r="621" s="27" customFormat="1" ht="11.25" x14ac:dyDescent="0.2"/>
    <row r="622" s="27" customFormat="1" ht="11.25" x14ac:dyDescent="0.2"/>
    <row r="623" s="27" customFormat="1" ht="11.25" x14ac:dyDescent="0.2"/>
    <row r="624" s="27" customFormat="1" ht="11.25" x14ac:dyDescent="0.2"/>
    <row r="625" s="27" customFormat="1" ht="11.25" x14ac:dyDescent="0.2"/>
    <row r="626" s="27" customFormat="1" ht="11.25" x14ac:dyDescent="0.2"/>
    <row r="627" s="27" customFormat="1" ht="11.25" x14ac:dyDescent="0.2"/>
  </sheetData>
  <sheetProtection password="E65B" sheet="1" objects="1" scenarios="1"/>
  <phoneticPr fontId="2" type="noConversion"/>
  <pageMargins left="0.75" right="0.75" top="1" bottom="1" header="0" footer="0"/>
  <pageSetup paperSize="9" orientation="portrait" horizontalDpi="4294967292" verticalDpi="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enableFormatConditionsCalculation="0">
    <tabColor indexed="23"/>
  </sheetPr>
  <dimension ref="A1:BZ258"/>
  <sheetViews>
    <sheetView showGridLines="0" showOutlineSymbols="0" workbookViewId="0">
      <pane ySplit="2" topLeftCell="A3" activePane="bottomLeft" state="frozen"/>
      <selection pane="bottomLeft" activeCell="C265" sqref="C265"/>
    </sheetView>
  </sheetViews>
  <sheetFormatPr baseColWidth="10" defaultRowHeight="12.75" x14ac:dyDescent="0.2"/>
  <cols>
    <col min="1" max="1" width="9.7109375" style="27" customWidth="1"/>
    <col min="2" max="2" width="19.85546875" style="27" customWidth="1"/>
    <col min="3" max="3" width="9.7109375" style="27" customWidth="1"/>
    <col min="4" max="22" width="9.7109375" style="27" hidden="1" customWidth="1"/>
    <col min="23" max="23" width="10.85546875" style="27" hidden="1" customWidth="1"/>
    <col min="24" max="25" width="9.7109375" style="27" customWidth="1"/>
    <col min="26" max="78" width="11.42578125" style="27"/>
  </cols>
  <sheetData>
    <row r="1" spans="2:25" ht="12" customHeight="1" x14ac:dyDescent="0.2">
      <c r="Q1" s="27" t="s">
        <v>849</v>
      </c>
    </row>
    <row r="2" spans="2:25" ht="14.25" customHeight="1" x14ac:dyDescent="0.2">
      <c r="B2" s="1348" t="s">
        <v>1396</v>
      </c>
      <c r="C2" s="63"/>
      <c r="D2" s="63" t="str">
        <f>CResult!G77</f>
        <v>PREVIO</v>
      </c>
      <c r="E2" s="63" t="str">
        <f>CResult!H77</f>
        <v>Enero</v>
      </c>
      <c r="F2" s="63" t="str">
        <f>CResult!I77</f>
        <v>Febrero</v>
      </c>
      <c r="G2" s="63" t="str">
        <f>CResult!J77</f>
        <v>Marzo</v>
      </c>
      <c r="H2" s="63" t="str">
        <f>CResult!K77</f>
        <v>Abril</v>
      </c>
      <c r="I2" s="63" t="str">
        <f>CResult!L77</f>
        <v xml:space="preserve">Mayo </v>
      </c>
      <c r="J2" s="63" t="str">
        <f>CResult!M77</f>
        <v>Junio</v>
      </c>
      <c r="K2" s="63" t="str">
        <f>CResult!N77</f>
        <v>Julio</v>
      </c>
      <c r="L2" s="63" t="str">
        <f>CResult!O77</f>
        <v>Agosto</v>
      </c>
      <c r="M2" s="63" t="str">
        <f>CResult!P77</f>
        <v>Septiembre</v>
      </c>
      <c r="N2" s="63" t="str">
        <f>CResult!Q77</f>
        <v>Octubre</v>
      </c>
      <c r="O2" s="63" t="str">
        <f>CResult!R77</f>
        <v>Noviembre</v>
      </c>
      <c r="P2" s="64" t="str">
        <f>CResult!S77</f>
        <v>Diciembre</v>
      </c>
      <c r="Q2" s="62">
        <v>1</v>
      </c>
      <c r="R2" s="63">
        <v>2</v>
      </c>
      <c r="S2" s="63">
        <v>3</v>
      </c>
      <c r="T2" s="63">
        <v>4</v>
      </c>
      <c r="U2" s="63">
        <v>5</v>
      </c>
      <c r="V2" s="63">
        <v>6</v>
      </c>
      <c r="W2" s="64"/>
    </row>
    <row r="3" spans="2:25" ht="12" hidden="1" customHeight="1" x14ac:dyDescent="0.2">
      <c r="B3" s="62" t="s">
        <v>778</v>
      </c>
      <c r="C3" s="63"/>
      <c r="D3" s="63"/>
      <c r="E3" s="63"/>
      <c r="F3" s="63" t="s">
        <v>847</v>
      </c>
      <c r="G3" s="63"/>
      <c r="H3" s="63"/>
      <c r="I3" s="63"/>
      <c r="J3" s="63"/>
      <c r="K3" s="63"/>
      <c r="L3" s="63"/>
      <c r="M3" s="63"/>
      <c r="N3" s="63"/>
      <c r="O3" s="63"/>
      <c r="P3" s="64"/>
      <c r="Q3" s="63"/>
      <c r="R3" s="63"/>
      <c r="S3" s="63"/>
      <c r="T3" s="63"/>
      <c r="U3" s="63"/>
      <c r="V3" s="63"/>
      <c r="W3" s="63"/>
      <c r="X3" s="63"/>
      <c r="Y3" s="64"/>
    </row>
    <row r="4" spans="2:25" ht="12" hidden="1" customHeight="1" x14ac:dyDescent="0.2">
      <c r="B4" s="60" t="s">
        <v>597</v>
      </c>
      <c r="C4" s="27" t="s">
        <v>598</v>
      </c>
      <c r="D4" s="27" t="s">
        <v>777</v>
      </c>
      <c r="G4" s="27" t="s">
        <v>958</v>
      </c>
      <c r="H4" s="27" t="s">
        <v>820</v>
      </c>
      <c r="Y4" s="61"/>
    </row>
    <row r="5" spans="2:25" ht="12" hidden="1" customHeight="1" x14ac:dyDescent="0.2">
      <c r="B5" s="60"/>
      <c r="C5" s="27" t="s">
        <v>599</v>
      </c>
      <c r="D5" s="27">
        <f>SANDBOX!G1097</f>
        <v>1</v>
      </c>
      <c r="F5" s="27" t="s">
        <v>1489</v>
      </c>
      <c r="G5" s="27">
        <f>SUM(E24:P24)</f>
        <v>0</v>
      </c>
      <c r="H5" s="27">
        <f>IF(G7=0,0,G5/G7)</f>
        <v>0</v>
      </c>
      <c r="Y5" s="61"/>
    </row>
    <row r="6" spans="2:25" ht="12" hidden="1" customHeight="1" x14ac:dyDescent="0.2">
      <c r="B6" s="60"/>
      <c r="C6" s="27" t="s">
        <v>600</v>
      </c>
      <c r="D6" s="27">
        <f>SANDBOX!G1098</f>
        <v>0</v>
      </c>
      <c r="F6" s="27" t="s">
        <v>1490</v>
      </c>
      <c r="G6" s="27">
        <f>SUM(Q24:V24)</f>
        <v>0</v>
      </c>
      <c r="H6" s="27">
        <f>IF(G7=0,0,G6/G7)</f>
        <v>0</v>
      </c>
      <c r="Y6" s="61"/>
    </row>
    <row r="7" spans="2:25" ht="12" hidden="1" customHeight="1" x14ac:dyDescent="0.2">
      <c r="B7" s="60"/>
      <c r="C7" s="27" t="s">
        <v>601</v>
      </c>
      <c r="D7" s="27">
        <f>SANDBOX!G1099</f>
        <v>0</v>
      </c>
      <c r="F7" s="27" t="s">
        <v>1308</v>
      </c>
      <c r="G7" s="27">
        <f>SUM(G5:G6)</f>
        <v>0</v>
      </c>
      <c r="Y7" s="61"/>
    </row>
    <row r="8" spans="2:25" ht="12" hidden="1" customHeight="1" x14ac:dyDescent="0.2">
      <c r="B8" s="60"/>
      <c r="C8" s="27" t="s">
        <v>602</v>
      </c>
      <c r="D8" s="27">
        <f>SANDBOX!G1100</f>
        <v>0</v>
      </c>
      <c r="Y8" s="61"/>
    </row>
    <row r="9" spans="2:25" ht="12" hidden="1" customHeight="1" x14ac:dyDescent="0.2">
      <c r="B9" s="60"/>
      <c r="C9" s="27" t="s">
        <v>603</v>
      </c>
      <c r="D9" s="27">
        <f>SANDBOX!G1101</f>
        <v>0</v>
      </c>
      <c r="Y9" s="61"/>
    </row>
    <row r="10" spans="2:25" ht="12" hidden="1" customHeight="1" x14ac:dyDescent="0.2">
      <c r="B10" s="60"/>
      <c r="C10" s="27" t="s">
        <v>151</v>
      </c>
      <c r="D10" s="27">
        <f>SANDBOX!G1102</f>
        <v>0</v>
      </c>
      <c r="Y10" s="61"/>
    </row>
    <row r="11" spans="2:25" ht="12" hidden="1" customHeight="1" x14ac:dyDescent="0.2">
      <c r="B11" s="60"/>
      <c r="C11" s="27" t="s">
        <v>730</v>
      </c>
      <c r="D11" s="27">
        <f>SANDBOX!G1103</f>
        <v>0</v>
      </c>
      <c r="Y11" s="61"/>
    </row>
    <row r="12" spans="2:25" ht="12" hidden="1" customHeight="1" x14ac:dyDescent="0.2">
      <c r="B12" s="60"/>
      <c r="D12" s="27">
        <f>SUM(D5:D11)</f>
        <v>1</v>
      </c>
      <c r="E12" s="27" t="s">
        <v>1310</v>
      </c>
      <c r="Q12" s="27" t="s">
        <v>849</v>
      </c>
      <c r="Y12" s="61"/>
    </row>
    <row r="13" spans="2:25" ht="12" hidden="1" customHeight="1" x14ac:dyDescent="0.2">
      <c r="B13" s="60"/>
      <c r="C13" s="27" t="s">
        <v>1487</v>
      </c>
      <c r="D13" s="27" t="s">
        <v>850</v>
      </c>
      <c r="E13" s="27">
        <v>1</v>
      </c>
      <c r="F13" s="27">
        <v>2</v>
      </c>
      <c r="G13" s="27">
        <v>3</v>
      </c>
      <c r="H13" s="27">
        <v>4</v>
      </c>
      <c r="I13" s="27">
        <v>5</v>
      </c>
      <c r="J13" s="27">
        <v>6</v>
      </c>
      <c r="K13" s="27">
        <v>7</v>
      </c>
      <c r="L13" s="27">
        <v>8</v>
      </c>
      <c r="M13" s="27">
        <v>9</v>
      </c>
      <c r="N13" s="27">
        <v>10</v>
      </c>
      <c r="O13" s="27">
        <v>11</v>
      </c>
      <c r="P13" s="27">
        <v>12</v>
      </c>
      <c r="Q13" s="27">
        <v>1</v>
      </c>
      <c r="R13" s="27">
        <v>2</v>
      </c>
      <c r="S13" s="27">
        <v>3</v>
      </c>
      <c r="T13" s="27">
        <v>4</v>
      </c>
      <c r="U13" s="27">
        <v>5</v>
      </c>
      <c r="V13" s="27">
        <v>6</v>
      </c>
      <c r="W13" s="27" t="s">
        <v>1488</v>
      </c>
      <c r="Y13" s="61"/>
    </row>
    <row r="14" spans="2:25" ht="12" hidden="1" customHeight="1" x14ac:dyDescent="0.2">
      <c r="B14" s="60"/>
      <c r="C14" s="27" t="s">
        <v>1391</v>
      </c>
      <c r="E14" s="27">
        <f>CResult!H94</f>
        <v>0</v>
      </c>
      <c r="F14" s="27">
        <f>CResult!I94</f>
        <v>0</v>
      </c>
      <c r="G14" s="27">
        <f>CResult!J94</f>
        <v>0</v>
      </c>
      <c r="H14" s="27">
        <f>CResult!K94</f>
        <v>0</v>
      </c>
      <c r="I14" s="27">
        <f>CResult!L94</f>
        <v>0</v>
      </c>
      <c r="J14" s="27">
        <f>CResult!M94</f>
        <v>0</v>
      </c>
      <c r="K14" s="27">
        <f>CResult!N94</f>
        <v>0</v>
      </c>
      <c r="L14" s="27">
        <f>CResult!O94</f>
        <v>0</v>
      </c>
      <c r="M14" s="27">
        <f>CResult!P94</f>
        <v>0</v>
      </c>
      <c r="N14" s="27">
        <f>CResult!Q94</f>
        <v>0</v>
      </c>
      <c r="O14" s="27">
        <f>CResult!R94</f>
        <v>0</v>
      </c>
      <c r="P14" s="27">
        <f>CResult!S94</f>
        <v>0</v>
      </c>
      <c r="W14" s="27">
        <f>SUM(E14:P14)</f>
        <v>0</v>
      </c>
      <c r="X14" s="27" t="str">
        <f>IF(W14=CResult!F94,"OK","ERROR")</f>
        <v>OK</v>
      </c>
      <c r="Y14" s="61"/>
    </row>
    <row r="15" spans="2:25" ht="12" hidden="1" customHeight="1" x14ac:dyDescent="0.2">
      <c r="B15" s="60"/>
      <c r="E15" s="27">
        <f>+$E$14*G9</f>
        <v>0</v>
      </c>
      <c r="F15" s="27">
        <f t="shared" ref="F15:P15" si="0">+F14*$G$9</f>
        <v>0</v>
      </c>
      <c r="G15" s="27">
        <f t="shared" si="0"/>
        <v>0</v>
      </c>
      <c r="H15" s="27">
        <f t="shared" si="0"/>
        <v>0</v>
      </c>
      <c r="I15" s="27">
        <f t="shared" si="0"/>
        <v>0</v>
      </c>
      <c r="J15" s="27">
        <f t="shared" si="0"/>
        <v>0</v>
      </c>
      <c r="K15" s="27">
        <f t="shared" si="0"/>
        <v>0</v>
      </c>
      <c r="L15" s="27">
        <f t="shared" si="0"/>
        <v>0</v>
      </c>
      <c r="M15" s="27">
        <f t="shared" si="0"/>
        <v>0</v>
      </c>
      <c r="N15" s="27">
        <f t="shared" si="0"/>
        <v>0</v>
      </c>
      <c r="O15" s="27">
        <f t="shared" si="0"/>
        <v>0</v>
      </c>
      <c r="P15" s="27">
        <f t="shared" si="0"/>
        <v>0</v>
      </c>
      <c r="Y15" s="61"/>
    </row>
    <row r="16" spans="2:25" ht="12" hidden="1" customHeight="1" x14ac:dyDescent="0.2">
      <c r="B16" s="60"/>
      <c r="C16" s="27" t="s">
        <v>699</v>
      </c>
      <c r="E16" s="27">
        <f>+E15+E14</f>
        <v>0</v>
      </c>
      <c r="F16" s="27">
        <f t="shared" ref="F16:P16" si="1">+F15+F14</f>
        <v>0</v>
      </c>
      <c r="G16" s="27">
        <f t="shared" si="1"/>
        <v>0</v>
      </c>
      <c r="H16" s="27">
        <f t="shared" si="1"/>
        <v>0</v>
      </c>
      <c r="I16" s="27">
        <f t="shared" si="1"/>
        <v>0</v>
      </c>
      <c r="J16" s="27">
        <f t="shared" si="1"/>
        <v>0</v>
      </c>
      <c r="K16" s="27">
        <f t="shared" si="1"/>
        <v>0</v>
      </c>
      <c r="L16" s="27">
        <f t="shared" si="1"/>
        <v>0</v>
      </c>
      <c r="M16" s="27">
        <f t="shared" si="1"/>
        <v>0</v>
      </c>
      <c r="N16" s="27">
        <f t="shared" si="1"/>
        <v>0</v>
      </c>
      <c r="O16" s="27">
        <f t="shared" si="1"/>
        <v>0</v>
      </c>
      <c r="P16" s="27">
        <f t="shared" si="1"/>
        <v>0</v>
      </c>
      <c r="Y16" s="61"/>
    </row>
    <row r="17" spans="1:25" ht="12" hidden="1" customHeight="1" x14ac:dyDescent="0.2">
      <c r="B17" s="60"/>
      <c r="C17" s="27" t="s">
        <v>776</v>
      </c>
      <c r="E17" s="27">
        <f>+E16*$D$5</f>
        <v>0</v>
      </c>
      <c r="F17" s="27">
        <f>+F16*$D$5</f>
        <v>0</v>
      </c>
      <c r="G17" s="27">
        <f t="shared" ref="G17:O17" si="2">+G16*$D$5</f>
        <v>0</v>
      </c>
      <c r="H17" s="27">
        <f t="shared" si="2"/>
        <v>0</v>
      </c>
      <c r="I17" s="27">
        <f t="shared" si="2"/>
        <v>0</v>
      </c>
      <c r="J17" s="27">
        <f t="shared" si="2"/>
        <v>0</v>
      </c>
      <c r="K17" s="27">
        <f t="shared" si="2"/>
        <v>0</v>
      </c>
      <c r="L17" s="27">
        <f t="shared" si="2"/>
        <v>0</v>
      </c>
      <c r="M17" s="27">
        <f t="shared" si="2"/>
        <v>0</v>
      </c>
      <c r="N17" s="27">
        <f t="shared" si="2"/>
        <v>0</v>
      </c>
      <c r="O17" s="27">
        <f t="shared" si="2"/>
        <v>0</v>
      </c>
      <c r="P17" s="27">
        <f>+P16*$D$5</f>
        <v>0</v>
      </c>
      <c r="W17" s="27">
        <f>SUM(E17:P17)</f>
        <v>0</v>
      </c>
      <c r="X17" s="27" t="str">
        <f>IF(W17=W14*D5,"OK","ERROR")</f>
        <v>OK</v>
      </c>
      <c r="Y17" s="61"/>
    </row>
    <row r="18" spans="1:25" ht="12" hidden="1" customHeight="1" x14ac:dyDescent="0.2">
      <c r="B18" s="60"/>
      <c r="C18" s="27" t="s">
        <v>600</v>
      </c>
      <c r="F18" s="27">
        <f>+E16*$D$6</f>
        <v>0</v>
      </c>
      <c r="G18" s="27">
        <f>+F16*$D$6</f>
        <v>0</v>
      </c>
      <c r="H18" s="27">
        <f>+G16*$D$6</f>
        <v>0</v>
      </c>
      <c r="I18" s="27">
        <f t="shared" ref="I18:P18" si="3">+H16*$D$6</f>
        <v>0</v>
      </c>
      <c r="J18" s="27">
        <f t="shared" si="3"/>
        <v>0</v>
      </c>
      <c r="K18" s="27">
        <f t="shared" si="3"/>
        <v>0</v>
      </c>
      <c r="L18" s="27">
        <f t="shared" si="3"/>
        <v>0</v>
      </c>
      <c r="M18" s="27">
        <f t="shared" si="3"/>
        <v>0</v>
      </c>
      <c r="N18" s="27">
        <f t="shared" si="3"/>
        <v>0</v>
      </c>
      <c r="O18" s="27">
        <f t="shared" si="3"/>
        <v>0</v>
      </c>
      <c r="P18" s="27">
        <f t="shared" si="3"/>
        <v>0</v>
      </c>
      <c r="Q18" s="27">
        <f>+P16*$D$6</f>
        <v>0</v>
      </c>
      <c r="W18" s="27">
        <f>SUM(E18:Q18)</f>
        <v>0</v>
      </c>
      <c r="X18" s="27" t="str">
        <f>IF(W18=W14*D6,"OK","ERROR")</f>
        <v>OK</v>
      </c>
      <c r="Y18" s="61"/>
    </row>
    <row r="19" spans="1:25" ht="12" hidden="1" customHeight="1" x14ac:dyDescent="0.2">
      <c r="B19" s="60"/>
      <c r="C19" s="27" t="s">
        <v>601</v>
      </c>
      <c r="G19" s="27">
        <f>+E16*$D$7</f>
        <v>0</v>
      </c>
      <c r="H19" s="27">
        <f t="shared" ref="H19:R19" si="4">+F16*$D$7</f>
        <v>0</v>
      </c>
      <c r="I19" s="27">
        <f t="shared" si="4"/>
        <v>0</v>
      </c>
      <c r="J19" s="27">
        <f t="shared" si="4"/>
        <v>0</v>
      </c>
      <c r="K19" s="27">
        <f t="shared" si="4"/>
        <v>0</v>
      </c>
      <c r="L19" s="27">
        <f t="shared" si="4"/>
        <v>0</v>
      </c>
      <c r="M19" s="27">
        <f t="shared" si="4"/>
        <v>0</v>
      </c>
      <c r="N19" s="27">
        <f t="shared" si="4"/>
        <v>0</v>
      </c>
      <c r="O19" s="27">
        <f t="shared" si="4"/>
        <v>0</v>
      </c>
      <c r="P19" s="27">
        <f t="shared" si="4"/>
        <v>0</v>
      </c>
      <c r="Q19" s="27">
        <f t="shared" si="4"/>
        <v>0</v>
      </c>
      <c r="R19" s="27">
        <f t="shared" si="4"/>
        <v>0</v>
      </c>
      <c r="W19" s="27">
        <f>SUM(E19:U19)</f>
        <v>0</v>
      </c>
      <c r="X19" s="27" t="str">
        <f>IF(W19=W14*D7,"OK","ERROR")</f>
        <v>OK</v>
      </c>
      <c r="Y19" s="61"/>
    </row>
    <row r="20" spans="1:25" ht="12" hidden="1" customHeight="1" x14ac:dyDescent="0.2">
      <c r="B20" s="60"/>
      <c r="C20" s="27" t="s">
        <v>602</v>
      </c>
      <c r="H20" s="27">
        <f>+E16*$D$8</f>
        <v>0</v>
      </c>
      <c r="I20" s="27">
        <f t="shared" ref="I20:S20" si="5">+F16*$D$8</f>
        <v>0</v>
      </c>
      <c r="J20" s="27">
        <f t="shared" si="5"/>
        <v>0</v>
      </c>
      <c r="K20" s="27">
        <f t="shared" si="5"/>
        <v>0</v>
      </c>
      <c r="L20" s="27">
        <f t="shared" si="5"/>
        <v>0</v>
      </c>
      <c r="M20" s="27">
        <f t="shared" si="5"/>
        <v>0</v>
      </c>
      <c r="N20" s="27">
        <f t="shared" si="5"/>
        <v>0</v>
      </c>
      <c r="O20" s="27">
        <f t="shared" si="5"/>
        <v>0</v>
      </c>
      <c r="P20" s="27">
        <f t="shared" si="5"/>
        <v>0</v>
      </c>
      <c r="Q20" s="27">
        <f t="shared" si="5"/>
        <v>0</v>
      </c>
      <c r="R20" s="27">
        <f t="shared" si="5"/>
        <v>0</v>
      </c>
      <c r="S20" s="27">
        <f t="shared" si="5"/>
        <v>0</v>
      </c>
      <c r="W20" s="27">
        <f>SUM(E20:U20)</f>
        <v>0</v>
      </c>
      <c r="X20" s="27" t="str">
        <f>IF(W20=W14*D8,"OK","ERROR")</f>
        <v>OK</v>
      </c>
      <c r="Y20" s="61"/>
    </row>
    <row r="21" spans="1:25" ht="12" hidden="1" customHeight="1" x14ac:dyDescent="0.2">
      <c r="B21" s="60"/>
      <c r="C21" s="27" t="s">
        <v>603</v>
      </c>
      <c r="I21" s="27">
        <f>+E16*$D$9</f>
        <v>0</v>
      </c>
      <c r="J21" s="27">
        <f t="shared" ref="J21:T21" si="6">+F16*$D$9</f>
        <v>0</v>
      </c>
      <c r="K21" s="27">
        <f t="shared" si="6"/>
        <v>0</v>
      </c>
      <c r="L21" s="27">
        <f t="shared" si="6"/>
        <v>0</v>
      </c>
      <c r="M21" s="27">
        <f t="shared" si="6"/>
        <v>0</v>
      </c>
      <c r="N21" s="27">
        <f t="shared" si="6"/>
        <v>0</v>
      </c>
      <c r="O21" s="27">
        <f t="shared" si="6"/>
        <v>0</v>
      </c>
      <c r="P21" s="27">
        <f t="shared" si="6"/>
        <v>0</v>
      </c>
      <c r="Q21" s="27">
        <f t="shared" si="6"/>
        <v>0</v>
      </c>
      <c r="R21" s="27">
        <f t="shared" si="6"/>
        <v>0</v>
      </c>
      <c r="S21" s="27">
        <f t="shared" si="6"/>
        <v>0</v>
      </c>
      <c r="T21" s="27">
        <f t="shared" si="6"/>
        <v>0</v>
      </c>
      <c r="W21" s="27">
        <f>SUM(E21:U21)</f>
        <v>0</v>
      </c>
      <c r="X21" s="27" t="str">
        <f>IF(W21=W14*D9,"OK","ERROR")</f>
        <v>OK</v>
      </c>
      <c r="Y21" s="61"/>
    </row>
    <row r="22" spans="1:25" ht="12" hidden="1" customHeight="1" x14ac:dyDescent="0.2">
      <c r="B22" s="60"/>
      <c r="C22" s="27" t="s">
        <v>151</v>
      </c>
      <c r="J22" s="27">
        <f>+E16*$D$10</f>
        <v>0</v>
      </c>
      <c r="K22" s="27">
        <f t="shared" ref="K22:U22" si="7">+F16*$D$10</f>
        <v>0</v>
      </c>
      <c r="L22" s="27">
        <f t="shared" si="7"/>
        <v>0</v>
      </c>
      <c r="M22" s="27">
        <f t="shared" si="7"/>
        <v>0</v>
      </c>
      <c r="N22" s="27">
        <f t="shared" si="7"/>
        <v>0</v>
      </c>
      <c r="O22" s="27">
        <f t="shared" si="7"/>
        <v>0</v>
      </c>
      <c r="P22" s="27">
        <f t="shared" si="7"/>
        <v>0</v>
      </c>
      <c r="Q22" s="27">
        <f t="shared" si="7"/>
        <v>0</v>
      </c>
      <c r="R22" s="27">
        <f t="shared" si="7"/>
        <v>0</v>
      </c>
      <c r="S22" s="27">
        <f t="shared" si="7"/>
        <v>0</v>
      </c>
      <c r="T22" s="27">
        <f t="shared" si="7"/>
        <v>0</v>
      </c>
      <c r="U22" s="27">
        <f t="shared" si="7"/>
        <v>0</v>
      </c>
      <c r="W22" s="27">
        <f>SUM(E22:U22)</f>
        <v>0</v>
      </c>
      <c r="X22" s="27" t="str">
        <f>IF(W22=W14*D10,"OK","ERROR")</f>
        <v>OK</v>
      </c>
      <c r="Y22" s="61"/>
    </row>
    <row r="23" spans="1:25" ht="12" hidden="1" customHeight="1" x14ac:dyDescent="0.2">
      <c r="B23" s="60"/>
      <c r="C23" s="27" t="s">
        <v>730</v>
      </c>
      <c r="K23" s="27">
        <f>E16*$D$11</f>
        <v>0</v>
      </c>
      <c r="L23" s="27">
        <f t="shared" ref="L23:V23" si="8">F16*$D$11</f>
        <v>0</v>
      </c>
      <c r="M23" s="27">
        <f t="shared" si="8"/>
        <v>0</v>
      </c>
      <c r="N23" s="27">
        <f t="shared" si="8"/>
        <v>0</v>
      </c>
      <c r="O23" s="27">
        <f t="shared" si="8"/>
        <v>0</v>
      </c>
      <c r="P23" s="27">
        <f t="shared" si="8"/>
        <v>0</v>
      </c>
      <c r="Q23" s="27">
        <f t="shared" si="8"/>
        <v>0</v>
      </c>
      <c r="R23" s="27">
        <f t="shared" si="8"/>
        <v>0</v>
      </c>
      <c r="S23" s="27">
        <f t="shared" si="8"/>
        <v>0</v>
      </c>
      <c r="T23" s="27">
        <f t="shared" si="8"/>
        <v>0</v>
      </c>
      <c r="U23" s="27">
        <f t="shared" si="8"/>
        <v>0</v>
      </c>
      <c r="V23" s="27">
        <f t="shared" si="8"/>
        <v>0</v>
      </c>
      <c r="W23" s="27">
        <f>SUM(E23:V23)</f>
        <v>0</v>
      </c>
      <c r="X23" s="27" t="str">
        <f>IF(W23=W14*D11,"OK","ERROR")</f>
        <v>OK</v>
      </c>
      <c r="Y23" s="61"/>
    </row>
    <row r="24" spans="1:25" ht="12" hidden="1" customHeight="1" x14ac:dyDescent="0.2">
      <c r="B24" s="60">
        <f>SUM(E24:P24)</f>
        <v>0</v>
      </c>
      <c r="C24" s="27" t="s">
        <v>1103</v>
      </c>
      <c r="E24" s="27">
        <f>SUM(E17:E23)</f>
        <v>0</v>
      </c>
      <c r="F24" s="27">
        <f t="shared" ref="F24:V24" si="9">SUM(F17:F23)</f>
        <v>0</v>
      </c>
      <c r="G24" s="27">
        <f t="shared" si="9"/>
        <v>0</v>
      </c>
      <c r="H24" s="27">
        <f t="shared" si="9"/>
        <v>0</v>
      </c>
      <c r="I24" s="27">
        <f t="shared" si="9"/>
        <v>0</v>
      </c>
      <c r="J24" s="27">
        <f t="shared" si="9"/>
        <v>0</v>
      </c>
      <c r="K24" s="27">
        <f t="shared" si="9"/>
        <v>0</v>
      </c>
      <c r="L24" s="27">
        <f t="shared" si="9"/>
        <v>0</v>
      </c>
      <c r="M24" s="27">
        <f t="shared" si="9"/>
        <v>0</v>
      </c>
      <c r="N24" s="27">
        <f t="shared" si="9"/>
        <v>0</v>
      </c>
      <c r="O24" s="27">
        <f t="shared" si="9"/>
        <v>0</v>
      </c>
      <c r="P24" s="27">
        <f t="shared" si="9"/>
        <v>0</v>
      </c>
      <c r="Q24" s="27">
        <f t="shared" si="9"/>
        <v>0</v>
      </c>
      <c r="R24" s="27">
        <f t="shared" si="9"/>
        <v>0</v>
      </c>
      <c r="S24" s="27">
        <f t="shared" si="9"/>
        <v>0</v>
      </c>
      <c r="T24" s="27">
        <f t="shared" si="9"/>
        <v>0</v>
      </c>
      <c r="U24" s="27">
        <f t="shared" si="9"/>
        <v>0</v>
      </c>
      <c r="V24" s="27">
        <f t="shared" si="9"/>
        <v>0</v>
      </c>
      <c r="Y24" s="61"/>
    </row>
    <row r="25" spans="1:25" ht="12" hidden="1" customHeight="1" x14ac:dyDescent="0.2">
      <c r="A25" s="27" t="s">
        <v>73</v>
      </c>
      <c r="B25" s="60"/>
      <c r="C25" s="27" t="s">
        <v>1104</v>
      </c>
      <c r="Y25" s="61"/>
    </row>
    <row r="26" spans="1:25" ht="12" hidden="1" customHeight="1" x14ac:dyDescent="0.2">
      <c r="B26" s="60"/>
      <c r="C26" s="27" t="s">
        <v>1105</v>
      </c>
      <c r="E26" s="27">
        <f>+E25+E24</f>
        <v>0</v>
      </c>
      <c r="F26" s="27">
        <f t="shared" ref="F26:V26" si="10">+F25+F24</f>
        <v>0</v>
      </c>
      <c r="G26" s="27">
        <f t="shared" si="10"/>
        <v>0</v>
      </c>
      <c r="H26" s="27">
        <f t="shared" si="10"/>
        <v>0</v>
      </c>
      <c r="I26" s="27">
        <f t="shared" si="10"/>
        <v>0</v>
      </c>
      <c r="J26" s="27">
        <f t="shared" si="10"/>
        <v>0</v>
      </c>
      <c r="K26" s="27">
        <f t="shared" si="10"/>
        <v>0</v>
      </c>
      <c r="L26" s="27">
        <f t="shared" si="10"/>
        <v>0</v>
      </c>
      <c r="M26" s="27">
        <f t="shared" si="10"/>
        <v>0</v>
      </c>
      <c r="N26" s="27">
        <f t="shared" si="10"/>
        <v>0</v>
      </c>
      <c r="O26" s="27">
        <f t="shared" si="10"/>
        <v>0</v>
      </c>
      <c r="P26" s="27">
        <f t="shared" si="10"/>
        <v>0</v>
      </c>
      <c r="Q26" s="27">
        <f t="shared" si="10"/>
        <v>0</v>
      </c>
      <c r="R26" s="27">
        <f t="shared" si="10"/>
        <v>0</v>
      </c>
      <c r="S26" s="27">
        <f t="shared" si="10"/>
        <v>0</v>
      </c>
      <c r="T26" s="27">
        <f t="shared" si="10"/>
        <v>0</v>
      </c>
      <c r="U26" s="27">
        <f t="shared" si="10"/>
        <v>0</v>
      </c>
      <c r="V26" s="27">
        <f t="shared" si="10"/>
        <v>0</v>
      </c>
      <c r="W26" s="27">
        <f>SUM(E26:V26)</f>
        <v>0</v>
      </c>
      <c r="Y26" s="61"/>
    </row>
    <row r="27" spans="1:25" ht="12" hidden="1" customHeight="1" x14ac:dyDescent="0.2">
      <c r="B27" s="60"/>
      <c r="C27" s="27" t="s">
        <v>822</v>
      </c>
      <c r="E27" s="27">
        <f>+E26*D!$J$28</f>
        <v>0</v>
      </c>
      <c r="F27" s="27">
        <f>+F26*D!$J$28</f>
        <v>0</v>
      </c>
      <c r="G27" s="27">
        <f>+G26*D!$J$28</f>
        <v>0</v>
      </c>
      <c r="H27" s="27">
        <f>+H26*D!$J$28</f>
        <v>0</v>
      </c>
      <c r="I27" s="27">
        <f>+I26*D!$J$28</f>
        <v>0</v>
      </c>
      <c r="J27" s="27">
        <f>+J26*D!$J$28</f>
        <v>0</v>
      </c>
      <c r="K27" s="27">
        <f>+K26*D!$J$28</f>
        <v>0</v>
      </c>
      <c r="L27" s="27">
        <f>+L26*D!$J$28</f>
        <v>0</v>
      </c>
      <c r="M27" s="27">
        <f>+M26*D!$J$28</f>
        <v>0</v>
      </c>
      <c r="N27" s="27">
        <f>+N26*D!$J$28</f>
        <v>0</v>
      </c>
      <c r="O27" s="27">
        <f>+O26*D!$J$28</f>
        <v>0</v>
      </c>
      <c r="P27" s="27">
        <f>+P26*D!$J$28</f>
        <v>0</v>
      </c>
      <c r="Q27" s="27">
        <f>+Q26*D!$J$28</f>
        <v>0</v>
      </c>
      <c r="R27" s="27">
        <f>+R26*D!$J$28</f>
        <v>0</v>
      </c>
      <c r="S27" s="27">
        <f>+S26*D!$J$28</f>
        <v>0</v>
      </c>
      <c r="T27" s="27">
        <f>+T26*D!$J$28</f>
        <v>0</v>
      </c>
      <c r="U27" s="27">
        <f>+U26*D!$J$28</f>
        <v>0</v>
      </c>
      <c r="V27" s="27">
        <f>+V26*D!$J$28</f>
        <v>0</v>
      </c>
      <c r="W27" s="27">
        <f>+W26*D!$J$28</f>
        <v>0</v>
      </c>
      <c r="X27" s="27">
        <f>SUM(E27:V27)</f>
        <v>0</v>
      </c>
      <c r="Y27" s="61"/>
    </row>
    <row r="28" spans="1:25" ht="12" hidden="1" customHeight="1" x14ac:dyDescent="0.2">
      <c r="B28" s="60"/>
      <c r="C28" s="27" t="s">
        <v>1226</v>
      </c>
      <c r="E28" s="27">
        <f>INFORME!G242</f>
        <v>0</v>
      </c>
      <c r="F28" s="27">
        <f>INFORME!H242</f>
        <v>0</v>
      </c>
      <c r="G28" s="27">
        <f>INFORME!I242</f>
        <v>0</v>
      </c>
      <c r="H28" s="27">
        <f>INFORME!J242</f>
        <v>0</v>
      </c>
      <c r="I28" s="27">
        <f>INFORME!K242</f>
        <v>0</v>
      </c>
      <c r="J28" s="27">
        <f>INFORME!L242</f>
        <v>0</v>
      </c>
      <c r="K28" s="27">
        <f>INFORME!M242</f>
        <v>0</v>
      </c>
      <c r="L28" s="27">
        <f>INFORME!N242</f>
        <v>0</v>
      </c>
      <c r="M28" s="27">
        <f>INFORME!O242</f>
        <v>0</v>
      </c>
      <c r="N28" s="27">
        <f>INFORME!P242</f>
        <v>0</v>
      </c>
      <c r="O28" s="27">
        <f>INFORME!Q242</f>
        <v>0</v>
      </c>
      <c r="P28" s="27">
        <f>INFORME!R242</f>
        <v>0</v>
      </c>
      <c r="Q28" s="27">
        <f>+Q27*SB!$E$691</f>
        <v>0</v>
      </c>
      <c r="R28" s="27">
        <f>+R27*SB!$E$691</f>
        <v>0</v>
      </c>
      <c r="S28" s="27">
        <f>+S27*SB!$E$691</f>
        <v>0</v>
      </c>
      <c r="T28" s="27">
        <f>+T27*SB!$E$691</f>
        <v>0</v>
      </c>
      <c r="U28" s="27">
        <f>+U27*SB!$E$691</f>
        <v>0</v>
      </c>
      <c r="V28" s="27">
        <f>+V27*SB!$E$691</f>
        <v>0</v>
      </c>
      <c r="W28" s="27">
        <f>+W27*SB!$E$691</f>
        <v>0</v>
      </c>
      <c r="X28" s="27">
        <f>SUM(E28:V28)</f>
        <v>0</v>
      </c>
      <c r="Y28" s="61">
        <f>IF(X27=0,0,X28/X27)</f>
        <v>0</v>
      </c>
    </row>
    <row r="29" spans="1:25" ht="12" hidden="1" customHeight="1" x14ac:dyDescent="0.2">
      <c r="A29" s="27" t="s">
        <v>1424</v>
      </c>
      <c r="B29" s="60"/>
      <c r="C29" s="27" t="s">
        <v>276</v>
      </c>
      <c r="E29" s="27">
        <f>IF(E27-E28&lt;0,0,E27-E28)</f>
        <v>0</v>
      </c>
      <c r="F29" s="27">
        <f t="shared" ref="F29:W29" si="11">IF(F27-F28&lt;0,0,F27-F28)</f>
        <v>0</v>
      </c>
      <c r="G29" s="27">
        <f t="shared" si="11"/>
        <v>0</v>
      </c>
      <c r="H29" s="27">
        <f t="shared" si="11"/>
        <v>0</v>
      </c>
      <c r="I29" s="27">
        <f t="shared" si="11"/>
        <v>0</v>
      </c>
      <c r="J29" s="27">
        <f t="shared" si="11"/>
        <v>0</v>
      </c>
      <c r="K29" s="27">
        <f t="shared" si="11"/>
        <v>0</v>
      </c>
      <c r="L29" s="27">
        <f t="shared" si="11"/>
        <v>0</v>
      </c>
      <c r="M29" s="27">
        <f t="shared" si="11"/>
        <v>0</v>
      </c>
      <c r="N29" s="27">
        <f t="shared" si="11"/>
        <v>0</v>
      </c>
      <c r="O29" s="27">
        <f t="shared" si="11"/>
        <v>0</v>
      </c>
      <c r="P29" s="27">
        <f t="shared" si="11"/>
        <v>0</v>
      </c>
      <c r="Q29" s="27">
        <f t="shared" si="11"/>
        <v>0</v>
      </c>
      <c r="R29" s="27">
        <f t="shared" si="11"/>
        <v>0</v>
      </c>
      <c r="S29" s="27">
        <f t="shared" si="11"/>
        <v>0</v>
      </c>
      <c r="T29" s="27">
        <f t="shared" si="11"/>
        <v>0</v>
      </c>
      <c r="U29" s="27">
        <f t="shared" si="11"/>
        <v>0</v>
      </c>
      <c r="V29" s="27">
        <f t="shared" si="11"/>
        <v>0</v>
      </c>
      <c r="W29" s="27">
        <f t="shared" si="11"/>
        <v>0</v>
      </c>
      <c r="X29" s="27">
        <f>SUM(E29:V29)</f>
        <v>0</v>
      </c>
      <c r="Y29" s="61"/>
    </row>
    <row r="30" spans="1:25" ht="12" hidden="1" customHeight="1" x14ac:dyDescent="0.2">
      <c r="B30" s="60"/>
      <c r="C30" s="27" t="s">
        <v>1227</v>
      </c>
      <c r="E30" s="27">
        <f>INFORME!G239</f>
        <v>0</v>
      </c>
      <c r="F30" s="27">
        <f>INFORME!H239</f>
        <v>0</v>
      </c>
      <c r="G30" s="27">
        <f>INFORME!I239</f>
        <v>0</v>
      </c>
      <c r="H30" s="27">
        <f>INFORME!J239</f>
        <v>0</v>
      </c>
      <c r="I30" s="27">
        <f>INFORME!K239</f>
        <v>0</v>
      </c>
      <c r="J30" s="27">
        <f>INFORME!L239</f>
        <v>0</v>
      </c>
      <c r="K30" s="27">
        <f>INFORME!M239</f>
        <v>0</v>
      </c>
      <c r="L30" s="27">
        <f>INFORME!N239</f>
        <v>0</v>
      </c>
      <c r="M30" s="27">
        <f>INFORME!O239</f>
        <v>0</v>
      </c>
      <c r="N30" s="27">
        <f>INFORME!P239</f>
        <v>0</v>
      </c>
      <c r="O30" s="27">
        <f>INFORME!Q239</f>
        <v>0</v>
      </c>
      <c r="P30" s="27">
        <f>INFORME!R239</f>
        <v>0</v>
      </c>
      <c r="Q30" s="27">
        <f t="shared" ref="Q30:V30" si="12">+Q26-Q27+Q28</f>
        <v>0</v>
      </c>
      <c r="R30" s="27">
        <f t="shared" si="12"/>
        <v>0</v>
      </c>
      <c r="S30" s="27">
        <f t="shared" si="12"/>
        <v>0</v>
      </c>
      <c r="T30" s="27">
        <f t="shared" si="12"/>
        <v>0</v>
      </c>
      <c r="U30" s="27">
        <f t="shared" si="12"/>
        <v>0</v>
      </c>
      <c r="V30" s="27">
        <f t="shared" si="12"/>
        <v>0</v>
      </c>
      <c r="W30" s="27">
        <f>W27+W28</f>
        <v>0</v>
      </c>
      <c r="Y30" s="61"/>
    </row>
    <row r="31" spans="1:25" ht="12" hidden="1" customHeight="1" x14ac:dyDescent="0.2">
      <c r="B31" s="60"/>
      <c r="Y31" s="61"/>
    </row>
    <row r="32" spans="1:25" ht="12" hidden="1" customHeight="1" x14ac:dyDescent="0.2">
      <c r="A32" s="27" t="s">
        <v>1423</v>
      </c>
      <c r="B32" s="60"/>
      <c r="C32" s="27" t="s">
        <v>278</v>
      </c>
      <c r="E32" s="27">
        <f>+E27-E28</f>
        <v>0</v>
      </c>
      <c r="F32" s="27">
        <f>+(F27+E32)-F28</f>
        <v>0</v>
      </c>
      <c r="G32" s="27">
        <f>+(G27+F32)-G28</f>
        <v>0</v>
      </c>
      <c r="H32" s="27">
        <f>+(H27+G32)-H28</f>
        <v>0</v>
      </c>
      <c r="I32" s="27">
        <f t="shared" ref="I32:W32" si="13">+(I27+H32)-I28</f>
        <v>0</v>
      </c>
      <c r="J32" s="27">
        <f>+(J27+I32)-J28</f>
        <v>0</v>
      </c>
      <c r="K32" s="27">
        <f t="shared" si="13"/>
        <v>0</v>
      </c>
      <c r="L32" s="27">
        <f t="shared" si="13"/>
        <v>0</v>
      </c>
      <c r="M32" s="27">
        <f t="shared" si="13"/>
        <v>0</v>
      </c>
      <c r="N32" s="27">
        <f t="shared" si="13"/>
        <v>0</v>
      </c>
      <c r="O32" s="27">
        <f t="shared" si="13"/>
        <v>0</v>
      </c>
      <c r="P32" s="27">
        <f t="shared" si="13"/>
        <v>0</v>
      </c>
      <c r="Q32" s="27">
        <f t="shared" si="13"/>
        <v>0</v>
      </c>
      <c r="R32" s="27">
        <f t="shared" si="13"/>
        <v>0</v>
      </c>
      <c r="S32" s="27">
        <f t="shared" si="13"/>
        <v>0</v>
      </c>
      <c r="T32" s="27">
        <f t="shared" si="13"/>
        <v>0</v>
      </c>
      <c r="U32" s="27">
        <f t="shared" si="13"/>
        <v>0</v>
      </c>
      <c r="V32" s="27">
        <f t="shared" si="13"/>
        <v>0</v>
      </c>
      <c r="W32" s="27">
        <f t="shared" si="13"/>
        <v>0</v>
      </c>
      <c r="X32" s="27">
        <f>SUM(E32:W32)</f>
        <v>0</v>
      </c>
      <c r="Y32" s="61"/>
    </row>
    <row r="33" spans="1:25" ht="12" hidden="1" customHeight="1" x14ac:dyDescent="0.2">
      <c r="B33" s="60"/>
      <c r="Y33" s="61"/>
    </row>
    <row r="34" spans="1:25" ht="12" hidden="1" customHeight="1" x14ac:dyDescent="0.2">
      <c r="A34" s="27" t="s">
        <v>1423</v>
      </c>
      <c r="B34" s="60" t="s">
        <v>277</v>
      </c>
      <c r="E34" s="27">
        <f>+E16-E26+E36</f>
        <v>0</v>
      </c>
      <c r="F34" s="27">
        <f>+E34-F26+F14</f>
        <v>0</v>
      </c>
      <c r="G34" s="27">
        <f t="shared" ref="G34:V34" si="14">+F34-G26+G14</f>
        <v>0</v>
      </c>
      <c r="H34" s="27">
        <f t="shared" si="14"/>
        <v>0</v>
      </c>
      <c r="I34" s="27">
        <f t="shared" si="14"/>
        <v>0</v>
      </c>
      <c r="J34" s="27">
        <f t="shared" si="14"/>
        <v>0</v>
      </c>
      <c r="K34" s="27">
        <f t="shared" si="14"/>
        <v>0</v>
      </c>
      <c r="L34" s="27">
        <f t="shared" si="14"/>
        <v>0</v>
      </c>
      <c r="M34" s="27">
        <f t="shared" si="14"/>
        <v>0</v>
      </c>
      <c r="N34" s="27">
        <f t="shared" si="14"/>
        <v>0</v>
      </c>
      <c r="O34" s="27">
        <f t="shared" si="14"/>
        <v>0</v>
      </c>
      <c r="P34" s="27">
        <f t="shared" si="14"/>
        <v>0</v>
      </c>
      <c r="Q34" s="27">
        <f t="shared" si="14"/>
        <v>0</v>
      </c>
      <c r="R34" s="27">
        <f t="shared" si="14"/>
        <v>0</v>
      </c>
      <c r="S34" s="27">
        <f t="shared" si="14"/>
        <v>0</v>
      </c>
      <c r="T34" s="27">
        <f t="shared" si="14"/>
        <v>0</v>
      </c>
      <c r="U34" s="27">
        <f t="shared" si="14"/>
        <v>0</v>
      </c>
      <c r="V34" s="27">
        <f t="shared" si="14"/>
        <v>0</v>
      </c>
      <c r="Y34" s="61"/>
    </row>
    <row r="35" spans="1:25" ht="12" hidden="1" customHeight="1" x14ac:dyDescent="0.2">
      <c r="B35" s="60" t="s">
        <v>474</v>
      </c>
      <c r="Y35" s="61"/>
    </row>
    <row r="36" spans="1:25" ht="12" hidden="1" customHeight="1" x14ac:dyDescent="0.2">
      <c r="B36" s="60"/>
      <c r="Y36" s="61"/>
    </row>
    <row r="37" spans="1:25" ht="12" hidden="1" customHeight="1" x14ac:dyDescent="0.2">
      <c r="B37" s="60"/>
      <c r="Y37" s="61"/>
    </row>
    <row r="38" spans="1:25" ht="12" hidden="1" customHeight="1" x14ac:dyDescent="0.2">
      <c r="B38" s="60" t="s">
        <v>996</v>
      </c>
      <c r="E38" s="27">
        <f>+E223+E229+E164</f>
        <v>0</v>
      </c>
      <c r="F38" s="27">
        <f t="shared" ref="F38:P38" si="15">+F223+F229+F164</f>
        <v>0</v>
      </c>
      <c r="G38" s="27">
        <f t="shared" si="15"/>
        <v>0</v>
      </c>
      <c r="H38" s="27">
        <f t="shared" si="15"/>
        <v>0</v>
      </c>
      <c r="I38" s="27">
        <f t="shared" si="15"/>
        <v>0</v>
      </c>
      <c r="J38" s="27">
        <f t="shared" si="15"/>
        <v>0</v>
      </c>
      <c r="K38" s="27">
        <f t="shared" si="15"/>
        <v>0</v>
      </c>
      <c r="L38" s="27">
        <f t="shared" si="15"/>
        <v>0</v>
      </c>
      <c r="M38" s="27">
        <f t="shared" si="15"/>
        <v>0</v>
      </c>
      <c r="N38" s="27">
        <f t="shared" si="15"/>
        <v>0</v>
      </c>
      <c r="O38" s="27">
        <f t="shared" si="15"/>
        <v>0</v>
      </c>
      <c r="P38" s="27">
        <f t="shared" si="15"/>
        <v>0</v>
      </c>
      <c r="Y38" s="61"/>
    </row>
    <row r="39" spans="1:25" ht="12" hidden="1" customHeight="1" x14ac:dyDescent="0.2">
      <c r="A39" s="27" t="s">
        <v>1423</v>
      </c>
      <c r="B39" s="60" t="s">
        <v>997</v>
      </c>
      <c r="E39" s="27">
        <f t="shared" ref="E39:P39" si="16">E238</f>
        <v>0</v>
      </c>
      <c r="F39" s="27">
        <f t="shared" si="16"/>
        <v>0</v>
      </c>
      <c r="G39" s="27">
        <f t="shared" si="16"/>
        <v>0</v>
      </c>
      <c r="H39" s="27">
        <f t="shared" si="16"/>
        <v>0</v>
      </c>
      <c r="I39" s="27">
        <f t="shared" si="16"/>
        <v>0</v>
      </c>
      <c r="J39" s="27">
        <f t="shared" si="16"/>
        <v>0</v>
      </c>
      <c r="K39" s="27">
        <f t="shared" si="16"/>
        <v>0</v>
      </c>
      <c r="L39" s="27">
        <f t="shared" si="16"/>
        <v>0</v>
      </c>
      <c r="M39" s="27">
        <f t="shared" si="16"/>
        <v>0</v>
      </c>
      <c r="N39" s="27">
        <f t="shared" si="16"/>
        <v>0</v>
      </c>
      <c r="O39" s="27">
        <f t="shared" si="16"/>
        <v>0</v>
      </c>
      <c r="P39" s="27">
        <f t="shared" si="16"/>
        <v>0</v>
      </c>
      <c r="Y39" s="61"/>
    </row>
    <row r="40" spans="1:25" ht="12" hidden="1" customHeight="1" x14ac:dyDescent="0.2">
      <c r="B40" s="60"/>
      <c r="Y40" s="61"/>
    </row>
    <row r="41" spans="1:25" ht="12" hidden="1" customHeight="1" x14ac:dyDescent="0.2">
      <c r="B41" s="60"/>
      <c r="E41" s="27" t="str">
        <f>D!Q6</f>
        <v>Enero</v>
      </c>
      <c r="F41" s="27" t="str">
        <f>SB!C3</f>
        <v>Febrero</v>
      </c>
      <c r="G41" s="27" t="str">
        <f>SB!D3</f>
        <v>Marzo</v>
      </c>
      <c r="H41" s="27" t="str">
        <f>SB!E3</f>
        <v>Abril</v>
      </c>
      <c r="I41" s="27" t="str">
        <f>SB!F3</f>
        <v xml:space="preserve">Mayo </v>
      </c>
      <c r="J41" s="27" t="str">
        <f>SB!G3</f>
        <v>Junio</v>
      </c>
      <c r="K41" s="27" t="str">
        <f>SB!H3</f>
        <v>Julio</v>
      </c>
      <c r="L41" s="27" t="str">
        <f>SB!I3</f>
        <v>Agosto</v>
      </c>
      <c r="M41" s="27" t="str">
        <f>SB!J3</f>
        <v>Septiembre</v>
      </c>
      <c r="N41" s="27" t="str">
        <f>SB!K3</f>
        <v>Octubre</v>
      </c>
      <c r="O41" s="27" t="str">
        <f>SB!L3</f>
        <v>Noviembre</v>
      </c>
      <c r="P41" s="27" t="str">
        <f>SB!M3</f>
        <v>Diciembre</v>
      </c>
      <c r="Y41" s="61"/>
    </row>
    <row r="42" spans="1:25" ht="12" hidden="1" customHeight="1" x14ac:dyDescent="0.2">
      <c r="B42" s="65"/>
      <c r="C42" s="66"/>
      <c r="D42" s="66"/>
      <c r="E42" s="66" t="s">
        <v>1426</v>
      </c>
      <c r="F42" s="66">
        <v>30</v>
      </c>
      <c r="G42" s="66">
        <v>60</v>
      </c>
      <c r="H42" s="66">
        <v>90</v>
      </c>
      <c r="I42" s="66">
        <v>120</v>
      </c>
      <c r="J42" s="66">
        <v>150</v>
      </c>
      <c r="K42" s="66">
        <v>180</v>
      </c>
      <c r="L42" s="66"/>
      <c r="M42" s="66"/>
      <c r="N42" s="66"/>
      <c r="O42" s="66"/>
      <c r="P42" s="66"/>
      <c r="Q42" s="66"/>
      <c r="R42" s="66"/>
      <c r="S42" s="66"/>
      <c r="T42" s="66"/>
      <c r="U42" s="66"/>
      <c r="V42" s="66"/>
      <c r="W42" s="66"/>
      <c r="X42" s="66"/>
      <c r="Y42" s="67"/>
    </row>
    <row r="43" spans="1:25" ht="12" hidden="1" customHeight="1" x14ac:dyDescent="0.2">
      <c r="B43" s="65" t="s">
        <v>848</v>
      </c>
      <c r="C43" s="66"/>
      <c r="D43" s="66"/>
      <c r="E43" s="66"/>
      <c r="F43" s="66" t="s">
        <v>17</v>
      </c>
      <c r="G43" s="66"/>
      <c r="H43" s="66"/>
      <c r="I43" s="66"/>
      <c r="J43" s="66"/>
      <c r="K43" s="66"/>
      <c r="L43" s="66"/>
      <c r="M43" s="66"/>
      <c r="N43" s="66"/>
      <c r="O43" s="66"/>
      <c r="P43" s="67"/>
    </row>
    <row r="44" spans="1:25" ht="12" hidden="1" customHeight="1" x14ac:dyDescent="0.2">
      <c r="B44" s="62"/>
      <c r="C44" s="63" t="str">
        <f>CResult!$E$97</f>
        <v>ingresos financieros</v>
      </c>
      <c r="D44" s="63"/>
      <c r="E44" s="63">
        <f>CResult!H103</f>
        <v>0</v>
      </c>
      <c r="F44" s="63">
        <f>CResult!I103</f>
        <v>0</v>
      </c>
      <c r="G44" s="63">
        <f>CResult!J103</f>
        <v>0</v>
      </c>
      <c r="H44" s="63">
        <f>CResult!K103</f>
        <v>0</v>
      </c>
      <c r="I44" s="63">
        <f>CResult!L103</f>
        <v>0</v>
      </c>
      <c r="J44" s="63">
        <f>CResult!M103</f>
        <v>0</v>
      </c>
      <c r="K44" s="63">
        <f>CResult!N103</f>
        <v>0</v>
      </c>
      <c r="L44" s="63">
        <f>CResult!O103</f>
        <v>0</v>
      </c>
      <c r="M44" s="63">
        <f>CResult!P103</f>
        <v>0</v>
      </c>
      <c r="N44" s="63">
        <f>CResult!Q103</f>
        <v>0</v>
      </c>
      <c r="O44" s="63">
        <f>CResult!R103</f>
        <v>0</v>
      </c>
      <c r="P44" s="64">
        <f>CResult!S103</f>
        <v>0</v>
      </c>
    </row>
    <row r="45" spans="1:25" ht="12" hidden="1" customHeight="1" x14ac:dyDescent="0.2">
      <c r="B45" s="60"/>
      <c r="C45" s="27" t="str">
        <f>CResult!$E$104</f>
        <v>ingresos extraordinarios</v>
      </c>
      <c r="E45" s="27">
        <f>CResult!H110</f>
        <v>0</v>
      </c>
      <c r="F45" s="27">
        <f>CResult!I110</f>
        <v>0</v>
      </c>
      <c r="G45" s="27">
        <f>CResult!J110</f>
        <v>0</v>
      </c>
      <c r="H45" s="27">
        <f>CResult!K110</f>
        <v>0</v>
      </c>
      <c r="I45" s="27">
        <f>CResult!L110</f>
        <v>0</v>
      </c>
      <c r="J45" s="27">
        <f>CResult!M110</f>
        <v>0</v>
      </c>
      <c r="K45" s="27">
        <f>CResult!N110</f>
        <v>0</v>
      </c>
      <c r="L45" s="27">
        <f>CResult!O110</f>
        <v>0</v>
      </c>
      <c r="M45" s="27">
        <f>CResult!P110</f>
        <v>0</v>
      </c>
      <c r="N45" s="27">
        <f>CResult!Q110</f>
        <v>0</v>
      </c>
      <c r="O45" s="27">
        <f>CResult!R110</f>
        <v>0</v>
      </c>
      <c r="P45" s="61">
        <f>CResult!S110</f>
        <v>0</v>
      </c>
    </row>
    <row r="46" spans="1:25" ht="12" hidden="1" customHeight="1" x14ac:dyDescent="0.2">
      <c r="B46" s="60" t="s">
        <v>1425</v>
      </c>
      <c r="C46" s="27">
        <f>'2'!N14</f>
        <v>0</v>
      </c>
      <c r="D46" s="27">
        <f>'2'!O14</f>
        <v>0</v>
      </c>
      <c r="E46" s="27">
        <f>IF(E$41=$D46,$C46,0)</f>
        <v>0</v>
      </c>
      <c r="F46" s="27">
        <f t="shared" ref="F46:P46" si="17">IF(F$41=$D46,$C46,0)</f>
        <v>0</v>
      </c>
      <c r="G46" s="27">
        <f t="shared" si="17"/>
        <v>0</v>
      </c>
      <c r="H46" s="27">
        <f t="shared" si="17"/>
        <v>0</v>
      </c>
      <c r="I46" s="27">
        <f t="shared" si="17"/>
        <v>0</v>
      </c>
      <c r="J46" s="27">
        <f t="shared" si="17"/>
        <v>0</v>
      </c>
      <c r="K46" s="27">
        <f t="shared" si="17"/>
        <v>0</v>
      </c>
      <c r="L46" s="27">
        <f>IF(L$41=$D46,$C46,0)</f>
        <v>0</v>
      </c>
      <c r="M46" s="27">
        <f t="shared" si="17"/>
        <v>0</v>
      </c>
      <c r="N46" s="27">
        <f t="shared" si="17"/>
        <v>0</v>
      </c>
      <c r="O46" s="27">
        <f t="shared" si="17"/>
        <v>0</v>
      </c>
      <c r="P46" s="61">
        <f t="shared" si="17"/>
        <v>0</v>
      </c>
    </row>
    <row r="47" spans="1:25" ht="12" hidden="1" customHeight="1" x14ac:dyDescent="0.2">
      <c r="A47" s="27" t="s">
        <v>952</v>
      </c>
      <c r="B47" s="60"/>
      <c r="C47" s="27" t="s">
        <v>951</v>
      </c>
      <c r="E47" s="27">
        <f t="shared" ref="E47:P47" si="18">SUM(E46:E46)</f>
        <v>0</v>
      </c>
      <c r="F47" s="27">
        <f t="shared" si="18"/>
        <v>0</v>
      </c>
      <c r="G47" s="27">
        <f t="shared" si="18"/>
        <v>0</v>
      </c>
      <c r="H47" s="27">
        <f t="shared" si="18"/>
        <v>0</v>
      </c>
      <c r="I47" s="27">
        <f t="shared" si="18"/>
        <v>0</v>
      </c>
      <c r="J47" s="27">
        <f t="shared" si="18"/>
        <v>0</v>
      </c>
      <c r="K47" s="27">
        <f t="shared" si="18"/>
        <v>0</v>
      </c>
      <c r="L47" s="27">
        <f t="shared" si="18"/>
        <v>0</v>
      </c>
      <c r="M47" s="27">
        <f t="shared" si="18"/>
        <v>0</v>
      </c>
      <c r="N47" s="27">
        <f t="shared" si="18"/>
        <v>0</v>
      </c>
      <c r="O47" s="27">
        <f t="shared" si="18"/>
        <v>0</v>
      </c>
      <c r="P47" s="61">
        <f t="shared" si="18"/>
        <v>0</v>
      </c>
    </row>
    <row r="48" spans="1:25" ht="12" hidden="1" customHeight="1" x14ac:dyDescent="0.2">
      <c r="B48" s="60"/>
      <c r="C48" s="27" t="s">
        <v>851</v>
      </c>
      <c r="E48" s="27">
        <f>SANDBOX!G217</f>
        <v>0</v>
      </c>
      <c r="F48" s="27">
        <f>SANDBOX!H217</f>
        <v>0</v>
      </c>
      <c r="G48" s="27">
        <f>SANDBOX!I217</f>
        <v>0</v>
      </c>
      <c r="H48" s="27">
        <f>SANDBOX!J217</f>
        <v>0</v>
      </c>
      <c r="I48" s="27">
        <f>SANDBOX!K217</f>
        <v>0</v>
      </c>
      <c r="J48" s="27">
        <f>SANDBOX!L217</f>
        <v>0</v>
      </c>
      <c r="K48" s="27">
        <f>SANDBOX!M217</f>
        <v>0</v>
      </c>
      <c r="L48" s="27">
        <f>SANDBOX!N217</f>
        <v>0</v>
      </c>
      <c r="M48" s="27">
        <f>SANDBOX!O217</f>
        <v>0</v>
      </c>
      <c r="N48" s="27">
        <f>SANDBOX!P217</f>
        <v>0</v>
      </c>
      <c r="P48" s="61"/>
    </row>
    <row r="49" spans="2:16" ht="12" hidden="1" customHeight="1" x14ac:dyDescent="0.2">
      <c r="B49" s="60"/>
      <c r="C49" s="27" t="s">
        <v>15</v>
      </c>
      <c r="E49" s="27">
        <f>prestamos!D5</f>
        <v>0</v>
      </c>
      <c r="F49" s="27">
        <f>prestamos!E5</f>
        <v>0</v>
      </c>
      <c r="G49" s="27">
        <f>prestamos!F5</f>
        <v>0</v>
      </c>
      <c r="H49" s="27">
        <f>prestamos!G5</f>
        <v>0</v>
      </c>
      <c r="I49" s="27">
        <f>prestamos!H5</f>
        <v>0</v>
      </c>
      <c r="J49" s="27">
        <f>prestamos!I5</f>
        <v>0</v>
      </c>
      <c r="K49" s="27">
        <f>prestamos!J5</f>
        <v>0</v>
      </c>
      <c r="L49" s="27">
        <f>prestamos!K5</f>
        <v>0</v>
      </c>
      <c r="M49" s="27">
        <f>prestamos!L5</f>
        <v>0</v>
      </c>
      <c r="N49" s="27">
        <f>prestamos!M5</f>
        <v>0</v>
      </c>
      <c r="O49" s="27">
        <f>prestamos!N5</f>
        <v>0</v>
      </c>
      <c r="P49" s="61">
        <f>prestamos!O5</f>
        <v>0</v>
      </c>
    </row>
    <row r="50" spans="2:16" ht="12" hidden="1" customHeight="1" x14ac:dyDescent="0.2">
      <c r="B50" s="60"/>
      <c r="C50" s="27" t="s">
        <v>16</v>
      </c>
      <c r="E50" s="27">
        <f>prestamos!D6</f>
        <v>0</v>
      </c>
      <c r="F50" s="27">
        <f>prestamos!E6</f>
        <v>0</v>
      </c>
      <c r="G50" s="27">
        <f>prestamos!F6</f>
        <v>0</v>
      </c>
      <c r="H50" s="27">
        <f>prestamos!G6</f>
        <v>0</v>
      </c>
      <c r="I50" s="27">
        <f>prestamos!H6</f>
        <v>0</v>
      </c>
      <c r="J50" s="27">
        <f>prestamos!I6</f>
        <v>0</v>
      </c>
      <c r="K50" s="27">
        <f>prestamos!J6</f>
        <v>0</v>
      </c>
      <c r="L50" s="27">
        <f>prestamos!K6</f>
        <v>0</v>
      </c>
      <c r="M50" s="27">
        <f>prestamos!L6</f>
        <v>0</v>
      </c>
      <c r="N50" s="27">
        <f>prestamos!M6</f>
        <v>0</v>
      </c>
      <c r="O50" s="27">
        <f>prestamos!N6</f>
        <v>0</v>
      </c>
      <c r="P50" s="61">
        <f>prestamos!O6</f>
        <v>0</v>
      </c>
    </row>
    <row r="51" spans="2:16" ht="12" hidden="1" customHeight="1" x14ac:dyDescent="0.2">
      <c r="B51" s="60" t="s">
        <v>852</v>
      </c>
      <c r="E51" s="27">
        <f>+E50+E48+E45+E44+E24+E49</f>
        <v>0</v>
      </c>
      <c r="F51" s="27">
        <f t="shared" ref="F51:P51" si="19">+F50+F48+F45+F44+F24</f>
        <v>0</v>
      </c>
      <c r="G51" s="27">
        <f t="shared" si="19"/>
        <v>0</v>
      </c>
      <c r="H51" s="27">
        <f t="shared" si="19"/>
        <v>0</v>
      </c>
      <c r="I51" s="27">
        <f t="shared" si="19"/>
        <v>0</v>
      </c>
      <c r="J51" s="27">
        <f t="shared" si="19"/>
        <v>0</v>
      </c>
      <c r="K51" s="27">
        <f t="shared" si="19"/>
        <v>0</v>
      </c>
      <c r="L51" s="27">
        <f t="shared" si="19"/>
        <v>0</v>
      </c>
      <c r="M51" s="27">
        <f t="shared" si="19"/>
        <v>0</v>
      </c>
      <c r="N51" s="27">
        <f t="shared" si="19"/>
        <v>0</v>
      </c>
      <c r="O51" s="27">
        <f t="shared" si="19"/>
        <v>0</v>
      </c>
      <c r="P51" s="61">
        <f t="shared" si="19"/>
        <v>0</v>
      </c>
    </row>
    <row r="52" spans="2:16" ht="12" hidden="1" customHeight="1" x14ac:dyDescent="0.2">
      <c r="B52" s="65"/>
      <c r="C52" s="66"/>
      <c r="D52" s="66"/>
      <c r="E52" s="66">
        <f>SUM(E49:E50)</f>
        <v>0</v>
      </c>
      <c r="F52" s="66"/>
      <c r="G52" s="66"/>
      <c r="H52" s="66"/>
      <c r="I52" s="66"/>
      <c r="J52" s="66"/>
      <c r="K52" s="66"/>
      <c r="L52" s="66"/>
      <c r="M52" s="66"/>
      <c r="N52" s="66"/>
      <c r="O52" s="66"/>
      <c r="P52" s="67"/>
    </row>
    <row r="53" spans="2:16" ht="12" hidden="1" customHeight="1" x14ac:dyDescent="0.2">
      <c r="B53" s="62" t="s">
        <v>1586</v>
      </c>
      <c r="C53" s="63"/>
      <c r="D53" s="63"/>
      <c r="E53" s="63">
        <f>'2'!$H$14</f>
        <v>0</v>
      </c>
      <c r="F53" s="63"/>
      <c r="G53" s="63"/>
      <c r="H53" s="63"/>
      <c r="I53" s="63"/>
      <c r="J53" s="63"/>
      <c r="K53" s="63"/>
      <c r="L53" s="63"/>
      <c r="M53" s="63"/>
      <c r="N53" s="63"/>
      <c r="O53" s="63"/>
      <c r="P53" s="64"/>
    </row>
    <row r="54" spans="2:16" ht="12" hidden="1" customHeight="1" x14ac:dyDescent="0.2">
      <c r="B54" s="60"/>
      <c r="C54" s="27" t="s">
        <v>1587</v>
      </c>
      <c r="E54" s="27">
        <f>+E48</f>
        <v>0</v>
      </c>
      <c r="F54" s="27">
        <f>+F48+E54</f>
        <v>0</v>
      </c>
      <c r="G54" s="27">
        <f>+F54+G48</f>
        <v>0</v>
      </c>
      <c r="H54" s="27">
        <f>+G54+H48</f>
        <v>0</v>
      </c>
      <c r="I54" s="27">
        <f t="shared" ref="I54:P54" si="20">+H54+I48</f>
        <v>0</v>
      </c>
      <c r="J54" s="27">
        <f t="shared" si="20"/>
        <v>0</v>
      </c>
      <c r="K54" s="27">
        <f t="shared" si="20"/>
        <v>0</v>
      </c>
      <c r="L54" s="27">
        <f t="shared" si="20"/>
        <v>0</v>
      </c>
      <c r="M54" s="27">
        <f t="shared" si="20"/>
        <v>0</v>
      </c>
      <c r="N54" s="27">
        <f t="shared" si="20"/>
        <v>0</v>
      </c>
      <c r="O54" s="27">
        <f t="shared" si="20"/>
        <v>0</v>
      </c>
      <c r="P54" s="61">
        <f t="shared" si="20"/>
        <v>0</v>
      </c>
    </row>
    <row r="55" spans="2:16" ht="12" hidden="1" customHeight="1" x14ac:dyDescent="0.2">
      <c r="B55" s="65" t="s">
        <v>1585</v>
      </c>
      <c r="C55" s="66"/>
      <c r="D55" s="66"/>
      <c r="E55" s="66">
        <f>+$E53-E54</f>
        <v>0</v>
      </c>
      <c r="F55" s="66">
        <f t="shared" ref="F55:P55" si="21">+$E53-F54</f>
        <v>0</v>
      </c>
      <c r="G55" s="66">
        <f t="shared" si="21"/>
        <v>0</v>
      </c>
      <c r="H55" s="66">
        <f t="shared" si="21"/>
        <v>0</v>
      </c>
      <c r="I55" s="66">
        <f t="shared" si="21"/>
        <v>0</v>
      </c>
      <c r="J55" s="66">
        <f t="shared" si="21"/>
        <v>0</v>
      </c>
      <c r="K55" s="66">
        <f t="shared" si="21"/>
        <v>0</v>
      </c>
      <c r="L55" s="66">
        <f t="shared" si="21"/>
        <v>0</v>
      </c>
      <c r="M55" s="66">
        <f t="shared" si="21"/>
        <v>0</v>
      </c>
      <c r="N55" s="66">
        <f t="shared" si="21"/>
        <v>0</v>
      </c>
      <c r="O55" s="66">
        <f t="shared" si="21"/>
        <v>0</v>
      </c>
      <c r="P55" s="67">
        <f t="shared" si="21"/>
        <v>0</v>
      </c>
    </row>
    <row r="56" spans="2:16" ht="12" hidden="1" customHeight="1" x14ac:dyDescent="0.2">
      <c r="B56" s="60"/>
      <c r="P56" s="61"/>
    </row>
    <row r="57" spans="2:16" ht="12" hidden="1" customHeight="1" x14ac:dyDescent="0.2">
      <c r="B57" s="60"/>
      <c r="P57" s="61"/>
    </row>
    <row r="58" spans="2:16" ht="12" hidden="1" customHeight="1" x14ac:dyDescent="0.2">
      <c r="B58" s="60" t="s">
        <v>863</v>
      </c>
      <c r="P58" s="61"/>
    </row>
    <row r="59" spans="2:16" ht="12" hidden="1" customHeight="1" x14ac:dyDescent="0.2">
      <c r="B59" s="62"/>
      <c r="C59" s="63" t="s">
        <v>853</v>
      </c>
      <c r="D59" s="63"/>
      <c r="E59" s="63">
        <v>1</v>
      </c>
      <c r="F59" s="63">
        <v>30</v>
      </c>
      <c r="G59" s="63">
        <v>60</v>
      </c>
      <c r="H59" s="63">
        <v>90</v>
      </c>
      <c r="I59" s="63">
        <v>120</v>
      </c>
      <c r="J59" s="63">
        <v>150</v>
      </c>
      <c r="K59" s="63">
        <v>180</v>
      </c>
      <c r="L59" s="63"/>
      <c r="M59" s="63"/>
      <c r="N59" s="63"/>
      <c r="O59" s="63"/>
      <c r="P59" s="64"/>
    </row>
    <row r="60" spans="2:16" ht="12" hidden="1" customHeight="1" x14ac:dyDescent="0.2">
      <c r="B60" s="60"/>
      <c r="D60" s="27" t="s">
        <v>1547</v>
      </c>
      <c r="E60" s="27">
        <v>1</v>
      </c>
      <c r="F60" s="27">
        <v>2</v>
      </c>
      <c r="G60" s="27">
        <v>3</v>
      </c>
      <c r="H60" s="27">
        <v>4</v>
      </c>
      <c r="I60" s="27">
        <v>5</v>
      </c>
      <c r="J60" s="27">
        <v>6</v>
      </c>
      <c r="K60" s="27">
        <v>7</v>
      </c>
      <c r="L60" s="27">
        <v>8</v>
      </c>
      <c r="M60" s="27">
        <v>9</v>
      </c>
      <c r="N60" s="27">
        <v>10</v>
      </c>
      <c r="O60" s="27">
        <v>11</v>
      </c>
      <c r="P60" s="61">
        <v>12</v>
      </c>
    </row>
    <row r="61" spans="2:16" ht="12" hidden="1" customHeight="1" x14ac:dyDescent="0.2">
      <c r="B61" s="60" t="str">
        <f t="shared" ref="B61:B80" si="22">+B96</f>
        <v>compras (material para venta)</v>
      </c>
      <c r="D61" s="27">
        <f>CResult!G118</f>
        <v>0</v>
      </c>
      <c r="E61" s="27">
        <f>CResult!H118</f>
        <v>0</v>
      </c>
      <c r="F61" s="27">
        <f>CResult!I118</f>
        <v>0</v>
      </c>
      <c r="G61" s="27">
        <f>CResult!J118</f>
        <v>0</v>
      </c>
      <c r="H61" s="27">
        <f>CResult!K118</f>
        <v>0</v>
      </c>
      <c r="I61" s="27">
        <f>CResult!L118</f>
        <v>0</v>
      </c>
      <c r="J61" s="27">
        <f>CResult!M118</f>
        <v>0</v>
      </c>
      <c r="K61" s="27">
        <f>CResult!N118</f>
        <v>0</v>
      </c>
      <c r="L61" s="27">
        <f>CResult!O118</f>
        <v>0</v>
      </c>
      <c r="M61" s="27">
        <f>CResult!P118</f>
        <v>0</v>
      </c>
      <c r="N61" s="27">
        <f>CResult!Q118</f>
        <v>0</v>
      </c>
      <c r="O61" s="27">
        <f>CResult!R118</f>
        <v>0</v>
      </c>
      <c r="P61" s="61">
        <f>CResult!S118</f>
        <v>0</v>
      </c>
    </row>
    <row r="62" spans="2:16" ht="12" hidden="1" customHeight="1" x14ac:dyDescent="0.2">
      <c r="B62" s="60" t="str">
        <f t="shared" si="22"/>
        <v>gastos de producción o servicio</v>
      </c>
      <c r="D62" s="27">
        <f>CResult!G126</f>
        <v>0</v>
      </c>
      <c r="E62" s="27">
        <f>CResult!H126</f>
        <v>0</v>
      </c>
      <c r="F62" s="27">
        <f>CResult!I126</f>
        <v>0</v>
      </c>
      <c r="G62" s="27">
        <f>CResult!J126</f>
        <v>0</v>
      </c>
      <c r="H62" s="27">
        <f>CResult!K126</f>
        <v>0</v>
      </c>
      <c r="I62" s="27">
        <f>CResult!L126</f>
        <v>0</v>
      </c>
      <c r="J62" s="27">
        <f>CResult!M126</f>
        <v>0</v>
      </c>
      <c r="K62" s="27">
        <f>CResult!N126</f>
        <v>0</v>
      </c>
      <c r="L62" s="27">
        <f>CResult!O126</f>
        <v>0</v>
      </c>
      <c r="M62" s="27">
        <f>CResult!P126</f>
        <v>0</v>
      </c>
      <c r="N62" s="27">
        <f>CResult!Q126</f>
        <v>0</v>
      </c>
      <c r="O62" s="27">
        <f>CResult!R126</f>
        <v>0</v>
      </c>
      <c r="P62" s="61">
        <f>CResult!S126</f>
        <v>0</v>
      </c>
    </row>
    <row r="63" spans="2:16" ht="12" hidden="1" customHeight="1" x14ac:dyDescent="0.2">
      <c r="B63" s="60" t="str">
        <f t="shared" si="22"/>
        <v>variables de producción o servicio</v>
      </c>
      <c r="D63" s="27">
        <f>CResult!G131</f>
        <v>0</v>
      </c>
      <c r="E63" s="27">
        <f>CResult!H131</f>
        <v>0</v>
      </c>
      <c r="F63" s="27">
        <f>CResult!I131</f>
        <v>0</v>
      </c>
      <c r="G63" s="27">
        <f>CResult!J131</f>
        <v>0</v>
      </c>
      <c r="H63" s="27">
        <f>CResult!K131</f>
        <v>0</v>
      </c>
      <c r="I63" s="27">
        <f>CResult!L131</f>
        <v>0</v>
      </c>
      <c r="J63" s="27">
        <f>CResult!M131</f>
        <v>0</v>
      </c>
      <c r="K63" s="27">
        <f>CResult!N131</f>
        <v>0</v>
      </c>
      <c r="L63" s="27">
        <f>CResult!O131</f>
        <v>0</v>
      </c>
      <c r="M63" s="27">
        <f>CResult!P131</f>
        <v>0</v>
      </c>
      <c r="N63" s="27">
        <f>CResult!Q131</f>
        <v>0</v>
      </c>
      <c r="O63" s="27">
        <f>CResult!R131</f>
        <v>0</v>
      </c>
      <c r="P63" s="61">
        <f>CResult!S131</f>
        <v>0</v>
      </c>
    </row>
    <row r="64" spans="2:16" ht="12" hidden="1" customHeight="1" x14ac:dyDescent="0.2">
      <c r="B64" s="60" t="str">
        <f t="shared" si="22"/>
        <v xml:space="preserve">Publicidad </v>
      </c>
      <c r="D64" s="27">
        <f>CResult!G137</f>
        <v>0</v>
      </c>
      <c r="E64" s="27">
        <f>CResult!H137</f>
        <v>0</v>
      </c>
      <c r="F64" s="27">
        <f>CResult!I137</f>
        <v>0</v>
      </c>
      <c r="G64" s="27">
        <f>CResult!J137</f>
        <v>0</v>
      </c>
      <c r="H64" s="27">
        <f>CResult!K137</f>
        <v>0</v>
      </c>
      <c r="I64" s="27">
        <f>CResult!L137</f>
        <v>0</v>
      </c>
      <c r="J64" s="27">
        <f>CResult!M137</f>
        <v>0</v>
      </c>
      <c r="K64" s="27">
        <f>CResult!N137</f>
        <v>0</v>
      </c>
      <c r="L64" s="27">
        <f>CResult!O137</f>
        <v>0</v>
      </c>
      <c r="M64" s="27">
        <f>CResult!P137</f>
        <v>0</v>
      </c>
      <c r="N64" s="27">
        <f>CResult!Q137</f>
        <v>0</v>
      </c>
      <c r="O64" s="27">
        <f>CResult!R137</f>
        <v>0</v>
      </c>
      <c r="P64" s="61">
        <f>CResult!S137</f>
        <v>0</v>
      </c>
    </row>
    <row r="65" spans="2:16" ht="12" hidden="1" customHeight="1" x14ac:dyDescent="0.2">
      <c r="B65" s="60" t="str">
        <f t="shared" si="22"/>
        <v>otros gastos de marketing</v>
      </c>
      <c r="D65" s="27">
        <f>CResult!G143</f>
        <v>0</v>
      </c>
      <c r="E65" s="27">
        <f>CResult!H143</f>
        <v>0</v>
      </c>
      <c r="F65" s="27">
        <f>CResult!I143</f>
        <v>0</v>
      </c>
      <c r="G65" s="27">
        <f>CResult!J143</f>
        <v>0</v>
      </c>
      <c r="H65" s="27">
        <f>CResult!K143</f>
        <v>0</v>
      </c>
      <c r="I65" s="27">
        <f>CResult!L143</f>
        <v>0</v>
      </c>
      <c r="J65" s="27">
        <f>CResult!M143</f>
        <v>0</v>
      </c>
      <c r="K65" s="27">
        <f>CResult!N143</f>
        <v>0</v>
      </c>
      <c r="L65" s="27">
        <f>CResult!O143</f>
        <v>0</v>
      </c>
      <c r="M65" s="27">
        <f>CResult!P143</f>
        <v>0</v>
      </c>
      <c r="N65" s="27">
        <f>CResult!Q143</f>
        <v>0</v>
      </c>
      <c r="O65" s="27">
        <f>CResult!R143</f>
        <v>0</v>
      </c>
      <c r="P65" s="61">
        <f>CResult!S143</f>
        <v>0</v>
      </c>
    </row>
    <row r="66" spans="2:16" ht="12" hidden="1" customHeight="1" x14ac:dyDescent="0.2">
      <c r="B66" s="60" t="str">
        <f t="shared" si="22"/>
        <v>gastos de ventas</v>
      </c>
      <c r="D66" s="27">
        <f>CResult!G148</f>
        <v>0</v>
      </c>
      <c r="E66" s="27">
        <f>CResult!H148</f>
        <v>0</v>
      </c>
      <c r="F66" s="27">
        <f>CResult!I148</f>
        <v>0</v>
      </c>
      <c r="G66" s="27">
        <f>CResult!J148</f>
        <v>0</v>
      </c>
      <c r="H66" s="27">
        <f>CResult!K148</f>
        <v>0</v>
      </c>
      <c r="I66" s="27">
        <f>CResult!L148</f>
        <v>0</v>
      </c>
      <c r="J66" s="27">
        <f>CResult!M148</f>
        <v>0</v>
      </c>
      <c r="K66" s="27">
        <f>CResult!N148</f>
        <v>0</v>
      </c>
      <c r="L66" s="27">
        <f>CResult!O148</f>
        <v>0</v>
      </c>
      <c r="M66" s="27">
        <f>CResult!P148</f>
        <v>0</v>
      </c>
      <c r="N66" s="27">
        <f>CResult!Q148</f>
        <v>0</v>
      </c>
      <c r="O66" s="27">
        <f>CResult!R148</f>
        <v>0</v>
      </c>
      <c r="P66" s="61">
        <f>CResult!S148</f>
        <v>0</v>
      </c>
    </row>
    <row r="67" spans="2:16" ht="12" hidden="1" customHeight="1" x14ac:dyDescent="0.2">
      <c r="B67" s="60" t="str">
        <f t="shared" si="22"/>
        <v>gastos variables de ventas</v>
      </c>
      <c r="D67" s="27">
        <f>CResult!G153</f>
        <v>0</v>
      </c>
      <c r="E67" s="27">
        <f>CResult!H153</f>
        <v>0</v>
      </c>
      <c r="F67" s="27">
        <f>CResult!I153</f>
        <v>0</v>
      </c>
      <c r="G67" s="27">
        <f>CResult!J153</f>
        <v>0</v>
      </c>
      <c r="H67" s="27">
        <f>CResult!K153</f>
        <v>0</v>
      </c>
      <c r="I67" s="27">
        <f>CResult!L153</f>
        <v>0</v>
      </c>
      <c r="J67" s="27">
        <f>CResult!M153</f>
        <v>0</v>
      </c>
      <c r="K67" s="27">
        <f>CResult!N153</f>
        <v>0</v>
      </c>
      <c r="L67" s="27">
        <f>CResult!O153</f>
        <v>0</v>
      </c>
      <c r="M67" s="27">
        <f>CResult!P153</f>
        <v>0</v>
      </c>
      <c r="N67" s="27">
        <f>CResult!Q153</f>
        <v>0</v>
      </c>
      <c r="O67" s="27">
        <f>CResult!R153</f>
        <v>0</v>
      </c>
      <c r="P67" s="61">
        <f>CResult!S153</f>
        <v>0</v>
      </c>
    </row>
    <row r="68" spans="2:16" ht="12" hidden="1" customHeight="1" x14ac:dyDescent="0.2">
      <c r="B68" s="60" t="str">
        <f t="shared" si="22"/>
        <v>Gastos I+D</v>
      </c>
      <c r="D68" s="27">
        <f>CResult!G158</f>
        <v>0</v>
      </c>
      <c r="E68" s="27">
        <f>CResult!H158</f>
        <v>0</v>
      </c>
      <c r="F68" s="27">
        <f>CResult!I158</f>
        <v>0</v>
      </c>
      <c r="G68" s="27">
        <f>CResult!J158</f>
        <v>0</v>
      </c>
      <c r="H68" s="27">
        <f>CResult!K158</f>
        <v>0</v>
      </c>
      <c r="I68" s="27">
        <f>CResult!L158</f>
        <v>0</v>
      </c>
      <c r="J68" s="27">
        <f>CResult!M158</f>
        <v>0</v>
      </c>
      <c r="K68" s="27">
        <f>CResult!N158</f>
        <v>0</v>
      </c>
      <c r="L68" s="27">
        <f>CResult!O158</f>
        <v>0</v>
      </c>
      <c r="M68" s="27">
        <f>CResult!P158</f>
        <v>0</v>
      </c>
      <c r="N68" s="27">
        <f>CResult!Q158</f>
        <v>0</v>
      </c>
      <c r="O68" s="27">
        <f>CResult!R158</f>
        <v>0</v>
      </c>
      <c r="P68" s="61">
        <f>CResult!S158</f>
        <v>0</v>
      </c>
    </row>
    <row r="69" spans="2:16" ht="12" hidden="1" customHeight="1" x14ac:dyDescent="0.2">
      <c r="B69" s="60" t="str">
        <f t="shared" si="22"/>
        <v>Arrendamientos</v>
      </c>
      <c r="D69" s="27">
        <f>CResult!G162</f>
        <v>0</v>
      </c>
      <c r="E69" s="27">
        <f>CResult!H162</f>
        <v>0</v>
      </c>
      <c r="F69" s="27">
        <f>CResult!I162</f>
        <v>0</v>
      </c>
      <c r="G69" s="27">
        <f>CResult!J162</f>
        <v>0</v>
      </c>
      <c r="H69" s="27">
        <f>CResult!K162</f>
        <v>0</v>
      </c>
      <c r="I69" s="27">
        <f>CResult!L162</f>
        <v>0</v>
      </c>
      <c r="J69" s="27">
        <f>CResult!M162</f>
        <v>0</v>
      </c>
      <c r="K69" s="27">
        <f>CResult!N162</f>
        <v>0</v>
      </c>
      <c r="L69" s="27">
        <f>CResult!O162</f>
        <v>0</v>
      </c>
      <c r="M69" s="27">
        <f>CResult!P162</f>
        <v>0</v>
      </c>
      <c r="N69" s="27">
        <f>CResult!Q162</f>
        <v>0</v>
      </c>
      <c r="O69" s="27">
        <f>CResult!R162</f>
        <v>0</v>
      </c>
      <c r="P69" s="61">
        <f>CResult!S162</f>
        <v>0</v>
      </c>
    </row>
    <row r="70" spans="2:16" ht="12" hidden="1" customHeight="1" x14ac:dyDescent="0.2">
      <c r="B70" s="60" t="str">
        <f t="shared" si="22"/>
        <v>Conservación</v>
      </c>
      <c r="D70" s="27">
        <f>CResult!G166</f>
        <v>0</v>
      </c>
      <c r="E70" s="27">
        <f>CResult!H166</f>
        <v>0</v>
      </c>
      <c r="F70" s="27">
        <f>CResult!I166</f>
        <v>0</v>
      </c>
      <c r="G70" s="27">
        <f>CResult!J166</f>
        <v>0</v>
      </c>
      <c r="H70" s="27">
        <f>CResult!K166</f>
        <v>0</v>
      </c>
      <c r="I70" s="27">
        <f>CResult!L166</f>
        <v>0</v>
      </c>
      <c r="J70" s="27">
        <f>CResult!M166</f>
        <v>0</v>
      </c>
      <c r="K70" s="27">
        <f>CResult!N166</f>
        <v>0</v>
      </c>
      <c r="L70" s="27">
        <f>CResult!O166</f>
        <v>0</v>
      </c>
      <c r="M70" s="27">
        <f>CResult!P166</f>
        <v>0</v>
      </c>
      <c r="N70" s="27">
        <f>CResult!Q166</f>
        <v>0</v>
      </c>
      <c r="O70" s="27">
        <f>CResult!R166</f>
        <v>0</v>
      </c>
      <c r="P70" s="61">
        <f>CResult!S166</f>
        <v>0</v>
      </c>
    </row>
    <row r="71" spans="2:16" ht="12" hidden="1" customHeight="1" x14ac:dyDescent="0.2">
      <c r="B71" s="60" t="str">
        <f t="shared" si="22"/>
        <v>S. Profesionales</v>
      </c>
      <c r="D71" s="27">
        <f>CResult!G170</f>
        <v>0</v>
      </c>
      <c r="E71" s="27">
        <f>CResult!H170</f>
        <v>0</v>
      </c>
      <c r="F71" s="27">
        <f>CResult!I170</f>
        <v>0</v>
      </c>
      <c r="G71" s="27">
        <f>CResult!J170</f>
        <v>0</v>
      </c>
      <c r="H71" s="27">
        <f>CResult!K170</f>
        <v>0</v>
      </c>
      <c r="I71" s="27">
        <f>CResult!L170</f>
        <v>0</v>
      </c>
      <c r="J71" s="27">
        <f>CResult!M170</f>
        <v>0</v>
      </c>
      <c r="K71" s="27">
        <f>CResult!N170</f>
        <v>0</v>
      </c>
      <c r="L71" s="27">
        <f>CResult!O170</f>
        <v>0</v>
      </c>
      <c r="M71" s="27">
        <f>CResult!P170</f>
        <v>0</v>
      </c>
      <c r="N71" s="27">
        <f>CResult!Q170</f>
        <v>0</v>
      </c>
      <c r="O71" s="27">
        <f>CResult!R170</f>
        <v>0</v>
      </c>
      <c r="P71" s="61">
        <f>CResult!S170</f>
        <v>0</v>
      </c>
    </row>
    <row r="72" spans="2:16" ht="12" hidden="1" customHeight="1" x14ac:dyDescent="0.2">
      <c r="B72" s="60" t="str">
        <f t="shared" si="22"/>
        <v>Tributos</v>
      </c>
      <c r="E72" s="27">
        <f>INFORME!G119</f>
        <v>0</v>
      </c>
      <c r="F72" s="27">
        <f>INFORME!H119</f>
        <v>0</v>
      </c>
      <c r="G72" s="27">
        <f>INFORME!I119</f>
        <v>0</v>
      </c>
      <c r="H72" s="27">
        <f>INFORME!J119</f>
        <v>0</v>
      </c>
      <c r="I72" s="27">
        <f>INFORME!K119</f>
        <v>0</v>
      </c>
      <c r="J72" s="27">
        <f>INFORME!L119</f>
        <v>0</v>
      </c>
      <c r="K72" s="27">
        <f>INFORME!M119</f>
        <v>0</v>
      </c>
      <c r="L72" s="27">
        <f>INFORME!N119</f>
        <v>0</v>
      </c>
      <c r="M72" s="27">
        <f>INFORME!O119</f>
        <v>0</v>
      </c>
      <c r="N72" s="27">
        <f>INFORME!P119</f>
        <v>0</v>
      </c>
      <c r="O72" s="27">
        <f>INFORME!Q119</f>
        <v>0</v>
      </c>
      <c r="P72" s="61">
        <f>INFORME!R119</f>
        <v>0</v>
      </c>
    </row>
    <row r="73" spans="2:16" ht="12" hidden="1" customHeight="1" x14ac:dyDescent="0.2">
      <c r="B73" s="60" t="str">
        <f t="shared" si="22"/>
        <v>Seguros</v>
      </c>
      <c r="D73" s="27">
        <f>CResult!G174</f>
        <v>0</v>
      </c>
      <c r="E73" s="27">
        <f>CResult!H174</f>
        <v>0</v>
      </c>
      <c r="F73" s="27">
        <f>CResult!I174</f>
        <v>0</v>
      </c>
      <c r="G73" s="27">
        <f>CResult!J174</f>
        <v>0</v>
      </c>
      <c r="H73" s="27">
        <f>CResult!K174</f>
        <v>0</v>
      </c>
      <c r="I73" s="27">
        <f>CResult!L174</f>
        <v>0</v>
      </c>
      <c r="J73" s="27">
        <f>CResult!M174</f>
        <v>0</v>
      </c>
      <c r="K73" s="27">
        <f>CResult!N174</f>
        <v>0</v>
      </c>
      <c r="L73" s="27">
        <f>CResult!O174</f>
        <v>0</v>
      </c>
      <c r="M73" s="27">
        <f>CResult!P174</f>
        <v>0</v>
      </c>
      <c r="N73" s="27">
        <f>CResult!Q174</f>
        <v>0</v>
      </c>
      <c r="O73" s="27">
        <f>CResult!R174</f>
        <v>0</v>
      </c>
      <c r="P73" s="61">
        <f>CResult!S174</f>
        <v>0</v>
      </c>
    </row>
    <row r="74" spans="2:16" ht="12" hidden="1" customHeight="1" x14ac:dyDescent="0.2">
      <c r="B74" s="60" t="str">
        <f t="shared" si="22"/>
        <v>Otros servicios</v>
      </c>
      <c r="D74" s="27">
        <f>CResult!G178</f>
        <v>0</v>
      </c>
      <c r="E74" s="27">
        <f>CResult!H178</f>
        <v>0</v>
      </c>
      <c r="F74" s="27">
        <f>CResult!I178</f>
        <v>0</v>
      </c>
      <c r="G74" s="27">
        <f>CResult!J178</f>
        <v>0</v>
      </c>
      <c r="H74" s="27">
        <f>CResult!K178</f>
        <v>0</v>
      </c>
      <c r="I74" s="27">
        <f>CResult!L178</f>
        <v>0</v>
      </c>
      <c r="J74" s="27">
        <f>CResult!M178</f>
        <v>0</v>
      </c>
      <c r="K74" s="27">
        <f>CResult!N178</f>
        <v>0</v>
      </c>
      <c r="L74" s="27">
        <f>CResult!O178</f>
        <v>0</v>
      </c>
      <c r="M74" s="27">
        <f>CResult!P178</f>
        <v>0</v>
      </c>
      <c r="N74" s="27">
        <f>CResult!Q178</f>
        <v>0</v>
      </c>
      <c r="O74" s="27">
        <f>CResult!R178</f>
        <v>0</v>
      </c>
      <c r="P74" s="61">
        <f>CResult!S178</f>
        <v>0</v>
      </c>
    </row>
    <row r="75" spans="2:16" ht="12" hidden="1" customHeight="1" x14ac:dyDescent="0.2">
      <c r="B75" s="60" t="str">
        <f t="shared" si="22"/>
        <v>Suministros</v>
      </c>
      <c r="D75" s="27">
        <f>CResult!G182</f>
        <v>0</v>
      </c>
      <c r="E75" s="27">
        <f>CResult!H182</f>
        <v>0</v>
      </c>
      <c r="F75" s="27">
        <f>CResult!I182</f>
        <v>0</v>
      </c>
      <c r="G75" s="27">
        <f>CResult!J182</f>
        <v>0</v>
      </c>
      <c r="H75" s="27">
        <f>CResult!K182</f>
        <v>0</v>
      </c>
      <c r="I75" s="27">
        <f>CResult!L182</f>
        <v>0</v>
      </c>
      <c r="J75" s="27">
        <f>CResult!M182</f>
        <v>0</v>
      </c>
      <c r="K75" s="27">
        <f>CResult!N182</f>
        <v>0</v>
      </c>
      <c r="L75" s="27">
        <f>CResult!O182</f>
        <v>0</v>
      </c>
      <c r="M75" s="27">
        <f>CResult!P182</f>
        <v>0</v>
      </c>
      <c r="N75" s="27">
        <f>CResult!Q182</f>
        <v>0</v>
      </c>
      <c r="O75" s="27">
        <f>CResult!R182</f>
        <v>0</v>
      </c>
      <c r="P75" s="61">
        <f>CResult!S182</f>
        <v>0</v>
      </c>
    </row>
    <row r="76" spans="2:16" ht="12" hidden="1" customHeight="1" x14ac:dyDescent="0.2">
      <c r="B76" s="60" t="str">
        <f t="shared" si="22"/>
        <v>Viajes, dietas…</v>
      </c>
      <c r="D76" s="27">
        <f>CResult!G186</f>
        <v>0</v>
      </c>
      <c r="E76" s="27">
        <f>CResult!H186</f>
        <v>0</v>
      </c>
      <c r="F76" s="27">
        <f>CResult!I186</f>
        <v>0</v>
      </c>
      <c r="G76" s="27">
        <f>CResult!J186</f>
        <v>0</v>
      </c>
      <c r="H76" s="27">
        <f>CResult!K186</f>
        <v>0</v>
      </c>
      <c r="I76" s="27">
        <f>CResult!L186</f>
        <v>0</v>
      </c>
      <c r="J76" s="27">
        <f>CResult!M186</f>
        <v>0</v>
      </c>
      <c r="K76" s="27">
        <f>CResult!N186</f>
        <v>0</v>
      </c>
      <c r="L76" s="27">
        <f>CResult!O186</f>
        <v>0</v>
      </c>
      <c r="M76" s="27">
        <f>CResult!P186</f>
        <v>0</v>
      </c>
      <c r="N76" s="27">
        <f>CResult!Q186</f>
        <v>0</v>
      </c>
      <c r="O76" s="27">
        <f>CResult!R186</f>
        <v>0</v>
      </c>
      <c r="P76" s="61">
        <f>CResult!S186</f>
        <v>0</v>
      </c>
    </row>
    <row r="77" spans="2:16" ht="12" hidden="1" customHeight="1" x14ac:dyDescent="0.2">
      <c r="B77" s="60" t="str">
        <f t="shared" si="22"/>
        <v>Material Oficina</v>
      </c>
      <c r="D77" s="27">
        <f>CResult!G190</f>
        <v>0</v>
      </c>
      <c r="E77" s="27">
        <f>CResult!H190</f>
        <v>0</v>
      </c>
      <c r="F77" s="27">
        <f>CResult!I190</f>
        <v>0</v>
      </c>
      <c r="G77" s="27">
        <f>CResult!J190</f>
        <v>0</v>
      </c>
      <c r="H77" s="27">
        <f>CResult!K190</f>
        <v>0</v>
      </c>
      <c r="I77" s="27">
        <f>CResult!L190</f>
        <v>0</v>
      </c>
      <c r="J77" s="27">
        <f>CResult!M190</f>
        <v>0</v>
      </c>
      <c r="K77" s="27">
        <f>CResult!N190</f>
        <v>0</v>
      </c>
      <c r="L77" s="27">
        <f>CResult!O190</f>
        <v>0</v>
      </c>
      <c r="M77" s="27">
        <f>CResult!P190</f>
        <v>0</v>
      </c>
      <c r="N77" s="27">
        <f>CResult!Q190</f>
        <v>0</v>
      </c>
      <c r="O77" s="27">
        <f>CResult!R190</f>
        <v>0</v>
      </c>
      <c r="P77" s="61">
        <f>CResult!S190</f>
        <v>0</v>
      </c>
    </row>
    <row r="78" spans="2:16" ht="12" hidden="1" customHeight="1" x14ac:dyDescent="0.2">
      <c r="B78" s="60" t="str">
        <f t="shared" si="22"/>
        <v>Transportes</v>
      </c>
      <c r="D78" s="27">
        <f>CResult!G194</f>
        <v>0</v>
      </c>
      <c r="E78" s="27">
        <f>CResult!H194</f>
        <v>0</v>
      </c>
      <c r="F78" s="27">
        <f>CResult!I194</f>
        <v>0</v>
      </c>
      <c r="G78" s="27">
        <f>CResult!J194</f>
        <v>0</v>
      </c>
      <c r="H78" s="27">
        <f>CResult!K194</f>
        <v>0</v>
      </c>
      <c r="I78" s="27">
        <f>CResult!L194</f>
        <v>0</v>
      </c>
      <c r="J78" s="27">
        <f>CResult!M194</f>
        <v>0</v>
      </c>
      <c r="K78" s="27">
        <f>CResult!N194</f>
        <v>0</v>
      </c>
      <c r="L78" s="27">
        <f>CResult!O194</f>
        <v>0</v>
      </c>
      <c r="M78" s="27">
        <f>CResult!P194</f>
        <v>0</v>
      </c>
      <c r="N78" s="27">
        <f>CResult!Q194</f>
        <v>0</v>
      </c>
      <c r="O78" s="27">
        <f>CResult!R194</f>
        <v>0</v>
      </c>
      <c r="P78" s="61">
        <f>CResult!S194</f>
        <v>0</v>
      </c>
    </row>
    <row r="79" spans="2:16" ht="12" hidden="1" customHeight="1" x14ac:dyDescent="0.2">
      <c r="B79" s="60" t="str">
        <f t="shared" si="22"/>
        <v>gastos financieros</v>
      </c>
      <c r="D79" s="27">
        <f>CResult!G198</f>
        <v>0</v>
      </c>
      <c r="E79" s="27">
        <f>CResult!H198</f>
        <v>0</v>
      </c>
      <c r="F79" s="27">
        <f>CResult!I198</f>
        <v>0</v>
      </c>
      <c r="G79" s="27">
        <f>CResult!J198</f>
        <v>0</v>
      </c>
      <c r="H79" s="27">
        <f>CResult!K198</f>
        <v>0</v>
      </c>
      <c r="I79" s="27">
        <f>CResult!L198</f>
        <v>0</v>
      </c>
      <c r="J79" s="27">
        <f>CResult!M198</f>
        <v>0</v>
      </c>
      <c r="K79" s="27">
        <f>CResult!N198</f>
        <v>0</v>
      </c>
      <c r="L79" s="27">
        <f>CResult!O198</f>
        <v>0</v>
      </c>
      <c r="M79" s="27">
        <f>CResult!P198</f>
        <v>0</v>
      </c>
      <c r="N79" s="27">
        <f>CResult!Q198</f>
        <v>0</v>
      </c>
      <c r="O79" s="27">
        <f>CResult!R198</f>
        <v>0</v>
      </c>
      <c r="P79" s="61">
        <f>CResult!S198</f>
        <v>0</v>
      </c>
    </row>
    <row r="80" spans="2:16" ht="12" hidden="1" customHeight="1" x14ac:dyDescent="0.2">
      <c r="B80" s="60" t="str">
        <f t="shared" si="22"/>
        <v>gastos extraordinarios</v>
      </c>
      <c r="D80" s="27">
        <f>CResult!G202</f>
        <v>0</v>
      </c>
      <c r="E80" s="27">
        <f>CResult!H202</f>
        <v>0</v>
      </c>
      <c r="F80" s="27">
        <f>CResult!I202</f>
        <v>0</v>
      </c>
      <c r="G80" s="27">
        <f>CResult!J202</f>
        <v>0</v>
      </c>
      <c r="H80" s="27">
        <f>CResult!K202</f>
        <v>0</v>
      </c>
      <c r="I80" s="27">
        <f>CResult!L202</f>
        <v>0</v>
      </c>
      <c r="J80" s="27">
        <f>CResult!M202</f>
        <v>0</v>
      </c>
      <c r="K80" s="27">
        <f>CResult!N202</f>
        <v>0</v>
      </c>
      <c r="L80" s="27">
        <f>CResult!O202</f>
        <v>0</v>
      </c>
      <c r="M80" s="27">
        <f>CResult!P202</f>
        <v>0</v>
      </c>
      <c r="N80" s="27">
        <f>CResult!Q202</f>
        <v>0</v>
      </c>
      <c r="O80" s="27">
        <f>CResult!R202</f>
        <v>0</v>
      </c>
      <c r="P80" s="61">
        <f>CResult!S202</f>
        <v>0</v>
      </c>
    </row>
    <row r="81" spans="2:29" ht="12" hidden="1" customHeight="1" x14ac:dyDescent="0.2">
      <c r="B81" s="65" t="str">
        <f>+B116</f>
        <v>Comisiones</v>
      </c>
      <c r="C81" s="66"/>
      <c r="D81" s="66"/>
      <c r="E81" s="66">
        <f>CResult!H333</f>
        <v>0</v>
      </c>
      <c r="F81" s="66">
        <f>CResult!I333</f>
        <v>0</v>
      </c>
      <c r="G81" s="66">
        <f>CResult!J333</f>
        <v>0</v>
      </c>
      <c r="H81" s="66">
        <f>CResult!K333</f>
        <v>0</v>
      </c>
      <c r="I81" s="66">
        <f>CResult!L333</f>
        <v>0</v>
      </c>
      <c r="J81" s="66">
        <f>CResult!M333</f>
        <v>0</v>
      </c>
      <c r="K81" s="66">
        <f>CResult!N333</f>
        <v>0</v>
      </c>
      <c r="L81" s="66">
        <f>CResult!O333</f>
        <v>0</v>
      </c>
      <c r="M81" s="66">
        <f>CResult!P333</f>
        <v>0</v>
      </c>
      <c r="N81" s="66">
        <f>CResult!Q333</f>
        <v>0</v>
      </c>
      <c r="O81" s="66">
        <f>CResult!R333</f>
        <v>0</v>
      </c>
      <c r="P81" s="67">
        <f>CResult!S333</f>
        <v>0</v>
      </c>
    </row>
    <row r="82" spans="2:29" ht="12" hidden="1" customHeight="1" x14ac:dyDescent="0.2">
      <c r="B82" s="60"/>
      <c r="P82" s="61"/>
    </row>
    <row r="83" spans="2:29" ht="12" hidden="1" customHeight="1" x14ac:dyDescent="0.2">
      <c r="B83" s="60"/>
      <c r="P83" s="61"/>
    </row>
    <row r="84" spans="2:29" ht="12" hidden="1" customHeight="1" x14ac:dyDescent="0.2">
      <c r="B84" s="60"/>
      <c r="P84" s="61"/>
      <c r="R84" s="73" t="str">
        <f>SB!E148</f>
        <v>en el MES</v>
      </c>
    </row>
    <row r="85" spans="2:29" ht="12" hidden="1" customHeight="1" x14ac:dyDescent="0.2">
      <c r="B85" s="60"/>
      <c r="P85" s="61"/>
      <c r="R85" s="74" t="str">
        <f>SB!E149</f>
        <v>30 días</v>
      </c>
    </row>
    <row r="86" spans="2:29" ht="12" hidden="1" customHeight="1" x14ac:dyDescent="0.2">
      <c r="B86" s="60"/>
      <c r="P86" s="61"/>
      <c r="R86" s="74" t="str">
        <f>SB!E150</f>
        <v>60 días</v>
      </c>
    </row>
    <row r="87" spans="2:29" ht="12" hidden="1" customHeight="1" x14ac:dyDescent="0.2">
      <c r="B87" s="60"/>
      <c r="P87" s="61"/>
      <c r="R87" s="74" t="str">
        <f>SB!E151</f>
        <v>90 días</v>
      </c>
    </row>
    <row r="88" spans="2:29" ht="12" hidden="1" customHeight="1" x14ac:dyDescent="0.2">
      <c r="B88" s="60"/>
      <c r="P88" s="61"/>
      <c r="R88" s="74" t="str">
        <f>SB!E152</f>
        <v>120 días</v>
      </c>
    </row>
    <row r="89" spans="2:29" ht="12" hidden="1" customHeight="1" x14ac:dyDescent="0.2">
      <c r="B89" s="60"/>
      <c r="P89" s="61"/>
      <c r="R89" s="74" t="str">
        <f>SB!E153</f>
        <v>150 días</v>
      </c>
    </row>
    <row r="90" spans="2:29" ht="12" hidden="1" customHeight="1" x14ac:dyDescent="0.2">
      <c r="B90" s="60"/>
      <c r="P90" s="61"/>
      <c r="R90" s="75" t="str">
        <f>SB!E154</f>
        <v>180 días</v>
      </c>
    </row>
    <row r="91" spans="2:29" ht="12" hidden="1" customHeight="1" x14ac:dyDescent="0.2">
      <c r="B91" s="60"/>
      <c r="P91" s="61"/>
    </row>
    <row r="92" spans="2:29" ht="12" hidden="1" customHeight="1" x14ac:dyDescent="0.2">
      <c r="B92" s="60" t="s">
        <v>1475</v>
      </c>
      <c r="E92" s="27">
        <f>SUM(E61:E80)</f>
        <v>0</v>
      </c>
      <c r="F92" s="27">
        <f t="shared" ref="F92:P92" si="23">SUM(F61:F80)</f>
        <v>0</v>
      </c>
      <c r="G92" s="27">
        <f t="shared" si="23"/>
        <v>0</v>
      </c>
      <c r="H92" s="27">
        <f t="shared" si="23"/>
        <v>0</v>
      </c>
      <c r="I92" s="27">
        <f t="shared" si="23"/>
        <v>0</v>
      </c>
      <c r="J92" s="27">
        <f t="shared" si="23"/>
        <v>0</v>
      </c>
      <c r="K92" s="27">
        <f t="shared" si="23"/>
        <v>0</v>
      </c>
      <c r="L92" s="27">
        <f t="shared" si="23"/>
        <v>0</v>
      </c>
      <c r="M92" s="27">
        <f t="shared" si="23"/>
        <v>0</v>
      </c>
      <c r="N92" s="27">
        <f t="shared" si="23"/>
        <v>0</v>
      </c>
      <c r="O92" s="27">
        <f t="shared" si="23"/>
        <v>0</v>
      </c>
      <c r="P92" s="61">
        <f t="shared" si="23"/>
        <v>0</v>
      </c>
      <c r="W92" s="27">
        <f>SUM(E92:P92)</f>
        <v>0</v>
      </c>
      <c r="X92" s="27" t="str">
        <f>IF(W92=CResult!F206+INFORME!E119,"OK","ERROR")</f>
        <v>OK</v>
      </c>
    </row>
    <row r="93" spans="2:29" ht="12" hidden="1" customHeight="1" x14ac:dyDescent="0.2">
      <c r="B93" s="62"/>
      <c r="C93" s="63"/>
      <c r="D93" s="63"/>
      <c r="E93" s="63"/>
      <c r="F93" s="63"/>
      <c r="G93" s="63"/>
      <c r="H93" s="63"/>
      <c r="I93" s="63"/>
      <c r="J93" s="63"/>
      <c r="K93" s="63"/>
      <c r="L93" s="63"/>
      <c r="M93" s="63"/>
      <c r="N93" s="63"/>
      <c r="O93" s="63"/>
      <c r="P93" s="64"/>
    </row>
    <row r="94" spans="2:29" ht="12" hidden="1" customHeight="1" x14ac:dyDescent="0.2">
      <c r="B94" s="60" t="s">
        <v>865</v>
      </c>
      <c r="C94" s="27" t="s">
        <v>866</v>
      </c>
      <c r="P94" s="61"/>
      <c r="Q94" s="27" t="s">
        <v>849</v>
      </c>
    </row>
    <row r="95" spans="2:29" ht="12" hidden="1" customHeight="1" x14ac:dyDescent="0.2">
      <c r="B95" s="60"/>
      <c r="C95" s="27" t="s">
        <v>864</v>
      </c>
      <c r="D95" s="27" t="s">
        <v>1547</v>
      </c>
      <c r="E95" s="27">
        <f t="shared" ref="E95:P95" si="24">E60</f>
        <v>1</v>
      </c>
      <c r="F95" s="27">
        <f t="shared" si="24"/>
        <v>2</v>
      </c>
      <c r="G95" s="27">
        <f t="shared" si="24"/>
        <v>3</v>
      </c>
      <c r="H95" s="27">
        <f t="shared" si="24"/>
        <v>4</v>
      </c>
      <c r="I95" s="27">
        <f t="shared" si="24"/>
        <v>5</v>
      </c>
      <c r="J95" s="27">
        <f t="shared" si="24"/>
        <v>6</v>
      </c>
      <c r="K95" s="27">
        <f t="shared" si="24"/>
        <v>7</v>
      </c>
      <c r="L95" s="27">
        <f t="shared" si="24"/>
        <v>8</v>
      </c>
      <c r="M95" s="27">
        <f t="shared" si="24"/>
        <v>9</v>
      </c>
      <c r="N95" s="27">
        <f t="shared" si="24"/>
        <v>10</v>
      </c>
      <c r="O95" s="27">
        <f t="shared" si="24"/>
        <v>11</v>
      </c>
      <c r="P95" s="61">
        <f t="shared" si="24"/>
        <v>12</v>
      </c>
      <c r="Q95" s="27">
        <v>1</v>
      </c>
      <c r="R95" s="27">
        <v>2</v>
      </c>
      <c r="S95" s="27">
        <v>3</v>
      </c>
      <c r="T95" s="27">
        <v>4</v>
      </c>
      <c r="U95" s="27">
        <v>5</v>
      </c>
      <c r="V95" s="27">
        <v>6</v>
      </c>
      <c r="W95" s="27" t="s">
        <v>979</v>
      </c>
      <c r="Y95" s="27" t="s">
        <v>433</v>
      </c>
      <c r="Z95" s="27" t="s">
        <v>430</v>
      </c>
      <c r="AA95" s="27" t="s">
        <v>431</v>
      </c>
      <c r="AB95" s="27" t="s">
        <v>432</v>
      </c>
      <c r="AC95" s="27" t="s">
        <v>431</v>
      </c>
    </row>
    <row r="96" spans="2:29" ht="12" hidden="1" customHeight="1" x14ac:dyDescent="0.2">
      <c r="B96" s="60" t="s">
        <v>1205</v>
      </c>
      <c r="C96" s="27" t="str">
        <f>'6'!F14</f>
        <v>en el MES</v>
      </c>
      <c r="D96" s="27">
        <f>D61</f>
        <v>0</v>
      </c>
      <c r="E96" s="27">
        <f>IF($C96=$R$84,E61,0)</f>
        <v>0</v>
      </c>
      <c r="F96" s="27">
        <f t="shared" ref="F96:F116" si="25">IF($C96=$R$85,E61,0)+IF($C96=$R$84,F61,0)</f>
        <v>0</v>
      </c>
      <c r="G96" s="27">
        <f t="shared" ref="G96:G116" si="26">IF($C96=$R$86,E61,0)+IF($C96=$R$84,G61,0)+IF($C96=$R$85,F61,0)</f>
        <v>0</v>
      </c>
      <c r="H96" s="27">
        <f t="shared" ref="H96:H116" si="27">IF($C96=$R$87,$E61,0)+IF($C96=$R$84,H61,0)+IF($C96=$R$85,G61,0)+IF($C96=$R$86,F61,0)</f>
        <v>0</v>
      </c>
      <c r="I96" s="27">
        <f t="shared" ref="I96:I116" si="28">IF($C96=$R$88,$E61,0)+IF($C96=$R$84,I61,0)+IF($C96=$R$85,H61,0)+IF($C96=$R$86,G61,0)+IF($C96=$R$87,F61,0)</f>
        <v>0</v>
      </c>
      <c r="J96" s="27">
        <f t="shared" ref="J96:J116" si="29">IF($C96=$R$89,$E61,0)+IF($C96=$R$84,J61,0)+IF($C96=$R$85,I61,0)+IF($C96=$R$86,H61,0)+IF($C96=$R$87,G61,0)+IF($C96=$R$88,F61,0)</f>
        <v>0</v>
      </c>
      <c r="K96" s="27">
        <f t="shared" ref="K96:K113" si="30">IF($C96=$R$90,E61,0)+IF($C96=$R$84,K61,0)+IF($C96=$R$85,J61,0)+IF($C96=$R$86,I61,0)+IF($C96=$R$87,H61,0)+IF($C96=$R$88,G61,0)+IF($C96=$R$89,F61,0)</f>
        <v>0</v>
      </c>
      <c r="L96" s="27">
        <f t="shared" ref="L96:L113" si="31">IF($C96=$R$90,F61,0)+IF($C96=$R$84,L61,0)+IF($C96=$R$85,K61,0)+IF($C96=$R$86,J61,0)+IF($C96=$R$87,I61,0)+IF($C96=$R$88,H61,0)+IF($C96=$R$89,G61,0)</f>
        <v>0</v>
      </c>
      <c r="M96" s="27">
        <f t="shared" ref="M96:M113" si="32">IF($C96=$R$90,G61,0)+IF($C96=$R$84,M61,0)+IF($C96=$R$85,L61,0)+IF($C96=$R$86,K61,0)+IF($C96=$R$87,J61,0)+IF($C96=$R$88,I61,0)+IF($C96=$R$89,H61,0)</f>
        <v>0</v>
      </c>
      <c r="N96" s="27">
        <f t="shared" ref="N96:N113" si="33">IF($C96=$R$90,H61,0)+IF($C96=$R$84,N61,0)+IF($C96=$R$85,M61,0)+IF($C96=$R$86,L61,0)+IF($C96=$R$87,K61,0)+IF($C96=$R$88,J61,0)+IF($C96=$R$89,I61,0)</f>
        <v>0</v>
      </c>
      <c r="O96" s="27">
        <f t="shared" ref="O96:O113" si="34">IF($C96=$R$90,I61,0)+IF($C96=$R$84,O61,0)+IF($C96=$R$85,N61,0)+IF($C96=$R$86,M61,0)+IF($C96=$R$87,L61,0)+IF($C96=$R$88,K61,0)+IF($C96=$R$89,J61,0)</f>
        <v>0</v>
      </c>
      <c r="P96" s="61">
        <f t="shared" ref="P96:P113" si="35">IF($C96=$R$90,J61,0)+IF($C96=$R$84,P61,0)+IF($C96=$R$85,O61,0)+IF($C96=$R$86,N61,0)+IF($C96=$R$87,M61,0)+IF($C96=$R$88,L61,0)+IF($C96=$R$89,K61,0)</f>
        <v>0</v>
      </c>
      <c r="Q96" s="27">
        <f t="shared" ref="Q96:Q113" si="36">IF($C96=$R$90,K61,0)+IF($C96=$R$84,Q61,0)+IF($C96=$R$85,P61,0)+IF($C96=$R$86,O61,0)+IF($C96=$R$87,N61,0)+IF($C96=$R$88,M61,0)+IF($C96=$R$89,L61,0)</f>
        <v>0</v>
      </c>
      <c r="R96" s="27">
        <f t="shared" ref="R96:R113" si="37">IF($C96=$R$90,L61,0)+IF($C96=$R$84,R61,0)+IF($C96=$R$85,Q61,0)+IF($C96=$R$86,P61,0)+IF($C96=$R$87,O61,0)+IF($C96=$R$88,N61,0)+IF($C96=$R$89,M61,0)</f>
        <v>0</v>
      </c>
      <c r="S96" s="27">
        <f t="shared" ref="S96:S113" si="38">IF($C96=$R$90,M61,0)+IF($C96=$R$84,S61,0)+IF($C96=$R$85,R61,0)+IF($C96=$R$86,Q61,0)+IF($C96=$R$87,P61,0)+IF($C96=$R$88,O61,0)+IF($C96=$R$89,N61,0)</f>
        <v>0</v>
      </c>
      <c r="T96" s="27">
        <f t="shared" ref="T96:T113" si="39">IF($C96=$R$90,N61,0)+IF($C96=$R$84,T61,0)+IF($C96=$R$85,S61,0)+IF($C96=$R$86,R61,0)+IF($C96=$R$87,Q61,0)+IF($C96=$R$88,P61,0)+IF($C96=$R$89,O61,0)</f>
        <v>0</v>
      </c>
      <c r="U96" s="27">
        <f t="shared" ref="U96:U113" si="40">IF($C96=$R$90,O61,0)+IF($C96=$R$84,U61,0)+IF($C96=$R$85,T61,0)+IF($C96=$R$86,S61,0)+IF($C96=$R$87,R61,0)+IF($C96=$R$88,Q61,0)+IF($C96=$R$89,P61,0)</f>
        <v>0</v>
      </c>
      <c r="V96" s="27">
        <f t="shared" ref="V96:V113" si="41">IF($C96=$R$90,P61,0)+IF($C96=$R$84,V61,0)+IF($C96=$R$85,U61,0)+IF($C96=$R$86,T61,0)+IF($C96=$R$87,S61,0)+IF($C96=$R$88,R61,0)+IF($C96=$R$89,Q61,0)</f>
        <v>0</v>
      </c>
      <c r="W96" s="27">
        <f>SUM(D96:V96)</f>
        <v>0</v>
      </c>
      <c r="X96" s="27" t="str">
        <f>IF(W96=CResult!F118,"OK","ERROR")</f>
        <v>OK</v>
      </c>
      <c r="Y96" s="27">
        <f>SUM(D61:P61)</f>
        <v>0</v>
      </c>
      <c r="Z96" s="27">
        <f>SUM(E96:P96)</f>
        <v>0</v>
      </c>
      <c r="AA96" s="27">
        <f>IF(Y96=0,0,Z96/Y96)</f>
        <v>0</v>
      </c>
      <c r="AB96" s="27">
        <f>+Y96-Z96</f>
        <v>0</v>
      </c>
      <c r="AC96" s="27">
        <f>IF(Y96=0,0,AB96/Y96)</f>
        <v>0</v>
      </c>
    </row>
    <row r="97" spans="2:29" ht="12" hidden="1" customHeight="1" x14ac:dyDescent="0.2">
      <c r="B97" s="60" t="str">
        <f>CResult!$E$119</f>
        <v>gastos de producción o servicio</v>
      </c>
      <c r="C97" s="105" t="str">
        <f>'6'!$F$15</f>
        <v>en el MES</v>
      </c>
      <c r="D97" s="27">
        <f t="shared" ref="D97:D115" si="42">D62</f>
        <v>0</v>
      </c>
      <c r="E97" s="27">
        <f t="shared" ref="E97:E116" si="43">IF($C97=$R$84,E62,0)</f>
        <v>0</v>
      </c>
      <c r="F97" s="27">
        <f t="shared" si="25"/>
        <v>0</v>
      </c>
      <c r="G97" s="27">
        <f t="shared" si="26"/>
        <v>0</v>
      </c>
      <c r="H97" s="27">
        <f t="shared" si="27"/>
        <v>0</v>
      </c>
      <c r="I97" s="27">
        <f t="shared" si="28"/>
        <v>0</v>
      </c>
      <c r="J97" s="27">
        <f t="shared" si="29"/>
        <v>0</v>
      </c>
      <c r="K97" s="27">
        <f t="shared" si="30"/>
        <v>0</v>
      </c>
      <c r="L97" s="27">
        <f t="shared" si="31"/>
        <v>0</v>
      </c>
      <c r="M97" s="27">
        <f t="shared" si="32"/>
        <v>0</v>
      </c>
      <c r="N97" s="27">
        <f t="shared" si="33"/>
        <v>0</v>
      </c>
      <c r="O97" s="27">
        <f t="shared" si="34"/>
        <v>0</v>
      </c>
      <c r="P97" s="61">
        <f t="shared" si="35"/>
        <v>0</v>
      </c>
      <c r="Q97" s="27">
        <f t="shared" si="36"/>
        <v>0</v>
      </c>
      <c r="R97" s="27">
        <f t="shared" si="37"/>
        <v>0</v>
      </c>
      <c r="S97" s="27">
        <f t="shared" si="38"/>
        <v>0</v>
      </c>
      <c r="T97" s="27">
        <f t="shared" si="39"/>
        <v>0</v>
      </c>
      <c r="U97" s="27">
        <f t="shared" si="40"/>
        <v>0</v>
      </c>
      <c r="V97" s="27">
        <f t="shared" si="41"/>
        <v>0</v>
      </c>
      <c r="W97" s="27">
        <f>SUM(D97:V97)</f>
        <v>0</v>
      </c>
      <c r="X97" s="27" t="str">
        <f>IF(W97=CResult!F126,"OK","ERROR")</f>
        <v>OK</v>
      </c>
      <c r="Y97" s="27">
        <f t="shared" ref="Y97:Y115" si="44">SUM(D62:P62)</f>
        <v>0</v>
      </c>
      <c r="Z97" s="27">
        <f t="shared" ref="Z97:Z115" si="45">SUM(E97:P97)</f>
        <v>0</v>
      </c>
      <c r="AA97" s="27">
        <f t="shared" ref="AA97:AA115" si="46">IF(Y97=0,0,Z97/Y97)</f>
        <v>0</v>
      </c>
      <c r="AB97" s="27">
        <f t="shared" ref="AB97:AB115" si="47">+Y97-Z97</f>
        <v>0</v>
      </c>
      <c r="AC97" s="27">
        <f t="shared" ref="AC97:AC115" si="48">IF(Y97=0,0,AB97/Y97)</f>
        <v>0</v>
      </c>
    </row>
    <row r="98" spans="2:29" ht="12" hidden="1" customHeight="1" x14ac:dyDescent="0.2">
      <c r="B98" s="60" t="str">
        <f>CResult!$E$127</f>
        <v>variables de producción o servicio</v>
      </c>
      <c r="C98" s="105" t="str">
        <f>'6'!$F$15</f>
        <v>en el MES</v>
      </c>
      <c r="D98" s="27">
        <f t="shared" si="42"/>
        <v>0</v>
      </c>
      <c r="E98" s="27">
        <f t="shared" si="43"/>
        <v>0</v>
      </c>
      <c r="F98" s="27">
        <f t="shared" si="25"/>
        <v>0</v>
      </c>
      <c r="G98" s="27">
        <f t="shared" si="26"/>
        <v>0</v>
      </c>
      <c r="H98" s="27">
        <f t="shared" si="27"/>
        <v>0</v>
      </c>
      <c r="I98" s="27">
        <f t="shared" si="28"/>
        <v>0</v>
      </c>
      <c r="J98" s="27">
        <f t="shared" si="29"/>
        <v>0</v>
      </c>
      <c r="K98" s="27">
        <f t="shared" si="30"/>
        <v>0</v>
      </c>
      <c r="L98" s="27">
        <f t="shared" si="31"/>
        <v>0</v>
      </c>
      <c r="M98" s="27">
        <f t="shared" si="32"/>
        <v>0</v>
      </c>
      <c r="N98" s="27">
        <f t="shared" si="33"/>
        <v>0</v>
      </c>
      <c r="O98" s="27">
        <f t="shared" si="34"/>
        <v>0</v>
      </c>
      <c r="P98" s="61">
        <f t="shared" si="35"/>
        <v>0</v>
      </c>
      <c r="Q98" s="27">
        <f t="shared" si="36"/>
        <v>0</v>
      </c>
      <c r="R98" s="27">
        <f t="shared" si="37"/>
        <v>0</v>
      </c>
      <c r="S98" s="27">
        <f t="shared" si="38"/>
        <v>0</v>
      </c>
      <c r="T98" s="27">
        <f t="shared" si="39"/>
        <v>0</v>
      </c>
      <c r="U98" s="27">
        <f t="shared" si="40"/>
        <v>0</v>
      </c>
      <c r="V98" s="27">
        <f t="shared" si="41"/>
        <v>0</v>
      </c>
      <c r="W98" s="27">
        <f t="shared" ref="W98:W115" si="49">SUM(D98:V98)</f>
        <v>0</v>
      </c>
      <c r="X98" s="27" t="str">
        <f>IF(W98=CResult!F131,"OK","ERROR")</f>
        <v>OK</v>
      </c>
      <c r="Y98" s="27">
        <f t="shared" si="44"/>
        <v>0</v>
      </c>
      <c r="Z98" s="27">
        <f t="shared" si="45"/>
        <v>0</v>
      </c>
      <c r="AA98" s="27">
        <f t="shared" si="46"/>
        <v>0</v>
      </c>
      <c r="AB98" s="27">
        <f t="shared" si="47"/>
        <v>0</v>
      </c>
      <c r="AC98" s="27">
        <f t="shared" si="48"/>
        <v>0</v>
      </c>
    </row>
    <row r="99" spans="2:29" ht="12" hidden="1" customHeight="1" x14ac:dyDescent="0.2">
      <c r="B99" s="60" t="str">
        <f>CResult!$E$132</f>
        <v xml:space="preserve">Publicidad </v>
      </c>
      <c r="C99" s="105" t="str">
        <f>'6'!$F$15</f>
        <v>en el MES</v>
      </c>
      <c r="D99" s="27">
        <f t="shared" si="42"/>
        <v>0</v>
      </c>
      <c r="E99" s="27">
        <f t="shared" si="43"/>
        <v>0</v>
      </c>
      <c r="F99" s="27">
        <f t="shared" si="25"/>
        <v>0</v>
      </c>
      <c r="G99" s="27">
        <f t="shared" si="26"/>
        <v>0</v>
      </c>
      <c r="H99" s="27">
        <f t="shared" si="27"/>
        <v>0</v>
      </c>
      <c r="I99" s="27">
        <f t="shared" si="28"/>
        <v>0</v>
      </c>
      <c r="J99" s="27">
        <f t="shared" si="29"/>
        <v>0</v>
      </c>
      <c r="K99" s="27">
        <f t="shared" si="30"/>
        <v>0</v>
      </c>
      <c r="L99" s="27">
        <f t="shared" si="31"/>
        <v>0</v>
      </c>
      <c r="M99" s="27">
        <f t="shared" si="32"/>
        <v>0</v>
      </c>
      <c r="N99" s="27">
        <f t="shared" si="33"/>
        <v>0</v>
      </c>
      <c r="O99" s="27">
        <f t="shared" si="34"/>
        <v>0</v>
      </c>
      <c r="P99" s="61">
        <f t="shared" si="35"/>
        <v>0</v>
      </c>
      <c r="Q99" s="27">
        <f t="shared" si="36"/>
        <v>0</v>
      </c>
      <c r="R99" s="27">
        <f t="shared" si="37"/>
        <v>0</v>
      </c>
      <c r="S99" s="27">
        <f t="shared" si="38"/>
        <v>0</v>
      </c>
      <c r="T99" s="27">
        <f t="shared" si="39"/>
        <v>0</v>
      </c>
      <c r="U99" s="27">
        <f t="shared" si="40"/>
        <v>0</v>
      </c>
      <c r="V99" s="27">
        <f t="shared" si="41"/>
        <v>0</v>
      </c>
      <c r="W99" s="27">
        <f t="shared" si="49"/>
        <v>0</v>
      </c>
      <c r="X99" s="27" t="str">
        <f>IF(W99=CResult!F137,"OK","ERROR")</f>
        <v>OK</v>
      </c>
      <c r="Y99" s="27">
        <f t="shared" si="44"/>
        <v>0</v>
      </c>
      <c r="Z99" s="27">
        <f t="shared" si="45"/>
        <v>0</v>
      </c>
      <c r="AA99" s="27">
        <f t="shared" si="46"/>
        <v>0</v>
      </c>
      <c r="AB99" s="27">
        <f t="shared" si="47"/>
        <v>0</v>
      </c>
      <c r="AC99" s="27">
        <f t="shared" si="48"/>
        <v>0</v>
      </c>
    </row>
    <row r="100" spans="2:29" ht="12" hidden="1" customHeight="1" x14ac:dyDescent="0.2">
      <c r="B100" s="60" t="str">
        <f>CResult!$E$138</f>
        <v>otros gastos de marketing</v>
      </c>
      <c r="C100" s="105" t="str">
        <f>'6'!$F$15</f>
        <v>en el MES</v>
      </c>
      <c r="D100" s="27">
        <f t="shared" si="42"/>
        <v>0</v>
      </c>
      <c r="E100" s="27">
        <f t="shared" si="43"/>
        <v>0</v>
      </c>
      <c r="F100" s="27">
        <f t="shared" si="25"/>
        <v>0</v>
      </c>
      <c r="G100" s="27">
        <f t="shared" si="26"/>
        <v>0</v>
      </c>
      <c r="H100" s="27">
        <f t="shared" si="27"/>
        <v>0</v>
      </c>
      <c r="I100" s="27">
        <f t="shared" si="28"/>
        <v>0</v>
      </c>
      <c r="J100" s="27">
        <f t="shared" si="29"/>
        <v>0</v>
      </c>
      <c r="K100" s="27">
        <f t="shared" si="30"/>
        <v>0</v>
      </c>
      <c r="L100" s="27">
        <f t="shared" si="31"/>
        <v>0</v>
      </c>
      <c r="M100" s="27">
        <f t="shared" si="32"/>
        <v>0</v>
      </c>
      <c r="N100" s="27">
        <f t="shared" si="33"/>
        <v>0</v>
      </c>
      <c r="O100" s="27">
        <f t="shared" si="34"/>
        <v>0</v>
      </c>
      <c r="P100" s="61">
        <f t="shared" si="35"/>
        <v>0</v>
      </c>
      <c r="Q100" s="27">
        <f t="shared" si="36"/>
        <v>0</v>
      </c>
      <c r="R100" s="27">
        <f t="shared" si="37"/>
        <v>0</v>
      </c>
      <c r="S100" s="27">
        <f t="shared" si="38"/>
        <v>0</v>
      </c>
      <c r="T100" s="27">
        <f t="shared" si="39"/>
        <v>0</v>
      </c>
      <c r="U100" s="27">
        <f t="shared" si="40"/>
        <v>0</v>
      </c>
      <c r="V100" s="27">
        <f t="shared" si="41"/>
        <v>0</v>
      </c>
      <c r="W100" s="27">
        <f t="shared" si="49"/>
        <v>0</v>
      </c>
      <c r="X100" s="27" t="str">
        <f>IF(W100=CResult!F143,"OK","ERROR")</f>
        <v>OK</v>
      </c>
      <c r="Y100" s="27">
        <f t="shared" si="44"/>
        <v>0</v>
      </c>
      <c r="Z100" s="27">
        <f t="shared" si="45"/>
        <v>0</v>
      </c>
      <c r="AA100" s="27">
        <f t="shared" si="46"/>
        <v>0</v>
      </c>
      <c r="AB100" s="27">
        <f t="shared" si="47"/>
        <v>0</v>
      </c>
      <c r="AC100" s="27">
        <f t="shared" si="48"/>
        <v>0</v>
      </c>
    </row>
    <row r="101" spans="2:29" ht="12" hidden="1" customHeight="1" x14ac:dyDescent="0.2">
      <c r="B101" s="60" t="str">
        <f>CResult!$E$144</f>
        <v>gastos de ventas</v>
      </c>
      <c r="C101" s="105" t="str">
        <f>'6'!$F$15</f>
        <v>en el MES</v>
      </c>
      <c r="D101" s="27">
        <f t="shared" si="42"/>
        <v>0</v>
      </c>
      <c r="E101" s="27">
        <f t="shared" si="43"/>
        <v>0</v>
      </c>
      <c r="F101" s="27">
        <f t="shared" si="25"/>
        <v>0</v>
      </c>
      <c r="G101" s="27">
        <f t="shared" si="26"/>
        <v>0</v>
      </c>
      <c r="H101" s="27">
        <f t="shared" si="27"/>
        <v>0</v>
      </c>
      <c r="I101" s="27">
        <f t="shared" si="28"/>
        <v>0</v>
      </c>
      <c r="J101" s="27">
        <f t="shared" si="29"/>
        <v>0</v>
      </c>
      <c r="K101" s="27">
        <f t="shared" si="30"/>
        <v>0</v>
      </c>
      <c r="L101" s="27">
        <f t="shared" si="31"/>
        <v>0</v>
      </c>
      <c r="M101" s="27">
        <f t="shared" si="32"/>
        <v>0</v>
      </c>
      <c r="N101" s="27">
        <f t="shared" si="33"/>
        <v>0</v>
      </c>
      <c r="O101" s="27">
        <f t="shared" si="34"/>
        <v>0</v>
      </c>
      <c r="P101" s="61">
        <f t="shared" si="35"/>
        <v>0</v>
      </c>
      <c r="Q101" s="27">
        <f t="shared" si="36"/>
        <v>0</v>
      </c>
      <c r="R101" s="27">
        <f t="shared" si="37"/>
        <v>0</v>
      </c>
      <c r="S101" s="27">
        <f t="shared" si="38"/>
        <v>0</v>
      </c>
      <c r="T101" s="27">
        <f t="shared" si="39"/>
        <v>0</v>
      </c>
      <c r="U101" s="27">
        <f t="shared" si="40"/>
        <v>0</v>
      </c>
      <c r="V101" s="27">
        <f t="shared" si="41"/>
        <v>0</v>
      </c>
      <c r="W101" s="27">
        <f t="shared" si="49"/>
        <v>0</v>
      </c>
      <c r="X101" s="27" t="str">
        <f>IF(W101=CResult!F148,"OK","ERROR")</f>
        <v>OK</v>
      </c>
      <c r="Y101" s="27">
        <f t="shared" si="44"/>
        <v>0</v>
      </c>
      <c r="Z101" s="27">
        <f t="shared" si="45"/>
        <v>0</v>
      </c>
      <c r="AA101" s="27">
        <f t="shared" si="46"/>
        <v>0</v>
      </c>
      <c r="AB101" s="27">
        <f t="shared" si="47"/>
        <v>0</v>
      </c>
      <c r="AC101" s="27">
        <f t="shared" si="48"/>
        <v>0</v>
      </c>
    </row>
    <row r="102" spans="2:29" ht="12" hidden="1" customHeight="1" x14ac:dyDescent="0.2">
      <c r="B102" s="60" t="str">
        <f>CResult!$E$149</f>
        <v>gastos variables de ventas</v>
      </c>
      <c r="C102" s="105" t="str">
        <f>'6'!$F$15</f>
        <v>en el MES</v>
      </c>
      <c r="D102" s="27">
        <f t="shared" si="42"/>
        <v>0</v>
      </c>
      <c r="E102" s="27">
        <f t="shared" si="43"/>
        <v>0</v>
      </c>
      <c r="F102" s="27">
        <f t="shared" si="25"/>
        <v>0</v>
      </c>
      <c r="G102" s="27">
        <f t="shared" si="26"/>
        <v>0</v>
      </c>
      <c r="H102" s="27">
        <f t="shared" si="27"/>
        <v>0</v>
      </c>
      <c r="I102" s="27">
        <f t="shared" si="28"/>
        <v>0</v>
      </c>
      <c r="J102" s="27">
        <f t="shared" si="29"/>
        <v>0</v>
      </c>
      <c r="K102" s="27">
        <f t="shared" si="30"/>
        <v>0</v>
      </c>
      <c r="L102" s="27">
        <f t="shared" si="31"/>
        <v>0</v>
      </c>
      <c r="M102" s="27">
        <f t="shared" si="32"/>
        <v>0</v>
      </c>
      <c r="N102" s="27">
        <f t="shared" si="33"/>
        <v>0</v>
      </c>
      <c r="O102" s="27">
        <f t="shared" si="34"/>
        <v>0</v>
      </c>
      <c r="P102" s="61">
        <f t="shared" si="35"/>
        <v>0</v>
      </c>
      <c r="Q102" s="27">
        <f t="shared" si="36"/>
        <v>0</v>
      </c>
      <c r="R102" s="27">
        <f t="shared" si="37"/>
        <v>0</v>
      </c>
      <c r="S102" s="27">
        <f t="shared" si="38"/>
        <v>0</v>
      </c>
      <c r="T102" s="27">
        <f t="shared" si="39"/>
        <v>0</v>
      </c>
      <c r="U102" s="27">
        <f t="shared" si="40"/>
        <v>0</v>
      </c>
      <c r="V102" s="27">
        <f t="shared" si="41"/>
        <v>0</v>
      </c>
      <c r="W102" s="27">
        <f t="shared" si="49"/>
        <v>0</v>
      </c>
      <c r="X102" s="27" t="str">
        <f>IF(W102=CResult!F153,"OK","ERROR")</f>
        <v>OK</v>
      </c>
      <c r="Y102" s="27">
        <f t="shared" si="44"/>
        <v>0</v>
      </c>
      <c r="Z102" s="27">
        <f t="shared" si="45"/>
        <v>0</v>
      </c>
      <c r="AA102" s="27">
        <f t="shared" si="46"/>
        <v>0</v>
      </c>
      <c r="AB102" s="27">
        <f t="shared" si="47"/>
        <v>0</v>
      </c>
      <c r="AC102" s="27">
        <f t="shared" si="48"/>
        <v>0</v>
      </c>
    </row>
    <row r="103" spans="2:29" ht="12" hidden="1" customHeight="1" x14ac:dyDescent="0.2">
      <c r="B103" s="60" t="str">
        <f>CResult!$E$155</f>
        <v>Gastos I+D</v>
      </c>
      <c r="C103" s="105" t="str">
        <f>'6'!$F$15</f>
        <v>en el MES</v>
      </c>
      <c r="D103" s="27">
        <f t="shared" si="42"/>
        <v>0</v>
      </c>
      <c r="E103" s="27">
        <f t="shared" si="43"/>
        <v>0</v>
      </c>
      <c r="F103" s="27">
        <f t="shared" si="25"/>
        <v>0</v>
      </c>
      <c r="G103" s="27">
        <f t="shared" si="26"/>
        <v>0</v>
      </c>
      <c r="H103" s="27">
        <f t="shared" si="27"/>
        <v>0</v>
      </c>
      <c r="I103" s="27">
        <f t="shared" si="28"/>
        <v>0</v>
      </c>
      <c r="J103" s="27">
        <f t="shared" si="29"/>
        <v>0</v>
      </c>
      <c r="K103" s="27">
        <f t="shared" si="30"/>
        <v>0</v>
      </c>
      <c r="L103" s="27">
        <f t="shared" si="31"/>
        <v>0</v>
      </c>
      <c r="M103" s="27">
        <f t="shared" si="32"/>
        <v>0</v>
      </c>
      <c r="N103" s="27">
        <f t="shared" si="33"/>
        <v>0</v>
      </c>
      <c r="O103" s="27">
        <f t="shared" si="34"/>
        <v>0</v>
      </c>
      <c r="P103" s="61">
        <f t="shared" si="35"/>
        <v>0</v>
      </c>
      <c r="Q103" s="27">
        <f t="shared" si="36"/>
        <v>0</v>
      </c>
      <c r="R103" s="27">
        <f t="shared" si="37"/>
        <v>0</v>
      </c>
      <c r="S103" s="27">
        <f t="shared" si="38"/>
        <v>0</v>
      </c>
      <c r="T103" s="27">
        <f t="shared" si="39"/>
        <v>0</v>
      </c>
      <c r="U103" s="27">
        <f t="shared" si="40"/>
        <v>0</v>
      </c>
      <c r="V103" s="27">
        <f t="shared" si="41"/>
        <v>0</v>
      </c>
      <c r="W103" s="27">
        <f t="shared" si="49"/>
        <v>0</v>
      </c>
      <c r="X103" s="27" t="str">
        <f>IF(W103=CResult!F158,"OK","ERROR")</f>
        <v>OK</v>
      </c>
      <c r="Y103" s="27">
        <f t="shared" si="44"/>
        <v>0</v>
      </c>
      <c r="Z103" s="27">
        <f t="shared" si="45"/>
        <v>0</v>
      </c>
      <c r="AA103" s="27">
        <f t="shared" si="46"/>
        <v>0</v>
      </c>
      <c r="AB103" s="27">
        <f t="shared" si="47"/>
        <v>0</v>
      </c>
      <c r="AC103" s="27">
        <f t="shared" si="48"/>
        <v>0</v>
      </c>
    </row>
    <row r="104" spans="2:29" ht="12" hidden="1" customHeight="1" x14ac:dyDescent="0.2">
      <c r="B104" s="60" t="str">
        <f>CResult!$E$159</f>
        <v>Arrendamientos</v>
      </c>
      <c r="C104" s="105" t="str">
        <f>'6'!F16</f>
        <v>en el MES</v>
      </c>
      <c r="D104" s="27">
        <f t="shared" si="42"/>
        <v>0</v>
      </c>
      <c r="E104" s="27">
        <f t="shared" si="43"/>
        <v>0</v>
      </c>
      <c r="F104" s="27">
        <f t="shared" si="25"/>
        <v>0</v>
      </c>
      <c r="G104" s="27">
        <f t="shared" si="26"/>
        <v>0</v>
      </c>
      <c r="H104" s="27">
        <f t="shared" si="27"/>
        <v>0</v>
      </c>
      <c r="I104" s="27">
        <f t="shared" si="28"/>
        <v>0</v>
      </c>
      <c r="J104" s="27">
        <f t="shared" si="29"/>
        <v>0</v>
      </c>
      <c r="K104" s="27">
        <f t="shared" si="30"/>
        <v>0</v>
      </c>
      <c r="L104" s="27">
        <f t="shared" si="31"/>
        <v>0</v>
      </c>
      <c r="M104" s="27">
        <f t="shared" si="32"/>
        <v>0</v>
      </c>
      <c r="N104" s="27">
        <f t="shared" si="33"/>
        <v>0</v>
      </c>
      <c r="O104" s="27">
        <f t="shared" si="34"/>
        <v>0</v>
      </c>
      <c r="P104" s="61">
        <f t="shared" si="35"/>
        <v>0</v>
      </c>
      <c r="Q104" s="27">
        <f t="shared" si="36"/>
        <v>0</v>
      </c>
      <c r="R104" s="27">
        <f t="shared" si="37"/>
        <v>0</v>
      </c>
      <c r="S104" s="27">
        <f t="shared" si="38"/>
        <v>0</v>
      </c>
      <c r="T104" s="27">
        <f t="shared" si="39"/>
        <v>0</v>
      </c>
      <c r="U104" s="27">
        <f t="shared" si="40"/>
        <v>0</v>
      </c>
      <c r="V104" s="27">
        <f t="shared" si="41"/>
        <v>0</v>
      </c>
      <c r="W104" s="27">
        <f t="shared" si="49"/>
        <v>0</v>
      </c>
      <c r="X104" s="27" t="str">
        <f>IF(W104=CResult!F162,"OK","ERROR")</f>
        <v>OK</v>
      </c>
      <c r="Y104" s="27">
        <f t="shared" si="44"/>
        <v>0</v>
      </c>
      <c r="Z104" s="27">
        <f t="shared" si="45"/>
        <v>0</v>
      </c>
      <c r="AA104" s="27">
        <f t="shared" si="46"/>
        <v>0</v>
      </c>
      <c r="AB104" s="27">
        <f t="shared" si="47"/>
        <v>0</v>
      </c>
      <c r="AC104" s="27">
        <f t="shared" si="48"/>
        <v>0</v>
      </c>
    </row>
    <row r="105" spans="2:29" ht="12" hidden="1" customHeight="1" x14ac:dyDescent="0.2">
      <c r="B105" s="60" t="str">
        <f>CResult!$E$163</f>
        <v>Conservación</v>
      </c>
      <c r="C105" s="105" t="str">
        <f>'6'!$F$15</f>
        <v>en el MES</v>
      </c>
      <c r="D105" s="27">
        <f t="shared" si="42"/>
        <v>0</v>
      </c>
      <c r="E105" s="27">
        <f t="shared" si="43"/>
        <v>0</v>
      </c>
      <c r="F105" s="27">
        <f t="shared" si="25"/>
        <v>0</v>
      </c>
      <c r="G105" s="27">
        <f t="shared" si="26"/>
        <v>0</v>
      </c>
      <c r="H105" s="27">
        <f t="shared" si="27"/>
        <v>0</v>
      </c>
      <c r="I105" s="27">
        <f t="shared" si="28"/>
        <v>0</v>
      </c>
      <c r="J105" s="27">
        <f t="shared" si="29"/>
        <v>0</v>
      </c>
      <c r="K105" s="27">
        <f t="shared" si="30"/>
        <v>0</v>
      </c>
      <c r="L105" s="27">
        <f t="shared" si="31"/>
        <v>0</v>
      </c>
      <c r="M105" s="27">
        <f t="shared" si="32"/>
        <v>0</v>
      </c>
      <c r="N105" s="27">
        <f t="shared" si="33"/>
        <v>0</v>
      </c>
      <c r="O105" s="27">
        <f t="shared" si="34"/>
        <v>0</v>
      </c>
      <c r="P105" s="61">
        <f t="shared" si="35"/>
        <v>0</v>
      </c>
      <c r="Q105" s="27">
        <f t="shared" si="36"/>
        <v>0</v>
      </c>
      <c r="R105" s="27">
        <f t="shared" si="37"/>
        <v>0</v>
      </c>
      <c r="S105" s="27">
        <f t="shared" si="38"/>
        <v>0</v>
      </c>
      <c r="T105" s="27">
        <f t="shared" si="39"/>
        <v>0</v>
      </c>
      <c r="U105" s="27">
        <f t="shared" si="40"/>
        <v>0</v>
      </c>
      <c r="V105" s="27">
        <f t="shared" si="41"/>
        <v>0</v>
      </c>
      <c r="W105" s="27">
        <f t="shared" si="49"/>
        <v>0</v>
      </c>
      <c r="X105" s="27" t="str">
        <f>IF(W105=CResult!F166,"OK","ERROR")</f>
        <v>OK</v>
      </c>
      <c r="Y105" s="27">
        <f t="shared" si="44"/>
        <v>0</v>
      </c>
      <c r="Z105" s="27">
        <f t="shared" si="45"/>
        <v>0</v>
      </c>
      <c r="AA105" s="27">
        <f t="shared" si="46"/>
        <v>0</v>
      </c>
      <c r="AB105" s="27">
        <f t="shared" si="47"/>
        <v>0</v>
      </c>
      <c r="AC105" s="27">
        <f t="shared" si="48"/>
        <v>0</v>
      </c>
    </row>
    <row r="106" spans="2:29" ht="12" hidden="1" customHeight="1" x14ac:dyDescent="0.2">
      <c r="B106" s="60" t="str">
        <f>CResult!$E$167</f>
        <v>S. Profesionales</v>
      </c>
      <c r="C106" s="105" t="str">
        <f>'6'!$F$15</f>
        <v>en el MES</v>
      </c>
      <c r="D106" s="27">
        <f t="shared" si="42"/>
        <v>0</v>
      </c>
      <c r="E106" s="27">
        <f t="shared" si="43"/>
        <v>0</v>
      </c>
      <c r="F106" s="27">
        <f t="shared" si="25"/>
        <v>0</v>
      </c>
      <c r="G106" s="27">
        <f t="shared" si="26"/>
        <v>0</v>
      </c>
      <c r="H106" s="27">
        <f t="shared" si="27"/>
        <v>0</v>
      </c>
      <c r="I106" s="27">
        <f t="shared" si="28"/>
        <v>0</v>
      </c>
      <c r="J106" s="27">
        <f t="shared" si="29"/>
        <v>0</v>
      </c>
      <c r="K106" s="27">
        <f t="shared" si="30"/>
        <v>0</v>
      </c>
      <c r="L106" s="27">
        <f t="shared" si="31"/>
        <v>0</v>
      </c>
      <c r="M106" s="27">
        <f t="shared" si="32"/>
        <v>0</v>
      </c>
      <c r="N106" s="27">
        <f t="shared" si="33"/>
        <v>0</v>
      </c>
      <c r="O106" s="27">
        <f t="shared" si="34"/>
        <v>0</v>
      </c>
      <c r="P106" s="61">
        <f t="shared" si="35"/>
        <v>0</v>
      </c>
      <c r="Q106" s="27">
        <f t="shared" si="36"/>
        <v>0</v>
      </c>
      <c r="R106" s="27">
        <f t="shared" si="37"/>
        <v>0</v>
      </c>
      <c r="S106" s="27">
        <f t="shared" si="38"/>
        <v>0</v>
      </c>
      <c r="T106" s="27">
        <f t="shared" si="39"/>
        <v>0</v>
      </c>
      <c r="U106" s="27">
        <f t="shared" si="40"/>
        <v>0</v>
      </c>
      <c r="V106" s="27">
        <f t="shared" si="41"/>
        <v>0</v>
      </c>
      <c r="W106" s="27">
        <f t="shared" si="49"/>
        <v>0</v>
      </c>
      <c r="X106" s="27" t="str">
        <f>IF(W106=CResult!F170,"OK","ERROR")</f>
        <v>OK</v>
      </c>
      <c r="Y106" s="27">
        <f t="shared" si="44"/>
        <v>0</v>
      </c>
      <c r="Z106" s="27">
        <f t="shared" si="45"/>
        <v>0</v>
      </c>
      <c r="AA106" s="27">
        <f t="shared" si="46"/>
        <v>0</v>
      </c>
      <c r="AB106" s="27">
        <f t="shared" si="47"/>
        <v>0</v>
      </c>
      <c r="AC106" s="27">
        <f t="shared" si="48"/>
        <v>0</v>
      </c>
    </row>
    <row r="107" spans="2:29" ht="12" hidden="1" customHeight="1" x14ac:dyDescent="0.2">
      <c r="B107" s="60" t="str">
        <f>INFORME!$D$119</f>
        <v>Tributos</v>
      </c>
      <c r="C107" s="105" t="str">
        <f>'6'!F17</f>
        <v>en el MES</v>
      </c>
      <c r="D107" s="27">
        <f t="shared" si="42"/>
        <v>0</v>
      </c>
      <c r="E107" s="27">
        <f t="shared" si="43"/>
        <v>0</v>
      </c>
      <c r="F107" s="27">
        <f t="shared" si="25"/>
        <v>0</v>
      </c>
      <c r="G107" s="27">
        <f t="shared" si="26"/>
        <v>0</v>
      </c>
      <c r="H107" s="27">
        <f t="shared" si="27"/>
        <v>0</v>
      </c>
      <c r="I107" s="27">
        <f t="shared" si="28"/>
        <v>0</v>
      </c>
      <c r="J107" s="27">
        <f t="shared" si="29"/>
        <v>0</v>
      </c>
      <c r="K107" s="27">
        <f t="shared" si="30"/>
        <v>0</v>
      </c>
      <c r="L107" s="27">
        <f t="shared" si="31"/>
        <v>0</v>
      </c>
      <c r="M107" s="27">
        <f t="shared" si="32"/>
        <v>0</v>
      </c>
      <c r="N107" s="27">
        <f t="shared" si="33"/>
        <v>0</v>
      </c>
      <c r="O107" s="27">
        <f t="shared" si="34"/>
        <v>0</v>
      </c>
      <c r="P107" s="61">
        <f t="shared" si="35"/>
        <v>0</v>
      </c>
      <c r="Q107" s="27">
        <f t="shared" si="36"/>
        <v>0</v>
      </c>
      <c r="R107" s="27">
        <f t="shared" si="37"/>
        <v>0</v>
      </c>
      <c r="S107" s="27">
        <f t="shared" si="38"/>
        <v>0</v>
      </c>
      <c r="T107" s="27">
        <f t="shared" si="39"/>
        <v>0</v>
      </c>
      <c r="U107" s="27">
        <f t="shared" si="40"/>
        <v>0</v>
      </c>
      <c r="V107" s="27">
        <f t="shared" si="41"/>
        <v>0</v>
      </c>
      <c r="W107" s="27">
        <f>SUM(D107:V107)</f>
        <v>0</v>
      </c>
      <c r="X107" s="27" t="str">
        <f>IF(W107=INFORME!E119,"OK","ERROR")</f>
        <v>OK</v>
      </c>
      <c r="Y107" s="27">
        <f t="shared" si="44"/>
        <v>0</v>
      </c>
      <c r="Z107" s="27">
        <f t="shared" si="45"/>
        <v>0</v>
      </c>
      <c r="AA107" s="27">
        <f t="shared" si="46"/>
        <v>0</v>
      </c>
      <c r="AB107" s="27">
        <f t="shared" si="47"/>
        <v>0</v>
      </c>
      <c r="AC107" s="27">
        <f t="shared" si="48"/>
        <v>0</v>
      </c>
    </row>
    <row r="108" spans="2:29" ht="12" hidden="1" customHeight="1" x14ac:dyDescent="0.2">
      <c r="B108" s="60" t="str">
        <f>CResult!$E$171</f>
        <v>Seguros</v>
      </c>
      <c r="C108" s="105" t="str">
        <f>'6'!F18</f>
        <v>en el MES</v>
      </c>
      <c r="D108" s="27">
        <f t="shared" si="42"/>
        <v>0</v>
      </c>
      <c r="E108" s="27">
        <f t="shared" si="43"/>
        <v>0</v>
      </c>
      <c r="F108" s="27">
        <f t="shared" si="25"/>
        <v>0</v>
      </c>
      <c r="G108" s="27">
        <f t="shared" si="26"/>
        <v>0</v>
      </c>
      <c r="H108" s="27">
        <f t="shared" si="27"/>
        <v>0</v>
      </c>
      <c r="I108" s="27">
        <f t="shared" si="28"/>
        <v>0</v>
      </c>
      <c r="J108" s="27">
        <f t="shared" si="29"/>
        <v>0</v>
      </c>
      <c r="K108" s="27">
        <f t="shared" si="30"/>
        <v>0</v>
      </c>
      <c r="L108" s="27">
        <f t="shared" si="31"/>
        <v>0</v>
      </c>
      <c r="M108" s="27">
        <f t="shared" si="32"/>
        <v>0</v>
      </c>
      <c r="N108" s="27">
        <f t="shared" si="33"/>
        <v>0</v>
      </c>
      <c r="O108" s="27">
        <f t="shared" si="34"/>
        <v>0</v>
      </c>
      <c r="P108" s="61">
        <f t="shared" si="35"/>
        <v>0</v>
      </c>
      <c r="Q108" s="27">
        <f t="shared" si="36"/>
        <v>0</v>
      </c>
      <c r="R108" s="27">
        <f t="shared" si="37"/>
        <v>0</v>
      </c>
      <c r="S108" s="27">
        <f t="shared" si="38"/>
        <v>0</v>
      </c>
      <c r="T108" s="27">
        <f t="shared" si="39"/>
        <v>0</v>
      </c>
      <c r="U108" s="27">
        <f t="shared" si="40"/>
        <v>0</v>
      </c>
      <c r="V108" s="27">
        <f t="shared" si="41"/>
        <v>0</v>
      </c>
      <c r="W108" s="27">
        <f t="shared" si="49"/>
        <v>0</v>
      </c>
      <c r="X108" s="27" t="str">
        <f>IF(W108=CResult!F174,"OK","ERROR")</f>
        <v>OK</v>
      </c>
      <c r="Y108" s="27">
        <f t="shared" si="44"/>
        <v>0</v>
      </c>
      <c r="Z108" s="27">
        <f t="shared" si="45"/>
        <v>0</v>
      </c>
      <c r="AA108" s="27">
        <f t="shared" si="46"/>
        <v>0</v>
      </c>
      <c r="AB108" s="27">
        <f t="shared" si="47"/>
        <v>0</v>
      </c>
      <c r="AC108" s="27">
        <f t="shared" si="48"/>
        <v>0</v>
      </c>
    </row>
    <row r="109" spans="2:29" ht="12" hidden="1" customHeight="1" x14ac:dyDescent="0.2">
      <c r="B109" s="60" t="str">
        <f>CResult!$E$175</f>
        <v>Otros servicios</v>
      </c>
      <c r="C109" s="105" t="str">
        <f>'6'!$F$15</f>
        <v>en el MES</v>
      </c>
      <c r="D109" s="27">
        <f t="shared" si="42"/>
        <v>0</v>
      </c>
      <c r="E109" s="27">
        <f t="shared" si="43"/>
        <v>0</v>
      </c>
      <c r="F109" s="27">
        <f t="shared" si="25"/>
        <v>0</v>
      </c>
      <c r="G109" s="27">
        <f t="shared" si="26"/>
        <v>0</v>
      </c>
      <c r="H109" s="27">
        <f t="shared" si="27"/>
        <v>0</v>
      </c>
      <c r="I109" s="27">
        <f t="shared" si="28"/>
        <v>0</v>
      </c>
      <c r="J109" s="27">
        <f t="shared" si="29"/>
        <v>0</v>
      </c>
      <c r="K109" s="27">
        <f t="shared" si="30"/>
        <v>0</v>
      </c>
      <c r="L109" s="27">
        <f t="shared" si="31"/>
        <v>0</v>
      </c>
      <c r="M109" s="27">
        <f t="shared" si="32"/>
        <v>0</v>
      </c>
      <c r="N109" s="27">
        <f t="shared" si="33"/>
        <v>0</v>
      </c>
      <c r="O109" s="27">
        <f t="shared" si="34"/>
        <v>0</v>
      </c>
      <c r="P109" s="61">
        <f t="shared" si="35"/>
        <v>0</v>
      </c>
      <c r="Q109" s="27">
        <f t="shared" si="36"/>
        <v>0</v>
      </c>
      <c r="R109" s="27">
        <f t="shared" si="37"/>
        <v>0</v>
      </c>
      <c r="S109" s="27">
        <f t="shared" si="38"/>
        <v>0</v>
      </c>
      <c r="T109" s="27">
        <f t="shared" si="39"/>
        <v>0</v>
      </c>
      <c r="U109" s="27">
        <f t="shared" si="40"/>
        <v>0</v>
      </c>
      <c r="V109" s="27">
        <f t="shared" si="41"/>
        <v>0</v>
      </c>
      <c r="W109" s="27">
        <f t="shared" si="49"/>
        <v>0</v>
      </c>
      <c r="X109" s="27" t="str">
        <f>IF(W109=CResult!F178,"OK","ERROR")</f>
        <v>OK</v>
      </c>
      <c r="Y109" s="27">
        <f t="shared" si="44"/>
        <v>0</v>
      </c>
      <c r="Z109" s="27">
        <f t="shared" si="45"/>
        <v>0</v>
      </c>
      <c r="AA109" s="27">
        <f t="shared" si="46"/>
        <v>0</v>
      </c>
      <c r="AB109" s="27">
        <f t="shared" si="47"/>
        <v>0</v>
      </c>
      <c r="AC109" s="27">
        <f t="shared" si="48"/>
        <v>0</v>
      </c>
    </row>
    <row r="110" spans="2:29" ht="12" hidden="1" customHeight="1" x14ac:dyDescent="0.2">
      <c r="B110" s="60" t="str">
        <f>CResult!$E$179</f>
        <v>Suministros</v>
      </c>
      <c r="C110" s="105" t="str">
        <f>'6'!F19</f>
        <v>en el MES</v>
      </c>
      <c r="D110" s="27">
        <f t="shared" si="42"/>
        <v>0</v>
      </c>
      <c r="E110" s="27">
        <f t="shared" si="43"/>
        <v>0</v>
      </c>
      <c r="F110" s="27">
        <f t="shared" si="25"/>
        <v>0</v>
      </c>
      <c r="G110" s="27">
        <f t="shared" si="26"/>
        <v>0</v>
      </c>
      <c r="H110" s="27">
        <f t="shared" si="27"/>
        <v>0</v>
      </c>
      <c r="I110" s="27">
        <f t="shared" si="28"/>
        <v>0</v>
      </c>
      <c r="J110" s="27">
        <f t="shared" si="29"/>
        <v>0</v>
      </c>
      <c r="K110" s="27">
        <f t="shared" si="30"/>
        <v>0</v>
      </c>
      <c r="L110" s="27">
        <f t="shared" si="31"/>
        <v>0</v>
      </c>
      <c r="M110" s="27">
        <f t="shared" si="32"/>
        <v>0</v>
      </c>
      <c r="N110" s="27">
        <f t="shared" si="33"/>
        <v>0</v>
      </c>
      <c r="O110" s="27">
        <f t="shared" si="34"/>
        <v>0</v>
      </c>
      <c r="P110" s="61">
        <f t="shared" si="35"/>
        <v>0</v>
      </c>
      <c r="Q110" s="27">
        <f t="shared" si="36"/>
        <v>0</v>
      </c>
      <c r="R110" s="27">
        <f t="shared" si="37"/>
        <v>0</v>
      </c>
      <c r="S110" s="27">
        <f t="shared" si="38"/>
        <v>0</v>
      </c>
      <c r="T110" s="27">
        <f t="shared" si="39"/>
        <v>0</v>
      </c>
      <c r="U110" s="27">
        <f t="shared" si="40"/>
        <v>0</v>
      </c>
      <c r="V110" s="27">
        <f t="shared" si="41"/>
        <v>0</v>
      </c>
      <c r="W110" s="27">
        <f t="shared" si="49"/>
        <v>0</v>
      </c>
      <c r="X110" s="27" t="str">
        <f>IF(W110=CResult!F182,"OK","ERROR")</f>
        <v>OK</v>
      </c>
      <c r="Y110" s="27">
        <f t="shared" si="44"/>
        <v>0</v>
      </c>
      <c r="Z110" s="27">
        <f t="shared" si="45"/>
        <v>0</v>
      </c>
      <c r="AA110" s="27">
        <f t="shared" si="46"/>
        <v>0</v>
      </c>
      <c r="AB110" s="27">
        <f t="shared" si="47"/>
        <v>0</v>
      </c>
      <c r="AC110" s="27">
        <f t="shared" si="48"/>
        <v>0</v>
      </c>
    </row>
    <row r="111" spans="2:29" ht="12" hidden="1" customHeight="1" x14ac:dyDescent="0.2">
      <c r="B111" s="60" t="str">
        <f>CResult!$E$183</f>
        <v>Viajes, dietas…</v>
      </c>
      <c r="C111" s="105" t="str">
        <f>'6'!F20</f>
        <v>en el MES</v>
      </c>
      <c r="D111" s="27">
        <f t="shared" si="42"/>
        <v>0</v>
      </c>
      <c r="E111" s="27">
        <f t="shared" si="43"/>
        <v>0</v>
      </c>
      <c r="F111" s="27">
        <f t="shared" si="25"/>
        <v>0</v>
      </c>
      <c r="G111" s="27">
        <f t="shared" si="26"/>
        <v>0</v>
      </c>
      <c r="H111" s="27">
        <f t="shared" si="27"/>
        <v>0</v>
      </c>
      <c r="I111" s="27">
        <f t="shared" si="28"/>
        <v>0</v>
      </c>
      <c r="J111" s="27">
        <f t="shared" si="29"/>
        <v>0</v>
      </c>
      <c r="K111" s="27">
        <f t="shared" si="30"/>
        <v>0</v>
      </c>
      <c r="L111" s="27">
        <f t="shared" si="31"/>
        <v>0</v>
      </c>
      <c r="M111" s="27">
        <f t="shared" si="32"/>
        <v>0</v>
      </c>
      <c r="N111" s="27">
        <f t="shared" si="33"/>
        <v>0</v>
      </c>
      <c r="O111" s="27">
        <f t="shared" si="34"/>
        <v>0</v>
      </c>
      <c r="P111" s="61">
        <f t="shared" si="35"/>
        <v>0</v>
      </c>
      <c r="Q111" s="27">
        <f t="shared" si="36"/>
        <v>0</v>
      </c>
      <c r="R111" s="27">
        <f t="shared" si="37"/>
        <v>0</v>
      </c>
      <c r="S111" s="27">
        <f t="shared" si="38"/>
        <v>0</v>
      </c>
      <c r="T111" s="27">
        <f t="shared" si="39"/>
        <v>0</v>
      </c>
      <c r="U111" s="27">
        <f t="shared" si="40"/>
        <v>0</v>
      </c>
      <c r="V111" s="27">
        <f t="shared" si="41"/>
        <v>0</v>
      </c>
      <c r="W111" s="27">
        <f t="shared" si="49"/>
        <v>0</v>
      </c>
      <c r="X111" s="27" t="str">
        <f>IF(W111=CResult!F186,"OK","ERROR")</f>
        <v>OK</v>
      </c>
      <c r="Y111" s="27">
        <f t="shared" si="44"/>
        <v>0</v>
      </c>
      <c r="Z111" s="27">
        <f t="shared" si="45"/>
        <v>0</v>
      </c>
      <c r="AA111" s="27">
        <f t="shared" si="46"/>
        <v>0</v>
      </c>
      <c r="AB111" s="27">
        <f t="shared" si="47"/>
        <v>0</v>
      </c>
      <c r="AC111" s="27">
        <f t="shared" si="48"/>
        <v>0</v>
      </c>
    </row>
    <row r="112" spans="2:29" ht="12" hidden="1" customHeight="1" x14ac:dyDescent="0.2">
      <c r="B112" s="60" t="str">
        <f>CResult!$E$187</f>
        <v>Material Oficina</v>
      </c>
      <c r="C112" s="105" t="str">
        <f>'6'!$F$15</f>
        <v>en el MES</v>
      </c>
      <c r="D112" s="27">
        <f t="shared" si="42"/>
        <v>0</v>
      </c>
      <c r="E112" s="27">
        <f t="shared" si="43"/>
        <v>0</v>
      </c>
      <c r="F112" s="27">
        <f t="shared" si="25"/>
        <v>0</v>
      </c>
      <c r="G112" s="27">
        <f t="shared" si="26"/>
        <v>0</v>
      </c>
      <c r="H112" s="27">
        <f t="shared" si="27"/>
        <v>0</v>
      </c>
      <c r="I112" s="27">
        <f t="shared" si="28"/>
        <v>0</v>
      </c>
      <c r="J112" s="27">
        <f t="shared" si="29"/>
        <v>0</v>
      </c>
      <c r="K112" s="27">
        <f t="shared" si="30"/>
        <v>0</v>
      </c>
      <c r="L112" s="27">
        <f t="shared" si="31"/>
        <v>0</v>
      </c>
      <c r="M112" s="27">
        <f t="shared" si="32"/>
        <v>0</v>
      </c>
      <c r="N112" s="27">
        <f t="shared" si="33"/>
        <v>0</v>
      </c>
      <c r="O112" s="27">
        <f t="shared" si="34"/>
        <v>0</v>
      </c>
      <c r="P112" s="61">
        <f t="shared" si="35"/>
        <v>0</v>
      </c>
      <c r="Q112" s="27">
        <f t="shared" si="36"/>
        <v>0</v>
      </c>
      <c r="R112" s="27">
        <f t="shared" si="37"/>
        <v>0</v>
      </c>
      <c r="S112" s="27">
        <f t="shared" si="38"/>
        <v>0</v>
      </c>
      <c r="T112" s="27">
        <f t="shared" si="39"/>
        <v>0</v>
      </c>
      <c r="U112" s="27">
        <f t="shared" si="40"/>
        <v>0</v>
      </c>
      <c r="V112" s="27">
        <f t="shared" si="41"/>
        <v>0</v>
      </c>
      <c r="W112" s="27">
        <f t="shared" si="49"/>
        <v>0</v>
      </c>
      <c r="X112" s="27" t="str">
        <f>IF(W112=CResult!F190,"OK","ERROR")</f>
        <v>OK</v>
      </c>
      <c r="Y112" s="27">
        <f t="shared" si="44"/>
        <v>0</v>
      </c>
      <c r="Z112" s="27">
        <f t="shared" si="45"/>
        <v>0</v>
      </c>
      <c r="AA112" s="27">
        <f t="shared" si="46"/>
        <v>0</v>
      </c>
      <c r="AB112" s="27">
        <f t="shared" si="47"/>
        <v>0</v>
      </c>
      <c r="AC112" s="27">
        <f t="shared" si="48"/>
        <v>0</v>
      </c>
    </row>
    <row r="113" spans="2:29" ht="12" hidden="1" customHeight="1" x14ac:dyDescent="0.2">
      <c r="B113" s="60" t="str">
        <f>CResult!$E$191</f>
        <v>Transportes</v>
      </c>
      <c r="C113" s="105" t="str">
        <f>'6'!$F$15</f>
        <v>en el MES</v>
      </c>
      <c r="D113" s="27">
        <f t="shared" si="42"/>
        <v>0</v>
      </c>
      <c r="E113" s="27">
        <f t="shared" si="43"/>
        <v>0</v>
      </c>
      <c r="F113" s="27">
        <f t="shared" si="25"/>
        <v>0</v>
      </c>
      <c r="G113" s="27">
        <f t="shared" si="26"/>
        <v>0</v>
      </c>
      <c r="H113" s="27">
        <f t="shared" si="27"/>
        <v>0</v>
      </c>
      <c r="I113" s="27">
        <f t="shared" si="28"/>
        <v>0</v>
      </c>
      <c r="J113" s="27">
        <f t="shared" si="29"/>
        <v>0</v>
      </c>
      <c r="K113" s="27">
        <f t="shared" si="30"/>
        <v>0</v>
      </c>
      <c r="L113" s="27">
        <f t="shared" si="31"/>
        <v>0</v>
      </c>
      <c r="M113" s="27">
        <f t="shared" si="32"/>
        <v>0</v>
      </c>
      <c r="N113" s="27">
        <f t="shared" si="33"/>
        <v>0</v>
      </c>
      <c r="O113" s="27">
        <f t="shared" si="34"/>
        <v>0</v>
      </c>
      <c r="P113" s="61">
        <f t="shared" si="35"/>
        <v>0</v>
      </c>
      <c r="Q113" s="27">
        <f t="shared" si="36"/>
        <v>0</v>
      </c>
      <c r="R113" s="27">
        <f t="shared" si="37"/>
        <v>0</v>
      </c>
      <c r="S113" s="27">
        <f t="shared" si="38"/>
        <v>0</v>
      </c>
      <c r="T113" s="27">
        <f t="shared" si="39"/>
        <v>0</v>
      </c>
      <c r="U113" s="27">
        <f t="shared" si="40"/>
        <v>0</v>
      </c>
      <c r="V113" s="27">
        <f t="shared" si="41"/>
        <v>0</v>
      </c>
      <c r="W113" s="27">
        <f t="shared" si="49"/>
        <v>0</v>
      </c>
      <c r="X113" s="27" t="str">
        <f>IF(W113=CResult!F194,"OK","ERROR")</f>
        <v>OK</v>
      </c>
      <c r="Y113" s="27">
        <f t="shared" si="44"/>
        <v>0</v>
      </c>
      <c r="Z113" s="27">
        <f t="shared" si="45"/>
        <v>0</v>
      </c>
      <c r="AA113" s="27">
        <f t="shared" si="46"/>
        <v>0</v>
      </c>
      <c r="AB113" s="27">
        <f t="shared" si="47"/>
        <v>0</v>
      </c>
      <c r="AC113" s="27">
        <f t="shared" si="48"/>
        <v>0</v>
      </c>
    </row>
    <row r="114" spans="2:29" ht="12" hidden="1" customHeight="1" x14ac:dyDescent="0.2">
      <c r="B114" s="60" t="str">
        <f>CResult!$E$195</f>
        <v>gastos financieros</v>
      </c>
      <c r="C114" s="105" t="str">
        <f>+R84</f>
        <v>en el MES</v>
      </c>
      <c r="D114" s="27">
        <f t="shared" si="42"/>
        <v>0</v>
      </c>
      <c r="E114" s="27">
        <f t="shared" si="43"/>
        <v>0</v>
      </c>
      <c r="F114" s="27">
        <f t="shared" si="25"/>
        <v>0</v>
      </c>
      <c r="G114" s="27">
        <f t="shared" si="26"/>
        <v>0</v>
      </c>
      <c r="H114" s="27">
        <f t="shared" si="27"/>
        <v>0</v>
      </c>
      <c r="I114" s="27">
        <f t="shared" si="28"/>
        <v>0</v>
      </c>
      <c r="J114" s="27">
        <f t="shared" si="29"/>
        <v>0</v>
      </c>
      <c r="K114" s="27">
        <f t="shared" ref="K114:V116" si="50">IF($C114=$R$90,$E79,0)+IF($C114=$R$84,K79,0)+IF($C114=$R$85,J79,0)+IF($C114=$R$86,I79,0)+IF($C114=$R$87,H79,0)+IF($C114=$R$88,G79,0)+IF($C114=$R$89,F79,0)</f>
        <v>0</v>
      </c>
      <c r="L114" s="27">
        <f t="shared" si="50"/>
        <v>0</v>
      </c>
      <c r="M114" s="27">
        <f t="shared" si="50"/>
        <v>0</v>
      </c>
      <c r="N114" s="27">
        <f t="shared" si="50"/>
        <v>0</v>
      </c>
      <c r="O114" s="27">
        <f t="shared" si="50"/>
        <v>0</v>
      </c>
      <c r="P114" s="61">
        <f t="shared" si="50"/>
        <v>0</v>
      </c>
      <c r="Q114" s="27">
        <f t="shared" si="50"/>
        <v>0</v>
      </c>
      <c r="R114" s="27">
        <f t="shared" si="50"/>
        <v>0</v>
      </c>
      <c r="S114" s="27">
        <f t="shared" si="50"/>
        <v>0</v>
      </c>
      <c r="T114" s="27">
        <f t="shared" si="50"/>
        <v>0</v>
      </c>
      <c r="U114" s="27">
        <f t="shared" si="50"/>
        <v>0</v>
      </c>
      <c r="V114" s="27">
        <f t="shared" si="50"/>
        <v>0</v>
      </c>
      <c r="W114" s="27">
        <f t="shared" si="49"/>
        <v>0</v>
      </c>
      <c r="X114" s="27" t="str">
        <f>IF(W114=CResult!F198,"OK","ERROR")</f>
        <v>OK</v>
      </c>
      <c r="Y114" s="27">
        <f t="shared" si="44"/>
        <v>0</v>
      </c>
      <c r="Z114" s="27">
        <f t="shared" si="45"/>
        <v>0</v>
      </c>
      <c r="AA114" s="27">
        <f t="shared" si="46"/>
        <v>0</v>
      </c>
      <c r="AB114" s="27">
        <f t="shared" si="47"/>
        <v>0</v>
      </c>
      <c r="AC114" s="27">
        <f t="shared" si="48"/>
        <v>0</v>
      </c>
    </row>
    <row r="115" spans="2:29" ht="12" hidden="1" customHeight="1" x14ac:dyDescent="0.2">
      <c r="B115" s="60" t="str">
        <f>CResult!$E$199</f>
        <v>gastos extraordinarios</v>
      </c>
      <c r="C115" s="105" t="str">
        <f>+R84</f>
        <v>en el MES</v>
      </c>
      <c r="D115" s="27">
        <f t="shared" si="42"/>
        <v>0</v>
      </c>
      <c r="E115" s="27">
        <f t="shared" si="43"/>
        <v>0</v>
      </c>
      <c r="F115" s="27">
        <f t="shared" si="25"/>
        <v>0</v>
      </c>
      <c r="G115" s="27">
        <f t="shared" si="26"/>
        <v>0</v>
      </c>
      <c r="H115" s="27">
        <f t="shared" si="27"/>
        <v>0</v>
      </c>
      <c r="I115" s="27">
        <f t="shared" si="28"/>
        <v>0</v>
      </c>
      <c r="J115" s="27">
        <f t="shared" si="29"/>
        <v>0</v>
      </c>
      <c r="K115" s="27">
        <f t="shared" si="50"/>
        <v>0</v>
      </c>
      <c r="L115" s="27">
        <f t="shared" si="50"/>
        <v>0</v>
      </c>
      <c r="M115" s="27">
        <f t="shared" si="50"/>
        <v>0</v>
      </c>
      <c r="N115" s="27">
        <f t="shared" si="50"/>
        <v>0</v>
      </c>
      <c r="O115" s="27">
        <f t="shared" si="50"/>
        <v>0</v>
      </c>
      <c r="P115" s="61">
        <f t="shared" si="50"/>
        <v>0</v>
      </c>
      <c r="Q115" s="27">
        <f t="shared" si="50"/>
        <v>0</v>
      </c>
      <c r="R115" s="27">
        <f t="shared" si="50"/>
        <v>0</v>
      </c>
      <c r="S115" s="27">
        <f t="shared" si="50"/>
        <v>0</v>
      </c>
      <c r="T115" s="27">
        <f t="shared" si="50"/>
        <v>0</v>
      </c>
      <c r="U115" s="27">
        <f t="shared" si="50"/>
        <v>0</v>
      </c>
      <c r="V115" s="27">
        <f t="shared" si="50"/>
        <v>0</v>
      </c>
      <c r="W115" s="27">
        <f t="shared" si="49"/>
        <v>0</v>
      </c>
      <c r="X115" s="27" t="str">
        <f>IF(W115=CResult!F202,"OK","ERROR")</f>
        <v>OK</v>
      </c>
      <c r="Y115" s="27">
        <f t="shared" si="44"/>
        <v>0</v>
      </c>
      <c r="Z115" s="27">
        <f t="shared" si="45"/>
        <v>0</v>
      </c>
      <c r="AA115" s="27">
        <f t="shared" si="46"/>
        <v>0</v>
      </c>
      <c r="AB115" s="27">
        <f t="shared" si="47"/>
        <v>0</v>
      </c>
      <c r="AC115" s="27">
        <f t="shared" si="48"/>
        <v>0</v>
      </c>
    </row>
    <row r="116" spans="2:29" ht="12" hidden="1" customHeight="1" x14ac:dyDescent="0.2">
      <c r="B116" s="65" t="str">
        <f>CResult!$E$333</f>
        <v>Comisiones</v>
      </c>
      <c r="C116" s="106" t="str">
        <f>'6'!$F$13</f>
        <v>en el MES</v>
      </c>
      <c r="D116" s="66"/>
      <c r="E116" s="66">
        <f t="shared" si="43"/>
        <v>0</v>
      </c>
      <c r="F116" s="66">
        <f t="shared" si="25"/>
        <v>0</v>
      </c>
      <c r="G116" s="66">
        <f t="shared" si="26"/>
        <v>0</v>
      </c>
      <c r="H116" s="66">
        <f t="shared" si="27"/>
        <v>0</v>
      </c>
      <c r="I116" s="66">
        <f t="shared" si="28"/>
        <v>0</v>
      </c>
      <c r="J116" s="66">
        <f t="shared" si="29"/>
        <v>0</v>
      </c>
      <c r="K116" s="66">
        <f t="shared" si="50"/>
        <v>0</v>
      </c>
      <c r="L116" s="66">
        <f t="shared" si="50"/>
        <v>0</v>
      </c>
      <c r="M116" s="66">
        <f t="shared" si="50"/>
        <v>0</v>
      </c>
      <c r="N116" s="66">
        <f t="shared" si="50"/>
        <v>0</v>
      </c>
      <c r="O116" s="66">
        <f t="shared" si="50"/>
        <v>0</v>
      </c>
      <c r="P116" s="67">
        <f t="shared" si="50"/>
        <v>0</v>
      </c>
      <c r="Q116" s="27">
        <f t="shared" si="50"/>
        <v>0</v>
      </c>
      <c r="R116" s="27">
        <f t="shared" si="50"/>
        <v>0</v>
      </c>
      <c r="S116" s="27">
        <f t="shared" si="50"/>
        <v>0</v>
      </c>
      <c r="T116" s="27">
        <f t="shared" si="50"/>
        <v>0</v>
      </c>
      <c r="U116" s="27">
        <f t="shared" si="50"/>
        <v>0</v>
      </c>
      <c r="V116" s="27">
        <f t="shared" si="50"/>
        <v>0</v>
      </c>
      <c r="Y116" s="27">
        <f>SUM(D81:P81)</f>
        <v>0</v>
      </c>
      <c r="Z116" s="27">
        <f>SUM(E116:P116)</f>
        <v>0</v>
      </c>
      <c r="AA116" s="27">
        <f>IF(Y116=0,0,Z116/Y116)</f>
        <v>0</v>
      </c>
      <c r="AB116" s="27">
        <f>+Y116-Z116</f>
        <v>0</v>
      </c>
      <c r="AC116" s="27">
        <f>IF(Y116=0,0,AB116/Y116)</f>
        <v>0</v>
      </c>
    </row>
    <row r="117" spans="2:29" ht="12" hidden="1" customHeight="1" x14ac:dyDescent="0.2">
      <c r="B117" s="60"/>
      <c r="P117" s="61"/>
    </row>
    <row r="118" spans="2:29" ht="12" hidden="1" customHeight="1" x14ac:dyDescent="0.2">
      <c r="B118" s="60"/>
      <c r="P118" s="61"/>
    </row>
    <row r="119" spans="2:29" ht="12" hidden="1" customHeight="1" x14ac:dyDescent="0.2">
      <c r="B119" s="60"/>
      <c r="P119" s="61"/>
    </row>
    <row r="120" spans="2:29" ht="12" hidden="1" customHeight="1" x14ac:dyDescent="0.2">
      <c r="B120" s="60"/>
      <c r="P120" s="61"/>
    </row>
    <row r="121" spans="2:29" ht="12" hidden="1" customHeight="1" x14ac:dyDescent="0.2">
      <c r="B121" s="60"/>
      <c r="P121" s="61"/>
    </row>
    <row r="122" spans="2:29" ht="12" hidden="1" customHeight="1" x14ac:dyDescent="0.2">
      <c r="B122" s="60"/>
      <c r="P122" s="61"/>
    </row>
    <row r="123" spans="2:29" ht="12" hidden="1" customHeight="1" x14ac:dyDescent="0.2">
      <c r="B123" s="60"/>
      <c r="P123" s="61"/>
    </row>
    <row r="124" spans="2:29" ht="12" hidden="1" customHeight="1" x14ac:dyDescent="0.2">
      <c r="B124" s="60"/>
      <c r="P124" s="61"/>
    </row>
    <row r="125" spans="2:29" ht="12" hidden="1" customHeight="1" x14ac:dyDescent="0.2">
      <c r="B125" s="60"/>
      <c r="P125" s="61"/>
    </row>
    <row r="126" spans="2:29" ht="12" hidden="1" customHeight="1" x14ac:dyDescent="0.2">
      <c r="B126" s="60"/>
      <c r="P126" s="61"/>
    </row>
    <row r="127" spans="2:29" ht="12" hidden="1" customHeight="1" x14ac:dyDescent="0.2">
      <c r="B127" s="70" t="s">
        <v>1474</v>
      </c>
      <c r="C127" s="71"/>
      <c r="D127" s="71">
        <f>SUM(D96:D126)</f>
        <v>0</v>
      </c>
      <c r="E127" s="71">
        <f>SUM(E96:E115)</f>
        <v>0</v>
      </c>
      <c r="F127" s="71">
        <f t="shared" ref="F127:V127" si="51">SUM(F96:F115)</f>
        <v>0</v>
      </c>
      <c r="G127" s="71">
        <f t="shared" si="51"/>
        <v>0</v>
      </c>
      <c r="H127" s="71">
        <f t="shared" si="51"/>
        <v>0</v>
      </c>
      <c r="I127" s="71">
        <f t="shared" si="51"/>
        <v>0</v>
      </c>
      <c r="J127" s="71">
        <f t="shared" si="51"/>
        <v>0</v>
      </c>
      <c r="K127" s="71">
        <f t="shared" si="51"/>
        <v>0</v>
      </c>
      <c r="L127" s="71">
        <f t="shared" si="51"/>
        <v>0</v>
      </c>
      <c r="M127" s="71">
        <f t="shared" si="51"/>
        <v>0</v>
      </c>
      <c r="N127" s="71">
        <f t="shared" si="51"/>
        <v>0</v>
      </c>
      <c r="O127" s="71">
        <f t="shared" si="51"/>
        <v>0</v>
      </c>
      <c r="P127" s="72">
        <f t="shared" si="51"/>
        <v>0</v>
      </c>
      <c r="Q127" s="27">
        <f t="shared" si="51"/>
        <v>0</v>
      </c>
      <c r="R127" s="27">
        <f t="shared" si="51"/>
        <v>0</v>
      </c>
      <c r="S127" s="27">
        <f t="shared" si="51"/>
        <v>0</v>
      </c>
      <c r="T127" s="27">
        <f t="shared" si="51"/>
        <v>0</v>
      </c>
      <c r="U127" s="27">
        <f t="shared" si="51"/>
        <v>0</v>
      </c>
      <c r="V127" s="27">
        <f t="shared" si="51"/>
        <v>0</v>
      </c>
      <c r="W127" s="27">
        <f>SUM(E127:V127)</f>
        <v>0</v>
      </c>
      <c r="X127" s="27" t="str">
        <f>IF(W127=W92,"OK","ERROR")</f>
        <v>OK</v>
      </c>
    </row>
    <row r="128" spans="2:29" ht="12" hidden="1" customHeight="1" x14ac:dyDescent="0.2">
      <c r="B128" s="62" t="s">
        <v>854</v>
      </c>
      <c r="C128" s="63"/>
      <c r="D128" s="63"/>
      <c r="E128" s="63"/>
      <c r="F128" s="63"/>
      <c r="G128" s="63"/>
      <c r="H128" s="63"/>
      <c r="I128" s="63"/>
      <c r="J128" s="63"/>
      <c r="K128" s="63"/>
      <c r="L128" s="63"/>
      <c r="M128" s="63"/>
      <c r="N128" s="63"/>
      <c r="O128" s="63"/>
      <c r="P128" s="64"/>
    </row>
    <row r="129" spans="1:24" ht="12" hidden="1" customHeight="1" x14ac:dyDescent="0.2">
      <c r="A129" s="27" t="s">
        <v>1416</v>
      </c>
      <c r="B129" s="60" t="s">
        <v>1449</v>
      </c>
      <c r="E129" s="27">
        <f>+E92-E127</f>
        <v>0</v>
      </c>
      <c r="F129" s="27">
        <f t="shared" ref="F129:P129" si="52">+F92-F127+E129</f>
        <v>0</v>
      </c>
      <c r="G129" s="27">
        <f t="shared" si="52"/>
        <v>0</v>
      </c>
      <c r="H129" s="27">
        <f t="shared" si="52"/>
        <v>0</v>
      </c>
      <c r="I129" s="27">
        <f t="shared" si="52"/>
        <v>0</v>
      </c>
      <c r="J129" s="27">
        <f t="shared" si="52"/>
        <v>0</v>
      </c>
      <c r="K129" s="27">
        <f t="shared" si="52"/>
        <v>0</v>
      </c>
      <c r="L129" s="27">
        <f t="shared" si="52"/>
        <v>0</v>
      </c>
      <c r="M129" s="27">
        <f t="shared" si="52"/>
        <v>0</v>
      </c>
      <c r="N129" s="27">
        <f t="shared" si="52"/>
        <v>0</v>
      </c>
      <c r="O129" s="27">
        <f t="shared" si="52"/>
        <v>0</v>
      </c>
      <c r="P129" s="61">
        <f t="shared" si="52"/>
        <v>0</v>
      </c>
      <c r="Q129" s="27">
        <f t="shared" ref="Q129:V129" si="53">+P129-Q127</f>
        <v>0</v>
      </c>
      <c r="R129" s="27">
        <f t="shared" si="53"/>
        <v>0</v>
      </c>
      <c r="S129" s="27">
        <f t="shared" si="53"/>
        <v>0</v>
      </c>
      <c r="T129" s="27">
        <f t="shared" si="53"/>
        <v>0</v>
      </c>
      <c r="U129" s="27">
        <f t="shared" si="53"/>
        <v>0</v>
      </c>
      <c r="V129" s="27">
        <f t="shared" si="53"/>
        <v>0</v>
      </c>
      <c r="W129" s="27" t="s">
        <v>1477</v>
      </c>
    </row>
    <row r="130" spans="1:24" ht="12" hidden="1" customHeight="1" x14ac:dyDescent="0.2">
      <c r="A130" s="27" t="s">
        <v>1416</v>
      </c>
      <c r="B130" s="60" t="s">
        <v>1476</v>
      </c>
      <c r="E130" s="27">
        <f>+E81-E116</f>
        <v>0</v>
      </c>
      <c r="F130" s="27">
        <f>+F81-F116+E130</f>
        <v>0</v>
      </c>
      <c r="G130" s="27">
        <f>+G81-G116+F130</f>
        <v>0</v>
      </c>
      <c r="H130" s="27">
        <f t="shared" ref="H130:V130" si="54">+H81-H116+G130</f>
        <v>0</v>
      </c>
      <c r="I130" s="27">
        <f t="shared" si="54"/>
        <v>0</v>
      </c>
      <c r="J130" s="27">
        <f t="shared" si="54"/>
        <v>0</v>
      </c>
      <c r="K130" s="27">
        <f t="shared" si="54"/>
        <v>0</v>
      </c>
      <c r="L130" s="27">
        <f t="shared" si="54"/>
        <v>0</v>
      </c>
      <c r="M130" s="27">
        <f t="shared" si="54"/>
        <v>0</v>
      </c>
      <c r="N130" s="27">
        <f t="shared" si="54"/>
        <v>0</v>
      </c>
      <c r="O130" s="27">
        <f t="shared" si="54"/>
        <v>0</v>
      </c>
      <c r="P130" s="61">
        <f t="shared" si="54"/>
        <v>0</v>
      </c>
      <c r="Q130" s="27">
        <f t="shared" si="54"/>
        <v>0</v>
      </c>
      <c r="R130" s="27">
        <f t="shared" si="54"/>
        <v>0</v>
      </c>
      <c r="S130" s="27">
        <f t="shared" si="54"/>
        <v>0</v>
      </c>
      <c r="T130" s="27">
        <f t="shared" si="54"/>
        <v>0</v>
      </c>
      <c r="U130" s="27">
        <f t="shared" si="54"/>
        <v>0</v>
      </c>
      <c r="V130" s="27">
        <f t="shared" si="54"/>
        <v>0</v>
      </c>
    </row>
    <row r="131" spans="1:24" ht="12" hidden="1" customHeight="1" x14ac:dyDescent="0.2">
      <c r="B131" s="60"/>
      <c r="P131" s="61"/>
    </row>
    <row r="132" spans="1:24" ht="12" hidden="1" customHeight="1" x14ac:dyDescent="0.2">
      <c r="B132" s="60" t="s">
        <v>182</v>
      </c>
      <c r="P132" s="61"/>
    </row>
    <row r="133" spans="1:24" ht="12" hidden="1" customHeight="1" x14ac:dyDescent="0.2">
      <c r="B133" s="60"/>
      <c r="P133" s="61"/>
    </row>
    <row r="134" spans="1:24" ht="12" hidden="1" customHeight="1" x14ac:dyDescent="0.2">
      <c r="A134" s="27" t="s">
        <v>426</v>
      </c>
      <c r="B134" s="60" t="str">
        <f>CResult!$E$219</f>
        <v>STOCK INICIAL</v>
      </c>
      <c r="D134" s="27">
        <f>CResult!G222</f>
        <v>0</v>
      </c>
      <c r="E134" s="27">
        <f>CResult!H222</f>
        <v>0</v>
      </c>
      <c r="F134" s="27">
        <f>CResult!I222</f>
        <v>0</v>
      </c>
      <c r="G134" s="27">
        <f>CResult!J222</f>
        <v>0</v>
      </c>
      <c r="H134" s="27">
        <f>CResult!K222</f>
        <v>0</v>
      </c>
      <c r="I134" s="27">
        <f>CResult!L222</f>
        <v>0</v>
      </c>
      <c r="J134" s="27">
        <f>CResult!M222</f>
        <v>0</v>
      </c>
      <c r="K134" s="27">
        <f>CResult!N222</f>
        <v>0</v>
      </c>
      <c r="L134" s="27">
        <f>CResult!O222</f>
        <v>0</v>
      </c>
      <c r="M134" s="27">
        <f>CResult!P222</f>
        <v>0</v>
      </c>
      <c r="N134" s="27">
        <f>CResult!Q222</f>
        <v>0</v>
      </c>
      <c r="O134" s="27">
        <f>CResult!R222</f>
        <v>0</v>
      </c>
      <c r="P134" s="61">
        <f>CResult!S222</f>
        <v>0</v>
      </c>
      <c r="W134" s="27">
        <f t="shared" ref="W134:W139" si="55">SUM(D134:V134)</f>
        <v>0</v>
      </c>
      <c r="X134" s="27" t="str">
        <f>IF(W134=CResult!F222,"OK","ERROR")</f>
        <v>OK</v>
      </c>
    </row>
    <row r="135" spans="1:24" ht="12" hidden="1" customHeight="1" x14ac:dyDescent="0.2">
      <c r="B135" s="60" t="str">
        <f>CResult!$E$224</f>
        <v>gastos establecimiento NO AMORT</v>
      </c>
      <c r="D135" s="27">
        <f>CResult!$G$230</f>
        <v>0</v>
      </c>
      <c r="P135" s="61"/>
      <c r="W135" s="27">
        <f t="shared" si="55"/>
        <v>0</v>
      </c>
      <c r="X135" s="27" t="str">
        <f>IF(W135=CResult!G230,"OK","ERROR")</f>
        <v>OK</v>
      </c>
    </row>
    <row r="136" spans="1:24" ht="12" hidden="1" customHeight="1" x14ac:dyDescent="0.2">
      <c r="A136" s="27" t="s">
        <v>426</v>
      </c>
      <c r="B136" s="60" t="str">
        <f>CResult!$E$232</f>
        <v>gastos establecimiento AMORT</v>
      </c>
      <c r="D136" s="27">
        <f>CResult!G265</f>
        <v>0</v>
      </c>
      <c r="E136" s="27">
        <f>CResult!H265</f>
        <v>0</v>
      </c>
      <c r="F136" s="27">
        <f>CResult!I265</f>
        <v>0</v>
      </c>
      <c r="G136" s="27">
        <f>CResult!J265</f>
        <v>0</v>
      </c>
      <c r="H136" s="27">
        <f>CResult!K265</f>
        <v>0</v>
      </c>
      <c r="I136" s="27">
        <f>CResult!L265</f>
        <v>0</v>
      </c>
      <c r="J136" s="27">
        <f>CResult!M265</f>
        <v>0</v>
      </c>
      <c r="P136" s="61"/>
      <c r="W136" s="27">
        <f t="shared" si="55"/>
        <v>0</v>
      </c>
      <c r="X136" s="27" t="str">
        <f>IF(W136=CResult!F265,"OK","ERROR")</f>
        <v>OK</v>
      </c>
    </row>
    <row r="137" spans="1:24" ht="12" hidden="1" customHeight="1" x14ac:dyDescent="0.2">
      <c r="B137" s="60" t="s">
        <v>269</v>
      </c>
      <c r="D137" s="27">
        <f>SANDBOX!E143</f>
        <v>0</v>
      </c>
      <c r="E137" s="27">
        <f>SANDBOX!F143</f>
        <v>0</v>
      </c>
      <c r="F137" s="27">
        <f>SANDBOX!G143</f>
        <v>0</v>
      </c>
      <c r="G137" s="27">
        <f>SANDBOX!H143</f>
        <v>0</v>
      </c>
      <c r="H137" s="27">
        <f>SANDBOX!I143</f>
        <v>0</v>
      </c>
      <c r="I137" s="27">
        <f>SANDBOX!J143</f>
        <v>0</v>
      </c>
      <c r="J137" s="27">
        <f>SANDBOX!K143</f>
        <v>0</v>
      </c>
      <c r="P137" s="61"/>
      <c r="W137" s="27">
        <f t="shared" si="55"/>
        <v>0</v>
      </c>
    </row>
    <row r="138" spans="1:24" ht="12" hidden="1" customHeight="1" x14ac:dyDescent="0.2">
      <c r="B138" s="60" t="s">
        <v>43</v>
      </c>
      <c r="E138" s="27">
        <f>CResult!G275</f>
        <v>0</v>
      </c>
      <c r="F138" s="27">
        <f>CResult!H275</f>
        <v>0</v>
      </c>
      <c r="G138" s="27">
        <f>CResult!I275</f>
        <v>0</v>
      </c>
      <c r="H138" s="27">
        <f>CResult!J275</f>
        <v>0</v>
      </c>
      <c r="I138" s="27">
        <f>CResult!K275</f>
        <v>0</v>
      </c>
      <c r="J138" s="27">
        <f>CResult!L275</f>
        <v>0</v>
      </c>
      <c r="K138" s="27">
        <f>CResult!M275</f>
        <v>0</v>
      </c>
      <c r="L138" s="27">
        <f>CResult!N275</f>
        <v>0</v>
      </c>
      <c r="M138" s="27">
        <f>CResult!O275</f>
        <v>0</v>
      </c>
      <c r="N138" s="27">
        <f>CResult!P275</f>
        <v>0</v>
      </c>
      <c r="O138" s="27">
        <f>CResult!Q275</f>
        <v>0</v>
      </c>
      <c r="P138" s="61">
        <f>CResult!R275</f>
        <v>0</v>
      </c>
      <c r="W138" s="27">
        <f t="shared" si="55"/>
        <v>0</v>
      </c>
      <c r="X138" s="27" t="str">
        <f>IF(W138=CResult!F274,"OK","ERROR")</f>
        <v>OK</v>
      </c>
    </row>
    <row r="139" spans="1:24" ht="12" hidden="1" customHeight="1" x14ac:dyDescent="0.2">
      <c r="B139" s="60" t="s">
        <v>971</v>
      </c>
      <c r="E139" s="27">
        <f>CResult!G310</f>
        <v>0</v>
      </c>
      <c r="F139" s="27">
        <f>CResult!H310</f>
        <v>0</v>
      </c>
      <c r="G139" s="27">
        <f>CResult!I310</f>
        <v>0</v>
      </c>
      <c r="H139" s="27">
        <f>CResult!J310</f>
        <v>0</v>
      </c>
      <c r="I139" s="27">
        <f>CResult!K310</f>
        <v>0</v>
      </c>
      <c r="J139" s="27">
        <f>CResult!L310</f>
        <v>0</v>
      </c>
      <c r="K139" s="27">
        <f>CResult!M310</f>
        <v>0</v>
      </c>
      <c r="L139" s="27">
        <f>CResult!N310</f>
        <v>0</v>
      </c>
      <c r="M139" s="27">
        <f>CResult!O310</f>
        <v>0</v>
      </c>
      <c r="N139" s="27">
        <f>CResult!P310</f>
        <v>0</v>
      </c>
      <c r="O139" s="27">
        <f>CResult!Q310</f>
        <v>0</v>
      </c>
      <c r="P139" s="61">
        <f>CResult!R310</f>
        <v>0</v>
      </c>
      <c r="W139" s="27">
        <f t="shared" si="55"/>
        <v>0</v>
      </c>
      <c r="X139" s="27" t="str">
        <f>IF(W139=CResult!F310,"OK","ERROR")</f>
        <v>OK</v>
      </c>
    </row>
    <row r="140" spans="1:24" ht="12" hidden="1" customHeight="1" x14ac:dyDescent="0.2">
      <c r="B140" s="65" t="s">
        <v>19</v>
      </c>
      <c r="C140" s="66"/>
      <c r="D140" s="66"/>
      <c r="E140" s="66">
        <f>prestamos!D9</f>
        <v>0</v>
      </c>
      <c r="F140" s="66">
        <f>prestamos!E9</f>
        <v>0</v>
      </c>
      <c r="G140" s="66">
        <f>prestamos!F9</f>
        <v>0</v>
      </c>
      <c r="H140" s="66">
        <f>prestamos!G9</f>
        <v>0</v>
      </c>
      <c r="I140" s="66">
        <f>prestamos!H9</f>
        <v>0</v>
      </c>
      <c r="J140" s="66">
        <f>prestamos!I9</f>
        <v>0</v>
      </c>
      <c r="K140" s="66">
        <f>prestamos!J9</f>
        <v>0</v>
      </c>
      <c r="L140" s="66">
        <f>prestamos!K9</f>
        <v>0</v>
      </c>
      <c r="M140" s="66">
        <f>prestamos!L9</f>
        <v>0</v>
      </c>
      <c r="N140" s="66">
        <f>prestamos!M9</f>
        <v>0</v>
      </c>
      <c r="O140" s="66">
        <f>prestamos!N9</f>
        <v>0</v>
      </c>
      <c r="P140" s="67">
        <f>prestamos!O9</f>
        <v>0</v>
      </c>
    </row>
    <row r="141" spans="1:24" ht="12" hidden="1" customHeight="1" x14ac:dyDescent="0.2">
      <c r="B141" s="60"/>
      <c r="P141" s="61"/>
    </row>
    <row r="142" spans="1:24" ht="12" hidden="1" customHeight="1" x14ac:dyDescent="0.2">
      <c r="B142" s="70" t="s">
        <v>183</v>
      </c>
      <c r="C142" s="71"/>
      <c r="D142" s="71"/>
      <c r="E142" s="71"/>
      <c r="F142" s="71"/>
      <c r="G142" s="71"/>
      <c r="H142" s="71"/>
      <c r="I142" s="71"/>
      <c r="J142" s="71"/>
      <c r="K142" s="71"/>
      <c r="L142" s="71"/>
      <c r="M142" s="71"/>
      <c r="N142" s="71"/>
      <c r="O142" s="71"/>
      <c r="P142" s="72"/>
    </row>
    <row r="143" spans="1:24" ht="12" hidden="1" customHeight="1" x14ac:dyDescent="0.2">
      <c r="B143" s="62" t="str">
        <f>CResult!$E$326</f>
        <v>Salario neto a pgar</v>
      </c>
      <c r="C143" s="63"/>
      <c r="D143" s="63">
        <f>CResult!G326</f>
        <v>0</v>
      </c>
      <c r="E143" s="63">
        <f>CResult!H326</f>
        <v>0</v>
      </c>
      <c r="F143" s="63">
        <f>CResult!I326</f>
        <v>0</v>
      </c>
      <c r="G143" s="63">
        <f>CResult!J326</f>
        <v>0</v>
      </c>
      <c r="H143" s="63">
        <f>CResult!K326</f>
        <v>0</v>
      </c>
      <c r="I143" s="63">
        <f>CResult!L326</f>
        <v>0</v>
      </c>
      <c r="J143" s="63">
        <f>CResult!M326</f>
        <v>0</v>
      </c>
      <c r="K143" s="63">
        <f>CResult!N326</f>
        <v>0</v>
      </c>
      <c r="L143" s="63">
        <f>CResult!O326</f>
        <v>0</v>
      </c>
      <c r="M143" s="63">
        <f>CResult!P326</f>
        <v>0</v>
      </c>
      <c r="N143" s="63">
        <f>CResult!Q326</f>
        <v>0</v>
      </c>
      <c r="O143" s="63">
        <f>CResult!R326</f>
        <v>0</v>
      </c>
      <c r="P143" s="64">
        <f>CResult!S326</f>
        <v>0</v>
      </c>
      <c r="W143" s="27">
        <f>SUM(D143:V143)</f>
        <v>0</v>
      </c>
      <c r="X143" s="27" t="str">
        <f>IF(W143=CResult!F343,"OK","ERROR")</f>
        <v>OK</v>
      </c>
    </row>
    <row r="144" spans="1:24" ht="12" hidden="1" customHeight="1" x14ac:dyDescent="0.2">
      <c r="B144" s="60"/>
      <c r="P144" s="61"/>
    </row>
    <row r="145" spans="1:25" ht="12" hidden="1" customHeight="1" x14ac:dyDescent="0.2">
      <c r="B145" s="60" t="str">
        <f>CResult!$E$348</f>
        <v>LIQUIDACIÓN RETENCIONES</v>
      </c>
      <c r="C145" s="27" t="s">
        <v>594</v>
      </c>
      <c r="E145" s="27">
        <f>CResult!H349</f>
        <v>0</v>
      </c>
      <c r="F145" s="27">
        <f>CResult!I349</f>
        <v>0</v>
      </c>
      <c r="G145" s="27">
        <f>CResult!J349</f>
        <v>0</v>
      </c>
      <c r="H145" s="27">
        <f>CResult!K349</f>
        <v>0</v>
      </c>
      <c r="I145" s="27">
        <f>CResult!L349</f>
        <v>0</v>
      </c>
      <c r="J145" s="27">
        <f>CResult!M349</f>
        <v>0</v>
      </c>
      <c r="K145" s="27">
        <f>CResult!N349</f>
        <v>0</v>
      </c>
      <c r="L145" s="27">
        <f>CResult!O349</f>
        <v>0</v>
      </c>
      <c r="M145" s="27">
        <f>CResult!P349</f>
        <v>0</v>
      </c>
      <c r="N145" s="27">
        <f>CResult!Q349</f>
        <v>0</v>
      </c>
      <c r="O145" s="27">
        <f>CResult!R349</f>
        <v>0</v>
      </c>
      <c r="P145" s="61">
        <f>CResult!S349</f>
        <v>0</v>
      </c>
      <c r="W145" s="27">
        <f>SUM(D145:P145)</f>
        <v>0</v>
      </c>
      <c r="X145" s="27" t="str">
        <f>IF(W145=CResult!Y349,"OK","ERROR")</f>
        <v>OK</v>
      </c>
    </row>
    <row r="146" spans="1:25" ht="12" hidden="1" customHeight="1" x14ac:dyDescent="0.2">
      <c r="B146" s="60"/>
      <c r="C146" s="27" t="s">
        <v>593</v>
      </c>
      <c r="E146" s="27">
        <f>CResult!H350</f>
        <v>0</v>
      </c>
      <c r="F146" s="27">
        <f>CResult!I350</f>
        <v>0</v>
      </c>
      <c r="G146" s="27">
        <f>CResult!J350</f>
        <v>0</v>
      </c>
      <c r="H146" s="27">
        <f>CResult!K350</f>
        <v>0</v>
      </c>
      <c r="I146" s="27">
        <f>CResult!L350</f>
        <v>0</v>
      </c>
      <c r="J146" s="27">
        <f>CResult!M350</f>
        <v>0</v>
      </c>
      <c r="K146" s="27">
        <f>CResult!N350</f>
        <v>0</v>
      </c>
      <c r="L146" s="27">
        <f>CResult!O350</f>
        <v>0</v>
      </c>
      <c r="M146" s="27">
        <f>CResult!P350</f>
        <v>0</v>
      </c>
      <c r="N146" s="27">
        <f>CResult!Q350</f>
        <v>0</v>
      </c>
      <c r="O146" s="27">
        <f>CResult!R350</f>
        <v>0</v>
      </c>
      <c r="P146" s="61">
        <f>CResult!S350</f>
        <v>0</v>
      </c>
      <c r="W146" s="27">
        <f>SUM(D146:V146)</f>
        <v>0</v>
      </c>
      <c r="X146" s="27" t="str">
        <f>IF(W146=CResult!Y350,"OK","ERROR")</f>
        <v>OK</v>
      </c>
    </row>
    <row r="147" spans="1:25" ht="12" hidden="1" customHeight="1" x14ac:dyDescent="0.2">
      <c r="B147" s="60" t="str">
        <f>CResult!$E$356</f>
        <v>LIQUIDACIÓN COSTE SALARIAL</v>
      </c>
      <c r="C147" s="27" t="s">
        <v>594</v>
      </c>
      <c r="E147" s="27">
        <f>CResult!H356</f>
        <v>0</v>
      </c>
      <c r="F147" s="27">
        <f>CResult!I356</f>
        <v>0</v>
      </c>
      <c r="G147" s="27">
        <f>CResult!J356</f>
        <v>0</v>
      </c>
      <c r="H147" s="27">
        <f>CResult!K356</f>
        <v>0</v>
      </c>
      <c r="I147" s="27">
        <f>CResult!L356</f>
        <v>0</v>
      </c>
      <c r="J147" s="27">
        <f>CResult!M356</f>
        <v>0</v>
      </c>
      <c r="K147" s="27">
        <f>CResult!N356</f>
        <v>0</v>
      </c>
      <c r="L147" s="27">
        <f>CResult!O356</f>
        <v>0</v>
      </c>
      <c r="M147" s="27">
        <f>CResult!P356</f>
        <v>0</v>
      </c>
      <c r="N147" s="27">
        <f>CResult!Q356</f>
        <v>0</v>
      </c>
      <c r="O147" s="27">
        <f>CResult!R356</f>
        <v>0</v>
      </c>
      <c r="P147" s="61">
        <f>CResult!S356</f>
        <v>0</v>
      </c>
      <c r="W147" s="27">
        <f>SUM(D147:V147)</f>
        <v>0</v>
      </c>
      <c r="X147" s="27" t="str">
        <f>IF(W147=CResult!Y356,"OK","ERROR")</f>
        <v>OK</v>
      </c>
    </row>
    <row r="148" spans="1:25" ht="12" hidden="1" customHeight="1" x14ac:dyDescent="0.2">
      <c r="B148" s="60"/>
      <c r="C148" s="27" t="s">
        <v>593</v>
      </c>
      <c r="E148" s="27">
        <f>CResult!H357</f>
        <v>0</v>
      </c>
      <c r="F148" s="27">
        <f>CResult!I357</f>
        <v>0</v>
      </c>
      <c r="G148" s="27">
        <f>CResult!J357</f>
        <v>0</v>
      </c>
      <c r="H148" s="27">
        <f>CResult!K357</f>
        <v>0</v>
      </c>
      <c r="I148" s="27">
        <f>CResult!L357</f>
        <v>0</v>
      </c>
      <c r="J148" s="27">
        <f>CResult!M357</f>
        <v>0</v>
      </c>
      <c r="K148" s="27">
        <f>CResult!N357</f>
        <v>0</v>
      </c>
      <c r="L148" s="27">
        <f>CResult!O357</f>
        <v>0</v>
      </c>
      <c r="M148" s="27">
        <f>CResult!P357</f>
        <v>0</v>
      </c>
      <c r="N148" s="27">
        <f>CResult!Q357</f>
        <v>0</v>
      </c>
      <c r="O148" s="27">
        <f>CResult!R357</f>
        <v>0</v>
      </c>
      <c r="P148" s="61">
        <f>CResult!S357</f>
        <v>0</v>
      </c>
      <c r="W148" s="27">
        <f>SUM(D148:V148)</f>
        <v>0</v>
      </c>
      <c r="X148" s="27" t="str">
        <f>IF(W148=CResult!Y357,"OK","ERROR")</f>
        <v>OK</v>
      </c>
    </row>
    <row r="149" spans="1:25" ht="12" hidden="1" customHeight="1" x14ac:dyDescent="0.2">
      <c r="B149" s="60"/>
      <c r="P149" s="61"/>
    </row>
    <row r="150" spans="1:25" ht="12" hidden="1" customHeight="1" x14ac:dyDescent="0.2">
      <c r="B150" s="60" t="s">
        <v>1198</v>
      </c>
      <c r="P150" s="61"/>
    </row>
    <row r="151" spans="1:25" ht="12" hidden="1" customHeight="1" x14ac:dyDescent="0.2">
      <c r="B151" s="60" t="s">
        <v>1419</v>
      </c>
      <c r="E151" s="27">
        <f>CResult!H388</f>
        <v>0</v>
      </c>
      <c r="F151" s="27">
        <f>CResult!I388</f>
        <v>0</v>
      </c>
      <c r="G151" s="27">
        <f>CResult!J388</f>
        <v>0</v>
      </c>
      <c r="H151" s="27">
        <f>CResult!K388</f>
        <v>0</v>
      </c>
      <c r="I151" s="27">
        <f>CResult!L388</f>
        <v>0</v>
      </c>
      <c r="J151" s="27">
        <f>CResult!M388</f>
        <v>0</v>
      </c>
      <c r="K151" s="27">
        <f>CResult!N388</f>
        <v>0</v>
      </c>
      <c r="L151" s="27">
        <f>CResult!O388</f>
        <v>0</v>
      </c>
      <c r="M151" s="27">
        <f>CResult!P388</f>
        <v>0</v>
      </c>
      <c r="N151" s="27">
        <f>CResult!Q388</f>
        <v>0</v>
      </c>
      <c r="O151" s="27">
        <f>CResult!R388</f>
        <v>0</v>
      </c>
      <c r="P151" s="61">
        <f>CResult!S388</f>
        <v>0</v>
      </c>
    </row>
    <row r="152" spans="1:25" ht="12" hidden="1" customHeight="1" x14ac:dyDescent="0.2">
      <c r="B152" s="60" t="s">
        <v>706</v>
      </c>
      <c r="E152" s="27">
        <f>CResult!H389</f>
        <v>0</v>
      </c>
      <c r="F152" s="27">
        <f>CResult!I389</f>
        <v>0</v>
      </c>
      <c r="G152" s="27">
        <f>CResult!J389</f>
        <v>0</v>
      </c>
      <c r="H152" s="27">
        <f>CResult!K389</f>
        <v>0</v>
      </c>
      <c r="I152" s="27">
        <f>CResult!L389</f>
        <v>0</v>
      </c>
      <c r="J152" s="27">
        <f>CResult!M389</f>
        <v>0</v>
      </c>
      <c r="K152" s="27">
        <f>CResult!N389</f>
        <v>0</v>
      </c>
      <c r="L152" s="27">
        <f>CResult!O389</f>
        <v>0</v>
      </c>
      <c r="M152" s="27">
        <f>CResult!P389</f>
        <v>0</v>
      </c>
      <c r="N152" s="27">
        <f>CResult!Q389</f>
        <v>0</v>
      </c>
      <c r="O152" s="27">
        <f>CResult!R389</f>
        <v>0</v>
      </c>
      <c r="P152" s="61">
        <f>CResult!S389</f>
        <v>0</v>
      </c>
      <c r="W152" s="27">
        <f>SUM(D152:V152)</f>
        <v>0</v>
      </c>
    </row>
    <row r="153" spans="1:25" ht="12" hidden="1" customHeight="1" x14ac:dyDescent="0.2">
      <c r="B153" s="60" t="s">
        <v>1421</v>
      </c>
      <c r="E153" s="27">
        <f>CResult!H411</f>
        <v>0</v>
      </c>
      <c r="F153" s="27">
        <f>CResult!I411</f>
        <v>0</v>
      </c>
      <c r="G153" s="27">
        <f>CResult!J411</f>
        <v>0</v>
      </c>
      <c r="H153" s="27">
        <f>CResult!K411</f>
        <v>0</v>
      </c>
      <c r="I153" s="27">
        <f>CResult!L411</f>
        <v>0</v>
      </c>
      <c r="J153" s="27">
        <f>CResult!M411</f>
        <v>0</v>
      </c>
      <c r="K153" s="27">
        <f>CResult!N411</f>
        <v>0</v>
      </c>
      <c r="L153" s="27">
        <f>CResult!O411</f>
        <v>0</v>
      </c>
      <c r="M153" s="27">
        <f>CResult!P411</f>
        <v>0</v>
      </c>
      <c r="N153" s="27">
        <f>CResult!Q411</f>
        <v>0</v>
      </c>
      <c r="O153" s="27">
        <f>CResult!R411</f>
        <v>0</v>
      </c>
      <c r="P153" s="61">
        <f>CResult!S411</f>
        <v>0</v>
      </c>
    </row>
    <row r="154" spans="1:25" ht="12" hidden="1" customHeight="1" x14ac:dyDescent="0.2">
      <c r="B154" s="60" t="s">
        <v>704</v>
      </c>
      <c r="E154" s="27">
        <f>CResult!H412</f>
        <v>0</v>
      </c>
      <c r="F154" s="27">
        <f>CResult!I412</f>
        <v>0</v>
      </c>
      <c r="G154" s="27">
        <f>CResult!J412</f>
        <v>0</v>
      </c>
      <c r="H154" s="27">
        <f>CResult!K412</f>
        <v>0</v>
      </c>
      <c r="I154" s="27">
        <f>CResult!L412</f>
        <v>0</v>
      </c>
      <c r="J154" s="27">
        <f>CResult!M412</f>
        <v>0</v>
      </c>
      <c r="K154" s="27">
        <f>CResult!N412</f>
        <v>0</v>
      </c>
      <c r="L154" s="27">
        <f>CResult!O412</f>
        <v>0</v>
      </c>
      <c r="M154" s="27">
        <f>CResult!P412</f>
        <v>0</v>
      </c>
      <c r="N154" s="27">
        <f>CResult!Q412</f>
        <v>0</v>
      </c>
      <c r="O154" s="27">
        <f>CResult!R412</f>
        <v>0</v>
      </c>
      <c r="P154" s="61">
        <f>CResult!S412</f>
        <v>0</v>
      </c>
      <c r="W154" s="27">
        <f>SUM(D154:V154)</f>
        <v>0</v>
      </c>
    </row>
    <row r="155" spans="1:25" ht="12" hidden="1" customHeight="1" x14ac:dyDescent="0.2">
      <c r="B155" s="60" t="s">
        <v>707</v>
      </c>
      <c r="P155" s="61"/>
      <c r="W155" s="27">
        <f>SUM(D155:V155)</f>
        <v>0</v>
      </c>
    </row>
    <row r="156" spans="1:25" ht="12" hidden="1" customHeight="1" x14ac:dyDescent="0.2">
      <c r="B156" s="60"/>
      <c r="P156" s="61"/>
    </row>
    <row r="157" spans="1:25" ht="12" hidden="1" customHeight="1" x14ac:dyDescent="0.2">
      <c r="A157" s="27" t="s">
        <v>426</v>
      </c>
      <c r="B157" s="65" t="s">
        <v>226</v>
      </c>
      <c r="C157" s="66"/>
      <c r="D157" s="66">
        <f>+D152+D147+D145+D143+D140+D139+D138+D136+D135+D134+D127+D137</f>
        <v>0</v>
      </c>
      <c r="E157" s="66">
        <f>+E152+E147+E145+E143+E140+E139+E138+E136+E135+E134+E92+E137</f>
        <v>0</v>
      </c>
      <c r="F157" s="66">
        <f t="shared" ref="F157:P157" si="56">+F152+F147+F145+F143+F140+F139+F138+F136+F135+F134+F92</f>
        <v>0</v>
      </c>
      <c r="G157" s="66">
        <f t="shared" si="56"/>
        <v>0</v>
      </c>
      <c r="H157" s="66">
        <f t="shared" si="56"/>
        <v>0</v>
      </c>
      <c r="I157" s="66">
        <f t="shared" si="56"/>
        <v>0</v>
      </c>
      <c r="J157" s="66">
        <f t="shared" si="56"/>
        <v>0</v>
      </c>
      <c r="K157" s="66">
        <f t="shared" si="56"/>
        <v>0</v>
      </c>
      <c r="L157" s="66">
        <f t="shared" si="56"/>
        <v>0</v>
      </c>
      <c r="M157" s="66">
        <f t="shared" si="56"/>
        <v>0</v>
      </c>
      <c r="N157" s="66">
        <f t="shared" si="56"/>
        <v>0</v>
      </c>
      <c r="O157" s="66">
        <f t="shared" si="56"/>
        <v>0</v>
      </c>
      <c r="P157" s="67">
        <f t="shared" si="56"/>
        <v>0</v>
      </c>
      <c r="W157" s="27">
        <f>SUM(D157:V157)</f>
        <v>0</v>
      </c>
      <c r="X157" s="27" t="str">
        <f>IF(W157=CResult!V361,"OK","ERROR")</f>
        <v>OK</v>
      </c>
      <c r="Y157" s="27">
        <f>CResult!$V$361</f>
        <v>0</v>
      </c>
    </row>
    <row r="158" spans="1:25" ht="12" hidden="1" customHeight="1" x14ac:dyDescent="0.2">
      <c r="B158" s="60"/>
      <c r="P158" s="61"/>
      <c r="Y158" s="27" t="s">
        <v>1200</v>
      </c>
    </row>
    <row r="159" spans="1:25" ht="12" hidden="1" customHeight="1" x14ac:dyDescent="0.2">
      <c r="B159" s="60"/>
      <c r="P159" s="61"/>
    </row>
    <row r="160" spans="1:25" ht="12" hidden="1" customHeight="1" x14ac:dyDescent="0.2">
      <c r="B160" s="60"/>
      <c r="P160" s="61"/>
    </row>
    <row r="161" spans="1:24" ht="12" hidden="1" customHeight="1" x14ac:dyDescent="0.2">
      <c r="B161" s="60"/>
      <c r="P161" s="61"/>
    </row>
    <row r="162" spans="1:24" hidden="1" x14ac:dyDescent="0.2">
      <c r="B162" s="62" t="s">
        <v>998</v>
      </c>
      <c r="C162" s="63"/>
      <c r="D162" s="63"/>
      <c r="E162" s="63"/>
      <c r="F162" s="63"/>
      <c r="G162" s="63"/>
      <c r="H162" s="63"/>
      <c r="I162" s="63"/>
      <c r="J162" s="63"/>
      <c r="K162" s="63"/>
      <c r="L162" s="63"/>
      <c r="M162" s="63"/>
      <c r="N162" s="63"/>
      <c r="O162" s="63"/>
      <c r="P162" s="64"/>
    </row>
    <row r="163" spans="1:24" hidden="1" x14ac:dyDescent="0.2">
      <c r="B163" s="62"/>
      <c r="C163" s="63" t="s">
        <v>999</v>
      </c>
      <c r="D163" s="63"/>
      <c r="E163" s="63" t="str">
        <f t="shared" ref="E163:P163" si="57">E2</f>
        <v>Enero</v>
      </c>
      <c r="F163" s="63" t="str">
        <f t="shared" si="57"/>
        <v>Febrero</v>
      </c>
      <c r="G163" s="63" t="str">
        <f t="shared" si="57"/>
        <v>Marzo</v>
      </c>
      <c r="H163" s="63" t="str">
        <f t="shared" si="57"/>
        <v>Abril</v>
      </c>
      <c r="I163" s="63" t="str">
        <f t="shared" si="57"/>
        <v xml:space="preserve">Mayo </v>
      </c>
      <c r="J163" s="63" t="str">
        <f t="shared" si="57"/>
        <v>Junio</v>
      </c>
      <c r="K163" s="63" t="str">
        <f t="shared" si="57"/>
        <v>Julio</v>
      </c>
      <c r="L163" s="63" t="str">
        <f t="shared" si="57"/>
        <v>Agosto</v>
      </c>
      <c r="M163" s="63" t="str">
        <f t="shared" si="57"/>
        <v>Septiembre</v>
      </c>
      <c r="N163" s="63" t="str">
        <f t="shared" si="57"/>
        <v>Octubre</v>
      </c>
      <c r="O163" s="63" t="str">
        <f t="shared" si="57"/>
        <v>Noviembre</v>
      </c>
      <c r="P163" s="64" t="str">
        <f t="shared" si="57"/>
        <v>Diciembre</v>
      </c>
      <c r="Q163" s="63" t="str">
        <f t="shared" ref="Q163:V163" si="58">E163</f>
        <v>Enero</v>
      </c>
      <c r="R163" s="63" t="str">
        <f t="shared" si="58"/>
        <v>Febrero</v>
      </c>
      <c r="S163" s="63" t="str">
        <f t="shared" si="58"/>
        <v>Marzo</v>
      </c>
      <c r="T163" s="63" t="str">
        <f t="shared" si="58"/>
        <v>Abril</v>
      </c>
      <c r="U163" s="63" t="str">
        <f t="shared" si="58"/>
        <v xml:space="preserve">Mayo </v>
      </c>
      <c r="V163" s="63" t="str">
        <f t="shared" si="58"/>
        <v>Junio</v>
      </c>
      <c r="W163" s="63"/>
      <c r="X163" s="64"/>
    </row>
    <row r="164" spans="1:24" hidden="1" x14ac:dyDescent="0.2">
      <c r="B164" s="60"/>
      <c r="C164" s="27" t="s">
        <v>1016</v>
      </c>
      <c r="P164" s="61"/>
      <c r="X164" s="61"/>
    </row>
    <row r="165" spans="1:24" hidden="1" x14ac:dyDescent="0.2">
      <c r="B165" s="60" t="s">
        <v>1423</v>
      </c>
      <c r="D165" s="27" t="s">
        <v>1222</v>
      </c>
      <c r="E165" s="27">
        <f>+E167-E164</f>
        <v>0</v>
      </c>
      <c r="F165" s="27">
        <f>+E165-F164</f>
        <v>0</v>
      </c>
      <c r="G165" s="27">
        <f t="shared" ref="G165:P165" si="59">+F165-G164</f>
        <v>0</v>
      </c>
      <c r="H165" s="27">
        <f t="shared" si="59"/>
        <v>0</v>
      </c>
      <c r="I165" s="27">
        <f t="shared" si="59"/>
        <v>0</v>
      </c>
      <c r="J165" s="27">
        <f t="shared" si="59"/>
        <v>0</v>
      </c>
      <c r="K165" s="27">
        <f t="shared" si="59"/>
        <v>0</v>
      </c>
      <c r="L165" s="27">
        <f t="shared" si="59"/>
        <v>0</v>
      </c>
      <c r="M165" s="27">
        <f t="shared" si="59"/>
        <v>0</v>
      </c>
      <c r="N165" s="27">
        <f t="shared" si="59"/>
        <v>0</v>
      </c>
      <c r="O165" s="27">
        <f t="shared" si="59"/>
        <v>0</v>
      </c>
      <c r="P165" s="61">
        <f t="shared" si="59"/>
        <v>0</v>
      </c>
      <c r="X165" s="61"/>
    </row>
    <row r="166" spans="1:24" hidden="1" x14ac:dyDescent="0.2">
      <c r="A166" s="27" t="s">
        <v>1014</v>
      </c>
      <c r="B166" s="60" t="s">
        <v>1017</v>
      </c>
      <c r="C166" s="27" t="s">
        <v>1018</v>
      </c>
      <c r="P166" s="61"/>
      <c r="X166" s="61"/>
    </row>
    <row r="167" spans="1:24" hidden="1" x14ac:dyDescent="0.2">
      <c r="B167" s="60"/>
      <c r="C167" s="27" t="s">
        <v>1019</v>
      </c>
      <c r="E167" s="27">
        <f>SUM(E164:P164)</f>
        <v>0</v>
      </c>
      <c r="P167" s="61"/>
      <c r="X167" s="61"/>
    </row>
    <row r="168" spans="1:24" hidden="1" x14ac:dyDescent="0.2">
      <c r="B168" s="60"/>
      <c r="C168" s="27" t="str">
        <f>+E163</f>
        <v>Enero</v>
      </c>
      <c r="D168" s="27" t="s">
        <v>1020</v>
      </c>
      <c r="E168" s="27">
        <f>+E166+E17</f>
        <v>0</v>
      </c>
      <c r="P168" s="61"/>
      <c r="W168" s="27">
        <f>SUM(E168:V168)</f>
        <v>0</v>
      </c>
      <c r="X168" s="61"/>
    </row>
    <row r="169" spans="1:24" hidden="1" x14ac:dyDescent="0.2">
      <c r="B169" s="60"/>
      <c r="D169" s="27" t="s">
        <v>1021</v>
      </c>
      <c r="E169" s="27">
        <f>E164</f>
        <v>0</v>
      </c>
      <c r="F169" s="27">
        <f>F164+F18+F166</f>
        <v>0</v>
      </c>
      <c r="G169" s="27">
        <f>G164+G19+G166</f>
        <v>0</v>
      </c>
      <c r="H169" s="27">
        <f>H164+H20+H166</f>
        <v>0</v>
      </c>
      <c r="I169" s="27">
        <f>I164+I21+I166</f>
        <v>0</v>
      </c>
      <c r="J169" s="27">
        <f>J164+J22+J166</f>
        <v>0</v>
      </c>
      <c r="K169" s="27">
        <f>K164+K23+K166</f>
        <v>0</v>
      </c>
      <c r="L169" s="27">
        <f>L164+L166</f>
        <v>0</v>
      </c>
      <c r="M169" s="27">
        <f>M164+M166</f>
        <v>0</v>
      </c>
      <c r="N169" s="27">
        <f>N164+N166</f>
        <v>0</v>
      </c>
      <c r="O169" s="27">
        <f>O164+O166</f>
        <v>0</v>
      </c>
      <c r="P169" s="61">
        <f>P164+P166</f>
        <v>0</v>
      </c>
      <c r="W169" s="27">
        <f>SUM(E169:V169)+W168</f>
        <v>0</v>
      </c>
      <c r="X169" s="61"/>
    </row>
    <row r="170" spans="1:24" hidden="1" x14ac:dyDescent="0.2">
      <c r="B170" s="60"/>
      <c r="D170" s="27" t="s">
        <v>1022</v>
      </c>
      <c r="E170" s="27">
        <f>+E223+E167-E169</f>
        <v>0</v>
      </c>
      <c r="F170" s="27">
        <f>IF(F169&lt;E170,E170-F169,0)</f>
        <v>0</v>
      </c>
      <c r="G170" s="27">
        <f t="shared" ref="G170:P170" si="60">IF(G169&lt;F170,F170-G169,0)</f>
        <v>0</v>
      </c>
      <c r="H170" s="27">
        <f t="shared" si="60"/>
        <v>0</v>
      </c>
      <c r="I170" s="27">
        <f t="shared" si="60"/>
        <v>0</v>
      </c>
      <c r="J170" s="27">
        <f t="shared" si="60"/>
        <v>0</v>
      </c>
      <c r="K170" s="27">
        <f t="shared" si="60"/>
        <v>0</v>
      </c>
      <c r="L170" s="27">
        <f t="shared" si="60"/>
        <v>0</v>
      </c>
      <c r="M170" s="27">
        <f t="shared" si="60"/>
        <v>0</v>
      </c>
      <c r="N170" s="27">
        <f t="shared" si="60"/>
        <v>0</v>
      </c>
      <c r="O170" s="27">
        <f t="shared" si="60"/>
        <v>0</v>
      </c>
      <c r="P170" s="61">
        <f t="shared" si="60"/>
        <v>0</v>
      </c>
      <c r="X170" s="61"/>
    </row>
    <row r="171" spans="1:24" hidden="1" x14ac:dyDescent="0.2">
      <c r="B171" s="60"/>
      <c r="D171" s="27" t="s">
        <v>1023</v>
      </c>
      <c r="F171" s="27">
        <f>IF(F170&gt;0,0,F169-E170)</f>
        <v>0</v>
      </c>
      <c r="G171" s="27">
        <f t="shared" ref="G171:P171" si="61">IF(G170&gt;0,0,G169-F170)</f>
        <v>0</v>
      </c>
      <c r="H171" s="27">
        <f t="shared" si="61"/>
        <v>0</v>
      </c>
      <c r="I171" s="27">
        <f t="shared" si="61"/>
        <v>0</v>
      </c>
      <c r="J171" s="27">
        <f t="shared" si="61"/>
        <v>0</v>
      </c>
      <c r="K171" s="27">
        <f t="shared" si="61"/>
        <v>0</v>
      </c>
      <c r="L171" s="27">
        <f t="shared" si="61"/>
        <v>0</v>
      </c>
      <c r="M171" s="27">
        <f t="shared" si="61"/>
        <v>0</v>
      </c>
      <c r="N171" s="27">
        <f t="shared" si="61"/>
        <v>0</v>
      </c>
      <c r="O171" s="27">
        <f t="shared" si="61"/>
        <v>0</v>
      </c>
      <c r="P171" s="61">
        <f t="shared" si="61"/>
        <v>0</v>
      </c>
      <c r="W171" s="27">
        <f>SUM(E171:V171)</f>
        <v>0</v>
      </c>
      <c r="X171" s="61"/>
    </row>
    <row r="172" spans="1:24" hidden="1" x14ac:dyDescent="0.2">
      <c r="B172" s="60"/>
      <c r="D172" s="27" t="s">
        <v>1020</v>
      </c>
      <c r="F172" s="27">
        <f>+F17+F171</f>
        <v>0</v>
      </c>
      <c r="P172" s="61"/>
      <c r="W172" s="27">
        <f>SUM(E172:V172)+E171</f>
        <v>0</v>
      </c>
      <c r="X172" s="61"/>
    </row>
    <row r="173" spans="1:24" hidden="1" x14ac:dyDescent="0.2">
      <c r="B173" s="60"/>
      <c r="C173" s="27" t="str">
        <f>+F163</f>
        <v>Febrero</v>
      </c>
      <c r="D173" s="27" t="s">
        <v>1021</v>
      </c>
      <c r="G173" s="27">
        <f>+G18+G171</f>
        <v>0</v>
      </c>
      <c r="H173" s="27">
        <f>+H19+H171</f>
        <v>0</v>
      </c>
      <c r="I173" s="27">
        <f>+I20+I171</f>
        <v>0</v>
      </c>
      <c r="J173" s="27">
        <f>+J21+J171</f>
        <v>0</v>
      </c>
      <c r="K173" s="27">
        <f>+K22+K171</f>
        <v>0</v>
      </c>
      <c r="L173" s="27">
        <f>+L23+L171</f>
        <v>0</v>
      </c>
      <c r="M173" s="27">
        <f>+M171</f>
        <v>0</v>
      </c>
      <c r="N173" s="27">
        <f>+N171</f>
        <v>0</v>
      </c>
      <c r="O173" s="27">
        <f>+O171</f>
        <v>0</v>
      </c>
      <c r="P173" s="61">
        <f>+P171</f>
        <v>0</v>
      </c>
      <c r="W173" s="27">
        <f>SUM(E173:V173)+W172-W171</f>
        <v>0</v>
      </c>
      <c r="X173" s="61"/>
    </row>
    <row r="174" spans="1:24" hidden="1" x14ac:dyDescent="0.2">
      <c r="B174" s="60"/>
      <c r="D174" s="27" t="s">
        <v>1022</v>
      </c>
      <c r="F174" s="27">
        <f>+F223</f>
        <v>0</v>
      </c>
      <c r="G174" s="27">
        <f t="shared" ref="G174:P174" si="62">IF(G173&lt;F174,F174-G173,0)</f>
        <v>0</v>
      </c>
      <c r="H174" s="27">
        <f t="shared" si="62"/>
        <v>0</v>
      </c>
      <c r="I174" s="27">
        <f t="shared" si="62"/>
        <v>0</v>
      </c>
      <c r="J174" s="27">
        <f t="shared" si="62"/>
        <v>0</v>
      </c>
      <c r="K174" s="27">
        <f t="shared" si="62"/>
        <v>0</v>
      </c>
      <c r="L174" s="27">
        <f t="shared" si="62"/>
        <v>0</v>
      </c>
      <c r="M174" s="27">
        <f t="shared" si="62"/>
        <v>0</v>
      </c>
      <c r="N174" s="27">
        <f t="shared" si="62"/>
        <v>0</v>
      </c>
      <c r="O174" s="27">
        <f t="shared" si="62"/>
        <v>0</v>
      </c>
      <c r="P174" s="61">
        <f t="shared" si="62"/>
        <v>0</v>
      </c>
      <c r="X174" s="61"/>
    </row>
    <row r="175" spans="1:24" hidden="1" x14ac:dyDescent="0.2">
      <c r="B175" s="60"/>
      <c r="D175" s="27" t="s">
        <v>1023</v>
      </c>
      <c r="G175" s="27">
        <f t="shared" ref="G175:P175" si="63">IF(G174&gt;0,0,G173-F174)</f>
        <v>0</v>
      </c>
      <c r="H175" s="27">
        <f t="shared" si="63"/>
        <v>0</v>
      </c>
      <c r="I175" s="27">
        <f t="shared" si="63"/>
        <v>0</v>
      </c>
      <c r="J175" s="27">
        <f t="shared" si="63"/>
        <v>0</v>
      </c>
      <c r="K175" s="27">
        <f t="shared" si="63"/>
        <v>0</v>
      </c>
      <c r="L175" s="27">
        <f t="shared" si="63"/>
        <v>0</v>
      </c>
      <c r="M175" s="27">
        <f t="shared" si="63"/>
        <v>0</v>
      </c>
      <c r="N175" s="27">
        <f t="shared" si="63"/>
        <v>0</v>
      </c>
      <c r="O175" s="27">
        <f t="shared" si="63"/>
        <v>0</v>
      </c>
      <c r="P175" s="61">
        <f t="shared" si="63"/>
        <v>0</v>
      </c>
      <c r="W175" s="27">
        <f>SUM(E175:V175)</f>
        <v>0</v>
      </c>
      <c r="X175" s="61"/>
    </row>
    <row r="176" spans="1:24" hidden="1" x14ac:dyDescent="0.2">
      <c r="B176" s="60"/>
      <c r="D176" s="27" t="s">
        <v>1020</v>
      </c>
      <c r="G176" s="27">
        <f>+G17+G175</f>
        <v>0</v>
      </c>
      <c r="P176" s="61"/>
      <c r="W176" s="27">
        <f>SUM(E176:V176)+E175</f>
        <v>0</v>
      </c>
      <c r="X176" s="61"/>
    </row>
    <row r="177" spans="2:24" hidden="1" x14ac:dyDescent="0.2">
      <c r="B177" s="60"/>
      <c r="C177" s="27" t="str">
        <f>+G163</f>
        <v>Marzo</v>
      </c>
      <c r="D177" s="27" t="s">
        <v>1021</v>
      </c>
      <c r="H177" s="27">
        <f>+H18+H175</f>
        <v>0</v>
      </c>
      <c r="I177" s="27">
        <f>+I19+I175</f>
        <v>0</v>
      </c>
      <c r="J177" s="27">
        <f>+J20+J175</f>
        <v>0</v>
      </c>
      <c r="K177" s="27">
        <f>+K21+K175</f>
        <v>0</v>
      </c>
      <c r="L177" s="27">
        <f>+L22+L175</f>
        <v>0</v>
      </c>
      <c r="M177" s="27">
        <f>+M23+M175</f>
        <v>0</v>
      </c>
      <c r="N177" s="27">
        <f>+N175</f>
        <v>0</v>
      </c>
      <c r="O177" s="27">
        <f>+O175</f>
        <v>0</v>
      </c>
      <c r="P177" s="61">
        <f>+P175</f>
        <v>0</v>
      </c>
      <c r="W177" s="27">
        <f>SUM(E177:V177)+W176-W175</f>
        <v>0</v>
      </c>
      <c r="X177" s="61"/>
    </row>
    <row r="178" spans="2:24" hidden="1" x14ac:dyDescent="0.2">
      <c r="B178" s="60"/>
      <c r="D178" s="27" t="s">
        <v>1022</v>
      </c>
      <c r="G178" s="27">
        <f>+G223</f>
        <v>0</v>
      </c>
      <c r="H178" s="27">
        <f t="shared" ref="H178:P178" si="64">IF(H177&lt;G178,G178-H177,0)</f>
        <v>0</v>
      </c>
      <c r="I178" s="27">
        <f t="shared" si="64"/>
        <v>0</v>
      </c>
      <c r="J178" s="27">
        <f t="shared" si="64"/>
        <v>0</v>
      </c>
      <c r="K178" s="27">
        <f t="shared" si="64"/>
        <v>0</v>
      </c>
      <c r="L178" s="27">
        <f t="shared" si="64"/>
        <v>0</v>
      </c>
      <c r="M178" s="27">
        <f t="shared" si="64"/>
        <v>0</v>
      </c>
      <c r="N178" s="27">
        <f t="shared" si="64"/>
        <v>0</v>
      </c>
      <c r="O178" s="27">
        <f t="shared" si="64"/>
        <v>0</v>
      </c>
      <c r="P178" s="61">
        <f t="shared" si="64"/>
        <v>0</v>
      </c>
      <c r="X178" s="61"/>
    </row>
    <row r="179" spans="2:24" hidden="1" x14ac:dyDescent="0.2">
      <c r="B179" s="60"/>
      <c r="D179" s="27" t="s">
        <v>1023</v>
      </c>
      <c r="H179" s="27">
        <f t="shared" ref="H179:P179" si="65">IF(H178&gt;0,0,H177-G178)</f>
        <v>0</v>
      </c>
      <c r="I179" s="27">
        <f t="shared" si="65"/>
        <v>0</v>
      </c>
      <c r="J179" s="27">
        <f t="shared" si="65"/>
        <v>0</v>
      </c>
      <c r="K179" s="27">
        <f t="shared" si="65"/>
        <v>0</v>
      </c>
      <c r="L179" s="27">
        <f t="shared" si="65"/>
        <v>0</v>
      </c>
      <c r="M179" s="27">
        <f t="shared" si="65"/>
        <v>0</v>
      </c>
      <c r="N179" s="27">
        <f t="shared" si="65"/>
        <v>0</v>
      </c>
      <c r="O179" s="27">
        <f t="shared" si="65"/>
        <v>0</v>
      </c>
      <c r="P179" s="61">
        <f t="shared" si="65"/>
        <v>0</v>
      </c>
      <c r="W179" s="27">
        <f>SUM(E179:V179)</f>
        <v>0</v>
      </c>
      <c r="X179" s="61"/>
    </row>
    <row r="180" spans="2:24" hidden="1" x14ac:dyDescent="0.2">
      <c r="B180" s="60"/>
      <c r="D180" s="27" t="s">
        <v>1020</v>
      </c>
      <c r="H180" s="27">
        <f>+H17+H179</f>
        <v>0</v>
      </c>
      <c r="P180" s="61"/>
      <c r="W180" s="27">
        <f>SUM(E180:V180)+E179</f>
        <v>0</v>
      </c>
      <c r="X180" s="61"/>
    </row>
    <row r="181" spans="2:24" hidden="1" x14ac:dyDescent="0.2">
      <c r="B181" s="60"/>
      <c r="C181" s="27">
        <f>+H13</f>
        <v>4</v>
      </c>
      <c r="D181" s="27" t="s">
        <v>1024</v>
      </c>
      <c r="I181" s="27">
        <f>+I18+I179</f>
        <v>0</v>
      </c>
      <c r="J181" s="27">
        <f>+J19+J179</f>
        <v>0</v>
      </c>
      <c r="K181" s="27">
        <f>+K20+K179</f>
        <v>0</v>
      </c>
      <c r="L181" s="27">
        <f>+L21+L179</f>
        <v>0</v>
      </c>
      <c r="M181" s="27">
        <f>+M22+M179</f>
        <v>0</v>
      </c>
      <c r="N181" s="27">
        <f>+N23+N179</f>
        <v>0</v>
      </c>
      <c r="O181" s="27">
        <f>+O179</f>
        <v>0</v>
      </c>
      <c r="P181" s="61">
        <f>+P179</f>
        <v>0</v>
      </c>
      <c r="W181" s="27">
        <f>SUM(E181:V181)+W180-W179</f>
        <v>0</v>
      </c>
      <c r="X181" s="61"/>
    </row>
    <row r="182" spans="2:24" hidden="1" x14ac:dyDescent="0.2">
      <c r="B182" s="60"/>
      <c r="D182" s="27" t="s">
        <v>1025</v>
      </c>
      <c r="H182" s="27">
        <f>+H223</f>
        <v>0</v>
      </c>
      <c r="I182" s="27">
        <f t="shared" ref="I182:P182" si="66">IF(I181&lt;H182,H182-I181,0)</f>
        <v>0</v>
      </c>
      <c r="J182" s="27">
        <f t="shared" si="66"/>
        <v>0</v>
      </c>
      <c r="K182" s="27">
        <f t="shared" si="66"/>
        <v>0</v>
      </c>
      <c r="L182" s="27">
        <f t="shared" si="66"/>
        <v>0</v>
      </c>
      <c r="M182" s="27">
        <f t="shared" si="66"/>
        <v>0</v>
      </c>
      <c r="N182" s="27">
        <f t="shared" si="66"/>
        <v>0</v>
      </c>
      <c r="O182" s="27">
        <f t="shared" si="66"/>
        <v>0</v>
      </c>
      <c r="P182" s="61">
        <f t="shared" si="66"/>
        <v>0</v>
      </c>
      <c r="X182" s="61"/>
    </row>
    <row r="183" spans="2:24" hidden="1" x14ac:dyDescent="0.2">
      <c r="B183" s="60"/>
      <c r="D183" s="27" t="s">
        <v>1026</v>
      </c>
      <c r="I183" s="27">
        <f t="shared" ref="I183:P183" si="67">IF(I182&gt;0,0,I181-H182)</f>
        <v>0</v>
      </c>
      <c r="J183" s="27">
        <f t="shared" si="67"/>
        <v>0</v>
      </c>
      <c r="K183" s="27">
        <f t="shared" si="67"/>
        <v>0</v>
      </c>
      <c r="L183" s="27">
        <f t="shared" si="67"/>
        <v>0</v>
      </c>
      <c r="M183" s="27">
        <f t="shared" si="67"/>
        <v>0</v>
      </c>
      <c r="N183" s="27">
        <f t="shared" si="67"/>
        <v>0</v>
      </c>
      <c r="O183" s="27">
        <f t="shared" si="67"/>
        <v>0</v>
      </c>
      <c r="P183" s="61">
        <f t="shared" si="67"/>
        <v>0</v>
      </c>
      <c r="W183" s="27">
        <f>SUM(E183:V183)</f>
        <v>0</v>
      </c>
      <c r="X183" s="61"/>
    </row>
    <row r="184" spans="2:24" hidden="1" x14ac:dyDescent="0.2">
      <c r="B184" s="60"/>
      <c r="D184" s="27" t="s">
        <v>1020</v>
      </c>
      <c r="I184" s="27">
        <f>+I17+I183</f>
        <v>0</v>
      </c>
      <c r="P184" s="61"/>
      <c r="W184" s="27">
        <f>SUM(E184:V184)+E183</f>
        <v>0</v>
      </c>
      <c r="X184" s="61"/>
    </row>
    <row r="185" spans="2:24" hidden="1" x14ac:dyDescent="0.2">
      <c r="B185" s="60"/>
      <c r="C185" s="27" t="str">
        <f>+I163</f>
        <v xml:space="preserve">Mayo </v>
      </c>
      <c r="D185" s="27" t="s">
        <v>1024</v>
      </c>
      <c r="J185" s="27">
        <f>+J18+J183</f>
        <v>0</v>
      </c>
      <c r="K185" s="27">
        <f>+K19+K183</f>
        <v>0</v>
      </c>
      <c r="L185" s="27">
        <f>+L20+L183</f>
        <v>0</v>
      </c>
      <c r="M185" s="27">
        <f>+M21+M183</f>
        <v>0</v>
      </c>
      <c r="N185" s="27">
        <f>+N22+N183</f>
        <v>0</v>
      </c>
      <c r="O185" s="27">
        <f>+O23+O183</f>
        <v>0</v>
      </c>
      <c r="P185" s="61">
        <f>+P183</f>
        <v>0</v>
      </c>
      <c r="W185" s="27">
        <f>SUM(E185:V185)+W184-W183</f>
        <v>0</v>
      </c>
      <c r="X185" s="61"/>
    </row>
    <row r="186" spans="2:24" hidden="1" x14ac:dyDescent="0.2">
      <c r="B186" s="60"/>
      <c r="D186" s="27" t="s">
        <v>1025</v>
      </c>
      <c r="I186" s="27">
        <f>+I223</f>
        <v>0</v>
      </c>
      <c r="J186" s="27">
        <f t="shared" ref="J186:P186" si="68">IF(J185&lt;I186,I186-J185,0)</f>
        <v>0</v>
      </c>
      <c r="K186" s="27">
        <f t="shared" si="68"/>
        <v>0</v>
      </c>
      <c r="L186" s="27">
        <f t="shared" si="68"/>
        <v>0</v>
      </c>
      <c r="M186" s="27">
        <f t="shared" si="68"/>
        <v>0</v>
      </c>
      <c r="N186" s="27">
        <f t="shared" si="68"/>
        <v>0</v>
      </c>
      <c r="O186" s="27">
        <f t="shared" si="68"/>
        <v>0</v>
      </c>
      <c r="P186" s="61">
        <f t="shared" si="68"/>
        <v>0</v>
      </c>
      <c r="X186" s="61"/>
    </row>
    <row r="187" spans="2:24" hidden="1" x14ac:dyDescent="0.2">
      <c r="B187" s="60"/>
      <c r="D187" s="27" t="s">
        <v>1026</v>
      </c>
      <c r="J187" s="27">
        <f t="shared" ref="J187:P187" si="69">IF(J186&gt;0,0,J185-I186)</f>
        <v>0</v>
      </c>
      <c r="K187" s="27">
        <f t="shared" si="69"/>
        <v>0</v>
      </c>
      <c r="L187" s="27">
        <f t="shared" si="69"/>
        <v>0</v>
      </c>
      <c r="M187" s="27">
        <f t="shared" si="69"/>
        <v>0</v>
      </c>
      <c r="N187" s="27">
        <f t="shared" si="69"/>
        <v>0</v>
      </c>
      <c r="O187" s="27">
        <f t="shared" si="69"/>
        <v>0</v>
      </c>
      <c r="P187" s="61">
        <f t="shared" si="69"/>
        <v>0</v>
      </c>
      <c r="W187" s="27">
        <f>SUM(E187:V187)</f>
        <v>0</v>
      </c>
      <c r="X187" s="61"/>
    </row>
    <row r="188" spans="2:24" hidden="1" x14ac:dyDescent="0.2">
      <c r="B188" s="60"/>
      <c r="D188" s="27" t="s">
        <v>1020</v>
      </c>
      <c r="J188" s="27">
        <f>+J17+J187</f>
        <v>0</v>
      </c>
      <c r="P188" s="61"/>
      <c r="W188" s="27">
        <f>SUM(E188:V188)+E187</f>
        <v>0</v>
      </c>
      <c r="X188" s="61"/>
    </row>
    <row r="189" spans="2:24" hidden="1" x14ac:dyDescent="0.2">
      <c r="B189" s="60"/>
      <c r="C189" s="27">
        <f>+J13</f>
        <v>6</v>
      </c>
      <c r="D189" s="27" t="s">
        <v>1024</v>
      </c>
      <c r="K189" s="27">
        <f>+K18+K187</f>
        <v>0</v>
      </c>
      <c r="L189" s="27">
        <f>+L19+L187</f>
        <v>0</v>
      </c>
      <c r="M189" s="27">
        <f>+M20+M187</f>
        <v>0</v>
      </c>
      <c r="N189" s="27">
        <f>+N21+N187</f>
        <v>0</v>
      </c>
      <c r="O189" s="27">
        <f>+O22+O187</f>
        <v>0</v>
      </c>
      <c r="P189" s="61">
        <f>+P23+P187</f>
        <v>0</v>
      </c>
      <c r="W189" s="27">
        <f>SUM(E189:V189)+W188-W187</f>
        <v>0</v>
      </c>
      <c r="X189" s="61"/>
    </row>
    <row r="190" spans="2:24" hidden="1" x14ac:dyDescent="0.2">
      <c r="B190" s="60"/>
      <c r="D190" s="27" t="s">
        <v>1025</v>
      </c>
      <c r="J190" s="27">
        <f>+J223</f>
        <v>0</v>
      </c>
      <c r="K190" s="27">
        <f t="shared" ref="K190:P190" si="70">IF(K189&lt;J190,J190-K189,0)</f>
        <v>0</v>
      </c>
      <c r="L190" s="27">
        <f t="shared" si="70"/>
        <v>0</v>
      </c>
      <c r="M190" s="27">
        <f t="shared" si="70"/>
        <v>0</v>
      </c>
      <c r="N190" s="27">
        <f t="shared" si="70"/>
        <v>0</v>
      </c>
      <c r="O190" s="27">
        <f t="shared" si="70"/>
        <v>0</v>
      </c>
      <c r="P190" s="61">
        <f t="shared" si="70"/>
        <v>0</v>
      </c>
      <c r="X190" s="61"/>
    </row>
    <row r="191" spans="2:24" hidden="1" x14ac:dyDescent="0.2">
      <c r="B191" s="60"/>
      <c r="D191" s="27" t="s">
        <v>1026</v>
      </c>
      <c r="K191" s="27">
        <f t="shared" ref="K191:P191" si="71">IF(K190&gt;0,0,K189-J190)</f>
        <v>0</v>
      </c>
      <c r="L191" s="27">
        <f t="shared" si="71"/>
        <v>0</v>
      </c>
      <c r="M191" s="27">
        <f t="shared" si="71"/>
        <v>0</v>
      </c>
      <c r="N191" s="27">
        <f t="shared" si="71"/>
        <v>0</v>
      </c>
      <c r="O191" s="27">
        <f t="shared" si="71"/>
        <v>0</v>
      </c>
      <c r="P191" s="61">
        <f t="shared" si="71"/>
        <v>0</v>
      </c>
      <c r="W191" s="27">
        <f>SUM(E191:V191)</f>
        <v>0</v>
      </c>
      <c r="X191" s="61"/>
    </row>
    <row r="192" spans="2:24" hidden="1" x14ac:dyDescent="0.2">
      <c r="B192" s="60"/>
      <c r="D192" s="27" t="s">
        <v>1020</v>
      </c>
      <c r="K192" s="27">
        <f>+K17+K191</f>
        <v>0</v>
      </c>
      <c r="P192" s="61"/>
      <c r="W192" s="27">
        <f>SUM(E192:V192)+E191</f>
        <v>0</v>
      </c>
      <c r="X192" s="61"/>
    </row>
    <row r="193" spans="2:24" hidden="1" x14ac:dyDescent="0.2">
      <c r="B193" s="60"/>
      <c r="C193" s="27">
        <f>+K13</f>
        <v>7</v>
      </c>
      <c r="D193" s="27" t="s">
        <v>1024</v>
      </c>
      <c r="L193" s="27">
        <f>+L18+L191</f>
        <v>0</v>
      </c>
      <c r="M193" s="27">
        <f>+M19+M191</f>
        <v>0</v>
      </c>
      <c r="N193" s="27">
        <f>+N20+N191</f>
        <v>0</v>
      </c>
      <c r="O193" s="27">
        <f>+O21+O191</f>
        <v>0</v>
      </c>
      <c r="P193" s="61">
        <f>+P22+P191</f>
        <v>0</v>
      </c>
      <c r="Q193" s="27">
        <f>+Q23+Q191</f>
        <v>0</v>
      </c>
      <c r="W193" s="27">
        <f>SUM(E193:V193)+W192-W191</f>
        <v>0</v>
      </c>
      <c r="X193" s="61"/>
    </row>
    <row r="194" spans="2:24" hidden="1" x14ac:dyDescent="0.2">
      <c r="B194" s="60"/>
      <c r="D194" s="27" t="s">
        <v>1025</v>
      </c>
      <c r="K194" s="27">
        <f>+K223</f>
        <v>0</v>
      </c>
      <c r="L194" s="27">
        <f t="shared" ref="L194:Q194" si="72">IF(L193&lt;K194,K194-L193,0)</f>
        <v>0</v>
      </c>
      <c r="M194" s="27">
        <f t="shared" si="72"/>
        <v>0</v>
      </c>
      <c r="N194" s="27">
        <f t="shared" si="72"/>
        <v>0</v>
      </c>
      <c r="O194" s="27">
        <f t="shared" si="72"/>
        <v>0</v>
      </c>
      <c r="P194" s="61">
        <f t="shared" si="72"/>
        <v>0</v>
      </c>
      <c r="Q194" s="27">
        <f t="shared" si="72"/>
        <v>0</v>
      </c>
      <c r="X194" s="61"/>
    </row>
    <row r="195" spans="2:24" hidden="1" x14ac:dyDescent="0.2">
      <c r="B195" s="60"/>
      <c r="D195" s="27" t="s">
        <v>1026</v>
      </c>
      <c r="L195" s="27">
        <f t="shared" ref="L195:Q195" si="73">IF(L194&gt;0,0,L193-K194)</f>
        <v>0</v>
      </c>
      <c r="M195" s="27">
        <f t="shared" si="73"/>
        <v>0</v>
      </c>
      <c r="N195" s="27">
        <f t="shared" si="73"/>
        <v>0</v>
      </c>
      <c r="O195" s="27">
        <f t="shared" si="73"/>
        <v>0</v>
      </c>
      <c r="P195" s="61">
        <f t="shared" si="73"/>
        <v>0</v>
      </c>
      <c r="Q195" s="27">
        <f t="shared" si="73"/>
        <v>0</v>
      </c>
      <c r="W195" s="27">
        <f>SUM(E195:V195)</f>
        <v>0</v>
      </c>
      <c r="X195" s="61"/>
    </row>
    <row r="196" spans="2:24" hidden="1" x14ac:dyDescent="0.2">
      <c r="B196" s="60"/>
      <c r="D196" s="27" t="s">
        <v>1020</v>
      </c>
      <c r="L196" s="27">
        <f>+L17+L195</f>
        <v>0</v>
      </c>
      <c r="P196" s="61"/>
      <c r="W196" s="27">
        <f>SUM(E196:V196)+E195</f>
        <v>0</v>
      </c>
      <c r="X196" s="61"/>
    </row>
    <row r="197" spans="2:24" hidden="1" x14ac:dyDescent="0.2">
      <c r="B197" s="60"/>
      <c r="C197" s="27">
        <f>+L13</f>
        <v>8</v>
      </c>
      <c r="D197" s="27" t="s">
        <v>1024</v>
      </c>
      <c r="M197" s="27">
        <f>+M18+M195</f>
        <v>0</v>
      </c>
      <c r="N197" s="27">
        <f>+N19+N195</f>
        <v>0</v>
      </c>
      <c r="O197" s="27">
        <f>+O20+O195</f>
        <v>0</v>
      </c>
      <c r="P197" s="61">
        <f>+P21+P195</f>
        <v>0</v>
      </c>
      <c r="Q197" s="27">
        <f>+Q22+Q195</f>
        <v>0</v>
      </c>
      <c r="R197" s="27">
        <f>+R23+R195</f>
        <v>0</v>
      </c>
      <c r="W197" s="27">
        <f>SUM(E197:V197)+W196-W195</f>
        <v>0</v>
      </c>
      <c r="X197" s="61"/>
    </row>
    <row r="198" spans="2:24" hidden="1" x14ac:dyDescent="0.2">
      <c r="B198" s="60"/>
      <c r="D198" s="27" t="s">
        <v>1025</v>
      </c>
      <c r="L198" s="27">
        <f>+L223</f>
        <v>0</v>
      </c>
      <c r="M198" s="27">
        <f t="shared" ref="M198:R198" si="74">IF(M197&lt;L198,L198-M197,0)</f>
        <v>0</v>
      </c>
      <c r="N198" s="27">
        <f t="shared" si="74"/>
        <v>0</v>
      </c>
      <c r="O198" s="27">
        <f t="shared" si="74"/>
        <v>0</v>
      </c>
      <c r="P198" s="61">
        <f t="shared" si="74"/>
        <v>0</v>
      </c>
      <c r="Q198" s="27">
        <f t="shared" si="74"/>
        <v>0</v>
      </c>
      <c r="R198" s="27">
        <f t="shared" si="74"/>
        <v>0</v>
      </c>
      <c r="X198" s="61"/>
    </row>
    <row r="199" spans="2:24" hidden="1" x14ac:dyDescent="0.2">
      <c r="B199" s="60"/>
      <c r="D199" s="27" t="s">
        <v>1026</v>
      </c>
      <c r="M199" s="27">
        <f t="shared" ref="M199:R199" si="75">IF(M198&gt;0,0,M197-L198)</f>
        <v>0</v>
      </c>
      <c r="N199" s="27">
        <f t="shared" si="75"/>
        <v>0</v>
      </c>
      <c r="O199" s="27">
        <f t="shared" si="75"/>
        <v>0</v>
      </c>
      <c r="P199" s="61">
        <f t="shared" si="75"/>
        <v>0</v>
      </c>
      <c r="Q199" s="27">
        <f t="shared" si="75"/>
        <v>0</v>
      </c>
      <c r="R199" s="27">
        <f t="shared" si="75"/>
        <v>0</v>
      </c>
      <c r="W199" s="27">
        <f>SUM(E199:V199)</f>
        <v>0</v>
      </c>
      <c r="X199" s="61"/>
    </row>
    <row r="200" spans="2:24" hidden="1" x14ac:dyDescent="0.2">
      <c r="B200" s="60"/>
      <c r="D200" s="27" t="s">
        <v>1020</v>
      </c>
      <c r="M200" s="27">
        <f>+M17+M199</f>
        <v>0</v>
      </c>
      <c r="P200" s="61"/>
      <c r="W200" s="27">
        <f>SUM(E200:V200)+E199</f>
        <v>0</v>
      </c>
      <c r="X200" s="61"/>
    </row>
    <row r="201" spans="2:24" hidden="1" x14ac:dyDescent="0.2">
      <c r="B201" s="60"/>
      <c r="C201" s="27">
        <f>+M13</f>
        <v>9</v>
      </c>
      <c r="D201" s="27" t="s">
        <v>1024</v>
      </c>
      <c r="N201" s="27">
        <f>+N18+N199</f>
        <v>0</v>
      </c>
      <c r="O201" s="27">
        <f>+O19+O199</f>
        <v>0</v>
      </c>
      <c r="P201" s="61">
        <f>+P199+P20</f>
        <v>0</v>
      </c>
      <c r="Q201" s="27">
        <f>+Q199+Q21</f>
        <v>0</v>
      </c>
      <c r="R201" s="27">
        <f>+R199+R22</f>
        <v>0</v>
      </c>
      <c r="S201" s="27">
        <f>+S199+S23</f>
        <v>0</v>
      </c>
      <c r="W201" s="27">
        <f>SUM(E201:V201)+W200-W199</f>
        <v>0</v>
      </c>
      <c r="X201" s="61"/>
    </row>
    <row r="202" spans="2:24" hidden="1" x14ac:dyDescent="0.2">
      <c r="B202" s="60"/>
      <c r="D202" s="27" t="s">
        <v>1025</v>
      </c>
      <c r="M202" s="27">
        <f>+M223</f>
        <v>0</v>
      </c>
      <c r="N202" s="27">
        <f t="shared" ref="N202:S202" si="76">IF(N201&lt;M202,M202-N201,0)</f>
        <v>0</v>
      </c>
      <c r="O202" s="27">
        <f t="shared" si="76"/>
        <v>0</v>
      </c>
      <c r="P202" s="61">
        <f t="shared" si="76"/>
        <v>0</v>
      </c>
      <c r="Q202" s="27">
        <f t="shared" si="76"/>
        <v>0</v>
      </c>
      <c r="R202" s="27">
        <f t="shared" si="76"/>
        <v>0</v>
      </c>
      <c r="S202" s="27">
        <f t="shared" si="76"/>
        <v>0</v>
      </c>
      <c r="X202" s="61"/>
    </row>
    <row r="203" spans="2:24" hidden="1" x14ac:dyDescent="0.2">
      <c r="B203" s="60"/>
      <c r="D203" s="27" t="s">
        <v>1026</v>
      </c>
      <c r="N203" s="27">
        <f t="shared" ref="N203:S203" si="77">IF(N202&gt;0,0,N201-M202)</f>
        <v>0</v>
      </c>
      <c r="O203" s="27">
        <f t="shared" si="77"/>
        <v>0</v>
      </c>
      <c r="P203" s="61">
        <f t="shared" si="77"/>
        <v>0</v>
      </c>
      <c r="Q203" s="27">
        <f t="shared" si="77"/>
        <v>0</v>
      </c>
      <c r="R203" s="27">
        <f t="shared" si="77"/>
        <v>0</v>
      </c>
      <c r="S203" s="27">
        <f t="shared" si="77"/>
        <v>0</v>
      </c>
      <c r="W203" s="27">
        <f>SUM(E203:V203)</f>
        <v>0</v>
      </c>
      <c r="X203" s="61"/>
    </row>
    <row r="204" spans="2:24" hidden="1" x14ac:dyDescent="0.2">
      <c r="B204" s="60"/>
      <c r="D204" s="27" t="s">
        <v>1020</v>
      </c>
      <c r="N204" s="27">
        <f>+N17+N203</f>
        <v>0</v>
      </c>
      <c r="P204" s="61"/>
      <c r="W204" s="27">
        <f>SUM(E204:V204)+E203</f>
        <v>0</v>
      </c>
      <c r="X204" s="61"/>
    </row>
    <row r="205" spans="2:24" hidden="1" x14ac:dyDescent="0.2">
      <c r="B205" s="60"/>
      <c r="C205" s="27">
        <f>+N13</f>
        <v>10</v>
      </c>
      <c r="D205" s="27" t="s">
        <v>1024</v>
      </c>
      <c r="O205" s="27">
        <f>+O18+O203</f>
        <v>0</v>
      </c>
      <c r="P205" s="61">
        <f>+P19+P203</f>
        <v>0</v>
      </c>
      <c r="Q205" s="27">
        <f>+Q20+Q203</f>
        <v>0</v>
      </c>
      <c r="R205" s="27">
        <f>+R21+R203</f>
        <v>0</v>
      </c>
      <c r="S205" s="27">
        <f>+S22+S203</f>
        <v>0</v>
      </c>
      <c r="T205" s="27">
        <f>+T23+T203</f>
        <v>0</v>
      </c>
      <c r="W205" s="27">
        <f>SUM(E205:V205)+W204-W203</f>
        <v>0</v>
      </c>
      <c r="X205" s="61"/>
    </row>
    <row r="206" spans="2:24" hidden="1" x14ac:dyDescent="0.2">
      <c r="B206" s="60"/>
      <c r="D206" s="27" t="s">
        <v>1025</v>
      </c>
      <c r="N206" s="27">
        <f>+N223</f>
        <v>0</v>
      </c>
      <c r="O206" s="27">
        <f t="shared" ref="O206:T206" si="78">IF(O205&lt;N206,N206-O205,0)</f>
        <v>0</v>
      </c>
      <c r="P206" s="61">
        <f t="shared" si="78"/>
        <v>0</v>
      </c>
      <c r="Q206" s="27">
        <f t="shared" si="78"/>
        <v>0</v>
      </c>
      <c r="R206" s="27">
        <f t="shared" si="78"/>
        <v>0</v>
      </c>
      <c r="S206" s="27">
        <f t="shared" si="78"/>
        <v>0</v>
      </c>
      <c r="T206" s="27">
        <f t="shared" si="78"/>
        <v>0</v>
      </c>
      <c r="X206" s="61"/>
    </row>
    <row r="207" spans="2:24" hidden="1" x14ac:dyDescent="0.2">
      <c r="B207" s="60"/>
      <c r="D207" s="27" t="s">
        <v>1026</v>
      </c>
      <c r="O207" s="27">
        <f t="shared" ref="O207:T207" si="79">IF(O206&gt;0,0,O205-N206)</f>
        <v>0</v>
      </c>
      <c r="P207" s="61">
        <f t="shared" si="79"/>
        <v>0</v>
      </c>
      <c r="Q207" s="27">
        <f t="shared" si="79"/>
        <v>0</v>
      </c>
      <c r="R207" s="27">
        <f t="shared" si="79"/>
        <v>0</v>
      </c>
      <c r="S207" s="27">
        <f t="shared" si="79"/>
        <v>0</v>
      </c>
      <c r="T207" s="27">
        <f t="shared" si="79"/>
        <v>0</v>
      </c>
      <c r="W207" s="27">
        <f>SUM(E207:V207)</f>
        <v>0</v>
      </c>
      <c r="X207" s="61"/>
    </row>
    <row r="208" spans="2:24" hidden="1" x14ac:dyDescent="0.2">
      <c r="B208" s="60"/>
      <c r="D208" s="27" t="s">
        <v>1020</v>
      </c>
      <c r="O208" s="27">
        <f>+O17+O207</f>
        <v>0</v>
      </c>
      <c r="P208" s="61"/>
      <c r="W208" s="27">
        <f>SUM(E208:V208)+E207</f>
        <v>0</v>
      </c>
      <c r="X208" s="61"/>
    </row>
    <row r="209" spans="2:24" hidden="1" x14ac:dyDescent="0.2">
      <c r="B209" s="60"/>
      <c r="C209" s="27">
        <f>+O13</f>
        <v>11</v>
      </c>
      <c r="D209" s="27" t="s">
        <v>1024</v>
      </c>
      <c r="P209" s="61">
        <f>+P18+P207</f>
        <v>0</v>
      </c>
      <c r="Q209" s="27">
        <f>+Q19+Q207</f>
        <v>0</v>
      </c>
      <c r="R209" s="27">
        <f>+R20+R207</f>
        <v>0</v>
      </c>
      <c r="S209" s="27">
        <f>+S21+S207</f>
        <v>0</v>
      </c>
      <c r="T209" s="27">
        <f>+T22+T207</f>
        <v>0</v>
      </c>
      <c r="U209" s="27">
        <f>+U23+U207</f>
        <v>0</v>
      </c>
      <c r="W209" s="27">
        <f>SUM(E209:V209)+W208-W207</f>
        <v>0</v>
      </c>
      <c r="X209" s="61"/>
    </row>
    <row r="210" spans="2:24" hidden="1" x14ac:dyDescent="0.2">
      <c r="B210" s="60"/>
      <c r="D210" s="27" t="s">
        <v>1025</v>
      </c>
      <c r="O210" s="27">
        <f>+O223</f>
        <v>0</v>
      </c>
      <c r="P210" s="61">
        <f t="shared" ref="P210:U210" si="80">IF(P209&lt;O210,O210-P209,0)</f>
        <v>0</v>
      </c>
      <c r="Q210" s="27">
        <f t="shared" si="80"/>
        <v>0</v>
      </c>
      <c r="R210" s="27">
        <f t="shared" si="80"/>
        <v>0</v>
      </c>
      <c r="S210" s="27">
        <f t="shared" si="80"/>
        <v>0</v>
      </c>
      <c r="T210" s="27">
        <f t="shared" si="80"/>
        <v>0</v>
      </c>
      <c r="U210" s="27">
        <f t="shared" si="80"/>
        <v>0</v>
      </c>
      <c r="X210" s="61"/>
    </row>
    <row r="211" spans="2:24" hidden="1" x14ac:dyDescent="0.2">
      <c r="B211" s="60"/>
      <c r="D211" s="27" t="s">
        <v>1026</v>
      </c>
      <c r="P211" s="61">
        <f t="shared" ref="P211:U211" si="81">IF(P210&gt;0,0,P209-O210)</f>
        <v>0</v>
      </c>
      <c r="Q211" s="27">
        <f t="shared" si="81"/>
        <v>0</v>
      </c>
      <c r="R211" s="27">
        <f t="shared" si="81"/>
        <v>0</v>
      </c>
      <c r="S211" s="27">
        <f t="shared" si="81"/>
        <v>0</v>
      </c>
      <c r="T211" s="27">
        <f t="shared" si="81"/>
        <v>0</v>
      </c>
      <c r="U211" s="27">
        <f t="shared" si="81"/>
        <v>0</v>
      </c>
      <c r="W211" s="27">
        <f>SUM(E211:V211)</f>
        <v>0</v>
      </c>
      <c r="X211" s="61"/>
    </row>
    <row r="212" spans="2:24" hidden="1" x14ac:dyDescent="0.2">
      <c r="B212" s="60"/>
      <c r="D212" s="27" t="s">
        <v>1020</v>
      </c>
      <c r="P212" s="61">
        <f>+P17+P211</f>
        <v>0</v>
      </c>
      <c r="W212" s="27">
        <f>SUM(E212:V212)+E211</f>
        <v>0</v>
      </c>
      <c r="X212" s="61"/>
    </row>
    <row r="213" spans="2:24" hidden="1" x14ac:dyDescent="0.2">
      <c r="B213" s="60"/>
      <c r="C213" s="27">
        <f>+P13</f>
        <v>12</v>
      </c>
      <c r="D213" s="27" t="s">
        <v>1024</v>
      </c>
      <c r="P213" s="61"/>
      <c r="Q213" s="27">
        <f>+Q18+Q211</f>
        <v>0</v>
      </c>
      <c r="R213" s="27">
        <f>+R19+R211</f>
        <v>0</v>
      </c>
      <c r="S213" s="27">
        <f>+S20+S211</f>
        <v>0</v>
      </c>
      <c r="T213" s="27">
        <f>+T21+T211</f>
        <v>0</v>
      </c>
      <c r="U213" s="27">
        <f>+U22+U211</f>
        <v>0</v>
      </c>
      <c r="V213" s="27">
        <f>+V23+V211</f>
        <v>0</v>
      </c>
      <c r="W213" s="27">
        <f>SUM(E213:V213)+W212-W211</f>
        <v>0</v>
      </c>
      <c r="X213" s="61"/>
    </row>
    <row r="214" spans="2:24" hidden="1" x14ac:dyDescent="0.2">
      <c r="B214" s="60"/>
      <c r="D214" s="27" t="s">
        <v>1025</v>
      </c>
      <c r="P214" s="61">
        <f>+P223</f>
        <v>0</v>
      </c>
      <c r="Q214" s="27">
        <f t="shared" ref="Q214:V214" si="82">IF(Q213&lt;P214,P214-Q213,0)</f>
        <v>0</v>
      </c>
      <c r="R214" s="27">
        <f t="shared" si="82"/>
        <v>0</v>
      </c>
      <c r="S214" s="27">
        <f t="shared" si="82"/>
        <v>0</v>
      </c>
      <c r="T214" s="27">
        <f t="shared" si="82"/>
        <v>0</v>
      </c>
      <c r="U214" s="27">
        <f t="shared" si="82"/>
        <v>0</v>
      </c>
      <c r="V214" s="27">
        <f t="shared" si="82"/>
        <v>0</v>
      </c>
      <c r="X214" s="61"/>
    </row>
    <row r="215" spans="2:24" hidden="1" x14ac:dyDescent="0.2">
      <c r="B215" s="60"/>
      <c r="D215" s="27" t="s">
        <v>1026</v>
      </c>
      <c r="P215" s="61"/>
      <c r="Q215" s="27">
        <f t="shared" ref="Q215:V215" si="83">IF(Q214&gt;0,0,Q213-P214)</f>
        <v>0</v>
      </c>
      <c r="R215" s="27">
        <f t="shared" si="83"/>
        <v>0</v>
      </c>
      <c r="S215" s="27">
        <f t="shared" si="83"/>
        <v>0</v>
      </c>
      <c r="T215" s="27">
        <f t="shared" si="83"/>
        <v>0</v>
      </c>
      <c r="U215" s="27">
        <f t="shared" si="83"/>
        <v>0</v>
      </c>
      <c r="V215" s="27">
        <f t="shared" si="83"/>
        <v>0</v>
      </c>
      <c r="W215" s="27">
        <f>SUM(E215:V215)</f>
        <v>0</v>
      </c>
      <c r="X215" s="61"/>
    </row>
    <row r="216" spans="2:24" hidden="1" x14ac:dyDescent="0.2">
      <c r="B216" s="60"/>
      <c r="P216" s="61"/>
      <c r="V216" s="27" t="s">
        <v>1027</v>
      </c>
      <c r="W216" s="27">
        <f>+W213+W209+W205+W201+W197+W189+W185+W181+W177+W173+W169+W193</f>
        <v>0</v>
      </c>
      <c r="X216" s="61"/>
    </row>
    <row r="217" spans="2:24" hidden="1" x14ac:dyDescent="0.2">
      <c r="B217" s="60"/>
      <c r="P217" s="61"/>
      <c r="W217" s="27" t="str">
        <f>IF(W216=W26+W164,"OK","¿ERROR?")</f>
        <v>OK</v>
      </c>
      <c r="X217" s="61"/>
    </row>
    <row r="218" spans="2:24" hidden="1" x14ac:dyDescent="0.2">
      <c r="B218" s="60"/>
      <c r="P218" s="61"/>
      <c r="X218" s="61"/>
    </row>
    <row r="219" spans="2:24" hidden="1" x14ac:dyDescent="0.2">
      <c r="B219" s="62"/>
      <c r="C219" s="63" t="s">
        <v>1028</v>
      </c>
      <c r="D219" s="63"/>
      <c r="E219" s="63">
        <f>SUM(F169:V169)</f>
        <v>0</v>
      </c>
      <c r="F219" s="63">
        <f>SUM(G173:V173)</f>
        <v>0</v>
      </c>
      <c r="G219" s="63">
        <f>SUM(H177:V177)</f>
        <v>0</v>
      </c>
      <c r="H219" s="63">
        <f>SUM(I181:V181)</f>
        <v>0</v>
      </c>
      <c r="I219" s="63">
        <f>SUM(J185:V185)</f>
        <v>0</v>
      </c>
      <c r="J219" s="63">
        <f>SUM(K189:V189)</f>
        <v>0</v>
      </c>
      <c r="K219" s="63">
        <f>SUM(L193:V193)</f>
        <v>0</v>
      </c>
      <c r="L219" s="63">
        <f>SUM(M197:V197)</f>
        <v>0</v>
      </c>
      <c r="M219" s="63">
        <f>SUM(N201:V201)</f>
        <v>0</v>
      </c>
      <c r="N219" s="63">
        <f>SUM(O205:V205)</f>
        <v>0</v>
      </c>
      <c r="O219" s="63">
        <f>SUM(P209:V209)</f>
        <v>0</v>
      </c>
      <c r="P219" s="64">
        <f>SUM(Q213:V213)</f>
        <v>0</v>
      </c>
      <c r="Q219" s="63"/>
      <c r="R219" s="63"/>
      <c r="S219" s="63"/>
      <c r="T219" s="63"/>
      <c r="U219" s="63"/>
      <c r="V219" s="63"/>
      <c r="W219" s="63"/>
      <c r="X219" s="64"/>
    </row>
    <row r="220" spans="2:24" hidden="1" x14ac:dyDescent="0.2">
      <c r="B220" s="60" t="s">
        <v>1029</v>
      </c>
      <c r="C220" s="27" t="s">
        <v>1028</v>
      </c>
      <c r="E220" s="27">
        <f t="shared" ref="E220:P220" si="84">IF(E219-E223&lt;0,E219,E219-E223)</f>
        <v>0</v>
      </c>
      <c r="F220" s="27">
        <f t="shared" si="84"/>
        <v>0</v>
      </c>
      <c r="G220" s="27">
        <f t="shared" si="84"/>
        <v>0</v>
      </c>
      <c r="H220" s="27">
        <f t="shared" si="84"/>
        <v>0</v>
      </c>
      <c r="I220" s="27">
        <f t="shared" si="84"/>
        <v>0</v>
      </c>
      <c r="J220" s="27">
        <f t="shared" si="84"/>
        <v>0</v>
      </c>
      <c r="K220" s="27">
        <f t="shared" si="84"/>
        <v>0</v>
      </c>
      <c r="L220" s="27">
        <f t="shared" si="84"/>
        <v>0</v>
      </c>
      <c r="M220" s="27">
        <f t="shared" si="84"/>
        <v>0</v>
      </c>
      <c r="N220" s="27">
        <f t="shared" si="84"/>
        <v>0</v>
      </c>
      <c r="O220" s="27">
        <f t="shared" si="84"/>
        <v>0</v>
      </c>
      <c r="P220" s="61">
        <f t="shared" si="84"/>
        <v>0</v>
      </c>
      <c r="X220" s="61"/>
    </row>
    <row r="221" spans="2:24" hidden="1" x14ac:dyDescent="0.2">
      <c r="B221" s="60"/>
      <c r="C221" s="27" t="s">
        <v>1030</v>
      </c>
      <c r="E221" s="27">
        <f>$E$246-E167-E223</f>
        <v>0</v>
      </c>
      <c r="F221" s="27">
        <f>F246-F239</f>
        <v>0</v>
      </c>
      <c r="G221" s="27">
        <f t="shared" ref="G221:P221" si="85">G246-G239</f>
        <v>0</v>
      </c>
      <c r="H221" s="27">
        <f t="shared" si="85"/>
        <v>0</v>
      </c>
      <c r="I221" s="27">
        <f t="shared" si="85"/>
        <v>0</v>
      </c>
      <c r="J221" s="27">
        <f t="shared" si="85"/>
        <v>0</v>
      </c>
      <c r="K221" s="27">
        <f t="shared" si="85"/>
        <v>0</v>
      </c>
      <c r="L221" s="27">
        <f t="shared" si="85"/>
        <v>0</v>
      </c>
      <c r="M221" s="27">
        <f t="shared" si="85"/>
        <v>0</v>
      </c>
      <c r="N221" s="27">
        <f t="shared" si="85"/>
        <v>0</v>
      </c>
      <c r="O221" s="27">
        <f t="shared" si="85"/>
        <v>0</v>
      </c>
      <c r="P221" s="61">
        <f t="shared" si="85"/>
        <v>0</v>
      </c>
      <c r="X221" s="61"/>
    </row>
    <row r="222" spans="2:24" hidden="1" x14ac:dyDescent="0.2">
      <c r="B222" s="60">
        <f>COUNTIF(E222:P222,B226)</f>
        <v>0</v>
      </c>
      <c r="C222" s="27">
        <f>IF(B222&gt;0,"NO HAY TANTOS EFECTOS",0)</f>
        <v>0</v>
      </c>
      <c r="E222" s="27">
        <f>IF(E223=E224,0,$B$226)</f>
        <v>0</v>
      </c>
      <c r="F222" s="27">
        <f>IF(F223=F224,0,$B$226)</f>
        <v>0</v>
      </c>
      <c r="G222" s="27">
        <f>IF(G223=G224,0,$B$226)</f>
        <v>0</v>
      </c>
      <c r="H222" s="27">
        <f t="shared" ref="H222:P222" si="86">IF(H223=H224,0,$B$226)</f>
        <v>0</v>
      </c>
      <c r="I222" s="27">
        <f t="shared" si="86"/>
        <v>0</v>
      </c>
      <c r="J222" s="27">
        <f t="shared" si="86"/>
        <v>0</v>
      </c>
      <c r="K222" s="27">
        <f t="shared" si="86"/>
        <v>0</v>
      </c>
      <c r="L222" s="27">
        <f t="shared" si="86"/>
        <v>0</v>
      </c>
      <c r="M222" s="27">
        <f t="shared" si="86"/>
        <v>0</v>
      </c>
      <c r="N222" s="27">
        <f t="shared" si="86"/>
        <v>0</v>
      </c>
      <c r="O222" s="27">
        <f t="shared" si="86"/>
        <v>0</v>
      </c>
      <c r="P222" s="61">
        <f t="shared" si="86"/>
        <v>0</v>
      </c>
      <c r="X222" s="61"/>
    </row>
    <row r="223" spans="2:24" hidden="1" x14ac:dyDescent="0.2">
      <c r="B223" s="60" t="s">
        <v>1015</v>
      </c>
      <c r="C223" s="27" t="s">
        <v>1031</v>
      </c>
      <c r="E223" s="27">
        <f>CTesorería!D253</f>
        <v>0</v>
      </c>
      <c r="F223" s="27">
        <f>CTesorería!E253</f>
        <v>0</v>
      </c>
      <c r="G223" s="27">
        <f>CTesorería!F253</f>
        <v>0</v>
      </c>
      <c r="H223" s="27">
        <f>CTesorería!G253</f>
        <v>0</v>
      </c>
      <c r="I223" s="27">
        <f>CTesorería!H253</f>
        <v>0</v>
      </c>
      <c r="J223" s="27">
        <f>CTesorería!I253</f>
        <v>0</v>
      </c>
      <c r="K223" s="27">
        <f>CTesorería!J253</f>
        <v>0</v>
      </c>
      <c r="L223" s="27">
        <f>CTesorería!K253</f>
        <v>0</v>
      </c>
      <c r="M223" s="27">
        <f>CTesorería!L253</f>
        <v>0</v>
      </c>
      <c r="N223" s="27">
        <f>CTesorería!M253</f>
        <v>0</v>
      </c>
      <c r="O223" s="27">
        <f>CTesorería!N253</f>
        <v>0</v>
      </c>
      <c r="P223" s="61">
        <f>CTesorería!O253</f>
        <v>0</v>
      </c>
      <c r="X223" s="61"/>
    </row>
    <row r="224" spans="2:24" hidden="1" x14ac:dyDescent="0.2">
      <c r="B224" s="60" t="s">
        <v>1029</v>
      </c>
      <c r="C224" s="27" t="s">
        <v>1032</v>
      </c>
      <c r="E224" s="27">
        <f t="shared" ref="E224:P224" si="87">IF(E223&gt;E219,E219,E223)</f>
        <v>0</v>
      </c>
      <c r="F224" s="27">
        <f t="shared" si="87"/>
        <v>0</v>
      </c>
      <c r="G224" s="27">
        <f t="shared" si="87"/>
        <v>0</v>
      </c>
      <c r="H224" s="27">
        <f t="shared" si="87"/>
        <v>0</v>
      </c>
      <c r="I224" s="27">
        <f t="shared" si="87"/>
        <v>0</v>
      </c>
      <c r="J224" s="27">
        <f t="shared" si="87"/>
        <v>0</v>
      </c>
      <c r="K224" s="27">
        <f t="shared" si="87"/>
        <v>0</v>
      </c>
      <c r="L224" s="27">
        <f t="shared" si="87"/>
        <v>0</v>
      </c>
      <c r="M224" s="27">
        <f t="shared" si="87"/>
        <v>0</v>
      </c>
      <c r="N224" s="27">
        <f t="shared" si="87"/>
        <v>0</v>
      </c>
      <c r="O224" s="27">
        <f t="shared" si="87"/>
        <v>0</v>
      </c>
      <c r="P224" s="61">
        <f t="shared" si="87"/>
        <v>0</v>
      </c>
      <c r="X224" s="61"/>
    </row>
    <row r="225" spans="2:24" hidden="1" x14ac:dyDescent="0.2">
      <c r="B225" s="60">
        <f>COUNTIF(E225:P225,B227)</f>
        <v>0</v>
      </c>
      <c r="C225" s="27">
        <f>IF(B225&gt;0,"NO HAY TANTO CRÉDITO",0)</f>
        <v>0</v>
      </c>
      <c r="E225" s="27">
        <f>IF(E223=0,0,IF(E221&lt;0,$B$227,0))</f>
        <v>0</v>
      </c>
      <c r="F225" s="27">
        <f t="shared" ref="F225:P225" si="88">IF(F223=0,0,IF(F221&lt;0,$B$227,0))</f>
        <v>0</v>
      </c>
      <c r="G225" s="27">
        <f t="shared" si="88"/>
        <v>0</v>
      </c>
      <c r="H225" s="27">
        <f t="shared" si="88"/>
        <v>0</v>
      </c>
      <c r="I225" s="27">
        <f t="shared" si="88"/>
        <v>0</v>
      </c>
      <c r="J225" s="27">
        <f t="shared" si="88"/>
        <v>0</v>
      </c>
      <c r="K225" s="27">
        <f t="shared" si="88"/>
        <v>0</v>
      </c>
      <c r="L225" s="27">
        <f t="shared" si="88"/>
        <v>0</v>
      </c>
      <c r="M225" s="27">
        <f t="shared" si="88"/>
        <v>0</v>
      </c>
      <c r="N225" s="27">
        <f t="shared" si="88"/>
        <v>0</v>
      </c>
      <c r="O225" s="27">
        <f t="shared" si="88"/>
        <v>0</v>
      </c>
      <c r="P225" s="61">
        <f t="shared" si="88"/>
        <v>0</v>
      </c>
      <c r="X225" s="61"/>
    </row>
    <row r="226" spans="2:24" hidden="1" x14ac:dyDescent="0.2">
      <c r="B226" s="60" t="s">
        <v>1033</v>
      </c>
      <c r="P226" s="61"/>
      <c r="X226" s="61"/>
    </row>
    <row r="227" spans="2:24" hidden="1" x14ac:dyDescent="0.2">
      <c r="B227" s="60" t="s">
        <v>1034</v>
      </c>
      <c r="C227" s="27" t="s">
        <v>1035</v>
      </c>
      <c r="P227" s="61"/>
      <c r="X227" s="61"/>
    </row>
    <row r="228" spans="2:24" hidden="1" x14ac:dyDescent="0.2">
      <c r="B228" s="60"/>
      <c r="C228" s="27" t="s">
        <v>1036</v>
      </c>
      <c r="D228" s="27">
        <f>SUM(E228:P228)</f>
        <v>0</v>
      </c>
      <c r="E228" s="27">
        <f t="shared" ref="E228:V228" si="89">E26+E164</f>
        <v>0</v>
      </c>
      <c r="F228" s="27">
        <f t="shared" si="89"/>
        <v>0</v>
      </c>
      <c r="G228" s="27">
        <f t="shared" si="89"/>
        <v>0</v>
      </c>
      <c r="H228" s="27">
        <f t="shared" si="89"/>
        <v>0</v>
      </c>
      <c r="I228" s="27">
        <f t="shared" si="89"/>
        <v>0</v>
      </c>
      <c r="J228" s="27">
        <f t="shared" si="89"/>
        <v>0</v>
      </c>
      <c r="K228" s="27">
        <f t="shared" si="89"/>
        <v>0</v>
      </c>
      <c r="L228" s="27">
        <f t="shared" si="89"/>
        <v>0</v>
      </c>
      <c r="M228" s="27">
        <f t="shared" si="89"/>
        <v>0</v>
      </c>
      <c r="N228" s="27">
        <f t="shared" si="89"/>
        <v>0</v>
      </c>
      <c r="O228" s="27">
        <f t="shared" si="89"/>
        <v>0</v>
      </c>
      <c r="P228" s="61">
        <f t="shared" si="89"/>
        <v>0</v>
      </c>
      <c r="Q228" s="27">
        <f t="shared" si="89"/>
        <v>0</v>
      </c>
      <c r="R228" s="27">
        <f t="shared" si="89"/>
        <v>0</v>
      </c>
      <c r="S228" s="27">
        <f t="shared" si="89"/>
        <v>0</v>
      </c>
      <c r="T228" s="27">
        <f t="shared" si="89"/>
        <v>0</v>
      </c>
      <c r="U228" s="27">
        <f t="shared" si="89"/>
        <v>0</v>
      </c>
      <c r="V228" s="27">
        <f t="shared" si="89"/>
        <v>0</v>
      </c>
      <c r="W228" s="27">
        <f>SUM(E228:V228)</f>
        <v>0</v>
      </c>
      <c r="X228" s="61" t="str">
        <f>IF(W228=W216,"OK","¿ERROR?")</f>
        <v>OK</v>
      </c>
    </row>
    <row r="229" spans="2:24" hidden="1" x14ac:dyDescent="0.2">
      <c r="B229" s="60"/>
      <c r="C229" s="27" t="s">
        <v>1037</v>
      </c>
      <c r="D229" s="27">
        <f>SUM(E229:P229)</f>
        <v>0</v>
      </c>
      <c r="E229" s="27">
        <f>+E168</f>
        <v>0</v>
      </c>
      <c r="F229" s="27">
        <f>+F172</f>
        <v>0</v>
      </c>
      <c r="G229" s="27">
        <f>+G176</f>
        <v>0</v>
      </c>
      <c r="H229" s="27">
        <f>+H180</f>
        <v>0</v>
      </c>
      <c r="I229" s="27">
        <f>+I184</f>
        <v>0</v>
      </c>
      <c r="J229" s="27">
        <f>+J188</f>
        <v>0</v>
      </c>
      <c r="K229" s="27">
        <f>+K192</f>
        <v>0</v>
      </c>
      <c r="L229" s="27">
        <f>+L196</f>
        <v>0</v>
      </c>
      <c r="M229" s="27">
        <f>+M200</f>
        <v>0</v>
      </c>
      <c r="N229" s="27">
        <f>+N204</f>
        <v>0</v>
      </c>
      <c r="O229" s="27">
        <f>+O208</f>
        <v>0</v>
      </c>
      <c r="P229" s="61">
        <f>+P212</f>
        <v>0</v>
      </c>
      <c r="Q229" s="27">
        <f t="shared" ref="Q229:V229" si="90">+Q213</f>
        <v>0</v>
      </c>
      <c r="R229" s="27">
        <f t="shared" si="90"/>
        <v>0</v>
      </c>
      <c r="S229" s="27">
        <f t="shared" si="90"/>
        <v>0</v>
      </c>
      <c r="T229" s="27">
        <f t="shared" si="90"/>
        <v>0</v>
      </c>
      <c r="U229" s="27">
        <f t="shared" si="90"/>
        <v>0</v>
      </c>
      <c r="V229" s="27">
        <f t="shared" si="90"/>
        <v>0</v>
      </c>
      <c r="W229" s="27">
        <f>SUM(E229:V229)</f>
        <v>0</v>
      </c>
      <c r="X229" s="61"/>
    </row>
    <row r="230" spans="2:24" hidden="1" x14ac:dyDescent="0.2">
      <c r="B230" s="60"/>
      <c r="C230" s="27" t="s">
        <v>822</v>
      </c>
      <c r="D230" s="27">
        <f>D!$J$28</f>
        <v>0</v>
      </c>
      <c r="E230" s="27">
        <f>+E229*$D230</f>
        <v>0</v>
      </c>
      <c r="F230" s="27">
        <f>+F229*$D230</f>
        <v>0</v>
      </c>
      <c r="G230" s="27">
        <f t="shared" ref="G230:O230" si="91">+G229*$D230</f>
        <v>0</v>
      </c>
      <c r="H230" s="27">
        <f t="shared" si="91"/>
        <v>0</v>
      </c>
      <c r="I230" s="27">
        <f t="shared" si="91"/>
        <v>0</v>
      </c>
      <c r="J230" s="27">
        <f t="shared" si="91"/>
        <v>0</v>
      </c>
      <c r="K230" s="27">
        <f t="shared" si="91"/>
        <v>0</v>
      </c>
      <c r="L230" s="27">
        <f t="shared" si="91"/>
        <v>0</v>
      </c>
      <c r="M230" s="27">
        <f t="shared" si="91"/>
        <v>0</v>
      </c>
      <c r="N230" s="27">
        <f t="shared" si="91"/>
        <v>0</v>
      </c>
      <c r="O230" s="27">
        <f t="shared" si="91"/>
        <v>0</v>
      </c>
      <c r="P230" s="61">
        <f>+P229*$D230</f>
        <v>0</v>
      </c>
      <c r="Q230" s="27">
        <f t="shared" ref="Q230:V230" si="92">+Q229*$D230</f>
        <v>0</v>
      </c>
      <c r="R230" s="27">
        <f t="shared" si="92"/>
        <v>0</v>
      </c>
      <c r="S230" s="27">
        <f t="shared" si="92"/>
        <v>0</v>
      </c>
      <c r="T230" s="27">
        <f t="shared" si="92"/>
        <v>0</v>
      </c>
      <c r="U230" s="27">
        <f t="shared" si="92"/>
        <v>0</v>
      </c>
      <c r="V230" s="27">
        <f t="shared" si="92"/>
        <v>0</v>
      </c>
      <c r="X230" s="61"/>
    </row>
    <row r="231" spans="2:24" hidden="1" x14ac:dyDescent="0.2">
      <c r="B231" s="60"/>
      <c r="C231" s="27" t="s">
        <v>1038</v>
      </c>
      <c r="D231" s="27">
        <f>SUM(E231:P231)</f>
        <v>0</v>
      </c>
      <c r="E231" s="27">
        <f>+E228-E229</f>
        <v>0</v>
      </c>
      <c r="F231" s="27">
        <f t="shared" ref="F231:V231" si="93">+F228-F229</f>
        <v>0</v>
      </c>
      <c r="G231" s="27">
        <f t="shared" si="93"/>
        <v>0</v>
      </c>
      <c r="H231" s="27">
        <f t="shared" si="93"/>
        <v>0</v>
      </c>
      <c r="I231" s="27">
        <f t="shared" si="93"/>
        <v>0</v>
      </c>
      <c r="J231" s="27">
        <f t="shared" si="93"/>
        <v>0</v>
      </c>
      <c r="K231" s="27">
        <f t="shared" si="93"/>
        <v>0</v>
      </c>
      <c r="L231" s="27">
        <f t="shared" si="93"/>
        <v>0</v>
      </c>
      <c r="M231" s="27">
        <f t="shared" si="93"/>
        <v>0</v>
      </c>
      <c r="N231" s="27">
        <f t="shared" si="93"/>
        <v>0</v>
      </c>
      <c r="O231" s="27">
        <f t="shared" si="93"/>
        <v>0</v>
      </c>
      <c r="P231" s="61">
        <f t="shared" si="93"/>
        <v>0</v>
      </c>
      <c r="Q231" s="27">
        <f t="shared" si="93"/>
        <v>0</v>
      </c>
      <c r="R231" s="27">
        <f t="shared" si="93"/>
        <v>0</v>
      </c>
      <c r="S231" s="27">
        <f t="shared" si="93"/>
        <v>0</v>
      </c>
      <c r="T231" s="27">
        <f t="shared" si="93"/>
        <v>0</v>
      </c>
      <c r="U231" s="27">
        <f t="shared" si="93"/>
        <v>0</v>
      </c>
      <c r="V231" s="27">
        <f t="shared" si="93"/>
        <v>0</v>
      </c>
      <c r="W231" s="27">
        <f>SUM(E231:V231)</f>
        <v>0</v>
      </c>
      <c r="X231" s="61" t="str">
        <f>IF(W231+W229=W228,"OK","¿ERROR?")</f>
        <v>OK</v>
      </c>
    </row>
    <row r="232" spans="2:24" hidden="1" x14ac:dyDescent="0.2">
      <c r="B232" s="60"/>
      <c r="C232" s="27" t="s">
        <v>822</v>
      </c>
      <c r="D232" s="27">
        <f>D!$J$28</f>
        <v>0</v>
      </c>
      <c r="E232" s="27">
        <f>+E231*$D232</f>
        <v>0</v>
      </c>
      <c r="F232" s="27">
        <f>+F231*$D232</f>
        <v>0</v>
      </c>
      <c r="G232" s="27">
        <f t="shared" ref="G232:V232" si="94">+G231*$D232</f>
        <v>0</v>
      </c>
      <c r="H232" s="27">
        <f t="shared" si="94"/>
        <v>0</v>
      </c>
      <c r="I232" s="27">
        <f t="shared" si="94"/>
        <v>0</v>
      </c>
      <c r="J232" s="27">
        <f t="shared" si="94"/>
        <v>0</v>
      </c>
      <c r="K232" s="27">
        <f t="shared" si="94"/>
        <v>0</v>
      </c>
      <c r="L232" s="27">
        <f t="shared" si="94"/>
        <v>0</v>
      </c>
      <c r="M232" s="27">
        <f t="shared" si="94"/>
        <v>0</v>
      </c>
      <c r="N232" s="27">
        <f t="shared" si="94"/>
        <v>0</v>
      </c>
      <c r="O232" s="27">
        <f t="shared" si="94"/>
        <v>0</v>
      </c>
      <c r="P232" s="61">
        <f t="shared" si="94"/>
        <v>0</v>
      </c>
      <c r="Q232" s="27">
        <f t="shared" si="94"/>
        <v>0</v>
      </c>
      <c r="R232" s="27">
        <f t="shared" si="94"/>
        <v>0</v>
      </c>
      <c r="S232" s="27">
        <f t="shared" si="94"/>
        <v>0</v>
      </c>
      <c r="T232" s="27">
        <f t="shared" si="94"/>
        <v>0</v>
      </c>
      <c r="U232" s="27">
        <f t="shared" si="94"/>
        <v>0</v>
      </c>
      <c r="V232" s="27">
        <f t="shared" si="94"/>
        <v>0</v>
      </c>
      <c r="X232" s="61"/>
    </row>
    <row r="233" spans="2:24" hidden="1" x14ac:dyDescent="0.2">
      <c r="B233" s="60"/>
      <c r="E233" s="27">
        <f>+E164*$D$232</f>
        <v>0</v>
      </c>
      <c r="F233" s="27">
        <f t="shared" ref="F233:V233" si="95">+F164*$D$232</f>
        <v>0</v>
      </c>
      <c r="G233" s="27">
        <f t="shared" si="95"/>
        <v>0</v>
      </c>
      <c r="H233" s="27">
        <f t="shared" si="95"/>
        <v>0</v>
      </c>
      <c r="I233" s="27">
        <f t="shared" si="95"/>
        <v>0</v>
      </c>
      <c r="J233" s="27">
        <f t="shared" si="95"/>
        <v>0</v>
      </c>
      <c r="K233" s="27">
        <f t="shared" si="95"/>
        <v>0</v>
      </c>
      <c r="L233" s="27">
        <f t="shared" si="95"/>
        <v>0</v>
      </c>
      <c r="M233" s="27">
        <f t="shared" si="95"/>
        <v>0</v>
      </c>
      <c r="N233" s="27">
        <f t="shared" si="95"/>
        <v>0</v>
      </c>
      <c r="O233" s="27">
        <f t="shared" si="95"/>
        <v>0</v>
      </c>
      <c r="P233" s="61">
        <f t="shared" si="95"/>
        <v>0</v>
      </c>
      <c r="Q233" s="27">
        <f t="shared" si="95"/>
        <v>0</v>
      </c>
      <c r="R233" s="27">
        <f t="shared" si="95"/>
        <v>0</v>
      </c>
      <c r="S233" s="27">
        <f t="shared" si="95"/>
        <v>0</v>
      </c>
      <c r="T233" s="27">
        <f t="shared" si="95"/>
        <v>0</v>
      </c>
      <c r="U233" s="27">
        <f t="shared" si="95"/>
        <v>0</v>
      </c>
      <c r="V233" s="27">
        <f t="shared" si="95"/>
        <v>0</v>
      </c>
      <c r="X233" s="61"/>
    </row>
    <row r="234" spans="2:24" hidden="1" x14ac:dyDescent="0.2">
      <c r="B234" s="60"/>
      <c r="C234" s="27" t="s">
        <v>1039</v>
      </c>
      <c r="E234" s="27">
        <f>+E230+E232</f>
        <v>0</v>
      </c>
      <c r="F234" s="27">
        <f t="shared" ref="F234:V234" si="96">+F230+F232</f>
        <v>0</v>
      </c>
      <c r="G234" s="27">
        <f t="shared" si="96"/>
        <v>0</v>
      </c>
      <c r="H234" s="27">
        <f t="shared" si="96"/>
        <v>0</v>
      </c>
      <c r="I234" s="27">
        <f t="shared" si="96"/>
        <v>0</v>
      </c>
      <c r="J234" s="27">
        <f t="shared" si="96"/>
        <v>0</v>
      </c>
      <c r="K234" s="27">
        <f t="shared" si="96"/>
        <v>0</v>
      </c>
      <c r="L234" s="27">
        <f t="shared" si="96"/>
        <v>0</v>
      </c>
      <c r="M234" s="27">
        <f t="shared" si="96"/>
        <v>0</v>
      </c>
      <c r="N234" s="27">
        <f t="shared" si="96"/>
        <v>0</v>
      </c>
      <c r="O234" s="27">
        <f t="shared" si="96"/>
        <v>0</v>
      </c>
      <c r="P234" s="61">
        <f t="shared" si="96"/>
        <v>0</v>
      </c>
      <c r="Q234" s="27">
        <f t="shared" si="96"/>
        <v>0</v>
      </c>
      <c r="R234" s="27">
        <f t="shared" si="96"/>
        <v>0</v>
      </c>
      <c r="S234" s="27">
        <f t="shared" si="96"/>
        <v>0</v>
      </c>
      <c r="T234" s="27">
        <f t="shared" si="96"/>
        <v>0</v>
      </c>
      <c r="U234" s="27">
        <f t="shared" si="96"/>
        <v>0</v>
      </c>
      <c r="V234" s="27">
        <f t="shared" si="96"/>
        <v>0</v>
      </c>
      <c r="X234" s="61"/>
    </row>
    <row r="235" spans="2:24" hidden="1" x14ac:dyDescent="0.2">
      <c r="B235" s="60"/>
      <c r="C235" s="27" t="s">
        <v>1027</v>
      </c>
      <c r="E235" s="27" t="str">
        <f t="shared" ref="E235:P235" si="97">IF(E234=E27+E233,"OK","¿ERROR?")</f>
        <v>OK</v>
      </c>
      <c r="F235" s="27" t="str">
        <f t="shared" si="97"/>
        <v>OK</v>
      </c>
      <c r="G235" s="27" t="str">
        <f t="shared" si="97"/>
        <v>OK</v>
      </c>
      <c r="H235" s="27" t="str">
        <f t="shared" si="97"/>
        <v>OK</v>
      </c>
      <c r="I235" s="27" t="str">
        <f t="shared" si="97"/>
        <v>OK</v>
      </c>
      <c r="J235" s="27" t="str">
        <f t="shared" si="97"/>
        <v>OK</v>
      </c>
      <c r="K235" s="27" t="str">
        <f t="shared" si="97"/>
        <v>OK</v>
      </c>
      <c r="L235" s="27" t="str">
        <f t="shared" si="97"/>
        <v>OK</v>
      </c>
      <c r="M235" s="27" t="str">
        <f t="shared" si="97"/>
        <v>OK</v>
      </c>
      <c r="N235" s="27" t="str">
        <f t="shared" si="97"/>
        <v>OK</v>
      </c>
      <c r="O235" s="27" t="str">
        <f t="shared" si="97"/>
        <v>OK</v>
      </c>
      <c r="P235" s="61" t="str">
        <f t="shared" si="97"/>
        <v>OK</v>
      </c>
      <c r="X235" s="61"/>
    </row>
    <row r="236" spans="2:24" hidden="1" x14ac:dyDescent="0.2">
      <c r="B236" s="60"/>
      <c r="P236" s="61"/>
      <c r="X236" s="61"/>
    </row>
    <row r="237" spans="2:24" hidden="1" x14ac:dyDescent="0.2">
      <c r="B237" s="60"/>
      <c r="C237" s="27" t="s">
        <v>1040</v>
      </c>
      <c r="P237" s="61"/>
      <c r="X237" s="61"/>
    </row>
    <row r="238" spans="2:24" hidden="1" x14ac:dyDescent="0.2">
      <c r="B238" s="60"/>
      <c r="C238" s="27" t="s">
        <v>1041</v>
      </c>
      <c r="E238" s="27">
        <f>E170</f>
        <v>0</v>
      </c>
      <c r="F238" s="27">
        <f>+F170+F174</f>
        <v>0</v>
      </c>
      <c r="G238" s="27">
        <f>+G170+G174+G178</f>
        <v>0</v>
      </c>
      <c r="H238" s="27">
        <f>+H170+H174+H178+H182</f>
        <v>0</v>
      </c>
      <c r="I238" s="27">
        <f>+I170+I174+I178+I182+I186</f>
        <v>0</v>
      </c>
      <c r="J238" s="27">
        <f>+J170+J174+J178+J182+J186+J190</f>
        <v>0</v>
      </c>
      <c r="K238" s="27">
        <f>+K170+K174+K178+K182+K186+K190+K194</f>
        <v>0</v>
      </c>
      <c r="L238" s="27">
        <f>+L170+L174+L178+L182+L186+L190+L194+L198</f>
        <v>0</v>
      </c>
      <c r="M238" s="27">
        <f>+M170+M174+M178+M182+M186+M190+M194+M198+M202</f>
        <v>0</v>
      </c>
      <c r="N238" s="27">
        <f>+N170+N174+N178+N182+N186+N190+N194+N198+N202+N206</f>
        <v>0</v>
      </c>
      <c r="O238" s="27">
        <f>+O170+O174+O178+O182+O186+O190+O194+O198+O202+O206+O210</f>
        <v>0</v>
      </c>
      <c r="P238" s="61">
        <f>+P170+P174+P178+P182+P186+P190+P194+P198+P202+P206+P210+P214</f>
        <v>0</v>
      </c>
      <c r="X238" s="61"/>
    </row>
    <row r="239" spans="2:24" hidden="1" x14ac:dyDescent="0.2">
      <c r="B239" s="60"/>
      <c r="C239" s="27" t="s">
        <v>1041</v>
      </c>
      <c r="E239" s="27">
        <f>+E223-E231+E167</f>
        <v>0</v>
      </c>
      <c r="F239" s="27">
        <f>+F223-F231+E239</f>
        <v>0</v>
      </c>
      <c r="G239" s="27">
        <f t="shared" ref="G239:P239" si="98">+G223-G231+F239</f>
        <v>0</v>
      </c>
      <c r="H239" s="27">
        <f t="shared" si="98"/>
        <v>0</v>
      </c>
      <c r="I239" s="27">
        <f t="shared" si="98"/>
        <v>0</v>
      </c>
      <c r="J239" s="27">
        <f t="shared" si="98"/>
        <v>0</v>
      </c>
      <c r="K239" s="27">
        <f t="shared" si="98"/>
        <v>0</v>
      </c>
      <c r="L239" s="27">
        <f t="shared" si="98"/>
        <v>0</v>
      </c>
      <c r="M239" s="27">
        <f t="shared" si="98"/>
        <v>0</v>
      </c>
      <c r="N239" s="27">
        <f t="shared" si="98"/>
        <v>0</v>
      </c>
      <c r="O239" s="27">
        <f t="shared" si="98"/>
        <v>0</v>
      </c>
      <c r="P239" s="61">
        <f t="shared" si="98"/>
        <v>0</v>
      </c>
      <c r="X239" s="61"/>
    </row>
    <row r="240" spans="2:24" hidden="1" x14ac:dyDescent="0.2">
      <c r="B240" s="60"/>
      <c r="C240" s="27" t="s">
        <v>1042</v>
      </c>
      <c r="D240" s="27">
        <f>SANDBOX!$F$228</f>
        <v>0</v>
      </c>
      <c r="E240" s="27" t="str">
        <f>IF(E239=E238,"OK","¿ERROR?")</f>
        <v>OK</v>
      </c>
      <c r="F240" s="27" t="str">
        <f t="shared" ref="F240:P240" si="99">IF(F239=F238,"OK","¿ERROR?")</f>
        <v>OK</v>
      </c>
      <c r="G240" s="27" t="str">
        <f t="shared" si="99"/>
        <v>OK</v>
      </c>
      <c r="H240" s="27" t="str">
        <f t="shared" si="99"/>
        <v>OK</v>
      </c>
      <c r="I240" s="27" t="str">
        <f t="shared" si="99"/>
        <v>OK</v>
      </c>
      <c r="J240" s="27" t="str">
        <f t="shared" si="99"/>
        <v>OK</v>
      </c>
      <c r="K240" s="27" t="str">
        <f t="shared" si="99"/>
        <v>OK</v>
      </c>
      <c r="L240" s="27" t="str">
        <f t="shared" si="99"/>
        <v>OK</v>
      </c>
      <c r="M240" s="27" t="str">
        <f t="shared" si="99"/>
        <v>OK</v>
      </c>
      <c r="N240" s="27" t="str">
        <f t="shared" si="99"/>
        <v>OK</v>
      </c>
      <c r="O240" s="27" t="str">
        <f t="shared" si="99"/>
        <v>OK</v>
      </c>
      <c r="P240" s="61" t="str">
        <f t="shared" si="99"/>
        <v>OK</v>
      </c>
      <c r="X240" s="61"/>
    </row>
    <row r="241" spans="2:24" hidden="1" x14ac:dyDescent="0.2">
      <c r="B241" s="60"/>
      <c r="E241" s="27">
        <f>+E221+E223</f>
        <v>0</v>
      </c>
      <c r="F241" s="27">
        <f>F246-F239+F223</f>
        <v>0</v>
      </c>
      <c r="G241" s="27">
        <f t="shared" ref="G241:P241" si="100">G246-G239+G223</f>
        <v>0</v>
      </c>
      <c r="H241" s="27">
        <f t="shared" si="100"/>
        <v>0</v>
      </c>
      <c r="I241" s="27">
        <f t="shared" si="100"/>
        <v>0</v>
      </c>
      <c r="J241" s="27">
        <f t="shared" si="100"/>
        <v>0</v>
      </c>
      <c r="K241" s="27">
        <f t="shared" si="100"/>
        <v>0</v>
      </c>
      <c r="L241" s="27">
        <f t="shared" si="100"/>
        <v>0</v>
      </c>
      <c r="M241" s="27">
        <f t="shared" si="100"/>
        <v>0</v>
      </c>
      <c r="N241" s="27">
        <f t="shared" si="100"/>
        <v>0</v>
      </c>
      <c r="O241" s="27">
        <f t="shared" si="100"/>
        <v>0</v>
      </c>
      <c r="P241" s="61">
        <f t="shared" si="100"/>
        <v>0</v>
      </c>
      <c r="X241" s="61"/>
    </row>
    <row r="242" spans="2:24" hidden="1" x14ac:dyDescent="0.2">
      <c r="B242" s="60"/>
      <c r="C242" s="27" t="s">
        <v>1041</v>
      </c>
      <c r="E242" s="27">
        <f t="shared" ref="E242:P242" si="101">E39</f>
        <v>0</v>
      </c>
      <c r="F242" s="27">
        <f t="shared" si="101"/>
        <v>0</v>
      </c>
      <c r="G242" s="27">
        <f t="shared" si="101"/>
        <v>0</v>
      </c>
      <c r="H242" s="27">
        <f t="shared" si="101"/>
        <v>0</v>
      </c>
      <c r="I242" s="27">
        <f t="shared" si="101"/>
        <v>0</v>
      </c>
      <c r="J242" s="27">
        <f t="shared" si="101"/>
        <v>0</v>
      </c>
      <c r="K242" s="27">
        <f t="shared" si="101"/>
        <v>0</v>
      </c>
      <c r="L242" s="27">
        <f t="shared" si="101"/>
        <v>0</v>
      </c>
      <c r="M242" s="27">
        <f t="shared" si="101"/>
        <v>0</v>
      </c>
      <c r="N242" s="27">
        <f t="shared" si="101"/>
        <v>0</v>
      </c>
      <c r="O242" s="27">
        <f t="shared" si="101"/>
        <v>0</v>
      </c>
      <c r="P242" s="61">
        <f t="shared" si="101"/>
        <v>0</v>
      </c>
      <c r="X242" s="61"/>
    </row>
    <row r="243" spans="2:24" hidden="1" x14ac:dyDescent="0.2">
      <c r="B243" s="60"/>
      <c r="C243" s="27" t="s">
        <v>1027</v>
      </c>
      <c r="E243" s="27" t="str">
        <f>IF(E242=E239,"OK","¿ERROR?")</f>
        <v>OK</v>
      </c>
      <c r="F243" s="27" t="str">
        <f t="shared" ref="F243:P243" si="102">IF(F242=F239,"OK","¿ERROR?")</f>
        <v>OK</v>
      </c>
      <c r="G243" s="27" t="str">
        <f t="shared" si="102"/>
        <v>OK</v>
      </c>
      <c r="H243" s="27" t="str">
        <f t="shared" si="102"/>
        <v>OK</v>
      </c>
      <c r="I243" s="27" t="str">
        <f t="shared" si="102"/>
        <v>OK</v>
      </c>
      <c r="J243" s="27" t="str">
        <f t="shared" si="102"/>
        <v>OK</v>
      </c>
      <c r="K243" s="27" t="str">
        <f t="shared" si="102"/>
        <v>OK</v>
      </c>
      <c r="L243" s="27" t="str">
        <f t="shared" si="102"/>
        <v>OK</v>
      </c>
      <c r="M243" s="27" t="str">
        <f t="shared" si="102"/>
        <v>OK</v>
      </c>
      <c r="N243" s="27" t="str">
        <f t="shared" si="102"/>
        <v>OK</v>
      </c>
      <c r="O243" s="27" t="str">
        <f t="shared" si="102"/>
        <v>OK</v>
      </c>
      <c r="P243" s="61" t="str">
        <f t="shared" si="102"/>
        <v>OK</v>
      </c>
      <c r="X243" s="61"/>
    </row>
    <row r="244" spans="2:24" hidden="1" x14ac:dyDescent="0.2">
      <c r="B244" s="60"/>
      <c r="P244" s="61"/>
      <c r="X244" s="61"/>
    </row>
    <row r="245" spans="2:24" hidden="1" x14ac:dyDescent="0.2">
      <c r="B245" s="60"/>
      <c r="D245" s="27" t="s">
        <v>1116</v>
      </c>
      <c r="E245" s="27">
        <f>prestamos!D70</f>
        <v>0</v>
      </c>
      <c r="F245" s="27">
        <f>prestamos!E70</f>
        <v>0</v>
      </c>
      <c r="G245" s="27">
        <f>prestamos!F70</f>
        <v>0</v>
      </c>
      <c r="H245" s="27">
        <f>prestamos!G70</f>
        <v>0</v>
      </c>
      <c r="I245" s="27">
        <f>prestamos!H70</f>
        <v>0</v>
      </c>
      <c r="J245" s="27">
        <f>prestamos!I70</f>
        <v>0</v>
      </c>
      <c r="K245" s="27">
        <f>prestamos!J70</f>
        <v>0</v>
      </c>
      <c r="L245" s="27">
        <f>prestamos!K70</f>
        <v>0</v>
      </c>
      <c r="M245" s="27">
        <f>prestamos!L70</f>
        <v>0</v>
      </c>
      <c r="N245" s="27">
        <f>prestamos!M70</f>
        <v>0</v>
      </c>
      <c r="O245" s="27">
        <f>prestamos!N70</f>
        <v>0</v>
      </c>
      <c r="P245" s="61">
        <f>prestamos!O70</f>
        <v>0</v>
      </c>
      <c r="X245" s="61"/>
    </row>
    <row r="246" spans="2:24" hidden="1" x14ac:dyDescent="0.2">
      <c r="B246" s="65"/>
      <c r="C246" s="66"/>
      <c r="D246" s="66" t="s">
        <v>1117</v>
      </c>
      <c r="E246" s="66">
        <f>IF(E245=0,0,$D$240)</f>
        <v>0</v>
      </c>
      <c r="F246" s="66">
        <f>IF(F245+E245=0,0,$D$240)</f>
        <v>0</v>
      </c>
      <c r="G246" s="66">
        <f>IF(G245+F245+E245=0,0,$D$240)</f>
        <v>0</v>
      </c>
      <c r="H246" s="66">
        <f>IF(H245+G245+F245+E245=0,0,$D$240)</f>
        <v>0</v>
      </c>
      <c r="I246" s="66">
        <f t="shared" ref="I246:P246" si="103">IF(I245+H246=0,0,$D$240)</f>
        <v>0</v>
      </c>
      <c r="J246" s="66">
        <f t="shared" si="103"/>
        <v>0</v>
      </c>
      <c r="K246" s="66">
        <f t="shared" si="103"/>
        <v>0</v>
      </c>
      <c r="L246" s="66">
        <f t="shared" si="103"/>
        <v>0</v>
      </c>
      <c r="M246" s="66">
        <f t="shared" si="103"/>
        <v>0</v>
      </c>
      <c r="N246" s="66">
        <f t="shared" si="103"/>
        <v>0</v>
      </c>
      <c r="O246" s="66">
        <f t="shared" si="103"/>
        <v>0</v>
      </c>
      <c r="P246" s="67">
        <f t="shared" si="103"/>
        <v>0</v>
      </c>
      <c r="Q246" s="66"/>
      <c r="R246" s="66"/>
      <c r="S246" s="66"/>
      <c r="T246" s="66"/>
      <c r="U246" s="66"/>
      <c r="V246" s="66"/>
      <c r="W246" s="66"/>
      <c r="X246" s="67"/>
    </row>
    <row r="247" spans="2:24" hidden="1" x14ac:dyDescent="0.2">
      <c r="B247" s="65"/>
      <c r="C247" s="66"/>
      <c r="D247" s="66"/>
      <c r="E247" s="66"/>
      <c r="F247" s="66"/>
      <c r="G247" s="66"/>
      <c r="H247" s="66"/>
      <c r="I247" s="66"/>
      <c r="J247" s="66"/>
      <c r="K247" s="66"/>
      <c r="L247" s="66"/>
      <c r="M247" s="66"/>
      <c r="N247" s="66"/>
      <c r="O247" s="66"/>
      <c r="P247" s="67"/>
    </row>
    <row r="248" spans="2:24" hidden="1" x14ac:dyDescent="0.2"/>
    <row r="249" spans="2:24" hidden="1" x14ac:dyDescent="0.2">
      <c r="B249" s="62" t="s">
        <v>555</v>
      </c>
      <c r="C249" s="63"/>
      <c r="D249" s="63"/>
      <c r="E249" s="63"/>
      <c r="F249" s="63"/>
      <c r="G249" s="63"/>
      <c r="H249" s="63"/>
      <c r="I249" s="63"/>
      <c r="J249" s="63"/>
      <c r="K249" s="63"/>
      <c r="L249" s="63"/>
      <c r="M249" s="63"/>
      <c r="N249" s="63"/>
      <c r="O249" s="63"/>
      <c r="P249" s="64"/>
    </row>
    <row r="250" spans="2:24" hidden="1" x14ac:dyDescent="0.2">
      <c r="B250" s="60" t="s">
        <v>1172</v>
      </c>
      <c r="D250" s="27">
        <f>SUM(E250:P250)</f>
        <v>0</v>
      </c>
      <c r="E250" s="27">
        <f>CTesorería!$D$157</f>
        <v>0</v>
      </c>
      <c r="P250" s="61"/>
    </row>
    <row r="251" spans="2:24" hidden="1" x14ac:dyDescent="0.2">
      <c r="B251" s="60" t="s">
        <v>1106</v>
      </c>
      <c r="D251" s="27">
        <f>SUM(E251:P251)</f>
        <v>0</v>
      </c>
      <c r="E251" s="27">
        <f>CTesorería!E223</f>
        <v>0</v>
      </c>
      <c r="F251" s="27">
        <f>CTesorería!F223</f>
        <v>0</v>
      </c>
      <c r="G251" s="27">
        <f>CTesorería!G223</f>
        <v>0</v>
      </c>
      <c r="H251" s="27">
        <f>CTesorería!H223</f>
        <v>0</v>
      </c>
      <c r="I251" s="27">
        <f>CTesorería!I223</f>
        <v>0</v>
      </c>
      <c r="J251" s="27">
        <f>CTesorería!J223</f>
        <v>0</v>
      </c>
      <c r="K251" s="27">
        <f>CTesorería!K223</f>
        <v>0</v>
      </c>
      <c r="L251" s="27">
        <f>CTesorería!L223</f>
        <v>0</v>
      </c>
      <c r="M251" s="27">
        <f>CTesorería!M223</f>
        <v>0</v>
      </c>
      <c r="N251" s="27">
        <f>CTesorería!N223</f>
        <v>0</v>
      </c>
      <c r="O251" s="27">
        <f>CTesorería!O223</f>
        <v>0</v>
      </c>
      <c r="P251" s="61">
        <f>CTesorería!P223</f>
        <v>0</v>
      </c>
    </row>
    <row r="252" spans="2:24" hidden="1" x14ac:dyDescent="0.2">
      <c r="B252" s="60" t="s">
        <v>1174</v>
      </c>
      <c r="D252" s="27">
        <f>CTesorería!E241</f>
        <v>0</v>
      </c>
      <c r="E252" s="27">
        <f>CTesorería!F241</f>
        <v>0</v>
      </c>
      <c r="F252" s="27">
        <f>CTesorería!G241</f>
        <v>0</v>
      </c>
      <c r="G252" s="27">
        <f>CTesorería!H241</f>
        <v>0</v>
      </c>
      <c r="H252" s="27">
        <f>CTesorería!I241</f>
        <v>0</v>
      </c>
      <c r="I252" s="27">
        <f>CTesorería!J241</f>
        <v>0</v>
      </c>
      <c r="J252" s="27">
        <f>CTesorería!K241</f>
        <v>0</v>
      </c>
      <c r="K252" s="27">
        <f>CTesorería!L241</f>
        <v>0</v>
      </c>
      <c r="L252" s="27">
        <f>CTesorería!M241</f>
        <v>0</v>
      </c>
      <c r="M252" s="27">
        <f>CTesorería!N241</f>
        <v>0</v>
      </c>
      <c r="N252" s="27">
        <f>CTesorería!O241</f>
        <v>0</v>
      </c>
      <c r="O252" s="27">
        <f>CTesorería!P241</f>
        <v>0</v>
      </c>
      <c r="P252" s="61"/>
    </row>
    <row r="253" spans="2:24" hidden="1" x14ac:dyDescent="0.2">
      <c r="B253" s="60" t="s">
        <v>993</v>
      </c>
      <c r="P253" s="61"/>
    </row>
    <row r="254" spans="2:24" hidden="1" x14ac:dyDescent="0.2">
      <c r="B254" s="60" t="s">
        <v>994</v>
      </c>
      <c r="D254" s="27">
        <f>ROUNDDOWN(INFORME!D435,0)</f>
        <v>0</v>
      </c>
      <c r="E254" s="27">
        <f>ROUNDDOWN(INFORME!E435,0)</f>
        <v>0</v>
      </c>
      <c r="F254" s="27">
        <f>ROUNDDOWN(INFORME!F435,0)</f>
        <v>0</v>
      </c>
      <c r="G254" s="27">
        <f>ROUNDDOWN(INFORME!G435,0)</f>
        <v>0</v>
      </c>
      <c r="H254" s="27">
        <f>ROUNDDOWN(INFORME!H435,0)</f>
        <v>0</v>
      </c>
      <c r="I254" s="27">
        <f>ROUNDDOWN(INFORME!I435,0)</f>
        <v>0</v>
      </c>
      <c r="J254" s="27">
        <f>ROUNDDOWN(INFORME!J435,0)</f>
        <v>0</v>
      </c>
      <c r="K254" s="27">
        <f>ROUNDDOWN(INFORME!K435,0)</f>
        <v>0</v>
      </c>
      <c r="L254" s="27">
        <f>ROUNDDOWN(INFORME!L435,0)</f>
        <v>0</v>
      </c>
      <c r="M254" s="27">
        <f>ROUNDDOWN(INFORME!M435,0)</f>
        <v>0</v>
      </c>
      <c r="N254" s="27">
        <f>ROUNDDOWN(INFORME!N435,0)</f>
        <v>0</v>
      </c>
      <c r="O254" s="27">
        <f>ROUNDDOWN(INFORME!O435,0)</f>
        <v>0</v>
      </c>
      <c r="P254" s="61"/>
    </row>
    <row r="255" spans="2:24" hidden="1" x14ac:dyDescent="0.2">
      <c r="B255" s="60" t="s">
        <v>995</v>
      </c>
      <c r="D255" s="27">
        <f>CTesorería!E219</f>
        <v>0</v>
      </c>
      <c r="E255" s="27">
        <f>CTesorería!F219</f>
        <v>0</v>
      </c>
      <c r="F255" s="27">
        <f>CTesorería!G219</f>
        <v>0</v>
      </c>
      <c r="G255" s="27">
        <f>CTesorería!H219</f>
        <v>0</v>
      </c>
      <c r="H255" s="27">
        <f>CTesorería!I219</f>
        <v>0</v>
      </c>
      <c r="I255" s="27">
        <f>CTesorería!J219</f>
        <v>0</v>
      </c>
      <c r="J255" s="27">
        <f>CTesorería!K219</f>
        <v>0</v>
      </c>
      <c r="K255" s="27">
        <f>CTesorería!L219</f>
        <v>0</v>
      </c>
      <c r="L255" s="27">
        <f>CTesorería!M219</f>
        <v>0</v>
      </c>
      <c r="M255" s="27">
        <f>CTesorería!N219</f>
        <v>0</v>
      </c>
      <c r="N255" s="27">
        <f>CTesorería!O219</f>
        <v>0</v>
      </c>
      <c r="O255" s="27">
        <f>CTesorería!P219</f>
        <v>0</v>
      </c>
      <c r="P255" s="61"/>
    </row>
    <row r="256" spans="2:24" hidden="1" x14ac:dyDescent="0.2">
      <c r="B256" s="60" t="s">
        <v>1102</v>
      </c>
      <c r="C256" s="27">
        <f>CTesorería!E39</f>
        <v>0</v>
      </c>
      <c r="D256" s="27">
        <f>CTesorería!F39</f>
        <v>0</v>
      </c>
      <c r="E256" s="27">
        <f>CTesorería!G39</f>
        <v>0</v>
      </c>
      <c r="F256" s="27">
        <f>CTesorería!H39</f>
        <v>0</v>
      </c>
      <c r="G256" s="27">
        <f>CTesorería!I39</f>
        <v>0</v>
      </c>
      <c r="H256" s="27">
        <f>CTesorería!J39</f>
        <v>0</v>
      </c>
      <c r="I256" s="27">
        <f>CTesorería!K39</f>
        <v>0</v>
      </c>
      <c r="J256" s="27">
        <f>CTesorería!L39</f>
        <v>0</v>
      </c>
      <c r="K256" s="27">
        <f>CTesorería!M39</f>
        <v>0</v>
      </c>
      <c r="L256" s="27">
        <f>CTesorería!N39</f>
        <v>0</v>
      </c>
      <c r="M256" s="27">
        <f>CTesorería!O39</f>
        <v>0</v>
      </c>
      <c r="N256" s="27">
        <f>CTesorería!P39</f>
        <v>0</v>
      </c>
      <c r="P256" s="61"/>
    </row>
    <row r="257" spans="2:16" hidden="1" x14ac:dyDescent="0.2">
      <c r="B257" s="65" t="str">
        <f>CTesorería!B256</f>
        <v>Líneas crédito dispuestas</v>
      </c>
      <c r="C257" s="66"/>
      <c r="D257" s="66">
        <f>CTesorería!N256</f>
        <v>0</v>
      </c>
      <c r="E257" s="66">
        <f>'5años'!E36</f>
        <v>0</v>
      </c>
      <c r="F257" s="66">
        <f>'5años'!F36</f>
        <v>0</v>
      </c>
      <c r="G257" s="66">
        <f>'5años'!G36</f>
        <v>0</v>
      </c>
      <c r="H257" s="66">
        <f>'5años'!H36</f>
        <v>0</v>
      </c>
      <c r="I257" s="66"/>
      <c r="J257" s="66"/>
      <c r="K257" s="66"/>
      <c r="L257" s="66"/>
      <c r="M257" s="66"/>
      <c r="N257" s="66"/>
      <c r="O257" s="66"/>
      <c r="P257" s="67"/>
    </row>
    <row r="258" spans="2:16" hidden="1" x14ac:dyDescent="0.2">
      <c r="B258" s="65"/>
      <c r="C258" s="66"/>
      <c r="D258" s="66"/>
      <c r="E258" s="66"/>
      <c r="F258" s="66"/>
      <c r="G258" s="66"/>
      <c r="H258" s="66"/>
      <c r="I258" s="66"/>
      <c r="J258" s="66"/>
      <c r="K258" s="66"/>
      <c r="L258" s="66"/>
      <c r="M258" s="66"/>
      <c r="N258" s="66"/>
      <c r="O258" s="66"/>
      <c r="P258" s="67"/>
    </row>
  </sheetData>
  <sheetProtection password="E65B" sheet="1" objects="1" scenarios="1"/>
  <phoneticPr fontId="2" type="noConversion"/>
  <pageMargins left="0.75" right="0.75" top="1" bottom="1" header="0" footer="0"/>
  <pageSetup paperSize="9" orientation="portrait" horizontalDpi="4294967292" verticalDpi="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enableFormatConditionsCalculation="0">
    <tabColor indexed="23"/>
  </sheetPr>
  <dimension ref="B1:BW666"/>
  <sheetViews>
    <sheetView showGridLines="0" showOutlineSymbols="0" topLeftCell="B1" workbookViewId="0">
      <pane xSplit="1" ySplit="2" topLeftCell="C3" activePane="bottomRight" state="frozen"/>
      <selection activeCell="B1" sqref="B1"/>
      <selection pane="topRight" activeCell="C1" sqref="C1"/>
      <selection pane="bottomLeft" activeCell="B3" sqref="B3"/>
      <selection pane="bottomRight" activeCell="G303" sqref="G303"/>
    </sheetView>
  </sheetViews>
  <sheetFormatPr baseColWidth="10" defaultRowHeight="12.75" x14ac:dyDescent="0.2"/>
  <cols>
    <col min="1" max="1" width="0" hidden="1" customWidth="1"/>
    <col min="2" max="2" width="24.85546875" style="15" customWidth="1"/>
    <col min="3" max="3" width="12.140625" style="15" customWidth="1"/>
    <col min="4" max="4" width="13.42578125" style="15" bestFit="1" customWidth="1"/>
    <col min="5" max="5" width="13.28515625" style="15" customWidth="1"/>
    <col min="6" max="6" width="13.7109375" style="15" customWidth="1"/>
    <col min="7" max="7" width="13.85546875" style="15" customWidth="1"/>
    <col min="8" max="8" width="13.42578125" style="15" customWidth="1"/>
    <col min="9" max="9" width="13.42578125" style="55" customWidth="1"/>
    <col min="10" max="67" width="13.42578125" style="15" customWidth="1"/>
    <col min="68" max="80" width="13.42578125" customWidth="1"/>
  </cols>
  <sheetData>
    <row r="1" spans="2:74" hidden="1" x14ac:dyDescent="0.2"/>
    <row r="2" spans="2:74" s="27" customFormat="1" ht="18" customHeight="1" x14ac:dyDescent="0.2">
      <c r="C2" s="138"/>
    </row>
    <row r="3" spans="2:74" s="27" customFormat="1" ht="11.25" x14ac:dyDescent="0.2"/>
    <row r="4" spans="2:74" s="27" customFormat="1" ht="11.25" hidden="1" x14ac:dyDescent="0.2">
      <c r="B4" s="62" t="s">
        <v>60</v>
      </c>
      <c r="C4" s="63"/>
      <c r="D4" s="63" t="s">
        <v>1491</v>
      </c>
      <c r="E4" s="63"/>
      <c r="F4" s="63"/>
      <c r="G4" s="63"/>
      <c r="H4" s="63"/>
      <c r="I4" s="63"/>
      <c r="J4" s="63"/>
      <c r="K4" s="63"/>
      <c r="L4" s="63"/>
      <c r="M4" s="64"/>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4"/>
    </row>
    <row r="5" spans="2:74" s="27" customFormat="1" ht="11.25" hidden="1" x14ac:dyDescent="0.2">
      <c r="B5" s="60"/>
      <c r="C5" s="27" t="s">
        <v>611</v>
      </c>
      <c r="D5" s="27">
        <f>INFORME!$E$83</f>
        <v>0</v>
      </c>
      <c r="M5" s="61"/>
      <c r="BV5" s="61"/>
    </row>
    <row r="6" spans="2:74" s="27" customFormat="1" ht="11.25" hidden="1" x14ac:dyDescent="0.2">
      <c r="B6" s="60"/>
      <c r="M6" s="61"/>
      <c r="BV6" s="61"/>
    </row>
    <row r="7" spans="2:74" s="27" customFormat="1" ht="11.25" hidden="1" x14ac:dyDescent="0.2">
      <c r="B7" s="60"/>
      <c r="C7" s="27" t="s">
        <v>790</v>
      </c>
      <c r="D7" s="27">
        <f>SB!E668</f>
        <v>0.5</v>
      </c>
      <c r="M7" s="61"/>
      <c r="BV7" s="61"/>
    </row>
    <row r="8" spans="2:74" s="27" customFormat="1" ht="12.75" hidden="1" customHeight="1" x14ac:dyDescent="0.2">
      <c r="B8" s="60"/>
      <c r="C8" s="27" t="s">
        <v>793</v>
      </c>
      <c r="D8" s="27">
        <f>CResult!$P$14</f>
        <v>0</v>
      </c>
      <c r="M8" s="61"/>
      <c r="BV8" s="61"/>
    </row>
    <row r="9" spans="2:74" s="27" customFormat="1" ht="12.75" hidden="1" customHeight="1" x14ac:dyDescent="0.2">
      <c r="B9" s="60"/>
      <c r="C9" s="27" t="s">
        <v>794</v>
      </c>
      <c r="D9" s="27">
        <f>CResult!$D$15</f>
        <v>0</v>
      </c>
      <c r="M9" s="61"/>
      <c r="BV9" s="61"/>
    </row>
    <row r="10" spans="2:74" s="27" customFormat="1" ht="12.75" hidden="1" customHeight="1" x14ac:dyDescent="0.2">
      <c r="B10" s="60"/>
      <c r="C10" s="27" t="s">
        <v>633</v>
      </c>
      <c r="D10" s="27">
        <f>CResult!$O$16</f>
        <v>0</v>
      </c>
      <c r="M10" s="61"/>
      <c r="BV10" s="61"/>
    </row>
    <row r="11" spans="2:74" s="27" customFormat="1" ht="12.75" hidden="1" customHeight="1" x14ac:dyDescent="0.2">
      <c r="B11" s="60"/>
      <c r="C11" s="27" t="s">
        <v>634</v>
      </c>
      <c r="D11" s="27">
        <f>+D10+D8</f>
        <v>0</v>
      </c>
      <c r="M11" s="61"/>
      <c r="BV11" s="61"/>
    </row>
    <row r="12" spans="2:74" s="27" customFormat="1" ht="12.75" hidden="1" customHeight="1" x14ac:dyDescent="0.2">
      <c r="B12" s="60"/>
      <c r="C12" s="27" t="s">
        <v>635</v>
      </c>
      <c r="D12" s="27">
        <f>+D9-D11</f>
        <v>0</v>
      </c>
      <c r="M12" s="61"/>
      <c r="BV12" s="61"/>
    </row>
    <row r="13" spans="2:74" s="27" customFormat="1" ht="12.75" hidden="1" customHeight="1" x14ac:dyDescent="0.2">
      <c r="B13" s="60"/>
      <c r="C13" s="27" t="s">
        <v>1484</v>
      </c>
      <c r="D13" s="27">
        <f>+IF(D12&lt;0,-D12,0)</f>
        <v>0</v>
      </c>
      <c r="M13" s="61"/>
      <c r="BV13" s="61"/>
    </row>
    <row r="14" spans="2:74" s="27" customFormat="1" ht="12.75" hidden="1" customHeight="1" x14ac:dyDescent="0.2">
      <c r="B14" s="60"/>
      <c r="C14" s="27" t="s">
        <v>636</v>
      </c>
      <c r="D14" s="27">
        <f>CResult!$P$20</f>
        <v>0</v>
      </c>
      <c r="M14" s="61"/>
      <c r="BV14" s="61"/>
    </row>
    <row r="15" spans="2:74" s="27" customFormat="1" ht="12.75" hidden="1" customHeight="1" x14ac:dyDescent="0.2">
      <c r="B15" s="60"/>
      <c r="C15" s="27" t="s">
        <v>637</v>
      </c>
      <c r="D15" s="27">
        <f>+(D9-D8)+D14</f>
        <v>0</v>
      </c>
      <c r="M15" s="61"/>
      <c r="BV15" s="61"/>
    </row>
    <row r="16" spans="2:74" s="27" customFormat="1" ht="11.25" hidden="1" x14ac:dyDescent="0.2">
      <c r="B16" s="60"/>
      <c r="M16" s="61"/>
      <c r="BV16" s="61"/>
    </row>
    <row r="17" spans="2:74" s="27" customFormat="1" ht="11.25" hidden="1" x14ac:dyDescent="0.2">
      <c r="B17" s="60" t="s">
        <v>1179</v>
      </c>
      <c r="D17" s="27">
        <f>CResult!$U$93</f>
        <v>0</v>
      </c>
      <c r="M17" s="61"/>
      <c r="BV17" s="61"/>
    </row>
    <row r="18" spans="2:74" s="27" customFormat="1" ht="11.25" hidden="1" x14ac:dyDescent="0.2">
      <c r="B18" s="65"/>
      <c r="C18" s="66"/>
      <c r="D18" s="66"/>
      <c r="E18" s="66"/>
      <c r="F18" s="66"/>
      <c r="G18" s="66"/>
      <c r="H18" s="66"/>
      <c r="I18" s="66"/>
      <c r="J18" s="66"/>
      <c r="K18" s="66"/>
      <c r="L18" s="66"/>
      <c r="M18" s="67"/>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7"/>
    </row>
    <row r="19" spans="2:74" s="27" customFormat="1" ht="11.25" hidden="1" x14ac:dyDescent="0.2">
      <c r="B19" s="70" t="s">
        <v>591</v>
      </c>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2"/>
    </row>
    <row r="20" spans="2:74" s="27" customFormat="1" ht="11.25" hidden="1" x14ac:dyDescent="0.2">
      <c r="B20" s="62"/>
      <c r="C20" s="63"/>
      <c r="D20" s="63"/>
      <c r="E20" s="63"/>
      <c r="F20" s="63"/>
      <c r="G20" s="63"/>
      <c r="H20" s="63"/>
      <c r="I20" s="63"/>
      <c r="J20" s="63"/>
      <c r="K20" s="63"/>
      <c r="L20" s="63"/>
      <c r="M20" s="64"/>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4"/>
    </row>
    <row r="21" spans="2:74" s="27" customFormat="1" ht="11.25" hidden="1" x14ac:dyDescent="0.2">
      <c r="B21" s="60"/>
      <c r="C21" s="27" t="s">
        <v>1491</v>
      </c>
      <c r="E21" s="27" t="s">
        <v>1492</v>
      </c>
      <c r="F21" s="27" t="s">
        <v>590</v>
      </c>
      <c r="G21" s="27" t="s">
        <v>1494</v>
      </c>
      <c r="H21" s="27" t="s">
        <v>1495</v>
      </c>
      <c r="M21" s="61"/>
      <c r="BV21" s="61"/>
    </row>
    <row r="22" spans="2:74" s="27" customFormat="1" ht="11.25" hidden="1" x14ac:dyDescent="0.2">
      <c r="B22" s="60" t="s">
        <v>131</v>
      </c>
      <c r="C22" s="27">
        <f>CResult!$F$94</f>
        <v>0</v>
      </c>
      <c r="D22" s="27">
        <f>IF(C25=0,0,C22/C25)</f>
        <v>0</v>
      </c>
      <c r="M22" s="61"/>
      <c r="BV22" s="61"/>
    </row>
    <row r="23" spans="2:74" s="27" customFormat="1" ht="11.25" hidden="1" x14ac:dyDescent="0.2">
      <c r="B23" s="60" t="s">
        <v>132</v>
      </c>
      <c r="D23" s="27">
        <f>IF(C25=0,0,C23/C25)</f>
        <v>0</v>
      </c>
      <c r="M23" s="61"/>
      <c r="BV23" s="61"/>
    </row>
    <row r="24" spans="2:74" s="27" customFormat="1" ht="11.25" hidden="1" x14ac:dyDescent="0.2">
      <c r="B24" s="60" t="s">
        <v>133</v>
      </c>
      <c r="D24" s="27">
        <f>IF(C25=0,0,C24/C25)</f>
        <v>0</v>
      </c>
      <c r="M24" s="61"/>
      <c r="BV24" s="61"/>
    </row>
    <row r="25" spans="2:74" s="27" customFormat="1" ht="11.25" hidden="1" x14ac:dyDescent="0.2">
      <c r="B25" s="60" t="s">
        <v>134</v>
      </c>
      <c r="C25" s="27">
        <f>SUM(C22:C23)</f>
        <v>0</v>
      </c>
      <c r="M25" s="61"/>
      <c r="BV25" s="61"/>
    </row>
    <row r="26" spans="2:74" s="27" customFormat="1" ht="11.25" hidden="1" x14ac:dyDescent="0.2">
      <c r="B26" s="60"/>
      <c r="M26" s="61"/>
      <c r="BV26" s="61"/>
    </row>
    <row r="27" spans="2:74" s="27" customFormat="1" ht="11.25" hidden="1" x14ac:dyDescent="0.2">
      <c r="B27" s="60" t="s">
        <v>135</v>
      </c>
      <c r="M27" s="61"/>
      <c r="BV27" s="61"/>
    </row>
    <row r="28" spans="2:74" s="27" customFormat="1" ht="11.25" hidden="1" x14ac:dyDescent="0.2">
      <c r="B28" s="60" t="s">
        <v>136</v>
      </c>
      <c r="C28" s="27">
        <f>INFORME!$E$240</f>
        <v>0</v>
      </c>
      <c r="D28" s="27">
        <f>IF(C25=0,0,C28/C25)</f>
        <v>0</v>
      </c>
      <c r="M28" s="61"/>
      <c r="BV28" s="61"/>
    </row>
    <row r="29" spans="2:74" s="27" customFormat="1" ht="11.25" hidden="1" x14ac:dyDescent="0.2">
      <c r="B29" s="60" t="s">
        <v>137</v>
      </c>
      <c r="M29" s="61"/>
      <c r="BV29" s="61"/>
    </row>
    <row r="30" spans="2:74" s="27" customFormat="1" ht="11.25" hidden="1" x14ac:dyDescent="0.2">
      <c r="B30" s="60" t="s">
        <v>822</v>
      </c>
      <c r="C30" s="27">
        <f>INFORME!$E$241</f>
        <v>0</v>
      </c>
      <c r="D30" s="69">
        <f>IF(C28+C29=0,0,IF(C28=0,C30/C29,C30/C28))</f>
        <v>0</v>
      </c>
      <c r="M30" s="61"/>
      <c r="BV30" s="61"/>
    </row>
    <row r="31" spans="2:74" s="27" customFormat="1" ht="11.25" hidden="1" x14ac:dyDescent="0.2">
      <c r="B31" s="60" t="s">
        <v>138</v>
      </c>
      <c r="C31" s="27">
        <f>INFORME!$E$242</f>
        <v>0</v>
      </c>
      <c r="D31" s="27">
        <f>IF(C30=0,0,C31/C30)</f>
        <v>0</v>
      </c>
      <c r="M31" s="61"/>
      <c r="BV31" s="61"/>
    </row>
    <row r="32" spans="2:74" s="27" customFormat="1" ht="11.25" hidden="1" x14ac:dyDescent="0.2">
      <c r="B32" s="60" t="s">
        <v>126</v>
      </c>
      <c r="C32" s="27">
        <f>INFORME!$E$243</f>
        <v>0</v>
      </c>
      <c r="D32" s="27">
        <f>IF(C$30=0,0,C32/C$30)</f>
        <v>0</v>
      </c>
      <c r="M32" s="61"/>
      <c r="BV32" s="61"/>
    </row>
    <row r="33" spans="2:74" s="27" customFormat="1" ht="11.25" hidden="1" x14ac:dyDescent="0.2">
      <c r="B33" s="60" t="s">
        <v>139</v>
      </c>
      <c r="C33" s="27">
        <f>INFORME!$E$239</f>
        <v>0</v>
      </c>
      <c r="D33" s="27">
        <f>IF(C25=0,0,C33/C25)</f>
        <v>0</v>
      </c>
      <c r="M33" s="61"/>
      <c r="BV33" s="61"/>
    </row>
    <row r="34" spans="2:74" s="27" customFormat="1" ht="11.25" hidden="1" x14ac:dyDescent="0.2">
      <c r="B34" s="60" t="s">
        <v>140</v>
      </c>
      <c r="C34" s="27">
        <f>+C35-C36</f>
        <v>0</v>
      </c>
      <c r="D34" s="27">
        <f>IF(C25=0,0,C34/C25)</f>
        <v>0</v>
      </c>
      <c r="M34" s="61"/>
      <c r="BV34" s="61"/>
    </row>
    <row r="35" spans="2:74" s="27" customFormat="1" ht="11.25" hidden="1" x14ac:dyDescent="0.2">
      <c r="B35" s="60" t="s">
        <v>141</v>
      </c>
      <c r="C35" s="27">
        <f>'5años'!$C$340</f>
        <v>0</v>
      </c>
      <c r="D35" s="27">
        <f>IF(C25=0,0,C35/C25)</f>
        <v>0</v>
      </c>
      <c r="M35" s="61"/>
      <c r="BV35" s="61"/>
    </row>
    <row r="36" spans="2:74" s="27" customFormat="1" ht="11.25" hidden="1" x14ac:dyDescent="0.2">
      <c r="B36" s="60" t="s">
        <v>142</v>
      </c>
      <c r="C36" s="27">
        <f>CTesorería!$N$256</f>
        <v>0</v>
      </c>
      <c r="D36" s="27">
        <f>IF(C25=0,0,C36/C25)</f>
        <v>0</v>
      </c>
      <c r="M36" s="61"/>
      <c r="BV36" s="61"/>
    </row>
    <row r="37" spans="2:74" s="27" customFormat="1" ht="11.25" hidden="1" x14ac:dyDescent="0.2">
      <c r="B37" s="60"/>
      <c r="M37" s="61"/>
      <c r="BV37" s="61"/>
    </row>
    <row r="38" spans="2:74" s="27" customFormat="1" ht="11.25" hidden="1" x14ac:dyDescent="0.2">
      <c r="B38" s="60"/>
      <c r="M38" s="61"/>
      <c r="BV38" s="61"/>
    </row>
    <row r="39" spans="2:74" s="27" customFormat="1" ht="11.25" hidden="1" x14ac:dyDescent="0.2">
      <c r="B39" s="60" t="s">
        <v>1318</v>
      </c>
      <c r="M39" s="61"/>
      <c r="BV39" s="61"/>
    </row>
    <row r="40" spans="2:74" s="27" customFormat="1" ht="11.25" hidden="1" x14ac:dyDescent="0.2">
      <c r="B40" s="60" t="s">
        <v>267</v>
      </c>
      <c r="C40" s="27">
        <f>'5años'!$C$340</f>
        <v>0</v>
      </c>
      <c r="M40" s="61"/>
      <c r="BV40" s="61"/>
    </row>
    <row r="41" spans="2:74" s="27" customFormat="1" ht="11.25" hidden="1" x14ac:dyDescent="0.2">
      <c r="B41" s="60" t="s">
        <v>268</v>
      </c>
      <c r="C41" s="27">
        <f>'5años'!$C$341</f>
        <v>0</v>
      </c>
      <c r="M41" s="61"/>
      <c r="BV41" s="61"/>
    </row>
    <row r="42" spans="2:74" s="27" customFormat="1" ht="11.25" hidden="1" x14ac:dyDescent="0.2">
      <c r="B42" s="65" t="s">
        <v>143</v>
      </c>
      <c r="C42" s="66">
        <f>$C$33</f>
        <v>0</v>
      </c>
      <c r="D42" s="66"/>
      <c r="E42" s="66"/>
      <c r="F42" s="66"/>
      <c r="G42" s="66"/>
      <c r="H42" s="66"/>
      <c r="I42" s="66"/>
      <c r="J42" s="66"/>
      <c r="K42" s="66"/>
      <c r="L42" s="66"/>
      <c r="M42" s="67"/>
      <c r="BV42" s="61"/>
    </row>
    <row r="43" spans="2:74" s="27" customFormat="1" ht="11.25" hidden="1" x14ac:dyDescent="0.2">
      <c r="B43" s="62"/>
      <c r="C43" s="63"/>
      <c r="D43" s="63"/>
      <c r="E43" s="63"/>
      <c r="F43" s="63"/>
      <c r="G43" s="63"/>
      <c r="H43" s="63"/>
      <c r="I43" s="63"/>
      <c r="J43" s="63"/>
      <c r="K43" s="63"/>
      <c r="L43" s="63"/>
      <c r="M43" s="64"/>
      <c r="BV43" s="61"/>
    </row>
    <row r="44" spans="2:74" s="27" customFormat="1" ht="11.25" hidden="1" x14ac:dyDescent="0.2">
      <c r="B44" s="60"/>
      <c r="M44" s="61"/>
      <c r="BV44" s="61"/>
    </row>
    <row r="45" spans="2:74" s="27" customFormat="1" ht="11.25" hidden="1" x14ac:dyDescent="0.2">
      <c r="B45" s="60" t="s">
        <v>311</v>
      </c>
      <c r="C45" s="27" t="str">
        <f>CResult!C65</f>
        <v>% A APLICAR</v>
      </c>
      <c r="D45" s="27">
        <f>CResult!D65</f>
        <v>0.25</v>
      </c>
      <c r="M45" s="61"/>
      <c r="BV45" s="61"/>
    </row>
    <row r="46" spans="2:74" s="27" customFormat="1" ht="11.25" hidden="1" x14ac:dyDescent="0.2">
      <c r="B46" s="60"/>
      <c r="C46" s="27" t="s">
        <v>1123</v>
      </c>
      <c r="D46" s="27">
        <f>CResult!$O$72</f>
        <v>0</v>
      </c>
      <c r="E46" s="27" t="e">
        <f>+E143*$D45</f>
        <v>#REF!</v>
      </c>
      <c r="F46" s="27" t="e">
        <f>+F143*$D45</f>
        <v>#REF!</v>
      </c>
      <c r="G46" s="27" t="e">
        <f>+G143*$D45</f>
        <v>#REF!</v>
      </c>
      <c r="H46" s="27" t="e">
        <f>+H143*$D45</f>
        <v>#REF!</v>
      </c>
      <c r="M46" s="61"/>
      <c r="BV46" s="61"/>
    </row>
    <row r="47" spans="2:74" s="27" customFormat="1" ht="11.25" hidden="1" x14ac:dyDescent="0.2">
      <c r="B47" s="60"/>
      <c r="C47" s="27" t="s">
        <v>425</v>
      </c>
      <c r="D47" s="27">
        <f>+D46</f>
        <v>0</v>
      </c>
      <c r="E47" s="27" t="e">
        <f>+D47+E46-D48</f>
        <v>#REF!</v>
      </c>
      <c r="F47" s="27" t="e">
        <f>+E47+F46-E48</f>
        <v>#REF!</v>
      </c>
      <c r="G47" s="27" t="e">
        <f>+F47+G46-F48</f>
        <v>#REF!</v>
      </c>
      <c r="H47" s="27" t="e">
        <f>+G47+H46-G48</f>
        <v>#REF!</v>
      </c>
      <c r="M47" s="61"/>
      <c r="BV47" s="61"/>
    </row>
    <row r="48" spans="2:74" s="27" customFormat="1" ht="11.25" hidden="1" x14ac:dyDescent="0.2">
      <c r="B48" s="60" t="s">
        <v>446</v>
      </c>
      <c r="C48" s="27" t="s">
        <v>1530</v>
      </c>
      <c r="D48" s="27">
        <f>IF(D47&gt;0,D47,0)</f>
        <v>0</v>
      </c>
      <c r="E48" s="27" t="e">
        <f>IF(E47&gt;0,E47,0)</f>
        <v>#REF!</v>
      </c>
      <c r="F48" s="27" t="e">
        <f>IF(F47&gt;0,F47,0)</f>
        <v>#REF!</v>
      </c>
      <c r="G48" s="27" t="e">
        <f>IF(G47&gt;0,G47,0)</f>
        <v>#REF!</v>
      </c>
      <c r="H48" s="27" t="e">
        <f>IF(H47&gt;0,H47,0)</f>
        <v>#REF!</v>
      </c>
      <c r="M48" s="61"/>
      <c r="BV48" s="61"/>
    </row>
    <row r="49" spans="2:74" s="27" customFormat="1" ht="11.25" hidden="1" x14ac:dyDescent="0.2">
      <c r="B49" s="60"/>
      <c r="M49" s="61"/>
      <c r="BV49" s="61"/>
    </row>
    <row r="50" spans="2:74" s="27" customFormat="1" ht="11.25" hidden="1" x14ac:dyDescent="0.2">
      <c r="B50" s="60"/>
      <c r="M50" s="61"/>
      <c r="BV50" s="61"/>
    </row>
    <row r="51" spans="2:74" s="27" customFormat="1" ht="11.25" hidden="1" x14ac:dyDescent="0.2">
      <c r="B51" s="65"/>
      <c r="C51" s="66"/>
      <c r="D51" s="66"/>
      <c r="E51" s="66"/>
      <c r="F51" s="66"/>
      <c r="G51" s="66"/>
      <c r="H51" s="66"/>
      <c r="I51" s="66"/>
      <c r="J51" s="66"/>
      <c r="K51" s="66"/>
      <c r="L51" s="66"/>
      <c r="M51" s="67"/>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7"/>
    </row>
    <row r="52" spans="2:74" s="27" customFormat="1" ht="11.25" hidden="1" x14ac:dyDescent="0.2">
      <c r="B52" s="62" t="s">
        <v>1124</v>
      </c>
      <c r="C52" s="63" t="s">
        <v>1125</v>
      </c>
      <c r="D52" s="63"/>
      <c r="E52" s="63"/>
      <c r="F52" s="63"/>
      <c r="G52" s="63"/>
      <c r="H52" s="63"/>
      <c r="I52" s="62"/>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4"/>
    </row>
    <row r="53" spans="2:74" s="27" customFormat="1" ht="11.25" hidden="1" x14ac:dyDescent="0.2">
      <c r="B53" s="60"/>
      <c r="C53" s="27" t="s">
        <v>1470</v>
      </c>
      <c r="D53" s="27">
        <f>prestamos!S19</f>
        <v>0</v>
      </c>
      <c r="E53" s="27">
        <f>prestamos!V19</f>
        <v>0</v>
      </c>
      <c r="F53" s="27">
        <f>prestamos!W19</f>
        <v>0</v>
      </c>
      <c r="G53" s="27">
        <f>prestamos!X19</f>
        <v>0</v>
      </c>
      <c r="H53" s="27">
        <f>prestamos!Y19</f>
        <v>0</v>
      </c>
      <c r="I53" s="60"/>
      <c r="BV53" s="61"/>
    </row>
    <row r="54" spans="2:74" s="27" customFormat="1" ht="11.25" hidden="1" x14ac:dyDescent="0.2">
      <c r="B54" s="60"/>
      <c r="C54" s="27" t="s">
        <v>1126</v>
      </c>
      <c r="D54" s="27">
        <f>prestamos!S21</f>
        <v>0</v>
      </c>
      <c r="E54" s="27">
        <f>prestamos!V21</f>
        <v>0</v>
      </c>
      <c r="F54" s="27">
        <f>prestamos!W21</f>
        <v>0</v>
      </c>
      <c r="G54" s="27">
        <f>prestamos!X21</f>
        <v>0</v>
      </c>
      <c r="H54" s="27">
        <f>prestamos!Y21</f>
        <v>0</v>
      </c>
      <c r="I54" s="60"/>
      <c r="BV54" s="61"/>
    </row>
    <row r="55" spans="2:74" s="27" customFormat="1" ht="11.25" hidden="1" x14ac:dyDescent="0.2">
      <c r="B55" s="60"/>
      <c r="C55" s="27" t="s">
        <v>228</v>
      </c>
      <c r="D55" s="27">
        <f>prestamos!S22</f>
        <v>0</v>
      </c>
      <c r="E55" s="27">
        <f>prestamos!V22</f>
        <v>0</v>
      </c>
      <c r="F55" s="27">
        <f>prestamos!W22</f>
        <v>0</v>
      </c>
      <c r="G55" s="27">
        <f>prestamos!X22</f>
        <v>0</v>
      </c>
      <c r="H55" s="27">
        <f>prestamos!Y22</f>
        <v>0</v>
      </c>
      <c r="I55" s="60"/>
      <c r="BV55" s="61"/>
    </row>
    <row r="56" spans="2:74" s="27" customFormat="1" ht="11.25" hidden="1" x14ac:dyDescent="0.2">
      <c r="B56" s="60"/>
      <c r="C56" s="27" t="s">
        <v>786</v>
      </c>
      <c r="D56" s="27">
        <f>prestamos!S23</f>
        <v>0</v>
      </c>
      <c r="E56" s="27">
        <f>prestamos!V23</f>
        <v>0</v>
      </c>
      <c r="F56" s="27">
        <f>prestamos!W23</f>
        <v>0</v>
      </c>
      <c r="G56" s="27">
        <f>prestamos!X23</f>
        <v>0</v>
      </c>
      <c r="H56" s="27">
        <f>prestamos!Y23</f>
        <v>0</v>
      </c>
      <c r="I56" s="60"/>
      <c r="BV56" s="61"/>
    </row>
    <row r="57" spans="2:74" s="27" customFormat="1" ht="11.25" hidden="1" x14ac:dyDescent="0.2">
      <c r="B57" s="60"/>
      <c r="C57" s="27" t="s">
        <v>1195</v>
      </c>
      <c r="I57" s="60"/>
      <c r="BV57" s="61"/>
    </row>
    <row r="58" spans="2:74" s="27" customFormat="1" ht="11.25" hidden="1" x14ac:dyDescent="0.2">
      <c r="B58" s="60"/>
      <c r="C58" s="27" t="s">
        <v>1470</v>
      </c>
      <c r="D58" s="27">
        <f>prestamos!S25</f>
        <v>0</v>
      </c>
      <c r="E58" s="27">
        <f>prestamos!V25</f>
        <v>0</v>
      </c>
      <c r="F58" s="27">
        <f>prestamos!W25</f>
        <v>0</v>
      </c>
      <c r="G58" s="27">
        <f>prestamos!X25</f>
        <v>0</v>
      </c>
      <c r="H58" s="27">
        <f>prestamos!Y25</f>
        <v>0</v>
      </c>
      <c r="I58" s="60"/>
      <c r="BV58" s="61"/>
    </row>
    <row r="59" spans="2:74" s="27" customFormat="1" ht="11.25" hidden="1" x14ac:dyDescent="0.2">
      <c r="B59" s="60"/>
      <c r="C59" s="27" t="s">
        <v>1126</v>
      </c>
      <c r="D59" s="27">
        <f>prestamos!S26+prestamos!U400</f>
        <v>0</v>
      </c>
      <c r="E59" s="27">
        <f>prestamos!V26</f>
        <v>0</v>
      </c>
      <c r="F59" s="27">
        <f>prestamos!W26</f>
        <v>0</v>
      </c>
      <c r="G59" s="27">
        <f>prestamos!X26</f>
        <v>0</v>
      </c>
      <c r="H59" s="27">
        <f>prestamos!Y26</f>
        <v>0</v>
      </c>
      <c r="I59" s="60"/>
      <c r="BV59" s="61"/>
    </row>
    <row r="60" spans="2:74" s="27" customFormat="1" ht="11.25" hidden="1" x14ac:dyDescent="0.2">
      <c r="B60" s="60"/>
      <c r="C60" s="27" t="s">
        <v>228</v>
      </c>
      <c r="D60" s="27">
        <f>prestamos!S27</f>
        <v>0</v>
      </c>
      <c r="E60" s="27">
        <f>prestamos!V27</f>
        <v>0</v>
      </c>
      <c r="F60" s="27">
        <f>prestamos!W27</f>
        <v>0</v>
      </c>
      <c r="G60" s="27">
        <f>prestamos!X27</f>
        <v>0</v>
      </c>
      <c r="H60" s="27">
        <f>prestamos!Y27</f>
        <v>0</v>
      </c>
      <c r="I60" s="60"/>
      <c r="BV60" s="61"/>
    </row>
    <row r="61" spans="2:74" s="27" customFormat="1" ht="11.25" hidden="1" x14ac:dyDescent="0.2">
      <c r="B61" s="60"/>
      <c r="C61" s="27" t="s">
        <v>786</v>
      </c>
      <c r="D61" s="27">
        <f>prestamos!S28</f>
        <v>0</v>
      </c>
      <c r="E61" s="27">
        <f>prestamos!V28</f>
        <v>0</v>
      </c>
      <c r="F61" s="27">
        <f>prestamos!W28</f>
        <v>0</v>
      </c>
      <c r="G61" s="27">
        <f>prestamos!X28</f>
        <v>0</v>
      </c>
      <c r="H61" s="27">
        <f>prestamos!Y28</f>
        <v>0</v>
      </c>
      <c r="I61" s="60"/>
      <c r="BV61" s="61"/>
    </row>
    <row r="62" spans="2:74" s="27" customFormat="1" ht="11.25" hidden="1" x14ac:dyDescent="0.2">
      <c r="B62" s="60"/>
      <c r="C62" s="27" t="s">
        <v>958</v>
      </c>
      <c r="F62" s="27">
        <f>prestamos!W29</f>
        <v>0</v>
      </c>
      <c r="G62" s="27">
        <f>prestamos!X29</f>
        <v>0</v>
      </c>
      <c r="H62" s="27">
        <f>prestamos!Y29</f>
        <v>0</v>
      </c>
      <c r="I62" s="60"/>
      <c r="BV62" s="61"/>
    </row>
    <row r="63" spans="2:74" s="27" customFormat="1" ht="11.25" hidden="1" x14ac:dyDescent="0.2">
      <c r="B63" s="60"/>
      <c r="C63" s="27" t="s">
        <v>1470</v>
      </c>
      <c r="D63" s="27">
        <f>prestamos!$S$30</f>
        <v>0</v>
      </c>
      <c r="E63" s="27">
        <f>prestamos!$V$30</f>
        <v>0</v>
      </c>
      <c r="F63" s="27">
        <f>prestamos!W30</f>
        <v>0</v>
      </c>
      <c r="G63" s="27">
        <f>prestamos!X30</f>
        <v>0</v>
      </c>
      <c r="H63" s="27">
        <f>prestamos!Y30</f>
        <v>0</v>
      </c>
      <c r="I63" s="60"/>
      <c r="BV63" s="61"/>
    </row>
    <row r="64" spans="2:74" s="27" customFormat="1" ht="11.25" hidden="1" x14ac:dyDescent="0.2">
      <c r="B64" s="60"/>
      <c r="C64" s="27" t="s">
        <v>1126</v>
      </c>
      <c r="D64" s="27">
        <f t="shared" ref="D64:H65" si="0">+D59+D54</f>
        <v>0</v>
      </c>
      <c r="E64" s="27">
        <f t="shared" si="0"/>
        <v>0</v>
      </c>
      <c r="F64" s="27">
        <f t="shared" si="0"/>
        <v>0</v>
      </c>
      <c r="G64" s="27">
        <f t="shared" si="0"/>
        <v>0</v>
      </c>
      <c r="H64" s="27">
        <f t="shared" si="0"/>
        <v>0</v>
      </c>
      <c r="I64" s="60"/>
      <c r="BV64" s="61"/>
    </row>
    <row r="65" spans="2:74" s="27" customFormat="1" ht="11.25" hidden="1" x14ac:dyDescent="0.2">
      <c r="B65" s="60"/>
      <c r="C65" s="27" t="s">
        <v>228</v>
      </c>
      <c r="D65" s="27">
        <f t="shared" si="0"/>
        <v>0</v>
      </c>
      <c r="E65" s="27">
        <f t="shared" si="0"/>
        <v>0</v>
      </c>
      <c r="F65" s="27">
        <f t="shared" si="0"/>
        <v>0</v>
      </c>
      <c r="G65" s="27">
        <f t="shared" si="0"/>
        <v>0</v>
      </c>
      <c r="H65" s="27">
        <f t="shared" si="0"/>
        <v>0</v>
      </c>
      <c r="I65" s="62" t="s">
        <v>975</v>
      </c>
      <c r="J65" s="63"/>
      <c r="K65" s="63"/>
      <c r="L65" s="63"/>
      <c r="M65" s="63"/>
      <c r="N65" s="63"/>
      <c r="O65" s="63"/>
      <c r="P65" s="64"/>
      <c r="BV65" s="61"/>
    </row>
    <row r="66" spans="2:74" s="27" customFormat="1" ht="11.25" hidden="1" x14ac:dyDescent="0.2">
      <c r="B66" s="60"/>
      <c r="C66" s="27" t="s">
        <v>786</v>
      </c>
      <c r="D66" s="27">
        <f>SUM(D64:D65)</f>
        <v>0</v>
      </c>
      <c r="E66" s="27">
        <f>SUM(E64:E65)</f>
        <v>0</v>
      </c>
      <c r="F66" s="27">
        <f>SUM(F64:F65)</f>
        <v>0</v>
      </c>
      <c r="G66" s="27">
        <f>SUM(G64:G65)</f>
        <v>0</v>
      </c>
      <c r="H66" s="27">
        <f>SUM(H64:H65)</f>
        <v>0</v>
      </c>
      <c r="I66" s="60"/>
      <c r="K66" s="27">
        <f>SB!F669</f>
        <v>0</v>
      </c>
      <c r="L66" s="27">
        <f>SB!G669</f>
        <v>0</v>
      </c>
      <c r="M66" s="27">
        <f>SB!H669</f>
        <v>0</v>
      </c>
      <c r="N66" s="27">
        <f>SB!I669</f>
        <v>0</v>
      </c>
      <c r="P66" s="61"/>
      <c r="BV66" s="61"/>
    </row>
    <row r="67" spans="2:74" s="27" customFormat="1" ht="11.25" hidden="1" x14ac:dyDescent="0.2">
      <c r="B67" s="60"/>
      <c r="I67" s="60"/>
      <c r="J67" s="27" t="s">
        <v>428</v>
      </c>
      <c r="K67" s="27">
        <f>+K66-L135</f>
        <v>0</v>
      </c>
      <c r="L67" s="27">
        <f>+L66-M135</f>
        <v>0</v>
      </c>
      <c r="M67" s="27">
        <f>+M66-N135</f>
        <v>0</v>
      </c>
      <c r="N67" s="27">
        <f>+N66-O135</f>
        <v>0</v>
      </c>
      <c r="P67" s="61"/>
      <c r="BV67" s="61"/>
    </row>
    <row r="68" spans="2:74" s="27" customFormat="1" ht="11.25" hidden="1" x14ac:dyDescent="0.2">
      <c r="B68" s="60"/>
      <c r="C68" s="27" t="s">
        <v>1326</v>
      </c>
      <c r="E68" s="27" t="e">
        <f>E216+E161</f>
        <v>#REF!</v>
      </c>
      <c r="F68" s="27" t="e">
        <f>F216+F161</f>
        <v>#REF!</v>
      </c>
      <c r="G68" s="27" t="e">
        <f>G216+G161</f>
        <v>#REF!</v>
      </c>
      <c r="H68" s="27" t="e">
        <f>H216+H161</f>
        <v>#REF!</v>
      </c>
      <c r="I68" s="60"/>
      <c r="P68" s="61"/>
      <c r="BV68" s="61"/>
    </row>
    <row r="69" spans="2:74" s="27" customFormat="1" ht="11.25" hidden="1" x14ac:dyDescent="0.2">
      <c r="B69" s="60" t="s">
        <v>1131</v>
      </c>
      <c r="C69" s="27" t="s">
        <v>835</v>
      </c>
      <c r="E69" s="27" t="e">
        <f>#REF!*'3'!$F$40+#REF!</f>
        <v>#REF!</v>
      </c>
      <c r="F69" s="27" t="e">
        <f>#REF!*'3'!$F$40+#REF!</f>
        <v>#REF!</v>
      </c>
      <c r="G69" s="27" t="e">
        <f>#REF!*'3'!$F$40+#REF!</f>
        <v>#REF!</v>
      </c>
      <c r="H69" s="27" t="e">
        <f>#REF!*'3'!$F$40+#REF!</f>
        <v>#REF!</v>
      </c>
      <c r="I69" s="60" t="s">
        <v>435</v>
      </c>
      <c r="P69" s="61"/>
      <c r="BV69" s="61"/>
    </row>
    <row r="70" spans="2:74" s="27" customFormat="1" ht="11.25" hidden="1" x14ac:dyDescent="0.2">
      <c r="B70" s="60"/>
      <c r="C70" s="27" t="s">
        <v>989</v>
      </c>
      <c r="I70" s="60"/>
      <c r="P70" s="61"/>
      <c r="BV70" s="61"/>
    </row>
    <row r="71" spans="2:74" s="27" customFormat="1" ht="11.25" hidden="1" x14ac:dyDescent="0.2">
      <c r="B71" s="60"/>
      <c r="C71" s="27" t="s">
        <v>1327</v>
      </c>
      <c r="E71" s="27">
        <f>E162+E217</f>
        <v>0</v>
      </c>
      <c r="F71" s="27">
        <f>F162+F217</f>
        <v>0</v>
      </c>
      <c r="G71" s="27">
        <f>G162+G217</f>
        <v>0</v>
      </c>
      <c r="H71" s="27">
        <f>H162+H217</f>
        <v>0</v>
      </c>
      <c r="I71" s="60"/>
      <c r="P71" s="61"/>
      <c r="BV71" s="61"/>
    </row>
    <row r="72" spans="2:74" s="27" customFormat="1" ht="11.25" hidden="1" x14ac:dyDescent="0.2">
      <c r="B72" s="60"/>
      <c r="C72" s="27" t="s">
        <v>1128</v>
      </c>
      <c r="E72" s="27">
        <f>+E65</f>
        <v>0</v>
      </c>
      <c r="F72" s="27">
        <f>+F65</f>
        <v>0</v>
      </c>
      <c r="G72" s="27">
        <f>+G65</f>
        <v>0</v>
      </c>
      <c r="H72" s="27">
        <f>+H65</f>
        <v>0</v>
      </c>
      <c r="I72" s="60" t="s">
        <v>846</v>
      </c>
      <c r="J72" s="27">
        <f>CResult!$G$109</f>
        <v>0</v>
      </c>
      <c r="K72" s="27" t="e">
        <f>#REF!</f>
        <v>#REF!</v>
      </c>
      <c r="L72" s="27" t="e">
        <f>#REF!</f>
        <v>#REF!</v>
      </c>
      <c r="M72" s="27" t="e">
        <f>#REF!</f>
        <v>#REF!</v>
      </c>
      <c r="N72" s="27" t="e">
        <f>#REF!</f>
        <v>#REF!</v>
      </c>
      <c r="P72" s="61"/>
      <c r="BV72" s="61"/>
    </row>
    <row r="73" spans="2:74" s="27" customFormat="1" ht="11.25" hidden="1" x14ac:dyDescent="0.2">
      <c r="B73" s="60"/>
      <c r="C73" s="27" t="s">
        <v>44</v>
      </c>
      <c r="E73" s="27">
        <f>Pagoinversiones!E16</f>
        <v>0</v>
      </c>
      <c r="F73" s="27">
        <f>Pagoinversiones!F16</f>
        <v>0</v>
      </c>
      <c r="G73" s="27">
        <f>Pagoinversiones!G16</f>
        <v>0</v>
      </c>
      <c r="H73" s="27">
        <f>Pagoinversiones!H16</f>
        <v>0</v>
      </c>
      <c r="I73" s="60"/>
      <c r="P73" s="61"/>
      <c r="BV73" s="61"/>
    </row>
    <row r="74" spans="2:74" s="27" customFormat="1" hidden="1" x14ac:dyDescent="0.2">
      <c r="B74" s="60" t="s">
        <v>1129</v>
      </c>
      <c r="C74" s="27" t="s">
        <v>786</v>
      </c>
      <c r="E74" s="27" t="e">
        <f>SUM(E68:E73)</f>
        <v>#REF!</v>
      </c>
      <c r="F74" s="27" t="e">
        <f>SUM(F68:F73)</f>
        <v>#REF!</v>
      </c>
      <c r="G74" s="27" t="e">
        <f>SUM(G68:G73)</f>
        <v>#REF!</v>
      </c>
      <c r="H74" s="27" t="e">
        <f>SUM(H68:H73)</f>
        <v>#REF!</v>
      </c>
      <c r="I74" s="60"/>
      <c r="J74" s="27" t="s">
        <v>428</v>
      </c>
      <c r="K74" s="27" t="e">
        <f>+L81+K72</f>
        <v>#REF!</v>
      </c>
      <c r="L74" s="27" t="e">
        <f>+M81+L72</f>
        <v>#REF!</v>
      </c>
      <c r="M74" s="27" t="e">
        <f>+N81+M72</f>
        <v>#REF!</v>
      </c>
      <c r="N74" s="27" t="e">
        <f>+O81+N72</f>
        <v>#REF!</v>
      </c>
      <c r="P74" s="61"/>
      <c r="BV74" s="61"/>
    </row>
    <row r="75" spans="2:74" s="27" customFormat="1" ht="11.25" hidden="1" x14ac:dyDescent="0.2">
      <c r="B75" s="60" t="s">
        <v>1130</v>
      </c>
      <c r="I75" s="60"/>
      <c r="P75" s="61"/>
      <c r="BV75" s="61"/>
    </row>
    <row r="76" spans="2:74" s="27" customFormat="1" ht="11.25" hidden="1" x14ac:dyDescent="0.2">
      <c r="B76" s="60"/>
      <c r="C76" s="27" t="s">
        <v>228</v>
      </c>
      <c r="E76" s="27" t="e">
        <f>+E73+E72+E68</f>
        <v>#REF!</v>
      </c>
      <c r="F76" s="27" t="e">
        <f>+F73+F72+F68</f>
        <v>#REF!</v>
      </c>
      <c r="G76" s="27" t="e">
        <f>+G73+G72+G68</f>
        <v>#REF!</v>
      </c>
      <c r="H76" s="27" t="e">
        <f>+H73+H72+H68</f>
        <v>#REF!</v>
      </c>
      <c r="I76" s="60"/>
      <c r="P76" s="61"/>
      <c r="BV76" s="61"/>
    </row>
    <row r="77" spans="2:74" s="27" customFormat="1" ht="11.25" hidden="1" x14ac:dyDescent="0.2">
      <c r="B77" s="60"/>
      <c r="I77" s="60" t="s">
        <v>429</v>
      </c>
      <c r="P77" s="61"/>
      <c r="Q77" s="62" t="s">
        <v>227</v>
      </c>
      <c r="R77" s="63" t="s">
        <v>446</v>
      </c>
      <c r="S77" s="63"/>
      <c r="T77" s="63"/>
      <c r="U77" s="63"/>
      <c r="V77" s="63"/>
      <c r="W77" s="63"/>
      <c r="X77" s="63"/>
      <c r="Y77" s="63"/>
      <c r="Z77" s="63"/>
      <c r="AA77" s="63"/>
      <c r="AB77" s="63"/>
      <c r="AC77" s="63"/>
      <c r="AD77" s="63"/>
      <c r="AE77" s="63"/>
      <c r="AF77" s="63"/>
      <c r="AG77" s="63"/>
      <c r="AH77" s="63"/>
      <c r="AI77" s="63"/>
      <c r="AJ77" s="63"/>
      <c r="AK77" s="63"/>
      <c r="AL77" s="63"/>
      <c r="AM77" s="63"/>
      <c r="AN77" s="64"/>
      <c r="BV77" s="61"/>
    </row>
    <row r="78" spans="2:74" s="27" customFormat="1" ht="11.25" hidden="1" x14ac:dyDescent="0.2">
      <c r="B78" s="60" t="s">
        <v>1132</v>
      </c>
      <c r="I78" s="60"/>
      <c r="J78" s="27" t="s">
        <v>1541</v>
      </c>
      <c r="L78" s="27" t="s">
        <v>1492</v>
      </c>
      <c r="M78" s="27" t="s">
        <v>1493</v>
      </c>
      <c r="N78" s="27" t="s">
        <v>1494</v>
      </c>
      <c r="O78" s="27" t="s">
        <v>1495</v>
      </c>
      <c r="P78" s="61"/>
      <c r="Q78" s="60" t="s">
        <v>440</v>
      </c>
      <c r="W78" s="27" t="s">
        <v>441</v>
      </c>
      <c r="AA78" s="27" t="s">
        <v>1492</v>
      </c>
      <c r="AE78" s="27" t="s">
        <v>1493</v>
      </c>
      <c r="AH78" s="27" t="s">
        <v>1494</v>
      </c>
      <c r="AK78" s="27" t="s">
        <v>1495</v>
      </c>
      <c r="AM78" s="27" t="s">
        <v>442</v>
      </c>
      <c r="AN78" s="61"/>
      <c r="AP78" s="27" t="s">
        <v>1492</v>
      </c>
      <c r="AS78" s="27" t="s">
        <v>1493</v>
      </c>
      <c r="AV78" s="27" t="s">
        <v>1494</v>
      </c>
      <c r="AY78" s="27" t="s">
        <v>1495</v>
      </c>
      <c r="BV78" s="61"/>
    </row>
    <row r="79" spans="2:74" s="27" customFormat="1" ht="11.25" hidden="1" x14ac:dyDescent="0.2">
      <c r="B79" s="60"/>
      <c r="D79" s="27" t="s">
        <v>1491</v>
      </c>
      <c r="E79" s="27" t="s">
        <v>1492</v>
      </c>
      <c r="F79" s="27" t="s">
        <v>1493</v>
      </c>
      <c r="G79" s="27" t="s">
        <v>1494</v>
      </c>
      <c r="H79" s="27" t="s">
        <v>1495</v>
      </c>
      <c r="I79" s="60"/>
      <c r="J79" s="27" t="s">
        <v>1536</v>
      </c>
      <c r="P79" s="61"/>
      <c r="Q79" s="60" t="s">
        <v>434</v>
      </c>
      <c r="S79" s="27" t="str">
        <f>CTesorería!Z95</f>
        <v>ejercicio</v>
      </c>
      <c r="T79" s="27" t="str">
        <f>CTesorería!AA95</f>
        <v>ratio</v>
      </c>
      <c r="U79" s="27" t="str">
        <f>CTesorería!AB95</f>
        <v>ejercicio SIG</v>
      </c>
      <c r="V79" s="27" t="str">
        <f>CTesorería!AC95</f>
        <v>ratio</v>
      </c>
      <c r="W79" s="27" t="s">
        <v>1492</v>
      </c>
      <c r="X79" s="27" t="s">
        <v>1493</v>
      </c>
      <c r="Y79" s="27" t="s">
        <v>1494</v>
      </c>
      <c r="Z79" s="27" t="s">
        <v>1495</v>
      </c>
      <c r="AA79" s="27" t="s">
        <v>439</v>
      </c>
      <c r="AB79" s="27" t="s">
        <v>430</v>
      </c>
      <c r="AC79" s="27" t="s">
        <v>1323</v>
      </c>
      <c r="AD79" s="27" t="s">
        <v>439</v>
      </c>
      <c r="AE79" s="27" t="s">
        <v>430</v>
      </c>
      <c r="AF79" s="27" t="s">
        <v>1323</v>
      </c>
      <c r="AG79" s="27" t="s">
        <v>439</v>
      </c>
      <c r="AH79" s="27" t="s">
        <v>430</v>
      </c>
      <c r="AI79" s="27" t="s">
        <v>1323</v>
      </c>
      <c r="AJ79" s="27" t="s">
        <v>439</v>
      </c>
      <c r="AK79" s="27" t="s">
        <v>430</v>
      </c>
      <c r="AL79" s="27" t="s">
        <v>1323</v>
      </c>
      <c r="AM79" s="27" t="s">
        <v>443</v>
      </c>
      <c r="AN79" s="61"/>
      <c r="AO79" s="27" t="s">
        <v>430</v>
      </c>
      <c r="AR79" s="27" t="s">
        <v>430</v>
      </c>
      <c r="AU79" s="27" t="s">
        <v>430</v>
      </c>
      <c r="AX79" s="27" t="s">
        <v>430</v>
      </c>
      <c r="BV79" s="61"/>
    </row>
    <row r="80" spans="2:74" s="27" customFormat="1" ht="11.25" hidden="1" x14ac:dyDescent="0.2">
      <c r="B80" s="60"/>
      <c r="C80" s="27" t="e">
        <f>#REF!</f>
        <v>#REF!</v>
      </c>
      <c r="I80" s="60"/>
      <c r="K80" s="27" t="s">
        <v>788</v>
      </c>
      <c r="L80" s="27">
        <f>+E5*$D$17</f>
        <v>0</v>
      </c>
      <c r="M80" s="27">
        <f>+F5*$D$17</f>
        <v>0</v>
      </c>
      <c r="N80" s="27">
        <f>+G5*$D$17</f>
        <v>0</v>
      </c>
      <c r="O80" s="27">
        <f>+H5*$D$17</f>
        <v>0</v>
      </c>
      <c r="P80" s="61"/>
      <c r="Q80" s="60" t="str">
        <f>CTesorería!B96</f>
        <v>compras (material para venta)</v>
      </c>
      <c r="S80" s="27">
        <f>CTesorería!Z96</f>
        <v>0</v>
      </c>
      <c r="T80" s="27">
        <f>CTesorería!AA96</f>
        <v>0</v>
      </c>
      <c r="U80" s="27">
        <f>CTesorería!AB96</f>
        <v>0</v>
      </c>
      <c r="V80" s="27">
        <f>CTesorería!AC96</f>
        <v>0</v>
      </c>
      <c r="W80" s="27">
        <f>+E91+L91</f>
        <v>0</v>
      </c>
      <c r="X80" s="27">
        <f>+F91+M91</f>
        <v>0</v>
      </c>
      <c r="Y80" s="27">
        <f>+G91+N91</f>
        <v>0</v>
      </c>
      <c r="Z80" s="27">
        <f>+H91+O91</f>
        <v>0</v>
      </c>
      <c r="AA80" s="27">
        <f>+U80</f>
        <v>0</v>
      </c>
      <c r="AB80" s="27">
        <f>IF(AO80=0,W80*$T80,W80*AP80)</f>
        <v>0</v>
      </c>
      <c r="AC80" s="27">
        <f>SUM(AA80:AB80)</f>
        <v>0</v>
      </c>
      <c r="AD80" s="27">
        <f>IF(AO80=0,W80*$V80,W80*AQ80)</f>
        <v>0</v>
      </c>
      <c r="AE80" s="27">
        <f>IF(AR80=0,X80*$T80,X80*AS80)</f>
        <v>0</v>
      </c>
      <c r="AF80" s="27">
        <f>SUM(AD80:AE80)</f>
        <v>0</v>
      </c>
      <c r="AG80" s="27">
        <f>IF(AR80=0,X80*$V80,X80*AT80)</f>
        <v>0</v>
      </c>
      <c r="AH80" s="27">
        <f>IF(AU80=0,Y80*$T80,Y80*AV80)</f>
        <v>0</v>
      </c>
      <c r="AI80" s="27">
        <f>SUM(AG80:AH80)</f>
        <v>0</v>
      </c>
      <c r="AJ80" s="27">
        <f>IF(AU80=0,Y80*$V80,Y80*AW80)</f>
        <v>0</v>
      </c>
      <c r="AK80" s="27">
        <f>IF(AX80=0,Z80*$T80,Z80*AY80)</f>
        <v>0</v>
      </c>
      <c r="AL80" s="27">
        <f>SUM(AJ80:AK80)</f>
        <v>0</v>
      </c>
      <c r="AM80" s="27">
        <f>IF(AX80=0,Z80*$V80,Z80*AZ80)</f>
        <v>0</v>
      </c>
      <c r="AN80" s="61" t="str">
        <f>IF(AM80+AK80=Z80,"ok","no")</f>
        <v>ok</v>
      </c>
      <c r="AP80" s="27">
        <f>IF(W80=0,0,IF(AO80/W80&gt;=100%,100%,AO80/W80))</f>
        <v>0</v>
      </c>
      <c r="AQ80" s="27">
        <f>IF(AP80&gt;0%,100%-AP80,0)</f>
        <v>0</v>
      </c>
      <c r="AS80" s="27">
        <f>IF(X80=0,0,IF(AR80/X80&gt;=100%,100%,AR80/X80))</f>
        <v>0</v>
      </c>
      <c r="AT80" s="27">
        <f>IF(AS80&gt;0%,100%-AS80,0)</f>
        <v>0</v>
      </c>
      <c r="AV80" s="27">
        <f>IF(Y80=0,0,IF(AU80/Y80&gt;=100%,100%,AU80/Y80))</f>
        <v>0</v>
      </c>
      <c r="AW80" s="27">
        <f>IF(AV80&gt;0%,100%-AV80,0)</f>
        <v>0</v>
      </c>
      <c r="AY80" s="27">
        <f>IF(Z80=0,0,IF(AX80/Z80&gt;=100%,100%,AX80/Z80))</f>
        <v>0</v>
      </c>
      <c r="AZ80" s="27">
        <f>IF(AY80&gt;0%,100%-AY80,0)</f>
        <v>0</v>
      </c>
      <c r="BV80" s="61"/>
    </row>
    <row r="81" spans="2:74" s="27" customFormat="1" ht="11.25" hidden="1" x14ac:dyDescent="0.2">
      <c r="B81" s="60"/>
      <c r="C81" s="27" t="str">
        <f>SANDBOX!D1034</f>
        <v>Venta bruta anual</v>
      </c>
      <c r="E81" s="27" t="e">
        <f>#REF!</f>
        <v>#REF!</v>
      </c>
      <c r="F81" s="27" t="e">
        <f>#REF!</f>
        <v>#REF!</v>
      </c>
      <c r="G81" s="27" t="e">
        <f>#REF!</f>
        <v>#REF!</v>
      </c>
      <c r="H81" s="27" t="e">
        <f>#REF!</f>
        <v>#REF!</v>
      </c>
      <c r="I81" s="60"/>
      <c r="K81" s="27" t="s">
        <v>445</v>
      </c>
      <c r="L81" s="27" t="e">
        <f>+K72*$J72</f>
        <v>#REF!</v>
      </c>
      <c r="M81" s="27" t="e">
        <f>+L72*$J72</f>
        <v>#REF!</v>
      </c>
      <c r="N81" s="27" t="e">
        <f>+M72*$J72</f>
        <v>#REF!</v>
      </c>
      <c r="O81" s="27" t="e">
        <f>+N72*$J72</f>
        <v>#REF!</v>
      </c>
      <c r="P81" s="61"/>
      <c r="Q81" s="60" t="str">
        <f>CTesorería!B97</f>
        <v>gastos de producción o servicio</v>
      </c>
      <c r="S81" s="27">
        <f>CTesorería!Z97</f>
        <v>0</v>
      </c>
      <c r="T81" s="27">
        <f>CTesorería!AA97</f>
        <v>0</v>
      </c>
      <c r="U81" s="27">
        <f>CTesorería!AB97</f>
        <v>0</v>
      </c>
      <c r="V81" s="27">
        <f>CTesorería!AC97</f>
        <v>0</v>
      </c>
      <c r="W81" s="27" t="e">
        <f>+E97+L97</f>
        <v>#REF!</v>
      </c>
      <c r="X81" s="27" t="e">
        <f>+F97+M97</f>
        <v>#REF!</v>
      </c>
      <c r="Y81" s="27" t="e">
        <f>+G97+N97</f>
        <v>#REF!</v>
      </c>
      <c r="Z81" s="27" t="e">
        <f>+H97+O97</f>
        <v>#REF!</v>
      </c>
      <c r="AA81" s="27">
        <f t="shared" ref="AA81:AA100" si="1">+U81</f>
        <v>0</v>
      </c>
      <c r="AB81" s="27" t="e">
        <f t="shared" ref="AB81:AB98" si="2">IF(AO81=0,W81*$T81,W81*AP81)</f>
        <v>#REF!</v>
      </c>
      <c r="AC81" s="27" t="e">
        <f t="shared" ref="AC81:AC100" si="3">SUM(AA81:AB81)</f>
        <v>#REF!</v>
      </c>
      <c r="AD81" s="27" t="e">
        <f t="shared" ref="AD81:AD98" si="4">IF(AO81=0,W81*$V81,W81*AQ81)</f>
        <v>#REF!</v>
      </c>
      <c r="AE81" s="27" t="e">
        <f t="shared" ref="AE81:AE98" si="5">IF(AR81=0,X81*$T81,X81*AS81)</f>
        <v>#REF!</v>
      </c>
      <c r="AF81" s="27" t="e">
        <f t="shared" ref="AF81:AF100" si="6">SUM(AD81:AE81)</f>
        <v>#REF!</v>
      </c>
      <c r="AG81" s="27" t="e">
        <f t="shared" ref="AG81:AG98" si="7">IF(AR81=0,X81*$V81,X81*AT81)</f>
        <v>#REF!</v>
      </c>
      <c r="AH81" s="27" t="e">
        <f t="shared" ref="AH81:AH98" si="8">IF(AU81=0,Y81*$T81,Y81*AV81)</f>
        <v>#REF!</v>
      </c>
      <c r="AI81" s="27" t="e">
        <f t="shared" ref="AI81:AI100" si="9">SUM(AG81:AH81)</f>
        <v>#REF!</v>
      </c>
      <c r="AJ81" s="27" t="e">
        <f t="shared" ref="AJ81:AJ98" si="10">IF(AU81=0,Y81*$V81,Y81*AW81)</f>
        <v>#REF!</v>
      </c>
      <c r="AK81" s="27" t="e">
        <f t="shared" ref="AK81:AK98" si="11">IF(AX81=0,Z81*$T81,Z81*AY81)</f>
        <v>#REF!</v>
      </c>
      <c r="AL81" s="27" t="e">
        <f t="shared" ref="AL81:AL100" si="12">SUM(AJ81:AK81)</f>
        <v>#REF!</v>
      </c>
      <c r="AM81" s="27" t="e">
        <f t="shared" ref="AM81:AM98" si="13">IF(AX81=0,Z81*$V81,Z81*AZ81)</f>
        <v>#REF!</v>
      </c>
      <c r="AN81" s="61" t="e">
        <f t="shared" ref="AN81:AN100" si="14">IF(AM81+AK81=Z81,"ok","no")</f>
        <v>#REF!</v>
      </c>
      <c r="AP81" s="27" t="e">
        <f t="shared" ref="AP81:AP103" si="15">IF(W81=0,0,IF(AO81/W81&gt;=100%,100%,AO81/W81))</f>
        <v>#REF!</v>
      </c>
      <c r="AQ81" s="27" t="e">
        <f t="shared" ref="AQ81:AQ103" si="16">IF(AP81&gt;0%,100%-AP81,0)</f>
        <v>#REF!</v>
      </c>
      <c r="AS81" s="27" t="e">
        <f t="shared" ref="AS81:AS103" si="17">IF(X81=0,0,IF(AR81/X81&gt;=100%,100%,AR81/X81))</f>
        <v>#REF!</v>
      </c>
      <c r="AT81" s="27" t="e">
        <f t="shared" ref="AT81:AT103" si="18">IF(AS81&gt;0%,100%-AS81,0)</f>
        <v>#REF!</v>
      </c>
      <c r="AV81" s="27" t="e">
        <f t="shared" ref="AV81:AV103" si="19">IF(Y81=0,0,IF(AU81/Y81&gt;=100%,100%,AU81/Y81))</f>
        <v>#REF!</v>
      </c>
      <c r="AW81" s="27" t="e">
        <f t="shared" ref="AW81:AW103" si="20">IF(AV81&gt;0%,100%-AV81,0)</f>
        <v>#REF!</v>
      </c>
      <c r="AY81" s="27" t="e">
        <f t="shared" ref="AY81:AY103" si="21">IF(Z81=0,0,IF(AX81/Z81&gt;=100%,100%,AX81/Z81))</f>
        <v>#REF!</v>
      </c>
      <c r="AZ81" s="27" t="e">
        <f t="shared" ref="AZ81:AZ103" si="22">IF(AY81&gt;0%,100%-AY81,0)</f>
        <v>#REF!</v>
      </c>
      <c r="BV81" s="61"/>
    </row>
    <row r="82" spans="2:74" s="27" customFormat="1" ht="11.25" hidden="1" x14ac:dyDescent="0.2">
      <c r="B82" s="60"/>
      <c r="C82" s="27" t="str">
        <f>SANDBOX!D1035</f>
        <v>menos venta</v>
      </c>
      <c r="E82" s="27" t="e">
        <f>SB!F664</f>
        <v>#REF!</v>
      </c>
      <c r="F82" s="27" t="e">
        <f>SB!G664</f>
        <v>#REF!</v>
      </c>
      <c r="G82" s="27" t="e">
        <f>SB!H664</f>
        <v>#REF!</v>
      </c>
      <c r="H82" s="27" t="e">
        <f>SB!I664</f>
        <v>#REF!</v>
      </c>
      <c r="I82" s="60"/>
      <c r="P82" s="61"/>
      <c r="Q82" s="60" t="str">
        <f>CTesorería!B98</f>
        <v>variables de producción o servicio</v>
      </c>
      <c r="S82" s="27">
        <f>CTesorería!Z98</f>
        <v>0</v>
      </c>
      <c r="T82" s="27">
        <f>CTesorería!AA98</f>
        <v>0</v>
      </c>
      <c r="U82" s="27">
        <f>CTesorería!AB98</f>
        <v>0</v>
      </c>
      <c r="V82" s="27">
        <f>CTesorería!AC98</f>
        <v>0</v>
      </c>
      <c r="W82" s="27">
        <f>+E95+L95</f>
        <v>0</v>
      </c>
      <c r="X82" s="27">
        <f>+F95+M95</f>
        <v>0</v>
      </c>
      <c r="Y82" s="27">
        <f>+G95+N95</f>
        <v>0</v>
      </c>
      <c r="Z82" s="27">
        <f>+H95+O95</f>
        <v>0</v>
      </c>
      <c r="AA82" s="27">
        <f t="shared" si="1"/>
        <v>0</v>
      </c>
      <c r="AB82" s="27">
        <f t="shared" si="2"/>
        <v>0</v>
      </c>
      <c r="AC82" s="27">
        <f t="shared" si="3"/>
        <v>0</v>
      </c>
      <c r="AD82" s="27">
        <f t="shared" si="4"/>
        <v>0</v>
      </c>
      <c r="AE82" s="27">
        <f t="shared" si="5"/>
        <v>0</v>
      </c>
      <c r="AF82" s="27">
        <f t="shared" si="6"/>
        <v>0</v>
      </c>
      <c r="AG82" s="27">
        <f t="shared" si="7"/>
        <v>0</v>
      </c>
      <c r="AH82" s="27">
        <f t="shared" si="8"/>
        <v>0</v>
      </c>
      <c r="AI82" s="27">
        <f t="shared" si="9"/>
        <v>0</v>
      </c>
      <c r="AJ82" s="27">
        <f t="shared" si="10"/>
        <v>0</v>
      </c>
      <c r="AK82" s="27">
        <f t="shared" si="11"/>
        <v>0</v>
      </c>
      <c r="AL82" s="27">
        <f t="shared" si="12"/>
        <v>0</v>
      </c>
      <c r="AM82" s="27">
        <f t="shared" si="13"/>
        <v>0</v>
      </c>
      <c r="AN82" s="61" t="str">
        <f t="shared" si="14"/>
        <v>ok</v>
      </c>
      <c r="AP82" s="27">
        <f t="shared" si="15"/>
        <v>0</v>
      </c>
      <c r="AQ82" s="27">
        <f t="shared" si="16"/>
        <v>0</v>
      </c>
      <c r="AS82" s="27">
        <f t="shared" si="17"/>
        <v>0</v>
      </c>
      <c r="AT82" s="27">
        <f t="shared" si="18"/>
        <v>0</v>
      </c>
      <c r="AV82" s="27">
        <f t="shared" si="19"/>
        <v>0</v>
      </c>
      <c r="AW82" s="27">
        <f t="shared" si="20"/>
        <v>0</v>
      </c>
      <c r="AY82" s="27">
        <f t="shared" si="21"/>
        <v>0</v>
      </c>
      <c r="AZ82" s="27">
        <f t="shared" si="22"/>
        <v>0</v>
      </c>
      <c r="BV82" s="61"/>
    </row>
    <row r="83" spans="2:74" s="27" customFormat="1" ht="11.25" hidden="1" x14ac:dyDescent="0.2">
      <c r="B83" s="60"/>
      <c r="C83" s="27" t="e">
        <f>#REF!</f>
        <v>#REF!</v>
      </c>
      <c r="E83" s="27" t="e">
        <f>SB!F666</f>
        <v>#REF!</v>
      </c>
      <c r="F83" s="27" t="e">
        <f>SB!G666</f>
        <v>#REF!</v>
      </c>
      <c r="G83" s="27" t="e">
        <f>SB!H666</f>
        <v>#REF!</v>
      </c>
      <c r="H83" s="27" t="e">
        <f>SB!I666</f>
        <v>#REF!</v>
      </c>
      <c r="I83" s="60"/>
      <c r="K83" s="27" t="s">
        <v>958</v>
      </c>
      <c r="L83" s="27" t="e">
        <f>SUM(L80:L82)</f>
        <v>#REF!</v>
      </c>
      <c r="M83" s="27" t="e">
        <f>SUM(M80:M82)</f>
        <v>#REF!</v>
      </c>
      <c r="N83" s="27" t="e">
        <f>SUM(N80:N82)</f>
        <v>#REF!</v>
      </c>
      <c r="O83" s="27" t="e">
        <f>SUM(O80:O82)</f>
        <v>#REF!</v>
      </c>
      <c r="P83" s="61"/>
      <c r="Q83" s="60" t="str">
        <f>CTesorería!B99</f>
        <v xml:space="preserve">Publicidad </v>
      </c>
      <c r="S83" s="27">
        <f>CTesorería!Z99</f>
        <v>0</v>
      </c>
      <c r="T83" s="27">
        <f>CTesorería!AA99</f>
        <v>0</v>
      </c>
      <c r="U83" s="27">
        <f>CTesorería!AB99</f>
        <v>0</v>
      </c>
      <c r="V83" s="27">
        <f>CTesorería!AC99</f>
        <v>0</v>
      </c>
      <c r="W83" s="27" t="e">
        <f t="shared" ref="W83:Z86" si="23">+E108+L108</f>
        <v>#REF!</v>
      </c>
      <c r="X83" s="27" t="e">
        <f t="shared" si="23"/>
        <v>#REF!</v>
      </c>
      <c r="Y83" s="27" t="e">
        <f t="shared" si="23"/>
        <v>#REF!</v>
      </c>
      <c r="Z83" s="27" t="e">
        <f t="shared" si="23"/>
        <v>#REF!</v>
      </c>
      <c r="AA83" s="27">
        <f t="shared" si="1"/>
        <v>0</v>
      </c>
      <c r="AB83" s="27" t="e">
        <f t="shared" si="2"/>
        <v>#REF!</v>
      </c>
      <c r="AC83" s="27" t="e">
        <f t="shared" si="3"/>
        <v>#REF!</v>
      </c>
      <c r="AD83" s="27" t="e">
        <f t="shared" si="4"/>
        <v>#REF!</v>
      </c>
      <c r="AE83" s="27" t="e">
        <f t="shared" si="5"/>
        <v>#REF!</v>
      </c>
      <c r="AF83" s="27" t="e">
        <f t="shared" si="6"/>
        <v>#REF!</v>
      </c>
      <c r="AG83" s="27" t="e">
        <f t="shared" si="7"/>
        <v>#REF!</v>
      </c>
      <c r="AH83" s="27" t="e">
        <f t="shared" si="8"/>
        <v>#REF!</v>
      </c>
      <c r="AI83" s="27" t="e">
        <f t="shared" si="9"/>
        <v>#REF!</v>
      </c>
      <c r="AJ83" s="27" t="e">
        <f t="shared" si="10"/>
        <v>#REF!</v>
      </c>
      <c r="AK83" s="27" t="e">
        <f t="shared" si="11"/>
        <v>#REF!</v>
      </c>
      <c r="AL83" s="27" t="e">
        <f t="shared" si="12"/>
        <v>#REF!</v>
      </c>
      <c r="AM83" s="27" t="e">
        <f t="shared" si="13"/>
        <v>#REF!</v>
      </c>
      <c r="AN83" s="61" t="e">
        <f t="shared" si="14"/>
        <v>#REF!</v>
      </c>
      <c r="AP83" s="27" t="e">
        <f t="shared" si="15"/>
        <v>#REF!</v>
      </c>
      <c r="AQ83" s="27" t="e">
        <f t="shared" si="16"/>
        <v>#REF!</v>
      </c>
      <c r="AS83" s="27" t="e">
        <f t="shared" si="17"/>
        <v>#REF!</v>
      </c>
      <c r="AT83" s="27" t="e">
        <f t="shared" si="18"/>
        <v>#REF!</v>
      </c>
      <c r="AV83" s="27" t="e">
        <f t="shared" si="19"/>
        <v>#REF!</v>
      </c>
      <c r="AW83" s="27" t="e">
        <f t="shared" si="20"/>
        <v>#REF!</v>
      </c>
      <c r="AY83" s="27" t="e">
        <f t="shared" si="21"/>
        <v>#REF!</v>
      </c>
      <c r="AZ83" s="27" t="e">
        <f t="shared" si="22"/>
        <v>#REF!</v>
      </c>
      <c r="BV83" s="61"/>
    </row>
    <row r="84" spans="2:74" s="27" customFormat="1" ht="11.25" hidden="1" x14ac:dyDescent="0.2">
      <c r="B84" s="60"/>
      <c r="D84" s="27">
        <f>INFORME!$F$129</f>
        <v>0</v>
      </c>
      <c r="E84" s="27">
        <f>E32</f>
        <v>0</v>
      </c>
      <c r="F84" s="27">
        <f>F32</f>
        <v>0</v>
      </c>
      <c r="G84" s="27">
        <f>G32</f>
        <v>0</v>
      </c>
      <c r="H84" s="27">
        <f>H32</f>
        <v>0</v>
      </c>
      <c r="I84" s="60"/>
      <c r="P84" s="61"/>
      <c r="Q84" s="60" t="str">
        <f>CTesorería!B100</f>
        <v>otros gastos de marketing</v>
      </c>
      <c r="S84" s="27">
        <f>CTesorería!Z100</f>
        <v>0</v>
      </c>
      <c r="T84" s="27">
        <f>CTesorería!AA100</f>
        <v>0</v>
      </c>
      <c r="U84" s="27">
        <f>CTesorería!AB100</f>
        <v>0</v>
      </c>
      <c r="V84" s="27">
        <f>CTesorería!AC100</f>
        <v>0</v>
      </c>
      <c r="W84" s="27" t="e">
        <f t="shared" si="23"/>
        <v>#REF!</v>
      </c>
      <c r="X84" s="27" t="e">
        <f t="shared" si="23"/>
        <v>#REF!</v>
      </c>
      <c r="Y84" s="27" t="e">
        <f t="shared" si="23"/>
        <v>#REF!</v>
      </c>
      <c r="Z84" s="27" t="e">
        <f t="shared" si="23"/>
        <v>#REF!</v>
      </c>
      <c r="AA84" s="27">
        <f t="shared" si="1"/>
        <v>0</v>
      </c>
      <c r="AB84" s="27" t="e">
        <f t="shared" si="2"/>
        <v>#REF!</v>
      </c>
      <c r="AC84" s="27" t="e">
        <f t="shared" si="3"/>
        <v>#REF!</v>
      </c>
      <c r="AD84" s="27" t="e">
        <f t="shared" si="4"/>
        <v>#REF!</v>
      </c>
      <c r="AE84" s="27" t="e">
        <f t="shared" si="5"/>
        <v>#REF!</v>
      </c>
      <c r="AF84" s="27" t="e">
        <f t="shared" si="6"/>
        <v>#REF!</v>
      </c>
      <c r="AG84" s="27" t="e">
        <f t="shared" si="7"/>
        <v>#REF!</v>
      </c>
      <c r="AH84" s="27" t="e">
        <f t="shared" si="8"/>
        <v>#REF!</v>
      </c>
      <c r="AI84" s="27" t="e">
        <f t="shared" si="9"/>
        <v>#REF!</v>
      </c>
      <c r="AJ84" s="27" t="e">
        <f t="shared" si="10"/>
        <v>#REF!</v>
      </c>
      <c r="AK84" s="27" t="e">
        <f t="shared" si="11"/>
        <v>#REF!</v>
      </c>
      <c r="AL84" s="27" t="e">
        <f t="shared" si="12"/>
        <v>#REF!</v>
      </c>
      <c r="AM84" s="27" t="e">
        <f t="shared" si="13"/>
        <v>#REF!</v>
      </c>
      <c r="AN84" s="61" t="e">
        <f t="shared" si="14"/>
        <v>#REF!</v>
      </c>
      <c r="AP84" s="27" t="e">
        <f t="shared" si="15"/>
        <v>#REF!</v>
      </c>
      <c r="AQ84" s="27" t="e">
        <f t="shared" si="16"/>
        <v>#REF!</v>
      </c>
      <c r="AS84" s="27" t="e">
        <f t="shared" si="17"/>
        <v>#REF!</v>
      </c>
      <c r="AT84" s="27" t="e">
        <f t="shared" si="18"/>
        <v>#REF!</v>
      </c>
      <c r="AV84" s="27" t="e">
        <f t="shared" si="19"/>
        <v>#REF!</v>
      </c>
      <c r="AW84" s="27" t="e">
        <f t="shared" si="20"/>
        <v>#REF!</v>
      </c>
      <c r="AY84" s="27" t="e">
        <f t="shared" si="21"/>
        <v>#REF!</v>
      </c>
      <c r="AZ84" s="27" t="e">
        <f t="shared" si="22"/>
        <v>#REF!</v>
      </c>
      <c r="BV84" s="61"/>
    </row>
    <row r="85" spans="2:74" s="27" customFormat="1" ht="11.25" hidden="1" x14ac:dyDescent="0.2">
      <c r="B85" s="60"/>
      <c r="C85" s="27" t="e">
        <f>#REF!</f>
        <v>#REF!</v>
      </c>
      <c r="E85" s="27" t="e">
        <f>+E83-E84</f>
        <v>#REF!</v>
      </c>
      <c r="F85" s="27" t="e">
        <f>+F83-F84</f>
        <v>#REF!</v>
      </c>
      <c r="G85" s="27" t="e">
        <f>+G83-G84</f>
        <v>#REF!</v>
      </c>
      <c r="H85" s="27" t="e">
        <f>+H83-H84</f>
        <v>#REF!</v>
      </c>
      <c r="I85" s="60"/>
      <c r="P85" s="61"/>
      <c r="Q85" s="60" t="str">
        <f>CTesorería!B101</f>
        <v>gastos de ventas</v>
      </c>
      <c r="S85" s="27">
        <f>CTesorería!Z101</f>
        <v>0</v>
      </c>
      <c r="T85" s="27">
        <f>CTesorería!AA101</f>
        <v>0</v>
      </c>
      <c r="U85" s="27">
        <f>CTesorería!AB101</f>
        <v>0</v>
      </c>
      <c r="V85" s="27">
        <f>CTesorería!AC101</f>
        <v>0</v>
      </c>
      <c r="W85" s="27" t="e">
        <f t="shared" si="23"/>
        <v>#REF!</v>
      </c>
      <c r="X85" s="27" t="e">
        <f t="shared" si="23"/>
        <v>#REF!</v>
      </c>
      <c r="Y85" s="27" t="e">
        <f t="shared" si="23"/>
        <v>#REF!</v>
      </c>
      <c r="Z85" s="27" t="e">
        <f t="shared" si="23"/>
        <v>#REF!</v>
      </c>
      <c r="AA85" s="27">
        <f t="shared" si="1"/>
        <v>0</v>
      </c>
      <c r="AB85" s="27" t="e">
        <f t="shared" si="2"/>
        <v>#REF!</v>
      </c>
      <c r="AC85" s="27" t="e">
        <f t="shared" si="3"/>
        <v>#REF!</v>
      </c>
      <c r="AD85" s="27" t="e">
        <f t="shared" si="4"/>
        <v>#REF!</v>
      </c>
      <c r="AE85" s="27" t="e">
        <f t="shared" si="5"/>
        <v>#REF!</v>
      </c>
      <c r="AF85" s="27" t="e">
        <f t="shared" si="6"/>
        <v>#REF!</v>
      </c>
      <c r="AG85" s="27" t="e">
        <f t="shared" si="7"/>
        <v>#REF!</v>
      </c>
      <c r="AH85" s="27" t="e">
        <f t="shared" si="8"/>
        <v>#REF!</v>
      </c>
      <c r="AI85" s="27" t="e">
        <f t="shared" si="9"/>
        <v>#REF!</v>
      </c>
      <c r="AJ85" s="27" t="e">
        <f t="shared" si="10"/>
        <v>#REF!</v>
      </c>
      <c r="AK85" s="27" t="e">
        <f t="shared" si="11"/>
        <v>#REF!</v>
      </c>
      <c r="AL85" s="27" t="e">
        <f t="shared" si="12"/>
        <v>#REF!</v>
      </c>
      <c r="AM85" s="27" t="e">
        <f t="shared" si="13"/>
        <v>#REF!</v>
      </c>
      <c r="AN85" s="61" t="e">
        <f t="shared" si="14"/>
        <v>#REF!</v>
      </c>
      <c r="AP85" s="27" t="e">
        <f t="shared" si="15"/>
        <v>#REF!</v>
      </c>
      <c r="AQ85" s="27" t="e">
        <f t="shared" si="16"/>
        <v>#REF!</v>
      </c>
      <c r="AS85" s="27" t="e">
        <f t="shared" si="17"/>
        <v>#REF!</v>
      </c>
      <c r="AT85" s="27" t="e">
        <f t="shared" si="18"/>
        <v>#REF!</v>
      </c>
      <c r="AV85" s="27" t="e">
        <f t="shared" si="19"/>
        <v>#REF!</v>
      </c>
      <c r="AW85" s="27" t="e">
        <f t="shared" si="20"/>
        <v>#REF!</v>
      </c>
      <c r="AY85" s="27" t="e">
        <f t="shared" si="21"/>
        <v>#REF!</v>
      </c>
      <c r="AZ85" s="27" t="e">
        <f t="shared" si="22"/>
        <v>#REF!</v>
      </c>
      <c r="BV85" s="61"/>
    </row>
    <row r="86" spans="2:74" s="27" customFormat="1" ht="11.25" hidden="1" x14ac:dyDescent="0.2">
      <c r="B86" s="60"/>
      <c r="I86" s="60"/>
      <c r="P86" s="61"/>
      <c r="Q86" s="60" t="str">
        <f>CTesorería!B102</f>
        <v>gastos variables de ventas</v>
      </c>
      <c r="S86" s="27">
        <f>CTesorería!Z102</f>
        <v>0</v>
      </c>
      <c r="T86" s="27">
        <f>CTesorería!AA102</f>
        <v>0</v>
      </c>
      <c r="U86" s="27">
        <f>CTesorería!AB102</f>
        <v>0</v>
      </c>
      <c r="V86" s="27">
        <f>CTesorería!AC102</f>
        <v>0</v>
      </c>
      <c r="W86" s="27">
        <f t="shared" si="23"/>
        <v>0</v>
      </c>
      <c r="X86" s="27">
        <f t="shared" si="23"/>
        <v>0</v>
      </c>
      <c r="Y86" s="27">
        <f t="shared" si="23"/>
        <v>0</v>
      </c>
      <c r="Z86" s="27">
        <f t="shared" si="23"/>
        <v>0</v>
      </c>
      <c r="AA86" s="27">
        <f t="shared" si="1"/>
        <v>0</v>
      </c>
      <c r="AB86" s="27">
        <f t="shared" si="2"/>
        <v>0</v>
      </c>
      <c r="AC86" s="27">
        <f t="shared" si="3"/>
        <v>0</v>
      </c>
      <c r="AD86" s="27">
        <f t="shared" si="4"/>
        <v>0</v>
      </c>
      <c r="AE86" s="27">
        <f t="shared" si="5"/>
        <v>0</v>
      </c>
      <c r="AF86" s="27">
        <f t="shared" si="6"/>
        <v>0</v>
      </c>
      <c r="AG86" s="27">
        <f t="shared" si="7"/>
        <v>0</v>
      </c>
      <c r="AH86" s="27">
        <f t="shared" si="8"/>
        <v>0</v>
      </c>
      <c r="AI86" s="27">
        <f t="shared" si="9"/>
        <v>0</v>
      </c>
      <c r="AJ86" s="27">
        <f t="shared" si="10"/>
        <v>0</v>
      </c>
      <c r="AK86" s="27">
        <f t="shared" si="11"/>
        <v>0</v>
      </c>
      <c r="AL86" s="27">
        <f t="shared" si="12"/>
        <v>0</v>
      </c>
      <c r="AM86" s="27">
        <f t="shared" si="13"/>
        <v>0</v>
      </c>
      <c r="AN86" s="61" t="str">
        <f t="shared" si="14"/>
        <v>ok</v>
      </c>
      <c r="AP86" s="27">
        <f t="shared" si="15"/>
        <v>0</v>
      </c>
      <c r="AQ86" s="27">
        <f t="shared" si="16"/>
        <v>0</v>
      </c>
      <c r="AS86" s="27">
        <f t="shared" si="17"/>
        <v>0</v>
      </c>
      <c r="AT86" s="27">
        <f t="shared" si="18"/>
        <v>0</v>
      </c>
      <c r="AV86" s="27">
        <f t="shared" si="19"/>
        <v>0</v>
      </c>
      <c r="AW86" s="27">
        <f t="shared" si="20"/>
        <v>0</v>
      </c>
      <c r="AY86" s="27">
        <f t="shared" si="21"/>
        <v>0</v>
      </c>
      <c r="AZ86" s="27">
        <f t="shared" si="22"/>
        <v>0</v>
      </c>
      <c r="BV86" s="61"/>
    </row>
    <row r="87" spans="2:74" s="27" customFormat="1" ht="11.25" hidden="1" x14ac:dyDescent="0.2">
      <c r="B87" s="60"/>
      <c r="D87" s="27" t="s">
        <v>1491</v>
      </c>
      <c r="E87" s="27" t="s">
        <v>1492</v>
      </c>
      <c r="F87" s="27" t="s">
        <v>1493</v>
      </c>
      <c r="G87" s="27" t="s">
        <v>1494</v>
      </c>
      <c r="H87" s="27" t="s">
        <v>1495</v>
      </c>
      <c r="I87" s="60"/>
      <c r="J87" s="27" t="s">
        <v>436</v>
      </c>
      <c r="L87" s="27" t="s">
        <v>1492</v>
      </c>
      <c r="M87" s="27" t="s">
        <v>1493</v>
      </c>
      <c r="N87" s="27" t="s">
        <v>1494</v>
      </c>
      <c r="O87" s="27" t="s">
        <v>1495</v>
      </c>
      <c r="P87" s="61"/>
      <c r="Q87" s="60" t="str">
        <f>CTesorería!B103</f>
        <v>Gastos I+D</v>
      </c>
      <c r="S87" s="27">
        <f>CTesorería!Z103</f>
        <v>0</v>
      </c>
      <c r="T87" s="27">
        <f>CTesorería!AA103</f>
        <v>0</v>
      </c>
      <c r="U87" s="27">
        <f>CTesorería!AB103</f>
        <v>0</v>
      </c>
      <c r="V87" s="27">
        <f>CTesorería!AC103</f>
        <v>0</v>
      </c>
      <c r="W87" s="27" t="e">
        <f t="shared" ref="W87:W95" si="24">+E114+L114</f>
        <v>#REF!</v>
      </c>
      <c r="X87" s="27" t="e">
        <f t="shared" ref="X87:X95" si="25">+F114+M114</f>
        <v>#REF!</v>
      </c>
      <c r="Y87" s="27" t="e">
        <f t="shared" ref="Y87:Y95" si="26">+G114+N114</f>
        <v>#REF!</v>
      </c>
      <c r="Z87" s="27" t="e">
        <f t="shared" ref="Z87:Z95" si="27">+H114+O114</f>
        <v>#REF!</v>
      </c>
      <c r="AA87" s="27">
        <f t="shared" si="1"/>
        <v>0</v>
      </c>
      <c r="AB87" s="27" t="e">
        <f t="shared" si="2"/>
        <v>#REF!</v>
      </c>
      <c r="AC87" s="27" t="e">
        <f t="shared" si="3"/>
        <v>#REF!</v>
      </c>
      <c r="AD87" s="27" t="e">
        <f t="shared" si="4"/>
        <v>#REF!</v>
      </c>
      <c r="AE87" s="27" t="e">
        <f t="shared" si="5"/>
        <v>#REF!</v>
      </c>
      <c r="AF87" s="27" t="e">
        <f t="shared" si="6"/>
        <v>#REF!</v>
      </c>
      <c r="AG87" s="27" t="e">
        <f t="shared" si="7"/>
        <v>#REF!</v>
      </c>
      <c r="AH87" s="27" t="e">
        <f t="shared" si="8"/>
        <v>#REF!</v>
      </c>
      <c r="AI87" s="27" t="e">
        <f t="shared" si="9"/>
        <v>#REF!</v>
      </c>
      <c r="AJ87" s="27" t="e">
        <f t="shared" si="10"/>
        <v>#REF!</v>
      </c>
      <c r="AK87" s="27" t="e">
        <f t="shared" si="11"/>
        <v>#REF!</v>
      </c>
      <c r="AL87" s="27" t="e">
        <f t="shared" si="12"/>
        <v>#REF!</v>
      </c>
      <c r="AM87" s="27" t="e">
        <f t="shared" si="13"/>
        <v>#REF!</v>
      </c>
      <c r="AN87" s="61" t="e">
        <f t="shared" si="14"/>
        <v>#REF!</v>
      </c>
      <c r="AP87" s="27" t="e">
        <f t="shared" si="15"/>
        <v>#REF!</v>
      </c>
      <c r="AQ87" s="27" t="e">
        <f t="shared" si="16"/>
        <v>#REF!</v>
      </c>
      <c r="AS87" s="27" t="e">
        <f t="shared" si="17"/>
        <v>#REF!</v>
      </c>
      <c r="AT87" s="27" t="e">
        <f t="shared" si="18"/>
        <v>#REF!</v>
      </c>
      <c r="AV87" s="27" t="e">
        <f t="shared" si="19"/>
        <v>#REF!</v>
      </c>
      <c r="AW87" s="27" t="e">
        <f t="shared" si="20"/>
        <v>#REF!</v>
      </c>
      <c r="AY87" s="27" t="e">
        <f t="shared" si="21"/>
        <v>#REF!</v>
      </c>
      <c r="AZ87" s="27" t="e">
        <f t="shared" si="22"/>
        <v>#REF!</v>
      </c>
      <c r="BV87" s="61"/>
    </row>
    <row r="88" spans="2:74" s="27" customFormat="1" ht="11.25" hidden="1" x14ac:dyDescent="0.2">
      <c r="B88" s="60"/>
      <c r="I88" s="60"/>
      <c r="J88" s="27" t="s">
        <v>438</v>
      </c>
      <c r="P88" s="61"/>
      <c r="Q88" s="60" t="str">
        <f>CTesorería!B104</f>
        <v>Arrendamientos</v>
      </c>
      <c r="S88" s="27">
        <f>CTesorería!Z104</f>
        <v>0</v>
      </c>
      <c r="T88" s="27">
        <f>CTesorería!AA104</f>
        <v>0</v>
      </c>
      <c r="U88" s="27">
        <f>CTesorería!AB104</f>
        <v>0</v>
      </c>
      <c r="V88" s="27">
        <f>CTesorería!AC104</f>
        <v>0</v>
      </c>
      <c r="W88" s="27" t="e">
        <f>+E115+L115-W105</f>
        <v>#REF!</v>
      </c>
      <c r="X88" s="27" t="e">
        <f>+F115+M115-X105</f>
        <v>#REF!</v>
      </c>
      <c r="Y88" s="27" t="e">
        <f>+G115+N115-Y105</f>
        <v>#REF!</v>
      </c>
      <c r="Z88" s="27" t="e">
        <f>+H115+O115-Z105</f>
        <v>#REF!</v>
      </c>
      <c r="AA88" s="27">
        <f t="shared" si="1"/>
        <v>0</v>
      </c>
      <c r="AB88" s="27" t="e">
        <f>IF(AO88=0,W88*$T88,W88*AP88)</f>
        <v>#REF!</v>
      </c>
      <c r="AC88" s="27" t="e">
        <f>SUM(AA88:AB88)+AC105</f>
        <v>#REF!</v>
      </c>
      <c r="AD88" s="27" t="e">
        <f t="shared" si="4"/>
        <v>#REF!</v>
      </c>
      <c r="AE88" s="27" t="e">
        <f t="shared" si="5"/>
        <v>#REF!</v>
      </c>
      <c r="AF88" s="27" t="e">
        <f>SUM(AD88:AE88)+AF105</f>
        <v>#REF!</v>
      </c>
      <c r="AG88" s="27" t="e">
        <f t="shared" si="7"/>
        <v>#REF!</v>
      </c>
      <c r="AH88" s="27" t="e">
        <f t="shared" si="8"/>
        <v>#REF!</v>
      </c>
      <c r="AI88" s="27" t="e">
        <f>SUM(AG88:AH88)+AI105</f>
        <v>#REF!</v>
      </c>
      <c r="AJ88" s="27" t="e">
        <f t="shared" si="10"/>
        <v>#REF!</v>
      </c>
      <c r="AK88" s="27" t="e">
        <f t="shared" si="11"/>
        <v>#REF!</v>
      </c>
      <c r="AL88" s="27" t="e">
        <f>SUM(AJ88:AK88)+AL105</f>
        <v>#REF!</v>
      </c>
      <c r="AM88" s="27" t="e">
        <f t="shared" si="13"/>
        <v>#REF!</v>
      </c>
      <c r="AN88" s="61" t="e">
        <f t="shared" si="14"/>
        <v>#REF!</v>
      </c>
      <c r="AP88" s="27" t="e">
        <f t="shared" si="15"/>
        <v>#REF!</v>
      </c>
      <c r="AQ88" s="27" t="e">
        <f t="shared" si="16"/>
        <v>#REF!</v>
      </c>
      <c r="AS88" s="27" t="e">
        <f t="shared" si="17"/>
        <v>#REF!</v>
      </c>
      <c r="AT88" s="27" t="e">
        <f t="shared" si="18"/>
        <v>#REF!</v>
      </c>
      <c r="AV88" s="27" t="e">
        <f t="shared" si="19"/>
        <v>#REF!</v>
      </c>
      <c r="AW88" s="27" t="e">
        <f t="shared" si="20"/>
        <v>#REF!</v>
      </c>
      <c r="AY88" s="27" t="e">
        <f t="shared" si="21"/>
        <v>#REF!</v>
      </c>
      <c r="AZ88" s="27" t="e">
        <f t="shared" si="22"/>
        <v>#REF!</v>
      </c>
      <c r="BV88" s="61"/>
    </row>
    <row r="89" spans="2:74" s="27" customFormat="1" ht="11.25" hidden="1" x14ac:dyDescent="0.2">
      <c r="B89" s="60"/>
      <c r="C89" s="27" t="e">
        <f>#REF!</f>
        <v>#REF!</v>
      </c>
      <c r="E89" s="27">
        <f t="shared" ref="E89:H90" si="28">E8</f>
        <v>0</v>
      </c>
      <c r="F89" s="27">
        <f t="shared" si="28"/>
        <v>0</v>
      </c>
      <c r="G89" s="27">
        <f t="shared" si="28"/>
        <v>0</v>
      </c>
      <c r="H89" s="27">
        <f t="shared" si="28"/>
        <v>0</v>
      </c>
      <c r="I89" s="60"/>
      <c r="P89" s="61"/>
      <c r="Q89" s="60" t="str">
        <f>CTesorería!B105</f>
        <v>Conservación</v>
      </c>
      <c r="S89" s="27">
        <f>CTesorería!Z105</f>
        <v>0</v>
      </c>
      <c r="T89" s="27">
        <f>CTesorería!AA105</f>
        <v>0</v>
      </c>
      <c r="U89" s="27">
        <f>CTesorería!AB105</f>
        <v>0</v>
      </c>
      <c r="V89" s="27">
        <f>CTesorería!AC105</f>
        <v>0</v>
      </c>
      <c r="W89" s="27" t="e">
        <f t="shared" si="24"/>
        <v>#REF!</v>
      </c>
      <c r="X89" s="27" t="e">
        <f t="shared" si="25"/>
        <v>#REF!</v>
      </c>
      <c r="Y89" s="27" t="e">
        <f t="shared" si="26"/>
        <v>#REF!</v>
      </c>
      <c r="Z89" s="27" t="e">
        <f t="shared" si="27"/>
        <v>#REF!</v>
      </c>
      <c r="AA89" s="27">
        <f t="shared" si="1"/>
        <v>0</v>
      </c>
      <c r="AB89" s="27" t="e">
        <f t="shared" si="2"/>
        <v>#REF!</v>
      </c>
      <c r="AC89" s="27" t="e">
        <f t="shared" si="3"/>
        <v>#REF!</v>
      </c>
      <c r="AD89" s="27" t="e">
        <f t="shared" si="4"/>
        <v>#REF!</v>
      </c>
      <c r="AE89" s="27" t="e">
        <f t="shared" si="5"/>
        <v>#REF!</v>
      </c>
      <c r="AF89" s="27" t="e">
        <f t="shared" si="6"/>
        <v>#REF!</v>
      </c>
      <c r="AG89" s="27" t="e">
        <f t="shared" si="7"/>
        <v>#REF!</v>
      </c>
      <c r="AH89" s="27" t="e">
        <f t="shared" si="8"/>
        <v>#REF!</v>
      </c>
      <c r="AI89" s="27" t="e">
        <f t="shared" si="9"/>
        <v>#REF!</v>
      </c>
      <c r="AJ89" s="27" t="e">
        <f t="shared" si="10"/>
        <v>#REF!</v>
      </c>
      <c r="AK89" s="27" t="e">
        <f t="shared" si="11"/>
        <v>#REF!</v>
      </c>
      <c r="AL89" s="27" t="e">
        <f t="shared" si="12"/>
        <v>#REF!</v>
      </c>
      <c r="AM89" s="27" t="e">
        <f t="shared" si="13"/>
        <v>#REF!</v>
      </c>
      <c r="AN89" s="61" t="e">
        <f t="shared" si="14"/>
        <v>#REF!</v>
      </c>
      <c r="AP89" s="27" t="e">
        <f t="shared" si="15"/>
        <v>#REF!</v>
      </c>
      <c r="AQ89" s="27" t="e">
        <f t="shared" si="16"/>
        <v>#REF!</v>
      </c>
      <c r="AS89" s="27" t="e">
        <f t="shared" si="17"/>
        <v>#REF!</v>
      </c>
      <c r="AT89" s="27" t="e">
        <f t="shared" si="18"/>
        <v>#REF!</v>
      </c>
      <c r="AV89" s="27" t="e">
        <f t="shared" si="19"/>
        <v>#REF!</v>
      </c>
      <c r="AW89" s="27" t="e">
        <f t="shared" si="20"/>
        <v>#REF!</v>
      </c>
      <c r="AY89" s="27" t="e">
        <f t="shared" si="21"/>
        <v>#REF!</v>
      </c>
      <c r="AZ89" s="27" t="e">
        <f t="shared" si="22"/>
        <v>#REF!</v>
      </c>
      <c r="BV89" s="61"/>
    </row>
    <row r="90" spans="2:74" s="27" customFormat="1" ht="11.25" hidden="1" x14ac:dyDescent="0.2">
      <c r="B90" s="60"/>
      <c r="C90" s="27" t="str">
        <f>SANDBOX!D1029</f>
        <v>iniciales</v>
      </c>
      <c r="E90" s="27">
        <f t="shared" si="28"/>
        <v>0</v>
      </c>
      <c r="F90" s="27">
        <f t="shared" si="28"/>
        <v>0</v>
      </c>
      <c r="G90" s="27">
        <f t="shared" si="28"/>
        <v>0</v>
      </c>
      <c r="H90" s="27">
        <f t="shared" si="28"/>
        <v>0</v>
      </c>
      <c r="I90" s="60"/>
      <c r="P90" s="61"/>
      <c r="Q90" s="60" t="str">
        <f>CTesorería!B106</f>
        <v>S. Profesionales</v>
      </c>
      <c r="S90" s="27">
        <f>CTesorería!Z106</f>
        <v>0</v>
      </c>
      <c r="T90" s="27">
        <f>CTesorería!AA106</f>
        <v>0</v>
      </c>
      <c r="U90" s="27">
        <f>CTesorería!AB106</f>
        <v>0</v>
      </c>
      <c r="V90" s="27">
        <f>CTesorería!AC106</f>
        <v>0</v>
      </c>
      <c r="W90" s="27" t="e">
        <f t="shared" si="24"/>
        <v>#REF!</v>
      </c>
      <c r="X90" s="27" t="e">
        <f t="shared" si="25"/>
        <v>#REF!</v>
      </c>
      <c r="Y90" s="27" t="e">
        <f t="shared" si="26"/>
        <v>#REF!</v>
      </c>
      <c r="Z90" s="27" t="e">
        <f t="shared" si="27"/>
        <v>#REF!</v>
      </c>
      <c r="AA90" s="27">
        <f t="shared" si="1"/>
        <v>0</v>
      </c>
      <c r="AB90" s="27" t="e">
        <f t="shared" si="2"/>
        <v>#REF!</v>
      </c>
      <c r="AC90" s="27" t="e">
        <f t="shared" si="3"/>
        <v>#REF!</v>
      </c>
      <c r="AD90" s="27" t="e">
        <f t="shared" si="4"/>
        <v>#REF!</v>
      </c>
      <c r="AE90" s="27" t="e">
        <f t="shared" si="5"/>
        <v>#REF!</v>
      </c>
      <c r="AF90" s="27" t="e">
        <f t="shared" si="6"/>
        <v>#REF!</v>
      </c>
      <c r="AG90" s="27" t="e">
        <f t="shared" si="7"/>
        <v>#REF!</v>
      </c>
      <c r="AH90" s="27" t="e">
        <f t="shared" si="8"/>
        <v>#REF!</v>
      </c>
      <c r="AI90" s="27" t="e">
        <f t="shared" si="9"/>
        <v>#REF!</v>
      </c>
      <c r="AJ90" s="27" t="e">
        <f t="shared" si="10"/>
        <v>#REF!</v>
      </c>
      <c r="AK90" s="27" t="e">
        <f t="shared" si="11"/>
        <v>#REF!</v>
      </c>
      <c r="AL90" s="27" t="e">
        <f t="shared" si="12"/>
        <v>#REF!</v>
      </c>
      <c r="AM90" s="27" t="e">
        <f t="shared" si="13"/>
        <v>#REF!</v>
      </c>
      <c r="AN90" s="61" t="e">
        <f t="shared" si="14"/>
        <v>#REF!</v>
      </c>
      <c r="AP90" s="27" t="e">
        <f t="shared" si="15"/>
        <v>#REF!</v>
      </c>
      <c r="AQ90" s="27" t="e">
        <f t="shared" si="16"/>
        <v>#REF!</v>
      </c>
      <c r="AS90" s="27" t="e">
        <f t="shared" si="17"/>
        <v>#REF!</v>
      </c>
      <c r="AT90" s="27" t="e">
        <f t="shared" si="18"/>
        <v>#REF!</v>
      </c>
      <c r="AV90" s="27" t="e">
        <f t="shared" si="19"/>
        <v>#REF!</v>
      </c>
      <c r="AW90" s="27" t="e">
        <f t="shared" si="20"/>
        <v>#REF!</v>
      </c>
      <c r="AY90" s="27" t="e">
        <f t="shared" si="21"/>
        <v>#REF!</v>
      </c>
      <c r="AZ90" s="27" t="e">
        <f t="shared" si="22"/>
        <v>#REF!</v>
      </c>
      <c r="BV90" s="61"/>
    </row>
    <row r="91" spans="2:74" s="27" customFormat="1" ht="11.25" hidden="1" x14ac:dyDescent="0.2">
      <c r="B91" s="60"/>
      <c r="C91" s="27" t="str">
        <f>SANDBOX!D1030</f>
        <v>compras</v>
      </c>
      <c r="E91" s="27">
        <f t="shared" ref="E91:H92" si="29">E14</f>
        <v>0</v>
      </c>
      <c r="F91" s="27">
        <f t="shared" si="29"/>
        <v>0</v>
      </c>
      <c r="G91" s="27">
        <f t="shared" si="29"/>
        <v>0</v>
      </c>
      <c r="H91" s="27">
        <f t="shared" si="29"/>
        <v>0</v>
      </c>
      <c r="I91" s="60" t="str">
        <f>+C91</f>
        <v>compras</v>
      </c>
      <c r="J91" s="27">
        <f>CResult!$G$114</f>
        <v>0.21</v>
      </c>
      <c r="K91" s="27" t="s">
        <v>437</v>
      </c>
      <c r="L91" s="27">
        <f>+E91*$J91</f>
        <v>0</v>
      </c>
      <c r="M91" s="27">
        <f>+F91*$J91</f>
        <v>0</v>
      </c>
      <c r="N91" s="27">
        <f>+G91*$J91</f>
        <v>0</v>
      </c>
      <c r="O91" s="27">
        <f>+H91*$J91</f>
        <v>0</v>
      </c>
      <c r="P91" s="61"/>
      <c r="Q91" s="60" t="str">
        <f>CTesorería!B107</f>
        <v>Tributos</v>
      </c>
      <c r="S91" s="27">
        <f>CTesorería!Z107</f>
        <v>0</v>
      </c>
      <c r="T91" s="27">
        <f>CTesorería!AA107</f>
        <v>0</v>
      </c>
      <c r="U91" s="27">
        <f>CTesorería!AB107</f>
        <v>0</v>
      </c>
      <c r="V91" s="27">
        <f>CTesorería!AC107</f>
        <v>0</v>
      </c>
      <c r="W91" s="27" t="e">
        <f t="shared" si="24"/>
        <v>#REF!</v>
      </c>
      <c r="X91" s="27" t="e">
        <f t="shared" si="25"/>
        <v>#REF!</v>
      </c>
      <c r="Y91" s="27" t="e">
        <f t="shared" si="26"/>
        <v>#REF!</v>
      </c>
      <c r="Z91" s="27" t="e">
        <f t="shared" si="27"/>
        <v>#REF!</v>
      </c>
      <c r="AA91" s="27">
        <f t="shared" si="1"/>
        <v>0</v>
      </c>
      <c r="AB91" s="27" t="e">
        <f t="shared" si="2"/>
        <v>#REF!</v>
      </c>
      <c r="AC91" s="27" t="e">
        <f t="shared" si="3"/>
        <v>#REF!</v>
      </c>
      <c r="AD91" s="27" t="e">
        <f t="shared" si="4"/>
        <v>#REF!</v>
      </c>
      <c r="AE91" s="27" t="e">
        <f t="shared" si="5"/>
        <v>#REF!</v>
      </c>
      <c r="AF91" s="27" t="e">
        <f t="shared" si="6"/>
        <v>#REF!</v>
      </c>
      <c r="AG91" s="27" t="e">
        <f t="shared" si="7"/>
        <v>#REF!</v>
      </c>
      <c r="AH91" s="27" t="e">
        <f t="shared" si="8"/>
        <v>#REF!</v>
      </c>
      <c r="AI91" s="27" t="e">
        <f t="shared" si="9"/>
        <v>#REF!</v>
      </c>
      <c r="AJ91" s="27" t="e">
        <f t="shared" si="10"/>
        <v>#REF!</v>
      </c>
      <c r="AK91" s="27" t="e">
        <f t="shared" si="11"/>
        <v>#REF!</v>
      </c>
      <c r="AL91" s="27" t="e">
        <f t="shared" si="12"/>
        <v>#REF!</v>
      </c>
      <c r="AM91" s="27" t="e">
        <f t="shared" si="13"/>
        <v>#REF!</v>
      </c>
      <c r="AN91" s="61" t="e">
        <f t="shared" si="14"/>
        <v>#REF!</v>
      </c>
      <c r="AP91" s="27" t="e">
        <f t="shared" si="15"/>
        <v>#REF!</v>
      </c>
      <c r="AQ91" s="27" t="e">
        <f t="shared" si="16"/>
        <v>#REF!</v>
      </c>
      <c r="AS91" s="27" t="e">
        <f t="shared" si="17"/>
        <v>#REF!</v>
      </c>
      <c r="AT91" s="27" t="e">
        <f t="shared" si="18"/>
        <v>#REF!</v>
      </c>
      <c r="AV91" s="27" t="e">
        <f t="shared" si="19"/>
        <v>#REF!</v>
      </c>
      <c r="AW91" s="27" t="e">
        <f t="shared" si="20"/>
        <v>#REF!</v>
      </c>
      <c r="AY91" s="27" t="e">
        <f t="shared" si="21"/>
        <v>#REF!</v>
      </c>
      <c r="AZ91" s="27" t="e">
        <f t="shared" si="22"/>
        <v>#REF!</v>
      </c>
      <c r="BV91" s="61"/>
    </row>
    <row r="92" spans="2:74" s="27" customFormat="1" ht="11.25" hidden="1" x14ac:dyDescent="0.2">
      <c r="B92" s="60"/>
      <c r="C92" s="27" t="str">
        <f>SANDBOX!D1031</f>
        <v>finales</v>
      </c>
      <c r="E92" s="27">
        <f t="shared" si="29"/>
        <v>0</v>
      </c>
      <c r="F92" s="27">
        <f t="shared" si="29"/>
        <v>0</v>
      </c>
      <c r="G92" s="27">
        <f t="shared" si="29"/>
        <v>0</v>
      </c>
      <c r="H92" s="27">
        <f t="shared" si="29"/>
        <v>0</v>
      </c>
      <c r="I92" s="60"/>
      <c r="P92" s="61"/>
      <c r="Q92" s="60" t="str">
        <f>CTesorería!B108</f>
        <v>Seguros</v>
      </c>
      <c r="S92" s="27">
        <f>CTesorería!Z108</f>
        <v>0</v>
      </c>
      <c r="T92" s="27">
        <f>CTesorería!AA108</f>
        <v>0</v>
      </c>
      <c r="U92" s="27">
        <f>CTesorería!AB108</f>
        <v>0</v>
      </c>
      <c r="V92" s="27">
        <f>CTesorería!AC108</f>
        <v>0</v>
      </c>
      <c r="W92" s="27" t="e">
        <f t="shared" si="24"/>
        <v>#REF!</v>
      </c>
      <c r="X92" s="27" t="e">
        <f t="shared" si="25"/>
        <v>#REF!</v>
      </c>
      <c r="Y92" s="27" t="e">
        <f t="shared" si="26"/>
        <v>#REF!</v>
      </c>
      <c r="Z92" s="27" t="e">
        <f t="shared" si="27"/>
        <v>#REF!</v>
      </c>
      <c r="AA92" s="27">
        <f t="shared" si="1"/>
        <v>0</v>
      </c>
      <c r="AB92" s="27" t="e">
        <f t="shared" si="2"/>
        <v>#REF!</v>
      </c>
      <c r="AC92" s="27" t="e">
        <f t="shared" si="3"/>
        <v>#REF!</v>
      </c>
      <c r="AD92" s="27" t="e">
        <f t="shared" si="4"/>
        <v>#REF!</v>
      </c>
      <c r="AE92" s="27" t="e">
        <f t="shared" si="5"/>
        <v>#REF!</v>
      </c>
      <c r="AF92" s="27" t="e">
        <f t="shared" si="6"/>
        <v>#REF!</v>
      </c>
      <c r="AG92" s="27" t="e">
        <f t="shared" si="7"/>
        <v>#REF!</v>
      </c>
      <c r="AH92" s="27" t="e">
        <f t="shared" si="8"/>
        <v>#REF!</v>
      </c>
      <c r="AI92" s="27" t="e">
        <f t="shared" si="9"/>
        <v>#REF!</v>
      </c>
      <c r="AJ92" s="27" t="e">
        <f t="shared" si="10"/>
        <v>#REF!</v>
      </c>
      <c r="AK92" s="27" t="e">
        <f t="shared" si="11"/>
        <v>#REF!</v>
      </c>
      <c r="AL92" s="27" t="e">
        <f t="shared" si="12"/>
        <v>#REF!</v>
      </c>
      <c r="AM92" s="27" t="e">
        <f t="shared" si="13"/>
        <v>#REF!</v>
      </c>
      <c r="AN92" s="61" t="e">
        <f t="shared" si="14"/>
        <v>#REF!</v>
      </c>
      <c r="AP92" s="27" t="e">
        <f t="shared" si="15"/>
        <v>#REF!</v>
      </c>
      <c r="AQ92" s="27" t="e">
        <f t="shared" si="16"/>
        <v>#REF!</v>
      </c>
      <c r="AS92" s="27" t="e">
        <f t="shared" si="17"/>
        <v>#REF!</v>
      </c>
      <c r="AT92" s="27" t="e">
        <f t="shared" si="18"/>
        <v>#REF!</v>
      </c>
      <c r="AV92" s="27" t="e">
        <f t="shared" si="19"/>
        <v>#REF!</v>
      </c>
      <c r="AW92" s="27" t="e">
        <f t="shared" si="20"/>
        <v>#REF!</v>
      </c>
      <c r="AY92" s="27" t="e">
        <f t="shared" si="21"/>
        <v>#REF!</v>
      </c>
      <c r="AZ92" s="27" t="e">
        <f t="shared" si="22"/>
        <v>#REF!</v>
      </c>
      <c r="BV92" s="61"/>
    </row>
    <row r="93" spans="2:74" s="27" customFormat="1" ht="11.25" hidden="1" x14ac:dyDescent="0.2">
      <c r="B93" s="60"/>
      <c r="I93" s="60"/>
      <c r="P93" s="61"/>
      <c r="Q93" s="60" t="str">
        <f>CTesorería!B109</f>
        <v>Otros servicios</v>
      </c>
      <c r="S93" s="27">
        <f>CTesorería!Z109</f>
        <v>0</v>
      </c>
      <c r="T93" s="27">
        <f>CTesorería!AA109</f>
        <v>0</v>
      </c>
      <c r="U93" s="27">
        <f>CTesorería!AB109</f>
        <v>0</v>
      </c>
      <c r="V93" s="27">
        <f>CTesorería!AC109</f>
        <v>0</v>
      </c>
      <c r="W93" s="27" t="e">
        <f t="shared" si="24"/>
        <v>#REF!</v>
      </c>
      <c r="X93" s="27" t="e">
        <f t="shared" si="25"/>
        <v>#REF!</v>
      </c>
      <c r="Y93" s="27" t="e">
        <f t="shared" si="26"/>
        <v>#REF!</v>
      </c>
      <c r="Z93" s="27" t="e">
        <f t="shared" si="27"/>
        <v>#REF!</v>
      </c>
      <c r="AA93" s="27">
        <f t="shared" si="1"/>
        <v>0</v>
      </c>
      <c r="AB93" s="27" t="e">
        <f t="shared" si="2"/>
        <v>#REF!</v>
      </c>
      <c r="AC93" s="27" t="e">
        <f t="shared" si="3"/>
        <v>#REF!</v>
      </c>
      <c r="AD93" s="27" t="e">
        <f t="shared" si="4"/>
        <v>#REF!</v>
      </c>
      <c r="AE93" s="27" t="e">
        <f t="shared" si="5"/>
        <v>#REF!</v>
      </c>
      <c r="AF93" s="27" t="e">
        <f t="shared" si="6"/>
        <v>#REF!</v>
      </c>
      <c r="AG93" s="27" t="e">
        <f t="shared" si="7"/>
        <v>#REF!</v>
      </c>
      <c r="AH93" s="27" t="e">
        <f t="shared" si="8"/>
        <v>#REF!</v>
      </c>
      <c r="AI93" s="27" t="e">
        <f t="shared" si="9"/>
        <v>#REF!</v>
      </c>
      <c r="AJ93" s="27" t="e">
        <f t="shared" si="10"/>
        <v>#REF!</v>
      </c>
      <c r="AK93" s="27" t="e">
        <f t="shared" si="11"/>
        <v>#REF!</v>
      </c>
      <c r="AL93" s="27" t="e">
        <f t="shared" si="12"/>
        <v>#REF!</v>
      </c>
      <c r="AM93" s="27" t="e">
        <f t="shared" si="13"/>
        <v>#REF!</v>
      </c>
      <c r="AN93" s="61" t="e">
        <f t="shared" si="14"/>
        <v>#REF!</v>
      </c>
      <c r="AP93" s="27" t="e">
        <f t="shared" si="15"/>
        <v>#REF!</v>
      </c>
      <c r="AQ93" s="27" t="e">
        <f t="shared" si="16"/>
        <v>#REF!</v>
      </c>
      <c r="AS93" s="27" t="e">
        <f t="shared" si="17"/>
        <v>#REF!</v>
      </c>
      <c r="AT93" s="27" t="e">
        <f t="shared" si="18"/>
        <v>#REF!</v>
      </c>
      <c r="AV93" s="27" t="e">
        <f t="shared" si="19"/>
        <v>#REF!</v>
      </c>
      <c r="AW93" s="27" t="e">
        <f t="shared" si="20"/>
        <v>#REF!</v>
      </c>
      <c r="AY93" s="27" t="e">
        <f t="shared" si="21"/>
        <v>#REF!</v>
      </c>
      <c r="AZ93" s="27" t="e">
        <f t="shared" si="22"/>
        <v>#REF!</v>
      </c>
      <c r="BV93" s="61"/>
    </row>
    <row r="94" spans="2:74" s="27" customFormat="1" ht="11.25" hidden="1" x14ac:dyDescent="0.2">
      <c r="B94" s="60"/>
      <c r="C94" s="27" t="str">
        <f>SANDBOX!D1037</f>
        <v>Costes de venta</v>
      </c>
      <c r="E94" s="27" t="e">
        <f>+E95+E97</f>
        <v>#REF!</v>
      </c>
      <c r="F94" s="27" t="e">
        <f>+F95+F97</f>
        <v>#REF!</v>
      </c>
      <c r="G94" s="27" t="e">
        <f>+G95+G97</f>
        <v>#REF!</v>
      </c>
      <c r="H94" s="27" t="e">
        <f>+H95+H97</f>
        <v>#REF!</v>
      </c>
      <c r="I94" s="60"/>
      <c r="P94" s="61"/>
      <c r="Q94" s="60" t="str">
        <f>CTesorería!B110</f>
        <v>Suministros</v>
      </c>
      <c r="S94" s="27">
        <f>CTesorería!Z110</f>
        <v>0</v>
      </c>
      <c r="T94" s="27">
        <f>CTesorería!AA110</f>
        <v>0</v>
      </c>
      <c r="U94" s="27">
        <f>CTesorería!AB110</f>
        <v>0</v>
      </c>
      <c r="V94" s="27">
        <f>CTesorería!AC110</f>
        <v>0</v>
      </c>
      <c r="W94" s="27" t="e">
        <f t="shared" si="24"/>
        <v>#REF!</v>
      </c>
      <c r="X94" s="27" t="e">
        <f t="shared" si="25"/>
        <v>#REF!</v>
      </c>
      <c r="Y94" s="27" t="e">
        <f t="shared" si="26"/>
        <v>#REF!</v>
      </c>
      <c r="Z94" s="27" t="e">
        <f t="shared" si="27"/>
        <v>#REF!</v>
      </c>
      <c r="AA94" s="27">
        <f t="shared" si="1"/>
        <v>0</v>
      </c>
      <c r="AB94" s="27" t="e">
        <f t="shared" si="2"/>
        <v>#REF!</v>
      </c>
      <c r="AC94" s="27" t="e">
        <f t="shared" si="3"/>
        <v>#REF!</v>
      </c>
      <c r="AD94" s="27" t="e">
        <f t="shared" si="4"/>
        <v>#REF!</v>
      </c>
      <c r="AE94" s="27" t="e">
        <f t="shared" si="5"/>
        <v>#REF!</v>
      </c>
      <c r="AF94" s="27" t="e">
        <f t="shared" si="6"/>
        <v>#REF!</v>
      </c>
      <c r="AG94" s="27" t="e">
        <f t="shared" si="7"/>
        <v>#REF!</v>
      </c>
      <c r="AH94" s="27" t="e">
        <f t="shared" si="8"/>
        <v>#REF!</v>
      </c>
      <c r="AI94" s="27" t="e">
        <f t="shared" si="9"/>
        <v>#REF!</v>
      </c>
      <c r="AJ94" s="27" t="e">
        <f t="shared" si="10"/>
        <v>#REF!</v>
      </c>
      <c r="AK94" s="27" t="e">
        <f t="shared" si="11"/>
        <v>#REF!</v>
      </c>
      <c r="AL94" s="27" t="e">
        <f t="shared" si="12"/>
        <v>#REF!</v>
      </c>
      <c r="AM94" s="27" t="e">
        <f t="shared" si="13"/>
        <v>#REF!</v>
      </c>
      <c r="AN94" s="61" t="e">
        <f t="shared" si="14"/>
        <v>#REF!</v>
      </c>
      <c r="AP94" s="27" t="e">
        <f t="shared" si="15"/>
        <v>#REF!</v>
      </c>
      <c r="AQ94" s="27" t="e">
        <f t="shared" si="16"/>
        <v>#REF!</v>
      </c>
      <c r="AS94" s="27" t="e">
        <f t="shared" si="17"/>
        <v>#REF!</v>
      </c>
      <c r="AT94" s="27" t="e">
        <f t="shared" si="18"/>
        <v>#REF!</v>
      </c>
      <c r="AV94" s="27" t="e">
        <f t="shared" si="19"/>
        <v>#REF!</v>
      </c>
      <c r="AW94" s="27" t="e">
        <f t="shared" si="20"/>
        <v>#REF!</v>
      </c>
      <c r="AY94" s="27" t="e">
        <f t="shared" si="21"/>
        <v>#REF!</v>
      </c>
      <c r="AZ94" s="27" t="e">
        <f t="shared" si="22"/>
        <v>#REF!</v>
      </c>
      <c r="BV94" s="61"/>
    </row>
    <row r="95" spans="2:74" s="27" customFormat="1" ht="11.25" hidden="1" x14ac:dyDescent="0.2">
      <c r="B95" s="60"/>
      <c r="C95" s="27" t="str">
        <f>SANDBOX!D1038</f>
        <v>variables</v>
      </c>
      <c r="E95" s="27">
        <f>+E5*E96</f>
        <v>0</v>
      </c>
      <c r="F95" s="27">
        <f>+F5*F96</f>
        <v>0</v>
      </c>
      <c r="G95" s="27">
        <f>+G5*G96</f>
        <v>0</v>
      </c>
      <c r="H95" s="27">
        <f>+H5*H96</f>
        <v>0</v>
      </c>
      <c r="I95" s="60" t="str">
        <f>+C95</f>
        <v>variables</v>
      </c>
      <c r="J95" s="27">
        <f>CResult!$G$127</f>
        <v>0.21</v>
      </c>
      <c r="K95" s="27" t="s">
        <v>437</v>
      </c>
      <c r="L95" s="27">
        <f t="shared" ref="L95:O97" si="30">+E95*$J95</f>
        <v>0</v>
      </c>
      <c r="M95" s="27">
        <f t="shared" si="30"/>
        <v>0</v>
      </c>
      <c r="N95" s="27">
        <f t="shared" si="30"/>
        <v>0</v>
      </c>
      <c r="O95" s="27">
        <f t="shared" si="30"/>
        <v>0</v>
      </c>
      <c r="P95" s="61"/>
      <c r="Q95" s="60" t="str">
        <f>CTesorería!B111</f>
        <v>Viajes, dietas…</v>
      </c>
      <c r="S95" s="27">
        <f>CTesorería!Z111</f>
        <v>0</v>
      </c>
      <c r="T95" s="27">
        <f>CTesorería!AA111</f>
        <v>0</v>
      </c>
      <c r="U95" s="27">
        <f>CTesorería!AB111</f>
        <v>0</v>
      </c>
      <c r="V95" s="27">
        <f>CTesorería!AC111</f>
        <v>0</v>
      </c>
      <c r="W95" s="27" t="e">
        <f t="shared" si="24"/>
        <v>#REF!</v>
      </c>
      <c r="X95" s="27" t="e">
        <f t="shared" si="25"/>
        <v>#REF!</v>
      </c>
      <c r="Y95" s="27" t="e">
        <f t="shared" si="26"/>
        <v>#REF!</v>
      </c>
      <c r="Z95" s="27" t="e">
        <f t="shared" si="27"/>
        <v>#REF!</v>
      </c>
      <c r="AA95" s="27">
        <f t="shared" si="1"/>
        <v>0</v>
      </c>
      <c r="AB95" s="27" t="e">
        <f t="shared" si="2"/>
        <v>#REF!</v>
      </c>
      <c r="AC95" s="27" t="e">
        <f t="shared" si="3"/>
        <v>#REF!</v>
      </c>
      <c r="AD95" s="27" t="e">
        <f t="shared" si="4"/>
        <v>#REF!</v>
      </c>
      <c r="AE95" s="27" t="e">
        <f t="shared" si="5"/>
        <v>#REF!</v>
      </c>
      <c r="AF95" s="27" t="e">
        <f t="shared" si="6"/>
        <v>#REF!</v>
      </c>
      <c r="AG95" s="27" t="e">
        <f t="shared" si="7"/>
        <v>#REF!</v>
      </c>
      <c r="AH95" s="27" t="e">
        <f t="shared" si="8"/>
        <v>#REF!</v>
      </c>
      <c r="AI95" s="27" t="e">
        <f t="shared" si="9"/>
        <v>#REF!</v>
      </c>
      <c r="AJ95" s="27" t="e">
        <f t="shared" si="10"/>
        <v>#REF!</v>
      </c>
      <c r="AK95" s="27" t="e">
        <f t="shared" si="11"/>
        <v>#REF!</v>
      </c>
      <c r="AL95" s="27" t="e">
        <f t="shared" si="12"/>
        <v>#REF!</v>
      </c>
      <c r="AM95" s="27" t="e">
        <f t="shared" si="13"/>
        <v>#REF!</v>
      </c>
      <c r="AN95" s="61" t="e">
        <f t="shared" si="14"/>
        <v>#REF!</v>
      </c>
      <c r="AP95" s="27" t="e">
        <f t="shared" si="15"/>
        <v>#REF!</v>
      </c>
      <c r="AQ95" s="27" t="e">
        <f t="shared" si="16"/>
        <v>#REF!</v>
      </c>
      <c r="AS95" s="27" t="e">
        <f t="shared" si="17"/>
        <v>#REF!</v>
      </c>
      <c r="AT95" s="27" t="e">
        <f t="shared" si="18"/>
        <v>#REF!</v>
      </c>
      <c r="AV95" s="27" t="e">
        <f t="shared" si="19"/>
        <v>#REF!</v>
      </c>
      <c r="AW95" s="27" t="e">
        <f t="shared" si="20"/>
        <v>#REF!</v>
      </c>
      <c r="AY95" s="27" t="e">
        <f t="shared" si="21"/>
        <v>#REF!</v>
      </c>
      <c r="AZ95" s="27" t="e">
        <f t="shared" si="22"/>
        <v>#REF!</v>
      </c>
      <c r="BV95" s="61"/>
    </row>
    <row r="96" spans="2:74" s="27" customFormat="1" ht="11.25" hidden="1" x14ac:dyDescent="0.2">
      <c r="B96" s="60"/>
      <c r="E96" s="27">
        <f>SB!F671</f>
        <v>0</v>
      </c>
      <c r="F96" s="27">
        <f>SB!G671</f>
        <v>0</v>
      </c>
      <c r="G96" s="27">
        <f>SB!H671</f>
        <v>0</v>
      </c>
      <c r="H96" s="27">
        <f>SB!I671</f>
        <v>0</v>
      </c>
      <c r="I96" s="60"/>
      <c r="P96" s="61"/>
      <c r="Q96" s="60"/>
      <c r="AB96" s="27">
        <f t="shared" si="2"/>
        <v>0</v>
      </c>
      <c r="AD96" s="27">
        <f t="shared" si="4"/>
        <v>0</v>
      </c>
      <c r="AE96" s="27">
        <f t="shared" si="5"/>
        <v>0</v>
      </c>
      <c r="AG96" s="27">
        <f t="shared" si="7"/>
        <v>0</v>
      </c>
      <c r="AH96" s="27">
        <f t="shared" si="8"/>
        <v>0</v>
      </c>
      <c r="AJ96" s="27">
        <f t="shared" si="10"/>
        <v>0</v>
      </c>
      <c r="AK96" s="27">
        <f t="shared" si="11"/>
        <v>0</v>
      </c>
      <c r="AM96" s="27">
        <f t="shared" si="13"/>
        <v>0</v>
      </c>
      <c r="AN96" s="61"/>
      <c r="BV96" s="61"/>
    </row>
    <row r="97" spans="2:74" s="27" customFormat="1" ht="11.25" hidden="1" x14ac:dyDescent="0.2">
      <c r="B97" s="60"/>
      <c r="C97" s="27" t="str">
        <f>SANDBOX!D1039</f>
        <v>fijos</v>
      </c>
      <c r="E97" s="27" t="e">
        <f>#REF!</f>
        <v>#REF!</v>
      </c>
      <c r="F97" s="27" t="e">
        <f>#REF!</f>
        <v>#REF!</v>
      </c>
      <c r="G97" s="27" t="e">
        <f>#REF!</f>
        <v>#REF!</v>
      </c>
      <c r="H97" s="27" t="e">
        <f>#REF!</f>
        <v>#REF!</v>
      </c>
      <c r="I97" s="60" t="str">
        <f>+C97</f>
        <v>fijos</v>
      </c>
      <c r="J97" s="27">
        <f>CResult!$J$121</f>
        <v>0</v>
      </c>
      <c r="K97" s="27" t="s">
        <v>437</v>
      </c>
      <c r="L97" s="27" t="e">
        <f t="shared" si="30"/>
        <v>#REF!</v>
      </c>
      <c r="M97" s="27" t="e">
        <f t="shared" si="30"/>
        <v>#REF!</v>
      </c>
      <c r="N97" s="27" t="e">
        <f t="shared" si="30"/>
        <v>#REF!</v>
      </c>
      <c r="O97" s="27" t="e">
        <f t="shared" si="30"/>
        <v>#REF!</v>
      </c>
      <c r="P97" s="61"/>
      <c r="Q97" s="60" t="str">
        <f>CTesorería!B112</f>
        <v>Material Oficina</v>
      </c>
      <c r="S97" s="27">
        <f>CTesorería!Z112</f>
        <v>0</v>
      </c>
      <c r="T97" s="27">
        <f>CTesorería!AA112</f>
        <v>0</v>
      </c>
      <c r="U97" s="27">
        <f>CTesorería!AB112</f>
        <v>0</v>
      </c>
      <c r="V97" s="27">
        <f>CTesorería!AC112</f>
        <v>0</v>
      </c>
      <c r="W97" s="27" t="e">
        <f t="shared" ref="W97:Z98" si="31">+E123+L123</f>
        <v>#REF!</v>
      </c>
      <c r="X97" s="27" t="e">
        <f t="shared" si="31"/>
        <v>#REF!</v>
      </c>
      <c r="Y97" s="27" t="e">
        <f t="shared" si="31"/>
        <v>#REF!</v>
      </c>
      <c r="Z97" s="27" t="e">
        <f t="shared" si="31"/>
        <v>#REF!</v>
      </c>
      <c r="AA97" s="27">
        <f t="shared" si="1"/>
        <v>0</v>
      </c>
      <c r="AB97" s="27" t="e">
        <f t="shared" si="2"/>
        <v>#REF!</v>
      </c>
      <c r="AC97" s="27" t="e">
        <f t="shared" si="3"/>
        <v>#REF!</v>
      </c>
      <c r="AD97" s="27" t="e">
        <f t="shared" si="4"/>
        <v>#REF!</v>
      </c>
      <c r="AE97" s="27" t="e">
        <f t="shared" si="5"/>
        <v>#REF!</v>
      </c>
      <c r="AF97" s="27" t="e">
        <f t="shared" si="6"/>
        <v>#REF!</v>
      </c>
      <c r="AG97" s="27" t="e">
        <f t="shared" si="7"/>
        <v>#REF!</v>
      </c>
      <c r="AH97" s="27" t="e">
        <f t="shared" si="8"/>
        <v>#REF!</v>
      </c>
      <c r="AI97" s="27" t="e">
        <f t="shared" si="9"/>
        <v>#REF!</v>
      </c>
      <c r="AJ97" s="27" t="e">
        <f t="shared" si="10"/>
        <v>#REF!</v>
      </c>
      <c r="AK97" s="27" t="e">
        <f t="shared" si="11"/>
        <v>#REF!</v>
      </c>
      <c r="AL97" s="27" t="e">
        <f t="shared" si="12"/>
        <v>#REF!</v>
      </c>
      <c r="AM97" s="27" t="e">
        <f t="shared" si="13"/>
        <v>#REF!</v>
      </c>
      <c r="AN97" s="61" t="e">
        <f t="shared" si="14"/>
        <v>#REF!</v>
      </c>
      <c r="AP97" s="27" t="e">
        <f t="shared" si="15"/>
        <v>#REF!</v>
      </c>
      <c r="AQ97" s="27" t="e">
        <f t="shared" si="16"/>
        <v>#REF!</v>
      </c>
      <c r="AS97" s="27" t="e">
        <f t="shared" si="17"/>
        <v>#REF!</v>
      </c>
      <c r="AT97" s="27" t="e">
        <f t="shared" si="18"/>
        <v>#REF!</v>
      </c>
      <c r="AV97" s="27" t="e">
        <f t="shared" si="19"/>
        <v>#REF!</v>
      </c>
      <c r="AW97" s="27" t="e">
        <f t="shared" si="20"/>
        <v>#REF!</v>
      </c>
      <c r="AY97" s="27" t="e">
        <f t="shared" si="21"/>
        <v>#REF!</v>
      </c>
      <c r="AZ97" s="27" t="e">
        <f t="shared" si="22"/>
        <v>#REF!</v>
      </c>
      <c r="BV97" s="61"/>
    </row>
    <row r="98" spans="2:74" s="27" customFormat="1" ht="11.25" hidden="1" x14ac:dyDescent="0.2">
      <c r="B98" s="60"/>
      <c r="I98" s="60"/>
      <c r="P98" s="61"/>
      <c r="Q98" s="60" t="str">
        <f>CTesorería!B113</f>
        <v>Transportes</v>
      </c>
      <c r="S98" s="27">
        <f>CTesorería!Z113</f>
        <v>0</v>
      </c>
      <c r="T98" s="27">
        <f>CTesorería!AA113</f>
        <v>0</v>
      </c>
      <c r="U98" s="27">
        <f>CTesorería!AB113</f>
        <v>0</v>
      </c>
      <c r="V98" s="27">
        <f>CTesorería!AC113</f>
        <v>0</v>
      </c>
      <c r="W98" s="27" t="e">
        <f t="shared" si="31"/>
        <v>#REF!</v>
      </c>
      <c r="X98" s="27" t="e">
        <f t="shared" si="31"/>
        <v>#REF!</v>
      </c>
      <c r="Y98" s="27" t="e">
        <f t="shared" si="31"/>
        <v>#REF!</v>
      </c>
      <c r="Z98" s="27" t="e">
        <f t="shared" si="31"/>
        <v>#REF!</v>
      </c>
      <c r="AA98" s="27">
        <f t="shared" si="1"/>
        <v>0</v>
      </c>
      <c r="AB98" s="27" t="e">
        <f t="shared" si="2"/>
        <v>#REF!</v>
      </c>
      <c r="AC98" s="27" t="e">
        <f t="shared" si="3"/>
        <v>#REF!</v>
      </c>
      <c r="AD98" s="27" t="e">
        <f t="shared" si="4"/>
        <v>#REF!</v>
      </c>
      <c r="AE98" s="27" t="e">
        <f t="shared" si="5"/>
        <v>#REF!</v>
      </c>
      <c r="AF98" s="27" t="e">
        <f t="shared" si="6"/>
        <v>#REF!</v>
      </c>
      <c r="AG98" s="27" t="e">
        <f t="shared" si="7"/>
        <v>#REF!</v>
      </c>
      <c r="AH98" s="27" t="e">
        <f t="shared" si="8"/>
        <v>#REF!</v>
      </c>
      <c r="AI98" s="27" t="e">
        <f t="shared" si="9"/>
        <v>#REF!</v>
      </c>
      <c r="AJ98" s="27" t="e">
        <f t="shared" si="10"/>
        <v>#REF!</v>
      </c>
      <c r="AK98" s="27" t="e">
        <f t="shared" si="11"/>
        <v>#REF!</v>
      </c>
      <c r="AL98" s="27" t="e">
        <f t="shared" si="12"/>
        <v>#REF!</v>
      </c>
      <c r="AM98" s="27" t="e">
        <f t="shared" si="13"/>
        <v>#REF!</v>
      </c>
      <c r="AN98" s="61" t="e">
        <f t="shared" si="14"/>
        <v>#REF!</v>
      </c>
      <c r="AP98" s="27" t="e">
        <f t="shared" si="15"/>
        <v>#REF!</v>
      </c>
      <c r="AQ98" s="27" t="e">
        <f t="shared" si="16"/>
        <v>#REF!</v>
      </c>
      <c r="AS98" s="27" t="e">
        <f t="shared" si="17"/>
        <v>#REF!</v>
      </c>
      <c r="AT98" s="27" t="e">
        <f t="shared" si="18"/>
        <v>#REF!</v>
      </c>
      <c r="AV98" s="27" t="e">
        <f t="shared" si="19"/>
        <v>#REF!</v>
      </c>
      <c r="AW98" s="27" t="e">
        <f t="shared" si="20"/>
        <v>#REF!</v>
      </c>
      <c r="AY98" s="27" t="e">
        <f t="shared" si="21"/>
        <v>#REF!</v>
      </c>
      <c r="AZ98" s="27" t="e">
        <f t="shared" si="22"/>
        <v>#REF!</v>
      </c>
      <c r="BV98" s="61"/>
    </row>
    <row r="99" spans="2:74" s="27" customFormat="1" ht="11.25" hidden="1" x14ac:dyDescent="0.2">
      <c r="B99" s="60"/>
      <c r="C99" s="27" t="str">
        <f>SANDBOX!D1041</f>
        <v>Personal</v>
      </c>
      <c r="E99" s="27" t="e">
        <f>SUM(E100:E104)</f>
        <v>#REF!</v>
      </c>
      <c r="F99" s="27" t="e">
        <f>SUM(F100:F104)</f>
        <v>#REF!</v>
      </c>
      <c r="G99" s="27" t="e">
        <f>SUM(G100:G104)</f>
        <v>#REF!</v>
      </c>
      <c r="H99" s="27" t="e">
        <f>SUM(H100:H104)</f>
        <v>#REF!</v>
      </c>
      <c r="I99" s="60"/>
      <c r="P99" s="61"/>
      <c r="Q99" s="60" t="str">
        <f>CTesorería!B114</f>
        <v>gastos financieros</v>
      </c>
      <c r="S99" s="27">
        <f>CTesorería!Z114</f>
        <v>0</v>
      </c>
      <c r="T99" s="27">
        <v>1</v>
      </c>
      <c r="U99" s="27">
        <f>CTesorería!AB114</f>
        <v>0</v>
      </c>
      <c r="V99" s="27">
        <f>CTesorería!AC114</f>
        <v>0</v>
      </c>
      <c r="W99" s="27" t="e">
        <f>+E136+L136</f>
        <v>#REF!</v>
      </c>
      <c r="X99" s="27" t="e">
        <f>+F136+M136</f>
        <v>#REF!</v>
      </c>
      <c r="Y99" s="27" t="e">
        <f>+G136+N136</f>
        <v>#REF!</v>
      </c>
      <c r="Z99" s="27" t="e">
        <f>+H136+O136</f>
        <v>#REF!</v>
      </c>
      <c r="AA99" s="27">
        <f t="shared" si="1"/>
        <v>0</v>
      </c>
      <c r="AB99" s="27" t="e">
        <f>IF(AP99=0,W99*$T99,W99*AP99)</f>
        <v>#REF!</v>
      </c>
      <c r="AC99" s="27" t="e">
        <f t="shared" si="3"/>
        <v>#REF!</v>
      </c>
      <c r="AD99" s="27" t="e">
        <f>IF(AQ99=0,W99*$V99,W99*AQ99)</f>
        <v>#REF!</v>
      </c>
      <c r="AE99" s="27" t="e">
        <f>IF(AS99=0,X99*$T99,X99*AS99)</f>
        <v>#REF!</v>
      </c>
      <c r="AF99" s="27" t="e">
        <f t="shared" si="6"/>
        <v>#REF!</v>
      </c>
      <c r="AG99" s="27" t="e">
        <f>IF(AT99=0,X99*$V99,X99*AT99)</f>
        <v>#REF!</v>
      </c>
      <c r="AH99" s="27" t="e">
        <f>+Y99*$T99</f>
        <v>#REF!</v>
      </c>
      <c r="AI99" s="27" t="e">
        <f t="shared" si="9"/>
        <v>#REF!</v>
      </c>
      <c r="AJ99" s="27" t="e">
        <f>+Y99*$V99</f>
        <v>#REF!</v>
      </c>
      <c r="AK99" s="27" t="e">
        <f>+Z99*$T99</f>
        <v>#REF!</v>
      </c>
      <c r="AL99" s="27" t="e">
        <f t="shared" si="12"/>
        <v>#REF!</v>
      </c>
      <c r="AM99" s="27" t="e">
        <f>+Z99*$V99</f>
        <v>#REF!</v>
      </c>
      <c r="AN99" s="61" t="e">
        <f t="shared" si="14"/>
        <v>#REF!</v>
      </c>
      <c r="BV99" s="61"/>
    </row>
    <row r="100" spans="2:74" s="27" customFormat="1" ht="11.25" hidden="1" x14ac:dyDescent="0.2">
      <c r="B100" s="60"/>
      <c r="C100" s="27" t="str">
        <f>SANDBOX!D1042</f>
        <v>comisiones</v>
      </c>
      <c r="E100" s="27" t="e">
        <f>SB!F674</f>
        <v>#REF!</v>
      </c>
      <c r="F100" s="27" t="e">
        <f>SB!G674</f>
        <v>#REF!</v>
      </c>
      <c r="G100" s="27" t="e">
        <f>SB!H674</f>
        <v>#REF!</v>
      </c>
      <c r="H100" s="27" t="e">
        <f>SB!I674</f>
        <v>#REF!</v>
      </c>
      <c r="I100" s="60"/>
      <c r="P100" s="61"/>
      <c r="Q100" s="60" t="str">
        <f>CTesorería!B115</f>
        <v>gastos extraordinarios</v>
      </c>
      <c r="S100" s="27">
        <f>CTesorería!Z115</f>
        <v>0</v>
      </c>
      <c r="T100" s="27">
        <v>1</v>
      </c>
      <c r="U100" s="27">
        <f>CTesorería!AB115</f>
        <v>0</v>
      </c>
      <c r="V100" s="27">
        <f>CTesorería!AC115</f>
        <v>0</v>
      </c>
      <c r="W100" s="27" t="e">
        <f>+E140+L140</f>
        <v>#REF!</v>
      </c>
      <c r="X100" s="27" t="e">
        <f>+F140+M140</f>
        <v>#REF!</v>
      </c>
      <c r="Y100" s="27" t="e">
        <f>+G140+N140</f>
        <v>#REF!</v>
      </c>
      <c r="Z100" s="27" t="e">
        <f>+H140+O140</f>
        <v>#REF!</v>
      </c>
      <c r="AA100" s="27">
        <f t="shared" si="1"/>
        <v>0</v>
      </c>
      <c r="AB100" s="27" t="e">
        <f>IF(AP100=0,W100*$T100,W100*AP100)</f>
        <v>#REF!</v>
      </c>
      <c r="AC100" s="27" t="e">
        <f t="shared" si="3"/>
        <v>#REF!</v>
      </c>
      <c r="AD100" s="27" t="e">
        <f>IF(AQ100=0,W100*$V100,W100*AQ100)</f>
        <v>#REF!</v>
      </c>
      <c r="AE100" s="27" t="e">
        <f>IF(AS100=0,X100*$T100,X100*AS100)</f>
        <v>#REF!</v>
      </c>
      <c r="AF100" s="27" t="e">
        <f t="shared" si="6"/>
        <v>#REF!</v>
      </c>
      <c r="AG100" s="27" t="e">
        <f>IF(AT100=0,X100*$V100,X100*AT100)</f>
        <v>#REF!</v>
      </c>
      <c r="AH100" s="27" t="e">
        <f>+Y100*$T100</f>
        <v>#REF!</v>
      </c>
      <c r="AI100" s="27" t="e">
        <f t="shared" si="9"/>
        <v>#REF!</v>
      </c>
      <c r="AJ100" s="27" t="e">
        <f>+Y100*$V100</f>
        <v>#REF!</v>
      </c>
      <c r="AK100" s="27" t="e">
        <f>+Z100*$T100</f>
        <v>#REF!</v>
      </c>
      <c r="AL100" s="27" t="e">
        <f t="shared" si="12"/>
        <v>#REF!</v>
      </c>
      <c r="AM100" s="27" t="e">
        <f>+Z100*$V100</f>
        <v>#REF!</v>
      </c>
      <c r="AN100" s="61" t="e">
        <f t="shared" si="14"/>
        <v>#REF!</v>
      </c>
      <c r="BV100" s="61"/>
    </row>
    <row r="101" spans="2:74" s="27" customFormat="1" ht="11.25" hidden="1" x14ac:dyDescent="0.2">
      <c r="B101" s="60"/>
      <c r="C101" s="27" t="e">
        <f>SANDBOX!D1043</f>
        <v>#REF!</v>
      </c>
      <c r="I101" s="60"/>
      <c r="P101" s="61"/>
      <c r="Q101" s="60" t="str">
        <f>CTesorería!B116</f>
        <v>Comisiones</v>
      </c>
      <c r="S101" s="27">
        <f>CTesorería!Z116</f>
        <v>0</v>
      </c>
      <c r="T101" s="27">
        <f>CTesorería!AA116</f>
        <v>0</v>
      </c>
      <c r="U101" s="27">
        <f>CTesorería!AB116</f>
        <v>0</v>
      </c>
      <c r="V101" s="27">
        <f>CTesorería!AC116</f>
        <v>0</v>
      </c>
      <c r="W101" s="27" t="e">
        <f>T113</f>
        <v>#REF!</v>
      </c>
      <c r="X101" s="27" t="e">
        <f>U113</f>
        <v>#REF!</v>
      </c>
      <c r="Y101" s="27" t="e">
        <f>V113</f>
        <v>#REF!</v>
      </c>
      <c r="Z101" s="27" t="e">
        <f>W113</f>
        <v>#REF!</v>
      </c>
      <c r="AA101" s="27">
        <f>+U101</f>
        <v>0</v>
      </c>
      <c r="AB101" s="27" t="e">
        <f>IF(AO101=0,W101*$T101,W101*AP101)</f>
        <v>#REF!</v>
      </c>
      <c r="AC101" s="27" t="e">
        <f>SUM(AA101:AB101)</f>
        <v>#REF!</v>
      </c>
      <c r="AD101" s="27" t="e">
        <f>IF(AO101=0,W101*$V101,W101*AQ101)</f>
        <v>#REF!</v>
      </c>
      <c r="AE101" s="27" t="e">
        <f>IF(AR101=0,X101*$T101,X101*AS101)</f>
        <v>#REF!</v>
      </c>
      <c r="AF101" s="27" t="e">
        <f>SUM(AD101:AE101)</f>
        <v>#REF!</v>
      </c>
      <c r="AG101" s="27" t="e">
        <f>IF(AR101=0,X101*$V101,X101*AT101)</f>
        <v>#REF!</v>
      </c>
      <c r="AH101" s="27" t="e">
        <f>IF(AU101=0,Y101*$T101,Y101*AV101)</f>
        <v>#REF!</v>
      </c>
      <c r="AI101" s="27" t="e">
        <f>SUM(AG101:AH101)</f>
        <v>#REF!</v>
      </c>
      <c r="AJ101" s="27" t="e">
        <f>IF(AU101=0,Y101*$V101,Y101*AW101)</f>
        <v>#REF!</v>
      </c>
      <c r="AK101" s="27" t="e">
        <f>IF(AX101=0,Z101*$T101,Z101*AY101)</f>
        <v>#REF!</v>
      </c>
      <c r="AL101" s="27" t="e">
        <f>SUM(AJ101:AK101)</f>
        <v>#REF!</v>
      </c>
      <c r="AM101" s="27" t="e">
        <f>IF(AX101=0,Z101*$V101,Z101*AZ101)</f>
        <v>#REF!</v>
      </c>
      <c r="AN101" s="61" t="e">
        <f>IF(AM101+AK101=Z101,"ok","no")</f>
        <v>#REF!</v>
      </c>
      <c r="AP101" s="27" t="e">
        <f t="shared" si="15"/>
        <v>#REF!</v>
      </c>
      <c r="AQ101" s="27" t="e">
        <f t="shared" si="16"/>
        <v>#REF!</v>
      </c>
      <c r="AS101" s="27" t="e">
        <f t="shared" si="17"/>
        <v>#REF!</v>
      </c>
      <c r="AT101" s="27" t="e">
        <f t="shared" si="18"/>
        <v>#REF!</v>
      </c>
      <c r="AV101" s="27" t="e">
        <f t="shared" si="19"/>
        <v>#REF!</v>
      </c>
      <c r="AW101" s="27" t="e">
        <f t="shared" si="20"/>
        <v>#REF!</v>
      </c>
      <c r="AY101" s="27" t="e">
        <f t="shared" si="21"/>
        <v>#REF!</v>
      </c>
      <c r="AZ101" s="27" t="e">
        <f t="shared" si="22"/>
        <v>#REF!</v>
      </c>
      <c r="BV101" s="61"/>
    </row>
    <row r="102" spans="2:74" s="27" customFormat="1" ht="11.25" hidden="1" x14ac:dyDescent="0.2">
      <c r="B102" s="60"/>
      <c r="E102" s="27" t="e">
        <f>#REF!</f>
        <v>#REF!</v>
      </c>
      <c r="F102" s="27" t="e">
        <f>#REF!</f>
        <v>#REF!</v>
      </c>
      <c r="G102" s="27" t="e">
        <f>#REF!</f>
        <v>#REF!</v>
      </c>
      <c r="H102" s="27" t="e">
        <f>#REF!</f>
        <v>#REF!</v>
      </c>
      <c r="I102" s="60"/>
      <c r="P102" s="61"/>
      <c r="Q102" s="60" t="s">
        <v>414</v>
      </c>
      <c r="R102" s="27">
        <f>CResult!$U$332</f>
        <v>0</v>
      </c>
      <c r="S102" s="27">
        <f>SUM(INFORME!G281:R281)</f>
        <v>0</v>
      </c>
      <c r="T102" s="27">
        <f>IF(R102=0,0,S102/R102)</f>
        <v>0</v>
      </c>
      <c r="U102" s="27">
        <f>+R102-S102</f>
        <v>0</v>
      </c>
      <c r="V102" s="27">
        <f>IF(R102=0,0,U102/R102)</f>
        <v>0</v>
      </c>
      <c r="W102" s="27" t="e">
        <f>+T112+T117</f>
        <v>#REF!</v>
      </c>
      <c r="X102" s="27" t="e">
        <f>+U112+U117</f>
        <v>#REF!</v>
      </c>
      <c r="Y102" s="27" t="e">
        <f>+V112+V117</f>
        <v>#REF!</v>
      </c>
      <c r="Z102" s="27" t="e">
        <f>+W112+W117</f>
        <v>#REF!</v>
      </c>
      <c r="AA102" s="27">
        <f>+U102</f>
        <v>0</v>
      </c>
      <c r="AB102" s="27" t="e">
        <f>IF(AO102=0,W102*$T102,W102*AP102)</f>
        <v>#REF!</v>
      </c>
      <c r="AC102" s="27" t="e">
        <f>SUM(AA102:AB102)</f>
        <v>#REF!</v>
      </c>
      <c r="AD102" s="27" t="e">
        <f>IF(AO102=0,W102*$V102,W102*AQ102)</f>
        <v>#REF!</v>
      </c>
      <c r="AE102" s="27" t="e">
        <f>IF(AR102=0,X102*$T102,X102*AS102)</f>
        <v>#REF!</v>
      </c>
      <c r="AF102" s="27" t="e">
        <f>SUM(AD102:AE102)</f>
        <v>#REF!</v>
      </c>
      <c r="AG102" s="27" t="e">
        <f>IF(AR102=0,X102*$V102,X102*AT102)</f>
        <v>#REF!</v>
      </c>
      <c r="AH102" s="27" t="e">
        <f>IF(AU102=0,Y102*$T102,Y102*AV102)</f>
        <v>#REF!</v>
      </c>
      <c r="AI102" s="27" t="e">
        <f>SUM(AG102:AH102)</f>
        <v>#REF!</v>
      </c>
      <c r="AJ102" s="27" t="e">
        <f>IF(AU102=0,Y102*$V102,Y102*AW102)</f>
        <v>#REF!</v>
      </c>
      <c r="AK102" s="27" t="e">
        <f>IF(AX102=0,Z102*$T102,Z102*AY102)</f>
        <v>#REF!</v>
      </c>
      <c r="AL102" s="27" t="e">
        <f>SUM(AJ102:AK102)</f>
        <v>#REF!</v>
      </c>
      <c r="AM102" s="27" t="e">
        <f>IF(AX102=0,Z102*$V102,Z102*AZ102)</f>
        <v>#REF!</v>
      </c>
      <c r="AN102" s="61" t="e">
        <f>IF(AM102+AK102=Z102,"ok","no")</f>
        <v>#REF!</v>
      </c>
      <c r="AP102" s="27" t="e">
        <f t="shared" si="15"/>
        <v>#REF!</v>
      </c>
      <c r="AQ102" s="27" t="e">
        <f t="shared" si="16"/>
        <v>#REF!</v>
      </c>
      <c r="AS102" s="27" t="e">
        <f t="shared" si="17"/>
        <v>#REF!</v>
      </c>
      <c r="AT102" s="27" t="e">
        <f t="shared" si="18"/>
        <v>#REF!</v>
      </c>
      <c r="AV102" s="27" t="e">
        <f t="shared" si="19"/>
        <v>#REF!</v>
      </c>
      <c r="AW102" s="27" t="e">
        <f t="shared" si="20"/>
        <v>#REF!</v>
      </c>
      <c r="AY102" s="27" t="e">
        <f t="shared" si="21"/>
        <v>#REF!</v>
      </c>
      <c r="AZ102" s="27" t="e">
        <f t="shared" si="22"/>
        <v>#REF!</v>
      </c>
      <c r="BV102" s="61"/>
    </row>
    <row r="103" spans="2:74" s="27" customFormat="1" ht="11.25" hidden="1" x14ac:dyDescent="0.2">
      <c r="B103" s="60"/>
      <c r="C103" s="27" t="str">
        <f>SANDBOX!D1045</f>
        <v>marketing/ventas</v>
      </c>
      <c r="E103" s="27" t="e">
        <f>#REF!</f>
        <v>#REF!</v>
      </c>
      <c r="F103" s="27" t="e">
        <f>#REF!</f>
        <v>#REF!</v>
      </c>
      <c r="G103" s="27" t="e">
        <f>#REF!</f>
        <v>#REF!</v>
      </c>
      <c r="H103" s="27" t="e">
        <f>#REF!</f>
        <v>#REF!</v>
      </c>
      <c r="I103" s="60"/>
      <c r="P103" s="61"/>
      <c r="Q103" s="60" t="s">
        <v>415</v>
      </c>
      <c r="R103" s="27">
        <f>CResult!$U$335</f>
        <v>0</v>
      </c>
      <c r="S103" s="27">
        <f>SUM(INFORME!G274:R274)</f>
        <v>0</v>
      </c>
      <c r="T103" s="27">
        <f>IF(R103=0,0,S103/R103)</f>
        <v>0</v>
      </c>
      <c r="U103" s="27">
        <f>+R103-S103</f>
        <v>0</v>
      </c>
      <c r="V103" s="27">
        <f>IF(R103=0,0,U103/R103)</f>
        <v>0</v>
      </c>
      <c r="W103" s="27">
        <f>+T110+T115</f>
        <v>0</v>
      </c>
      <c r="X103" s="27">
        <f>+U110+U115</f>
        <v>0</v>
      </c>
      <c r="Y103" s="27">
        <f>+V110+V115</f>
        <v>0</v>
      </c>
      <c r="Z103" s="27">
        <f>+W110+W115</f>
        <v>0</v>
      </c>
      <c r="AA103" s="27">
        <f>+U103</f>
        <v>0</v>
      </c>
      <c r="AB103" s="27">
        <f>IF(AO103=0,W103*$T103,W103*AP103)</f>
        <v>0</v>
      </c>
      <c r="AC103" s="27">
        <f>SUM(AA103:AB103)</f>
        <v>0</v>
      </c>
      <c r="AD103" s="27">
        <f>IF(AO103=0,W103*$V103,W103*AQ103)</f>
        <v>0</v>
      </c>
      <c r="AE103" s="27">
        <f>IF(AR103=0,X103*$T103,X103*AS103)</f>
        <v>0</v>
      </c>
      <c r="AF103" s="27">
        <f>SUM(AD103:AE103)</f>
        <v>0</v>
      </c>
      <c r="AG103" s="27">
        <f>IF(AR103=0,X103*$V103,X103*AT103)</f>
        <v>0</v>
      </c>
      <c r="AH103" s="27">
        <f>IF(AU103=0,Y103*$T103,Y103*AV103)</f>
        <v>0</v>
      </c>
      <c r="AI103" s="27">
        <f>SUM(AG103:AH103)</f>
        <v>0</v>
      </c>
      <c r="AJ103" s="27">
        <f>IF(AU103=0,Y103*$V103,Y103*AW103)</f>
        <v>0</v>
      </c>
      <c r="AK103" s="27">
        <f>IF(AX103=0,Z103*$T103,Z103*AY103)</f>
        <v>0</v>
      </c>
      <c r="AL103" s="27">
        <f>SUM(AJ103:AK103)</f>
        <v>0</v>
      </c>
      <c r="AM103" s="27">
        <f>IF(AX103=0,Z103*$V103,Z103*AZ103)</f>
        <v>0</v>
      </c>
      <c r="AN103" s="61" t="str">
        <f>IF(AM103+AK103=Z103,"ok","no")</f>
        <v>ok</v>
      </c>
      <c r="AP103" s="27">
        <f t="shared" si="15"/>
        <v>0</v>
      </c>
      <c r="AQ103" s="27">
        <f t="shared" si="16"/>
        <v>0</v>
      </c>
      <c r="AS103" s="27">
        <f t="shared" si="17"/>
        <v>0</v>
      </c>
      <c r="AT103" s="27">
        <f t="shared" si="18"/>
        <v>0</v>
      </c>
      <c r="AV103" s="27">
        <f t="shared" si="19"/>
        <v>0</v>
      </c>
      <c r="AW103" s="27">
        <f t="shared" si="20"/>
        <v>0</v>
      </c>
      <c r="AY103" s="27">
        <f t="shared" si="21"/>
        <v>0</v>
      </c>
      <c r="AZ103" s="27">
        <f t="shared" si="22"/>
        <v>0</v>
      </c>
      <c r="BV103" s="61"/>
    </row>
    <row r="104" spans="2:74" s="27" customFormat="1" ht="11.25" hidden="1" x14ac:dyDescent="0.2">
      <c r="B104" s="60"/>
      <c r="C104" s="27" t="str">
        <f>SANDBOX!D1046</f>
        <v>administración/DG</v>
      </c>
      <c r="E104" s="27" t="e">
        <f>#REF!</f>
        <v>#REF!</v>
      </c>
      <c r="F104" s="27" t="e">
        <f>#REF!</f>
        <v>#REF!</v>
      </c>
      <c r="G104" s="27" t="e">
        <f>#REF!</f>
        <v>#REF!</v>
      </c>
      <c r="H104" s="27" t="e">
        <f>#REF!</f>
        <v>#REF!</v>
      </c>
      <c r="I104" s="60"/>
      <c r="P104" s="61"/>
      <c r="Q104" s="60" t="s">
        <v>1555</v>
      </c>
      <c r="S104" s="27">
        <v>0</v>
      </c>
      <c r="T104" s="27">
        <v>0</v>
      </c>
      <c r="U104" s="27">
        <v>0</v>
      </c>
      <c r="V104" s="27">
        <v>0</v>
      </c>
      <c r="W104" s="27">
        <f>+E152+L152</f>
        <v>0</v>
      </c>
      <c r="X104" s="27">
        <f>+F152+M152</f>
        <v>0</v>
      </c>
      <c r="Y104" s="27">
        <f>+G152+N152</f>
        <v>0</v>
      </c>
      <c r="Z104" s="27">
        <f>+H152+O152</f>
        <v>0</v>
      </c>
      <c r="AC104" s="27">
        <f>+W104</f>
        <v>0</v>
      </c>
      <c r="AF104" s="27">
        <f>+X104</f>
        <v>0</v>
      </c>
      <c r="AI104" s="27">
        <f>+Y104</f>
        <v>0</v>
      </c>
      <c r="AL104" s="27">
        <f>+Z104</f>
        <v>0</v>
      </c>
      <c r="AN104" s="61"/>
      <c r="BV104" s="61"/>
    </row>
    <row r="105" spans="2:74" s="27" customFormat="1" ht="11.25" hidden="1" x14ac:dyDescent="0.2">
      <c r="B105" s="60"/>
      <c r="I105" s="60"/>
      <c r="P105" s="61"/>
      <c r="Q105" s="60" t="s">
        <v>192</v>
      </c>
      <c r="W105" s="27">
        <f>SB!F673+('5años'!$J$115*SB!F673)</f>
        <v>0</v>
      </c>
      <c r="X105" s="27">
        <f>SB!G673+('5años'!$J$115*SB!G673)</f>
        <v>0</v>
      </c>
      <c r="Y105" s="27">
        <f>SB!H673+('5años'!$J$115*SB!H673)</f>
        <v>0</v>
      </c>
      <c r="Z105" s="27">
        <f>SB!I673+('5años'!$J$115*SB!I673)</f>
        <v>0</v>
      </c>
      <c r="AC105" s="27">
        <f>$W$105</f>
        <v>0</v>
      </c>
      <c r="AF105" s="27">
        <f>$X$105</f>
        <v>0</v>
      </c>
      <c r="AI105" s="27">
        <f>$Y$105</f>
        <v>0</v>
      </c>
      <c r="AL105" s="27">
        <f>$Z$105</f>
        <v>0</v>
      </c>
      <c r="AN105" s="61"/>
      <c r="BV105" s="61"/>
    </row>
    <row r="106" spans="2:74" s="27" customFormat="1" ht="11.25" hidden="1" x14ac:dyDescent="0.2">
      <c r="B106" s="60"/>
      <c r="I106" s="60"/>
      <c r="P106" s="61"/>
      <c r="Q106" s="62"/>
      <c r="R106" s="63"/>
      <c r="S106" s="63"/>
      <c r="T106" s="63"/>
      <c r="U106" s="63"/>
      <c r="V106" s="63"/>
      <c r="W106" s="64"/>
      <c r="X106" s="27" t="s">
        <v>588</v>
      </c>
      <c r="Z106" s="27" t="s">
        <v>1220</v>
      </c>
      <c r="AA106" s="27" t="s">
        <v>1492</v>
      </c>
      <c r="AB106" s="27" t="s">
        <v>1493</v>
      </c>
      <c r="AC106" s="27" t="s">
        <v>1494</v>
      </c>
      <c r="AD106" s="27" t="s">
        <v>1495</v>
      </c>
      <c r="AN106" s="61"/>
      <c r="BV106" s="61"/>
    </row>
    <row r="107" spans="2:74" s="27" customFormat="1" ht="11.25" hidden="1" x14ac:dyDescent="0.2">
      <c r="B107" s="60"/>
      <c r="C107" s="27" t="str">
        <f>SANDBOX!D1048</f>
        <v>Marketing y ventas</v>
      </c>
      <c r="E107" s="27" t="e">
        <f>SUM(E108:E111)</f>
        <v>#REF!</v>
      </c>
      <c r="F107" s="27" t="e">
        <f>SUM(F108:F111)</f>
        <v>#REF!</v>
      </c>
      <c r="G107" s="27" t="e">
        <f>SUM(G108:G111)</f>
        <v>#REF!</v>
      </c>
      <c r="H107" s="27" t="e">
        <f>SUM(H108:H111)</f>
        <v>#REF!</v>
      </c>
      <c r="I107" s="60"/>
      <c r="P107" s="61"/>
      <c r="Q107" s="60"/>
      <c r="W107" s="61"/>
      <c r="Y107" s="27" t="s">
        <v>1221</v>
      </c>
      <c r="AA107" s="27" t="e">
        <f>SUM(W80:W100)</f>
        <v>#REF!</v>
      </c>
      <c r="AB107" s="27" t="e">
        <f>SUM(X80:X100)</f>
        <v>#REF!</v>
      </c>
      <c r="AC107" s="27" t="e">
        <f>SUM(Y80:Y100)</f>
        <v>#REF!</v>
      </c>
      <c r="AD107" s="27" t="e">
        <f>SUM(Z80:Z100)</f>
        <v>#REF!</v>
      </c>
      <c r="AN107" s="61"/>
      <c r="BV107" s="61"/>
    </row>
    <row r="108" spans="2:74" s="27" customFormat="1" ht="11.25" hidden="1" x14ac:dyDescent="0.2">
      <c r="B108" s="60"/>
      <c r="C108" s="27" t="str">
        <f>SANDBOX!D1049</f>
        <v xml:space="preserve">Publicidad </v>
      </c>
      <c r="E108" s="27" t="e">
        <f>#REF!</f>
        <v>#REF!</v>
      </c>
      <c r="F108" s="27" t="e">
        <f>#REF!</f>
        <v>#REF!</v>
      </c>
      <c r="G108" s="27" t="e">
        <f>#REF!</f>
        <v>#REF!</v>
      </c>
      <c r="H108" s="27" t="e">
        <f>#REF!</f>
        <v>#REF!</v>
      </c>
      <c r="I108" s="60" t="str">
        <f>+C108</f>
        <v xml:space="preserve">Publicidad </v>
      </c>
      <c r="J108" s="27">
        <f>CResult!$N$133</f>
        <v>0</v>
      </c>
      <c r="K108" s="27" t="s">
        <v>437</v>
      </c>
      <c r="L108" s="27" t="e">
        <f t="shared" ref="L108:O111" si="32">+E108*$J108</f>
        <v>#REF!</v>
      </c>
      <c r="M108" s="27" t="e">
        <f t="shared" si="32"/>
        <v>#REF!</v>
      </c>
      <c r="N108" s="27" t="e">
        <f t="shared" si="32"/>
        <v>#REF!</v>
      </c>
      <c r="O108" s="27" t="e">
        <f t="shared" si="32"/>
        <v>#REF!</v>
      </c>
      <c r="P108" s="61"/>
      <c r="Q108" s="60" t="s">
        <v>444</v>
      </c>
      <c r="R108" s="76">
        <f>CResult!$L$338</f>
        <v>0</v>
      </c>
      <c r="T108" s="27" t="s">
        <v>1492</v>
      </c>
      <c r="U108" s="27" t="s">
        <v>1493</v>
      </c>
      <c r="V108" s="27" t="s">
        <v>1494</v>
      </c>
      <c r="W108" s="61" t="s">
        <v>1495</v>
      </c>
      <c r="Y108" s="27" t="s">
        <v>322</v>
      </c>
      <c r="AA108" s="27" t="e">
        <f>SUM(AC80:AC100)-AC105</f>
        <v>#REF!</v>
      </c>
      <c r="AB108" s="27" t="e">
        <f>SUM(AF80:AF100)-AF105</f>
        <v>#REF!</v>
      </c>
      <c r="AC108" s="27" t="e">
        <f>SUM(AI80:AI100)-AI105</f>
        <v>#REF!</v>
      </c>
      <c r="AD108" s="27" t="e">
        <f>SUM(AL80:AL100)-AL105</f>
        <v>#REF!</v>
      </c>
      <c r="AN108" s="61"/>
      <c r="BV108" s="61"/>
    </row>
    <row r="109" spans="2:74" s="27" customFormat="1" ht="11.25" hidden="1" x14ac:dyDescent="0.2">
      <c r="B109" s="60"/>
      <c r="C109" s="27" t="str">
        <f>SANDBOX!D1050</f>
        <v>Relaciones Púb.</v>
      </c>
      <c r="E109" s="27" t="e">
        <f>#REF!</f>
        <v>#REF!</v>
      </c>
      <c r="F109" s="27" t="e">
        <f>#REF!</f>
        <v>#REF!</v>
      </c>
      <c r="G109" s="27" t="e">
        <f>#REF!</f>
        <v>#REF!</v>
      </c>
      <c r="H109" s="27" t="e">
        <f>#REF!</f>
        <v>#REF!</v>
      </c>
      <c r="I109" s="60" t="str">
        <f>+C109</f>
        <v>Relaciones Púb.</v>
      </c>
      <c r="J109" s="27">
        <f>CResult!$N$139</f>
        <v>0</v>
      </c>
      <c r="K109" s="27" t="s">
        <v>437</v>
      </c>
      <c r="L109" s="27" t="e">
        <f t="shared" si="32"/>
        <v>#REF!</v>
      </c>
      <c r="M109" s="27" t="e">
        <f t="shared" si="32"/>
        <v>#REF!</v>
      </c>
      <c r="N109" s="27" t="e">
        <f t="shared" si="32"/>
        <v>#REF!</v>
      </c>
      <c r="O109" s="27" t="e">
        <f t="shared" si="32"/>
        <v>#REF!</v>
      </c>
      <c r="P109" s="61"/>
      <c r="Q109" s="60"/>
      <c r="R109" s="27" t="s">
        <v>448</v>
      </c>
      <c r="T109" s="27" t="e">
        <f>E100</f>
        <v>#REF!</v>
      </c>
      <c r="U109" s="27" t="e">
        <f>F100</f>
        <v>#REF!</v>
      </c>
      <c r="V109" s="27" t="e">
        <f>G100</f>
        <v>#REF!</v>
      </c>
      <c r="W109" s="61" t="e">
        <f>H100</f>
        <v>#REF!</v>
      </c>
      <c r="Y109" s="27" t="s">
        <v>1222</v>
      </c>
      <c r="Z109" s="27">
        <f>'5años'!$C$373</f>
        <v>0</v>
      </c>
      <c r="AA109" s="27" t="e">
        <f>+(AA107+Z109)-AA108</f>
        <v>#REF!</v>
      </c>
      <c r="AB109" s="27" t="e">
        <f>+(AB107+AA109)-AB108</f>
        <v>#REF!</v>
      </c>
      <c r="AC109" s="27" t="e">
        <f>+(AC107+AB109)-AC108</f>
        <v>#REF!</v>
      </c>
      <c r="AD109" s="27" t="e">
        <f>+(AD107+AC109)-AD108</f>
        <v>#REF!</v>
      </c>
      <c r="AN109" s="61"/>
      <c r="BV109" s="61"/>
    </row>
    <row r="110" spans="2:74" s="27" customFormat="1" ht="11.25" hidden="1" x14ac:dyDescent="0.2">
      <c r="B110" s="60"/>
      <c r="C110" s="27" t="str">
        <f>SANDBOX!D1051</f>
        <v>Varios ventas</v>
      </c>
      <c r="E110" s="27" t="e">
        <f>#REF!</f>
        <v>#REF!</v>
      </c>
      <c r="F110" s="27" t="e">
        <f>#REF!</f>
        <v>#REF!</v>
      </c>
      <c r="G110" s="27" t="e">
        <f>#REF!</f>
        <v>#REF!</v>
      </c>
      <c r="H110" s="27" t="e">
        <f>#REF!</f>
        <v>#REF!</v>
      </c>
      <c r="I110" s="60" t="str">
        <f>+C110</f>
        <v>Varios ventas</v>
      </c>
      <c r="J110" s="27">
        <f>CResult!$G$144</f>
        <v>0.21</v>
      </c>
      <c r="K110" s="27" t="s">
        <v>437</v>
      </c>
      <c r="L110" s="27" t="e">
        <f t="shared" si="32"/>
        <v>#REF!</v>
      </c>
      <c r="M110" s="27" t="e">
        <f t="shared" si="32"/>
        <v>#REF!</v>
      </c>
      <c r="N110" s="27" t="e">
        <f t="shared" si="32"/>
        <v>#REF!</v>
      </c>
      <c r="O110" s="27" t="e">
        <f t="shared" si="32"/>
        <v>#REF!</v>
      </c>
      <c r="P110" s="61"/>
      <c r="Q110" s="60"/>
      <c r="R110" s="27" t="s">
        <v>450</v>
      </c>
      <c r="S110" s="27">
        <f>CResult!$U$337</f>
        <v>0</v>
      </c>
      <c r="T110" s="27">
        <f>IF($S110=0,0,T109/$S110)</f>
        <v>0</v>
      </c>
      <c r="U110" s="27">
        <f>IF($S110=0,0,U109/$S110)</f>
        <v>0</v>
      </c>
      <c r="V110" s="27">
        <f>IF($S110=0,0,V109/$S110)</f>
        <v>0</v>
      </c>
      <c r="W110" s="61">
        <f>IF($S110=0,0,W109/$S110)</f>
        <v>0</v>
      </c>
      <c r="AN110" s="61"/>
      <c r="BV110" s="61"/>
    </row>
    <row r="111" spans="2:74" s="27" customFormat="1" ht="11.25" hidden="1" x14ac:dyDescent="0.2">
      <c r="B111" s="60">
        <f>'3'!$F$20</f>
        <v>0</v>
      </c>
      <c r="C111" s="27" t="str">
        <f>SANDBOX!D1052</f>
        <v>variables</v>
      </c>
      <c r="E111" s="27">
        <f>E5*$B111</f>
        <v>0</v>
      </c>
      <c r="F111" s="27">
        <f>F5*$B111</f>
        <v>0</v>
      </c>
      <c r="G111" s="27">
        <f>G5*$B111</f>
        <v>0</v>
      </c>
      <c r="H111" s="27">
        <f>H5*$B111</f>
        <v>0</v>
      </c>
      <c r="I111" s="60" t="str">
        <f>+C111</f>
        <v>variables</v>
      </c>
      <c r="J111" s="27">
        <f>CResult!$G$149</f>
        <v>0.21</v>
      </c>
      <c r="K111" s="27" t="s">
        <v>437</v>
      </c>
      <c r="L111" s="27">
        <f t="shared" si="32"/>
        <v>0</v>
      </c>
      <c r="M111" s="27">
        <f t="shared" si="32"/>
        <v>0</v>
      </c>
      <c r="N111" s="27">
        <f t="shared" si="32"/>
        <v>0</v>
      </c>
      <c r="O111" s="27">
        <f t="shared" si="32"/>
        <v>0</v>
      </c>
      <c r="P111" s="61"/>
      <c r="Q111" s="60"/>
      <c r="R111" s="27" t="s">
        <v>449</v>
      </c>
      <c r="T111" s="27" t="e">
        <f>+T109-T110</f>
        <v>#REF!</v>
      </c>
      <c r="U111" s="27" t="e">
        <f>+U109-U110</f>
        <v>#REF!</v>
      </c>
      <c r="V111" s="27" t="e">
        <f>+V109-V110</f>
        <v>#REF!</v>
      </c>
      <c r="W111" s="61" t="e">
        <f>+W109-W110</f>
        <v>#REF!</v>
      </c>
      <c r="X111" s="27" t="s">
        <v>1223</v>
      </c>
      <c r="AN111" s="61"/>
      <c r="BV111" s="61"/>
    </row>
    <row r="112" spans="2:74" s="27" customFormat="1" ht="11.25" hidden="1" x14ac:dyDescent="0.2">
      <c r="B112" s="60"/>
      <c r="I112" s="60"/>
      <c r="P112" s="61"/>
      <c r="Q112" s="60"/>
      <c r="R112" s="27" t="s">
        <v>451</v>
      </c>
      <c r="T112" s="27" t="e">
        <f>+T111*$R$108</f>
        <v>#REF!</v>
      </c>
      <c r="U112" s="27" t="e">
        <f>+U111*$R$108</f>
        <v>#REF!</v>
      </c>
      <c r="V112" s="27" t="e">
        <f>+V111*$R$108</f>
        <v>#REF!</v>
      </c>
      <c r="W112" s="61" t="e">
        <f>+W111*$R$108</f>
        <v>#REF!</v>
      </c>
      <c r="Y112" s="27" t="s">
        <v>1221</v>
      </c>
      <c r="AA112" s="27" t="e">
        <f>W101</f>
        <v>#REF!</v>
      </c>
      <c r="AB112" s="27" t="e">
        <f>X101</f>
        <v>#REF!</v>
      </c>
      <c r="AC112" s="27" t="e">
        <f>Y101</f>
        <v>#REF!</v>
      </c>
      <c r="AD112" s="27" t="e">
        <f>Z101</f>
        <v>#REF!</v>
      </c>
      <c r="AN112" s="61"/>
      <c r="BV112" s="61"/>
    </row>
    <row r="113" spans="2:74" s="27" customFormat="1" ht="11.25" hidden="1" x14ac:dyDescent="0.2">
      <c r="B113" s="60"/>
      <c r="C113" s="27" t="str">
        <f>SANDBOX!D1054</f>
        <v>Generales y adm</v>
      </c>
      <c r="E113" s="27" t="e">
        <f>SUM(E114:E124)</f>
        <v>#REF!</v>
      </c>
      <c r="F113" s="27" t="e">
        <f>SUM(F114:F124)</f>
        <v>#REF!</v>
      </c>
      <c r="G113" s="27" t="e">
        <f>SUM(G114:G124)</f>
        <v>#REF!</v>
      </c>
      <c r="H113" s="27" t="e">
        <f>SUM(H114:H124)</f>
        <v>#REF!</v>
      </c>
      <c r="I113" s="60"/>
      <c r="P113" s="61"/>
      <c r="Q113" s="60"/>
      <c r="R113" s="27" t="s">
        <v>447</v>
      </c>
      <c r="T113" s="27" t="e">
        <f>+T111-T112</f>
        <v>#REF!</v>
      </c>
      <c r="U113" s="27" t="e">
        <f>+U111-U112</f>
        <v>#REF!</v>
      </c>
      <c r="V113" s="27" t="e">
        <f>+V111-V112</f>
        <v>#REF!</v>
      </c>
      <c r="W113" s="61" t="e">
        <f>+W111-W112</f>
        <v>#REF!</v>
      </c>
      <c r="Y113" s="27" t="s">
        <v>322</v>
      </c>
      <c r="AA113" s="27" t="e">
        <f>+AC101</f>
        <v>#REF!</v>
      </c>
      <c r="AB113" s="27" t="e">
        <f>+AF101</f>
        <v>#REF!</v>
      </c>
      <c r="AC113" s="27" t="e">
        <f>+AI101</f>
        <v>#REF!</v>
      </c>
      <c r="AD113" s="27" t="e">
        <f>+AL101</f>
        <v>#REF!</v>
      </c>
      <c r="AN113" s="61"/>
      <c r="BV113" s="61"/>
    </row>
    <row r="114" spans="2:74" s="27" customFormat="1" ht="11.25" hidden="1" x14ac:dyDescent="0.2">
      <c r="B114" s="60"/>
      <c r="C114" s="27" t="str">
        <f>SANDBOX!D1055</f>
        <v>Gastos I+D</v>
      </c>
      <c r="E114" s="27" t="e">
        <f>#REF!</f>
        <v>#REF!</v>
      </c>
      <c r="F114" s="27" t="e">
        <f>#REF!</f>
        <v>#REF!</v>
      </c>
      <c r="G114" s="27" t="e">
        <f>#REF!</f>
        <v>#REF!</v>
      </c>
      <c r="H114" s="27" t="e">
        <f>#REF!</f>
        <v>#REF!</v>
      </c>
      <c r="I114" s="60" t="str">
        <f t="shared" ref="I114:I124" si="33">+C114</f>
        <v>Gastos I+D</v>
      </c>
      <c r="J114" s="27">
        <f>CResult!$H$155</f>
        <v>0.21</v>
      </c>
      <c r="K114" s="27" t="s">
        <v>437</v>
      </c>
      <c r="L114" s="27" t="e">
        <f t="shared" ref="L114:L124" si="34">+E114*$J114</f>
        <v>#REF!</v>
      </c>
      <c r="M114" s="27" t="e">
        <f t="shared" ref="M114:M124" si="35">+F114*$J114</f>
        <v>#REF!</v>
      </c>
      <c r="N114" s="27" t="e">
        <f t="shared" ref="N114:N124" si="36">+G114*$J114</f>
        <v>#REF!</v>
      </c>
      <c r="O114" s="27" t="e">
        <f t="shared" ref="O114:O124" si="37">+H114*$J114</f>
        <v>#REF!</v>
      </c>
      <c r="P114" s="61"/>
      <c r="Q114" s="60"/>
      <c r="R114" s="27" t="s">
        <v>452</v>
      </c>
      <c r="T114" s="27" t="e">
        <f>+E102+E103+E104</f>
        <v>#REF!</v>
      </c>
      <c r="U114" s="27" t="e">
        <f>+F102+F103+F104</f>
        <v>#REF!</v>
      </c>
      <c r="V114" s="27" t="e">
        <f>+G102+G103+G104</f>
        <v>#REF!</v>
      </c>
      <c r="W114" s="61" t="e">
        <f>+H102+H103+H104</f>
        <v>#REF!</v>
      </c>
      <c r="Y114" s="27" t="s">
        <v>1222</v>
      </c>
      <c r="Z114" s="27">
        <f>'5años'!$C$379</f>
        <v>0</v>
      </c>
      <c r="AA114" s="27" t="e">
        <f>+(AA112+Z114)-AA113</f>
        <v>#REF!</v>
      </c>
      <c r="AB114" s="27" t="e">
        <f>+(AB112+AA114)-AB113</f>
        <v>#REF!</v>
      </c>
      <c r="AC114" s="27" t="e">
        <f>+(AC112+AB114)-AC113</f>
        <v>#REF!</v>
      </c>
      <c r="AD114" s="27" t="e">
        <f>+(AD112+AC114)-AD113</f>
        <v>#REF!</v>
      </c>
      <c r="AN114" s="61"/>
      <c r="BV114" s="61"/>
    </row>
    <row r="115" spans="2:74" s="27" customFormat="1" ht="11.25" hidden="1" x14ac:dyDescent="0.2">
      <c r="B115" s="60"/>
      <c r="C115" s="27" t="str">
        <f>SANDBOX!D1056</f>
        <v>Arrendamientos</v>
      </c>
      <c r="E115" s="27" t="e">
        <f>#REF!</f>
        <v>#REF!</v>
      </c>
      <c r="F115" s="27" t="e">
        <f>#REF!</f>
        <v>#REF!</v>
      </c>
      <c r="G115" s="27" t="e">
        <f>#REF!</f>
        <v>#REF!</v>
      </c>
      <c r="H115" s="27" t="e">
        <f>#REF!</f>
        <v>#REF!</v>
      </c>
      <c r="I115" s="60" t="str">
        <f t="shared" si="33"/>
        <v>Arrendamientos</v>
      </c>
      <c r="J115" s="27">
        <f>CResult!$H$159</f>
        <v>0.21</v>
      </c>
      <c r="K115" s="27" t="s">
        <v>437</v>
      </c>
      <c r="L115" s="27" t="e">
        <f t="shared" si="34"/>
        <v>#REF!</v>
      </c>
      <c r="M115" s="27" t="e">
        <f t="shared" si="35"/>
        <v>#REF!</v>
      </c>
      <c r="N115" s="27" t="e">
        <f t="shared" si="36"/>
        <v>#REF!</v>
      </c>
      <c r="O115" s="27" t="e">
        <f t="shared" si="37"/>
        <v>#REF!</v>
      </c>
      <c r="P115" s="61"/>
      <c r="Q115" s="60"/>
      <c r="R115" s="27" t="s">
        <v>450</v>
      </c>
      <c r="S115" s="27">
        <f>CResult!$U$330</f>
        <v>0</v>
      </c>
      <c r="T115" s="27">
        <f>IF($S115=0,0,T114/$S115)</f>
        <v>0</v>
      </c>
      <c r="U115" s="27">
        <f>IF($S115=0,0,U114/$S115)</f>
        <v>0</v>
      </c>
      <c r="V115" s="27">
        <f>IF($S115=0,0,V114/$S115)</f>
        <v>0</v>
      </c>
      <c r="W115" s="61">
        <f>IF($S115=0,0,W114/$S115)</f>
        <v>0</v>
      </c>
      <c r="AN115" s="61"/>
      <c r="BV115" s="61"/>
    </row>
    <row r="116" spans="2:74" s="27" customFormat="1" ht="11.25" hidden="1" x14ac:dyDescent="0.2">
      <c r="B116" s="60"/>
      <c r="C116" s="27" t="str">
        <f>SANDBOX!D1057</f>
        <v>Conservación</v>
      </c>
      <c r="E116" s="27" t="e">
        <f>#REF!</f>
        <v>#REF!</v>
      </c>
      <c r="F116" s="27" t="e">
        <f>#REF!</f>
        <v>#REF!</v>
      </c>
      <c r="G116" s="27" t="e">
        <f>#REF!</f>
        <v>#REF!</v>
      </c>
      <c r="H116" s="27" t="e">
        <f>#REF!</f>
        <v>#REF!</v>
      </c>
      <c r="I116" s="60" t="str">
        <f t="shared" si="33"/>
        <v>Conservación</v>
      </c>
      <c r="J116" s="27">
        <f>CResult!$H$163</f>
        <v>0.21</v>
      </c>
      <c r="K116" s="27" t="s">
        <v>437</v>
      </c>
      <c r="L116" s="27" t="e">
        <f t="shared" si="34"/>
        <v>#REF!</v>
      </c>
      <c r="M116" s="27" t="e">
        <f t="shared" si="35"/>
        <v>#REF!</v>
      </c>
      <c r="N116" s="27" t="e">
        <f t="shared" si="36"/>
        <v>#REF!</v>
      </c>
      <c r="O116" s="27" t="e">
        <f t="shared" si="37"/>
        <v>#REF!</v>
      </c>
      <c r="P116" s="61"/>
      <c r="Q116" s="60"/>
      <c r="R116" s="27" t="s">
        <v>1207</v>
      </c>
      <c r="T116" s="27" t="e">
        <f>+T114-T115</f>
        <v>#REF!</v>
      </c>
      <c r="U116" s="27" t="e">
        <f>+U114-U115</f>
        <v>#REF!</v>
      </c>
      <c r="V116" s="27" t="e">
        <f>+V114-V115</f>
        <v>#REF!</v>
      </c>
      <c r="W116" s="61" t="e">
        <f>+W114-W115</f>
        <v>#REF!</v>
      </c>
      <c r="X116" s="27" t="s">
        <v>1224</v>
      </c>
      <c r="AN116" s="61"/>
      <c r="BV116" s="61"/>
    </row>
    <row r="117" spans="2:74" s="27" customFormat="1" ht="11.25" hidden="1" x14ac:dyDescent="0.2">
      <c r="B117" s="60"/>
      <c r="C117" s="27" t="str">
        <f>SANDBOX!D1058</f>
        <v>S. Profesionales</v>
      </c>
      <c r="E117" s="27" t="e">
        <f>#REF!</f>
        <v>#REF!</v>
      </c>
      <c r="F117" s="27" t="e">
        <f>#REF!</f>
        <v>#REF!</v>
      </c>
      <c r="G117" s="27" t="e">
        <f>#REF!</f>
        <v>#REF!</v>
      </c>
      <c r="H117" s="27" t="e">
        <f>#REF!</f>
        <v>#REF!</v>
      </c>
      <c r="I117" s="60" t="str">
        <f t="shared" si="33"/>
        <v>S. Profesionales</v>
      </c>
      <c r="J117" s="27">
        <f>CResult!$H$167</f>
        <v>0.21</v>
      </c>
      <c r="K117" s="27" t="s">
        <v>437</v>
      </c>
      <c r="L117" s="27" t="e">
        <f t="shared" si="34"/>
        <v>#REF!</v>
      </c>
      <c r="M117" s="27" t="e">
        <f t="shared" si="35"/>
        <v>#REF!</v>
      </c>
      <c r="N117" s="27" t="e">
        <f t="shared" si="36"/>
        <v>#REF!</v>
      </c>
      <c r="O117" s="27" t="e">
        <f t="shared" si="37"/>
        <v>#REF!</v>
      </c>
      <c r="P117" s="61"/>
      <c r="Q117" s="60"/>
      <c r="R117" s="27" t="s">
        <v>451</v>
      </c>
      <c r="T117" s="27" t="e">
        <f>+T116*$R$108</f>
        <v>#REF!</v>
      </c>
      <c r="U117" s="27" t="e">
        <f>+U116*$R$108</f>
        <v>#REF!</v>
      </c>
      <c r="V117" s="27" t="e">
        <f>+V116*$R$108</f>
        <v>#REF!</v>
      </c>
      <c r="W117" s="61" t="e">
        <f>+W116*$R$108</f>
        <v>#REF!</v>
      </c>
      <c r="Y117" s="27" t="s">
        <v>1221</v>
      </c>
      <c r="AA117" s="27" t="e">
        <f>W102</f>
        <v>#REF!</v>
      </c>
      <c r="AB117" s="27" t="e">
        <f>X102</f>
        <v>#REF!</v>
      </c>
      <c r="AC117" s="27" t="e">
        <f>Y102</f>
        <v>#REF!</v>
      </c>
      <c r="AD117" s="27" t="e">
        <f>Z102</f>
        <v>#REF!</v>
      </c>
      <c r="AN117" s="61"/>
      <c r="BV117" s="61"/>
    </row>
    <row r="118" spans="2:74" s="27" customFormat="1" ht="11.25" hidden="1" x14ac:dyDescent="0.2">
      <c r="B118" s="60"/>
      <c r="C118" s="27" t="str">
        <f>SANDBOX!D1059</f>
        <v>Tributos</v>
      </c>
      <c r="E118" s="27" t="e">
        <f>#REF!</f>
        <v>#REF!</v>
      </c>
      <c r="F118" s="27" t="e">
        <f>#REF!</f>
        <v>#REF!</v>
      </c>
      <c r="G118" s="27" t="e">
        <f>#REF!</f>
        <v>#REF!</v>
      </c>
      <c r="H118" s="27" t="e">
        <f>#REF!</f>
        <v>#REF!</v>
      </c>
      <c r="I118" s="60" t="str">
        <f t="shared" si="33"/>
        <v>Tributos</v>
      </c>
      <c r="J118" s="27">
        <v>0</v>
      </c>
      <c r="K118" s="27" t="s">
        <v>437</v>
      </c>
      <c r="L118" s="27" t="e">
        <f t="shared" si="34"/>
        <v>#REF!</v>
      </c>
      <c r="M118" s="27" t="e">
        <f t="shared" si="35"/>
        <v>#REF!</v>
      </c>
      <c r="N118" s="27" t="e">
        <f t="shared" si="36"/>
        <v>#REF!</v>
      </c>
      <c r="O118" s="27" t="e">
        <f t="shared" si="37"/>
        <v>#REF!</v>
      </c>
      <c r="P118" s="61"/>
      <c r="Q118" s="60"/>
      <c r="R118" s="27" t="s">
        <v>413</v>
      </c>
      <c r="T118" s="27" t="e">
        <f>+T116-T117</f>
        <v>#REF!</v>
      </c>
      <c r="U118" s="27" t="e">
        <f>+U116-U117</f>
        <v>#REF!</v>
      </c>
      <c r="V118" s="27" t="e">
        <f>+V116-V117</f>
        <v>#REF!</v>
      </c>
      <c r="W118" s="61" t="e">
        <f>+W116-W117</f>
        <v>#REF!</v>
      </c>
      <c r="Y118" s="27" t="s">
        <v>322</v>
      </c>
      <c r="AA118" s="27" t="e">
        <f>+AC102</f>
        <v>#REF!</v>
      </c>
      <c r="AB118" s="27" t="e">
        <f>+AF102</f>
        <v>#REF!</v>
      </c>
      <c r="AC118" s="27" t="e">
        <f>+AI102</f>
        <v>#REF!</v>
      </c>
      <c r="AD118" s="27" t="e">
        <f>+AL102</f>
        <v>#REF!</v>
      </c>
      <c r="AN118" s="61"/>
      <c r="BV118" s="61"/>
    </row>
    <row r="119" spans="2:74" s="27" customFormat="1" ht="11.25" hidden="1" x14ac:dyDescent="0.2">
      <c r="B119" s="60"/>
      <c r="C119" s="27" t="str">
        <f>SANDBOX!D1060</f>
        <v>Seguros</v>
      </c>
      <c r="E119" s="27" t="e">
        <f>#REF!</f>
        <v>#REF!</v>
      </c>
      <c r="F119" s="27" t="e">
        <f>#REF!</f>
        <v>#REF!</v>
      </c>
      <c r="G119" s="27" t="e">
        <f>#REF!</f>
        <v>#REF!</v>
      </c>
      <c r="H119" s="27" t="e">
        <f>#REF!</f>
        <v>#REF!</v>
      </c>
      <c r="I119" s="60" t="str">
        <f t="shared" si="33"/>
        <v>Seguros</v>
      </c>
      <c r="J119" s="27">
        <f>CResult!$H$171</f>
        <v>0.21</v>
      </c>
      <c r="K119" s="27" t="s">
        <v>437</v>
      </c>
      <c r="L119" s="27" t="e">
        <f t="shared" si="34"/>
        <v>#REF!</v>
      </c>
      <c r="M119" s="27" t="e">
        <f t="shared" si="35"/>
        <v>#REF!</v>
      </c>
      <c r="N119" s="27" t="e">
        <f t="shared" si="36"/>
        <v>#REF!</v>
      </c>
      <c r="O119" s="27" t="e">
        <f t="shared" si="37"/>
        <v>#REF!</v>
      </c>
      <c r="P119" s="61"/>
      <c r="Q119" s="60"/>
      <c r="W119" s="61"/>
      <c r="Y119" s="27" t="s">
        <v>1222</v>
      </c>
      <c r="Z119" s="27">
        <f>'5años'!$C$380</f>
        <v>0</v>
      </c>
      <c r="AA119" s="27" t="e">
        <f>+(AA117+Z119)-AA118</f>
        <v>#REF!</v>
      </c>
      <c r="AB119" s="27" t="e">
        <f>+(AB117+AA119)-AB118</f>
        <v>#REF!</v>
      </c>
      <c r="AC119" s="27" t="e">
        <f>+(AC117+AB119)-AC118</f>
        <v>#REF!</v>
      </c>
      <c r="AD119" s="27" t="e">
        <f>+(AD117+AC119)-AD118</f>
        <v>#REF!</v>
      </c>
      <c r="AN119" s="61"/>
      <c r="BV119" s="61"/>
    </row>
    <row r="120" spans="2:74" s="27" customFormat="1" ht="11.25" hidden="1" x14ac:dyDescent="0.2">
      <c r="B120" s="60"/>
      <c r="C120" s="27" t="str">
        <f>SANDBOX!D1061</f>
        <v>Otros servicios</v>
      </c>
      <c r="E120" s="27" t="e">
        <f>#REF!</f>
        <v>#REF!</v>
      </c>
      <c r="F120" s="27" t="e">
        <f>#REF!</f>
        <v>#REF!</v>
      </c>
      <c r="G120" s="27" t="e">
        <f>#REF!</f>
        <v>#REF!</v>
      </c>
      <c r="H120" s="27" t="e">
        <f>#REF!</f>
        <v>#REF!</v>
      </c>
      <c r="I120" s="60" t="str">
        <f t="shared" si="33"/>
        <v>Otros servicios</v>
      </c>
      <c r="J120" s="27">
        <f>CResult!$H$175</f>
        <v>0.21</v>
      </c>
      <c r="K120" s="27" t="s">
        <v>437</v>
      </c>
      <c r="L120" s="27" t="e">
        <f t="shared" si="34"/>
        <v>#REF!</v>
      </c>
      <c r="M120" s="27" t="e">
        <f t="shared" si="35"/>
        <v>#REF!</v>
      </c>
      <c r="N120" s="27" t="e">
        <f t="shared" si="36"/>
        <v>#REF!</v>
      </c>
      <c r="O120" s="27" t="e">
        <f t="shared" si="37"/>
        <v>#REF!</v>
      </c>
      <c r="P120" s="61"/>
      <c r="Q120" s="60"/>
      <c r="W120" s="61"/>
      <c r="X120" s="27" t="s">
        <v>1225</v>
      </c>
      <c r="AN120" s="61"/>
      <c r="BV120" s="61"/>
    </row>
    <row r="121" spans="2:74" s="27" customFormat="1" ht="11.25" hidden="1" x14ac:dyDescent="0.2">
      <c r="B121" s="60"/>
      <c r="C121" s="27" t="str">
        <f>SANDBOX!D1062</f>
        <v>Suministros</v>
      </c>
      <c r="E121" s="27" t="e">
        <f>#REF!</f>
        <v>#REF!</v>
      </c>
      <c r="F121" s="27" t="e">
        <f>#REF!</f>
        <v>#REF!</v>
      </c>
      <c r="G121" s="27" t="e">
        <f>#REF!</f>
        <v>#REF!</v>
      </c>
      <c r="H121" s="27" t="e">
        <f>#REF!</f>
        <v>#REF!</v>
      </c>
      <c r="I121" s="60" t="str">
        <f t="shared" si="33"/>
        <v>Suministros</v>
      </c>
      <c r="J121" s="27">
        <f>CResult!$H$179</f>
        <v>0.21</v>
      </c>
      <c r="K121" s="27" t="s">
        <v>437</v>
      </c>
      <c r="L121" s="27" t="e">
        <f t="shared" si="34"/>
        <v>#REF!</v>
      </c>
      <c r="M121" s="27" t="e">
        <f t="shared" si="35"/>
        <v>#REF!</v>
      </c>
      <c r="N121" s="27" t="e">
        <f t="shared" si="36"/>
        <v>#REF!</v>
      </c>
      <c r="O121" s="27" t="e">
        <f t="shared" si="37"/>
        <v>#REF!</v>
      </c>
      <c r="P121" s="61"/>
      <c r="Q121" s="60"/>
      <c r="W121" s="61"/>
      <c r="Y121" s="27" t="s">
        <v>1221</v>
      </c>
      <c r="AA121" s="27">
        <f>W103</f>
        <v>0</v>
      </c>
      <c r="AB121" s="27">
        <f>X103</f>
        <v>0</v>
      </c>
      <c r="AC121" s="27">
        <f>Y103</f>
        <v>0</v>
      </c>
      <c r="AD121" s="27">
        <f>Z103</f>
        <v>0</v>
      </c>
      <c r="AN121" s="61"/>
      <c r="BV121" s="61"/>
    </row>
    <row r="122" spans="2:74" s="27" customFormat="1" ht="11.25" hidden="1" x14ac:dyDescent="0.2">
      <c r="B122" s="60"/>
      <c r="C122" s="27" t="str">
        <f>SANDBOX!D1063</f>
        <v>Viajes, dietas…</v>
      </c>
      <c r="E122" s="27" t="e">
        <f>#REF!</f>
        <v>#REF!</v>
      </c>
      <c r="F122" s="27" t="e">
        <f>#REF!</f>
        <v>#REF!</v>
      </c>
      <c r="G122" s="27" t="e">
        <f>#REF!</f>
        <v>#REF!</v>
      </c>
      <c r="H122" s="27" t="e">
        <f>#REF!</f>
        <v>#REF!</v>
      </c>
      <c r="I122" s="60" t="str">
        <f t="shared" si="33"/>
        <v>Viajes, dietas…</v>
      </c>
      <c r="J122" s="27">
        <f>CResult!$H$183</f>
        <v>0.21</v>
      </c>
      <c r="K122" s="27" t="s">
        <v>437</v>
      </c>
      <c r="L122" s="27" t="e">
        <f t="shared" si="34"/>
        <v>#REF!</v>
      </c>
      <c r="M122" s="27" t="e">
        <f t="shared" si="35"/>
        <v>#REF!</v>
      </c>
      <c r="N122" s="27" t="e">
        <f t="shared" si="36"/>
        <v>#REF!</v>
      </c>
      <c r="O122" s="27" t="e">
        <f t="shared" si="37"/>
        <v>#REF!</v>
      </c>
      <c r="P122" s="61"/>
      <c r="Q122" s="60"/>
      <c r="W122" s="61"/>
      <c r="Y122" s="27" t="s">
        <v>322</v>
      </c>
      <c r="AA122" s="27">
        <f>+AC103</f>
        <v>0</v>
      </c>
      <c r="AB122" s="27">
        <f>+AF103</f>
        <v>0</v>
      </c>
      <c r="AC122" s="27">
        <f>+AI103</f>
        <v>0</v>
      </c>
      <c r="AD122" s="27">
        <f>+AL103</f>
        <v>0</v>
      </c>
      <c r="AN122" s="61"/>
      <c r="BV122" s="61"/>
    </row>
    <row r="123" spans="2:74" s="27" customFormat="1" ht="11.25" hidden="1" x14ac:dyDescent="0.2">
      <c r="B123" s="60"/>
      <c r="C123" s="27" t="str">
        <f>SANDBOX!D1064</f>
        <v>Material Oficina</v>
      </c>
      <c r="E123" s="27" t="e">
        <f>#REF!</f>
        <v>#REF!</v>
      </c>
      <c r="F123" s="27" t="e">
        <f>#REF!</f>
        <v>#REF!</v>
      </c>
      <c r="G123" s="27" t="e">
        <f>#REF!</f>
        <v>#REF!</v>
      </c>
      <c r="H123" s="27" t="e">
        <f>#REF!</f>
        <v>#REF!</v>
      </c>
      <c r="I123" s="60" t="str">
        <f t="shared" si="33"/>
        <v>Material Oficina</v>
      </c>
      <c r="J123" s="27">
        <f>CResult!$H$187</f>
        <v>0.21</v>
      </c>
      <c r="K123" s="27" t="s">
        <v>437</v>
      </c>
      <c r="L123" s="27" t="e">
        <f t="shared" si="34"/>
        <v>#REF!</v>
      </c>
      <c r="M123" s="27" t="e">
        <f t="shared" si="35"/>
        <v>#REF!</v>
      </c>
      <c r="N123" s="27" t="e">
        <f t="shared" si="36"/>
        <v>#REF!</v>
      </c>
      <c r="O123" s="27" t="e">
        <f t="shared" si="37"/>
        <v>#REF!</v>
      </c>
      <c r="P123" s="61"/>
      <c r="Q123" s="65"/>
      <c r="R123" s="66"/>
      <c r="S123" s="66"/>
      <c r="T123" s="66"/>
      <c r="U123" s="66"/>
      <c r="V123" s="66"/>
      <c r="W123" s="67"/>
      <c r="X123" s="66"/>
      <c r="Y123" s="66" t="s">
        <v>1222</v>
      </c>
      <c r="Z123" s="66">
        <f>'5años'!$C$381</f>
        <v>0</v>
      </c>
      <c r="AA123" s="66">
        <f>+(AA121+Z123)-AA122</f>
        <v>0</v>
      </c>
      <c r="AB123" s="66">
        <f>+(AB121+AA123)-AB122</f>
        <v>0</v>
      </c>
      <c r="AC123" s="66">
        <f>+(AC121+AB123)-AC122</f>
        <v>0</v>
      </c>
      <c r="AD123" s="66">
        <f>+(AD121+AC123)-AD122</f>
        <v>0</v>
      </c>
      <c r="AE123" s="66"/>
      <c r="AF123" s="66"/>
      <c r="AG123" s="66"/>
      <c r="AH123" s="66"/>
      <c r="AI123" s="66"/>
      <c r="AJ123" s="66"/>
      <c r="AK123" s="66"/>
      <c r="AL123" s="66"/>
      <c r="AM123" s="66"/>
      <c r="AN123" s="67"/>
      <c r="BV123" s="61"/>
    </row>
    <row r="124" spans="2:74" s="27" customFormat="1" ht="11.25" hidden="1" x14ac:dyDescent="0.2">
      <c r="B124" s="60"/>
      <c r="C124" s="27" t="str">
        <f>SANDBOX!D1065</f>
        <v>Transportes</v>
      </c>
      <c r="E124" s="27" t="e">
        <f>#REF!</f>
        <v>#REF!</v>
      </c>
      <c r="F124" s="27" t="e">
        <f>#REF!</f>
        <v>#REF!</v>
      </c>
      <c r="G124" s="27" t="e">
        <f>#REF!</f>
        <v>#REF!</v>
      </c>
      <c r="H124" s="27" t="e">
        <f>#REF!</f>
        <v>#REF!</v>
      </c>
      <c r="I124" s="60" t="str">
        <f t="shared" si="33"/>
        <v>Transportes</v>
      </c>
      <c r="J124" s="27">
        <f>CResult!$H$191</f>
        <v>0.21</v>
      </c>
      <c r="K124" s="27" t="s">
        <v>437</v>
      </c>
      <c r="L124" s="27" t="e">
        <f t="shared" si="34"/>
        <v>#REF!</v>
      </c>
      <c r="M124" s="27" t="e">
        <f t="shared" si="35"/>
        <v>#REF!</v>
      </c>
      <c r="N124" s="27" t="e">
        <f t="shared" si="36"/>
        <v>#REF!</v>
      </c>
      <c r="O124" s="27" t="e">
        <f t="shared" si="37"/>
        <v>#REF!</v>
      </c>
      <c r="P124" s="61"/>
      <c r="BV124" s="61"/>
    </row>
    <row r="125" spans="2:74" s="27" customFormat="1" ht="11.25" hidden="1" x14ac:dyDescent="0.2">
      <c r="B125" s="60"/>
      <c r="I125" s="60"/>
      <c r="P125" s="61"/>
      <c r="BV125" s="61"/>
    </row>
    <row r="126" spans="2:74" s="27" customFormat="1" ht="11.25" hidden="1" x14ac:dyDescent="0.2">
      <c r="B126" s="60"/>
      <c r="C126" s="27" t="str">
        <f>SANDBOX!D1067</f>
        <v>total gastos</v>
      </c>
      <c r="E126" s="27" t="e">
        <f>+E113+E107+E99+E94+E89</f>
        <v>#REF!</v>
      </c>
      <c r="F126" s="27" t="e">
        <f>+F113+F107+F99+F94+F89</f>
        <v>#REF!</v>
      </c>
      <c r="G126" s="27" t="e">
        <f>+G113+G107+G99+G94+G89</f>
        <v>#REF!</v>
      </c>
      <c r="H126" s="27" t="e">
        <f>+H113+H107+H99+H94+H89</f>
        <v>#REF!</v>
      </c>
      <c r="I126" s="60"/>
      <c r="P126" s="61"/>
      <c r="BV126" s="61"/>
    </row>
    <row r="127" spans="2:74" s="27" customFormat="1" ht="11.25" hidden="1" x14ac:dyDescent="0.2">
      <c r="B127" s="60"/>
      <c r="I127" s="60"/>
      <c r="P127" s="61"/>
      <c r="BV127" s="61"/>
    </row>
    <row r="128" spans="2:74" s="27" customFormat="1" ht="11.25" hidden="1" x14ac:dyDescent="0.2">
      <c r="B128" s="60"/>
      <c r="C128" s="27" t="e">
        <f>#REF!</f>
        <v>#REF!</v>
      </c>
      <c r="E128" s="27" t="e">
        <f>+E85-E126</f>
        <v>#REF!</v>
      </c>
      <c r="F128" s="27" t="e">
        <f>+F85-F126</f>
        <v>#REF!</v>
      </c>
      <c r="G128" s="27" t="e">
        <f>+G85-G126</f>
        <v>#REF!</v>
      </c>
      <c r="H128" s="27" t="e">
        <f>+H85-H126</f>
        <v>#REF!</v>
      </c>
      <c r="I128" s="60"/>
      <c r="P128" s="61"/>
      <c r="BV128" s="61"/>
    </row>
    <row r="129" spans="2:74" s="27" customFormat="1" ht="11.25" hidden="1" x14ac:dyDescent="0.2">
      <c r="B129" s="60"/>
      <c r="I129" s="60"/>
      <c r="P129" s="61"/>
      <c r="BV129" s="61"/>
    </row>
    <row r="130" spans="2:74" s="27" customFormat="1" ht="11.25" hidden="1" x14ac:dyDescent="0.2">
      <c r="B130" s="60"/>
      <c r="C130" s="27" t="e">
        <f>#REF!</f>
        <v>#REF!</v>
      </c>
      <c r="E130" s="27">
        <f>Amortizaciones!E32</f>
        <v>0</v>
      </c>
      <c r="F130" s="27">
        <f>Amortizaciones!F32</f>
        <v>0</v>
      </c>
      <c r="G130" s="27">
        <f>Amortizaciones!G32</f>
        <v>0</v>
      </c>
      <c r="H130" s="27">
        <f>Amortizaciones!H32</f>
        <v>0</v>
      </c>
      <c r="I130" s="60"/>
      <c r="P130" s="61"/>
      <c r="BV130" s="61"/>
    </row>
    <row r="131" spans="2:74" s="27" customFormat="1" ht="11.25" hidden="1" x14ac:dyDescent="0.2">
      <c r="B131" s="60"/>
      <c r="I131" s="60"/>
      <c r="P131" s="61"/>
      <c r="BV131" s="61"/>
    </row>
    <row r="132" spans="2:74" s="27" customFormat="1" ht="11.25" hidden="1" x14ac:dyDescent="0.2">
      <c r="B132" s="60"/>
      <c r="C132" s="27" t="e">
        <f>#REF!</f>
        <v>#REF!</v>
      </c>
      <c r="E132" s="27" t="e">
        <f>+E128-E130</f>
        <v>#REF!</v>
      </c>
      <c r="F132" s="27" t="e">
        <f>+F128-F130</f>
        <v>#REF!</v>
      </c>
      <c r="G132" s="27" t="e">
        <f>+G128-G130</f>
        <v>#REF!</v>
      </c>
      <c r="H132" s="27" t="e">
        <f>+H128-H130</f>
        <v>#REF!</v>
      </c>
      <c r="I132" s="60"/>
      <c r="P132" s="61"/>
      <c r="BV132" s="61"/>
    </row>
    <row r="133" spans="2:74" s="27" customFormat="1" ht="11.25" hidden="1" x14ac:dyDescent="0.2">
      <c r="B133" s="60"/>
      <c r="I133" s="60"/>
      <c r="P133" s="61"/>
      <c r="BV133" s="61"/>
    </row>
    <row r="134" spans="2:74" s="27" customFormat="1" ht="11.25" hidden="1" x14ac:dyDescent="0.2">
      <c r="B134" s="60"/>
      <c r="C134" s="27" t="str">
        <f>SB!C626</f>
        <v>Resultado FINANCIERO</v>
      </c>
      <c r="I134" s="60"/>
      <c r="P134" s="61"/>
      <c r="BV134" s="61"/>
    </row>
    <row r="135" spans="2:74" s="27" customFormat="1" ht="11.25" hidden="1" x14ac:dyDescent="0.2">
      <c r="B135" s="60"/>
      <c r="C135" s="27" t="str">
        <f>SB!C628</f>
        <v>ingresos financieros</v>
      </c>
      <c r="E135" s="27">
        <f>SB!F669</f>
        <v>0</v>
      </c>
      <c r="F135" s="27">
        <f>SB!G669</f>
        <v>0</v>
      </c>
      <c r="G135" s="27">
        <f>SB!H669</f>
        <v>0</v>
      </c>
      <c r="H135" s="27">
        <f>SB!I669</f>
        <v>0</v>
      </c>
      <c r="I135" s="60" t="str">
        <f>+C135</f>
        <v>ingresos financieros</v>
      </c>
      <c r="J135" s="27">
        <f>CResult!$G$102</f>
        <v>0</v>
      </c>
      <c r="K135" s="27" t="s">
        <v>437</v>
      </c>
      <c r="L135" s="27">
        <f>+K66*$J135</f>
        <v>0</v>
      </c>
      <c r="M135" s="27">
        <f>+L66*$J135</f>
        <v>0</v>
      </c>
      <c r="N135" s="27">
        <f>+M66*$J135</f>
        <v>0</v>
      </c>
      <c r="O135" s="27">
        <f>+N66*$J135</f>
        <v>0</v>
      </c>
      <c r="P135" s="61"/>
      <c r="BV135" s="61"/>
    </row>
    <row r="136" spans="2:74" s="27" customFormat="1" ht="11.25" hidden="1" x14ac:dyDescent="0.2">
      <c r="B136" s="60"/>
      <c r="C136" s="27" t="str">
        <f>SB!C629</f>
        <v>gastos financieros</v>
      </c>
      <c r="E136" s="27" t="e">
        <f>E74</f>
        <v>#REF!</v>
      </c>
      <c r="F136" s="27" t="e">
        <f>F74</f>
        <v>#REF!</v>
      </c>
      <c r="G136" s="27" t="e">
        <f>G74</f>
        <v>#REF!</v>
      </c>
      <c r="H136" s="27" t="e">
        <f>H74</f>
        <v>#REF!</v>
      </c>
      <c r="I136" s="60" t="str">
        <f>+C136</f>
        <v>gastos financieros</v>
      </c>
      <c r="J136" s="27">
        <f>CResult!$H$195</f>
        <v>0</v>
      </c>
      <c r="K136" s="27" t="s">
        <v>437</v>
      </c>
      <c r="L136" s="27" t="e">
        <f>+E136*$J136</f>
        <v>#REF!</v>
      </c>
      <c r="M136" s="27" t="e">
        <f>+F136*$J136</f>
        <v>#REF!</v>
      </c>
      <c r="N136" s="27" t="e">
        <f>+G136*$J136</f>
        <v>#REF!</v>
      </c>
      <c r="O136" s="27" t="e">
        <f>+H136*$J136</f>
        <v>#REF!</v>
      </c>
      <c r="P136" s="61"/>
      <c r="BV136" s="61"/>
    </row>
    <row r="137" spans="2:74" s="27" customFormat="1" ht="11.25" hidden="1" x14ac:dyDescent="0.2">
      <c r="B137" s="60"/>
      <c r="I137" s="60"/>
      <c r="P137" s="61"/>
      <c r="BV137" s="61"/>
    </row>
    <row r="138" spans="2:74" s="27" customFormat="1" ht="11.25" hidden="1" x14ac:dyDescent="0.2">
      <c r="B138" s="60"/>
      <c r="I138" s="60"/>
      <c r="P138" s="61"/>
      <c r="BV138" s="61"/>
    </row>
    <row r="139" spans="2:74" s="27" customFormat="1" ht="11.25" hidden="1" x14ac:dyDescent="0.2">
      <c r="B139" s="60"/>
      <c r="C139" s="27" t="e">
        <f>#REF!</f>
        <v>#REF!</v>
      </c>
      <c r="E139" s="27" t="e">
        <f>#REF!</f>
        <v>#REF!</v>
      </c>
      <c r="F139" s="27" t="e">
        <f>#REF!</f>
        <v>#REF!</v>
      </c>
      <c r="G139" s="27" t="e">
        <f>#REF!</f>
        <v>#REF!</v>
      </c>
      <c r="H139" s="27" t="e">
        <f>#REF!</f>
        <v>#REF!</v>
      </c>
      <c r="I139" s="60"/>
      <c r="P139" s="61"/>
      <c r="BV139" s="61"/>
    </row>
    <row r="140" spans="2:74" s="27" customFormat="1" ht="11.25" hidden="1" x14ac:dyDescent="0.2">
      <c r="B140" s="60"/>
      <c r="C140" s="27" t="s">
        <v>129</v>
      </c>
      <c r="E140" s="27" t="e">
        <f>#REF!</f>
        <v>#REF!</v>
      </c>
      <c r="F140" s="27" t="e">
        <f>#REF!</f>
        <v>#REF!</v>
      </c>
      <c r="G140" s="27" t="e">
        <f>#REF!</f>
        <v>#REF!</v>
      </c>
      <c r="H140" s="27" t="e">
        <f>#REF!</f>
        <v>#REF!</v>
      </c>
      <c r="I140" s="60" t="str">
        <f>+C140</f>
        <v>Otros gastos</v>
      </c>
      <c r="J140" s="27">
        <f>CResult!$H$199</f>
        <v>0.21</v>
      </c>
      <c r="K140" s="27" t="s">
        <v>437</v>
      </c>
      <c r="L140" s="27" t="e">
        <f>+E140*$J140</f>
        <v>#REF!</v>
      </c>
      <c r="M140" s="27" t="e">
        <f>+F140*$J140</f>
        <v>#REF!</v>
      </c>
      <c r="N140" s="27" t="e">
        <f>+G140*$J140</f>
        <v>#REF!</v>
      </c>
      <c r="O140" s="27" t="e">
        <f>+H140*$J140</f>
        <v>#REF!</v>
      </c>
      <c r="P140" s="61"/>
      <c r="BV140" s="61"/>
    </row>
    <row r="141" spans="2:74" s="27" customFormat="1" ht="11.25" hidden="1" x14ac:dyDescent="0.2">
      <c r="B141" s="60"/>
      <c r="I141" s="60"/>
      <c r="P141" s="61"/>
      <c r="BV141" s="61"/>
    </row>
    <row r="142" spans="2:74" s="27" customFormat="1" ht="11.25" hidden="1" x14ac:dyDescent="0.2">
      <c r="B142" s="60"/>
      <c r="D142" s="27" t="s">
        <v>1491</v>
      </c>
      <c r="E142" s="27" t="s">
        <v>1492</v>
      </c>
      <c r="F142" s="27" t="s">
        <v>1493</v>
      </c>
      <c r="G142" s="27" t="s">
        <v>1494</v>
      </c>
      <c r="H142" s="27" t="s">
        <v>1495</v>
      </c>
      <c r="I142" s="60" t="s">
        <v>484</v>
      </c>
      <c r="J142" s="27">
        <f>$K$174</f>
        <v>0</v>
      </c>
      <c r="K142" s="27" t="s">
        <v>437</v>
      </c>
      <c r="L142" s="27">
        <f>+M172*J142</f>
        <v>0</v>
      </c>
      <c r="M142" s="27">
        <f>+N172*$J142</f>
        <v>0</v>
      </c>
      <c r="N142" s="27">
        <f>+O172*$J142</f>
        <v>0</v>
      </c>
      <c r="O142" s="27">
        <f>+P172*$J142</f>
        <v>0</v>
      </c>
      <c r="P142" s="61"/>
      <c r="BV142" s="61"/>
    </row>
    <row r="143" spans="2:74" s="27" customFormat="1" ht="11.25" hidden="1" x14ac:dyDescent="0.2">
      <c r="B143" s="60"/>
      <c r="C143" s="27" t="e">
        <f>#REF!</f>
        <v>#REF!</v>
      </c>
      <c r="E143" s="27" t="e">
        <f>+(E132+E135+E139)-(E136+E140)</f>
        <v>#REF!</v>
      </c>
      <c r="F143" s="27" t="e">
        <f>+(F132+F135+F139)-(F136+F140)</f>
        <v>#REF!</v>
      </c>
      <c r="G143" s="27" t="e">
        <f>+(G132+G135+G139)-(G136+G140)</f>
        <v>#REF!</v>
      </c>
      <c r="H143" s="27" t="e">
        <f>+(H132+H135+H139)-(H136+H140)</f>
        <v>#REF!</v>
      </c>
      <c r="I143" s="60"/>
      <c r="P143" s="61"/>
      <c r="BV143" s="61"/>
    </row>
    <row r="144" spans="2:74" s="27" customFormat="1" ht="11.25" hidden="1" x14ac:dyDescent="0.2">
      <c r="B144" s="60"/>
      <c r="C144" s="27" t="e">
        <f>#REF!</f>
        <v>#REF!</v>
      </c>
      <c r="E144" s="27" t="e">
        <f>-E48</f>
        <v>#REF!</v>
      </c>
      <c r="F144" s="27" t="e">
        <f>-F48</f>
        <v>#REF!</v>
      </c>
      <c r="G144" s="27" t="e">
        <f>-G48</f>
        <v>#REF!</v>
      </c>
      <c r="H144" s="27" t="e">
        <f>-H48</f>
        <v>#REF!</v>
      </c>
      <c r="I144" s="60"/>
      <c r="P144" s="61"/>
      <c r="BV144" s="61"/>
    </row>
    <row r="145" spans="2:74" s="27" customFormat="1" ht="11.25" hidden="1" x14ac:dyDescent="0.2">
      <c r="B145" s="60"/>
      <c r="C145" s="27" t="e">
        <f>#REF!</f>
        <v>#REF!</v>
      </c>
      <c r="E145" s="27" t="e">
        <f>SUM(E143:E144)</f>
        <v>#REF!</v>
      </c>
      <c r="F145" s="27" t="e">
        <f>SUM(F143:F144)</f>
        <v>#REF!</v>
      </c>
      <c r="G145" s="27" t="e">
        <f>SUM(G143:G144)</f>
        <v>#REF!</v>
      </c>
      <c r="H145" s="27" t="e">
        <f>SUM(H143:H144)</f>
        <v>#REF!</v>
      </c>
      <c r="I145" s="60"/>
      <c r="P145" s="61"/>
      <c r="BV145" s="61"/>
    </row>
    <row r="146" spans="2:74" s="27" customFormat="1" ht="11.25" hidden="1" x14ac:dyDescent="0.2">
      <c r="B146" s="60"/>
      <c r="C146" s="27" t="s">
        <v>1591</v>
      </c>
      <c r="D146" s="27">
        <f>ROUNDDOWN(INFORME!E147,0)</f>
        <v>0</v>
      </c>
      <c r="E146" s="27" t="e">
        <f>ROUNDDOWN(E145,0)</f>
        <v>#REF!</v>
      </c>
      <c r="F146" s="27" t="e">
        <f>ROUNDDOWN(F145,0)</f>
        <v>#REF!</v>
      </c>
      <c r="G146" s="27" t="e">
        <f>ROUNDDOWN(G145,0)</f>
        <v>#REF!</v>
      </c>
      <c r="H146" s="27" t="e">
        <f>ROUNDDOWN(H145,0)</f>
        <v>#REF!</v>
      </c>
      <c r="I146" s="60"/>
      <c r="P146" s="61"/>
      <c r="BV146" s="61"/>
    </row>
    <row r="147" spans="2:74" s="27" customFormat="1" ht="11.25" hidden="1" x14ac:dyDescent="0.2">
      <c r="B147" s="62" t="s">
        <v>867</v>
      </c>
      <c r="C147" s="63"/>
      <c r="D147" s="63"/>
      <c r="E147" s="63" t="s">
        <v>1492</v>
      </c>
      <c r="F147" s="63" t="s">
        <v>1493</v>
      </c>
      <c r="G147" s="63" t="s">
        <v>1494</v>
      </c>
      <c r="H147" s="63" t="s">
        <v>1495</v>
      </c>
      <c r="I147" s="65"/>
      <c r="J147" s="66"/>
      <c r="K147" s="66"/>
      <c r="L147" s="66"/>
      <c r="M147" s="66"/>
      <c r="N147" s="66"/>
      <c r="O147" s="66"/>
      <c r="P147" s="67"/>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7"/>
    </row>
    <row r="148" spans="2:74" s="27" customFormat="1" ht="11.25" hidden="1" x14ac:dyDescent="0.2">
      <c r="B148" s="60"/>
      <c r="C148" s="27" t="s">
        <v>230</v>
      </c>
      <c r="E148" s="27">
        <f>Pagoinversiones!E15</f>
        <v>0</v>
      </c>
      <c r="F148" s="27">
        <f>Pagoinversiones!F15</f>
        <v>0</v>
      </c>
      <c r="G148" s="27">
        <f>Pagoinversiones!G15</f>
        <v>0</v>
      </c>
      <c r="H148" s="61">
        <f>Pagoinversiones!H15</f>
        <v>0</v>
      </c>
      <c r="P148" s="61"/>
    </row>
    <row r="149" spans="2:74" s="27" customFormat="1" ht="11.25" hidden="1" x14ac:dyDescent="0.2">
      <c r="B149" s="60"/>
      <c r="H149" s="61"/>
      <c r="P149" s="61"/>
    </row>
    <row r="150" spans="2:74" s="27" customFormat="1" ht="11.25" hidden="1" x14ac:dyDescent="0.2">
      <c r="B150" s="60"/>
      <c r="H150" s="61"/>
      <c r="I150" s="27" t="s">
        <v>867</v>
      </c>
      <c r="J150" s="27">
        <f>CResult!$F$268</f>
        <v>0</v>
      </c>
      <c r="K150" s="105"/>
      <c r="L150" s="105"/>
      <c r="M150" s="105"/>
      <c r="N150" s="105"/>
      <c r="O150" s="105"/>
      <c r="P150" s="110"/>
      <c r="Q150" s="105"/>
      <c r="R150" s="105"/>
      <c r="S150" s="105"/>
    </row>
    <row r="151" spans="2:74" s="27" customFormat="1" ht="11.25" hidden="1" x14ac:dyDescent="0.2">
      <c r="B151" s="60"/>
      <c r="C151" s="27" t="s">
        <v>894</v>
      </c>
      <c r="H151" s="61"/>
      <c r="K151" s="105"/>
      <c r="L151" s="105"/>
      <c r="M151" s="105"/>
      <c r="N151" s="105"/>
      <c r="O151" s="105"/>
      <c r="P151" s="110"/>
      <c r="Q151" s="105"/>
      <c r="R151" s="105"/>
      <c r="S151" s="105"/>
    </row>
    <row r="152" spans="2:74" s="27" customFormat="1" ht="11.25" hidden="1" x14ac:dyDescent="0.2">
      <c r="B152" s="60"/>
      <c r="C152" s="27" t="s">
        <v>786</v>
      </c>
      <c r="E152" s="27">
        <f>+E148+E151</f>
        <v>0</v>
      </c>
      <c r="F152" s="27">
        <f>+F148+F151</f>
        <v>0</v>
      </c>
      <c r="G152" s="27">
        <f>+G148+G151</f>
        <v>0</v>
      </c>
      <c r="H152" s="61">
        <f>+H148+H151</f>
        <v>0</v>
      </c>
      <c r="I152" s="27">
        <f>++C150</f>
        <v>0</v>
      </c>
      <c r="K152" s="105" t="s">
        <v>437</v>
      </c>
      <c r="L152" s="105">
        <f>+E152*$J$150</f>
        <v>0</v>
      </c>
      <c r="M152" s="105">
        <f>+F152*$J$150</f>
        <v>0</v>
      </c>
      <c r="N152" s="105">
        <f>+G152*$J$150</f>
        <v>0</v>
      </c>
      <c r="O152" s="105">
        <f>+H152*$J$150</f>
        <v>0</v>
      </c>
      <c r="P152" s="110"/>
      <c r="Q152" s="105"/>
      <c r="R152" s="105"/>
      <c r="S152" s="105"/>
    </row>
    <row r="153" spans="2:74" s="27" customFormat="1" ht="11.25" hidden="1" x14ac:dyDescent="0.2">
      <c r="B153" s="60"/>
      <c r="H153" s="61"/>
      <c r="I153" s="62"/>
      <c r="J153" s="63"/>
      <c r="K153" s="111"/>
      <c r="L153" s="111"/>
      <c r="M153" s="111"/>
      <c r="N153" s="111"/>
      <c r="O153" s="111"/>
      <c r="P153" s="112"/>
      <c r="Q153" s="111"/>
      <c r="R153" s="113" t="s">
        <v>1491</v>
      </c>
      <c r="S153" s="112"/>
      <c r="T153" s="141" t="s">
        <v>1492</v>
      </c>
      <c r="U153" s="141" t="s">
        <v>1493</v>
      </c>
      <c r="V153" s="141" t="s">
        <v>1494</v>
      </c>
      <c r="W153" s="141" t="s">
        <v>1495</v>
      </c>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4"/>
    </row>
    <row r="154" spans="2:74" s="27" customFormat="1" ht="11.25" hidden="1" x14ac:dyDescent="0.2">
      <c r="B154" s="62" t="s">
        <v>289</v>
      </c>
      <c r="C154" s="63"/>
      <c r="D154" s="63"/>
      <c r="E154" s="63"/>
      <c r="F154" s="63">
        <f>prestamos!$J$43</f>
        <v>0</v>
      </c>
      <c r="G154" s="63"/>
      <c r="H154" s="64"/>
      <c r="I154" s="60" t="s">
        <v>324</v>
      </c>
      <c r="K154" s="105"/>
      <c r="L154" s="105"/>
      <c r="M154" s="105" t="s">
        <v>1492</v>
      </c>
      <c r="N154" s="105" t="s">
        <v>1493</v>
      </c>
      <c r="O154" s="105" t="s">
        <v>1494</v>
      </c>
      <c r="P154" s="110" t="s">
        <v>1495</v>
      </c>
      <c r="Q154" s="105" t="s">
        <v>324</v>
      </c>
      <c r="R154" s="105"/>
      <c r="S154" s="110"/>
      <c r="T154" s="74"/>
      <c r="U154" s="74"/>
      <c r="V154" s="74"/>
      <c r="W154" s="74"/>
      <c r="BV154" s="61"/>
    </row>
    <row r="155" spans="2:74" s="27" customFormat="1" ht="11.25" hidden="1" x14ac:dyDescent="0.2">
      <c r="B155" s="60"/>
      <c r="D155" s="27" t="s">
        <v>290</v>
      </c>
      <c r="E155" s="27" t="s">
        <v>1492</v>
      </c>
      <c r="F155" s="27" t="s">
        <v>1493</v>
      </c>
      <c r="G155" s="27" t="s">
        <v>1494</v>
      </c>
      <c r="H155" s="61" t="s">
        <v>1495</v>
      </c>
      <c r="I155" s="60"/>
      <c r="K155" s="105"/>
      <c r="L155" s="105" t="s">
        <v>895</v>
      </c>
      <c r="Q155" s="105" t="s">
        <v>895</v>
      </c>
      <c r="R155" s="105">
        <f>CResult!$U$78</f>
        <v>0</v>
      </c>
      <c r="S155" s="110" t="s">
        <v>1000</v>
      </c>
      <c r="T155" s="142" t="e">
        <f>SUM(L83)</f>
        <v>#REF!</v>
      </c>
      <c r="U155" s="142" t="e">
        <f>SUM(M83)</f>
        <v>#REF!</v>
      </c>
      <c r="V155" s="142" t="e">
        <f>SUM(N83)</f>
        <v>#REF!</v>
      </c>
      <c r="W155" s="142" t="e">
        <f>SUM(O83)</f>
        <v>#REF!</v>
      </c>
      <c r="BV155" s="61"/>
    </row>
    <row r="156" spans="2:74" s="27" customFormat="1" ht="11.25" hidden="1" x14ac:dyDescent="0.2">
      <c r="B156" s="60" t="str">
        <f>prestamos!B54</f>
        <v>Saldo disponible</v>
      </c>
      <c r="C156" s="27" t="s">
        <v>258</v>
      </c>
      <c r="D156" s="27">
        <f>prestamos!$O$54</f>
        <v>0</v>
      </c>
      <c r="E156" s="27" t="e">
        <f>+D193-D160</f>
        <v>#REF!</v>
      </c>
      <c r="F156" s="27" t="e">
        <f>+E193-E160</f>
        <v>#REF!</v>
      </c>
      <c r="G156" s="27" t="e">
        <f>+F193-F160</f>
        <v>#REF!</v>
      </c>
      <c r="H156" s="61" t="e">
        <f>+G193-G160</f>
        <v>#REF!</v>
      </c>
      <c r="I156" s="60"/>
      <c r="K156" s="105"/>
      <c r="L156" s="105" t="s">
        <v>321</v>
      </c>
      <c r="Q156" s="105" t="s">
        <v>321</v>
      </c>
      <c r="R156" s="105">
        <f>CResult!$U$79</f>
        <v>0</v>
      </c>
      <c r="S156" s="110" t="s">
        <v>321</v>
      </c>
      <c r="T156" s="142" t="e">
        <f>SUM(L91:L152)</f>
        <v>#REF!</v>
      </c>
      <c r="U156" s="142" t="e">
        <f>SUM(M91:M152)</f>
        <v>#REF!</v>
      </c>
      <c r="V156" s="142" t="e">
        <f>SUM(N91:N152)</f>
        <v>#REF!</v>
      </c>
      <c r="W156" s="142" t="e">
        <f>SUM(O91:O152)</f>
        <v>#REF!</v>
      </c>
      <c r="BV156" s="61"/>
    </row>
    <row r="157" spans="2:74" s="27" customFormat="1" ht="11.25" hidden="1" x14ac:dyDescent="0.2">
      <c r="B157" s="60"/>
      <c r="C157" s="27" t="str">
        <f>prestamos!C55</f>
        <v>disposición</v>
      </c>
      <c r="E157" s="27" t="e">
        <f>#REF!</f>
        <v>#REF!</v>
      </c>
      <c r="F157" s="27" t="e">
        <f>#REF!</f>
        <v>#REF!</v>
      </c>
      <c r="G157" s="27" t="e">
        <f>#REF!</f>
        <v>#REF!</v>
      </c>
      <c r="H157" s="61" t="e">
        <f>#REF!</f>
        <v>#REF!</v>
      </c>
      <c r="I157" s="60"/>
      <c r="K157" s="105"/>
      <c r="L157" s="105"/>
      <c r="M157" s="105"/>
      <c r="N157" s="105"/>
      <c r="O157" s="105"/>
      <c r="P157" s="110"/>
      <c r="Q157" s="105" t="s">
        <v>323</v>
      </c>
      <c r="R157" s="105">
        <f>R155-R156</f>
        <v>0</v>
      </c>
      <c r="S157" s="110" t="s">
        <v>1001</v>
      </c>
      <c r="T157" s="74" t="e">
        <f>T155-T156</f>
        <v>#REF!</v>
      </c>
      <c r="U157" s="74" t="e">
        <f>+U155-U156</f>
        <v>#REF!</v>
      </c>
      <c r="V157" s="74" t="e">
        <f>+V155-V156</f>
        <v>#REF!</v>
      </c>
      <c r="W157" s="74" t="e">
        <f>+W155-W156</f>
        <v>#REF!</v>
      </c>
      <c r="BV157" s="61"/>
    </row>
    <row r="158" spans="2:74" s="27" customFormat="1" ht="11.25" hidden="1" x14ac:dyDescent="0.2">
      <c r="B158" s="60"/>
      <c r="C158" s="27" t="str">
        <f>prestamos!C56</f>
        <v>devolución</v>
      </c>
      <c r="E158" s="27" t="e">
        <f>#REF!</f>
        <v>#REF!</v>
      </c>
      <c r="F158" s="27" t="e">
        <f>#REF!</f>
        <v>#REF!</v>
      </c>
      <c r="G158" s="27" t="e">
        <f>#REF!</f>
        <v>#REF!</v>
      </c>
      <c r="H158" s="61" t="e">
        <f>#REF!</f>
        <v>#REF!</v>
      </c>
      <c r="I158" s="60"/>
      <c r="K158" s="105"/>
      <c r="L158" s="105"/>
      <c r="M158" s="105"/>
      <c r="N158" s="105"/>
      <c r="O158" s="105"/>
      <c r="P158" s="110"/>
      <c r="Q158" s="105"/>
      <c r="R158" s="105"/>
      <c r="S158" s="110" t="s">
        <v>1002</v>
      </c>
      <c r="T158" s="74">
        <f>IF(R157=0,0,IF(R162&lt;=0,0,R162/R157))</f>
        <v>0</v>
      </c>
      <c r="U158" s="74">
        <f>$T$158</f>
        <v>0</v>
      </c>
      <c r="V158" s="74">
        <f>$T$158</f>
        <v>0</v>
      </c>
      <c r="W158" s="74">
        <f>$T$158</f>
        <v>0</v>
      </c>
      <c r="BV158" s="61"/>
    </row>
    <row r="159" spans="2:74" s="27" customFormat="1" ht="11.25" hidden="1" x14ac:dyDescent="0.2">
      <c r="B159" s="60" t="str">
        <f>prestamos!B57</f>
        <v>Saldo disponible</v>
      </c>
      <c r="C159" s="27" t="s">
        <v>259</v>
      </c>
      <c r="D159" s="27">
        <f>+D156</f>
        <v>0</v>
      </c>
      <c r="E159" s="27" t="e">
        <f>+E156-E157+E158</f>
        <v>#REF!</v>
      </c>
      <c r="F159" s="27" t="e">
        <f>+F156-F157+F158</f>
        <v>#REF!</v>
      </c>
      <c r="G159" s="27" t="e">
        <f>+G156-G157+G158</f>
        <v>#REF!</v>
      </c>
      <c r="H159" s="61" t="e">
        <f>+H156-H157+H158</f>
        <v>#REF!</v>
      </c>
      <c r="I159" s="108"/>
      <c r="J159" s="105"/>
      <c r="K159" s="105"/>
      <c r="L159" s="105"/>
      <c r="M159" s="105"/>
      <c r="N159" s="105"/>
      <c r="O159" s="105"/>
      <c r="P159" s="110"/>
      <c r="Q159" s="105" t="s">
        <v>623</v>
      </c>
      <c r="R159" s="105">
        <f>INFORME!$E$280</f>
        <v>0</v>
      </c>
      <c r="S159" s="110" t="s">
        <v>1003</v>
      </c>
      <c r="T159" s="74" t="e">
        <f>T157*T173</f>
        <v>#REF!</v>
      </c>
      <c r="U159" s="74" t="e">
        <f>U157*U173</f>
        <v>#REF!</v>
      </c>
      <c r="V159" s="74" t="e">
        <f>V157*V173</f>
        <v>#REF!</v>
      </c>
      <c r="W159" s="74" t="e">
        <f>W157*W173</f>
        <v>#REF!</v>
      </c>
      <c r="BV159" s="61"/>
    </row>
    <row r="160" spans="2:74" s="27" customFormat="1" ht="11.25" hidden="1" x14ac:dyDescent="0.2">
      <c r="B160" s="60" t="str">
        <f>prestamos!B58</f>
        <v>Sdo. Deudor</v>
      </c>
      <c r="C160" s="27" t="str">
        <f>prestamos!C58</f>
        <v>DISPUESTO</v>
      </c>
      <c r="D160" s="27" t="e">
        <f>#REF!</f>
        <v>#REF!</v>
      </c>
      <c r="E160" s="27" t="e">
        <f>+D193-E159</f>
        <v>#REF!</v>
      </c>
      <c r="F160" s="27" t="e">
        <f>+E193-F159</f>
        <v>#REF!</v>
      </c>
      <c r="G160" s="27" t="e">
        <f>+F193-G159</f>
        <v>#REF!</v>
      </c>
      <c r="H160" s="61" t="e">
        <f>+G193-H159</f>
        <v>#REF!</v>
      </c>
      <c r="I160" s="108"/>
      <c r="J160" s="105"/>
      <c r="K160" s="105"/>
      <c r="L160" s="105"/>
      <c r="M160" s="105"/>
      <c r="N160" s="105"/>
      <c r="O160" s="105"/>
      <c r="P160" s="110"/>
      <c r="Q160" s="105" t="s">
        <v>624</v>
      </c>
      <c r="R160" s="105">
        <f>INFORME!$E$250</f>
        <v>0</v>
      </c>
      <c r="S160" s="110" t="s">
        <v>1004</v>
      </c>
      <c r="T160" s="74" t="e">
        <f>IF(T157&lt;0,-(-T157+T159),IF(T159&lt;0,T157+T159,T157-T159))</f>
        <v>#REF!</v>
      </c>
      <c r="U160" s="74" t="e">
        <f>IF(U157&lt;0,-(-U157+U159),IF(U159&lt;0,U157+U159,U157-U159))</f>
        <v>#REF!</v>
      </c>
      <c r="V160" s="74" t="e">
        <f>IF(V157&lt;0,-(-V157+V159),IF(V159&lt;0,V157+V159,V157-V159))</f>
        <v>#REF!</v>
      </c>
      <c r="W160" s="74" t="e">
        <f>IF(W157&lt;0,-(-W157+W159),IF(W159&lt;0,W157+W159,W157-W159))</f>
        <v>#REF!</v>
      </c>
      <c r="BV160" s="61"/>
    </row>
    <row r="161" spans="2:74" s="27" customFormat="1" ht="11.25" hidden="1" x14ac:dyDescent="0.2">
      <c r="B161" s="60" t="str">
        <f>prestamos!B59</f>
        <v>Intereses</v>
      </c>
      <c r="C161" s="27" t="s">
        <v>292</v>
      </c>
      <c r="E161" s="27" t="e">
        <f>+E160*$F$154</f>
        <v>#REF!</v>
      </c>
      <c r="F161" s="27" t="e">
        <f>+F160*$F$154</f>
        <v>#REF!</v>
      </c>
      <c r="G161" s="27" t="e">
        <f>+G160*$F$154</f>
        <v>#REF!</v>
      </c>
      <c r="H161" s="61" t="e">
        <f>+H160*$F$154</f>
        <v>#REF!</v>
      </c>
      <c r="I161" s="108"/>
      <c r="J161" s="109"/>
      <c r="K161" s="105"/>
      <c r="M161" s="105"/>
      <c r="N161" s="105"/>
      <c r="O161" s="105"/>
      <c r="P161" s="110"/>
      <c r="Q161" s="105"/>
      <c r="R161" s="105">
        <f>R159-R160</f>
        <v>0</v>
      </c>
      <c r="S161" s="110" t="s">
        <v>1005</v>
      </c>
      <c r="T161" s="74">
        <f>$R$162</f>
        <v>0</v>
      </c>
      <c r="U161" s="74" t="e">
        <f>T159</f>
        <v>#REF!</v>
      </c>
      <c r="V161" s="74" t="e">
        <f>U159</f>
        <v>#REF!</v>
      </c>
      <c r="W161" s="74" t="e">
        <f>V159</f>
        <v>#REF!</v>
      </c>
      <c r="BV161" s="61"/>
    </row>
    <row r="162" spans="2:74" s="27" customFormat="1" ht="11.25" hidden="1" x14ac:dyDescent="0.2">
      <c r="B162" s="60"/>
      <c r="C162" s="27" t="s">
        <v>291</v>
      </c>
      <c r="E162" s="27">
        <f>+D201</f>
        <v>0</v>
      </c>
      <c r="F162" s="27">
        <f>+E201</f>
        <v>0</v>
      </c>
      <c r="G162" s="27">
        <f>+F201</f>
        <v>0</v>
      </c>
      <c r="H162" s="61">
        <f>+G201</f>
        <v>0</v>
      </c>
      <c r="I162" s="60"/>
      <c r="K162" s="105"/>
      <c r="L162" s="105"/>
      <c r="M162" s="105"/>
      <c r="N162" s="105"/>
      <c r="O162" s="105"/>
      <c r="P162" s="110"/>
      <c r="Q162" s="105" t="s">
        <v>714</v>
      </c>
      <c r="R162" s="114">
        <f>R157-R161</f>
        <v>0</v>
      </c>
      <c r="S162" s="110" t="s">
        <v>1006</v>
      </c>
      <c r="T162" s="74" t="e">
        <f>SUM(T160:T161)</f>
        <v>#REF!</v>
      </c>
      <c r="U162" s="74" t="e">
        <f>SUM(U160:U161)</f>
        <v>#REF!</v>
      </c>
      <c r="V162" s="74" t="e">
        <f>SUM(V160:V161)</f>
        <v>#REF!</v>
      </c>
      <c r="W162" s="74" t="e">
        <f>SUM(W160:W161)</f>
        <v>#REF!</v>
      </c>
      <c r="BV162" s="61"/>
    </row>
    <row r="163" spans="2:74" s="27" customFormat="1" ht="11.25" hidden="1" x14ac:dyDescent="0.2">
      <c r="B163" s="60"/>
      <c r="C163" s="27" t="s">
        <v>786</v>
      </c>
      <c r="E163" s="27" t="e">
        <f>SUM(E161:E162)</f>
        <v>#REF!</v>
      </c>
      <c r="F163" s="27" t="e">
        <f>SUM(F161:F162)</f>
        <v>#REF!</v>
      </c>
      <c r="G163" s="27" t="e">
        <f>SUM(G161:G162)</f>
        <v>#REF!</v>
      </c>
      <c r="H163" s="61" t="e">
        <f>SUM(H161:H162)</f>
        <v>#REF!</v>
      </c>
      <c r="I163" s="60"/>
      <c r="K163" s="105"/>
      <c r="L163" s="105"/>
      <c r="M163" s="105"/>
      <c r="N163" s="105"/>
      <c r="O163" s="105"/>
      <c r="P163" s="110"/>
      <c r="Q163" s="105"/>
      <c r="R163" s="105"/>
      <c r="S163" s="110" t="s">
        <v>1007</v>
      </c>
      <c r="T163" s="74" t="e">
        <f>(T157+T161)-T162</f>
        <v>#REF!</v>
      </c>
      <c r="U163" s="74" t="e">
        <f>(U157+U161)-U162</f>
        <v>#REF!</v>
      </c>
      <c r="V163" s="74" t="e">
        <f>(V157+V161)-V162</f>
        <v>#REF!</v>
      </c>
      <c r="W163" s="74" t="e">
        <f>(W157+W161)-W162</f>
        <v>#REF!</v>
      </c>
      <c r="BV163" s="61"/>
    </row>
    <row r="164" spans="2:74" s="27" customFormat="1" ht="11.25" hidden="1" x14ac:dyDescent="0.2">
      <c r="B164" s="60"/>
      <c r="H164" s="61"/>
      <c r="I164" s="60"/>
      <c r="K164" s="105"/>
      <c r="L164" s="105"/>
      <c r="M164" s="105"/>
      <c r="N164" s="105"/>
      <c r="O164" s="105"/>
      <c r="P164" s="110"/>
      <c r="Q164" s="105"/>
      <c r="R164" s="105"/>
      <c r="S164" s="143" t="s">
        <v>1008</v>
      </c>
      <c r="T164" s="73"/>
      <c r="U164" s="73"/>
      <c r="V164" s="73"/>
      <c r="W164" s="73"/>
      <c r="BV164" s="61"/>
    </row>
    <row r="165" spans="2:74" s="27" customFormat="1" ht="11.25" hidden="1" x14ac:dyDescent="0.2">
      <c r="B165" s="60"/>
      <c r="H165" s="61"/>
      <c r="I165" s="60" t="s">
        <v>573</v>
      </c>
      <c r="J165" s="27" t="str">
        <f>'6'!F23</f>
        <v>MENSUAL</v>
      </c>
      <c r="K165" s="105"/>
      <c r="L165" s="105"/>
      <c r="M165" s="105"/>
      <c r="N165" s="105"/>
      <c r="O165" s="105"/>
      <c r="P165" s="110"/>
      <c r="Q165" s="105"/>
      <c r="R165" s="105"/>
      <c r="S165" s="142" t="s">
        <v>1009</v>
      </c>
      <c r="T165" s="74" t="e">
        <f>IF(T162&lt;0,-T162,0)</f>
        <v>#REF!</v>
      </c>
      <c r="U165" s="74" t="e">
        <f>IF(U162&lt;0,-U162,0)</f>
        <v>#REF!</v>
      </c>
      <c r="V165" s="74" t="e">
        <f>IF(V162&lt;0,-V162,0)</f>
        <v>#REF!</v>
      </c>
      <c r="W165" s="74" t="e">
        <f>IF(W162&lt;0,-W162,0)</f>
        <v>#REF!</v>
      </c>
      <c r="BV165" s="61"/>
    </row>
    <row r="166" spans="2:74" s="27" customFormat="1" ht="11.25" hidden="1" x14ac:dyDescent="0.2">
      <c r="B166" s="60"/>
      <c r="H166" s="61"/>
      <c r="I166" s="60">
        <v>0.25</v>
      </c>
      <c r="K166" s="105"/>
      <c r="L166" s="105"/>
      <c r="M166" s="105"/>
      <c r="N166" s="105"/>
      <c r="O166" s="105"/>
      <c r="P166" s="110"/>
      <c r="Q166" s="105"/>
      <c r="R166" s="105"/>
      <c r="S166" s="144" t="s">
        <v>1010</v>
      </c>
      <c r="T166" s="75" t="e">
        <f>IF(T162&gt;0,T162,0)</f>
        <v>#REF!</v>
      </c>
      <c r="U166" s="75" t="e">
        <f>IF(U162&gt;0,U162,0)</f>
        <v>#REF!</v>
      </c>
      <c r="V166" s="75" t="e">
        <f>IF(V162&gt;0,V162,0)</f>
        <v>#REF!</v>
      </c>
      <c r="W166" s="75" t="e">
        <f>IF(W162&gt;0,W162,0)</f>
        <v>#REF!</v>
      </c>
      <c r="BV166" s="61"/>
    </row>
    <row r="167" spans="2:74" s="27" customFormat="1" ht="11.25" hidden="1" x14ac:dyDescent="0.2">
      <c r="B167" s="60"/>
      <c r="H167" s="61"/>
      <c r="I167" s="60" t="s">
        <v>572</v>
      </c>
      <c r="K167" s="105"/>
      <c r="L167" s="105"/>
      <c r="M167" s="105"/>
      <c r="N167" s="105"/>
      <c r="O167" s="105"/>
      <c r="P167" s="110"/>
      <c r="Q167" s="105"/>
      <c r="R167" s="105"/>
      <c r="S167" s="143" t="s">
        <v>1011</v>
      </c>
      <c r="T167" s="73"/>
      <c r="U167" s="73"/>
      <c r="V167" s="73"/>
      <c r="W167" s="73"/>
      <c r="BV167" s="61"/>
    </row>
    <row r="168" spans="2:74" s="27" customFormat="1" ht="11.25" hidden="1" x14ac:dyDescent="0.2">
      <c r="B168" s="60"/>
      <c r="H168" s="61"/>
      <c r="I168" s="60">
        <v>8.3333333333333329E-2</v>
      </c>
      <c r="K168" s="105"/>
      <c r="L168" s="105"/>
      <c r="M168" s="105"/>
      <c r="N168" s="105"/>
      <c r="O168" s="105"/>
      <c r="P168" s="110"/>
      <c r="Q168" s="105"/>
      <c r="R168" s="105"/>
      <c r="S168" s="142" t="s">
        <v>1012</v>
      </c>
      <c r="T168" s="74" t="e">
        <f>IF(T159&lt;0,-T159,0)</f>
        <v>#REF!</v>
      </c>
      <c r="U168" s="74" t="e">
        <f>IF(U159&lt;0,-U159,0)</f>
        <v>#REF!</v>
      </c>
      <c r="V168" s="74" t="e">
        <f>IF(V159&lt;0,-V159,0)</f>
        <v>#REF!</v>
      </c>
      <c r="W168" s="74" t="e">
        <f>IF(W159&lt;0,-W159,0)</f>
        <v>#REF!</v>
      </c>
      <c r="BV168" s="61"/>
    </row>
    <row r="169" spans="2:74" s="27" customFormat="1" ht="11.25" hidden="1" x14ac:dyDescent="0.2">
      <c r="B169" s="60"/>
      <c r="H169" s="61"/>
      <c r="I169" s="65"/>
      <c r="J169" s="66"/>
      <c r="K169" s="106"/>
      <c r="L169" s="106"/>
      <c r="M169" s="106"/>
      <c r="N169" s="106"/>
      <c r="O169" s="106"/>
      <c r="P169" s="115"/>
      <c r="Q169" s="106"/>
      <c r="R169" s="106"/>
      <c r="S169" s="144" t="s">
        <v>1013</v>
      </c>
      <c r="T169" s="75" t="e">
        <f>IF(T159&gt;0,T159,0)</f>
        <v>#REF!</v>
      </c>
      <c r="U169" s="75" t="e">
        <f>IF(U159&gt;0,U159,0)</f>
        <v>#REF!</v>
      </c>
      <c r="V169" s="75" t="e">
        <f>IF(V159&gt;0,V159,0)</f>
        <v>#REF!</v>
      </c>
      <c r="W169" s="75" t="e">
        <f>IF(W159&gt;0,W159,0)</f>
        <v>#REF!</v>
      </c>
      <c r="BV169" s="61"/>
    </row>
    <row r="170" spans="2:74" s="27" customFormat="1" ht="11.25" hidden="1" x14ac:dyDescent="0.2">
      <c r="B170" s="60"/>
      <c r="C170" s="27">
        <f>prestamos!B36</f>
        <v>0</v>
      </c>
      <c r="H170" s="61"/>
      <c r="I170" s="60"/>
      <c r="P170" s="61"/>
      <c r="S170" s="61"/>
      <c r="BV170" s="61"/>
    </row>
    <row r="171" spans="2:74" s="27" customFormat="1" ht="11.25" hidden="1" x14ac:dyDescent="0.2">
      <c r="B171" s="60"/>
      <c r="C171" s="27" t="s">
        <v>167</v>
      </c>
      <c r="E171" s="27" t="str">
        <f>prestamos!D37</f>
        <v>Importe</v>
      </c>
      <c r="F171" s="27" t="str">
        <f>prestamos!E37</f>
        <v>Coste Anual</v>
      </c>
      <c r="G171" s="27" t="str">
        <f>prestamos!F37</f>
        <v>Interés</v>
      </c>
      <c r="H171" s="61"/>
      <c r="I171" s="60" t="s">
        <v>480</v>
      </c>
      <c r="M171" s="27" t="s">
        <v>1492</v>
      </c>
      <c r="N171" s="27" t="s">
        <v>1493</v>
      </c>
      <c r="O171" s="27" t="s">
        <v>1494</v>
      </c>
      <c r="P171" s="61" t="s">
        <v>1495</v>
      </c>
      <c r="S171" s="61"/>
      <c r="T171" s="68" t="e">
        <f>IF(T155&gt;T156,"SUP","INF")</f>
        <v>#REF!</v>
      </c>
      <c r="U171" s="68" t="e">
        <f>IF(U155&gt;U156,"SUP","INF")</f>
        <v>#REF!</v>
      </c>
      <c r="V171" s="68" t="e">
        <f>IF(V155&gt;V156,"SUP","INF")</f>
        <v>#REF!</v>
      </c>
      <c r="W171" s="68" t="e">
        <f>IF(W155&gt;W156,"SUP","INF")</f>
        <v>#REF!</v>
      </c>
      <c r="BV171" s="61"/>
    </row>
    <row r="172" spans="2:74" s="27" customFormat="1" ht="11.25" hidden="1" x14ac:dyDescent="0.2">
      <c r="B172" s="60"/>
      <c r="C172" s="27">
        <f>prestamos!B38</f>
        <v>0</v>
      </c>
      <c r="E172" s="27">
        <f>prestamos!D38</f>
        <v>0</v>
      </c>
      <c r="F172" s="27">
        <f>prestamos!E38</f>
        <v>0</v>
      </c>
      <c r="G172" s="27">
        <f>prestamos!F38</f>
        <v>0</v>
      </c>
      <c r="H172" s="61"/>
      <c r="I172" s="60" t="s">
        <v>481</v>
      </c>
      <c r="J172" s="27" t="s">
        <v>1491</v>
      </c>
      <c r="K172" s="27">
        <f>Pagoinversiones!$AG$98</f>
        <v>0</v>
      </c>
      <c r="L172" s="27" t="s">
        <v>482</v>
      </c>
      <c r="M172" s="27">
        <f>Pagoinversiones!$AH$98+Pagoinversiones!E22</f>
        <v>0</v>
      </c>
      <c r="N172" s="27">
        <f>Pagoinversiones!F22</f>
        <v>0</v>
      </c>
      <c r="O172" s="27">
        <f>Pagoinversiones!G22</f>
        <v>0</v>
      </c>
      <c r="P172" s="61">
        <f>Pagoinversiones!H22</f>
        <v>0</v>
      </c>
      <c r="S172" s="61"/>
      <c r="T172" s="68" t="str">
        <f>IF(T158&gt;0,"SUP","INF")</f>
        <v>INF</v>
      </c>
      <c r="U172" s="68" t="str">
        <f>IF(U158&gt;0,"SUP","INF")</f>
        <v>INF</v>
      </c>
      <c r="V172" s="68" t="str">
        <f>IF(V158&gt;0,"SUP","INF")</f>
        <v>INF</v>
      </c>
      <c r="W172" s="68" t="str">
        <f>IF(W158&gt;0,"SUP","INF")</f>
        <v>INF</v>
      </c>
      <c r="BV172" s="61"/>
    </row>
    <row r="173" spans="2:74" s="27" customFormat="1" ht="11.25" hidden="1" x14ac:dyDescent="0.2">
      <c r="B173" s="60"/>
      <c r="C173" s="27">
        <f>prestamos!B39</f>
        <v>0</v>
      </c>
      <c r="E173" s="27">
        <f>prestamos!D39</f>
        <v>0</v>
      </c>
      <c r="F173" s="27">
        <f>prestamos!E39</f>
        <v>0</v>
      </c>
      <c r="G173" s="27">
        <f>prestamos!F39</f>
        <v>0</v>
      </c>
      <c r="H173" s="61"/>
      <c r="I173" s="60"/>
      <c r="J173" s="27" t="s">
        <v>429</v>
      </c>
      <c r="K173" s="27">
        <f>CResult!$F$309</f>
        <v>0</v>
      </c>
      <c r="L173" s="27" t="s">
        <v>1323</v>
      </c>
      <c r="M173" s="27">
        <f>+M172+L142</f>
        <v>0</v>
      </c>
      <c r="N173" s="27">
        <f>+N172+M142</f>
        <v>0</v>
      </c>
      <c r="O173" s="27">
        <f>+O172+N142</f>
        <v>0</v>
      </c>
      <c r="P173" s="61">
        <f>+P172+O142</f>
        <v>0</v>
      </c>
      <c r="S173" s="61"/>
      <c r="T173" s="68" t="e">
        <f>IF(T172=T171,T158,-T158)</f>
        <v>#REF!</v>
      </c>
      <c r="U173" s="68" t="e">
        <f>IF(U172=U171,U158,-U158)</f>
        <v>#REF!</v>
      </c>
      <c r="V173" s="68" t="e">
        <f>IF(V172=V171,V158,-V158)</f>
        <v>#REF!</v>
      </c>
      <c r="W173" s="68" t="e">
        <f>IF(W172=W171,W158,-W158)</f>
        <v>#REF!</v>
      </c>
      <c r="BV173" s="61"/>
    </row>
    <row r="174" spans="2:74" s="27" customFormat="1" ht="11.25" hidden="1" x14ac:dyDescent="0.2">
      <c r="B174" s="60"/>
      <c r="C174" s="27" t="s">
        <v>168</v>
      </c>
      <c r="H174" s="61"/>
      <c r="I174" s="60"/>
      <c r="J174" s="27" t="s">
        <v>483</v>
      </c>
      <c r="K174" s="27">
        <f>IF(K172=0,0,K173/K172)</f>
        <v>0</v>
      </c>
      <c r="L174" s="27" t="s">
        <v>69</v>
      </c>
      <c r="M174" s="27">
        <f>+M172+K172</f>
        <v>0</v>
      </c>
      <c r="P174" s="61"/>
      <c r="S174" s="61"/>
      <c r="BV174" s="61"/>
    </row>
    <row r="175" spans="2:74" s="27" customFormat="1" ht="11.25" hidden="1" x14ac:dyDescent="0.2">
      <c r="B175" s="60"/>
      <c r="C175" s="27">
        <f>prestamos!B40</f>
        <v>0</v>
      </c>
      <c r="H175" s="61"/>
      <c r="I175" s="60"/>
      <c r="P175" s="61"/>
      <c r="S175" s="61"/>
      <c r="BV175" s="61"/>
    </row>
    <row r="176" spans="2:74" s="27" customFormat="1" ht="11.25" hidden="1" x14ac:dyDescent="0.2">
      <c r="B176" s="60"/>
      <c r="C176" s="27">
        <f>prestamos!B41</f>
        <v>0</v>
      </c>
      <c r="H176" s="61"/>
      <c r="I176" s="65"/>
      <c r="J176" s="66"/>
      <c r="K176" s="66"/>
      <c r="L176" s="66"/>
      <c r="M176" s="66"/>
      <c r="N176" s="66"/>
      <c r="O176" s="66"/>
      <c r="P176" s="67"/>
      <c r="S176" s="61"/>
      <c r="BV176" s="61"/>
    </row>
    <row r="177" spans="2:74" s="27" customFormat="1" ht="11.25" hidden="1" x14ac:dyDescent="0.2">
      <c r="B177" s="60"/>
      <c r="C177" s="27">
        <f>prestamos!B42</f>
        <v>0</v>
      </c>
      <c r="H177" s="61"/>
      <c r="I177" s="60"/>
      <c r="S177" s="61"/>
      <c r="BV177" s="61"/>
    </row>
    <row r="178" spans="2:74" s="27" customFormat="1" ht="11.25" hidden="1" x14ac:dyDescent="0.2">
      <c r="B178" s="60"/>
      <c r="H178" s="61"/>
      <c r="I178" s="60"/>
      <c r="S178" s="61"/>
      <c r="BV178" s="61"/>
    </row>
    <row r="179" spans="2:74" s="27" customFormat="1" ht="11.25" hidden="1" x14ac:dyDescent="0.2">
      <c r="B179" s="60"/>
      <c r="D179" s="27">
        <f>+D!N6+1</f>
        <v>2014</v>
      </c>
      <c r="E179" s="27">
        <f>+D179+1</f>
        <v>2015</v>
      </c>
      <c r="F179" s="27">
        <f>+E179+1</f>
        <v>2016</v>
      </c>
      <c r="G179" s="27">
        <f>+F179+1</f>
        <v>2017</v>
      </c>
      <c r="H179" s="61"/>
      <c r="I179" s="60"/>
      <c r="S179" s="61"/>
      <c r="BV179" s="61"/>
    </row>
    <row r="180" spans="2:74" s="27" customFormat="1" ht="11.25" hidden="1" x14ac:dyDescent="0.2">
      <c r="B180" s="60"/>
      <c r="H180" s="61"/>
      <c r="I180" s="60"/>
      <c r="S180" s="61"/>
      <c r="BV180" s="61"/>
    </row>
    <row r="181" spans="2:74" s="27" customFormat="1" ht="11.25" hidden="1" x14ac:dyDescent="0.2">
      <c r="B181" s="60"/>
      <c r="C181" s="27">
        <f>C175</f>
        <v>0</v>
      </c>
      <c r="H181" s="61"/>
      <c r="I181" s="60"/>
      <c r="S181" s="61"/>
      <c r="BV181" s="61"/>
    </row>
    <row r="182" spans="2:74" s="27" customFormat="1" ht="11.25" hidden="1" x14ac:dyDescent="0.2">
      <c r="B182" s="60"/>
      <c r="C182" s="27">
        <f>C176</f>
        <v>0</v>
      </c>
      <c r="H182" s="61"/>
      <c r="I182" s="60"/>
      <c r="S182" s="61"/>
      <c r="BV182" s="61"/>
    </row>
    <row r="183" spans="2:74" s="27" customFormat="1" ht="11.25" hidden="1" x14ac:dyDescent="0.2">
      <c r="B183" s="60"/>
      <c r="C183" s="27">
        <f>C177</f>
        <v>0</v>
      </c>
      <c r="H183" s="61"/>
      <c r="I183" s="60"/>
      <c r="S183" s="61"/>
      <c r="BV183" s="61"/>
    </row>
    <row r="184" spans="2:74" s="27" customFormat="1" ht="11.25" hidden="1" x14ac:dyDescent="0.2">
      <c r="B184" s="60"/>
      <c r="H184" s="61"/>
      <c r="I184" s="60"/>
      <c r="S184" s="61"/>
      <c r="BV184" s="61"/>
    </row>
    <row r="185" spans="2:74" s="27" customFormat="1" ht="11.25" hidden="1" x14ac:dyDescent="0.2">
      <c r="B185" s="60"/>
      <c r="D185" s="27" t="s">
        <v>1492</v>
      </c>
      <c r="E185" s="27" t="s">
        <v>1493</v>
      </c>
      <c r="F185" s="27" t="s">
        <v>1494</v>
      </c>
      <c r="G185" s="27" t="s">
        <v>1495</v>
      </c>
      <c r="H185" s="61"/>
      <c r="I185" s="60"/>
      <c r="S185" s="61"/>
      <c r="BV185" s="61"/>
    </row>
    <row r="186" spans="2:74" s="27" customFormat="1" ht="11.25" hidden="1" x14ac:dyDescent="0.2">
      <c r="B186" s="60"/>
      <c r="D186" s="27" t="s">
        <v>252</v>
      </c>
      <c r="E186" s="27" t="s">
        <v>252</v>
      </c>
      <c r="F186" s="27" t="s">
        <v>252</v>
      </c>
      <c r="G186" s="27" t="s">
        <v>252</v>
      </c>
      <c r="H186" s="61"/>
      <c r="I186" s="60"/>
      <c r="S186" s="61"/>
      <c r="BV186" s="61"/>
    </row>
    <row r="187" spans="2:74" s="27" customFormat="1" ht="11.25" hidden="1" x14ac:dyDescent="0.2">
      <c r="B187" s="60"/>
      <c r="D187" s="27" t="s">
        <v>252</v>
      </c>
      <c r="E187" s="27" t="s">
        <v>252</v>
      </c>
      <c r="F187" s="27" t="s">
        <v>252</v>
      </c>
      <c r="G187" s="27" t="s">
        <v>252</v>
      </c>
      <c r="H187" s="61"/>
      <c r="I187" s="60"/>
      <c r="S187" s="61"/>
      <c r="BV187" s="61"/>
    </row>
    <row r="188" spans="2:74" s="27" customFormat="1" ht="11.25" hidden="1" x14ac:dyDescent="0.2">
      <c r="B188" s="60"/>
      <c r="D188" s="27">
        <v>0</v>
      </c>
      <c r="E188" s="27" t="s">
        <v>252</v>
      </c>
      <c r="F188" s="27" t="s">
        <v>252</v>
      </c>
      <c r="G188" s="27" t="s">
        <v>252</v>
      </c>
      <c r="H188" s="61"/>
      <c r="I188" s="62" t="s">
        <v>1217</v>
      </c>
      <c r="J188" s="63"/>
      <c r="K188" s="63"/>
      <c r="L188" s="63"/>
      <c r="M188" s="63"/>
      <c r="N188" s="63"/>
      <c r="O188" s="63"/>
      <c r="P188" s="64"/>
      <c r="S188" s="61"/>
      <c r="BV188" s="61"/>
    </row>
    <row r="189" spans="2:74" s="27" customFormat="1" ht="11.25" hidden="1" x14ac:dyDescent="0.2">
      <c r="B189" s="60"/>
      <c r="D189" s="27">
        <v>0</v>
      </c>
      <c r="E189" s="27" t="s">
        <v>252</v>
      </c>
      <c r="F189" s="27" t="s">
        <v>252</v>
      </c>
      <c r="G189" s="27" t="s">
        <v>252</v>
      </c>
      <c r="H189" s="61"/>
      <c r="I189" s="60"/>
      <c r="K189" s="27" t="s">
        <v>1491</v>
      </c>
      <c r="L189" s="27" t="s">
        <v>1492</v>
      </c>
      <c r="M189" s="27" t="s">
        <v>1493</v>
      </c>
      <c r="N189" s="27" t="s">
        <v>1494</v>
      </c>
      <c r="O189" s="27" t="s">
        <v>1495</v>
      </c>
      <c r="P189" s="61"/>
      <c r="S189" s="61"/>
      <c r="BV189" s="61"/>
    </row>
    <row r="190" spans="2:74" s="27" customFormat="1" ht="11.25" hidden="1" x14ac:dyDescent="0.2">
      <c r="B190" s="60"/>
      <c r="D190" s="27">
        <v>0</v>
      </c>
      <c r="E190" s="27" t="s">
        <v>252</v>
      </c>
      <c r="F190" s="27" t="s">
        <v>252</v>
      </c>
      <c r="G190" s="27" t="s">
        <v>252</v>
      </c>
      <c r="H190" s="61"/>
      <c r="I190" s="60"/>
      <c r="J190" s="27" t="s">
        <v>698</v>
      </c>
      <c r="K190" s="27" t="e">
        <f>#REF!</f>
        <v>#REF!</v>
      </c>
      <c r="L190" s="27" t="e">
        <f>E145</f>
        <v>#REF!</v>
      </c>
      <c r="M190" s="27" t="e">
        <f>F145</f>
        <v>#REF!</v>
      </c>
      <c r="N190" s="27" t="e">
        <f>G145</f>
        <v>#REF!</v>
      </c>
      <c r="O190" s="27" t="e">
        <f>H145</f>
        <v>#REF!</v>
      </c>
      <c r="P190" s="61"/>
      <c r="S190" s="61"/>
      <c r="BV190" s="61"/>
    </row>
    <row r="191" spans="2:74" s="27" customFormat="1" ht="11.25" hidden="1" x14ac:dyDescent="0.2">
      <c r="B191" s="60"/>
      <c r="H191" s="61"/>
      <c r="I191" s="60" t="s">
        <v>1383</v>
      </c>
      <c r="K191" s="27" t="e">
        <f>+K190</f>
        <v>#REF!</v>
      </c>
      <c r="L191" s="27" t="e">
        <f>+K191+L190+J191</f>
        <v>#REF!</v>
      </c>
      <c r="M191" s="27" t="e">
        <f>+L191+M190</f>
        <v>#REF!</v>
      </c>
      <c r="N191" s="27" t="e">
        <f>+M191+N190</f>
        <v>#REF!</v>
      </c>
      <c r="O191" s="27" t="e">
        <f>+N191+O190</f>
        <v>#REF!</v>
      </c>
      <c r="P191" s="61"/>
      <c r="S191" s="61"/>
      <c r="BV191" s="61"/>
    </row>
    <row r="192" spans="2:74" s="27" customFormat="1" ht="11.25" hidden="1" x14ac:dyDescent="0.2">
      <c r="B192" s="60"/>
      <c r="D192" s="27" t="s">
        <v>260</v>
      </c>
      <c r="H192" s="61"/>
      <c r="I192" s="60"/>
      <c r="P192" s="61"/>
      <c r="S192" s="61"/>
      <c r="BV192" s="61"/>
    </row>
    <row r="193" spans="2:74" s="27" customFormat="1" ht="11.25" hidden="1" x14ac:dyDescent="0.2">
      <c r="B193" s="60"/>
      <c r="D193" s="27">
        <f>SUM(D195:D199)</f>
        <v>0</v>
      </c>
      <c r="E193" s="27">
        <f>SUM(E195:E199)</f>
        <v>0</v>
      </c>
      <c r="F193" s="27">
        <f>SUM(F195:F199)</f>
        <v>0</v>
      </c>
      <c r="G193" s="27">
        <f>SUM(G195:G199)</f>
        <v>0</v>
      </c>
      <c r="H193" s="61"/>
      <c r="I193" s="60"/>
      <c r="J193" s="27" t="s">
        <v>1218</v>
      </c>
      <c r="K193" s="27" t="e">
        <f>IF(K191&gt;0,0,-K191)</f>
        <v>#REF!</v>
      </c>
      <c r="L193" s="27" t="e">
        <f>IF(L191&gt;0,0,-L191)</f>
        <v>#REF!</v>
      </c>
      <c r="M193" s="27" t="e">
        <f>IF(M191&gt;0,0,-M191)</f>
        <v>#REF!</v>
      </c>
      <c r="N193" s="27" t="e">
        <f>IF(N191&gt;0,0,-N191)</f>
        <v>#REF!</v>
      </c>
      <c r="O193" s="27" t="e">
        <f>IF(O191&gt;0,0,-O191)</f>
        <v>#REF!</v>
      </c>
      <c r="P193" s="61"/>
      <c r="S193" s="61"/>
      <c r="BV193" s="61"/>
    </row>
    <row r="194" spans="2:74" s="27" customFormat="1" ht="11.25" hidden="1" x14ac:dyDescent="0.2">
      <c r="B194" s="60"/>
      <c r="D194" s="27" t="s">
        <v>1492</v>
      </c>
      <c r="E194" s="27" t="s">
        <v>1493</v>
      </c>
      <c r="F194" s="27" t="s">
        <v>1494</v>
      </c>
      <c r="G194" s="27" t="s">
        <v>1495</v>
      </c>
      <c r="H194" s="61"/>
      <c r="I194" s="65"/>
      <c r="J194" s="66" t="s">
        <v>1219</v>
      </c>
      <c r="K194" s="66" t="e">
        <f>+K191</f>
        <v>#REF!</v>
      </c>
      <c r="L194" s="66" t="e">
        <f>+L191</f>
        <v>#REF!</v>
      </c>
      <c r="M194" s="66" t="e">
        <f>+M191</f>
        <v>#REF!</v>
      </c>
      <c r="N194" s="66" t="e">
        <f>+N191</f>
        <v>#REF!</v>
      </c>
      <c r="O194" s="66" t="e">
        <f>+O191</f>
        <v>#REF!</v>
      </c>
      <c r="P194" s="67"/>
      <c r="S194" s="61"/>
      <c r="BV194" s="61"/>
    </row>
    <row r="195" spans="2:74" s="27" customFormat="1" ht="11.25" hidden="1" x14ac:dyDescent="0.2">
      <c r="B195" s="60"/>
      <c r="D195" s="27">
        <f>IF(D186=SB!$H$167,0,$E172)</f>
        <v>0</v>
      </c>
      <c r="E195" s="27">
        <f>IF(E186=SB!$H$167,0,$E172)</f>
        <v>0</v>
      </c>
      <c r="F195" s="27">
        <f>IF(F186=SB!$H$167,0,$E172)</f>
        <v>0</v>
      </c>
      <c r="G195" s="27">
        <f>IF(G186=SB!$H$167,0,$E172)</f>
        <v>0</v>
      </c>
      <c r="H195" s="61"/>
      <c r="I195" s="60"/>
      <c r="S195" s="61"/>
      <c r="BV195" s="61"/>
    </row>
    <row r="196" spans="2:74" s="27" customFormat="1" ht="11.25" hidden="1" x14ac:dyDescent="0.2">
      <c r="B196" s="60"/>
      <c r="D196" s="27">
        <f>IF(D187=SB!$H$167,0,$E173)</f>
        <v>0</v>
      </c>
      <c r="E196" s="27">
        <f>IF(E187=SB!$H$167,0,$E173)</f>
        <v>0</v>
      </c>
      <c r="F196" s="27">
        <f>IF(F187=SB!$H$167,0,$E173)</f>
        <v>0</v>
      </c>
      <c r="G196" s="27">
        <f>IF(G187=SB!$H$167,0,$E173)</f>
        <v>0</v>
      </c>
      <c r="H196" s="61"/>
      <c r="I196" s="60"/>
      <c r="S196" s="61"/>
      <c r="BV196" s="61"/>
    </row>
    <row r="197" spans="2:74" s="27" customFormat="1" ht="11.25" hidden="1" x14ac:dyDescent="0.2">
      <c r="B197" s="60"/>
      <c r="H197" s="61"/>
      <c r="I197" s="60"/>
      <c r="S197" s="61"/>
      <c r="BV197" s="61"/>
    </row>
    <row r="198" spans="2:74" s="27" customFormat="1" ht="11.25" hidden="1" x14ac:dyDescent="0.2">
      <c r="B198" s="60"/>
      <c r="H198" s="61"/>
      <c r="I198" s="60"/>
      <c r="S198" s="61"/>
      <c r="BV198" s="61"/>
    </row>
    <row r="199" spans="2:74" s="27" customFormat="1" ht="11.25" hidden="1" x14ac:dyDescent="0.2">
      <c r="B199" s="60"/>
      <c r="H199" s="61"/>
      <c r="I199" s="60"/>
      <c r="S199" s="61"/>
      <c r="BV199" s="61"/>
    </row>
    <row r="200" spans="2:74" s="27" customFormat="1" ht="11.25" hidden="1" x14ac:dyDescent="0.2">
      <c r="B200" s="60"/>
      <c r="D200" s="27" t="s">
        <v>261</v>
      </c>
      <c r="H200" s="61"/>
      <c r="I200" s="60"/>
      <c r="S200" s="61"/>
      <c r="BV200" s="61"/>
    </row>
    <row r="201" spans="2:74" s="27" customFormat="1" ht="11.25" hidden="1" x14ac:dyDescent="0.2">
      <c r="B201" s="60"/>
      <c r="D201" s="27">
        <f>SUM(D203:D207)</f>
        <v>0</v>
      </c>
      <c r="E201" s="27">
        <f>SUM(E203:E207)</f>
        <v>0</v>
      </c>
      <c r="F201" s="27">
        <f>SUM(F203:F207)</f>
        <v>0</v>
      </c>
      <c r="G201" s="27">
        <f>SUM(G203:G207)</f>
        <v>0</v>
      </c>
      <c r="H201" s="61"/>
      <c r="I201" s="60"/>
      <c r="S201" s="61"/>
      <c r="BV201" s="61"/>
    </row>
    <row r="202" spans="2:74" s="27" customFormat="1" ht="11.25" hidden="1" x14ac:dyDescent="0.2">
      <c r="B202" s="60"/>
      <c r="D202" s="27" t="s">
        <v>1492</v>
      </c>
      <c r="E202" s="27" t="s">
        <v>1493</v>
      </c>
      <c r="F202" s="27" t="s">
        <v>1494</v>
      </c>
      <c r="G202" s="27" t="s">
        <v>1495</v>
      </c>
      <c r="H202" s="61"/>
      <c r="I202" s="60"/>
      <c r="S202" s="61"/>
      <c r="BV202" s="61"/>
    </row>
    <row r="203" spans="2:74" s="27" customFormat="1" ht="11.25" hidden="1" x14ac:dyDescent="0.2">
      <c r="B203" s="60"/>
      <c r="D203" s="27">
        <f>IF(D186=SB!$H$167,0,$F172)</f>
        <v>0</v>
      </c>
      <c r="E203" s="27">
        <f>IF(E186=SB!$H$167,0,$F172)</f>
        <v>0</v>
      </c>
      <c r="F203" s="27">
        <f>IF(F186=SB!$H$167,0,$F172)</f>
        <v>0</v>
      </c>
      <c r="G203" s="27">
        <f>IF(G186=SB!$H$167,0,$F172)</f>
        <v>0</v>
      </c>
      <c r="H203" s="61"/>
      <c r="I203" s="60"/>
      <c r="S203" s="61"/>
      <c r="BV203" s="61"/>
    </row>
    <row r="204" spans="2:74" s="27" customFormat="1" ht="11.25" hidden="1" x14ac:dyDescent="0.2">
      <c r="B204" s="60"/>
      <c r="D204" s="27">
        <f>IF(D187=SB!$H$167,0,$F173)</f>
        <v>0</v>
      </c>
      <c r="E204" s="27">
        <f>IF(E187=SB!$H$167,0,$F173)</f>
        <v>0</v>
      </c>
      <c r="F204" s="27">
        <f>IF(F187=SB!$H$167,0,$F173)</f>
        <v>0</v>
      </c>
      <c r="G204" s="27">
        <f>IF(G187=SB!$H$167,0,$F173)</f>
        <v>0</v>
      </c>
      <c r="H204" s="61"/>
      <c r="I204" s="60"/>
      <c r="S204" s="61"/>
      <c r="BV204" s="61"/>
    </row>
    <row r="205" spans="2:74" s="27" customFormat="1" ht="11.25" hidden="1" x14ac:dyDescent="0.2">
      <c r="B205" s="60"/>
      <c r="H205" s="61"/>
      <c r="I205" s="60"/>
      <c r="S205" s="61"/>
      <c r="BV205" s="61"/>
    </row>
    <row r="206" spans="2:74" s="27" customFormat="1" ht="11.25" hidden="1" x14ac:dyDescent="0.2">
      <c r="B206" s="60"/>
      <c r="H206" s="61"/>
      <c r="I206" s="60"/>
      <c r="S206" s="61"/>
      <c r="BV206" s="61"/>
    </row>
    <row r="207" spans="2:74" s="27" customFormat="1" ht="11.25" hidden="1" x14ac:dyDescent="0.2">
      <c r="B207" s="60"/>
      <c r="H207" s="61"/>
      <c r="I207" s="60"/>
      <c r="S207" s="61"/>
      <c r="BV207" s="61"/>
    </row>
    <row r="208" spans="2:74" s="27" customFormat="1" ht="11.25" hidden="1" x14ac:dyDescent="0.2">
      <c r="B208" s="65"/>
      <c r="C208" s="66"/>
      <c r="D208" s="66"/>
      <c r="E208" s="66"/>
      <c r="F208" s="66"/>
      <c r="G208" s="66"/>
      <c r="H208" s="67"/>
      <c r="I208" s="60"/>
      <c r="S208" s="61"/>
      <c r="BV208" s="61"/>
    </row>
    <row r="209" spans="2:74" s="27" customFormat="1" ht="12.75" hidden="1" customHeight="1" x14ac:dyDescent="0.2">
      <c r="B209" s="62" t="s">
        <v>144</v>
      </c>
      <c r="C209" s="63"/>
      <c r="D209" s="63"/>
      <c r="E209" s="63"/>
      <c r="F209" s="63"/>
      <c r="G209" s="63"/>
      <c r="H209" s="64"/>
      <c r="I209" s="60"/>
      <c r="S209" s="61"/>
      <c r="BV209" s="61"/>
    </row>
    <row r="210" spans="2:74" s="27" customFormat="1" ht="12.75" hidden="1" customHeight="1" x14ac:dyDescent="0.2">
      <c r="B210" s="60"/>
      <c r="C210" s="27" t="s">
        <v>1491</v>
      </c>
      <c r="E210" s="27" t="s">
        <v>1492</v>
      </c>
      <c r="F210" s="27" t="s">
        <v>1493</v>
      </c>
      <c r="G210" s="27" t="s">
        <v>1494</v>
      </c>
      <c r="H210" s="61" t="s">
        <v>1495</v>
      </c>
      <c r="I210" s="60"/>
      <c r="S210" s="61"/>
      <c r="BV210" s="61"/>
    </row>
    <row r="211" spans="2:74" s="27" customFormat="1" ht="12.75" hidden="1" customHeight="1" x14ac:dyDescent="0.2">
      <c r="B211" s="60"/>
      <c r="H211" s="61"/>
      <c r="I211" s="60"/>
      <c r="S211" s="61"/>
      <c r="BV211" s="61"/>
    </row>
    <row r="212" spans="2:74" s="27" customFormat="1" ht="12.75" hidden="1" customHeight="1" x14ac:dyDescent="0.2">
      <c r="B212" s="60" t="s">
        <v>145</v>
      </c>
      <c r="C212" s="27">
        <f>prestamos!$B$70</f>
        <v>0</v>
      </c>
      <c r="E212" s="27">
        <f>+$C212</f>
        <v>0</v>
      </c>
      <c r="F212" s="27">
        <f>+$C212</f>
        <v>0</v>
      </c>
      <c r="G212" s="27">
        <f>+$C212</f>
        <v>0</v>
      </c>
      <c r="H212" s="61">
        <f>+$C212</f>
        <v>0</v>
      </c>
      <c r="I212" s="60"/>
      <c r="S212" s="61"/>
      <c r="BV212" s="61"/>
    </row>
    <row r="213" spans="2:74" s="27" customFormat="1" ht="12.75" hidden="1" customHeight="1" x14ac:dyDescent="0.2">
      <c r="B213" s="60" t="s">
        <v>146</v>
      </c>
      <c r="C213" s="27">
        <f>prestamos!$B$69</f>
        <v>0</v>
      </c>
      <c r="D213" s="27">
        <f>IF($D$5=0,0,C213/$D$5)</f>
        <v>0</v>
      </c>
      <c r="E213" s="27">
        <f>+E5*$D213</f>
        <v>0</v>
      </c>
      <c r="F213" s="27">
        <f>+F5*$D213</f>
        <v>0</v>
      </c>
      <c r="G213" s="27">
        <f>+G5*$D213</f>
        <v>0</v>
      </c>
      <c r="H213" s="61">
        <f>+H5*$D213</f>
        <v>0</v>
      </c>
      <c r="I213" s="60"/>
      <c r="S213" s="61"/>
      <c r="BV213" s="61"/>
    </row>
    <row r="214" spans="2:74" s="27" customFormat="1" ht="12.75" hidden="1" customHeight="1" x14ac:dyDescent="0.2">
      <c r="B214" s="60" t="s">
        <v>228</v>
      </c>
      <c r="C214" s="27">
        <f>prestamos!$B$67</f>
        <v>0</v>
      </c>
      <c r="D214" s="27">
        <f>IF($D$5=0,0,C214/$D$5)</f>
        <v>0</v>
      </c>
      <c r="E214" s="27">
        <f>+E5*$D214</f>
        <v>0</v>
      </c>
      <c r="F214" s="27">
        <f>+F5*$D214</f>
        <v>0</v>
      </c>
      <c r="G214" s="27">
        <f>+G5*$D214</f>
        <v>0</v>
      </c>
      <c r="H214" s="61">
        <f>+H5*$D214</f>
        <v>0</v>
      </c>
      <c r="I214" s="60"/>
      <c r="S214" s="61"/>
      <c r="BV214" s="61"/>
    </row>
    <row r="215" spans="2:74" s="27" customFormat="1" ht="12.75" hidden="1" customHeight="1" x14ac:dyDescent="0.2">
      <c r="B215" s="60" t="s">
        <v>786</v>
      </c>
      <c r="E215" s="27">
        <f>SUM(E212:E214)</f>
        <v>0</v>
      </c>
      <c r="F215" s="27">
        <f>SUM(F212:F214)</f>
        <v>0</v>
      </c>
      <c r="G215" s="27">
        <f>SUM(G212:G214)</f>
        <v>0</v>
      </c>
      <c r="H215" s="61">
        <f>SUM(H212:H214)</f>
        <v>0</v>
      </c>
      <c r="I215" s="60"/>
      <c r="S215" s="61"/>
      <c r="BV215" s="61"/>
    </row>
    <row r="216" spans="2:74" s="27" customFormat="1" ht="12.75" hidden="1" customHeight="1" x14ac:dyDescent="0.2">
      <c r="B216" s="60" t="s">
        <v>228</v>
      </c>
      <c r="E216" s="27">
        <f>E214</f>
        <v>0</v>
      </c>
      <c r="F216" s="27">
        <f>F214</f>
        <v>0</v>
      </c>
      <c r="G216" s="27">
        <f>G214</f>
        <v>0</v>
      </c>
      <c r="H216" s="61">
        <f>H214</f>
        <v>0</v>
      </c>
      <c r="I216" s="60"/>
      <c r="S216" s="61"/>
      <c r="BV216" s="61"/>
    </row>
    <row r="217" spans="2:74" s="27" customFormat="1" ht="12.75" hidden="1" customHeight="1" x14ac:dyDescent="0.2">
      <c r="B217" s="65" t="s">
        <v>407</v>
      </c>
      <c r="C217" s="66"/>
      <c r="D217" s="66"/>
      <c r="E217" s="66">
        <f>E212+E213</f>
        <v>0</v>
      </c>
      <c r="F217" s="66">
        <f>F212+F213</f>
        <v>0</v>
      </c>
      <c r="G217" s="66">
        <f>G212+G213</f>
        <v>0</v>
      </c>
      <c r="H217" s="67">
        <f>H212+H213</f>
        <v>0</v>
      </c>
      <c r="I217" s="60"/>
      <c r="S217" s="61"/>
      <c r="BV217" s="61"/>
    </row>
    <row r="218" spans="2:74" s="27" customFormat="1" ht="12.75" hidden="1" customHeight="1" x14ac:dyDescent="0.2">
      <c r="B218" s="65"/>
      <c r="C218" s="66"/>
      <c r="D218" s="66"/>
      <c r="E218" s="66"/>
      <c r="F218" s="66"/>
      <c r="G218" s="66"/>
      <c r="H218" s="67"/>
      <c r="I218" s="65"/>
      <c r="J218" s="66"/>
      <c r="K218" s="66"/>
      <c r="L218" s="66"/>
      <c r="M218" s="66"/>
      <c r="N218" s="66"/>
      <c r="O218" s="66"/>
      <c r="P218" s="66"/>
      <c r="Q218" s="66"/>
      <c r="R218" s="66"/>
      <c r="S218" s="67"/>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7"/>
    </row>
    <row r="219" spans="2:74" s="27" customFormat="1" ht="12.75" hidden="1" customHeight="1" x14ac:dyDescent="0.2"/>
    <row r="220" spans="2:74" s="27" customFormat="1" ht="12.75" hidden="1" customHeight="1" x14ac:dyDescent="0.2"/>
    <row r="221" spans="2:74" s="27" customFormat="1" ht="12.75" hidden="1" customHeight="1" x14ac:dyDescent="0.2"/>
    <row r="222" spans="2:74" s="27" customFormat="1" ht="12.75" hidden="1" customHeight="1" x14ac:dyDescent="0.2"/>
    <row r="223" spans="2:74" s="27" customFormat="1" ht="12.75" hidden="1" customHeight="1" x14ac:dyDescent="0.2"/>
    <row r="224" spans="2:74" s="27" customFormat="1" ht="12.75" hidden="1" customHeight="1" x14ac:dyDescent="0.2"/>
    <row r="225" s="27" customFormat="1" ht="12.75" hidden="1" customHeight="1" x14ac:dyDescent="0.2"/>
    <row r="226" s="27" customFormat="1" ht="12.75" hidden="1" customHeight="1" x14ac:dyDescent="0.2"/>
    <row r="227" s="27" customFormat="1" ht="12.75" hidden="1" customHeight="1" x14ac:dyDescent="0.2"/>
    <row r="228" s="27" customFormat="1" ht="12.75" hidden="1" customHeight="1" x14ac:dyDescent="0.2"/>
    <row r="229" s="27" customFormat="1" ht="12.75" hidden="1" customHeight="1" x14ac:dyDescent="0.2"/>
    <row r="230" s="27" customFormat="1" ht="12.75" hidden="1" customHeight="1" x14ac:dyDescent="0.2"/>
    <row r="231" s="27" customFormat="1" ht="12.75" hidden="1" customHeight="1" x14ac:dyDescent="0.2"/>
    <row r="232" s="27" customFormat="1" ht="12.75" hidden="1" customHeight="1" x14ac:dyDescent="0.2"/>
    <row r="233" s="27" customFormat="1" ht="12.75" hidden="1" customHeight="1" x14ac:dyDescent="0.2"/>
    <row r="234" s="27" customFormat="1" ht="12.75" hidden="1" customHeight="1" x14ac:dyDescent="0.2"/>
    <row r="235" s="27" customFormat="1" ht="12.75" hidden="1" customHeight="1" x14ac:dyDescent="0.2"/>
    <row r="236" s="27" customFormat="1" ht="12.75" hidden="1" customHeight="1" x14ac:dyDescent="0.2"/>
    <row r="237" s="27" customFormat="1" ht="12.75" hidden="1" customHeight="1" x14ac:dyDescent="0.2"/>
    <row r="238" s="27" customFormat="1" ht="12.75" hidden="1" customHeight="1" x14ac:dyDescent="0.2"/>
    <row r="239" s="27" customFormat="1" ht="12.75" hidden="1" customHeight="1" x14ac:dyDescent="0.2"/>
    <row r="240" s="27" customFormat="1" ht="12.75" hidden="1" customHeight="1" x14ac:dyDescent="0.2"/>
    <row r="241" s="27" customFormat="1" ht="12.75" hidden="1" customHeight="1" x14ac:dyDescent="0.2"/>
    <row r="242" s="27" customFormat="1" ht="12.75" hidden="1" customHeight="1" x14ac:dyDescent="0.2"/>
    <row r="243" s="27" customFormat="1" ht="12.75" hidden="1" customHeight="1" x14ac:dyDescent="0.2"/>
    <row r="244" s="27" customFormat="1" ht="12.75" hidden="1" customHeight="1" x14ac:dyDescent="0.2"/>
    <row r="245" s="27" customFormat="1" ht="12.75" hidden="1" customHeight="1" x14ac:dyDescent="0.2"/>
    <row r="246" s="27" customFormat="1" ht="12.75" hidden="1" customHeight="1" x14ac:dyDescent="0.2"/>
    <row r="247" s="27" customFormat="1" ht="12.75" hidden="1" customHeight="1" x14ac:dyDescent="0.2"/>
    <row r="248" s="27" customFormat="1" ht="12.75" hidden="1" customHeight="1" x14ac:dyDescent="0.2"/>
    <row r="249" s="27" customFormat="1" ht="12.75" hidden="1" customHeight="1" x14ac:dyDescent="0.2"/>
    <row r="250" s="27" customFormat="1" ht="12.75" hidden="1" customHeight="1" x14ac:dyDescent="0.2"/>
    <row r="251" s="27" customFormat="1" ht="12.75" hidden="1" customHeight="1" x14ac:dyDescent="0.2"/>
    <row r="252" s="27" customFormat="1" ht="12.75" hidden="1" customHeight="1" x14ac:dyDescent="0.2"/>
    <row r="253" s="27" customFormat="1" ht="12.75" hidden="1" customHeight="1" x14ac:dyDescent="0.2"/>
    <row r="254" s="27" customFormat="1" ht="12.75" hidden="1" customHeight="1" x14ac:dyDescent="0.2"/>
    <row r="255" s="27" customFormat="1" ht="12.75" hidden="1" customHeight="1" x14ac:dyDescent="0.2"/>
    <row r="256" s="27" customFormat="1" ht="12.75" hidden="1" customHeight="1" x14ac:dyDescent="0.2"/>
    <row r="257" s="27" customFormat="1" ht="12.75" hidden="1" customHeight="1" x14ac:dyDescent="0.2"/>
    <row r="258" s="27" customFormat="1" ht="12.75" hidden="1" customHeight="1" x14ac:dyDescent="0.2"/>
    <row r="259" s="27" customFormat="1" ht="12.75" hidden="1" customHeight="1" x14ac:dyDescent="0.2"/>
    <row r="260" s="27" customFormat="1" ht="12.75" hidden="1" customHeight="1" x14ac:dyDescent="0.2"/>
    <row r="261" s="27" customFormat="1" ht="12.75" hidden="1" customHeight="1" x14ac:dyDescent="0.2"/>
    <row r="262" s="27" customFormat="1" ht="12.75" hidden="1" customHeight="1" x14ac:dyDescent="0.2"/>
    <row r="263" s="27" customFormat="1" ht="12.75" hidden="1" customHeight="1" x14ac:dyDescent="0.2"/>
    <row r="264" s="27" customFormat="1" ht="12.75" hidden="1" customHeight="1" x14ac:dyDescent="0.2"/>
    <row r="265" s="27" customFormat="1" ht="12.75" hidden="1" customHeight="1" x14ac:dyDescent="0.2"/>
    <row r="266" s="27" customFormat="1" ht="12.75" hidden="1" customHeight="1" x14ac:dyDescent="0.2"/>
    <row r="267" s="27" customFormat="1" ht="12.75" hidden="1" customHeight="1" x14ac:dyDescent="0.2"/>
    <row r="268" s="27" customFormat="1" ht="12.75" hidden="1" customHeight="1" x14ac:dyDescent="0.2"/>
    <row r="269" s="27" customFormat="1" ht="12.75" hidden="1" customHeight="1" x14ac:dyDescent="0.2"/>
    <row r="270" s="27" customFormat="1" ht="12.75" hidden="1" customHeight="1" x14ac:dyDescent="0.2"/>
    <row r="271" s="27" customFormat="1" ht="12.75" hidden="1" customHeight="1" x14ac:dyDescent="0.2"/>
    <row r="272" s="27" customFormat="1" ht="12.75" hidden="1" customHeight="1" x14ac:dyDescent="0.2"/>
    <row r="273" s="27" customFormat="1" ht="12.75" hidden="1" customHeight="1" x14ac:dyDescent="0.2"/>
    <row r="274" s="27" customFormat="1" ht="12.75" hidden="1" customHeight="1" x14ac:dyDescent="0.2"/>
    <row r="275" s="27" customFormat="1" ht="12.75" hidden="1" customHeight="1" x14ac:dyDescent="0.2"/>
    <row r="276" s="27" customFormat="1" ht="12.75" hidden="1" customHeight="1" x14ac:dyDescent="0.2"/>
    <row r="277" s="27" customFormat="1" ht="12.75" hidden="1" customHeight="1" x14ac:dyDescent="0.2"/>
    <row r="278" s="27" customFormat="1" ht="12.75" hidden="1" customHeight="1" x14ac:dyDescent="0.2"/>
    <row r="279" s="27" customFormat="1" ht="12.75" hidden="1" customHeight="1" x14ac:dyDescent="0.2"/>
    <row r="280" s="27" customFormat="1" ht="12.75" hidden="1" customHeight="1" x14ac:dyDescent="0.2"/>
    <row r="281" s="27" customFormat="1" ht="12.75" hidden="1" customHeight="1" x14ac:dyDescent="0.2"/>
    <row r="282" s="27" customFormat="1" ht="12.75" hidden="1" customHeight="1" x14ac:dyDescent="0.2"/>
    <row r="283" s="27" customFormat="1" ht="12.75" hidden="1" customHeight="1" x14ac:dyDescent="0.2"/>
    <row r="284" s="27" customFormat="1" ht="12.75" hidden="1" customHeight="1" x14ac:dyDescent="0.2"/>
    <row r="285" s="27" customFormat="1" ht="12.75" hidden="1" customHeight="1" x14ac:dyDescent="0.2"/>
    <row r="286" s="27" customFormat="1" ht="12.75" hidden="1" customHeight="1" x14ac:dyDescent="0.2"/>
    <row r="287" s="27" customFormat="1" ht="12.75" hidden="1" customHeight="1" x14ac:dyDescent="0.2"/>
    <row r="288" s="27" customFormat="1" ht="12.75" hidden="1" customHeight="1" x14ac:dyDescent="0.2"/>
    <row r="289" spans="2:74" s="27" customFormat="1" ht="12.75" hidden="1" customHeight="1" x14ac:dyDescent="0.2"/>
    <row r="290" spans="2:74" s="27" customFormat="1" ht="11.25" hidden="1" x14ac:dyDescent="0.2"/>
    <row r="291" spans="2:74" s="27" customFormat="1" ht="11.25" x14ac:dyDescent="0.2">
      <c r="B291" s="62" t="s">
        <v>282</v>
      </c>
      <c r="C291" s="63"/>
      <c r="D291" s="63" t="s">
        <v>283</v>
      </c>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4"/>
    </row>
    <row r="292" spans="2:74" s="27" customFormat="1" ht="11.25" x14ac:dyDescent="0.2">
      <c r="B292" s="60" t="s">
        <v>280</v>
      </c>
      <c r="C292" s="27">
        <f>E301*0.4</f>
        <v>0</v>
      </c>
      <c r="D292" s="27">
        <f>E301*0.6</f>
        <v>0</v>
      </c>
      <c r="E292" s="27">
        <f>E301*0.8</f>
        <v>0</v>
      </c>
      <c r="F292" s="27">
        <f>E301*1</f>
        <v>0</v>
      </c>
      <c r="G292" s="27">
        <f>E301*1.2</f>
        <v>0</v>
      </c>
      <c r="H292" s="27">
        <f>E301*1.4</f>
        <v>0</v>
      </c>
      <c r="I292" s="27">
        <f>E301*1.6</f>
        <v>0</v>
      </c>
      <c r="J292" s="27">
        <f>E301*1.8</f>
        <v>0</v>
      </c>
      <c r="K292" s="27">
        <f>E301*2</f>
        <v>0</v>
      </c>
      <c r="BV292" s="61"/>
    </row>
    <row r="293" spans="2:74" s="27" customFormat="1" ht="11.25" x14ac:dyDescent="0.2">
      <c r="B293" s="60" t="s">
        <v>279</v>
      </c>
      <c r="C293" s="27">
        <f t="shared" ref="C293:K293" si="38">$E$298</f>
        <v>0</v>
      </c>
      <c r="D293" s="27">
        <f t="shared" si="38"/>
        <v>0</v>
      </c>
      <c r="E293" s="27">
        <f t="shared" si="38"/>
        <v>0</v>
      </c>
      <c r="F293" s="27">
        <f t="shared" si="38"/>
        <v>0</v>
      </c>
      <c r="G293" s="27">
        <f t="shared" si="38"/>
        <v>0</v>
      </c>
      <c r="H293" s="27">
        <f t="shared" si="38"/>
        <v>0</v>
      </c>
      <c r="I293" s="27">
        <f t="shared" si="38"/>
        <v>0</v>
      </c>
      <c r="J293" s="27">
        <f t="shared" si="38"/>
        <v>0</v>
      </c>
      <c r="K293" s="27">
        <f t="shared" si="38"/>
        <v>0</v>
      </c>
      <c r="BV293" s="61"/>
    </row>
    <row r="294" spans="2:74" s="27" customFormat="1" ht="11.25" x14ac:dyDescent="0.2">
      <c r="B294" s="60" t="s">
        <v>1593</v>
      </c>
      <c r="C294" s="27">
        <f t="shared" ref="C294:K294" si="39">+C292*$E$299</f>
        <v>0</v>
      </c>
      <c r="D294" s="27">
        <f t="shared" si="39"/>
        <v>0</v>
      </c>
      <c r="E294" s="27">
        <f t="shared" si="39"/>
        <v>0</v>
      </c>
      <c r="F294" s="27">
        <f t="shared" si="39"/>
        <v>0</v>
      </c>
      <c r="G294" s="27">
        <f t="shared" si="39"/>
        <v>0</v>
      </c>
      <c r="H294" s="27">
        <f t="shared" si="39"/>
        <v>0</v>
      </c>
      <c r="I294" s="27">
        <f t="shared" si="39"/>
        <v>0</v>
      </c>
      <c r="J294" s="27">
        <f t="shared" si="39"/>
        <v>0</v>
      </c>
      <c r="K294" s="27">
        <f t="shared" si="39"/>
        <v>0</v>
      </c>
      <c r="BV294" s="61"/>
    </row>
    <row r="295" spans="2:74" s="27" customFormat="1" ht="11.25" x14ac:dyDescent="0.2">
      <c r="B295" s="60" t="s">
        <v>1596</v>
      </c>
      <c r="C295" s="27">
        <f t="shared" ref="C295:K295" si="40">+$E$298+C294</f>
        <v>0</v>
      </c>
      <c r="D295" s="27">
        <f t="shared" si="40"/>
        <v>0</v>
      </c>
      <c r="E295" s="27">
        <f t="shared" si="40"/>
        <v>0</v>
      </c>
      <c r="F295" s="27">
        <f t="shared" si="40"/>
        <v>0</v>
      </c>
      <c r="G295" s="27">
        <f t="shared" si="40"/>
        <v>0</v>
      </c>
      <c r="H295" s="27">
        <f t="shared" si="40"/>
        <v>0</v>
      </c>
      <c r="I295" s="27">
        <f t="shared" si="40"/>
        <v>0</v>
      </c>
      <c r="J295" s="27">
        <f t="shared" si="40"/>
        <v>0</v>
      </c>
      <c r="K295" s="27">
        <f t="shared" si="40"/>
        <v>0</v>
      </c>
      <c r="BV295" s="61"/>
    </row>
    <row r="296" spans="2:74" s="27" customFormat="1" ht="11.25" x14ac:dyDescent="0.2">
      <c r="B296" s="60" t="s">
        <v>1595</v>
      </c>
      <c r="C296" s="27">
        <f t="shared" ref="C296:K296" si="41">+C292*$E$300</f>
        <v>0</v>
      </c>
      <c r="D296" s="27">
        <f t="shared" si="41"/>
        <v>0</v>
      </c>
      <c r="E296" s="27">
        <f t="shared" si="41"/>
        <v>0</v>
      </c>
      <c r="F296" s="27">
        <f t="shared" si="41"/>
        <v>0</v>
      </c>
      <c r="G296" s="27">
        <f t="shared" si="41"/>
        <v>0</v>
      </c>
      <c r="H296" s="27">
        <f t="shared" si="41"/>
        <v>0</v>
      </c>
      <c r="I296" s="27">
        <f t="shared" si="41"/>
        <v>0</v>
      </c>
      <c r="J296" s="27">
        <f t="shared" si="41"/>
        <v>0</v>
      </c>
      <c r="K296" s="27">
        <f t="shared" si="41"/>
        <v>0</v>
      </c>
      <c r="BV296" s="61"/>
    </row>
    <row r="297" spans="2:74" s="27" customFormat="1" ht="11.25" x14ac:dyDescent="0.2">
      <c r="B297" s="60" t="s">
        <v>1594</v>
      </c>
      <c r="C297" s="27">
        <f t="shared" ref="C297:K297" si="42">+C296-C295</f>
        <v>0</v>
      </c>
      <c r="D297" s="27">
        <f t="shared" si="42"/>
        <v>0</v>
      </c>
      <c r="E297" s="27">
        <f t="shared" si="42"/>
        <v>0</v>
      </c>
      <c r="F297" s="27">
        <f t="shared" si="42"/>
        <v>0</v>
      </c>
      <c r="G297" s="27">
        <f t="shared" si="42"/>
        <v>0</v>
      </c>
      <c r="H297" s="27">
        <f t="shared" si="42"/>
        <v>0</v>
      </c>
      <c r="I297" s="27">
        <f t="shared" si="42"/>
        <v>0</v>
      </c>
      <c r="J297" s="27">
        <f t="shared" si="42"/>
        <v>0</v>
      </c>
      <c r="K297" s="27">
        <f t="shared" si="42"/>
        <v>0</v>
      </c>
      <c r="BV297" s="61"/>
    </row>
    <row r="298" spans="2:74" s="27" customFormat="1" ht="11.25" x14ac:dyDescent="0.2">
      <c r="B298" s="60"/>
      <c r="D298" s="27" t="s">
        <v>1577</v>
      </c>
      <c r="E298" s="27">
        <f>CResult!$R$58</f>
        <v>0</v>
      </c>
      <c r="BV298" s="61"/>
    </row>
    <row r="299" spans="2:74" s="27" customFormat="1" ht="11.25" x14ac:dyDescent="0.2">
      <c r="B299" s="60"/>
      <c r="D299" s="27" t="s">
        <v>1573</v>
      </c>
      <c r="E299" s="27">
        <f>CResult!$R$62</f>
        <v>0</v>
      </c>
      <c r="BV299" s="61"/>
    </row>
    <row r="300" spans="2:74" s="27" customFormat="1" ht="11.25" x14ac:dyDescent="0.2">
      <c r="B300" s="60"/>
      <c r="D300" s="27" t="s">
        <v>1574</v>
      </c>
      <c r="E300" s="27">
        <f>CResult!$R$64</f>
        <v>0</v>
      </c>
      <c r="BV300" s="61"/>
    </row>
    <row r="301" spans="2:74" s="27" customFormat="1" ht="11.25" x14ac:dyDescent="0.2">
      <c r="B301" s="60"/>
      <c r="D301" s="27" t="s">
        <v>1575</v>
      </c>
      <c r="E301" s="27">
        <f>IF(E300-E299=0,0,E298/(E300-E299))</f>
        <v>0</v>
      </c>
      <c r="BV301" s="61"/>
    </row>
    <row r="302" spans="2:74" s="27" customFormat="1" ht="11.25" x14ac:dyDescent="0.2">
      <c r="B302" s="60"/>
      <c r="E302" s="27">
        <f>IF(E301=0,0,E303)</f>
        <v>0</v>
      </c>
      <c r="BV302" s="61"/>
    </row>
    <row r="303" spans="2:74" s="27" customFormat="1" ht="11.25" x14ac:dyDescent="0.2">
      <c r="B303" s="60"/>
      <c r="D303" s="27" t="s">
        <v>1576</v>
      </c>
      <c r="E303" s="27" t="e">
        <f>ROUNDUP(E298/(E300-E299),0)</f>
        <v>#DIV/0!</v>
      </c>
      <c r="BV303" s="61"/>
    </row>
    <row r="304" spans="2:74" s="27" customFormat="1" ht="11.25" x14ac:dyDescent="0.2">
      <c r="B304" s="60"/>
      <c r="F304" s="27" t="s">
        <v>281</v>
      </c>
      <c r="BV304" s="61"/>
    </row>
    <row r="305" spans="2:75" s="27" customFormat="1" ht="11.25" x14ac:dyDescent="0.2">
      <c r="B305" s="60"/>
      <c r="D305" s="27" t="s">
        <v>401</v>
      </c>
      <c r="E305" s="27">
        <f>+E300*E301</f>
        <v>0</v>
      </c>
      <c r="BV305" s="61"/>
    </row>
    <row r="306" spans="2:75" s="27" customFormat="1" ht="11.25" x14ac:dyDescent="0.2">
      <c r="B306" s="65"/>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7"/>
    </row>
    <row r="307" spans="2:75" s="27" customFormat="1" ht="11.25" hidden="1" x14ac:dyDescent="0.2"/>
    <row r="308" spans="2:75" s="27" customFormat="1" ht="11.25" hidden="1" x14ac:dyDescent="0.2"/>
    <row r="309" spans="2:75" s="27" customFormat="1" ht="11.25" hidden="1" x14ac:dyDescent="0.2">
      <c r="B309" s="27" t="s">
        <v>491</v>
      </c>
    </row>
    <row r="310" spans="2:75" s="27" customFormat="1" ht="11.25" hidden="1" x14ac:dyDescent="0.2">
      <c r="B310" s="62"/>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4"/>
    </row>
    <row r="311" spans="2:75" s="27" customFormat="1" ht="11.25" hidden="1" x14ac:dyDescent="0.2">
      <c r="B311" s="60" t="s">
        <v>66</v>
      </c>
      <c r="C311" s="27">
        <f>IF('5años'!D392&gt;0,'5años'!D392,0)</f>
        <v>0</v>
      </c>
      <c r="D311" s="27" t="e">
        <f>IF('5años'!E392&gt;0,'5años'!E392,0)</f>
        <v>#REF!</v>
      </c>
      <c r="E311" s="27" t="e">
        <f>IF('5años'!F392&gt;0,'5años'!F392,0)</f>
        <v>#REF!</v>
      </c>
      <c r="F311" s="27" t="e">
        <f>IF('5años'!G392&gt;0,'5años'!G392,0)</f>
        <v>#REF!</v>
      </c>
      <c r="G311" s="27" t="e">
        <f>IF('5años'!H392&gt;0,'5años'!H392,0)</f>
        <v>#REF!</v>
      </c>
      <c r="BV311" s="61"/>
    </row>
    <row r="312" spans="2:75" s="27" customFormat="1" ht="11.25" hidden="1" x14ac:dyDescent="0.2">
      <c r="B312" s="60" t="s">
        <v>561</v>
      </c>
      <c r="C312" s="27">
        <f>IF('5años'!D392&lt;0,-'5años'!D392,0)</f>
        <v>0</v>
      </c>
      <c r="D312" s="27" t="e">
        <f>IF('5años'!E392&lt;0,-'5años'!E392,0)</f>
        <v>#REF!</v>
      </c>
      <c r="E312" s="27" t="e">
        <f>IF('5años'!F392&lt;0,-'5años'!F392,0)</f>
        <v>#REF!</v>
      </c>
      <c r="F312" s="27" t="e">
        <f>IF('5años'!G392&lt;0,-'5años'!G392,0)</f>
        <v>#REF!</v>
      </c>
      <c r="G312" s="27" t="e">
        <f>IF('5años'!H392&lt;0,-'5años'!H392,0)</f>
        <v>#REF!</v>
      </c>
      <c r="BV312" s="61"/>
    </row>
    <row r="313" spans="2:75" s="27" customFormat="1" hidden="1" x14ac:dyDescent="0.2">
      <c r="B313" s="60" t="s">
        <v>176</v>
      </c>
      <c r="BV313" s="140" t="e">
        <f>$I$314</f>
        <v>#REF!</v>
      </c>
      <c r="BW313" s="139" t="e">
        <f>IF(BV313=0,0,"Los balances no están cuadrados")</f>
        <v>#REF!</v>
      </c>
    </row>
    <row r="314" spans="2:75" s="27" customFormat="1" ht="11.25" hidden="1" x14ac:dyDescent="0.2">
      <c r="B314" s="60"/>
      <c r="H314" s="145" t="e">
        <f>SUM(C311:H312)</f>
        <v>#REF!</v>
      </c>
      <c r="I314" s="27" t="e">
        <f>ROUND(H314,0)</f>
        <v>#REF!</v>
      </c>
      <c r="BV314" s="61"/>
    </row>
    <row r="315" spans="2:75" s="27" customFormat="1" ht="11.25" hidden="1" x14ac:dyDescent="0.2">
      <c r="B315" s="60"/>
      <c r="BV315" s="61"/>
    </row>
    <row r="316" spans="2:75" s="27" customFormat="1" ht="11.25" hidden="1" x14ac:dyDescent="0.2">
      <c r="B316" s="60" t="s">
        <v>902</v>
      </c>
      <c r="C316" s="27" t="e">
        <f>#REF!</f>
        <v>#REF!</v>
      </c>
      <c r="D316" s="27" t="e">
        <f>#REF!</f>
        <v>#REF!</v>
      </c>
      <c r="E316" s="27" t="e">
        <f>#REF!</f>
        <v>#REF!</v>
      </c>
      <c r="F316" s="27" t="e">
        <f>#REF!</f>
        <v>#REF!</v>
      </c>
      <c r="G316" s="27" t="e">
        <f>#REF!</f>
        <v>#REF!</v>
      </c>
      <c r="BV316" s="61"/>
    </row>
    <row r="317" spans="2:75" s="27" customFormat="1" ht="11.25" hidden="1" x14ac:dyDescent="0.2">
      <c r="B317" s="60"/>
      <c r="BV317" s="61"/>
    </row>
    <row r="318" spans="2:75" s="27" customFormat="1" ht="11.25" hidden="1" x14ac:dyDescent="0.2">
      <c r="B318" s="60" t="s">
        <v>59</v>
      </c>
      <c r="C318" s="27" t="s">
        <v>59</v>
      </c>
      <c r="BV318" s="61"/>
    </row>
    <row r="319" spans="2:75" s="27" customFormat="1" ht="11.25" hidden="1" x14ac:dyDescent="0.2">
      <c r="B319" s="60" t="s">
        <v>900</v>
      </c>
      <c r="C319" s="27">
        <f>CResult!O434</f>
        <v>0</v>
      </c>
      <c r="D319" s="27">
        <f>+D320+D325+D333</f>
        <v>0</v>
      </c>
      <c r="E319" s="27">
        <f>+E320+E325+E333</f>
        <v>0</v>
      </c>
      <c r="F319" s="27">
        <f>+F320+F325+F333</f>
        <v>0</v>
      </c>
      <c r="G319" s="27">
        <f>+G320+G325+G333</f>
        <v>0</v>
      </c>
      <c r="BV319" s="61"/>
    </row>
    <row r="320" spans="2:75" s="27" customFormat="1" ht="11.25" hidden="1" x14ac:dyDescent="0.2">
      <c r="B320" s="60" t="s">
        <v>1355</v>
      </c>
      <c r="C320" s="27">
        <f>CResult!O435</f>
        <v>0</v>
      </c>
      <c r="D320" s="27">
        <f>+D323+D321+D322+D324</f>
        <v>0</v>
      </c>
      <c r="E320" s="27">
        <f>+E323+E321+E322+E324</f>
        <v>0</v>
      </c>
      <c r="F320" s="27">
        <f>+F323+F321+F322+F324</f>
        <v>0</v>
      </c>
      <c r="G320" s="27">
        <f>+G323+G321+G322+G324</f>
        <v>0</v>
      </c>
      <c r="BV320" s="61"/>
    </row>
    <row r="321" spans="2:74" s="27" customFormat="1" ht="11.25" hidden="1" x14ac:dyDescent="0.2">
      <c r="B321" s="60" t="s">
        <v>68</v>
      </c>
      <c r="C321" s="27">
        <f>CResult!O436</f>
        <v>0</v>
      </c>
      <c r="D321" s="27">
        <f>+C321+Pagoinversiones!E30</f>
        <v>0</v>
      </c>
      <c r="E321" s="27">
        <f>+D321+Pagoinversiones!F30</f>
        <v>0</v>
      </c>
      <c r="F321" s="27">
        <f>+E321+Pagoinversiones!G30</f>
        <v>0</v>
      </c>
      <c r="G321" s="27">
        <f>+F321+Pagoinversiones!H30</f>
        <v>0</v>
      </c>
      <c r="BV321" s="61"/>
    </row>
    <row r="322" spans="2:74" s="27" customFormat="1" ht="11.25" hidden="1" x14ac:dyDescent="0.2">
      <c r="B322" s="60" t="str">
        <f>CResult!$C$437</f>
        <v>Gastos amortizables</v>
      </c>
      <c r="C322" s="27">
        <f>CResult!O437</f>
        <v>0</v>
      </c>
      <c r="D322" s="27">
        <f>+C322</f>
        <v>0</v>
      </c>
      <c r="E322" s="27">
        <f>+D322</f>
        <v>0</v>
      </c>
      <c r="F322" s="27">
        <f>+E322</f>
        <v>0</v>
      </c>
      <c r="G322" s="27">
        <f>+F322</f>
        <v>0</v>
      </c>
      <c r="BV322" s="61"/>
    </row>
    <row r="323" spans="2:74" s="27" customFormat="1" ht="11.25" hidden="1" x14ac:dyDescent="0.2">
      <c r="B323" s="60" t="str">
        <f>CResult!$C$438</f>
        <v>Activos en leasing</v>
      </c>
      <c r="C323" s="27">
        <f>CResult!O438</f>
        <v>0</v>
      </c>
      <c r="D323" s="27">
        <f>+C323+Pagoinversiones!E14</f>
        <v>0</v>
      </c>
      <c r="E323" s="27">
        <f>+D323+Pagoinversiones!F14</f>
        <v>0</v>
      </c>
      <c r="F323" s="27">
        <f>+E323+Pagoinversiones!G14</f>
        <v>0</v>
      </c>
      <c r="G323" s="27">
        <f>+F323+Pagoinversiones!H14</f>
        <v>0</v>
      </c>
      <c r="BV323" s="61"/>
    </row>
    <row r="324" spans="2:74" s="27" customFormat="1" ht="11.25" hidden="1" x14ac:dyDescent="0.2">
      <c r="B324" s="60" t="s">
        <v>1188</v>
      </c>
      <c r="C324" s="27">
        <f>CResult!$O$439</f>
        <v>0</v>
      </c>
      <c r="D324" s="27">
        <f>-Amortizaciones!E34</f>
        <v>0</v>
      </c>
      <c r="E324" s="27">
        <f>-Amortizaciones!F34</f>
        <v>0</v>
      </c>
      <c r="F324" s="27">
        <f>-Amortizaciones!G34</f>
        <v>0</v>
      </c>
      <c r="G324" s="27">
        <f>-Amortizaciones!H34</f>
        <v>0</v>
      </c>
      <c r="BV324" s="61"/>
    </row>
    <row r="325" spans="2:74" s="27" customFormat="1" ht="11.25" hidden="1" x14ac:dyDescent="0.2">
      <c r="B325" s="60" t="s">
        <v>1356</v>
      </c>
      <c r="C325" s="27">
        <f>CResult!O440</f>
        <v>0</v>
      </c>
      <c r="D325" s="27">
        <f>+D326+D327+D328+D329+D330+D331+D332</f>
        <v>0</v>
      </c>
      <c r="E325" s="27">
        <f>+E326+E327+E328+E329+E330+E331+E332</f>
        <v>0</v>
      </c>
      <c r="F325" s="27">
        <f>+F326+F327+F328+F329+F330+F331+F332</f>
        <v>0</v>
      </c>
      <c r="G325" s="27">
        <f>+G326+G327+G328+G329+G330+G331+G332</f>
        <v>0</v>
      </c>
      <c r="BV325" s="61"/>
    </row>
    <row r="326" spans="2:74" s="27" customFormat="1" ht="11.25" hidden="1" x14ac:dyDescent="0.2">
      <c r="B326" s="60" t="str">
        <f>SB!X192</f>
        <v>Terrenos, construcciones y edificaciones</v>
      </c>
      <c r="C326" s="27">
        <f>CResult!O441</f>
        <v>0</v>
      </c>
      <c r="D326" s="27">
        <f>+C326+Pagoinversiones!E24</f>
        <v>0</v>
      </c>
      <c r="E326" s="27">
        <f>+D326+Pagoinversiones!F24</f>
        <v>0</v>
      </c>
      <c r="F326" s="27">
        <f>+E326+Pagoinversiones!G24</f>
        <v>0</v>
      </c>
      <c r="G326" s="27">
        <f>+F326+Pagoinversiones!H24</f>
        <v>0</v>
      </c>
      <c r="BV326" s="61"/>
    </row>
    <row r="327" spans="2:74" s="27" customFormat="1" ht="11.25" hidden="1" x14ac:dyDescent="0.2">
      <c r="B327" s="60" t="str">
        <f>SB!X193</f>
        <v>Otras instalaciones</v>
      </c>
      <c r="C327" s="27">
        <f>CResult!O442</f>
        <v>0</v>
      </c>
      <c r="D327" s="27">
        <f>+C327+Pagoinversiones!E25</f>
        <v>0</v>
      </c>
      <c r="E327" s="27">
        <f>+D327+Pagoinversiones!F25</f>
        <v>0</v>
      </c>
      <c r="F327" s="27">
        <f>+E327+Pagoinversiones!G25</f>
        <v>0</v>
      </c>
      <c r="G327" s="27">
        <f>+F327+Pagoinversiones!H25</f>
        <v>0</v>
      </c>
      <c r="BV327" s="61"/>
    </row>
    <row r="328" spans="2:74" s="27" customFormat="1" ht="11.25" hidden="1" x14ac:dyDescent="0.2">
      <c r="B328" s="60" t="str">
        <f>SB!X194</f>
        <v>Maquinaria, utillaje y herramientas</v>
      </c>
      <c r="C328" s="27">
        <f>CResult!O443</f>
        <v>0</v>
      </c>
      <c r="D328" s="27">
        <f>+C328+Pagoinversiones!E26</f>
        <v>0</v>
      </c>
      <c r="E328" s="27">
        <f>+D328+Pagoinversiones!F26</f>
        <v>0</v>
      </c>
      <c r="F328" s="27">
        <f>+E328+Pagoinversiones!G26</f>
        <v>0</v>
      </c>
      <c r="G328" s="27">
        <f>+F328+Pagoinversiones!H26</f>
        <v>0</v>
      </c>
      <c r="BV328" s="61"/>
    </row>
    <row r="329" spans="2:74" s="27" customFormat="1" ht="11.25" hidden="1" x14ac:dyDescent="0.2">
      <c r="B329" s="60" t="str">
        <f>SB!X195</f>
        <v>Vehículos y elementos de transporte</v>
      </c>
      <c r="C329" s="27">
        <f>CResult!O444</f>
        <v>0</v>
      </c>
      <c r="D329" s="27">
        <f>+C329+Pagoinversiones!E27</f>
        <v>0</v>
      </c>
      <c r="E329" s="27">
        <f>+D329+Pagoinversiones!F27</f>
        <v>0</v>
      </c>
      <c r="F329" s="27">
        <f>+E329+Pagoinversiones!G27</f>
        <v>0</v>
      </c>
      <c r="G329" s="27">
        <f>+F329+Pagoinversiones!H27</f>
        <v>0</v>
      </c>
      <c r="BV329" s="61"/>
    </row>
    <row r="330" spans="2:74" s="27" customFormat="1" ht="11.25" hidden="1" x14ac:dyDescent="0.2">
      <c r="B330" s="60" t="str">
        <f>SB!X196</f>
        <v>Mobiliario y equipos oficina</v>
      </c>
      <c r="C330" s="27">
        <f>CResult!O445</f>
        <v>0</v>
      </c>
      <c r="D330" s="27">
        <f>+C330+Pagoinversiones!E28</f>
        <v>0</v>
      </c>
      <c r="E330" s="27">
        <f>+D330+Pagoinversiones!F28</f>
        <v>0</v>
      </c>
      <c r="F330" s="27">
        <f>+E330+Pagoinversiones!G28</f>
        <v>0</v>
      </c>
      <c r="G330" s="27">
        <f>+F330+Pagoinversiones!H28</f>
        <v>0</v>
      </c>
      <c r="BV330" s="61"/>
    </row>
    <row r="331" spans="2:74" s="27" customFormat="1" ht="11.25" hidden="1" x14ac:dyDescent="0.2">
      <c r="B331" s="60" t="str">
        <f>SB!X197</f>
        <v>Equipos informáticos</v>
      </c>
      <c r="C331" s="27">
        <f>CResult!O446</f>
        <v>0</v>
      </c>
      <c r="D331" s="27">
        <f>+C331+Pagoinversiones!E29</f>
        <v>0</v>
      </c>
      <c r="E331" s="27">
        <f>+D331+Pagoinversiones!F29</f>
        <v>0</v>
      </c>
      <c r="F331" s="27">
        <f>+E331+Pagoinversiones!G29</f>
        <v>0</v>
      </c>
      <c r="G331" s="27">
        <f>+F331+Pagoinversiones!H29</f>
        <v>0</v>
      </c>
      <c r="BV331" s="61"/>
    </row>
    <row r="332" spans="2:74" s="27" customFormat="1" ht="11.25" hidden="1" x14ac:dyDescent="0.2">
      <c r="B332" s="60" t="s">
        <v>1189</v>
      </c>
      <c r="C332" s="27">
        <f>CResult!$O$447</f>
        <v>0</v>
      </c>
      <c r="D332" s="27">
        <f>-Amortizaciones!E33</f>
        <v>0</v>
      </c>
      <c r="E332" s="27">
        <f>-Amortizaciones!F33</f>
        <v>0</v>
      </c>
      <c r="F332" s="27">
        <f>-Amortizaciones!G33</f>
        <v>0</v>
      </c>
      <c r="G332" s="27">
        <f>-Amortizaciones!H33</f>
        <v>0</v>
      </c>
      <c r="BV332" s="61"/>
    </row>
    <row r="333" spans="2:74" s="27" customFormat="1" ht="11.25" hidden="1" x14ac:dyDescent="0.2">
      <c r="B333" s="60" t="s">
        <v>1357</v>
      </c>
      <c r="C333" s="27">
        <f>SUM(C334:C334)</f>
        <v>0</v>
      </c>
      <c r="D333" s="27">
        <f>SUM(D334:D334)</f>
        <v>0</v>
      </c>
      <c r="E333" s="27">
        <f>SUM(E334:E334)</f>
        <v>0</v>
      </c>
      <c r="F333" s="27">
        <f>SUM(F334:F334)</f>
        <v>0</v>
      </c>
      <c r="G333" s="27">
        <f>SUM(G334:G334)</f>
        <v>0</v>
      </c>
      <c r="BV333" s="61"/>
    </row>
    <row r="334" spans="2:74" s="27" customFormat="1" ht="11.25" hidden="1" x14ac:dyDescent="0.2">
      <c r="B334" s="60" t="s">
        <v>903</v>
      </c>
      <c r="C334" s="27">
        <f>CResult!O449</f>
        <v>0</v>
      </c>
      <c r="D334" s="27">
        <f>+C334</f>
        <v>0</v>
      </c>
      <c r="E334" s="27">
        <f>+D334</f>
        <v>0</v>
      </c>
      <c r="F334" s="27">
        <f>+E334</f>
        <v>0</v>
      </c>
      <c r="G334" s="27">
        <f>+F334</f>
        <v>0</v>
      </c>
      <c r="BV334" s="61"/>
    </row>
    <row r="335" spans="2:74" s="27" customFormat="1" ht="11.25" hidden="1" x14ac:dyDescent="0.2">
      <c r="B335" s="60" t="s">
        <v>905</v>
      </c>
      <c r="C335" s="27">
        <f>CResult!O450</f>
        <v>0</v>
      </c>
      <c r="D335" s="27" t="e">
        <f>+D336+D338+D346</f>
        <v>#REF!</v>
      </c>
      <c r="E335" s="27" t="e">
        <f>+E336+E338+E346</f>
        <v>#REF!</v>
      </c>
      <c r="F335" s="27" t="e">
        <f>+F336+F338+F346</f>
        <v>#REF!</v>
      </c>
      <c r="G335" s="27" t="e">
        <f>+G336+G338+G346</f>
        <v>#REF!</v>
      </c>
      <c r="BV335" s="61"/>
    </row>
    <row r="336" spans="2:74" s="27" customFormat="1" ht="11.25" hidden="1" x14ac:dyDescent="0.2">
      <c r="B336" s="60" t="str">
        <f>CResult!C451</f>
        <v>EXISTENCIAS</v>
      </c>
      <c r="C336" s="27">
        <f>CResult!O451</f>
        <v>0</v>
      </c>
      <c r="D336" s="27">
        <f>SUM(D337:D337)</f>
        <v>0</v>
      </c>
      <c r="E336" s="27">
        <f>SUM(E337:E337)</f>
        <v>0</v>
      </c>
      <c r="F336" s="27">
        <f>SUM(F337:F337)</f>
        <v>0</v>
      </c>
      <c r="G336" s="27">
        <f>SUM(G337:G337)</f>
        <v>0</v>
      </c>
      <c r="BV336" s="61"/>
    </row>
    <row r="337" spans="2:74" s="27" customFormat="1" ht="11.25" hidden="1" x14ac:dyDescent="0.2">
      <c r="B337" s="60" t="str">
        <f>CResult!C452</f>
        <v>Stocks</v>
      </c>
      <c r="C337" s="27">
        <f>CResult!O452</f>
        <v>0</v>
      </c>
      <c r="D337" s="27">
        <f>'5años'!E92</f>
        <v>0</v>
      </c>
      <c r="E337" s="27">
        <f>'5años'!F92</f>
        <v>0</v>
      </c>
      <c r="F337" s="27">
        <f>'5años'!G92</f>
        <v>0</v>
      </c>
      <c r="G337" s="27">
        <f>'5años'!H92</f>
        <v>0</v>
      </c>
      <c r="BV337" s="61"/>
    </row>
    <row r="338" spans="2:74" s="27" customFormat="1" ht="11.25" hidden="1" x14ac:dyDescent="0.2">
      <c r="B338" s="60" t="s">
        <v>904</v>
      </c>
      <c r="C338" s="27">
        <f>CResult!O453</f>
        <v>0</v>
      </c>
      <c r="D338" s="27" t="e">
        <f>+D339+D342+D345</f>
        <v>#REF!</v>
      </c>
      <c r="E338" s="27" t="e">
        <f>+E339+E342+E345</f>
        <v>#REF!</v>
      </c>
      <c r="F338" s="27" t="e">
        <f>+F339+F342+F345</f>
        <v>#REF!</v>
      </c>
      <c r="G338" s="27" t="e">
        <f>+G339+G342+G345</f>
        <v>#REF!</v>
      </c>
      <c r="BV338" s="61"/>
    </row>
    <row r="339" spans="2:74" s="27" customFormat="1" ht="11.25" hidden="1" x14ac:dyDescent="0.2">
      <c r="B339" s="60" t="s">
        <v>1358</v>
      </c>
      <c r="C339" s="27">
        <f>CResult!O454</f>
        <v>0</v>
      </c>
      <c r="D339" s="27">
        <f>SUM(D340:D341)</f>
        <v>0</v>
      </c>
      <c r="E339" s="27">
        <f>SUM(E340:E341)</f>
        <v>0</v>
      </c>
      <c r="F339" s="27">
        <f>SUM(F340:F341)</f>
        <v>0</v>
      </c>
      <c r="G339" s="27">
        <f>SUM(G340:G341)</f>
        <v>0</v>
      </c>
      <c r="BV339" s="61"/>
    </row>
    <row r="340" spans="2:74" s="27" customFormat="1" ht="11.25" hidden="1" x14ac:dyDescent="0.2">
      <c r="B340" s="60" t="s">
        <v>61</v>
      </c>
      <c r="C340" s="27">
        <f>CResult!O455</f>
        <v>0</v>
      </c>
      <c r="D340" s="27">
        <f>'5años'!E40</f>
        <v>0</v>
      </c>
      <c r="E340" s="27">
        <f>'5años'!F40</f>
        <v>0</v>
      </c>
      <c r="F340" s="27">
        <f>'5años'!G40</f>
        <v>0</v>
      </c>
      <c r="G340" s="27">
        <f>'5años'!H40</f>
        <v>0</v>
      </c>
      <c r="BV340" s="61"/>
    </row>
    <row r="341" spans="2:74" s="27" customFormat="1" ht="11.25" hidden="1" x14ac:dyDescent="0.2">
      <c r="B341" s="60" t="s">
        <v>275</v>
      </c>
      <c r="C341" s="27">
        <f>CResult!O456</f>
        <v>0</v>
      </c>
      <c r="D341" s="27">
        <f>-'5años'!E41</f>
        <v>0</v>
      </c>
      <c r="E341" s="27">
        <f>-'5años'!F41</f>
        <v>0</v>
      </c>
      <c r="F341" s="27">
        <f>-'5años'!G41</f>
        <v>0</v>
      </c>
      <c r="G341" s="27">
        <f>-'5años'!H41</f>
        <v>0</v>
      </c>
      <c r="BV341" s="61"/>
    </row>
    <row r="342" spans="2:74" s="27" customFormat="1" ht="11.25" hidden="1" x14ac:dyDescent="0.2">
      <c r="B342" s="60" t="s">
        <v>74</v>
      </c>
      <c r="C342" s="27">
        <f>CResult!O457</f>
        <v>0</v>
      </c>
      <c r="D342" s="27" t="e">
        <f>SUM(D343:D344)</f>
        <v>#REF!</v>
      </c>
      <c r="E342" s="27" t="e">
        <f>SUM(E343:E344)</f>
        <v>#REF!</v>
      </c>
      <c r="F342" s="27" t="e">
        <f>SUM(F343:F344)</f>
        <v>#REF!</v>
      </c>
      <c r="G342" s="27" t="e">
        <f>SUM(G343:G344)</f>
        <v>#REF!</v>
      </c>
      <c r="BV342" s="61"/>
    </row>
    <row r="343" spans="2:74" s="27" customFormat="1" ht="11.25" hidden="1" x14ac:dyDescent="0.2">
      <c r="B343" s="60" t="s">
        <v>424</v>
      </c>
      <c r="C343" s="27">
        <f>CResult!O458</f>
        <v>0</v>
      </c>
      <c r="D343" s="27" t="e">
        <f>T168</f>
        <v>#REF!</v>
      </c>
      <c r="E343" s="27" t="e">
        <f>U168</f>
        <v>#REF!</v>
      </c>
      <c r="F343" s="27" t="e">
        <f>V168</f>
        <v>#REF!</v>
      </c>
      <c r="G343" s="27" t="e">
        <f>W168</f>
        <v>#REF!</v>
      </c>
      <c r="BV343" s="61"/>
    </row>
    <row r="344" spans="2:74" s="27" customFormat="1" ht="11.25" hidden="1" x14ac:dyDescent="0.2">
      <c r="B344" s="60" t="s">
        <v>1569</v>
      </c>
      <c r="D344" s="27">
        <f>D313</f>
        <v>0</v>
      </c>
      <c r="E344" s="27">
        <f>E313</f>
        <v>0</v>
      </c>
      <c r="F344" s="27">
        <f>F313</f>
        <v>0</v>
      </c>
      <c r="G344" s="27">
        <f>G313</f>
        <v>0</v>
      </c>
      <c r="BV344" s="61"/>
    </row>
    <row r="345" spans="2:74" s="27" customFormat="1" ht="11.25" hidden="1" x14ac:dyDescent="0.2">
      <c r="B345" s="60" t="str">
        <f>CResult!$C$460</f>
        <v>Socios</v>
      </c>
      <c r="C345" s="27">
        <f>CResult!$O$460</f>
        <v>0</v>
      </c>
      <c r="BV345" s="61"/>
    </row>
    <row r="346" spans="2:74" s="27" customFormat="1" ht="11.25" hidden="1" x14ac:dyDescent="0.2">
      <c r="B346" s="60" t="s">
        <v>85</v>
      </c>
      <c r="C346" s="27">
        <f>+C347</f>
        <v>0</v>
      </c>
      <c r="D346" s="27" t="e">
        <f>+D347</f>
        <v>#REF!</v>
      </c>
      <c r="E346" s="27" t="e">
        <f>+E347</f>
        <v>#REF!</v>
      </c>
      <c r="F346" s="27" t="e">
        <f>+F347</f>
        <v>#REF!</v>
      </c>
      <c r="G346" s="27" t="e">
        <f>+G347</f>
        <v>#REF!</v>
      </c>
      <c r="BV346" s="61"/>
    </row>
    <row r="347" spans="2:74" s="27" customFormat="1" ht="11.25" hidden="1" x14ac:dyDescent="0.2">
      <c r="B347" s="60" t="s">
        <v>75</v>
      </c>
      <c r="C347" s="27">
        <f>CResult!O462</f>
        <v>0</v>
      </c>
      <c r="D347" s="27" t="e">
        <f>#REF!</f>
        <v>#REF!</v>
      </c>
      <c r="E347" s="27" t="e">
        <f>#REF!</f>
        <v>#REF!</v>
      </c>
      <c r="F347" s="27" t="e">
        <f>#REF!</f>
        <v>#REF!</v>
      </c>
      <c r="G347" s="27" t="e">
        <f>#REF!</f>
        <v>#REF!</v>
      </c>
      <c r="BV347" s="61"/>
    </row>
    <row r="348" spans="2:74" s="27" customFormat="1" ht="11.25" hidden="1" x14ac:dyDescent="0.2">
      <c r="B348" s="60" t="s">
        <v>62</v>
      </c>
      <c r="C348" s="27">
        <f>CResult!O463</f>
        <v>0</v>
      </c>
      <c r="D348" s="27" t="e">
        <f>+D335+D319</f>
        <v>#REF!</v>
      </c>
      <c r="E348" s="27" t="e">
        <f>+E335+E319</f>
        <v>#REF!</v>
      </c>
      <c r="F348" s="27" t="e">
        <f>+F335+F319</f>
        <v>#REF!</v>
      </c>
      <c r="G348" s="27" t="e">
        <f>+G335+G319</f>
        <v>#REF!</v>
      </c>
      <c r="BV348" s="61"/>
    </row>
    <row r="349" spans="2:74" s="27" customFormat="1" ht="11.25" hidden="1" x14ac:dyDescent="0.2">
      <c r="B349" s="60"/>
      <c r="BV349" s="61"/>
    </row>
    <row r="350" spans="2:74" s="27" customFormat="1" ht="11.25" hidden="1" x14ac:dyDescent="0.2">
      <c r="B350" s="60" t="s">
        <v>65</v>
      </c>
      <c r="C350" s="27" t="s">
        <v>712</v>
      </c>
      <c r="BV350" s="61"/>
    </row>
    <row r="351" spans="2:74" s="27" customFormat="1" ht="11.25" hidden="1" x14ac:dyDescent="0.2">
      <c r="B351" s="60" t="s">
        <v>906</v>
      </c>
      <c r="C351" s="27">
        <f>CResult!O466</f>
        <v>0</v>
      </c>
      <c r="D351" s="27" t="e">
        <f>+D352+D356</f>
        <v>#REF!</v>
      </c>
      <c r="E351" s="27" t="e">
        <f>+E352+E356</f>
        <v>#REF!</v>
      </c>
      <c r="F351" s="27" t="e">
        <f>+F352+F356</f>
        <v>#REF!</v>
      </c>
      <c r="G351" s="27" t="e">
        <f>+G352+G356</f>
        <v>#REF!</v>
      </c>
      <c r="BV351" s="61"/>
    </row>
    <row r="352" spans="2:74" s="27" customFormat="1" ht="11.25" hidden="1" x14ac:dyDescent="0.2">
      <c r="B352" s="60" t="s">
        <v>845</v>
      </c>
      <c r="C352" s="27">
        <f>CResult!O467</f>
        <v>0</v>
      </c>
      <c r="D352" s="27" t="e">
        <f>+D353+D355</f>
        <v>#REF!</v>
      </c>
      <c r="E352" s="27" t="e">
        <f>+E353+E355</f>
        <v>#REF!</v>
      </c>
      <c r="F352" s="27" t="e">
        <f>+F353+F355</f>
        <v>#REF!</v>
      </c>
      <c r="G352" s="27" t="e">
        <f>+G353+G355</f>
        <v>#REF!</v>
      </c>
      <c r="BV352" s="61"/>
    </row>
    <row r="353" spans="2:74" s="27" customFormat="1" ht="11.25" hidden="1" x14ac:dyDescent="0.2">
      <c r="B353" s="60" t="str">
        <f>CResult!C468</f>
        <v>Capital</v>
      </c>
      <c r="C353" s="27">
        <f>CResult!O468</f>
        <v>0</v>
      </c>
      <c r="D353" s="27">
        <f>SUM(D354:D354)</f>
        <v>0</v>
      </c>
      <c r="E353" s="27">
        <f>SUM(E354:E354)</f>
        <v>0</v>
      </c>
      <c r="F353" s="27">
        <f>SUM(F354:F354)</f>
        <v>0</v>
      </c>
      <c r="G353" s="27">
        <f>SUM(G354:G354)</f>
        <v>0</v>
      </c>
      <c r="BV353" s="61"/>
    </row>
    <row r="354" spans="2:74" s="27" customFormat="1" ht="11.25" hidden="1" x14ac:dyDescent="0.2">
      <c r="B354" s="60" t="str">
        <f>CResult!C469</f>
        <v>Capital escriturado</v>
      </c>
      <c r="C354" s="27">
        <f>CResult!O469</f>
        <v>0</v>
      </c>
      <c r="D354" s="27">
        <f>+C354</f>
        <v>0</v>
      </c>
      <c r="E354" s="27">
        <f>+D354</f>
        <v>0</v>
      </c>
      <c r="F354" s="27">
        <f>+E354</f>
        <v>0</v>
      </c>
      <c r="G354" s="27">
        <f>+F354</f>
        <v>0</v>
      </c>
      <c r="BV354" s="61"/>
    </row>
    <row r="355" spans="2:74" s="27" customFormat="1" ht="11.25" hidden="1" x14ac:dyDescent="0.2">
      <c r="B355" s="60" t="s">
        <v>1395</v>
      </c>
      <c r="C355" s="27">
        <f>CResult!O470</f>
        <v>0</v>
      </c>
      <c r="D355" s="27" t="e">
        <f>'5años'!E394+'5años'!E395</f>
        <v>#REF!</v>
      </c>
      <c r="E355" s="27" t="e">
        <f>'5años'!F394+'5años'!F395</f>
        <v>#REF!</v>
      </c>
      <c r="F355" s="27" t="e">
        <f>'5años'!G394+'5años'!G395</f>
        <v>#REF!</v>
      </c>
      <c r="G355" s="27" t="e">
        <f>'5años'!H394+'5años'!H395</f>
        <v>#REF!</v>
      </c>
      <c r="BV355" s="61"/>
    </row>
    <row r="356" spans="2:74" s="27" customFormat="1" ht="11.25" hidden="1" x14ac:dyDescent="0.2">
      <c r="B356" s="60" t="str">
        <f>CResult!C472</f>
        <v>SUBVENCIONES</v>
      </c>
      <c r="C356" s="27">
        <f>CResult!O472</f>
        <v>0</v>
      </c>
      <c r="D356" s="27">
        <f>SUM(D357:D357)</f>
        <v>0</v>
      </c>
      <c r="E356" s="27">
        <f>SUM(E357:E357)</f>
        <v>0</v>
      </c>
      <c r="F356" s="27">
        <f>SUM(F357:F357)</f>
        <v>0</v>
      </c>
      <c r="G356" s="27">
        <f>SUM(G357:G357)</f>
        <v>0</v>
      </c>
      <c r="BV356" s="61"/>
    </row>
    <row r="357" spans="2:74" s="27" customFormat="1" ht="11.25" hidden="1" x14ac:dyDescent="0.2">
      <c r="B357" s="60" t="str">
        <f>CResult!C473</f>
        <v>Subvenciones previstas</v>
      </c>
      <c r="C357" s="27">
        <f>CResult!O473</f>
        <v>0</v>
      </c>
      <c r="D357" s="27">
        <f>+C357</f>
        <v>0</v>
      </c>
      <c r="E357" s="27">
        <f>+D357</f>
        <v>0</v>
      </c>
      <c r="F357" s="27">
        <f>+E357</f>
        <v>0</v>
      </c>
      <c r="G357" s="27">
        <f>+F357</f>
        <v>0</v>
      </c>
      <c r="BV357" s="61"/>
    </row>
    <row r="358" spans="2:74" s="27" customFormat="1" ht="11.25" hidden="1" x14ac:dyDescent="0.2">
      <c r="B358" s="60" t="str">
        <f>CResult!C474</f>
        <v>PASIVO</v>
      </c>
      <c r="C358" s="27">
        <f>CResult!O474</f>
        <v>0</v>
      </c>
      <c r="D358" s="27" t="e">
        <f>+D359+D366</f>
        <v>#REF!</v>
      </c>
      <c r="E358" s="27" t="e">
        <f>+E359+E366</f>
        <v>#REF!</v>
      </c>
      <c r="F358" s="27" t="e">
        <f>+F359+F366</f>
        <v>#REF!</v>
      </c>
      <c r="G358" s="27" t="e">
        <f>+G359+G366</f>
        <v>#REF!</v>
      </c>
      <c r="BV358" s="61"/>
    </row>
    <row r="359" spans="2:74" s="27" customFormat="1" ht="11.25" hidden="1" x14ac:dyDescent="0.2">
      <c r="B359" s="60" t="str">
        <f>CResult!C475</f>
        <v>NO CORRIENTE</v>
      </c>
      <c r="C359" s="27">
        <f>CResult!O475</f>
        <v>0</v>
      </c>
      <c r="D359" s="27">
        <f>+D360</f>
        <v>0</v>
      </c>
      <c r="E359" s="27">
        <f>+E360</f>
        <v>0</v>
      </c>
      <c r="F359" s="27">
        <f>+F360</f>
        <v>0</v>
      </c>
      <c r="G359" s="27">
        <f>+G360</f>
        <v>0</v>
      </c>
      <c r="BV359" s="61"/>
    </row>
    <row r="360" spans="2:74" s="27" customFormat="1" ht="11.25" hidden="1" x14ac:dyDescent="0.2">
      <c r="B360" s="60" t="str">
        <f>CResult!C476</f>
        <v>DEUDAS a largo plazo</v>
      </c>
      <c r="C360" s="27">
        <f>CResult!O476</f>
        <v>0</v>
      </c>
      <c r="D360" s="27">
        <f>+D361+D364</f>
        <v>0</v>
      </c>
      <c r="E360" s="27">
        <f>+E361+E364</f>
        <v>0</v>
      </c>
      <c r="F360" s="27">
        <f>+F361+F364</f>
        <v>0</v>
      </c>
      <c r="G360" s="27">
        <f>+G361+G364</f>
        <v>0</v>
      </c>
      <c r="BV360" s="61"/>
    </row>
    <row r="361" spans="2:74" s="27" customFormat="1" ht="11.25" hidden="1" x14ac:dyDescent="0.2">
      <c r="B361" s="60" t="str">
        <f>CResult!C477</f>
        <v>Préstamos largo plazo</v>
      </c>
      <c r="C361" s="27">
        <f>CResult!O477</f>
        <v>0</v>
      </c>
      <c r="D361" s="27">
        <f>SUM(D362:D363)</f>
        <v>0</v>
      </c>
      <c r="E361" s="27">
        <f>SUM(E362:E363)</f>
        <v>0</v>
      </c>
      <c r="F361" s="27">
        <f>SUM(F362:F363)</f>
        <v>0</v>
      </c>
      <c r="G361" s="27">
        <f>SUM(G362:G363)</f>
        <v>0</v>
      </c>
      <c r="BV361" s="61"/>
    </row>
    <row r="362" spans="2:74" s="27" customFormat="1" ht="11.25" hidden="1" x14ac:dyDescent="0.2">
      <c r="B362" s="60" t="str">
        <f>CResult!C478</f>
        <v>Sdo préstamos largo plazo</v>
      </c>
      <c r="C362" s="27">
        <f>CResult!$O$478</f>
        <v>0</v>
      </c>
      <c r="D362" s="27">
        <f>prestamos!E30</f>
        <v>0</v>
      </c>
      <c r="E362" s="27">
        <f>prestamos!F30</f>
        <v>0</v>
      </c>
      <c r="F362" s="27">
        <f>prestamos!G30</f>
        <v>0</v>
      </c>
      <c r="G362" s="27">
        <f>prestamos!H30</f>
        <v>0</v>
      </c>
      <c r="BV362" s="61"/>
    </row>
    <row r="363" spans="2:74" s="27" customFormat="1" ht="11.25" hidden="1" x14ac:dyDescent="0.2">
      <c r="B363" s="60" t="str">
        <f>CResult!$C$479</f>
        <v>Sdo préstamos interés "0"</v>
      </c>
      <c r="C363" s="27">
        <f>CResult!$O$479</f>
        <v>0</v>
      </c>
      <c r="D363" s="27">
        <f>prestamos!E31</f>
        <v>0</v>
      </c>
      <c r="E363" s="27">
        <f>prestamos!F31</f>
        <v>0</v>
      </c>
      <c r="F363" s="27">
        <f>prestamos!G31</f>
        <v>0</v>
      </c>
      <c r="G363" s="27">
        <f>prestamos!H31</f>
        <v>0</v>
      </c>
      <c r="BV363" s="61"/>
    </row>
    <row r="364" spans="2:74" s="27" customFormat="1" ht="11.25" hidden="1" x14ac:dyDescent="0.2">
      <c r="B364" s="60" t="str">
        <f>CResult!C480</f>
        <v>Leasings (inmov)</v>
      </c>
      <c r="C364" s="27">
        <f>CResult!O480</f>
        <v>0</v>
      </c>
      <c r="D364" s="27">
        <f>SUM(D365:D365)</f>
        <v>0</v>
      </c>
      <c r="E364" s="27">
        <f>SUM(E365:E365)</f>
        <v>0</v>
      </c>
      <c r="F364" s="27">
        <f>SUM(F365:F365)</f>
        <v>0</v>
      </c>
      <c r="G364" s="27">
        <f>SUM(G365:G365)</f>
        <v>0</v>
      </c>
      <c r="BV364" s="61"/>
    </row>
    <row r="365" spans="2:74" s="27" customFormat="1" ht="11.25" hidden="1" x14ac:dyDescent="0.2">
      <c r="B365" s="60" t="str">
        <f>CResult!C481</f>
        <v>Saldo Leasings</v>
      </c>
      <c r="C365" s="27">
        <f>CResult!O481</f>
        <v>0</v>
      </c>
      <c r="D365" s="27">
        <f>Pagoinversiones!E18</f>
        <v>0</v>
      </c>
      <c r="E365" s="27">
        <f>Pagoinversiones!F18</f>
        <v>0</v>
      </c>
      <c r="F365" s="27">
        <f>Pagoinversiones!G18</f>
        <v>0</v>
      </c>
      <c r="G365" s="27">
        <f>Pagoinversiones!H18</f>
        <v>0</v>
      </c>
      <c r="BV365" s="61"/>
    </row>
    <row r="366" spans="2:74" s="27" customFormat="1" ht="11.25" hidden="1" x14ac:dyDescent="0.2">
      <c r="B366" s="60" t="str">
        <f>CResult!C482</f>
        <v>CORRIENTE</v>
      </c>
      <c r="C366" s="27">
        <f>CResult!O482</f>
        <v>0</v>
      </c>
      <c r="D366" s="27" t="e">
        <f>+D372+D369+D378+D367</f>
        <v>#REF!</v>
      </c>
      <c r="E366" s="27" t="e">
        <f>+E372+E369+E378+E367</f>
        <v>#REF!</v>
      </c>
      <c r="F366" s="27" t="e">
        <f>+F372+F369+F378+F367</f>
        <v>#REF!</v>
      </c>
      <c r="G366" s="27" t="e">
        <f>+G372+G369+G378+G367</f>
        <v>#REF!</v>
      </c>
      <c r="BV366" s="61"/>
    </row>
    <row r="367" spans="2:74" s="27" customFormat="1" ht="11.25" hidden="1" x14ac:dyDescent="0.2">
      <c r="B367" s="60" t="str">
        <f>CResult!C483</f>
        <v>PROVISIONES</v>
      </c>
      <c r="C367" s="27">
        <f>CResult!O483</f>
        <v>0</v>
      </c>
      <c r="D367" s="27">
        <f>SUM(D368:D368)</f>
        <v>0</v>
      </c>
      <c r="E367" s="27">
        <f>SUM(E368:E368)</f>
        <v>0</v>
      </c>
      <c r="F367" s="27">
        <f>SUM(F368:F368)</f>
        <v>0</v>
      </c>
      <c r="G367" s="27">
        <f>SUM(G368:G368)</f>
        <v>0</v>
      </c>
      <c r="BV367" s="61"/>
    </row>
    <row r="368" spans="2:74" s="27" customFormat="1" ht="11.25" hidden="1" x14ac:dyDescent="0.2">
      <c r="B368" s="60" t="str">
        <f>CResult!C484</f>
        <v>Insolvencias</v>
      </c>
      <c r="C368" s="27">
        <f>CResult!O484</f>
        <v>0</v>
      </c>
      <c r="D368" s="27">
        <f>'5años'!E32</f>
        <v>0</v>
      </c>
      <c r="E368" s="27">
        <f>'5años'!F32</f>
        <v>0</v>
      </c>
      <c r="F368" s="27">
        <f>'5años'!G32</f>
        <v>0</v>
      </c>
      <c r="G368" s="27">
        <f>'5años'!H32</f>
        <v>0</v>
      </c>
      <c r="BV368" s="61"/>
    </row>
    <row r="369" spans="2:74" s="27" customFormat="1" ht="11.25" hidden="1" x14ac:dyDescent="0.2">
      <c r="B369" s="60" t="str">
        <f>CResult!C485</f>
        <v>DEUDAS a corto plazo</v>
      </c>
      <c r="C369" s="27">
        <f>CResult!O485</f>
        <v>0</v>
      </c>
      <c r="D369" s="27" t="e">
        <f>SUM(D370:D371)</f>
        <v>#REF!</v>
      </c>
      <c r="E369" s="27" t="e">
        <f>SUM(E370:E371)</f>
        <v>#REF!</v>
      </c>
      <c r="F369" s="27" t="e">
        <f>SUM(F370:F371)</f>
        <v>#REF!</v>
      </c>
      <c r="G369" s="27" t="e">
        <f>SUM(G370:G371)</f>
        <v>#REF!</v>
      </c>
      <c r="BV369" s="61"/>
    </row>
    <row r="370" spans="2:74" s="27" customFormat="1" ht="11.25" hidden="1" x14ac:dyDescent="0.2">
      <c r="B370" s="60" t="str">
        <f>CResult!C486</f>
        <v>Sdo préstamos corto</v>
      </c>
      <c r="C370" s="27">
        <f>CResult!O486</f>
        <v>0</v>
      </c>
      <c r="D370" s="27">
        <f>prestamos!E29</f>
        <v>0</v>
      </c>
      <c r="E370" s="27">
        <f>prestamos!F29</f>
        <v>0</v>
      </c>
      <c r="F370" s="27">
        <f>prestamos!G29</f>
        <v>0</v>
      </c>
      <c r="G370" s="27">
        <f>prestamos!H29</f>
        <v>0</v>
      </c>
      <c r="BV370" s="61"/>
    </row>
    <row r="371" spans="2:74" s="27" customFormat="1" ht="11.25" hidden="1" x14ac:dyDescent="0.2">
      <c r="B371" s="60" t="str">
        <f>CResult!C487</f>
        <v>Pólizas dispuestas</v>
      </c>
      <c r="C371" s="27">
        <f>CResult!O487</f>
        <v>0</v>
      </c>
      <c r="D371" s="27" t="e">
        <f>#REF!</f>
        <v>#REF!</v>
      </c>
      <c r="E371" s="27" t="e">
        <f>#REF!</f>
        <v>#REF!</v>
      </c>
      <c r="F371" s="27" t="e">
        <f>#REF!</f>
        <v>#REF!</v>
      </c>
      <c r="G371" s="27" t="e">
        <f>#REF!</f>
        <v>#REF!</v>
      </c>
      <c r="BV371" s="61"/>
    </row>
    <row r="372" spans="2:74" s="27" customFormat="1" ht="11.25" hidden="1" x14ac:dyDescent="0.2">
      <c r="B372" s="60" t="str">
        <f>CResult!C488</f>
        <v>PROVEEDORES</v>
      </c>
      <c r="C372" s="27">
        <f>CResult!O488</f>
        <v>0</v>
      </c>
      <c r="D372" s="27" t="e">
        <f>SUM(D373:D377)</f>
        <v>#REF!</v>
      </c>
      <c r="E372" s="27" t="e">
        <f>SUM(E373:E377)</f>
        <v>#REF!</v>
      </c>
      <c r="F372" s="27" t="e">
        <f>SUM(F373:F377)</f>
        <v>#REF!</v>
      </c>
      <c r="G372" s="27" t="e">
        <f>SUM(G373:G377)</f>
        <v>#REF!</v>
      </c>
      <c r="BV372" s="61"/>
    </row>
    <row r="373" spans="2:74" s="27" customFormat="1" ht="11.25" hidden="1" x14ac:dyDescent="0.2">
      <c r="B373" s="60" t="str">
        <f>CResult!C489</f>
        <v>Saldo acreed. comerciales</v>
      </c>
      <c r="C373" s="27">
        <f>CResult!O489</f>
        <v>0</v>
      </c>
      <c r="D373" s="27" t="e">
        <f>'5años'!AA109</f>
        <v>#REF!</v>
      </c>
      <c r="E373" s="27" t="e">
        <f>'5años'!AB109</f>
        <v>#REF!</v>
      </c>
      <c r="F373" s="27" t="e">
        <f>'5años'!AC109</f>
        <v>#REF!</v>
      </c>
      <c r="G373" s="27" t="e">
        <f>'5años'!AD109</f>
        <v>#REF!</v>
      </c>
      <c r="BV373" s="61"/>
    </row>
    <row r="374" spans="2:74" s="27" customFormat="1" ht="11.25" hidden="1" x14ac:dyDescent="0.2">
      <c r="B374" s="60" t="str">
        <f>CResult!C490</f>
        <v>Compra activos</v>
      </c>
      <c r="C374" s="27">
        <f>CResult!O490</f>
        <v>0</v>
      </c>
      <c r="BV374" s="61"/>
    </row>
    <row r="375" spans="2:74" s="27" customFormat="1" ht="11.25" hidden="1" x14ac:dyDescent="0.2">
      <c r="B375" s="60" t="str">
        <f>CResult!C491</f>
        <v>Stock Inicial</v>
      </c>
      <c r="C375" s="27">
        <f>CResult!O491</f>
        <v>0</v>
      </c>
      <c r="BV375" s="61"/>
    </row>
    <row r="376" spans="2:74" s="27" customFormat="1" ht="11.25" hidden="1" x14ac:dyDescent="0.2">
      <c r="B376" s="60" t="str">
        <f>CResult!C492</f>
        <v>Gastos amortizables</v>
      </c>
      <c r="C376" s="27">
        <f>CResult!O492</f>
        <v>0</v>
      </c>
      <c r="BV376" s="61"/>
    </row>
    <row r="377" spans="2:74" s="27" customFormat="1" ht="11.25" hidden="1" x14ac:dyDescent="0.2">
      <c r="B377" s="60" t="str">
        <f>CResult!C493</f>
        <v>Fianzas y depósitos</v>
      </c>
      <c r="C377" s="27">
        <f>CResult!O493</f>
        <v>0</v>
      </c>
      <c r="BV377" s="61"/>
    </row>
    <row r="378" spans="2:74" s="27" customFormat="1" ht="11.25" hidden="1" x14ac:dyDescent="0.2">
      <c r="B378" s="60" t="str">
        <f>CResult!C494</f>
        <v>OTRAS CUENTAS PAGAR</v>
      </c>
      <c r="C378" s="27">
        <f>CResult!O494</f>
        <v>0</v>
      </c>
      <c r="D378" s="27" t="e">
        <f>SUM(D379:D383)</f>
        <v>#REF!</v>
      </c>
      <c r="E378" s="27" t="e">
        <f>SUM(E379:E383)</f>
        <v>#REF!</v>
      </c>
      <c r="F378" s="27" t="e">
        <f>SUM(F379:F383)</f>
        <v>#REF!</v>
      </c>
      <c r="G378" s="27" t="e">
        <f>SUM(G379:G383)</f>
        <v>#REF!</v>
      </c>
      <c r="BV378" s="61"/>
    </row>
    <row r="379" spans="2:74" s="27" customFormat="1" ht="11.25" hidden="1" x14ac:dyDescent="0.2">
      <c r="B379" s="60" t="str">
        <f>CResult!C495</f>
        <v>Remuneraciones pend.</v>
      </c>
      <c r="C379" s="27">
        <f>CResult!O495</f>
        <v>0</v>
      </c>
      <c r="D379" s="27" t="e">
        <f>'5años'!AA114</f>
        <v>#REF!</v>
      </c>
      <c r="E379" s="27" t="e">
        <f>'5años'!AB114</f>
        <v>#REF!</v>
      </c>
      <c r="F379" s="27" t="e">
        <f>'5años'!AC114</f>
        <v>#REF!</v>
      </c>
      <c r="G379" s="27" t="e">
        <f>'5años'!AD114</f>
        <v>#REF!</v>
      </c>
      <c r="BV379" s="61"/>
    </row>
    <row r="380" spans="2:74" s="27" customFormat="1" ht="11.25" hidden="1" x14ac:dyDescent="0.2">
      <c r="B380" s="60" t="str">
        <f>CResult!C496</f>
        <v>Retenciones salariales</v>
      </c>
      <c r="C380" s="27">
        <f>CResult!O496</f>
        <v>0</v>
      </c>
      <c r="D380" s="27" t="e">
        <f>'5años'!AA119</f>
        <v>#REF!</v>
      </c>
      <c r="E380" s="27" t="e">
        <f>'5años'!AB119</f>
        <v>#REF!</v>
      </c>
      <c r="F380" s="27" t="e">
        <f>'5años'!AC119</f>
        <v>#REF!</v>
      </c>
      <c r="G380" s="27" t="e">
        <f>'5años'!AD119</f>
        <v>#REF!</v>
      </c>
      <c r="BV380" s="61"/>
    </row>
    <row r="381" spans="2:74" s="27" customFormat="1" ht="11.25" hidden="1" x14ac:dyDescent="0.2">
      <c r="B381" s="60" t="str">
        <f>CResult!C497</f>
        <v>Costes salariales</v>
      </c>
      <c r="C381" s="27">
        <f>CResult!O497</f>
        <v>0</v>
      </c>
      <c r="D381" s="27">
        <f>'5años'!AA123</f>
        <v>0</v>
      </c>
      <c r="E381" s="27">
        <f>'5años'!AB123</f>
        <v>0</v>
      </c>
      <c r="F381" s="27">
        <f>'5años'!AC123</f>
        <v>0</v>
      </c>
      <c r="G381" s="27">
        <f>'5años'!AD123</f>
        <v>0</v>
      </c>
      <c r="BV381" s="61"/>
    </row>
    <row r="382" spans="2:74" s="27" customFormat="1" ht="11.25" hidden="1" x14ac:dyDescent="0.2">
      <c r="B382" s="60" t="str">
        <f>CResult!C498</f>
        <v>IVA (acreedor)</v>
      </c>
      <c r="C382" s="27">
        <f>CResult!O498</f>
        <v>0</v>
      </c>
      <c r="D382" s="27" t="e">
        <f>T169</f>
        <v>#REF!</v>
      </c>
      <c r="E382" s="27" t="e">
        <f>U169</f>
        <v>#REF!</v>
      </c>
      <c r="F382" s="27" t="e">
        <f>V169</f>
        <v>#REF!</v>
      </c>
      <c r="G382" s="27" t="e">
        <f>W169</f>
        <v>#REF!</v>
      </c>
      <c r="BV382" s="61"/>
    </row>
    <row r="383" spans="2:74" s="27" customFormat="1" ht="11.25" hidden="1" x14ac:dyDescent="0.2">
      <c r="B383" s="60" t="str">
        <f>CResult!C499</f>
        <v>Impuesto sociedades</v>
      </c>
      <c r="C383" s="27">
        <f>CResult!O499</f>
        <v>0</v>
      </c>
      <c r="D383" s="27" t="e">
        <f>-'5años'!E144</f>
        <v>#REF!</v>
      </c>
      <c r="E383" s="27" t="e">
        <f>-'5años'!F144</f>
        <v>#REF!</v>
      </c>
      <c r="F383" s="27" t="e">
        <f>-'5años'!G144</f>
        <v>#REF!</v>
      </c>
      <c r="G383" s="27" t="e">
        <f>-'5años'!H144</f>
        <v>#REF!</v>
      </c>
      <c r="BV383" s="61"/>
    </row>
    <row r="384" spans="2:74" s="27" customFormat="1" ht="11.25" hidden="1" x14ac:dyDescent="0.2">
      <c r="B384" s="60" t="str">
        <f>CResult!C500</f>
        <v>TOTAL P. N. y PASIVO</v>
      </c>
      <c r="C384" s="27">
        <f>CResult!O500</f>
        <v>0</v>
      </c>
      <c r="D384" s="27" t="e">
        <f>+D358+D351</f>
        <v>#REF!</v>
      </c>
      <c r="E384" s="27" t="e">
        <f>+E358+E351</f>
        <v>#REF!</v>
      </c>
      <c r="F384" s="27" t="e">
        <f>+F358+F351</f>
        <v>#REF!</v>
      </c>
      <c r="G384" s="27" t="e">
        <f>+G358+G351</f>
        <v>#REF!</v>
      </c>
      <c r="BV384" s="61"/>
    </row>
    <row r="385" spans="2:74" s="27" customFormat="1" ht="11.25" hidden="1" x14ac:dyDescent="0.2">
      <c r="B385" s="60"/>
      <c r="BV385" s="61"/>
    </row>
    <row r="386" spans="2:74" s="27" customFormat="1" ht="11.25" hidden="1" x14ac:dyDescent="0.2">
      <c r="B386" s="60" t="s">
        <v>562</v>
      </c>
      <c r="C386" s="27">
        <f>CResult!O502</f>
        <v>0</v>
      </c>
      <c r="D386" s="27" t="e">
        <f>D335-D366</f>
        <v>#REF!</v>
      </c>
      <c r="E386" s="27" t="e">
        <f>+E335-E366</f>
        <v>#REF!</v>
      </c>
      <c r="F386" s="27" t="e">
        <f>+F335-F366</f>
        <v>#REF!</v>
      </c>
      <c r="G386" s="27" t="e">
        <f>+G335-G366</f>
        <v>#REF!</v>
      </c>
      <c r="BV386" s="61"/>
    </row>
    <row r="387" spans="2:74" s="27" customFormat="1" ht="11.25" hidden="1" x14ac:dyDescent="0.2">
      <c r="B387" s="60"/>
      <c r="BV387" s="61"/>
    </row>
    <row r="388" spans="2:74" s="27" customFormat="1" hidden="1" x14ac:dyDescent="0.2">
      <c r="B388" s="28"/>
      <c r="C388" s="1"/>
      <c r="D388" s="1"/>
      <c r="E388" s="1"/>
      <c r="F388" s="1"/>
      <c r="G388" s="1"/>
      <c r="H388" s="1"/>
      <c r="I388" s="1"/>
      <c r="J388" s="1"/>
      <c r="K388" s="1"/>
      <c r="BV388" s="61"/>
    </row>
    <row r="389" spans="2:74" s="27" customFormat="1" hidden="1" x14ac:dyDescent="0.2">
      <c r="B389" s="28"/>
      <c r="C389" s="1"/>
      <c r="D389" s="1"/>
      <c r="E389" s="1"/>
      <c r="F389" s="1"/>
      <c r="G389" s="1"/>
      <c r="H389" s="1"/>
      <c r="I389" s="1"/>
      <c r="J389" s="1"/>
      <c r="K389" s="1"/>
      <c r="BV389" s="61"/>
    </row>
    <row r="390" spans="2:74" s="27" customFormat="1" hidden="1" x14ac:dyDescent="0.2">
      <c r="B390" s="28"/>
      <c r="C390" s="1"/>
      <c r="D390" s="1"/>
      <c r="E390" s="1"/>
      <c r="F390" s="1"/>
      <c r="G390" s="1"/>
      <c r="H390" s="1"/>
      <c r="I390" s="1"/>
      <c r="J390" s="1"/>
      <c r="K390" s="1"/>
      <c r="BV390" s="61"/>
    </row>
    <row r="391" spans="2:74" s="27" customFormat="1" hidden="1" x14ac:dyDescent="0.2">
      <c r="B391" s="27" t="s">
        <v>70</v>
      </c>
      <c r="I391" s="1"/>
      <c r="J391" s="1"/>
      <c r="K391" s="1"/>
      <c r="BV391" s="61"/>
    </row>
    <row r="392" spans="2:74" s="27" customFormat="1" hidden="1" x14ac:dyDescent="0.2">
      <c r="B392" s="27" t="s">
        <v>1570</v>
      </c>
      <c r="D392" s="27">
        <f>+'5años'!C348-'5años'!C384</f>
        <v>0</v>
      </c>
      <c r="E392" s="27" t="e">
        <f>+'5años'!D348-'5años'!D384</f>
        <v>#REF!</v>
      </c>
      <c r="F392" s="27" t="e">
        <f>+'5años'!E348-'5años'!E384</f>
        <v>#REF!</v>
      </c>
      <c r="G392" s="27" t="e">
        <f>+'5años'!F348-'5años'!F384</f>
        <v>#REF!</v>
      </c>
      <c r="H392" s="27" t="e">
        <f>+'5años'!G348-'5años'!G384</f>
        <v>#REF!</v>
      </c>
      <c r="I392" s="1"/>
      <c r="J392" s="1"/>
      <c r="K392" s="1"/>
      <c r="BV392" s="61"/>
    </row>
    <row r="393" spans="2:74" s="27" customFormat="1" hidden="1" x14ac:dyDescent="0.2">
      <c r="B393" s="27">
        <f>COUNTIF('5años'!C386:G386,"&lt;0")</f>
        <v>0</v>
      </c>
      <c r="I393" s="1"/>
      <c r="J393" s="1"/>
      <c r="K393" s="1"/>
      <c r="BV393" s="61"/>
    </row>
    <row r="394" spans="2:74" s="27" customFormat="1" hidden="1" x14ac:dyDescent="0.2">
      <c r="B394" s="27" t="s">
        <v>1589</v>
      </c>
      <c r="D394" s="27">
        <f>CResult!O471</f>
        <v>0</v>
      </c>
      <c r="E394" s="27" t="e">
        <f>'5años'!L194</f>
        <v>#REF!</v>
      </c>
      <c r="F394" s="27" t="e">
        <f>'5años'!M194</f>
        <v>#REF!</v>
      </c>
      <c r="G394" s="27" t="e">
        <f>'5años'!N194</f>
        <v>#REF!</v>
      </c>
      <c r="H394" s="27" t="e">
        <f>'5años'!O194</f>
        <v>#REF!</v>
      </c>
      <c r="I394" s="1"/>
      <c r="J394" s="1"/>
      <c r="K394" s="1"/>
      <c r="BV394" s="61"/>
    </row>
    <row r="395" spans="2:74" s="27" customFormat="1" hidden="1" x14ac:dyDescent="0.2">
      <c r="B395" s="27" t="s">
        <v>1590</v>
      </c>
      <c r="E395" s="27">
        <f>-SB!F681</f>
        <v>0</v>
      </c>
      <c r="F395" s="27">
        <f>-SB!G681+E395</f>
        <v>0</v>
      </c>
      <c r="G395" s="27">
        <f>-SB!H681+F395</f>
        <v>0</v>
      </c>
      <c r="H395" s="27">
        <f>-SB!I681+G395</f>
        <v>0</v>
      </c>
      <c r="I395" s="1"/>
      <c r="J395" s="1"/>
      <c r="K395" s="1"/>
      <c r="BV395" s="61"/>
    </row>
    <row r="396" spans="2:74" s="27" customFormat="1" hidden="1" x14ac:dyDescent="0.2">
      <c r="B396" s="29"/>
      <c r="C396" s="2"/>
      <c r="D396" s="2"/>
      <c r="E396" s="2"/>
      <c r="F396" s="2"/>
      <c r="G396" s="2"/>
      <c r="H396" s="2"/>
      <c r="I396" s="2"/>
      <c r="J396" s="2"/>
      <c r="K396" s="2"/>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7"/>
    </row>
    <row r="397" spans="2:74" s="27" customFormat="1" hidden="1" x14ac:dyDescent="0.2">
      <c r="B397"/>
      <c r="C397"/>
      <c r="D397"/>
      <c r="E397"/>
      <c r="F397"/>
      <c r="G397"/>
      <c r="H397"/>
      <c r="I397"/>
      <c r="J397"/>
      <c r="K397"/>
    </row>
    <row r="398" spans="2:74" s="27" customFormat="1" x14ac:dyDescent="0.2">
      <c r="B398"/>
      <c r="C398"/>
      <c r="D398"/>
      <c r="E398"/>
      <c r="F398"/>
      <c r="G398"/>
      <c r="H398"/>
      <c r="I398"/>
      <c r="J398"/>
      <c r="K398"/>
    </row>
    <row r="399" spans="2:74" s="27" customFormat="1" x14ac:dyDescent="0.2">
      <c r="B399"/>
      <c r="C399"/>
      <c r="D399"/>
      <c r="E399"/>
      <c r="F399"/>
      <c r="G399"/>
      <c r="H399"/>
      <c r="I399"/>
      <c r="J399"/>
      <c r="K399"/>
    </row>
    <row r="400" spans="2:74" s="27" customFormat="1" x14ac:dyDescent="0.2">
      <c r="B400"/>
      <c r="C400"/>
      <c r="D400"/>
      <c r="E400"/>
      <c r="F400"/>
      <c r="G400"/>
      <c r="H400"/>
      <c r="I400"/>
      <c r="J400"/>
      <c r="K400"/>
    </row>
    <row r="401" spans="2:11" s="27" customFormat="1" x14ac:dyDescent="0.2">
      <c r="B401"/>
      <c r="C401"/>
      <c r="D401"/>
      <c r="E401"/>
      <c r="F401"/>
      <c r="G401"/>
      <c r="H401"/>
      <c r="I401"/>
      <c r="J401"/>
      <c r="K401"/>
    </row>
    <row r="402" spans="2:11" s="27" customFormat="1" x14ac:dyDescent="0.2">
      <c r="B402"/>
      <c r="C402"/>
      <c r="D402"/>
      <c r="E402"/>
      <c r="F402"/>
      <c r="G402"/>
      <c r="H402"/>
      <c r="I402"/>
      <c r="J402"/>
      <c r="K402"/>
    </row>
    <row r="403" spans="2:11" s="27" customFormat="1" x14ac:dyDescent="0.2">
      <c r="B403"/>
      <c r="C403"/>
      <c r="D403"/>
      <c r="E403"/>
      <c r="F403"/>
      <c r="G403"/>
      <c r="H403"/>
      <c r="I403"/>
      <c r="J403"/>
      <c r="K403"/>
    </row>
    <row r="404" spans="2:11" s="27" customFormat="1" ht="11.25" x14ac:dyDescent="0.2"/>
    <row r="405" spans="2:11" s="27" customFormat="1" ht="11.25" x14ac:dyDescent="0.2"/>
    <row r="406" spans="2:11" s="27" customFormat="1" ht="11.25" x14ac:dyDescent="0.2"/>
    <row r="407" spans="2:11" s="27" customFormat="1" ht="11.25" x14ac:dyDescent="0.2"/>
    <row r="408" spans="2:11" s="27" customFormat="1" ht="11.25" x14ac:dyDescent="0.2"/>
    <row r="409" spans="2:11" s="27" customFormat="1" ht="11.25" x14ac:dyDescent="0.2"/>
    <row r="410" spans="2:11" s="27" customFormat="1" ht="11.25" x14ac:dyDescent="0.2"/>
    <row r="411" spans="2:11" s="27" customFormat="1" ht="11.25" x14ac:dyDescent="0.2"/>
    <row r="412" spans="2:11" s="27" customFormat="1" ht="11.25" x14ac:dyDescent="0.2"/>
    <row r="413" spans="2:11" s="27" customFormat="1" ht="11.25" x14ac:dyDescent="0.2"/>
    <row r="414" spans="2:11" s="27" customFormat="1" ht="11.25" x14ac:dyDescent="0.2"/>
    <row r="415" spans="2:11" s="27" customFormat="1" ht="11.25" x14ac:dyDescent="0.2"/>
    <row r="416" spans="2:11" s="27" customFormat="1" ht="11.25" x14ac:dyDescent="0.2"/>
    <row r="417" s="27" customFormat="1" ht="11.25" x14ac:dyDescent="0.2"/>
    <row r="418" s="27" customFormat="1" ht="11.25" x14ac:dyDescent="0.2"/>
    <row r="419" s="27" customFormat="1" ht="11.25" x14ac:dyDescent="0.2"/>
    <row r="420" s="27" customFormat="1" ht="11.25" x14ac:dyDescent="0.2"/>
    <row r="421" s="27" customFormat="1" ht="11.25" x14ac:dyDescent="0.2"/>
    <row r="422" s="27" customFormat="1" ht="11.25" x14ac:dyDescent="0.2"/>
    <row r="423" s="27" customFormat="1" ht="11.25" x14ac:dyDescent="0.2"/>
    <row r="424" s="27" customFormat="1" ht="11.25" x14ac:dyDescent="0.2"/>
    <row r="425" s="27" customFormat="1" ht="11.25" x14ac:dyDescent="0.2"/>
    <row r="426" s="27" customFormat="1" ht="11.25" x14ac:dyDescent="0.2"/>
    <row r="427" s="27" customFormat="1" ht="11.25" x14ac:dyDescent="0.2"/>
    <row r="428" s="27" customFormat="1" ht="11.25" x14ac:dyDescent="0.2"/>
    <row r="429" s="27" customFormat="1" ht="11.25" x14ac:dyDescent="0.2"/>
    <row r="430" s="27" customFormat="1" ht="11.25" x14ac:dyDescent="0.2"/>
    <row r="431" s="27" customFormat="1" ht="11.25" x14ac:dyDescent="0.2"/>
    <row r="432" s="27" customFormat="1" ht="11.25" x14ac:dyDescent="0.2"/>
    <row r="433" s="27" customFormat="1" ht="11.25" x14ac:dyDescent="0.2"/>
    <row r="434" s="27" customFormat="1" ht="11.25" x14ac:dyDescent="0.2"/>
    <row r="435" s="27" customFormat="1" ht="11.25" x14ac:dyDescent="0.2"/>
    <row r="436" s="27" customFormat="1" ht="11.25" x14ac:dyDescent="0.2"/>
    <row r="437" s="27" customFormat="1" ht="11.25" x14ac:dyDescent="0.2"/>
    <row r="438" s="27" customFormat="1" ht="11.25" x14ac:dyDescent="0.2"/>
    <row r="439" s="27" customFormat="1" ht="11.25" x14ac:dyDescent="0.2"/>
    <row r="440" s="27" customFormat="1" ht="11.25" x14ac:dyDescent="0.2"/>
    <row r="441" s="27" customFormat="1" ht="11.25" x14ac:dyDescent="0.2"/>
    <row r="442" s="27" customFormat="1" ht="11.25" x14ac:dyDescent="0.2"/>
    <row r="443" s="27" customFormat="1" ht="11.25" x14ac:dyDescent="0.2"/>
    <row r="444" s="27" customFormat="1" ht="11.25" x14ac:dyDescent="0.2"/>
    <row r="445" s="27" customFormat="1" ht="11.25" x14ac:dyDescent="0.2"/>
    <row r="446" s="27" customFormat="1" ht="11.25" x14ac:dyDescent="0.2"/>
    <row r="447" s="27" customFormat="1" ht="11.25" x14ac:dyDescent="0.2"/>
    <row r="448" s="27" customFormat="1" ht="11.25" x14ac:dyDescent="0.2"/>
    <row r="449" s="27" customFormat="1" ht="11.25" x14ac:dyDescent="0.2"/>
    <row r="450" s="27" customFormat="1" ht="11.25" x14ac:dyDescent="0.2"/>
    <row r="451" s="27" customFormat="1" ht="11.25" x14ac:dyDescent="0.2"/>
    <row r="452" s="27" customFormat="1" ht="11.25" x14ac:dyDescent="0.2"/>
    <row r="453" s="27" customFormat="1" ht="11.25" x14ac:dyDescent="0.2"/>
    <row r="454" s="27" customFormat="1" ht="11.25" x14ac:dyDescent="0.2"/>
    <row r="455" s="27" customFormat="1" ht="11.25" x14ac:dyDescent="0.2"/>
    <row r="456" s="27" customFormat="1" ht="11.25" x14ac:dyDescent="0.2"/>
    <row r="457" s="27" customFormat="1" ht="11.25" x14ac:dyDescent="0.2"/>
    <row r="458" s="27" customFormat="1" ht="11.25" x14ac:dyDescent="0.2"/>
    <row r="459" s="27" customFormat="1" ht="11.25" x14ac:dyDescent="0.2"/>
    <row r="460" s="27" customFormat="1" ht="11.25" x14ac:dyDescent="0.2"/>
    <row r="461" s="27" customFormat="1" ht="11.25" x14ac:dyDescent="0.2"/>
    <row r="462" s="27" customFormat="1" ht="11.25" x14ac:dyDescent="0.2"/>
    <row r="463" s="27" customFormat="1" ht="11.25" x14ac:dyDescent="0.2"/>
    <row r="464" s="27" customFormat="1" ht="11.25" x14ac:dyDescent="0.2"/>
    <row r="465" s="27" customFormat="1" ht="11.25" x14ac:dyDescent="0.2"/>
    <row r="466" s="27" customFormat="1" ht="11.25" x14ac:dyDescent="0.2"/>
    <row r="467" s="27" customFormat="1" ht="11.25" x14ac:dyDescent="0.2"/>
    <row r="468" s="27" customFormat="1" ht="11.25" x14ac:dyDescent="0.2"/>
    <row r="469" s="27" customFormat="1" ht="11.25" x14ac:dyDescent="0.2"/>
    <row r="470" s="27" customFormat="1" ht="11.25" x14ac:dyDescent="0.2"/>
    <row r="471" s="27" customFormat="1" ht="11.25" x14ac:dyDescent="0.2"/>
    <row r="472" s="27" customFormat="1" ht="11.25" x14ac:dyDescent="0.2"/>
    <row r="473" s="27" customFormat="1" ht="11.25" x14ac:dyDescent="0.2"/>
    <row r="474" s="27" customFormat="1" ht="11.25" x14ac:dyDescent="0.2"/>
    <row r="475" s="27" customFormat="1" ht="11.25" x14ac:dyDescent="0.2"/>
    <row r="476" s="27" customFormat="1" ht="11.25" x14ac:dyDescent="0.2"/>
    <row r="477" s="27" customFormat="1" ht="11.25" x14ac:dyDescent="0.2"/>
    <row r="478" s="27" customFormat="1" ht="11.25" x14ac:dyDescent="0.2"/>
    <row r="479" s="27" customFormat="1" ht="11.25" x14ac:dyDescent="0.2"/>
    <row r="480" s="27" customFormat="1" ht="11.25" x14ac:dyDescent="0.2"/>
    <row r="481" s="27" customFormat="1" ht="11.25" x14ac:dyDescent="0.2"/>
    <row r="482" s="27" customFormat="1" ht="11.25" x14ac:dyDescent="0.2"/>
    <row r="483" s="27" customFormat="1" ht="11.25" x14ac:dyDescent="0.2"/>
    <row r="484" s="27" customFormat="1" ht="11.25" x14ac:dyDescent="0.2"/>
    <row r="485" s="27" customFormat="1" ht="11.25" x14ac:dyDescent="0.2"/>
    <row r="486" s="27" customFormat="1" ht="11.25" x14ac:dyDescent="0.2"/>
    <row r="487" s="27" customFormat="1" ht="11.25" x14ac:dyDescent="0.2"/>
    <row r="488" s="27" customFormat="1" ht="11.25" x14ac:dyDescent="0.2"/>
    <row r="489" s="27" customFormat="1" ht="11.25" x14ac:dyDescent="0.2"/>
    <row r="490" s="27" customFormat="1" ht="11.25" x14ac:dyDescent="0.2"/>
    <row r="491" s="27" customFormat="1" ht="11.25" x14ac:dyDescent="0.2"/>
    <row r="492" s="27" customFormat="1" ht="11.25" x14ac:dyDescent="0.2"/>
    <row r="493" s="27" customFormat="1" ht="11.25" x14ac:dyDescent="0.2"/>
    <row r="494" s="27" customFormat="1" ht="11.25" x14ac:dyDescent="0.2"/>
    <row r="495" s="27" customFormat="1" ht="11.25" x14ac:dyDescent="0.2"/>
    <row r="496" s="27" customFormat="1" ht="11.25" x14ac:dyDescent="0.2"/>
    <row r="497" s="27" customFormat="1" ht="11.25" x14ac:dyDescent="0.2"/>
    <row r="498" s="27" customFormat="1" ht="11.25" x14ac:dyDescent="0.2"/>
    <row r="499" s="27" customFormat="1" ht="11.25" x14ac:dyDescent="0.2"/>
    <row r="500" s="27" customFormat="1" ht="11.25" x14ac:dyDescent="0.2"/>
    <row r="501" s="27" customFormat="1" ht="11.25" x14ac:dyDescent="0.2"/>
    <row r="502" s="27" customFormat="1" ht="11.25" x14ac:dyDescent="0.2"/>
    <row r="503" s="27" customFormat="1" ht="11.25" x14ac:dyDescent="0.2"/>
    <row r="504" s="27" customFormat="1" ht="11.25" x14ac:dyDescent="0.2"/>
    <row r="505" s="27" customFormat="1" ht="11.25" x14ac:dyDescent="0.2"/>
    <row r="506" s="27" customFormat="1" ht="11.25" x14ac:dyDescent="0.2"/>
    <row r="507" s="27" customFormat="1" ht="11.25" x14ac:dyDescent="0.2"/>
    <row r="508" s="27" customFormat="1" ht="11.25" x14ac:dyDescent="0.2"/>
    <row r="509" s="27" customFormat="1" ht="11.25" x14ac:dyDescent="0.2"/>
    <row r="510" s="27" customFormat="1" ht="11.25" x14ac:dyDescent="0.2"/>
    <row r="511" s="27" customFormat="1" ht="11.25" x14ac:dyDescent="0.2"/>
    <row r="512" s="27" customFormat="1" ht="11.25" x14ac:dyDescent="0.2"/>
    <row r="513" s="27" customFormat="1" ht="11.25" x14ac:dyDescent="0.2"/>
    <row r="514" s="27" customFormat="1" ht="11.25" x14ac:dyDescent="0.2"/>
    <row r="515" s="27" customFormat="1" ht="11.25" x14ac:dyDescent="0.2"/>
    <row r="516" s="27" customFormat="1" ht="11.25" x14ac:dyDescent="0.2"/>
    <row r="517" s="27" customFormat="1" ht="11.25" x14ac:dyDescent="0.2"/>
    <row r="518" s="27" customFormat="1" ht="11.25" x14ac:dyDescent="0.2"/>
    <row r="519" s="27" customFormat="1" ht="11.25" x14ac:dyDescent="0.2"/>
    <row r="520" s="27" customFormat="1" ht="11.25" x14ac:dyDescent="0.2"/>
    <row r="521" s="27" customFormat="1" ht="11.25" x14ac:dyDescent="0.2"/>
    <row r="522" s="27" customFormat="1" ht="11.25" x14ac:dyDescent="0.2"/>
    <row r="523" s="27" customFormat="1" ht="11.25" x14ac:dyDescent="0.2"/>
    <row r="524" s="27" customFormat="1" ht="11.25" x14ac:dyDescent="0.2"/>
    <row r="525" s="27" customFormat="1" ht="11.25" x14ac:dyDescent="0.2"/>
    <row r="526" s="27" customFormat="1" ht="11.25" x14ac:dyDescent="0.2"/>
    <row r="527" s="27" customFormat="1" ht="11.25" x14ac:dyDescent="0.2"/>
    <row r="528" s="27" customFormat="1" ht="11.25" x14ac:dyDescent="0.2"/>
    <row r="529" s="27" customFormat="1" ht="11.25" x14ac:dyDescent="0.2"/>
    <row r="530" s="27" customFormat="1" ht="11.25" x14ac:dyDescent="0.2"/>
    <row r="531" s="27" customFormat="1" ht="11.25" x14ac:dyDescent="0.2"/>
    <row r="532" s="27" customFormat="1" ht="11.25" x14ac:dyDescent="0.2"/>
    <row r="533" s="27" customFormat="1" ht="11.25" x14ac:dyDescent="0.2"/>
    <row r="534" s="27" customFormat="1" ht="11.25" x14ac:dyDescent="0.2"/>
    <row r="535" s="27" customFormat="1" ht="11.25" x14ac:dyDescent="0.2"/>
    <row r="536" s="27" customFormat="1" ht="11.25" x14ac:dyDescent="0.2"/>
    <row r="537" s="27" customFormat="1" ht="11.25" x14ac:dyDescent="0.2"/>
    <row r="538" s="27" customFormat="1" ht="11.25" x14ac:dyDescent="0.2"/>
    <row r="539" s="27" customFormat="1" ht="11.25" x14ac:dyDescent="0.2"/>
    <row r="540" s="27" customFormat="1" ht="11.25" x14ac:dyDescent="0.2"/>
    <row r="541" s="27" customFormat="1" ht="11.25" x14ac:dyDescent="0.2"/>
    <row r="542" s="27" customFormat="1" ht="11.25" x14ac:dyDescent="0.2"/>
    <row r="543" s="27" customFormat="1" ht="11.25" x14ac:dyDescent="0.2"/>
    <row r="544" s="27" customFormat="1" ht="11.25" x14ac:dyDescent="0.2"/>
    <row r="545" s="27" customFormat="1" ht="11.25" x14ac:dyDescent="0.2"/>
    <row r="546" s="27" customFormat="1" ht="11.25" x14ac:dyDescent="0.2"/>
    <row r="547" s="27" customFormat="1" ht="11.25" x14ac:dyDescent="0.2"/>
    <row r="548" s="27" customFormat="1" ht="11.25" x14ac:dyDescent="0.2"/>
    <row r="549" s="27" customFormat="1" ht="11.25" x14ac:dyDescent="0.2"/>
    <row r="550" s="27" customFormat="1" ht="11.25" x14ac:dyDescent="0.2"/>
    <row r="551" s="27" customFormat="1" ht="11.25" x14ac:dyDescent="0.2"/>
    <row r="552" s="27" customFormat="1" ht="11.25" x14ac:dyDescent="0.2"/>
    <row r="553" s="27" customFormat="1" ht="11.25" x14ac:dyDescent="0.2"/>
    <row r="554" s="27" customFormat="1" ht="11.25" x14ac:dyDescent="0.2"/>
    <row r="555" s="27" customFormat="1" ht="11.25" x14ac:dyDescent="0.2"/>
    <row r="556" s="27" customFormat="1" ht="11.25" x14ac:dyDescent="0.2"/>
    <row r="557" s="27" customFormat="1" ht="11.25" x14ac:dyDescent="0.2"/>
    <row r="558" s="27" customFormat="1" ht="11.25" x14ac:dyDescent="0.2"/>
    <row r="559" s="27" customFormat="1" ht="11.25" x14ac:dyDescent="0.2"/>
    <row r="560" s="27" customFormat="1" ht="11.25" x14ac:dyDescent="0.2"/>
    <row r="561" s="27" customFormat="1" ht="11.25" x14ac:dyDescent="0.2"/>
    <row r="562" s="27" customFormat="1" ht="11.25" x14ac:dyDescent="0.2"/>
    <row r="563" s="27" customFormat="1" ht="11.25" x14ac:dyDescent="0.2"/>
    <row r="564" s="27" customFormat="1" ht="11.25" x14ac:dyDescent="0.2"/>
    <row r="565" s="27" customFormat="1" ht="11.25" x14ac:dyDescent="0.2"/>
    <row r="566" s="27" customFormat="1" ht="11.25" x14ac:dyDescent="0.2"/>
    <row r="567" s="27" customFormat="1" ht="11.25" x14ac:dyDescent="0.2"/>
    <row r="568" s="27" customFormat="1" ht="11.25" x14ac:dyDescent="0.2"/>
    <row r="569" s="27" customFormat="1" ht="11.25" x14ac:dyDescent="0.2"/>
    <row r="570" s="27" customFormat="1" ht="11.25" x14ac:dyDescent="0.2"/>
    <row r="571" s="27" customFormat="1" ht="11.25" x14ac:dyDescent="0.2"/>
    <row r="572" s="27" customFormat="1" ht="11.25" x14ac:dyDescent="0.2"/>
    <row r="573" s="27" customFormat="1" ht="11.25" x14ac:dyDescent="0.2"/>
    <row r="574" s="27" customFormat="1" ht="11.25" x14ac:dyDescent="0.2"/>
    <row r="575" s="27" customFormat="1" ht="11.25" x14ac:dyDescent="0.2"/>
    <row r="576" s="27" customFormat="1" ht="11.25" x14ac:dyDescent="0.2"/>
    <row r="577" s="27" customFormat="1" ht="11.25" x14ac:dyDescent="0.2"/>
    <row r="578" s="27" customFormat="1" ht="11.25" x14ac:dyDescent="0.2"/>
    <row r="579" s="27" customFormat="1" ht="11.25" x14ac:dyDescent="0.2"/>
    <row r="580" s="27" customFormat="1" ht="11.25" x14ac:dyDescent="0.2"/>
    <row r="581" s="27" customFormat="1" ht="11.25" x14ac:dyDescent="0.2"/>
    <row r="582" s="27" customFormat="1" ht="11.25" x14ac:dyDescent="0.2"/>
    <row r="583" s="27" customFormat="1" ht="11.25" x14ac:dyDescent="0.2"/>
    <row r="584" s="27" customFormat="1" ht="11.25" x14ac:dyDescent="0.2"/>
    <row r="585" s="27" customFormat="1" ht="11.25" x14ac:dyDescent="0.2"/>
    <row r="586" s="27" customFormat="1" ht="11.25" x14ac:dyDescent="0.2"/>
    <row r="587" s="27" customFormat="1" ht="11.25" x14ac:dyDescent="0.2"/>
    <row r="588" s="27" customFormat="1" ht="11.25" x14ac:dyDescent="0.2"/>
    <row r="589" s="27" customFormat="1" ht="11.25" x14ac:dyDescent="0.2"/>
    <row r="590" s="27" customFormat="1" ht="11.25" x14ac:dyDescent="0.2"/>
    <row r="591" s="27" customFormat="1" ht="11.25" x14ac:dyDescent="0.2"/>
    <row r="592" s="27" customFormat="1" ht="11.25" x14ac:dyDescent="0.2"/>
    <row r="593" s="27" customFormat="1" ht="11.25" x14ac:dyDescent="0.2"/>
    <row r="594" s="27" customFormat="1" ht="11.25" x14ac:dyDescent="0.2"/>
    <row r="595" s="27" customFormat="1" ht="11.25" x14ac:dyDescent="0.2"/>
    <row r="596" s="27" customFormat="1" ht="11.25" x14ac:dyDescent="0.2"/>
    <row r="597" s="27" customFormat="1" ht="11.25" x14ac:dyDescent="0.2"/>
    <row r="598" s="27" customFormat="1" ht="11.25" x14ac:dyDescent="0.2"/>
    <row r="599" s="27" customFormat="1" ht="11.25" x14ac:dyDescent="0.2"/>
    <row r="600" s="27" customFormat="1" ht="11.25" x14ac:dyDescent="0.2"/>
    <row r="601" s="27" customFormat="1" ht="11.25" x14ac:dyDescent="0.2"/>
    <row r="602" s="27" customFormat="1" ht="11.25" x14ac:dyDescent="0.2"/>
    <row r="603" s="27" customFormat="1" ht="11.25" x14ac:dyDescent="0.2"/>
    <row r="604" s="27" customFormat="1" ht="11.25" x14ac:dyDescent="0.2"/>
    <row r="605" s="27" customFormat="1" ht="11.25" x14ac:dyDescent="0.2"/>
    <row r="606" s="27" customFormat="1" ht="11.25" x14ac:dyDescent="0.2"/>
    <row r="607" s="27" customFormat="1" ht="11.25" x14ac:dyDescent="0.2"/>
    <row r="608" s="27" customFormat="1" ht="11.25" x14ac:dyDescent="0.2"/>
    <row r="609" s="27" customFormat="1" ht="11.25" x14ac:dyDescent="0.2"/>
    <row r="610" s="27" customFormat="1" ht="11.25" x14ac:dyDescent="0.2"/>
    <row r="611" s="27" customFormat="1" ht="11.25" x14ac:dyDescent="0.2"/>
    <row r="612" s="27" customFormat="1" ht="11.25" x14ac:dyDescent="0.2"/>
    <row r="613" s="27" customFormat="1" ht="11.25" x14ac:dyDescent="0.2"/>
    <row r="614" s="27" customFormat="1" ht="11.25" x14ac:dyDescent="0.2"/>
    <row r="615" s="27" customFormat="1" ht="11.25" x14ac:dyDescent="0.2"/>
    <row r="616" s="27" customFormat="1" ht="11.25" x14ac:dyDescent="0.2"/>
    <row r="617" s="27" customFormat="1" ht="11.25" x14ac:dyDescent="0.2"/>
    <row r="618" s="27" customFormat="1" ht="11.25" x14ac:dyDescent="0.2"/>
    <row r="619" s="27" customFormat="1" ht="11.25" x14ac:dyDescent="0.2"/>
    <row r="620" s="27" customFormat="1" ht="11.25" x14ac:dyDescent="0.2"/>
    <row r="621" s="27" customFormat="1" ht="11.25" x14ac:dyDescent="0.2"/>
    <row r="622" s="27" customFormat="1" ht="11.25" x14ac:dyDescent="0.2"/>
    <row r="623" s="27" customFormat="1" ht="11.25" x14ac:dyDescent="0.2"/>
    <row r="624" s="27" customFormat="1" ht="11.25" x14ac:dyDescent="0.2"/>
    <row r="625" s="27" customFormat="1" ht="11.25" x14ac:dyDescent="0.2"/>
    <row r="626" s="27" customFormat="1" ht="11.25" x14ac:dyDescent="0.2"/>
    <row r="627" s="27" customFormat="1" ht="11.25" x14ac:dyDescent="0.2"/>
    <row r="628" s="27" customFormat="1" ht="11.25" x14ac:dyDescent="0.2"/>
    <row r="629" s="27" customFormat="1" ht="11.25" x14ac:dyDescent="0.2"/>
    <row r="630" s="27" customFormat="1" ht="11.25" x14ac:dyDescent="0.2"/>
    <row r="631" s="27" customFormat="1" ht="11.25" x14ac:dyDescent="0.2"/>
    <row r="632" s="27" customFormat="1" ht="11.25" x14ac:dyDescent="0.2"/>
    <row r="633" s="27" customFormat="1" ht="11.25" x14ac:dyDescent="0.2"/>
    <row r="634" s="27" customFormat="1" ht="11.25" x14ac:dyDescent="0.2"/>
    <row r="635" s="27" customFormat="1" ht="11.25" x14ac:dyDescent="0.2"/>
    <row r="636" s="27" customFormat="1" ht="11.25" x14ac:dyDescent="0.2"/>
    <row r="637" s="27" customFormat="1" ht="11.25" x14ac:dyDescent="0.2"/>
    <row r="638" s="27" customFormat="1" ht="11.25" x14ac:dyDescent="0.2"/>
    <row r="639" s="27" customFormat="1" ht="11.25" x14ac:dyDescent="0.2"/>
    <row r="640" s="27" customFormat="1" ht="11.25" x14ac:dyDescent="0.2"/>
    <row r="641" s="27" customFormat="1" ht="11.25" x14ac:dyDescent="0.2"/>
    <row r="642" s="27" customFormat="1" ht="11.25" x14ac:dyDescent="0.2"/>
    <row r="643" s="27" customFormat="1" ht="11.25" x14ac:dyDescent="0.2"/>
    <row r="644" s="27" customFormat="1" ht="11.25" x14ac:dyDescent="0.2"/>
    <row r="645" s="27" customFormat="1" ht="11.25" x14ac:dyDescent="0.2"/>
    <row r="646" s="27" customFormat="1" ht="11.25" x14ac:dyDescent="0.2"/>
    <row r="647" s="27" customFormat="1" ht="11.25" x14ac:dyDescent="0.2"/>
    <row r="648" s="27" customFormat="1" ht="11.25" x14ac:dyDescent="0.2"/>
    <row r="649" s="27" customFormat="1" ht="11.25" x14ac:dyDescent="0.2"/>
    <row r="650" s="27" customFormat="1" ht="11.25" x14ac:dyDescent="0.2"/>
    <row r="651" s="27" customFormat="1" ht="11.25" x14ac:dyDescent="0.2"/>
    <row r="652" s="27" customFormat="1" ht="11.25" x14ac:dyDescent="0.2"/>
    <row r="653" s="27" customFormat="1" ht="11.25" x14ac:dyDescent="0.2"/>
    <row r="654" s="27" customFormat="1" ht="11.25" x14ac:dyDescent="0.2"/>
    <row r="655" s="27" customFormat="1" ht="11.25" x14ac:dyDescent="0.2"/>
    <row r="656" s="27" customFormat="1" ht="11.25" x14ac:dyDescent="0.2"/>
    <row r="657" s="27" customFormat="1" ht="11.25" x14ac:dyDescent="0.2"/>
    <row r="658" s="27" customFormat="1" ht="11.25" x14ac:dyDescent="0.2"/>
    <row r="659" s="27" customFormat="1" ht="11.25" x14ac:dyDescent="0.2"/>
    <row r="660" s="27" customFormat="1" ht="11.25" x14ac:dyDescent="0.2"/>
    <row r="661" s="27" customFormat="1" ht="11.25" x14ac:dyDescent="0.2"/>
    <row r="662" s="27" customFormat="1" ht="11.25" x14ac:dyDescent="0.2"/>
    <row r="663" s="27" customFormat="1" ht="11.25" x14ac:dyDescent="0.2"/>
    <row r="664" s="27" customFormat="1" ht="11.25" x14ac:dyDescent="0.2"/>
    <row r="665" s="27" customFormat="1" ht="11.25" x14ac:dyDescent="0.2"/>
    <row r="666" s="27" customFormat="1" ht="11.25" x14ac:dyDescent="0.2"/>
  </sheetData>
  <sheetProtection password="E65B" sheet="1" objects="1" scenarios="1"/>
  <phoneticPr fontId="2" type="noConversion"/>
  <pageMargins left="0.75" right="0.75" top="1" bottom="1" header="0" footer="0"/>
  <pageSetup paperSize="9" orientation="portrait" horizontalDpi="4294967292"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enableFormatConditionsCalculation="0">
    <tabColor indexed="8"/>
  </sheetPr>
  <dimension ref="A1:AU900"/>
  <sheetViews>
    <sheetView showGridLines="0" showRowColHeaders="0" showZeros="0" showOutlineSymbols="0" topLeftCell="C211" workbookViewId="0">
      <pane xSplit="59" ySplit="145" topLeftCell="BJ356" activePane="bottomRight" state="frozen"/>
      <selection activeCell="C211" sqref="C211"/>
      <selection pane="topRight" activeCell="BJ211" sqref="BJ211"/>
      <selection pane="bottomLeft" activeCell="C356" sqref="C356"/>
      <selection pane="bottomRight" activeCell="L226" sqref="L226"/>
    </sheetView>
  </sheetViews>
  <sheetFormatPr baseColWidth="10" defaultRowHeight="12.75" x14ac:dyDescent="0.2"/>
  <cols>
    <col min="1" max="1" width="8.42578125" hidden="1" customWidth="1"/>
    <col min="2" max="2" width="12.5703125" hidden="1" customWidth="1"/>
    <col min="3" max="3" width="14" customWidth="1"/>
    <col min="4" max="4" width="19" customWidth="1"/>
    <col min="5" max="5" width="13.7109375" customWidth="1"/>
    <col min="6" max="9" width="10.7109375" customWidth="1"/>
    <col min="10" max="10" width="13.28515625" customWidth="1"/>
    <col min="11" max="11" width="16.140625" customWidth="1"/>
    <col min="12" max="23" width="10.7109375" customWidth="1"/>
    <col min="24" max="24" width="18.85546875" customWidth="1"/>
  </cols>
  <sheetData>
    <row r="1" spans="1:26" hidden="1" x14ac:dyDescent="0.2">
      <c r="A1" s="15"/>
      <c r="I1" t="s">
        <v>727</v>
      </c>
      <c r="J1" s="148"/>
      <c r="N1" s="15"/>
      <c r="O1" s="15"/>
      <c r="P1" s="15"/>
      <c r="Q1" s="15"/>
      <c r="R1" s="15"/>
      <c r="S1" s="15"/>
      <c r="T1" s="15"/>
      <c r="U1" s="15"/>
      <c r="V1" s="15"/>
      <c r="W1" s="15"/>
      <c r="X1" s="15"/>
      <c r="Y1" s="15"/>
      <c r="Z1" s="15"/>
    </row>
    <row r="2" spans="1:26" hidden="1" x14ac:dyDescent="0.2">
      <c r="A2" s="45"/>
      <c r="B2" s="45"/>
      <c r="C2" s="45"/>
      <c r="D2" s="45"/>
      <c r="E2" s="45"/>
      <c r="F2" s="45"/>
      <c r="G2" s="45"/>
      <c r="H2" s="45"/>
      <c r="I2" s="45"/>
      <c r="J2" s="45"/>
      <c r="K2" s="45"/>
      <c r="L2" s="45"/>
      <c r="M2" s="45"/>
      <c r="N2" s="45"/>
      <c r="O2" s="45"/>
      <c r="P2" s="15"/>
      <c r="Q2" s="15"/>
      <c r="R2" s="15"/>
      <c r="S2" s="15"/>
      <c r="T2" s="15"/>
      <c r="U2" s="15"/>
      <c r="V2" s="15"/>
      <c r="W2" s="15"/>
      <c r="X2" s="15"/>
      <c r="Y2" s="15"/>
      <c r="Z2" s="15"/>
    </row>
    <row r="3" spans="1:26" hidden="1" x14ac:dyDescent="0.2">
      <c r="A3" s="45"/>
      <c r="B3" s="45"/>
      <c r="C3" s="45" t="str">
        <f>SB!C5</f>
        <v>Febrero</v>
      </c>
      <c r="D3" s="45" t="str">
        <f>SB!D5</f>
        <v>Marzo</v>
      </c>
      <c r="E3" s="45" t="str">
        <f>SB!E5</f>
        <v>Abril</v>
      </c>
      <c r="F3" s="45" t="str">
        <f>SB!F5</f>
        <v xml:space="preserve">Mayo </v>
      </c>
      <c r="G3" s="45" t="str">
        <f>SB!G5</f>
        <v>Junio</v>
      </c>
      <c r="H3" s="45" t="str">
        <f>SB!H5</f>
        <v>Julio</v>
      </c>
      <c r="I3" s="45" t="str">
        <f>SB!I5</f>
        <v>Agosto</v>
      </c>
      <c r="J3" s="45" t="str">
        <f>SB!J5</f>
        <v>Septiembre</v>
      </c>
      <c r="K3" s="45" t="str">
        <f>SB!K5</f>
        <v>Octubre</v>
      </c>
      <c r="L3" s="45" t="str">
        <f>SB!L5</f>
        <v>Noviembre</v>
      </c>
      <c r="M3" s="45" t="str">
        <f>SB!M5</f>
        <v>Diciembre</v>
      </c>
      <c r="N3" s="45"/>
      <c r="O3" s="45"/>
      <c r="P3" s="15"/>
      <c r="Q3" s="15"/>
      <c r="R3" s="15"/>
      <c r="S3" s="15"/>
      <c r="T3" s="15"/>
      <c r="U3" s="15"/>
      <c r="V3" s="15"/>
      <c r="W3" s="15"/>
      <c r="X3" s="15"/>
      <c r="Y3" s="15"/>
      <c r="Z3" s="15"/>
    </row>
    <row r="4" spans="1:26" hidden="1" x14ac:dyDescent="0.2">
      <c r="A4" s="45"/>
      <c r="B4" s="45"/>
      <c r="C4" s="45"/>
      <c r="D4" s="45"/>
      <c r="E4" s="45"/>
      <c r="F4" s="45"/>
      <c r="G4" s="45"/>
      <c r="H4" s="45"/>
      <c r="I4" s="45"/>
      <c r="J4" s="45"/>
      <c r="K4" s="45"/>
      <c r="L4" s="45"/>
      <c r="M4" s="45"/>
      <c r="N4" s="45"/>
      <c r="O4" s="45"/>
      <c r="P4" s="15"/>
      <c r="Q4" s="15"/>
      <c r="R4" s="15"/>
      <c r="S4" s="15"/>
      <c r="T4" s="15"/>
      <c r="U4" s="15"/>
      <c r="V4" s="15"/>
      <c r="W4" s="15"/>
      <c r="X4" s="15"/>
      <c r="Y4" s="15"/>
      <c r="Z4" s="15"/>
    </row>
    <row r="5" spans="1:26" hidden="1" x14ac:dyDescent="0.2">
      <c r="A5" s="45"/>
      <c r="B5" s="45"/>
      <c r="C5" s="45" t="str">
        <f>+G14</f>
        <v>Febrero</v>
      </c>
      <c r="D5" s="45" t="str">
        <f>+G15</f>
        <v>Marzo</v>
      </c>
      <c r="E5" s="45" t="str">
        <f>+G16</f>
        <v>Abril</v>
      </c>
      <c r="F5" s="45" t="str">
        <f>+G17</f>
        <v xml:space="preserve">Mayo </v>
      </c>
      <c r="G5" s="45" t="str">
        <f>+G18</f>
        <v>Junio</v>
      </c>
      <c r="H5" s="45" t="str">
        <f>+G19</f>
        <v>Julio</v>
      </c>
      <c r="I5" s="45" t="str">
        <f>+G20</f>
        <v>Agosto</v>
      </c>
      <c r="J5" s="45" t="str">
        <f>+G21</f>
        <v>Septiembre</v>
      </c>
      <c r="K5" s="45" t="str">
        <f>+G22</f>
        <v>Octubre</v>
      </c>
      <c r="L5" s="45" t="str">
        <f>+G23</f>
        <v>Noviembre</v>
      </c>
      <c r="M5" s="45" t="str">
        <f>+G24</f>
        <v>Diciembre</v>
      </c>
      <c r="N5" s="45"/>
      <c r="O5" s="45"/>
      <c r="P5" s="15"/>
      <c r="Q5" s="15"/>
      <c r="R5" s="15"/>
      <c r="S5" s="15"/>
      <c r="T5" s="15"/>
      <c r="U5" s="15"/>
      <c r="V5" s="15"/>
      <c r="W5" s="15"/>
      <c r="X5" s="15"/>
      <c r="Y5" s="15"/>
      <c r="Z5" s="15"/>
    </row>
    <row r="6" spans="1:26" hidden="1" x14ac:dyDescent="0.2">
      <c r="A6" s="45"/>
      <c r="B6" s="45" t="str">
        <f>D!Q6</f>
        <v>Enero</v>
      </c>
      <c r="C6" s="45" t="str">
        <f>SB!C3</f>
        <v>Febrero</v>
      </c>
      <c r="D6" s="45" t="str">
        <f>SB!D3</f>
        <v>Marzo</v>
      </c>
      <c r="E6" s="45" t="str">
        <f>SB!E3</f>
        <v>Abril</v>
      </c>
      <c r="F6" s="45" t="str">
        <f>SB!F3</f>
        <v xml:space="preserve">Mayo </v>
      </c>
      <c r="G6" s="45" t="str">
        <f>SB!G3</f>
        <v>Junio</v>
      </c>
      <c r="H6" s="45" t="str">
        <f>SB!H3</f>
        <v>Julio</v>
      </c>
      <c r="I6" s="45" t="str">
        <f>SB!I3</f>
        <v>Agosto</v>
      </c>
      <c r="J6" s="45" t="str">
        <f>SB!J3</f>
        <v>Septiembre</v>
      </c>
      <c r="K6" s="45" t="str">
        <f>SB!K3</f>
        <v>Octubre</v>
      </c>
      <c r="L6" s="45" t="str">
        <f>SB!L3</f>
        <v>Noviembre</v>
      </c>
      <c r="M6" s="45" t="str">
        <f>SB!M3</f>
        <v>Diciembre</v>
      </c>
      <c r="N6" s="45"/>
      <c r="O6" s="45"/>
      <c r="P6" s="15"/>
      <c r="Q6" s="15"/>
      <c r="R6" s="15"/>
      <c r="S6" s="15"/>
      <c r="T6" s="15"/>
      <c r="U6" s="15"/>
      <c r="V6" s="15"/>
      <c r="W6" s="15"/>
      <c r="X6" s="15"/>
      <c r="Y6" s="15"/>
      <c r="Z6" s="15"/>
    </row>
    <row r="7" spans="1:26" hidden="1" x14ac:dyDescent="0.2">
      <c r="A7" s="45"/>
      <c r="B7" s="45"/>
      <c r="C7" s="45"/>
      <c r="D7" s="45"/>
      <c r="E7" s="45"/>
      <c r="F7" s="45"/>
      <c r="G7" s="45"/>
      <c r="H7" s="45"/>
      <c r="I7" s="45"/>
      <c r="J7" s="45"/>
      <c r="K7" s="45"/>
      <c r="L7" s="45"/>
      <c r="M7" s="45"/>
      <c r="N7" s="45"/>
      <c r="O7" s="45"/>
      <c r="P7" s="15"/>
      <c r="Q7" s="15"/>
      <c r="R7" s="15"/>
      <c r="S7" s="15"/>
      <c r="T7" s="15"/>
      <c r="U7" s="15"/>
      <c r="V7" s="15"/>
      <c r="W7" s="15"/>
      <c r="X7" s="15"/>
      <c r="Y7" s="15"/>
      <c r="Z7" s="15"/>
    </row>
    <row r="8" spans="1:26" hidden="1" x14ac:dyDescent="0.2">
      <c r="A8" s="45"/>
      <c r="B8" s="45"/>
      <c r="C8" s="45"/>
      <c r="D8" s="45"/>
      <c r="E8" s="45"/>
      <c r="F8" s="45"/>
      <c r="G8" s="45"/>
      <c r="H8" s="45"/>
      <c r="I8" s="45"/>
      <c r="J8" s="45"/>
      <c r="K8" s="45"/>
      <c r="L8" s="45"/>
      <c r="M8" s="45"/>
      <c r="N8" s="45"/>
      <c r="O8" s="45"/>
      <c r="P8" s="15"/>
      <c r="Q8" s="15"/>
      <c r="R8" s="15"/>
      <c r="S8" s="15"/>
      <c r="T8" s="15"/>
      <c r="U8" s="15"/>
      <c r="V8" s="15"/>
      <c r="W8" s="15"/>
      <c r="X8" s="15"/>
      <c r="Y8" s="15"/>
      <c r="Z8" s="15"/>
    </row>
    <row r="9" spans="1:26" hidden="1" x14ac:dyDescent="0.2">
      <c r="A9" s="45"/>
      <c r="B9" s="45"/>
      <c r="C9" s="45"/>
      <c r="D9" s="45"/>
      <c r="E9" s="45"/>
      <c r="F9" s="45"/>
      <c r="G9" s="45"/>
      <c r="H9" s="45"/>
      <c r="I9" s="45"/>
      <c r="J9" s="45"/>
      <c r="K9" s="45"/>
      <c r="L9" s="45"/>
      <c r="M9" s="45"/>
      <c r="N9" s="45"/>
      <c r="O9" s="45"/>
      <c r="P9" s="15"/>
      <c r="Q9" s="15"/>
      <c r="R9" s="15"/>
      <c r="S9" s="15"/>
      <c r="T9" s="15"/>
      <c r="U9" s="15"/>
      <c r="V9" s="15"/>
      <c r="W9" s="15"/>
      <c r="X9" s="15"/>
      <c r="Y9" s="15"/>
      <c r="Z9" s="15"/>
    </row>
    <row r="10" spans="1:26" hidden="1" x14ac:dyDescent="0.2">
      <c r="A10" s="45"/>
      <c r="B10" s="45" t="s">
        <v>471</v>
      </c>
      <c r="C10" s="45"/>
      <c r="D10" s="45" t="s">
        <v>472</v>
      </c>
      <c r="E10" s="45"/>
      <c r="F10" s="45"/>
      <c r="G10" s="45"/>
      <c r="H10" s="45"/>
      <c r="I10" s="45"/>
      <c r="J10" s="45"/>
      <c r="K10" s="45"/>
      <c r="L10" s="45"/>
      <c r="M10" s="45"/>
      <c r="N10" s="45"/>
      <c r="O10" s="45"/>
      <c r="P10" s="15"/>
      <c r="Q10" s="15"/>
      <c r="R10" s="15"/>
      <c r="S10" s="15"/>
      <c r="T10" s="15"/>
      <c r="U10" s="15"/>
      <c r="V10" s="15"/>
      <c r="W10" s="15"/>
      <c r="X10" s="15"/>
      <c r="Y10" s="15"/>
      <c r="Z10" s="15"/>
    </row>
    <row r="11" spans="1:26" hidden="1" x14ac:dyDescent="0.2">
      <c r="A11" s="45"/>
      <c r="B11" s="45"/>
      <c r="C11" s="45"/>
      <c r="D11" s="45"/>
      <c r="E11" s="45" t="s">
        <v>473</v>
      </c>
      <c r="F11" s="45"/>
      <c r="G11" s="45"/>
      <c r="H11" s="45"/>
      <c r="I11" s="45"/>
      <c r="J11" s="45"/>
      <c r="K11" s="45" t="s">
        <v>148</v>
      </c>
      <c r="L11" s="45"/>
      <c r="M11" s="45"/>
      <c r="N11" s="45"/>
      <c r="O11" s="45"/>
      <c r="P11" s="15"/>
      <c r="Q11" s="15"/>
      <c r="R11" s="15"/>
      <c r="S11" s="15"/>
      <c r="T11" s="15"/>
      <c r="U11" s="15"/>
      <c r="V11" s="15"/>
      <c r="W11" s="15"/>
      <c r="X11" s="15"/>
      <c r="Y11" s="15"/>
      <c r="Z11" s="15"/>
    </row>
    <row r="12" spans="1:26" hidden="1" x14ac:dyDescent="0.2">
      <c r="A12" s="45"/>
      <c r="B12" s="45" t="s">
        <v>817</v>
      </c>
      <c r="C12" s="45"/>
      <c r="D12" s="45" t="s">
        <v>815</v>
      </c>
      <c r="E12" s="45" t="s">
        <v>816</v>
      </c>
      <c r="F12" s="45" t="str">
        <f>D!$Q$6</f>
        <v>Enero</v>
      </c>
      <c r="G12" s="45"/>
      <c r="H12" s="45"/>
      <c r="I12" s="45"/>
      <c r="J12" s="45"/>
      <c r="K12" s="45" t="s">
        <v>149</v>
      </c>
      <c r="L12" s="45"/>
      <c r="M12" s="45"/>
      <c r="N12" s="45"/>
      <c r="O12" s="45"/>
      <c r="P12" s="15"/>
      <c r="Q12" s="15"/>
      <c r="R12" s="15"/>
      <c r="S12" s="15"/>
      <c r="T12" s="15"/>
      <c r="U12" s="15"/>
      <c r="V12" s="15"/>
      <c r="W12" s="15"/>
      <c r="X12" s="15"/>
      <c r="Y12" s="15"/>
      <c r="Z12" s="15"/>
    </row>
    <row r="13" spans="1:26" hidden="1" x14ac:dyDescent="0.2">
      <c r="A13" s="45"/>
      <c r="B13" s="45" t="s">
        <v>878</v>
      </c>
      <c r="C13" s="45"/>
      <c r="D13" s="45">
        <v>1</v>
      </c>
      <c r="E13" s="45" t="str">
        <f t="shared" ref="E13:E24" si="0">B13</f>
        <v>Enero</v>
      </c>
      <c r="F13" s="45">
        <f>IF(F$12=$B$13,1,0)+IF(F$12=$B$14,2,0)+IF(F$12=$B$15,3,0)+IF(F$12=$B$16,4,0)+IF(F$12=$B$17,5,0)+IF(F$12=$B$18,6,0)+IF(F$12=$B$19,7,0)+IF(F$12=$B$20,8,0)+IF(F$12=$B$21,9,0)+IF(F$12=$B$22,10,0)+IF(F$12=$B$23,11,0)+IF(F$12=$B$24,12,0)</f>
        <v>1</v>
      </c>
      <c r="G13" s="45"/>
      <c r="H13" s="45"/>
      <c r="I13" s="45"/>
      <c r="J13" s="45"/>
      <c r="K13" s="45" t="s">
        <v>150</v>
      </c>
      <c r="L13" s="45"/>
      <c r="M13" s="45"/>
      <c r="N13" s="45"/>
      <c r="O13" s="45"/>
      <c r="P13" s="15"/>
      <c r="Q13" s="15"/>
      <c r="R13" s="15"/>
      <c r="S13" s="15"/>
      <c r="T13" s="15"/>
      <c r="U13" s="15"/>
      <c r="V13" s="15"/>
      <c r="W13" s="15"/>
      <c r="X13" s="15"/>
      <c r="Y13" s="15"/>
      <c r="Z13" s="15"/>
    </row>
    <row r="14" spans="1:26" hidden="1" x14ac:dyDescent="0.2">
      <c r="A14" s="45"/>
      <c r="B14" s="45" t="s">
        <v>879</v>
      </c>
      <c r="C14" s="45"/>
      <c r="D14" s="45">
        <v>2</v>
      </c>
      <c r="E14" s="45" t="str">
        <f t="shared" si="0"/>
        <v>Febrero</v>
      </c>
      <c r="F14" s="45">
        <f>IF(F13=12,1,F13+1)</f>
        <v>2</v>
      </c>
      <c r="G14" s="45" t="str">
        <f t="shared" ref="G14:G24" si="1">LOOKUP(F14,NUMESX,BUSCARMESX)</f>
        <v>Febrero</v>
      </c>
      <c r="H14" s="45"/>
      <c r="I14" s="45"/>
      <c r="J14" s="45"/>
      <c r="K14" s="45"/>
      <c r="L14" s="45"/>
      <c r="M14" s="45"/>
      <c r="N14" s="45"/>
      <c r="O14" s="45"/>
      <c r="P14" s="15"/>
      <c r="Q14" s="15"/>
      <c r="R14" s="15"/>
      <c r="S14" s="15"/>
      <c r="T14" s="15"/>
      <c r="U14" s="15"/>
      <c r="V14" s="15"/>
      <c r="W14" s="15"/>
      <c r="X14" s="15"/>
      <c r="Y14" s="15"/>
      <c r="Z14" s="15"/>
    </row>
    <row r="15" spans="1:26" hidden="1" x14ac:dyDescent="0.2">
      <c r="A15" s="45"/>
      <c r="B15" s="45" t="s">
        <v>880</v>
      </c>
      <c r="C15" s="45"/>
      <c r="D15" s="45">
        <v>3</v>
      </c>
      <c r="E15" s="45" t="str">
        <f t="shared" si="0"/>
        <v>Marzo</v>
      </c>
      <c r="F15" s="45">
        <f>IF(F14=12,1,F14+1)</f>
        <v>3</v>
      </c>
      <c r="G15" s="45" t="str">
        <f t="shared" si="1"/>
        <v>Marzo</v>
      </c>
      <c r="H15" s="45"/>
      <c r="I15" s="45"/>
      <c r="J15" s="45"/>
      <c r="K15" s="45"/>
      <c r="L15" s="45"/>
      <c r="M15" s="45"/>
      <c r="N15" s="45"/>
      <c r="O15" s="45"/>
      <c r="P15" s="15"/>
      <c r="Q15" s="15"/>
      <c r="R15" s="15"/>
      <c r="S15" s="15"/>
      <c r="T15" s="15"/>
      <c r="U15" s="15"/>
      <c r="V15" s="15"/>
      <c r="W15" s="15"/>
      <c r="X15" s="15"/>
      <c r="Y15" s="15"/>
      <c r="Z15" s="15"/>
    </row>
    <row r="16" spans="1:26" hidden="1" x14ac:dyDescent="0.2">
      <c r="A16" s="45"/>
      <c r="B16" s="45" t="s">
        <v>881</v>
      </c>
      <c r="C16" s="45"/>
      <c r="D16" s="45">
        <v>4</v>
      </c>
      <c r="E16" s="45" t="str">
        <f t="shared" si="0"/>
        <v>Abril</v>
      </c>
      <c r="F16" s="45">
        <f t="shared" ref="F16:F24" si="2">IF(F15=12,1,F15+1)</f>
        <v>4</v>
      </c>
      <c r="G16" s="45" t="str">
        <f t="shared" si="1"/>
        <v>Abril</v>
      </c>
      <c r="H16" s="45"/>
      <c r="I16" s="45"/>
      <c r="J16" s="45"/>
      <c r="K16" s="45"/>
      <c r="L16" s="45"/>
      <c r="M16" s="45"/>
      <c r="N16" s="45"/>
      <c r="O16" s="45"/>
      <c r="P16" s="15"/>
      <c r="Q16" s="15"/>
      <c r="R16" s="15"/>
      <c r="S16" s="15"/>
      <c r="T16" s="15"/>
      <c r="U16" s="15"/>
      <c r="V16" s="15"/>
      <c r="W16" s="15"/>
      <c r="X16" s="15"/>
      <c r="Y16" s="15"/>
      <c r="Z16" s="15"/>
    </row>
    <row r="17" spans="1:26" hidden="1" x14ac:dyDescent="0.2">
      <c r="A17" s="45"/>
      <c r="B17" s="45" t="s">
        <v>882</v>
      </c>
      <c r="C17" s="45"/>
      <c r="D17" s="45">
        <v>5</v>
      </c>
      <c r="E17" s="45" t="str">
        <f t="shared" si="0"/>
        <v xml:space="preserve">Mayo </v>
      </c>
      <c r="F17" s="45">
        <f t="shared" si="2"/>
        <v>5</v>
      </c>
      <c r="G17" s="45" t="str">
        <f t="shared" si="1"/>
        <v xml:space="preserve">Mayo </v>
      </c>
      <c r="H17" s="45"/>
      <c r="I17" s="45"/>
      <c r="J17" s="45"/>
      <c r="K17" s="45"/>
      <c r="L17" s="45"/>
      <c r="M17" s="45"/>
      <c r="N17" s="45"/>
      <c r="O17" s="45"/>
      <c r="P17" s="15"/>
      <c r="Q17" s="15"/>
      <c r="R17" s="15"/>
      <c r="S17" s="15"/>
      <c r="T17" s="15"/>
      <c r="U17" s="15"/>
      <c r="V17" s="15"/>
      <c r="W17" s="15"/>
      <c r="X17" s="15"/>
      <c r="Y17" s="15"/>
      <c r="Z17" s="15"/>
    </row>
    <row r="18" spans="1:26" hidden="1" x14ac:dyDescent="0.2">
      <c r="A18" s="45"/>
      <c r="B18" s="45" t="s">
        <v>883</v>
      </c>
      <c r="C18" s="45"/>
      <c r="D18" s="45">
        <v>6</v>
      </c>
      <c r="E18" s="45" t="str">
        <f t="shared" si="0"/>
        <v>Junio</v>
      </c>
      <c r="F18" s="45">
        <f t="shared" si="2"/>
        <v>6</v>
      </c>
      <c r="G18" s="45" t="str">
        <f t="shared" si="1"/>
        <v>Junio</v>
      </c>
      <c r="H18" s="45"/>
      <c r="I18" s="45"/>
      <c r="J18" s="45"/>
      <c r="K18" s="45"/>
      <c r="L18" s="45"/>
      <c r="M18" s="45"/>
      <c r="N18" s="45"/>
      <c r="O18" s="45"/>
      <c r="P18" s="15"/>
      <c r="Q18" s="15"/>
      <c r="R18" s="15"/>
      <c r="S18" s="15"/>
      <c r="T18" s="15"/>
      <c r="U18" s="15"/>
      <c r="V18" s="15"/>
      <c r="W18" s="15"/>
      <c r="X18" s="15"/>
      <c r="Y18" s="15"/>
      <c r="Z18" s="15"/>
    </row>
    <row r="19" spans="1:26" hidden="1" x14ac:dyDescent="0.2">
      <c r="A19" s="45"/>
      <c r="B19" s="45" t="s">
        <v>884</v>
      </c>
      <c r="C19" s="45"/>
      <c r="D19" s="45">
        <v>7</v>
      </c>
      <c r="E19" s="45" t="str">
        <f t="shared" si="0"/>
        <v>Julio</v>
      </c>
      <c r="F19" s="45">
        <f t="shared" si="2"/>
        <v>7</v>
      </c>
      <c r="G19" s="45" t="str">
        <f t="shared" si="1"/>
        <v>Julio</v>
      </c>
      <c r="H19" s="45"/>
      <c r="I19" s="45"/>
      <c r="J19" s="45"/>
      <c r="K19" s="45"/>
      <c r="L19" s="45"/>
      <c r="M19" s="45"/>
      <c r="N19" s="45"/>
      <c r="O19" s="45"/>
      <c r="P19" s="15"/>
      <c r="Q19" s="15"/>
      <c r="R19" s="15"/>
      <c r="S19" s="15"/>
      <c r="T19" s="15"/>
      <c r="U19" s="15"/>
      <c r="V19" s="15"/>
      <c r="W19" s="15"/>
      <c r="X19" s="15"/>
      <c r="Y19" s="15"/>
      <c r="Z19" s="15"/>
    </row>
    <row r="20" spans="1:26" hidden="1" x14ac:dyDescent="0.2">
      <c r="A20" s="45"/>
      <c r="B20" s="45" t="s">
        <v>885</v>
      </c>
      <c r="C20" s="45"/>
      <c r="D20" s="45">
        <v>8</v>
      </c>
      <c r="E20" s="45" t="str">
        <f t="shared" si="0"/>
        <v>Agosto</v>
      </c>
      <c r="F20" s="45">
        <f t="shared" si="2"/>
        <v>8</v>
      </c>
      <c r="G20" s="45" t="str">
        <f t="shared" si="1"/>
        <v>Agosto</v>
      </c>
      <c r="H20" s="45"/>
      <c r="I20" s="45"/>
      <c r="J20" s="45"/>
      <c r="K20" s="45"/>
      <c r="L20" s="45"/>
      <c r="M20" s="45"/>
      <c r="N20" s="45"/>
      <c r="O20" s="45"/>
      <c r="P20" s="15"/>
      <c r="Q20" s="15"/>
      <c r="R20" s="15"/>
      <c r="S20" s="15"/>
      <c r="T20" s="15"/>
      <c r="U20" s="15"/>
      <c r="V20" s="15"/>
      <c r="W20" s="15"/>
      <c r="X20" s="15"/>
      <c r="Y20" s="15"/>
      <c r="Z20" s="15"/>
    </row>
    <row r="21" spans="1:26" hidden="1" x14ac:dyDescent="0.2">
      <c r="A21" s="45"/>
      <c r="B21" s="45" t="s">
        <v>874</v>
      </c>
      <c r="C21" s="45"/>
      <c r="D21" s="45">
        <v>9</v>
      </c>
      <c r="E21" s="45" t="str">
        <f t="shared" si="0"/>
        <v>Septiembre</v>
      </c>
      <c r="F21" s="45">
        <f t="shared" si="2"/>
        <v>9</v>
      </c>
      <c r="G21" s="45" t="str">
        <f t="shared" si="1"/>
        <v>Septiembre</v>
      </c>
      <c r="H21" s="45"/>
      <c r="I21" s="45"/>
      <c r="J21" s="45"/>
      <c r="K21" s="45"/>
      <c r="L21" s="45"/>
      <c r="M21" s="45"/>
      <c r="N21" s="45"/>
      <c r="O21" s="45"/>
      <c r="P21" s="15"/>
      <c r="Q21" s="15"/>
      <c r="R21" s="15"/>
      <c r="S21" s="15"/>
      <c r="T21" s="15"/>
      <c r="U21" s="15"/>
      <c r="V21" s="15"/>
      <c r="W21" s="15"/>
      <c r="X21" s="15"/>
      <c r="Y21" s="15"/>
      <c r="Z21" s="15"/>
    </row>
    <row r="22" spans="1:26" hidden="1" x14ac:dyDescent="0.2">
      <c r="A22" s="45"/>
      <c r="B22" s="45" t="s">
        <v>875</v>
      </c>
      <c r="C22" s="45"/>
      <c r="D22" s="45">
        <v>10</v>
      </c>
      <c r="E22" s="45" t="str">
        <f t="shared" si="0"/>
        <v>Octubre</v>
      </c>
      <c r="F22" s="45">
        <f t="shared" si="2"/>
        <v>10</v>
      </c>
      <c r="G22" s="45" t="str">
        <f t="shared" si="1"/>
        <v>Octubre</v>
      </c>
      <c r="H22" s="45"/>
      <c r="I22" s="45"/>
      <c r="J22" s="45"/>
      <c r="K22" s="45"/>
      <c r="L22" s="45"/>
      <c r="M22" s="45"/>
      <c r="N22" s="45"/>
      <c r="O22" s="45"/>
      <c r="P22" s="15"/>
      <c r="Q22" s="15"/>
      <c r="R22" s="15"/>
      <c r="S22" s="15"/>
      <c r="T22" s="15"/>
      <c r="U22" s="15"/>
      <c r="V22" s="15"/>
      <c r="W22" s="15"/>
      <c r="X22" s="15"/>
      <c r="Y22" s="15"/>
      <c r="Z22" s="15"/>
    </row>
    <row r="23" spans="1:26" hidden="1" x14ac:dyDescent="0.2">
      <c r="A23" s="45"/>
      <c r="B23" s="45" t="s">
        <v>876</v>
      </c>
      <c r="C23" s="45"/>
      <c r="D23" s="45">
        <v>11</v>
      </c>
      <c r="E23" s="45" t="str">
        <f t="shared" si="0"/>
        <v>Noviembre</v>
      </c>
      <c r="F23" s="45">
        <f t="shared" si="2"/>
        <v>11</v>
      </c>
      <c r="G23" s="45" t="str">
        <f t="shared" si="1"/>
        <v>Noviembre</v>
      </c>
      <c r="H23" s="45"/>
      <c r="I23" s="45"/>
      <c r="J23" s="45"/>
      <c r="K23" s="45"/>
      <c r="L23" s="45"/>
      <c r="M23" s="45"/>
      <c r="N23" s="45"/>
      <c r="O23" s="45"/>
      <c r="P23" s="15"/>
      <c r="Q23" s="15"/>
      <c r="R23" s="15"/>
      <c r="S23" s="15"/>
      <c r="T23" s="15"/>
      <c r="U23" s="15"/>
      <c r="V23" s="15"/>
      <c r="W23" s="15"/>
      <c r="X23" s="15"/>
      <c r="Y23" s="15"/>
      <c r="Z23" s="15"/>
    </row>
    <row r="24" spans="1:26" hidden="1" x14ac:dyDescent="0.2">
      <c r="A24" s="45"/>
      <c r="B24" s="45" t="s">
        <v>877</v>
      </c>
      <c r="C24" s="45"/>
      <c r="D24" s="45">
        <v>12</v>
      </c>
      <c r="E24" s="45" t="str">
        <f t="shared" si="0"/>
        <v>Diciembre</v>
      </c>
      <c r="F24" s="45">
        <f t="shared" si="2"/>
        <v>12</v>
      </c>
      <c r="G24" s="45" t="str">
        <f t="shared" si="1"/>
        <v>Diciembre</v>
      </c>
      <c r="H24" s="45"/>
      <c r="I24" s="45"/>
      <c r="J24" s="45"/>
      <c r="K24" s="45"/>
      <c r="L24" s="45"/>
      <c r="M24" s="45"/>
      <c r="N24" s="45"/>
      <c r="O24" s="45"/>
      <c r="P24" s="15"/>
      <c r="Q24" s="15"/>
      <c r="R24" s="15"/>
      <c r="S24" s="15"/>
      <c r="T24" s="15"/>
      <c r="U24" s="15"/>
      <c r="V24" s="15"/>
      <c r="W24" s="15"/>
      <c r="X24" s="15"/>
      <c r="Y24" s="15"/>
      <c r="Z24" s="15"/>
    </row>
    <row r="25" spans="1:26" hidden="1" x14ac:dyDescent="0.2">
      <c r="A25" s="45"/>
      <c r="C25" s="45"/>
      <c r="D25" s="45"/>
      <c r="E25" s="45"/>
      <c r="F25" s="45"/>
      <c r="G25" s="45"/>
      <c r="H25" s="45"/>
      <c r="I25" s="45"/>
      <c r="J25" s="45"/>
      <c r="K25" s="45"/>
      <c r="L25" s="45"/>
      <c r="M25" s="45"/>
      <c r="N25" s="45"/>
      <c r="O25" s="45"/>
      <c r="P25" s="15"/>
      <c r="Q25" s="15"/>
      <c r="R25" s="15"/>
      <c r="S25" s="15"/>
      <c r="T25" s="15"/>
      <c r="U25" s="15"/>
      <c r="V25" s="15"/>
      <c r="W25" s="15"/>
      <c r="X25" s="15"/>
      <c r="Y25" s="15"/>
      <c r="Z25" s="15"/>
    </row>
    <row r="26" spans="1:26" hidden="1" x14ac:dyDescent="0.2">
      <c r="A26" s="45"/>
      <c r="B26" s="45"/>
      <c r="C26" s="45"/>
      <c r="D26" s="45"/>
      <c r="E26" s="45"/>
      <c r="F26" s="45"/>
      <c r="G26" s="45"/>
      <c r="H26" s="45"/>
      <c r="I26" s="45"/>
      <c r="J26" s="45"/>
      <c r="K26" s="45"/>
      <c r="L26" s="45"/>
      <c r="M26" s="45"/>
      <c r="N26" s="45"/>
      <c r="O26" s="45"/>
      <c r="P26" s="15"/>
      <c r="Q26" s="15"/>
      <c r="R26" s="15"/>
      <c r="S26" s="15"/>
      <c r="T26" s="15"/>
      <c r="U26" s="15"/>
      <c r="V26" s="15"/>
      <c r="W26" s="15"/>
      <c r="X26" s="15"/>
      <c r="Y26" s="15"/>
      <c r="Z26" s="15"/>
    </row>
    <row r="27" spans="1:26" hidden="1" x14ac:dyDescent="0.2">
      <c r="A27" s="45"/>
      <c r="B27" s="45"/>
      <c r="C27" s="45"/>
      <c r="D27" s="45"/>
      <c r="E27" s="45"/>
      <c r="F27" s="45"/>
      <c r="G27" s="45"/>
      <c r="H27" s="45"/>
      <c r="I27" s="45"/>
      <c r="J27" s="45"/>
      <c r="K27" s="45"/>
      <c r="L27" s="45"/>
      <c r="M27" s="45"/>
      <c r="N27" s="45"/>
      <c r="O27" s="45"/>
      <c r="P27" s="15"/>
      <c r="Q27" s="15"/>
      <c r="R27" s="15"/>
      <c r="S27" s="15"/>
      <c r="T27" s="15"/>
      <c r="U27" s="15"/>
      <c r="V27" s="15"/>
      <c r="W27" s="15"/>
      <c r="X27" s="15"/>
      <c r="Y27" s="15"/>
      <c r="Z27" s="15"/>
    </row>
    <row r="28" spans="1:26" hidden="1" x14ac:dyDescent="0.2">
      <c r="A28" s="45"/>
      <c r="B28" s="45"/>
      <c r="C28" s="45"/>
      <c r="D28" s="45"/>
      <c r="E28" s="45"/>
      <c r="F28" s="45"/>
      <c r="G28" s="45"/>
      <c r="H28" s="45"/>
      <c r="I28" s="45"/>
      <c r="J28" s="45"/>
      <c r="K28" s="45"/>
      <c r="L28" s="45"/>
      <c r="M28" s="45"/>
      <c r="N28" s="45"/>
      <c r="O28" s="45"/>
      <c r="P28" s="15"/>
      <c r="Q28" s="15"/>
      <c r="R28" s="15"/>
      <c r="S28" s="15"/>
      <c r="T28" s="15"/>
      <c r="U28" s="15"/>
      <c r="V28" s="15"/>
      <c r="W28" s="15"/>
      <c r="X28" s="15"/>
      <c r="Y28" s="15"/>
      <c r="Z28" s="15"/>
    </row>
    <row r="29" spans="1:26" hidden="1" x14ac:dyDescent="0.2">
      <c r="A29" s="45"/>
      <c r="B29" s="45"/>
      <c r="C29" s="45"/>
      <c r="D29" s="45"/>
      <c r="E29" s="45"/>
      <c r="F29" s="45"/>
      <c r="G29" s="45"/>
      <c r="H29" s="45"/>
      <c r="I29" s="45"/>
      <c r="J29" s="45"/>
      <c r="K29" s="45"/>
      <c r="L29" s="45"/>
      <c r="M29" s="45"/>
      <c r="N29" s="45"/>
      <c r="O29" s="45"/>
      <c r="P29" s="15"/>
      <c r="Q29" s="15"/>
      <c r="R29" s="15"/>
      <c r="S29" s="15"/>
      <c r="T29" s="15"/>
      <c r="U29" s="15"/>
      <c r="V29" s="15"/>
      <c r="W29" s="15"/>
      <c r="X29" s="15"/>
      <c r="Y29" s="15"/>
      <c r="Z29" s="15"/>
    </row>
    <row r="30" spans="1:26" hidden="1" x14ac:dyDescent="0.2">
      <c r="A30" s="45"/>
      <c r="B30" s="45"/>
      <c r="C30" s="45"/>
      <c r="D30" s="45"/>
      <c r="E30" s="45"/>
      <c r="F30" s="45"/>
      <c r="G30" s="45"/>
      <c r="H30" s="45"/>
      <c r="I30" s="45"/>
      <c r="J30" s="45"/>
      <c r="K30" s="45"/>
      <c r="L30" s="45"/>
      <c r="M30" s="45"/>
      <c r="N30" s="45"/>
      <c r="O30" s="45"/>
      <c r="P30" s="15"/>
      <c r="Q30" s="15"/>
      <c r="R30" s="15"/>
      <c r="S30" s="15"/>
      <c r="T30" s="15"/>
      <c r="U30" s="15"/>
      <c r="V30" s="15"/>
      <c r="W30" s="15"/>
      <c r="X30" s="15"/>
      <c r="Y30" s="15"/>
      <c r="Z30" s="15"/>
    </row>
    <row r="31" spans="1:26" hidden="1" x14ac:dyDescent="0.2">
      <c r="A31" s="45"/>
      <c r="B31" s="45"/>
      <c r="C31" s="45"/>
      <c r="D31" s="45"/>
      <c r="E31" s="45"/>
      <c r="F31" s="45"/>
      <c r="G31" s="45"/>
      <c r="H31" s="45"/>
      <c r="I31" s="45"/>
      <c r="J31" s="45"/>
      <c r="K31" s="45"/>
      <c r="L31" s="45"/>
      <c r="M31" s="45"/>
      <c r="N31" s="45"/>
      <c r="O31" s="45"/>
      <c r="P31" s="15"/>
      <c r="Q31" s="15"/>
      <c r="R31" s="15"/>
      <c r="S31" s="15"/>
      <c r="T31" s="15"/>
      <c r="U31" s="15"/>
      <c r="V31" s="15"/>
      <c r="W31" s="15"/>
      <c r="X31" s="15"/>
      <c r="Y31" s="15"/>
      <c r="Z31" s="15"/>
    </row>
    <row r="32" spans="1:26" hidden="1" x14ac:dyDescent="0.2">
      <c r="A32" s="45"/>
      <c r="B32" s="45"/>
      <c r="C32" s="45"/>
      <c r="D32" s="45"/>
      <c r="E32" s="45"/>
      <c r="F32" s="45"/>
      <c r="G32" s="45"/>
      <c r="H32" s="45"/>
      <c r="I32" s="45"/>
      <c r="J32" s="45"/>
      <c r="K32" s="45"/>
      <c r="L32" s="45"/>
      <c r="M32" s="45"/>
      <c r="N32" s="45"/>
      <c r="O32" s="45"/>
      <c r="P32" s="15"/>
      <c r="Q32" s="15"/>
      <c r="R32" s="15"/>
      <c r="S32" s="15"/>
      <c r="T32" s="15"/>
      <c r="U32" s="15"/>
      <c r="V32" s="15"/>
      <c r="W32" s="15"/>
      <c r="X32" s="15"/>
      <c r="Y32" s="15"/>
      <c r="Z32" s="15"/>
    </row>
    <row r="33" spans="1:26" hidden="1" x14ac:dyDescent="0.2">
      <c r="A33" s="45"/>
      <c r="B33" s="45"/>
      <c r="C33" s="45"/>
      <c r="D33" s="45"/>
      <c r="E33" s="45"/>
      <c r="F33" s="45" t="s">
        <v>927</v>
      </c>
      <c r="G33" s="45">
        <f>MIN(INFORME!G287:R287)</f>
        <v>0</v>
      </c>
      <c r="H33" s="45"/>
      <c r="I33" s="45"/>
      <c r="J33" s="45"/>
      <c r="K33" s="45"/>
      <c r="L33" s="45"/>
      <c r="M33" s="45"/>
      <c r="N33" s="45"/>
      <c r="O33" s="45"/>
      <c r="P33" s="15"/>
      <c r="Q33" s="15"/>
      <c r="R33" s="15"/>
      <c r="S33" s="15"/>
      <c r="T33" s="15"/>
      <c r="U33" s="15"/>
      <c r="V33" s="15"/>
      <c r="W33" s="15"/>
      <c r="X33" s="15"/>
      <c r="Y33" s="15"/>
      <c r="Z33" s="15"/>
    </row>
    <row r="34" spans="1:26" hidden="1" x14ac:dyDescent="0.2">
      <c r="A34" s="45"/>
      <c r="B34" s="45"/>
      <c r="C34" s="45"/>
      <c r="D34" s="45"/>
      <c r="E34" s="45"/>
      <c r="F34" s="45" t="s">
        <v>1387</v>
      </c>
      <c r="G34" s="45">
        <f>+INFORME!E87+SB!D635+INFORME!E89</f>
        <v>0</v>
      </c>
      <c r="H34" s="45"/>
      <c r="I34" s="45"/>
      <c r="J34" s="45"/>
      <c r="K34" s="45"/>
      <c r="L34" s="45"/>
      <c r="M34" s="45"/>
      <c r="N34" s="45"/>
      <c r="O34" s="45"/>
      <c r="P34" s="15"/>
      <c r="Q34" s="15"/>
      <c r="R34" s="15"/>
      <c r="S34" s="15"/>
      <c r="T34" s="15"/>
      <c r="U34" s="15"/>
      <c r="V34" s="15"/>
      <c r="W34" s="15"/>
      <c r="X34" s="15"/>
      <c r="Y34" s="15"/>
      <c r="Z34" s="15"/>
    </row>
    <row r="35" spans="1:26" hidden="1" x14ac:dyDescent="0.2">
      <c r="A35" s="45"/>
      <c r="B35" s="45"/>
      <c r="C35" s="45"/>
      <c r="D35" s="45"/>
      <c r="E35" s="45"/>
      <c r="F35" s="45" t="s">
        <v>1382</v>
      </c>
      <c r="G35" s="45">
        <f>+INFORME!E127+INFORME!E138+INFORME!E133+INFORME!E131</f>
        <v>0</v>
      </c>
      <c r="H35" s="45"/>
      <c r="I35" s="45"/>
      <c r="J35" s="45"/>
      <c r="K35" s="45"/>
      <c r="L35" s="45"/>
      <c r="M35" s="45"/>
      <c r="N35" s="45"/>
      <c r="O35" s="45"/>
      <c r="P35" s="15"/>
      <c r="Q35" s="15"/>
      <c r="R35" s="15"/>
      <c r="S35" s="15"/>
      <c r="T35" s="15"/>
      <c r="U35" s="15"/>
      <c r="V35" s="15"/>
      <c r="W35" s="15"/>
      <c r="X35" s="15"/>
      <c r="Y35" s="15"/>
      <c r="Z35" s="15"/>
    </row>
    <row r="36" spans="1:26" hidden="1" x14ac:dyDescent="0.2">
      <c r="A36" s="45"/>
      <c r="B36" s="45"/>
      <c r="C36" s="45"/>
      <c r="D36" s="45"/>
      <c r="E36" s="45"/>
      <c r="F36" s="45" t="s">
        <v>926</v>
      </c>
      <c r="G36" s="45">
        <f>+G34-G35</f>
        <v>0</v>
      </c>
      <c r="H36" s="45"/>
      <c r="I36" s="45"/>
      <c r="J36" s="45"/>
      <c r="K36" s="45"/>
      <c r="L36" s="45"/>
      <c r="M36" s="45"/>
      <c r="N36" s="45"/>
      <c r="O36" s="45"/>
      <c r="P36" s="15"/>
      <c r="Q36" s="15"/>
      <c r="R36" s="15"/>
      <c r="S36" s="15"/>
      <c r="T36" s="15"/>
      <c r="U36" s="15"/>
      <c r="V36" s="15"/>
      <c r="W36" s="15"/>
      <c r="X36" s="15"/>
      <c r="Y36" s="15"/>
      <c r="Z36" s="15"/>
    </row>
    <row r="37" spans="1:26" hidden="1" x14ac:dyDescent="0.2">
      <c r="A37" s="45"/>
      <c r="B37" s="45"/>
      <c r="C37" s="45"/>
      <c r="D37" s="45"/>
      <c r="E37" s="45"/>
      <c r="F37" s="45"/>
      <c r="G37" s="45"/>
      <c r="H37" s="45"/>
      <c r="I37" s="45"/>
      <c r="J37" s="45"/>
      <c r="K37" s="45"/>
      <c r="L37" s="45"/>
      <c r="M37" s="45"/>
      <c r="N37" s="45"/>
      <c r="O37" s="45"/>
      <c r="P37" s="15"/>
      <c r="Q37" s="15"/>
      <c r="R37" s="15"/>
      <c r="S37" s="15"/>
      <c r="T37" s="15"/>
      <c r="U37" s="15"/>
      <c r="V37" s="15"/>
      <c r="W37" s="15"/>
      <c r="X37" s="15"/>
      <c r="Y37" s="15"/>
      <c r="Z37" s="15"/>
    </row>
    <row r="38" spans="1:26" hidden="1" x14ac:dyDescent="0.2">
      <c r="A38" s="45"/>
      <c r="B38" s="45"/>
      <c r="C38" s="45"/>
      <c r="D38" s="45"/>
      <c r="E38" s="45"/>
      <c r="F38" s="45"/>
      <c r="G38" s="45"/>
      <c r="H38" s="45"/>
      <c r="I38" s="45"/>
      <c r="J38" s="45"/>
      <c r="K38" s="45"/>
      <c r="L38" s="45"/>
      <c r="M38" s="45"/>
      <c r="N38" s="45"/>
      <c r="O38" s="45"/>
      <c r="P38" s="15"/>
      <c r="Q38" s="15"/>
      <c r="R38" s="15"/>
      <c r="S38" s="15"/>
      <c r="T38" s="15"/>
      <c r="U38" s="15"/>
      <c r="V38" s="15"/>
      <c r="W38" s="15"/>
      <c r="X38" s="15"/>
      <c r="Y38" s="15"/>
      <c r="Z38" s="15"/>
    </row>
    <row r="39" spans="1:26" hidden="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idden="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idden="1" x14ac:dyDescent="0.2">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idden="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idden="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idden="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idden="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idden="1" x14ac:dyDescent="0.2">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idden="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idden="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idden="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idden="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idden="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idden="1" x14ac:dyDescent="0.2">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idden="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idden="1" x14ac:dyDescent="0.2">
      <c r="A55" s="15"/>
      <c r="B55" s="15"/>
      <c r="C55" s="15"/>
      <c r="D55" s="15"/>
      <c r="E55" s="15"/>
      <c r="F55" s="15"/>
      <c r="G55" s="15"/>
      <c r="H55" s="15"/>
      <c r="I55" s="15"/>
      <c r="J55" s="57"/>
      <c r="K55" s="57"/>
      <c r="L55" s="57"/>
      <c r="M55" s="57"/>
      <c r="N55" s="57"/>
      <c r="O55" s="57"/>
      <c r="P55" s="57"/>
      <c r="Q55" s="15"/>
      <c r="R55" s="15"/>
      <c r="S55" s="15"/>
      <c r="T55" s="15"/>
      <c r="U55" s="15"/>
      <c r="V55" s="15"/>
      <c r="W55" s="15"/>
      <c r="X55" s="15"/>
      <c r="Y55" s="15"/>
      <c r="Z55" s="15"/>
    </row>
    <row r="56" spans="1:26" hidden="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idden="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idden="1" x14ac:dyDescent="0.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idden="1" x14ac:dyDescent="0.2">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idden="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idden="1" x14ac:dyDescent="0.2">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idden="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idden="1" x14ac:dyDescent="0.2">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idden="1" x14ac:dyDescent="0.2">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idden="1" x14ac:dyDescent="0.2">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idden="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idden="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idden="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idden="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idden="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idden="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idden="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idden="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idden="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idden="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idden="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idden="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idden="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idden="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idden="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idden="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idden="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idden="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idden="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idden="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idden="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idden="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idden="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idden="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idden="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idden="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idden="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idden="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idden="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idden="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idden="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47" hidden="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47" hidden="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47" hidden="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47" hidden="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47" hidden="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47" hidden="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47" hidden="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47" hidden="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47" ht="13.5" hidden="1" thickBot="1" x14ac:dyDescent="0.25">
      <c r="A105" s="38" t="s">
        <v>553</v>
      </c>
      <c r="B105" s="38"/>
      <c r="C105" s="38"/>
      <c r="D105" s="38"/>
      <c r="E105" s="38"/>
      <c r="F105" s="38"/>
      <c r="G105" s="38"/>
      <c r="H105" s="38"/>
      <c r="I105" s="38"/>
      <c r="J105" s="38"/>
      <c r="K105" s="38"/>
      <c r="L105" s="38"/>
      <c r="M105" s="38"/>
      <c r="N105" s="38"/>
      <c r="O105" s="38"/>
      <c r="P105" s="38"/>
      <c r="Q105" s="38"/>
      <c r="R105" s="38"/>
      <c r="S105" s="38"/>
      <c r="T105" s="38"/>
      <c r="U105" s="38"/>
      <c r="V105" s="38"/>
    </row>
    <row r="106" spans="1:47" hidden="1" x14ac:dyDescent="0.2">
      <c r="AP106" s="11"/>
      <c r="AQ106" s="11"/>
      <c r="AR106" s="11"/>
      <c r="AS106" s="11"/>
      <c r="AT106" s="11"/>
      <c r="AU106" s="11"/>
    </row>
    <row r="107" spans="1:47" hidden="1" x14ac:dyDescent="0.2">
      <c r="AP107" s="11"/>
      <c r="AQ107" s="11"/>
      <c r="AR107" s="11"/>
      <c r="AS107" s="11"/>
      <c r="AT107" s="11"/>
      <c r="AU107" s="11"/>
    </row>
    <row r="108" spans="1:47" ht="14.25" hidden="1" x14ac:dyDescent="0.2">
      <c r="B108" s="131"/>
      <c r="C108" s="132" t="str">
        <f>SB!C636</f>
        <v>Gastos establecimiento</v>
      </c>
      <c r="D108" s="133"/>
      <c r="E108" s="134">
        <f>SB!D636</f>
        <v>0</v>
      </c>
      <c r="F108" s="134"/>
      <c r="G108" s="135">
        <f>IF(E108=0,0,F108/E108-100%)</f>
        <v>0</v>
      </c>
      <c r="H108" s="134"/>
      <c r="I108" s="136">
        <f>IF(F108=0,0,H108/F108-100%)</f>
        <v>0</v>
      </c>
      <c r="J108" s="134"/>
      <c r="K108" s="136">
        <f>IF(H108=0,0,J108/H108-100%)</f>
        <v>0</v>
      </c>
      <c r="L108" s="134"/>
      <c r="M108" s="136">
        <f>IF(J108=0,0,L108/J108-100%)</f>
        <v>0</v>
      </c>
      <c r="AP108" s="11"/>
      <c r="AQ108" s="11"/>
      <c r="AR108" s="11"/>
      <c r="AS108" s="11"/>
      <c r="AT108" s="11"/>
      <c r="AU108" s="11"/>
    </row>
    <row r="109" spans="1:47" hidden="1" x14ac:dyDescent="0.2">
      <c r="AP109" s="11"/>
      <c r="AQ109" s="11"/>
      <c r="AR109" s="11"/>
      <c r="AS109" s="11"/>
      <c r="AT109" s="11"/>
      <c r="AU109" s="11"/>
    </row>
    <row r="110" spans="1:47" hidden="1" x14ac:dyDescent="0.2">
      <c r="AP110" s="11"/>
      <c r="AQ110" s="11"/>
      <c r="AR110" s="11"/>
      <c r="AS110" s="11"/>
      <c r="AT110" s="11"/>
      <c r="AU110" s="11"/>
    </row>
    <row r="111" spans="1:47" hidden="1" x14ac:dyDescent="0.2">
      <c r="AP111" s="11"/>
      <c r="AQ111" s="11"/>
      <c r="AR111" s="11"/>
      <c r="AS111" s="11"/>
      <c r="AT111" s="11"/>
      <c r="AU111" s="11"/>
    </row>
    <row r="112" spans="1:47" hidden="1" x14ac:dyDescent="0.2">
      <c r="AP112" s="11"/>
      <c r="AQ112" s="11"/>
      <c r="AR112" s="11"/>
      <c r="AS112" s="11"/>
      <c r="AT112" s="11"/>
      <c r="AU112" s="11"/>
    </row>
    <row r="113" spans="2:47" hidden="1" x14ac:dyDescent="0.2">
      <c r="AP113" s="11"/>
      <c r="AQ113" s="11"/>
      <c r="AR113" s="11"/>
      <c r="AS113" s="11"/>
      <c r="AT113" s="11"/>
      <c r="AU113" s="11"/>
    </row>
    <row r="114" spans="2:47" hidden="1" x14ac:dyDescent="0.2">
      <c r="AP114" s="11"/>
      <c r="AQ114" s="11"/>
      <c r="AR114" s="11"/>
      <c r="AS114" s="11"/>
      <c r="AT114" s="11"/>
      <c r="AU114" s="11"/>
    </row>
    <row r="115" spans="2:47" hidden="1" x14ac:dyDescent="0.2">
      <c r="AP115" s="11"/>
      <c r="AQ115" s="11"/>
      <c r="AR115" s="11"/>
      <c r="AS115" s="11"/>
      <c r="AT115" s="11"/>
      <c r="AU115" s="11"/>
    </row>
    <row r="116" spans="2:47" hidden="1" x14ac:dyDescent="0.2">
      <c r="AP116" s="11"/>
      <c r="AQ116" s="11"/>
      <c r="AR116" s="11"/>
      <c r="AS116" s="11"/>
      <c r="AT116" s="11"/>
      <c r="AU116" s="11"/>
    </row>
    <row r="117" spans="2:47" hidden="1" x14ac:dyDescent="0.2">
      <c r="AP117" s="11"/>
      <c r="AQ117" s="11"/>
      <c r="AR117" s="11"/>
      <c r="AS117" s="11"/>
      <c r="AT117" s="11"/>
      <c r="AU117" s="11"/>
    </row>
    <row r="118" spans="2:47" hidden="1" x14ac:dyDescent="0.2">
      <c r="AP118" s="11"/>
      <c r="AQ118" s="11"/>
      <c r="AR118" s="11"/>
      <c r="AS118" s="11"/>
      <c r="AT118" s="11"/>
      <c r="AU118" s="11"/>
    </row>
    <row r="119" spans="2:47" hidden="1" x14ac:dyDescent="0.2">
      <c r="B119" s="25"/>
      <c r="M119" s="21"/>
      <c r="N119" s="19" t="s">
        <v>1447</v>
      </c>
      <c r="O119" s="19"/>
      <c r="P119" s="20"/>
      <c r="Q119" s="21"/>
      <c r="R119" s="21"/>
      <c r="S119" s="20"/>
      <c r="T119" s="20"/>
      <c r="U119" s="20"/>
      <c r="AP119" s="11"/>
      <c r="AQ119" s="11"/>
      <c r="AR119" s="11"/>
      <c r="AS119" s="11"/>
      <c r="AT119" s="11"/>
      <c r="AU119" s="11"/>
    </row>
    <row r="120" spans="2:47" hidden="1" x14ac:dyDescent="0.2">
      <c r="B120" s="25"/>
      <c r="C120" s="3" t="s">
        <v>272</v>
      </c>
      <c r="D120" s="3" t="s">
        <v>304</v>
      </c>
      <c r="F120" s="7"/>
      <c r="G120" s="9"/>
      <c r="H120" s="7"/>
      <c r="M120" s="45"/>
      <c r="N120" s="45"/>
      <c r="O120" s="45"/>
      <c r="P120" s="45"/>
      <c r="Q120" s="45"/>
      <c r="R120" s="45"/>
      <c r="S120" s="45"/>
      <c r="T120" s="45"/>
      <c r="U120" s="22"/>
      <c r="AP120" s="11"/>
      <c r="AQ120" s="11"/>
      <c r="AR120" s="11"/>
      <c r="AS120" s="11"/>
      <c r="AT120" s="11"/>
      <c r="AU120" s="11"/>
    </row>
    <row r="121" spans="2:47" ht="14.25" hidden="1" x14ac:dyDescent="0.2">
      <c r="B121" s="25"/>
      <c r="C121" s="5">
        <v>1</v>
      </c>
      <c r="D121">
        <v>1</v>
      </c>
      <c r="F121" s="9"/>
      <c r="G121" s="17" t="s">
        <v>837</v>
      </c>
      <c r="H121" s="9"/>
      <c r="J121" s="3" t="s">
        <v>963</v>
      </c>
      <c r="M121" s="45"/>
      <c r="N121" s="45" t="s">
        <v>1438</v>
      </c>
      <c r="O121" s="45" t="s">
        <v>544</v>
      </c>
      <c r="P121" s="45" t="s">
        <v>1441</v>
      </c>
      <c r="Q121" s="45"/>
      <c r="R121" s="45" t="s">
        <v>1442</v>
      </c>
      <c r="S121" s="45"/>
      <c r="T121" s="45"/>
      <c r="U121" s="9"/>
      <c r="AP121" s="11"/>
      <c r="AQ121" s="11"/>
      <c r="AR121" s="11"/>
      <c r="AS121" s="11"/>
      <c r="AT121" s="11"/>
      <c r="AU121" s="11"/>
    </row>
    <row r="122" spans="2:47" ht="14.25" hidden="1" x14ac:dyDescent="0.2">
      <c r="B122" s="25"/>
      <c r="C122" s="5">
        <v>2</v>
      </c>
      <c r="D122">
        <v>2</v>
      </c>
      <c r="F122" s="9"/>
      <c r="G122" s="18">
        <v>3</v>
      </c>
      <c r="H122" s="9"/>
      <c r="J122" t="s">
        <v>184</v>
      </c>
      <c r="M122" s="45"/>
      <c r="N122" s="45" t="s">
        <v>1439</v>
      </c>
      <c r="O122" s="45">
        <v>1</v>
      </c>
      <c r="P122" s="45" t="s">
        <v>1444</v>
      </c>
      <c r="Q122" s="45"/>
      <c r="R122" s="45">
        <v>12</v>
      </c>
      <c r="S122" s="45" t="s">
        <v>227</v>
      </c>
      <c r="T122" s="45"/>
      <c r="U122" s="9"/>
      <c r="AP122" s="11"/>
      <c r="AQ122" s="11"/>
      <c r="AR122" s="11"/>
      <c r="AS122" s="11"/>
      <c r="AT122" s="11"/>
      <c r="AU122" s="11"/>
    </row>
    <row r="123" spans="2:47" ht="14.25" hidden="1" x14ac:dyDescent="0.2">
      <c r="B123" s="25"/>
      <c r="C123" s="5">
        <v>3</v>
      </c>
      <c r="D123">
        <v>3</v>
      </c>
      <c r="F123" s="9"/>
      <c r="G123" s="18">
        <v>4</v>
      </c>
      <c r="H123" s="9"/>
      <c r="J123" t="s">
        <v>185</v>
      </c>
      <c r="M123" s="45"/>
      <c r="N123" s="45" t="s">
        <v>1440</v>
      </c>
      <c r="O123" s="45">
        <v>2</v>
      </c>
      <c r="P123" s="45" t="s">
        <v>1445</v>
      </c>
      <c r="Q123" s="45"/>
      <c r="R123" s="45">
        <v>6</v>
      </c>
      <c r="S123" s="45" t="s">
        <v>227</v>
      </c>
      <c r="T123" s="45"/>
      <c r="U123" s="9"/>
      <c r="AP123" s="11"/>
      <c r="AQ123" s="11"/>
      <c r="AR123" s="11"/>
      <c r="AS123" s="11"/>
      <c r="AT123" s="11"/>
      <c r="AU123" s="11"/>
    </row>
    <row r="124" spans="2:47" ht="14.25" hidden="1" x14ac:dyDescent="0.2">
      <c r="B124" s="25"/>
      <c r="C124" s="5">
        <v>4</v>
      </c>
      <c r="D124">
        <v>4</v>
      </c>
      <c r="F124" s="9"/>
      <c r="G124" s="18">
        <v>5</v>
      </c>
      <c r="H124" s="9"/>
      <c r="M124" s="45"/>
      <c r="N124" s="45"/>
      <c r="O124" s="45"/>
      <c r="P124" s="45" t="s">
        <v>573</v>
      </c>
      <c r="Q124" s="45"/>
      <c r="R124" s="45">
        <v>4</v>
      </c>
      <c r="S124" s="45" t="s">
        <v>227</v>
      </c>
      <c r="T124" s="45"/>
      <c r="U124" s="9"/>
      <c r="AP124" s="11"/>
      <c r="AQ124" s="11"/>
      <c r="AR124" s="11"/>
      <c r="AS124" s="11"/>
      <c r="AT124" s="11"/>
      <c r="AU124" s="11"/>
    </row>
    <row r="125" spans="2:47" ht="14.25" hidden="1" x14ac:dyDescent="0.2">
      <c r="B125" s="25"/>
      <c r="C125" s="5">
        <v>5</v>
      </c>
      <c r="D125">
        <v>5</v>
      </c>
      <c r="F125" s="9"/>
      <c r="G125" s="18">
        <v>6</v>
      </c>
      <c r="H125" s="9"/>
      <c r="M125" s="45"/>
      <c r="N125" s="45"/>
      <c r="O125" s="45"/>
      <c r="P125" s="45" t="s">
        <v>1561</v>
      </c>
      <c r="Q125" s="45"/>
      <c r="R125" s="45">
        <v>2</v>
      </c>
      <c r="S125" s="45" t="s">
        <v>227</v>
      </c>
      <c r="T125" s="45"/>
      <c r="U125" s="9"/>
      <c r="AP125" s="11"/>
      <c r="AQ125" s="11"/>
      <c r="AR125" s="11"/>
      <c r="AS125" s="11"/>
      <c r="AT125" s="11"/>
      <c r="AU125" s="11"/>
    </row>
    <row r="126" spans="2:47" ht="14.25" hidden="1" x14ac:dyDescent="0.2">
      <c r="B126" s="25"/>
      <c r="C126" s="5">
        <v>6</v>
      </c>
      <c r="D126">
        <v>6</v>
      </c>
      <c r="F126" s="9"/>
      <c r="G126" s="18">
        <v>7</v>
      </c>
      <c r="H126" s="9"/>
      <c r="M126" s="45"/>
      <c r="N126" s="45"/>
      <c r="O126" s="45"/>
      <c r="P126" s="45" t="s">
        <v>1446</v>
      </c>
      <c r="Q126" s="45"/>
      <c r="R126" s="45">
        <v>1</v>
      </c>
      <c r="S126" s="45" t="s">
        <v>227</v>
      </c>
      <c r="T126" s="45"/>
      <c r="U126" s="9"/>
      <c r="AP126" s="11"/>
      <c r="AQ126" s="11"/>
      <c r="AR126" s="11"/>
      <c r="AS126" s="11"/>
      <c r="AT126" s="11"/>
      <c r="AU126" s="11"/>
    </row>
    <row r="127" spans="2:47" ht="14.25" hidden="1" x14ac:dyDescent="0.2">
      <c r="B127" s="25"/>
      <c r="C127" s="5">
        <v>12</v>
      </c>
      <c r="D127">
        <v>12</v>
      </c>
      <c r="F127" s="10"/>
      <c r="G127" s="18">
        <v>8</v>
      </c>
      <c r="H127" s="7"/>
      <c r="M127" s="45"/>
      <c r="N127" s="45"/>
      <c r="O127" s="45"/>
      <c r="P127" s="45"/>
      <c r="Q127" s="45"/>
      <c r="R127" s="45"/>
      <c r="S127" s="45"/>
      <c r="T127" s="45"/>
      <c r="U127" s="9"/>
      <c r="AP127" s="11"/>
      <c r="AQ127" s="11"/>
      <c r="AR127" s="11"/>
      <c r="AS127" s="11"/>
      <c r="AT127" s="11"/>
      <c r="AU127" s="11"/>
    </row>
    <row r="128" spans="2:47" ht="14.25" hidden="1" x14ac:dyDescent="0.2">
      <c r="B128" s="25"/>
      <c r="C128" s="5">
        <v>18</v>
      </c>
      <c r="F128" s="10"/>
      <c r="G128" s="18">
        <v>9</v>
      </c>
      <c r="H128" s="7"/>
      <c r="M128" s="45"/>
      <c r="N128" s="45"/>
      <c r="O128" s="45"/>
      <c r="P128" s="45"/>
      <c r="Q128" s="45"/>
      <c r="R128" s="45"/>
      <c r="S128" s="45"/>
      <c r="T128" s="45"/>
      <c r="U128" s="9"/>
      <c r="AP128" s="11"/>
      <c r="AQ128" s="11"/>
      <c r="AR128" s="11"/>
      <c r="AS128" s="11"/>
      <c r="AT128" s="11"/>
      <c r="AU128" s="11"/>
    </row>
    <row r="129" spans="2:47" ht="14.25" hidden="1" x14ac:dyDescent="0.2">
      <c r="B129" s="25"/>
      <c r="C129" s="5">
        <v>24</v>
      </c>
      <c r="F129" s="9"/>
      <c r="G129" s="18">
        <v>10</v>
      </c>
      <c r="H129" s="7"/>
      <c r="M129" s="45"/>
      <c r="N129" s="45"/>
      <c r="O129" s="45"/>
      <c r="P129" s="45"/>
      <c r="Q129" s="45"/>
      <c r="R129" s="45"/>
      <c r="S129" s="45"/>
      <c r="T129" s="45"/>
      <c r="U129" s="9"/>
      <c r="AP129" s="11"/>
      <c r="AQ129" s="11"/>
      <c r="AR129" s="11"/>
      <c r="AS129" s="11"/>
      <c r="AT129" s="11"/>
      <c r="AU129" s="11"/>
    </row>
    <row r="130" spans="2:47" hidden="1" x14ac:dyDescent="0.2">
      <c r="B130" s="25"/>
      <c r="F130" s="9"/>
      <c r="G130" s="18">
        <v>11</v>
      </c>
      <c r="H130" s="7"/>
      <c r="M130" s="8"/>
      <c r="R130" s="8"/>
      <c r="S130" s="9"/>
      <c r="T130" s="9"/>
      <c r="U130" s="9"/>
      <c r="AP130" s="11"/>
      <c r="AQ130" s="11"/>
      <c r="AR130" s="11"/>
      <c r="AS130" s="11"/>
      <c r="AT130" s="11"/>
      <c r="AU130" s="11"/>
    </row>
    <row r="131" spans="2:47" hidden="1" x14ac:dyDescent="0.2">
      <c r="B131" s="25"/>
      <c r="F131" s="9"/>
      <c r="G131" s="18">
        <v>12</v>
      </c>
      <c r="H131" s="7"/>
      <c r="M131" s="8"/>
      <c r="R131" s="8"/>
      <c r="S131" s="9"/>
      <c r="T131" s="9"/>
      <c r="U131" s="9"/>
      <c r="AP131" s="11"/>
      <c r="AQ131" s="11"/>
      <c r="AR131" s="11"/>
      <c r="AS131" s="11"/>
      <c r="AT131" s="11"/>
      <c r="AU131" s="11"/>
    </row>
    <row r="132" spans="2:47" hidden="1" x14ac:dyDescent="0.2">
      <c r="B132" s="25"/>
      <c r="F132" s="9"/>
      <c r="G132" s="18">
        <v>13</v>
      </c>
      <c r="H132" s="7"/>
      <c r="M132" s="8"/>
      <c r="R132" s="8"/>
      <c r="S132" s="9"/>
      <c r="T132" s="9"/>
      <c r="U132" s="9"/>
      <c r="AP132" s="11"/>
      <c r="AQ132" s="11"/>
      <c r="AR132" s="11"/>
      <c r="AS132" s="11"/>
      <c r="AT132" s="11"/>
      <c r="AU132" s="11"/>
    </row>
    <row r="133" spans="2:47" hidden="1" x14ac:dyDescent="0.2">
      <c r="B133" s="25"/>
      <c r="F133" s="9"/>
      <c r="G133" s="18">
        <v>14</v>
      </c>
      <c r="H133" s="7"/>
      <c r="M133" s="7"/>
      <c r="N133" s="7"/>
      <c r="O133" s="7"/>
      <c r="P133" s="7"/>
      <c r="Q133" s="7"/>
      <c r="R133" s="7"/>
      <c r="S133" s="7"/>
      <c r="T133" s="7"/>
      <c r="U133" s="7"/>
      <c r="AP133" s="11"/>
      <c r="AQ133" s="11"/>
      <c r="AR133" s="11"/>
      <c r="AS133" s="11"/>
      <c r="AT133" s="11"/>
      <c r="AU133" s="11"/>
    </row>
    <row r="134" spans="2:47" hidden="1" x14ac:dyDescent="0.2">
      <c r="B134" s="25"/>
      <c r="C134" s="3" t="s">
        <v>273</v>
      </c>
      <c r="F134" s="9"/>
      <c r="G134" s="18">
        <v>15</v>
      </c>
      <c r="H134" s="7"/>
      <c r="P134" s="7"/>
      <c r="Q134" s="7"/>
      <c r="R134" s="7"/>
      <c r="S134" s="7"/>
      <c r="T134" s="7"/>
      <c r="U134" s="7"/>
      <c r="AP134" s="11"/>
      <c r="AQ134" s="11"/>
      <c r="AR134" s="11"/>
      <c r="AS134" s="11"/>
      <c r="AT134" s="11"/>
      <c r="AU134" s="11"/>
    </row>
    <row r="135" spans="2:47" ht="14.25" hidden="1" x14ac:dyDescent="0.2">
      <c r="B135" s="25"/>
      <c r="C135" s="5" t="s">
        <v>274</v>
      </c>
      <c r="F135" s="7"/>
      <c r="G135" s="18">
        <v>16</v>
      </c>
      <c r="H135" s="7"/>
      <c r="P135" s="43" t="s">
        <v>543</v>
      </c>
      <c r="Q135" s="9"/>
      <c r="R135" s="9"/>
      <c r="S135" s="17" t="s">
        <v>6</v>
      </c>
      <c r="T135" s="9"/>
      <c r="U135" s="7"/>
      <c r="AP135" s="11"/>
      <c r="AQ135" s="11"/>
      <c r="AR135" s="11"/>
      <c r="AS135" s="11"/>
      <c r="AT135" s="11"/>
      <c r="AU135" s="11"/>
    </row>
    <row r="136" spans="2:47" ht="14.25" hidden="1" x14ac:dyDescent="0.2">
      <c r="B136" s="25"/>
      <c r="C136" s="5" t="s">
        <v>327</v>
      </c>
      <c r="F136" s="7"/>
      <c r="G136" s="18">
        <v>17</v>
      </c>
      <c r="H136" s="7"/>
      <c r="K136" s="3" t="s">
        <v>807</v>
      </c>
      <c r="P136" s="40" t="str">
        <f>SB!B6</f>
        <v>Enero</v>
      </c>
      <c r="S136" s="44">
        <f>+S142+1</f>
        <v>2014</v>
      </c>
      <c r="AP136" s="11"/>
      <c r="AQ136" s="11"/>
      <c r="AR136" s="11"/>
      <c r="AS136" s="11"/>
      <c r="AT136" s="11"/>
      <c r="AU136" s="11"/>
    </row>
    <row r="137" spans="2:47" ht="14.25" hidden="1" x14ac:dyDescent="0.2">
      <c r="B137" s="25"/>
      <c r="C137" s="5" t="s">
        <v>328</v>
      </c>
      <c r="F137" s="7"/>
      <c r="G137" s="18">
        <v>18</v>
      </c>
      <c r="H137" s="7"/>
      <c r="K137" t="s">
        <v>1391</v>
      </c>
      <c r="P137" s="41" t="str">
        <f>SB!C6</f>
        <v>Febrero</v>
      </c>
      <c r="Q137" s="9"/>
      <c r="R137" s="9"/>
      <c r="S137" s="44">
        <f>+S136+1</f>
        <v>2015</v>
      </c>
      <c r="T137" s="9"/>
      <c r="U137" s="7"/>
      <c r="AP137" s="12"/>
      <c r="AQ137" s="12"/>
      <c r="AR137" s="12"/>
      <c r="AS137" s="12"/>
      <c r="AT137" s="12"/>
      <c r="AU137" s="12"/>
    </row>
    <row r="138" spans="2:47" ht="14.25" hidden="1" x14ac:dyDescent="0.2">
      <c r="B138" s="25"/>
      <c r="C138" s="5" t="s">
        <v>295</v>
      </c>
      <c r="F138" s="7"/>
      <c r="G138" s="18">
        <v>19</v>
      </c>
      <c r="H138" s="7"/>
      <c r="K138" t="s">
        <v>808</v>
      </c>
      <c r="P138" s="41" t="str">
        <f>SB!D6</f>
        <v>Marzo</v>
      </c>
      <c r="Q138" s="9"/>
      <c r="R138" s="9"/>
      <c r="S138" s="44">
        <f>+S137+1</f>
        <v>2016</v>
      </c>
      <c r="T138" s="9"/>
      <c r="U138" s="7"/>
      <c r="AP138" s="11"/>
      <c r="AQ138" s="11"/>
      <c r="AR138" s="11"/>
      <c r="AS138" s="11"/>
      <c r="AT138" s="11"/>
      <c r="AU138" s="11"/>
    </row>
    <row r="139" spans="2:47" ht="14.25" hidden="1" x14ac:dyDescent="0.2">
      <c r="B139" s="25"/>
      <c r="C139" s="5" t="s">
        <v>296</v>
      </c>
      <c r="F139" s="7"/>
      <c r="G139" s="18">
        <v>20</v>
      </c>
      <c r="H139" s="7"/>
      <c r="K139" t="s">
        <v>809</v>
      </c>
      <c r="P139" s="41" t="str">
        <f>SB!E6</f>
        <v>Abril</v>
      </c>
      <c r="Q139" s="9"/>
      <c r="R139" s="9"/>
      <c r="S139" s="44">
        <f>+S138+1</f>
        <v>2017</v>
      </c>
      <c r="T139" s="9"/>
      <c r="U139" s="7"/>
      <c r="AP139" s="11"/>
      <c r="AQ139" s="11"/>
      <c r="AR139" s="11"/>
      <c r="AS139" s="11"/>
      <c r="AT139" s="11"/>
      <c r="AU139" s="11"/>
    </row>
    <row r="140" spans="2:47" ht="14.25" hidden="1" x14ac:dyDescent="0.2">
      <c r="B140" s="25"/>
      <c r="C140" s="5" t="s">
        <v>297</v>
      </c>
      <c r="F140" s="7"/>
      <c r="H140" s="7"/>
      <c r="K140" t="s">
        <v>810</v>
      </c>
      <c r="P140" s="41" t="str">
        <f>SB!F6</f>
        <v xml:space="preserve">Mayo </v>
      </c>
      <c r="Q140" s="9"/>
      <c r="R140" s="9"/>
      <c r="T140" s="9"/>
      <c r="U140" s="7"/>
      <c r="AP140" s="11"/>
      <c r="AQ140" s="11"/>
      <c r="AR140" s="11"/>
      <c r="AS140" s="11"/>
      <c r="AT140" s="11"/>
      <c r="AU140" s="11"/>
    </row>
    <row r="141" spans="2:47" ht="14.25" hidden="1" x14ac:dyDescent="0.2">
      <c r="B141" s="25"/>
      <c r="C141" s="5" t="s">
        <v>298</v>
      </c>
      <c r="P141" s="42" t="str">
        <f>SB!G6</f>
        <v>Junio</v>
      </c>
      <c r="Q141" s="7"/>
      <c r="R141" s="7"/>
      <c r="T141" s="7"/>
      <c r="U141" s="7"/>
      <c r="AP141" s="11"/>
      <c r="AQ141" s="11"/>
      <c r="AR141" s="11"/>
      <c r="AS141" s="11"/>
      <c r="AT141" s="11"/>
      <c r="AU141" s="11"/>
    </row>
    <row r="142" spans="2:47" ht="14.25" hidden="1" x14ac:dyDescent="0.2">
      <c r="B142" s="25"/>
      <c r="C142" s="5" t="s">
        <v>299</v>
      </c>
      <c r="P142" s="42" t="str">
        <f>SB!H6</f>
        <v>Julio</v>
      </c>
      <c r="Q142" s="7"/>
      <c r="R142" s="7"/>
      <c r="S142" s="44">
        <f>D!$N$6</f>
        <v>2013</v>
      </c>
      <c r="T142" s="7"/>
      <c r="U142" s="7"/>
      <c r="AP142" s="11"/>
      <c r="AQ142" s="11"/>
      <c r="AR142" s="11"/>
      <c r="AS142" s="11"/>
      <c r="AT142" s="11"/>
      <c r="AU142" s="11"/>
    </row>
    <row r="143" spans="2:47" ht="14.25" hidden="1" x14ac:dyDescent="0.2">
      <c r="B143" s="25"/>
      <c r="C143" s="5" t="s">
        <v>300</v>
      </c>
      <c r="J143" s="3" t="s">
        <v>823</v>
      </c>
      <c r="P143" s="42" t="str">
        <f>SB!I6</f>
        <v>Agosto</v>
      </c>
      <c r="Q143" s="7"/>
      <c r="R143" s="7"/>
      <c r="S143" s="7"/>
      <c r="T143" s="7"/>
      <c r="U143" s="7"/>
      <c r="AP143" s="11"/>
      <c r="AQ143" s="11"/>
      <c r="AR143" s="11"/>
      <c r="AS143" s="11"/>
      <c r="AT143" s="11"/>
      <c r="AU143" s="11"/>
    </row>
    <row r="144" spans="2:47" ht="14.25" hidden="1" x14ac:dyDescent="0.2">
      <c r="B144" s="25"/>
      <c r="C144" s="5" t="s">
        <v>301</v>
      </c>
      <c r="J144" t="str">
        <f>$F$12</f>
        <v>Enero</v>
      </c>
      <c r="P144" s="42" t="str">
        <f>SB!J6</f>
        <v>Septiembre</v>
      </c>
      <c r="Q144" s="7"/>
      <c r="R144" s="7"/>
      <c r="S144" s="7"/>
      <c r="T144" s="7"/>
      <c r="U144" s="7"/>
      <c r="AP144" s="11"/>
      <c r="AQ144" s="11"/>
      <c r="AR144" s="11"/>
      <c r="AS144" s="11"/>
      <c r="AT144" s="11"/>
      <c r="AU144" s="11"/>
    </row>
    <row r="145" spans="2:47" ht="14.25" hidden="1" x14ac:dyDescent="0.2">
      <c r="B145" s="25"/>
      <c r="C145" s="5" t="s">
        <v>302</v>
      </c>
      <c r="J145" t="str">
        <f>G14</f>
        <v>Febrero</v>
      </c>
      <c r="P145" s="42" t="str">
        <f>SB!K6</f>
        <v>Octubre</v>
      </c>
      <c r="Q145" s="7"/>
      <c r="R145" s="7"/>
      <c r="S145" s="7"/>
      <c r="T145" s="7"/>
      <c r="U145" s="7"/>
      <c r="AP145" s="11"/>
      <c r="AQ145" s="11"/>
      <c r="AR145" s="11"/>
      <c r="AS145" s="11"/>
      <c r="AT145" s="11"/>
      <c r="AU145" s="11"/>
    </row>
    <row r="146" spans="2:47" ht="14.25" hidden="1" x14ac:dyDescent="0.2">
      <c r="B146" s="25"/>
      <c r="C146" s="5" t="s">
        <v>303</v>
      </c>
      <c r="G146" s="3" t="s">
        <v>24</v>
      </c>
      <c r="J146" t="str">
        <f>G15</f>
        <v>Marzo</v>
      </c>
      <c r="P146" s="42" t="str">
        <f>SB!L6</f>
        <v>Noviembre</v>
      </c>
      <c r="Q146" s="7"/>
      <c r="R146" s="7"/>
      <c r="S146" s="7"/>
      <c r="T146" s="7"/>
      <c r="U146" s="7"/>
      <c r="AP146" s="11"/>
      <c r="AQ146" s="11"/>
      <c r="AR146" s="11"/>
      <c r="AS146" s="11"/>
      <c r="AT146" s="11"/>
      <c r="AU146" s="11"/>
    </row>
    <row r="147" spans="2:47" hidden="1" x14ac:dyDescent="0.2">
      <c r="B147" s="25"/>
      <c r="E147" s="3" t="s">
        <v>46</v>
      </c>
      <c r="G147" s="35" t="str">
        <f>+SB!B6</f>
        <v>Enero</v>
      </c>
      <c r="J147" t="str">
        <f>G16</f>
        <v>Abril</v>
      </c>
      <c r="M147" s="16" t="s">
        <v>1333</v>
      </c>
      <c r="P147" s="42" t="str">
        <f>SB!M6</f>
        <v>Diciembre</v>
      </c>
      <c r="Q147" s="7"/>
      <c r="R147" s="7"/>
      <c r="S147" s="7"/>
      <c r="T147" s="7"/>
      <c r="U147" s="7"/>
      <c r="AP147" s="11"/>
      <c r="AQ147" s="11"/>
      <c r="AR147" s="11"/>
      <c r="AS147" s="11"/>
      <c r="AT147" s="11"/>
      <c r="AU147" s="11"/>
    </row>
    <row r="148" spans="2:47" hidden="1" x14ac:dyDescent="0.2">
      <c r="B148" s="25"/>
      <c r="E148" t="s">
        <v>564</v>
      </c>
      <c r="G148" s="35" t="str">
        <f>+SB!C6</f>
        <v>Febrero</v>
      </c>
      <c r="J148" t="str">
        <f>G17</f>
        <v xml:space="preserve">Mayo </v>
      </c>
      <c r="M148" t="s">
        <v>306</v>
      </c>
      <c r="Q148" s="7"/>
      <c r="R148" s="7"/>
      <c r="S148" s="7"/>
      <c r="T148" s="7"/>
      <c r="U148" s="7"/>
      <c r="AP148" s="11"/>
      <c r="AQ148" s="11"/>
      <c r="AR148" s="11"/>
      <c r="AS148" s="11"/>
      <c r="AT148" s="11"/>
      <c r="AU148" s="11"/>
    </row>
    <row r="149" spans="2:47" hidden="1" x14ac:dyDescent="0.2">
      <c r="B149" s="25"/>
      <c r="E149" t="s">
        <v>306</v>
      </c>
      <c r="G149" s="35" t="str">
        <f>+SB!D6</f>
        <v>Marzo</v>
      </c>
      <c r="J149" t="str">
        <f>G18</f>
        <v>Junio</v>
      </c>
      <c r="M149" t="s">
        <v>307</v>
      </c>
      <c r="P149" s="7"/>
      <c r="Q149" s="7"/>
      <c r="R149" s="7"/>
      <c r="S149" s="7"/>
      <c r="T149" s="7"/>
      <c r="U149" s="7"/>
      <c r="AP149" s="11"/>
      <c r="AQ149" s="11"/>
      <c r="AR149" s="11"/>
      <c r="AS149" s="11"/>
      <c r="AT149" s="11"/>
      <c r="AU149" s="11"/>
    </row>
    <row r="150" spans="2:47" hidden="1" x14ac:dyDescent="0.2">
      <c r="B150" s="25"/>
      <c r="E150" t="s">
        <v>307</v>
      </c>
      <c r="G150" s="35" t="str">
        <f>+SB!E6</f>
        <v>Abril</v>
      </c>
      <c r="M150" t="s">
        <v>308</v>
      </c>
      <c r="P150" s="7"/>
      <c r="Q150" s="7"/>
      <c r="R150" s="7"/>
      <c r="S150" s="7"/>
      <c r="T150" s="7"/>
      <c r="U150" s="7"/>
      <c r="AP150" s="11"/>
      <c r="AQ150" s="11"/>
      <c r="AR150" s="11"/>
      <c r="AS150" s="11"/>
      <c r="AT150" s="11"/>
      <c r="AU150" s="11"/>
    </row>
    <row r="151" spans="2:47" hidden="1" x14ac:dyDescent="0.2">
      <c r="B151" s="25"/>
      <c r="E151" t="s">
        <v>308</v>
      </c>
      <c r="G151" s="35" t="str">
        <f>+SB!F6</f>
        <v xml:space="preserve">Mayo </v>
      </c>
      <c r="M151" t="s">
        <v>309</v>
      </c>
      <c r="P151" s="7"/>
      <c r="Q151" s="7"/>
      <c r="R151" s="7"/>
      <c r="S151" s="7"/>
      <c r="T151" s="7"/>
      <c r="U151" s="7"/>
      <c r="AP151" s="11"/>
      <c r="AQ151" s="11"/>
      <c r="AR151" s="11"/>
      <c r="AS151" s="11"/>
      <c r="AT151" s="11"/>
      <c r="AU151" s="11"/>
    </row>
    <row r="152" spans="2:47" hidden="1" x14ac:dyDescent="0.2">
      <c r="B152" s="25"/>
      <c r="E152" t="s">
        <v>309</v>
      </c>
      <c r="G152" s="35" t="str">
        <f>+SB!G6</f>
        <v>Junio</v>
      </c>
      <c r="P152" s="7"/>
      <c r="Q152" s="7"/>
      <c r="R152" s="7"/>
      <c r="S152" s="7"/>
      <c r="T152" s="7"/>
      <c r="U152" s="7"/>
      <c r="AP152" s="11"/>
      <c r="AQ152" s="11"/>
      <c r="AR152" s="11"/>
      <c r="AS152" s="11"/>
      <c r="AT152" s="11"/>
      <c r="AU152" s="11"/>
    </row>
    <row r="153" spans="2:47" hidden="1" x14ac:dyDescent="0.2">
      <c r="B153" s="25"/>
      <c r="E153" t="s">
        <v>310</v>
      </c>
      <c r="G153" s="35" t="str">
        <f>+SB!H6</f>
        <v>Julio</v>
      </c>
      <c r="P153" s="7"/>
      <c r="Q153" s="7"/>
      <c r="R153" s="7"/>
      <c r="S153" s="7"/>
      <c r="T153" s="7"/>
      <c r="U153" s="7"/>
      <c r="AP153" s="11"/>
      <c r="AQ153" s="11"/>
      <c r="AR153" s="11"/>
      <c r="AS153" s="11"/>
      <c r="AT153" s="11"/>
      <c r="AU153" s="11"/>
    </row>
    <row r="154" spans="2:47" hidden="1" x14ac:dyDescent="0.2">
      <c r="B154" s="25"/>
      <c r="C154" s="3" t="s">
        <v>961</v>
      </c>
      <c r="E154" t="s">
        <v>45</v>
      </c>
      <c r="G154" s="35" t="str">
        <f>+SB!I6</f>
        <v>Agosto</v>
      </c>
      <c r="P154" s="7"/>
      <c r="Q154" s="7"/>
      <c r="R154" s="7"/>
      <c r="S154" s="7"/>
      <c r="T154" s="7"/>
      <c r="U154" s="7"/>
      <c r="AP154" s="11"/>
      <c r="AQ154" s="11"/>
      <c r="AR154" s="11"/>
      <c r="AS154" s="11"/>
      <c r="AT154" s="11"/>
      <c r="AU154" s="11"/>
    </row>
    <row r="155" spans="2:47" hidden="1" x14ac:dyDescent="0.2">
      <c r="B155" s="25"/>
      <c r="C155" s="3"/>
      <c r="G155" s="35" t="str">
        <f>+SB!J6</f>
        <v>Septiembre</v>
      </c>
      <c r="AP155" s="11"/>
      <c r="AQ155" s="11"/>
      <c r="AR155" s="11"/>
      <c r="AS155" s="11"/>
      <c r="AT155" s="11"/>
      <c r="AU155" s="11"/>
    </row>
    <row r="156" spans="2:47" hidden="1" x14ac:dyDescent="0.2">
      <c r="B156" s="25"/>
      <c r="C156" t="s">
        <v>962</v>
      </c>
      <c r="G156" s="35" t="str">
        <f>+SB!K6</f>
        <v>Octubre</v>
      </c>
      <c r="AP156" s="11"/>
      <c r="AQ156" s="11"/>
      <c r="AR156" s="11"/>
      <c r="AS156" s="11"/>
      <c r="AT156" s="11"/>
      <c r="AU156" s="11"/>
    </row>
    <row r="157" spans="2:47" hidden="1" x14ac:dyDescent="0.2">
      <c r="B157" s="25"/>
      <c r="C157" t="s">
        <v>963</v>
      </c>
      <c r="G157" s="35" t="str">
        <f>+SB!L6</f>
        <v>Noviembre</v>
      </c>
      <c r="AP157" s="11"/>
      <c r="AQ157" s="11"/>
      <c r="AR157" s="11"/>
      <c r="AS157" s="11"/>
      <c r="AT157" s="11"/>
      <c r="AU157" s="11"/>
    </row>
    <row r="158" spans="2:47" hidden="1" x14ac:dyDescent="0.2">
      <c r="B158" s="25"/>
      <c r="G158" s="35" t="str">
        <f>+SB!M6</f>
        <v>Diciembre</v>
      </c>
      <c r="AP158" s="11"/>
      <c r="AQ158" s="11"/>
      <c r="AR158" s="11"/>
      <c r="AS158" s="11"/>
      <c r="AT158" s="11"/>
      <c r="AU158" s="11"/>
    </row>
    <row r="159" spans="2:47" hidden="1" x14ac:dyDescent="0.2">
      <c r="B159" s="25"/>
      <c r="AP159" s="11"/>
      <c r="AQ159" s="11"/>
      <c r="AR159" s="11"/>
      <c r="AS159" s="11"/>
      <c r="AT159" s="11"/>
      <c r="AU159" s="11"/>
    </row>
    <row r="160" spans="2:47" hidden="1" x14ac:dyDescent="0.2">
      <c r="B160" s="25"/>
      <c r="C160" s="3" t="s">
        <v>964</v>
      </c>
      <c r="AP160" s="11"/>
      <c r="AQ160" s="11"/>
      <c r="AR160" s="11"/>
      <c r="AS160" s="11"/>
      <c r="AT160" s="11"/>
      <c r="AU160" s="11"/>
    </row>
    <row r="161" spans="1:47" hidden="1" x14ac:dyDescent="0.2">
      <c r="B161" s="25"/>
      <c r="C161" t="s">
        <v>1524</v>
      </c>
      <c r="AP161" s="11"/>
      <c r="AQ161" s="11"/>
      <c r="AR161" s="11"/>
      <c r="AS161" s="11"/>
      <c r="AT161" s="11"/>
      <c r="AU161" s="11"/>
    </row>
    <row r="162" spans="1:47" hidden="1" x14ac:dyDescent="0.2">
      <c r="B162" s="25"/>
      <c r="C162" t="s">
        <v>1525</v>
      </c>
      <c r="AP162" s="11"/>
      <c r="AQ162" s="11"/>
      <c r="AR162" s="11"/>
      <c r="AS162" s="11"/>
      <c r="AT162" s="11"/>
      <c r="AU162" s="11"/>
    </row>
    <row r="163" spans="1:47" hidden="1" x14ac:dyDescent="0.2">
      <c r="B163" s="25"/>
      <c r="F163" s="1"/>
      <c r="G163" s="1"/>
      <c r="AP163" s="11"/>
      <c r="AQ163" s="11"/>
      <c r="AR163" s="11"/>
      <c r="AS163" s="11"/>
      <c r="AT163" s="11"/>
      <c r="AU163" s="11"/>
    </row>
    <row r="164" spans="1:47" ht="15.75" hidden="1" x14ac:dyDescent="0.25">
      <c r="B164" s="25"/>
      <c r="C164" s="6" t="s">
        <v>1302</v>
      </c>
      <c r="F164" s="1"/>
      <c r="G164" s="1"/>
      <c r="H164" s="1"/>
      <c r="I164" s="1"/>
      <c r="AP164" s="11"/>
      <c r="AQ164" s="11"/>
      <c r="AR164" s="11"/>
      <c r="AS164" s="11"/>
      <c r="AT164" s="11"/>
      <c r="AU164" s="11"/>
    </row>
    <row r="165" spans="1:47" ht="15" hidden="1" x14ac:dyDescent="0.2">
      <c r="B165" s="25"/>
      <c r="C165" s="4" t="s">
        <v>1303</v>
      </c>
      <c r="F165" s="1"/>
      <c r="G165" s="1"/>
      <c r="H165" s="34" t="s">
        <v>257</v>
      </c>
      <c r="I165" s="1"/>
      <c r="AP165" s="11"/>
      <c r="AQ165" s="11"/>
      <c r="AR165" s="11"/>
      <c r="AS165" s="11"/>
      <c r="AT165" s="11"/>
      <c r="AU165" s="11"/>
    </row>
    <row r="166" spans="1:47" ht="15" hidden="1" x14ac:dyDescent="0.2">
      <c r="B166" s="25"/>
      <c r="C166" s="4" t="s">
        <v>870</v>
      </c>
      <c r="F166" s="1"/>
      <c r="G166" s="1"/>
      <c r="H166" s="1" t="s">
        <v>252</v>
      </c>
      <c r="I166" s="1"/>
      <c r="AP166" s="11"/>
      <c r="AQ166" s="11"/>
      <c r="AR166" s="11"/>
      <c r="AS166" s="11"/>
      <c r="AT166" s="11"/>
      <c r="AU166" s="11"/>
    </row>
    <row r="167" spans="1:47" hidden="1" x14ac:dyDescent="0.2">
      <c r="B167" s="25"/>
      <c r="F167" s="1"/>
      <c r="G167" s="1"/>
      <c r="H167" s="1" t="s">
        <v>256</v>
      </c>
      <c r="I167" s="1"/>
      <c r="AP167" s="11"/>
      <c r="AQ167" s="11"/>
      <c r="AR167" s="11"/>
      <c r="AS167" s="11"/>
      <c r="AT167" s="11"/>
      <c r="AU167" s="11"/>
    </row>
    <row r="168" spans="1:47" hidden="1" x14ac:dyDescent="0.2">
      <c r="B168" s="25"/>
      <c r="F168" s="1"/>
      <c r="G168" s="1"/>
      <c r="X168" s="3" t="s">
        <v>370</v>
      </c>
      <c r="AP168" s="11"/>
      <c r="AQ168" s="11"/>
      <c r="AR168" s="11"/>
      <c r="AS168" s="11"/>
      <c r="AT168" s="11"/>
      <c r="AU168" s="11"/>
    </row>
    <row r="169" spans="1:47" hidden="1" x14ac:dyDescent="0.2">
      <c r="B169" s="25"/>
      <c r="C169" s="3" t="s">
        <v>571</v>
      </c>
      <c r="X169" t="str">
        <f>D!O24</f>
        <v>Terrenos, construcciones y edificaciones</v>
      </c>
      <c r="AP169" s="11"/>
      <c r="AQ169" s="11"/>
      <c r="AR169" s="11"/>
      <c r="AS169" s="11"/>
      <c r="AT169" s="11"/>
      <c r="AU169" s="11"/>
    </row>
    <row r="170" spans="1:47" hidden="1" x14ac:dyDescent="0.2">
      <c r="B170" s="25"/>
      <c r="C170" t="s">
        <v>572</v>
      </c>
      <c r="X170" t="str">
        <f>D!O25</f>
        <v>Otras instalaciones</v>
      </c>
      <c r="AP170" s="11"/>
      <c r="AQ170" s="11"/>
      <c r="AR170" s="11"/>
      <c r="AS170" s="11"/>
      <c r="AT170" s="11"/>
      <c r="AU170" s="11"/>
    </row>
    <row r="171" spans="1:47" hidden="1" x14ac:dyDescent="0.2">
      <c r="B171" s="25"/>
      <c r="C171" t="s">
        <v>573</v>
      </c>
      <c r="X171" t="str">
        <f>D!O26</f>
        <v>Maquinaria, utillaje y herramientas</v>
      </c>
      <c r="AP171" s="11"/>
      <c r="AQ171" s="11"/>
      <c r="AR171" s="11"/>
      <c r="AS171" s="11"/>
      <c r="AT171" s="11"/>
      <c r="AU171" s="11"/>
    </row>
    <row r="172" spans="1:47" hidden="1" x14ac:dyDescent="0.2">
      <c r="B172" s="25"/>
      <c r="X172" t="str">
        <f>D!O27</f>
        <v>Vehículos y elementos de transporte</v>
      </c>
      <c r="AP172" s="11"/>
      <c r="AQ172" s="11"/>
      <c r="AR172" s="11"/>
      <c r="AS172" s="11"/>
      <c r="AT172" s="11"/>
      <c r="AU172" s="11"/>
    </row>
    <row r="173" spans="1:47" hidden="1" x14ac:dyDescent="0.2">
      <c r="A173" s="45"/>
      <c r="B173" s="45"/>
      <c r="D173" s="45"/>
      <c r="E173" s="45"/>
      <c r="F173" s="45"/>
      <c r="G173" s="45"/>
      <c r="H173" s="45"/>
      <c r="I173" s="45"/>
      <c r="J173" s="45"/>
      <c r="K173" s="45"/>
      <c r="L173" s="45"/>
      <c r="M173" s="45"/>
      <c r="N173" s="45"/>
      <c r="O173" s="45"/>
      <c r="P173" s="45"/>
      <c r="Q173" s="45"/>
      <c r="R173" s="45"/>
      <c r="S173" s="45"/>
      <c r="X173" t="str">
        <f>D!O28</f>
        <v>Mobiliario y equipos oficina</v>
      </c>
      <c r="AP173" s="11"/>
      <c r="AQ173" s="11"/>
      <c r="AR173" s="11"/>
      <c r="AS173" s="11"/>
      <c r="AT173" s="11"/>
      <c r="AU173" s="11"/>
    </row>
    <row r="174" spans="1:47" hidden="1" x14ac:dyDescent="0.2">
      <c r="A174" s="45"/>
      <c r="B174" s="45"/>
      <c r="C174" s="45"/>
      <c r="D174" s="45"/>
      <c r="E174" s="45"/>
      <c r="F174" s="45"/>
      <c r="G174" s="45"/>
      <c r="H174" s="45" t="s">
        <v>615</v>
      </c>
      <c r="I174" s="45"/>
      <c r="J174" s="45"/>
      <c r="K174" s="45"/>
      <c r="L174" s="45"/>
      <c r="M174" s="45"/>
      <c r="N174" s="45"/>
      <c r="O174" s="45"/>
      <c r="P174" s="45"/>
      <c r="Q174" s="45"/>
      <c r="R174" s="45"/>
      <c r="S174" s="45"/>
      <c r="X174" t="str">
        <f>D!O29</f>
        <v>Equipos informáticos</v>
      </c>
      <c r="AP174" s="11"/>
      <c r="AQ174" s="11"/>
      <c r="AR174" s="11"/>
      <c r="AS174" s="11"/>
      <c r="AT174" s="11"/>
      <c r="AU174" s="11"/>
    </row>
    <row r="175" spans="1:47" hidden="1" x14ac:dyDescent="0.2">
      <c r="A175" s="45"/>
      <c r="B175" s="45"/>
      <c r="C175" s="45" t="s">
        <v>1374</v>
      </c>
      <c r="D175" s="45"/>
      <c r="E175" s="45"/>
      <c r="F175" s="45"/>
      <c r="G175" s="45"/>
      <c r="H175" s="45" t="s">
        <v>253</v>
      </c>
      <c r="I175" s="45"/>
      <c r="J175" s="45"/>
      <c r="K175" s="45"/>
      <c r="L175" s="45"/>
      <c r="M175" s="45"/>
      <c r="N175" s="45"/>
      <c r="O175" s="45"/>
      <c r="P175" s="45"/>
      <c r="Q175" s="45"/>
      <c r="R175" s="45"/>
      <c r="S175" s="45"/>
      <c r="AP175" s="11"/>
      <c r="AQ175" s="11"/>
      <c r="AR175" s="11"/>
      <c r="AS175" s="11"/>
      <c r="AT175" s="11"/>
      <c r="AU175" s="11"/>
    </row>
    <row r="176" spans="1:47" hidden="1" x14ac:dyDescent="0.2">
      <c r="A176" s="45"/>
      <c r="B176" s="45"/>
      <c r="C176" s="45" t="s">
        <v>1373</v>
      </c>
      <c r="D176" s="45"/>
      <c r="E176" s="45" t="s">
        <v>305</v>
      </c>
      <c r="F176" s="45"/>
      <c r="G176" s="45"/>
      <c r="H176" s="45" t="s">
        <v>254</v>
      </c>
      <c r="I176" s="45"/>
      <c r="J176" s="45"/>
      <c r="K176" s="45"/>
      <c r="L176" s="45"/>
      <c r="M176" s="45"/>
      <c r="N176" s="45"/>
      <c r="O176" s="45"/>
      <c r="P176" s="45"/>
      <c r="Q176" s="45"/>
      <c r="R176" s="45"/>
      <c r="S176" s="45"/>
      <c r="X176" s="3" t="s">
        <v>372</v>
      </c>
      <c r="AP176" s="11"/>
      <c r="AQ176" s="11"/>
      <c r="AR176" s="11"/>
      <c r="AS176" s="11"/>
      <c r="AT176" s="11"/>
      <c r="AU176" s="11"/>
    </row>
    <row r="177" spans="1:47" hidden="1" x14ac:dyDescent="0.2">
      <c r="A177" s="45"/>
      <c r="B177" s="45"/>
      <c r="C177" s="45" t="s">
        <v>253</v>
      </c>
      <c r="D177" s="45"/>
      <c r="E177" s="45">
        <v>1</v>
      </c>
      <c r="F177" s="45"/>
      <c r="G177" s="45"/>
      <c r="H177" s="45" t="s">
        <v>255</v>
      </c>
      <c r="I177" s="45"/>
      <c r="J177" s="45"/>
      <c r="K177" s="45"/>
      <c r="L177" s="45"/>
      <c r="M177" s="45"/>
      <c r="N177" s="45"/>
      <c r="O177" s="45"/>
      <c r="P177" s="45"/>
      <c r="Q177" s="45"/>
      <c r="R177" s="45"/>
      <c r="S177" s="45"/>
      <c r="X177" t="str">
        <f>SB!D694</f>
        <v>Gastos de investigación y desarrollo</v>
      </c>
      <c r="AP177" s="11"/>
      <c r="AQ177" s="11"/>
      <c r="AR177" s="11"/>
      <c r="AS177" s="11"/>
      <c r="AT177" s="11"/>
      <c r="AU177" s="11"/>
    </row>
    <row r="178" spans="1:47" hidden="1" x14ac:dyDescent="0.2">
      <c r="A178" s="45"/>
      <c r="B178" s="45"/>
      <c r="C178" s="45"/>
      <c r="D178" s="45"/>
      <c r="E178" s="45">
        <v>2</v>
      </c>
      <c r="F178" s="45"/>
      <c r="G178" s="45"/>
      <c r="H178" s="45"/>
      <c r="I178" s="45"/>
      <c r="J178" s="45"/>
      <c r="K178" s="45"/>
      <c r="L178" s="45"/>
      <c r="M178" s="45"/>
      <c r="N178" s="45"/>
      <c r="O178" s="45"/>
      <c r="P178" s="45"/>
      <c r="Q178" s="45"/>
      <c r="R178" s="45"/>
      <c r="S178" s="45"/>
      <c r="X178" t="str">
        <f>SB!D695</f>
        <v>Aplicaciones informáticas</v>
      </c>
      <c r="AP178" s="11"/>
      <c r="AQ178" s="11"/>
      <c r="AR178" s="11"/>
      <c r="AS178" s="11"/>
      <c r="AT178" s="11"/>
      <c r="AU178" s="11"/>
    </row>
    <row r="179" spans="1:47" hidden="1" x14ac:dyDescent="0.2">
      <c r="A179" s="45"/>
      <c r="B179" s="45"/>
      <c r="C179" s="45"/>
      <c r="D179" s="45"/>
      <c r="E179" s="45">
        <v>3</v>
      </c>
      <c r="F179" s="45"/>
      <c r="G179" s="45"/>
      <c r="H179" s="45"/>
      <c r="I179" s="45"/>
      <c r="J179" s="45"/>
      <c r="K179" s="45"/>
      <c r="L179" s="45"/>
      <c r="M179" s="45"/>
      <c r="N179" s="45"/>
      <c r="O179" s="45"/>
      <c r="P179" s="45"/>
      <c r="Q179" s="45"/>
      <c r="R179" s="45"/>
      <c r="S179" s="45"/>
      <c r="X179" t="str">
        <f>SB!D696</f>
        <v>Licencias, patentes y marcas</v>
      </c>
      <c r="AP179" s="11"/>
      <c r="AQ179" s="11"/>
      <c r="AR179" s="11"/>
      <c r="AS179" s="11"/>
      <c r="AT179" s="11"/>
      <c r="AU179" s="11"/>
    </row>
    <row r="180" spans="1:47" hidden="1" x14ac:dyDescent="0.2">
      <c r="A180" s="45"/>
      <c r="B180" s="45"/>
      <c r="C180" s="45"/>
      <c r="D180" s="45"/>
      <c r="E180" s="45">
        <v>4</v>
      </c>
      <c r="F180" s="45"/>
      <c r="G180" s="45"/>
      <c r="H180" s="45"/>
      <c r="I180" s="45"/>
      <c r="J180" s="45"/>
      <c r="K180" s="45"/>
      <c r="L180" s="45"/>
      <c r="M180" s="45"/>
      <c r="N180" s="45"/>
      <c r="O180" s="45"/>
      <c r="P180" s="45"/>
      <c r="Q180" s="45"/>
      <c r="R180" s="45"/>
      <c r="S180" s="45"/>
      <c r="X180" t="str">
        <f>SB!D697</f>
        <v>Derechos de traspaso</v>
      </c>
      <c r="AP180" s="11"/>
      <c r="AQ180" s="11"/>
      <c r="AR180" s="11"/>
      <c r="AS180" s="11"/>
      <c r="AT180" s="11"/>
      <c r="AU180" s="11"/>
    </row>
    <row r="181" spans="1:47" hidden="1" x14ac:dyDescent="0.2">
      <c r="A181" s="45"/>
      <c r="B181" s="45"/>
      <c r="C181" s="45"/>
      <c r="D181" s="45"/>
      <c r="E181" s="45">
        <v>5</v>
      </c>
      <c r="F181" s="45"/>
      <c r="G181" s="45"/>
      <c r="H181" s="45"/>
      <c r="I181" s="45"/>
      <c r="J181" s="45"/>
      <c r="K181" s="45"/>
      <c r="L181" s="45"/>
      <c r="M181" s="45"/>
      <c r="N181" s="45"/>
      <c r="O181" s="45"/>
      <c r="P181" s="45"/>
      <c r="Q181" s="45"/>
      <c r="R181" s="45"/>
      <c r="S181" s="45"/>
      <c r="X181" t="s">
        <v>371</v>
      </c>
      <c r="AP181" s="11"/>
      <c r="AQ181" s="11"/>
      <c r="AR181" s="11"/>
      <c r="AS181" s="11"/>
      <c r="AT181" s="11"/>
      <c r="AU181" s="11"/>
    </row>
    <row r="182" spans="1:47" hidden="1" x14ac:dyDescent="0.2">
      <c r="A182" s="45"/>
      <c r="B182" s="45"/>
      <c r="C182" s="45"/>
      <c r="D182" s="45"/>
      <c r="E182" s="45">
        <v>6</v>
      </c>
      <c r="F182" s="45"/>
      <c r="G182" s="45"/>
      <c r="H182" s="45"/>
      <c r="I182" s="45"/>
      <c r="J182" s="45"/>
      <c r="K182" s="45"/>
      <c r="L182" s="45"/>
      <c r="M182" s="45"/>
      <c r="N182" s="45"/>
      <c r="O182" s="45"/>
      <c r="P182" s="45"/>
      <c r="Q182" s="45"/>
      <c r="R182" s="45"/>
      <c r="S182" s="45"/>
      <c r="AP182" s="11"/>
      <c r="AQ182" s="11"/>
      <c r="AR182" s="11"/>
      <c r="AS182" s="11"/>
      <c r="AT182" s="11"/>
      <c r="AU182" s="11"/>
    </row>
    <row r="183" spans="1:47" hidden="1" x14ac:dyDescent="0.2">
      <c r="A183" s="45"/>
      <c r="B183" s="45"/>
      <c r="C183" s="45"/>
      <c r="D183" s="45"/>
      <c r="E183" s="45">
        <v>7</v>
      </c>
      <c r="F183" s="45"/>
      <c r="G183" s="45"/>
      <c r="H183" s="45"/>
      <c r="I183" s="45"/>
      <c r="J183" s="45"/>
      <c r="K183" s="45"/>
      <c r="L183" s="45"/>
      <c r="M183" s="45"/>
      <c r="N183" s="45"/>
      <c r="O183" s="45"/>
      <c r="P183" s="45"/>
      <c r="Q183" s="45"/>
      <c r="R183" s="45"/>
      <c r="S183" s="45"/>
      <c r="AP183" s="11"/>
      <c r="AQ183" s="11"/>
      <c r="AR183" s="11"/>
      <c r="AS183" s="11"/>
      <c r="AT183" s="11"/>
      <c r="AU183" s="11"/>
    </row>
    <row r="184" spans="1:47" hidden="1" x14ac:dyDescent="0.2">
      <c r="A184" s="45"/>
      <c r="B184" s="45"/>
      <c r="C184" s="45"/>
      <c r="D184" s="45"/>
      <c r="E184" s="45">
        <v>8</v>
      </c>
      <c r="F184" s="45"/>
      <c r="G184" s="45"/>
      <c r="H184" s="45"/>
      <c r="I184" s="45"/>
      <c r="J184" s="45"/>
      <c r="K184" s="45"/>
      <c r="L184" s="45"/>
      <c r="M184" s="45"/>
      <c r="N184" s="45"/>
      <c r="O184" s="45"/>
      <c r="P184" s="45"/>
      <c r="Q184" s="45"/>
      <c r="R184" s="45"/>
      <c r="S184" s="45"/>
      <c r="W184" s="1"/>
      <c r="X184" s="1"/>
      <c r="Y184" s="1"/>
      <c r="Z184" s="1"/>
      <c r="AA184" s="1"/>
      <c r="AP184" s="11"/>
      <c r="AQ184" s="11"/>
      <c r="AR184" s="11"/>
      <c r="AS184" s="11"/>
      <c r="AT184" s="11"/>
      <c r="AU184" s="11"/>
    </row>
    <row r="185" spans="1:47" hidden="1" x14ac:dyDescent="0.2">
      <c r="A185" s="45"/>
      <c r="B185" s="45"/>
      <c r="C185" s="45"/>
      <c r="D185" s="45"/>
      <c r="E185" s="45">
        <v>9</v>
      </c>
      <c r="F185" s="45"/>
      <c r="G185" s="45"/>
      <c r="H185" s="45"/>
      <c r="I185" s="45"/>
      <c r="J185" s="45"/>
      <c r="K185" s="45"/>
      <c r="L185" s="45"/>
      <c r="M185" s="45"/>
      <c r="N185" s="45"/>
      <c r="O185" s="45"/>
      <c r="P185" s="45"/>
      <c r="Q185" s="45"/>
      <c r="R185" s="45"/>
      <c r="S185" s="45"/>
      <c r="W185" s="1"/>
      <c r="AP185" s="11"/>
      <c r="AQ185" s="11"/>
      <c r="AR185" s="11"/>
      <c r="AS185" s="11"/>
      <c r="AT185" s="11"/>
      <c r="AU185" s="11"/>
    </row>
    <row r="186" spans="1:47" hidden="1" x14ac:dyDescent="0.2">
      <c r="A186" s="45"/>
      <c r="B186" s="45"/>
      <c r="C186" s="45"/>
      <c r="D186" s="45"/>
      <c r="E186" s="45">
        <v>10</v>
      </c>
      <c r="F186" s="45"/>
      <c r="G186" s="45"/>
      <c r="H186" s="45"/>
      <c r="I186" s="45"/>
      <c r="J186" s="45"/>
      <c r="K186" s="45"/>
      <c r="L186" s="45"/>
      <c r="M186" s="45"/>
      <c r="N186" s="45"/>
      <c r="O186" s="45"/>
      <c r="P186" s="45"/>
      <c r="Q186" s="45"/>
      <c r="R186" s="45"/>
      <c r="S186" s="45"/>
      <c r="W186" s="1"/>
      <c r="AP186" s="11"/>
      <c r="AQ186" s="11"/>
      <c r="AR186" s="11"/>
      <c r="AS186" s="11"/>
      <c r="AT186" s="11"/>
      <c r="AU186" s="11"/>
    </row>
    <row r="187" spans="1:47" hidden="1" x14ac:dyDescent="0.2">
      <c r="A187" s="45"/>
      <c r="B187" s="45"/>
      <c r="C187" s="45"/>
      <c r="D187" s="45"/>
      <c r="E187" s="45">
        <v>15</v>
      </c>
      <c r="F187" s="45"/>
      <c r="G187" s="45"/>
      <c r="H187" s="45"/>
      <c r="I187" s="45"/>
      <c r="J187" s="45"/>
      <c r="K187" s="45"/>
      <c r="L187" s="45"/>
      <c r="M187" s="45"/>
      <c r="N187" s="45"/>
      <c r="O187" s="45"/>
      <c r="P187" s="45"/>
      <c r="Q187" s="45"/>
      <c r="R187" s="45"/>
      <c r="S187" s="45"/>
      <c r="W187" s="1"/>
      <c r="X187" s="1"/>
      <c r="Y187" s="1"/>
      <c r="Z187" s="1"/>
      <c r="AA187" s="1"/>
      <c r="AP187" s="11"/>
      <c r="AQ187" s="11"/>
      <c r="AR187" s="11"/>
      <c r="AS187" s="11"/>
      <c r="AT187" s="11"/>
      <c r="AU187" s="11"/>
    </row>
    <row r="188" spans="1:47" hidden="1" x14ac:dyDescent="0.2">
      <c r="A188" s="45"/>
      <c r="B188" s="45"/>
      <c r="C188" s="45"/>
      <c r="D188" s="45"/>
      <c r="E188" s="45">
        <v>20</v>
      </c>
      <c r="F188" s="45"/>
      <c r="G188" s="45"/>
      <c r="H188" s="45"/>
      <c r="I188" s="45"/>
      <c r="J188" s="45"/>
      <c r="K188" s="45"/>
      <c r="L188" s="45"/>
      <c r="M188" s="45"/>
      <c r="N188" s="45"/>
      <c r="O188" s="45"/>
      <c r="P188" s="45"/>
      <c r="Q188" s="45"/>
      <c r="R188" s="45"/>
      <c r="S188" s="45"/>
      <c r="AP188" s="11"/>
      <c r="AQ188" s="11"/>
      <c r="AR188" s="11"/>
      <c r="AS188" s="11"/>
      <c r="AT188" s="11"/>
      <c r="AU188" s="11"/>
    </row>
    <row r="189" spans="1:47" hidden="1" x14ac:dyDescent="0.2">
      <c r="A189" s="45"/>
      <c r="B189" s="45"/>
      <c r="C189" s="45"/>
      <c r="D189" s="45"/>
      <c r="E189" s="45">
        <v>25</v>
      </c>
      <c r="F189" s="45"/>
      <c r="G189" s="45"/>
      <c r="H189" s="45"/>
      <c r="I189" s="45"/>
      <c r="J189" s="45"/>
      <c r="K189" s="45"/>
      <c r="L189" s="45"/>
      <c r="M189" s="45"/>
      <c r="N189" s="45"/>
      <c r="O189" s="45"/>
      <c r="P189" s="45"/>
      <c r="Q189" s="45"/>
      <c r="R189" s="45"/>
      <c r="S189" s="45"/>
      <c r="AP189" s="11"/>
      <c r="AQ189" s="11"/>
      <c r="AR189" s="11"/>
      <c r="AS189" s="11"/>
      <c r="AT189" s="11"/>
      <c r="AU189" s="11"/>
    </row>
    <row r="190" spans="1:47" hidden="1" x14ac:dyDescent="0.2">
      <c r="A190" s="45"/>
      <c r="B190" s="45"/>
      <c r="C190" s="45"/>
      <c r="D190" s="45"/>
      <c r="E190" s="45">
        <v>30</v>
      </c>
      <c r="F190" s="45"/>
      <c r="G190" s="45"/>
      <c r="H190" s="45"/>
      <c r="I190" s="45"/>
      <c r="J190" s="45"/>
      <c r="K190" s="45"/>
      <c r="L190" s="45"/>
      <c r="M190" s="45"/>
      <c r="N190" s="45"/>
      <c r="O190" s="45"/>
      <c r="P190" s="45"/>
      <c r="Q190" s="45"/>
      <c r="R190" s="45"/>
      <c r="S190" s="45"/>
      <c r="W190" s="13" t="s">
        <v>1579</v>
      </c>
      <c r="X190" s="14"/>
      <c r="Y190" s="14"/>
      <c r="Z190" s="14"/>
      <c r="AA190" s="14"/>
      <c r="AB190" s="33"/>
      <c r="AP190" s="11"/>
      <c r="AQ190" s="11"/>
      <c r="AR190" s="11"/>
      <c r="AS190" s="11"/>
      <c r="AT190" s="11"/>
      <c r="AU190" s="11"/>
    </row>
    <row r="191" spans="1:47" hidden="1" x14ac:dyDescent="0.2">
      <c r="A191" s="45"/>
      <c r="B191" s="45"/>
      <c r="C191" s="45"/>
      <c r="D191" s="45"/>
      <c r="E191" s="45">
        <v>50</v>
      </c>
      <c r="F191" s="45"/>
      <c r="G191" s="45"/>
      <c r="H191" s="45"/>
      <c r="I191" s="45"/>
      <c r="J191" s="45"/>
      <c r="K191" s="45"/>
      <c r="L191" s="45"/>
      <c r="M191" s="45"/>
      <c r="N191" s="45"/>
      <c r="O191" s="45"/>
      <c r="P191" s="45"/>
      <c r="Q191" s="45"/>
      <c r="R191" s="45" t="s">
        <v>1557</v>
      </c>
      <c r="S191" s="45"/>
      <c r="W191" s="30" t="s">
        <v>613</v>
      </c>
      <c r="X191" s="31" t="s">
        <v>1265</v>
      </c>
      <c r="Y191" s="31"/>
      <c r="Z191" s="31">
        <f>SUM(Z192:Z198)</f>
        <v>0</v>
      </c>
      <c r="AA191" s="31"/>
      <c r="AB191" s="32" t="s">
        <v>1580</v>
      </c>
      <c r="AP191" s="11"/>
      <c r="AQ191" s="11"/>
      <c r="AR191" s="11"/>
      <c r="AS191" s="11"/>
      <c r="AT191" s="11"/>
      <c r="AU191" s="11"/>
    </row>
    <row r="192" spans="1:47" hidden="1" x14ac:dyDescent="0.2">
      <c r="A192" s="45"/>
      <c r="B192" s="45"/>
      <c r="C192" s="45"/>
      <c r="D192" s="45"/>
      <c r="E192" s="45"/>
      <c r="F192" s="45"/>
      <c r="G192" s="45"/>
      <c r="H192" s="45"/>
      <c r="I192" s="45"/>
      <c r="J192" s="45"/>
      <c r="K192" s="45"/>
      <c r="L192" s="45"/>
      <c r="M192" s="45"/>
      <c r="N192" s="45"/>
      <c r="O192" s="45"/>
      <c r="P192" s="45"/>
      <c r="Q192" s="45"/>
      <c r="R192" s="45"/>
      <c r="S192" s="45"/>
      <c r="W192" s="28"/>
      <c r="X192" s="1" t="str">
        <f>D!O24</f>
        <v>Terrenos, construcciones y edificaciones</v>
      </c>
      <c r="Y192" s="1"/>
      <c r="Z192" s="341">
        <f>'1'!I154</f>
        <v>0</v>
      </c>
      <c r="AA192" s="1"/>
      <c r="AB192" s="32"/>
      <c r="AP192" s="11"/>
      <c r="AQ192" s="11"/>
      <c r="AR192" s="11"/>
      <c r="AS192" s="11"/>
      <c r="AT192" s="11"/>
      <c r="AU192" s="11"/>
    </row>
    <row r="193" spans="1:47" hidden="1" x14ac:dyDescent="0.2">
      <c r="A193" s="45"/>
      <c r="B193" s="45"/>
      <c r="C193" s="45"/>
      <c r="D193" s="45"/>
      <c r="E193" s="45"/>
      <c r="F193" s="45"/>
      <c r="G193" s="45"/>
      <c r="H193" s="45"/>
      <c r="I193" s="45"/>
      <c r="J193" s="45"/>
      <c r="K193" s="45"/>
      <c r="L193" s="45"/>
      <c r="M193" s="45"/>
      <c r="N193" s="45"/>
      <c r="O193" s="45"/>
      <c r="P193" s="45"/>
      <c r="Q193" s="45"/>
      <c r="R193" s="45"/>
      <c r="S193" s="45"/>
      <c r="W193" s="28"/>
      <c r="X193" s="1" t="str">
        <f>D!O25</f>
        <v>Otras instalaciones</v>
      </c>
      <c r="Y193" s="1"/>
      <c r="Z193" s="341">
        <f>'1'!I155</f>
        <v>0</v>
      </c>
      <c r="AA193" s="1"/>
      <c r="AB193" s="48"/>
      <c r="AP193" s="11"/>
      <c r="AQ193" s="11"/>
      <c r="AR193" s="11"/>
      <c r="AS193" s="11"/>
      <c r="AT193" s="11"/>
      <c r="AU193" s="11"/>
    </row>
    <row r="194" spans="1:47" hidden="1" x14ac:dyDescent="0.2">
      <c r="A194" s="45" t="s">
        <v>1472</v>
      </c>
      <c r="B194" s="45"/>
      <c r="C194" s="45"/>
      <c r="D194" s="45"/>
      <c r="E194" s="45"/>
      <c r="F194" s="45"/>
      <c r="G194" s="45"/>
      <c r="H194" s="45"/>
      <c r="I194" s="45"/>
      <c r="J194" s="45"/>
      <c r="K194" s="45"/>
      <c r="L194" s="45"/>
      <c r="M194" s="45"/>
      <c r="N194" s="45"/>
      <c r="O194" s="45"/>
      <c r="P194" s="45"/>
      <c r="Q194" s="45"/>
      <c r="R194" s="45"/>
      <c r="S194" s="45"/>
      <c r="W194" s="28"/>
      <c r="X194" s="1" t="str">
        <f>D!O26</f>
        <v>Maquinaria, utillaje y herramientas</v>
      </c>
      <c r="Y194" s="1"/>
      <c r="Z194" s="341">
        <f>'1'!I156</f>
        <v>0</v>
      </c>
      <c r="AA194" s="1"/>
      <c r="AB194" s="48"/>
      <c r="AP194" s="11"/>
      <c r="AQ194" s="11"/>
      <c r="AR194" s="11"/>
      <c r="AS194" s="11"/>
      <c r="AT194" s="11"/>
      <c r="AU194" s="11"/>
    </row>
    <row r="195" spans="1:47" hidden="1" x14ac:dyDescent="0.2">
      <c r="A195" s="45"/>
      <c r="B195" s="45"/>
      <c r="C195" s="45"/>
      <c r="D195" s="45"/>
      <c r="E195" s="45"/>
      <c r="F195" s="45"/>
      <c r="G195" s="45"/>
      <c r="H195" s="45"/>
      <c r="I195" s="45"/>
      <c r="J195" s="45"/>
      <c r="K195" s="45"/>
      <c r="L195" s="45"/>
      <c r="M195" s="45"/>
      <c r="N195" s="45"/>
      <c r="O195" s="45"/>
      <c r="P195" s="45"/>
      <c r="Q195" s="45"/>
      <c r="R195" s="45"/>
      <c r="S195" s="45"/>
      <c r="W195" s="28"/>
      <c r="X195" s="1" t="str">
        <f>D!O27</f>
        <v>Vehículos y elementos de transporte</v>
      </c>
      <c r="Y195" s="1"/>
      <c r="Z195" s="341">
        <f>'1'!I157</f>
        <v>0</v>
      </c>
      <c r="AA195" s="1"/>
      <c r="AB195" s="48"/>
      <c r="AC195" s="11"/>
      <c r="AD195" s="11"/>
      <c r="AE195" s="11"/>
      <c r="AF195" s="11"/>
      <c r="AG195" s="11"/>
      <c r="AH195" s="11"/>
      <c r="AI195" s="11"/>
      <c r="AJ195" s="11"/>
      <c r="AK195" s="11"/>
      <c r="AL195" s="11"/>
      <c r="AM195" s="11"/>
      <c r="AN195" s="11"/>
      <c r="AO195" s="11"/>
      <c r="AP195" s="11"/>
      <c r="AQ195" s="11"/>
      <c r="AR195" s="11"/>
      <c r="AS195" s="11"/>
      <c r="AT195" s="11"/>
      <c r="AU195" s="11"/>
    </row>
    <row r="196" spans="1:47" hidden="1" x14ac:dyDescent="0.2">
      <c r="A196" s="45"/>
      <c r="B196" s="45"/>
      <c r="C196" s="45"/>
      <c r="D196" s="45">
        <v>1</v>
      </c>
      <c r="E196" s="45"/>
      <c r="F196" s="45"/>
      <c r="G196" s="45"/>
      <c r="H196" s="45" t="s">
        <v>40</v>
      </c>
      <c r="I196" s="45"/>
      <c r="J196" s="45"/>
      <c r="K196" s="45"/>
      <c r="L196" s="45"/>
      <c r="M196" s="45"/>
      <c r="N196" s="45" t="s">
        <v>552</v>
      </c>
      <c r="O196" s="45"/>
      <c r="P196" s="45"/>
      <c r="Q196" s="45"/>
      <c r="R196" s="45"/>
      <c r="S196" s="45"/>
      <c r="W196" s="28"/>
      <c r="X196" s="1" t="str">
        <f>D!O28</f>
        <v>Mobiliario y equipos oficina</v>
      </c>
      <c r="Y196" s="1"/>
      <c r="Z196" s="341">
        <f>'1'!I158</f>
        <v>0</v>
      </c>
      <c r="AA196" s="1"/>
      <c r="AB196" s="48"/>
      <c r="AC196" s="11"/>
      <c r="AD196" s="11"/>
      <c r="AE196" s="11"/>
      <c r="AF196" s="11"/>
      <c r="AG196" s="11"/>
      <c r="AH196" s="11"/>
      <c r="AI196" s="11"/>
      <c r="AJ196" s="11"/>
      <c r="AK196" s="11"/>
      <c r="AL196" s="11"/>
      <c r="AM196" s="11"/>
      <c r="AN196" s="11"/>
      <c r="AO196" s="11"/>
      <c r="AP196" s="11"/>
      <c r="AQ196" s="11"/>
      <c r="AR196" s="11"/>
      <c r="AS196" s="11"/>
      <c r="AT196" s="11"/>
      <c r="AU196" s="11"/>
    </row>
    <row r="197" spans="1:47" hidden="1" x14ac:dyDescent="0.2">
      <c r="A197" s="45"/>
      <c r="B197" s="45"/>
      <c r="C197" s="45"/>
      <c r="D197" s="45"/>
      <c r="E197" s="45"/>
      <c r="F197" s="45"/>
      <c r="G197" s="45"/>
      <c r="H197" s="45"/>
      <c r="I197" s="45"/>
      <c r="J197" s="45"/>
      <c r="K197" s="45"/>
      <c r="L197" s="45"/>
      <c r="M197" s="45"/>
      <c r="N197" s="45"/>
      <c r="O197" s="45"/>
      <c r="P197" s="45"/>
      <c r="Q197" s="45"/>
      <c r="R197" s="45"/>
      <c r="S197" s="45"/>
      <c r="W197" s="28"/>
      <c r="X197" s="1" t="str">
        <f>D!O29</f>
        <v>Equipos informáticos</v>
      </c>
      <c r="Y197" s="1"/>
      <c r="Z197" s="341">
        <f>'1'!I159</f>
        <v>0</v>
      </c>
      <c r="AA197" s="1"/>
      <c r="AB197" s="48"/>
      <c r="AC197" s="11"/>
      <c r="AD197" s="11"/>
      <c r="AE197" s="11"/>
      <c r="AF197" s="11"/>
      <c r="AG197" s="11"/>
      <c r="AH197" s="11"/>
      <c r="AI197" s="11"/>
      <c r="AJ197" s="11"/>
      <c r="AK197" s="11"/>
      <c r="AL197" s="11"/>
      <c r="AM197" s="11"/>
      <c r="AN197" s="11"/>
      <c r="AO197" s="11"/>
      <c r="AP197" s="11"/>
      <c r="AQ197" s="11"/>
      <c r="AR197" s="11"/>
      <c r="AS197" s="11"/>
      <c r="AT197" s="11"/>
      <c r="AU197" s="11"/>
    </row>
    <row r="198" spans="1:47" hidden="1" x14ac:dyDescent="0.2">
      <c r="A198" s="45"/>
      <c r="B198" s="45"/>
      <c r="C198" s="45"/>
      <c r="D198" s="45"/>
      <c r="E198" s="45" t="s">
        <v>1524</v>
      </c>
      <c r="F198" s="45"/>
      <c r="G198" s="45"/>
      <c r="H198" s="45" t="s">
        <v>1299</v>
      </c>
      <c r="I198" s="45"/>
      <c r="J198" s="45"/>
      <c r="K198" s="45"/>
      <c r="L198" s="45"/>
      <c r="M198" s="45"/>
      <c r="N198" s="45">
        <v>2</v>
      </c>
      <c r="O198" s="45" t="s">
        <v>1301</v>
      </c>
      <c r="P198" s="45"/>
      <c r="Q198" s="45"/>
      <c r="R198" s="45"/>
      <c r="S198" s="45"/>
      <c r="W198" s="28"/>
      <c r="X198" s="1" t="str">
        <f>D!O30</f>
        <v>Activos intangibles amortizables</v>
      </c>
      <c r="Y198" s="1"/>
      <c r="Z198" s="341">
        <f>'1'!$I$166</f>
        <v>0</v>
      </c>
      <c r="AA198" s="1"/>
      <c r="AB198" s="48"/>
      <c r="AC198" s="11"/>
      <c r="AD198" s="11"/>
      <c r="AE198" s="11"/>
      <c r="AF198" s="11"/>
      <c r="AG198" s="11"/>
      <c r="AH198" s="11"/>
      <c r="AI198" s="11"/>
      <c r="AJ198" s="11"/>
      <c r="AK198" s="11"/>
      <c r="AL198" s="11"/>
      <c r="AM198" s="11"/>
      <c r="AN198" s="11"/>
      <c r="AO198" s="11"/>
      <c r="AP198" s="11"/>
      <c r="AQ198" s="11"/>
      <c r="AR198" s="11"/>
      <c r="AS198" s="11"/>
      <c r="AT198" s="11"/>
      <c r="AU198" s="11"/>
    </row>
    <row r="199" spans="1:47" hidden="1" x14ac:dyDescent="0.2">
      <c r="A199" s="45"/>
      <c r="B199" s="45"/>
      <c r="C199" s="45"/>
      <c r="D199" s="45"/>
      <c r="E199" s="45"/>
      <c r="F199" s="45"/>
      <c r="G199" s="45"/>
      <c r="H199" s="45"/>
      <c r="I199" s="45"/>
      <c r="J199" s="45"/>
      <c r="K199" s="45"/>
      <c r="L199" s="45"/>
      <c r="M199" s="45"/>
      <c r="N199" s="45"/>
      <c r="O199" s="45"/>
      <c r="P199" s="45"/>
      <c r="Q199" s="45"/>
      <c r="R199" s="45"/>
      <c r="S199" s="45"/>
      <c r="W199" s="28"/>
      <c r="X199" s="1"/>
      <c r="Y199" s="1"/>
      <c r="Z199" s="1"/>
      <c r="AA199" s="1"/>
      <c r="AB199" s="48"/>
      <c r="AC199" s="11"/>
      <c r="AD199" s="11"/>
      <c r="AE199" s="11"/>
      <c r="AF199" s="11"/>
      <c r="AG199" s="11"/>
      <c r="AH199" s="11"/>
      <c r="AI199" s="11"/>
      <c r="AJ199" s="11"/>
      <c r="AK199" s="11"/>
      <c r="AL199" s="11"/>
      <c r="AM199" s="11"/>
      <c r="AN199" s="11"/>
      <c r="AO199" s="11"/>
      <c r="AP199" s="11"/>
      <c r="AQ199" s="11"/>
      <c r="AR199" s="11"/>
      <c r="AS199" s="11"/>
      <c r="AT199" s="11"/>
      <c r="AU199" s="11"/>
    </row>
    <row r="200" spans="1:47" hidden="1" x14ac:dyDescent="0.2">
      <c r="A200" s="45"/>
      <c r="B200" s="45"/>
      <c r="C200" s="45"/>
      <c r="D200" s="45"/>
      <c r="E200" s="45"/>
      <c r="F200" s="45"/>
      <c r="G200" s="45"/>
      <c r="H200" s="45"/>
      <c r="I200" s="45"/>
      <c r="J200" s="45"/>
      <c r="K200" s="45"/>
      <c r="L200" s="45"/>
      <c r="M200" s="45"/>
      <c r="N200" s="45"/>
      <c r="O200" s="45" t="s">
        <v>1303</v>
      </c>
      <c r="P200" s="45"/>
      <c r="Q200" s="45"/>
      <c r="R200" s="45"/>
      <c r="S200" s="45"/>
      <c r="W200" s="28" t="s">
        <v>614</v>
      </c>
      <c r="X200" s="1" t="s">
        <v>1228</v>
      </c>
      <c r="Y200" s="1"/>
      <c r="Z200" s="1">
        <f>SUM(Z201:Z207)</f>
        <v>0</v>
      </c>
      <c r="AA200" s="1"/>
      <c r="AB200" s="48"/>
      <c r="AC200" s="11"/>
      <c r="AD200" s="11"/>
      <c r="AE200" s="11"/>
      <c r="AF200" s="11"/>
      <c r="AG200" s="11"/>
      <c r="AH200" s="11"/>
      <c r="AI200" s="11"/>
      <c r="AJ200" s="11"/>
      <c r="AK200" s="11"/>
      <c r="AL200" s="11"/>
      <c r="AM200" s="11"/>
      <c r="AN200" s="11"/>
      <c r="AO200" s="11"/>
      <c r="AP200" s="11"/>
      <c r="AQ200" s="11"/>
      <c r="AR200" s="11"/>
      <c r="AS200" s="11"/>
      <c r="AT200" s="11"/>
      <c r="AU200" s="11"/>
    </row>
    <row r="201" spans="1:47" hidden="1" x14ac:dyDescent="0.2">
      <c r="A201" s="45"/>
      <c r="B201" s="45"/>
      <c r="C201" s="45"/>
      <c r="D201" s="45"/>
      <c r="E201" s="45"/>
      <c r="F201" s="45"/>
      <c r="G201" s="45"/>
      <c r="H201" s="45"/>
      <c r="I201" s="45"/>
      <c r="J201" s="45"/>
      <c r="K201" s="45"/>
      <c r="L201" s="45"/>
      <c r="M201" s="45"/>
      <c r="N201" s="45"/>
      <c r="O201" s="45"/>
      <c r="P201" s="45"/>
      <c r="Q201" s="45"/>
      <c r="R201" s="45"/>
      <c r="S201" s="45"/>
      <c r="W201" s="28"/>
      <c r="X201" s="1"/>
      <c r="Y201" s="1"/>
      <c r="Z201" s="1"/>
      <c r="AA201" s="1"/>
      <c r="AB201" s="48"/>
      <c r="AC201" s="11"/>
      <c r="AD201" s="11"/>
      <c r="AE201" s="11"/>
      <c r="AF201" s="11"/>
      <c r="AG201" s="11"/>
      <c r="AH201" s="11"/>
      <c r="AI201" s="11"/>
      <c r="AJ201" s="11"/>
      <c r="AK201" s="11"/>
      <c r="AL201" s="11"/>
      <c r="AM201" s="11"/>
      <c r="AN201" s="11"/>
      <c r="AO201" s="11"/>
      <c r="AP201" s="11"/>
      <c r="AQ201" s="11"/>
      <c r="AR201" s="11"/>
      <c r="AS201" s="11"/>
      <c r="AT201" s="11"/>
      <c r="AU201" s="11"/>
    </row>
    <row r="202" spans="1:47" hidden="1" x14ac:dyDescent="0.2">
      <c r="A202" s="45"/>
      <c r="B202" s="45"/>
      <c r="C202" s="45"/>
      <c r="D202" s="45"/>
      <c r="E202" s="45"/>
      <c r="F202" s="45"/>
      <c r="G202" s="45"/>
      <c r="H202" s="45"/>
      <c r="I202" s="45"/>
      <c r="J202" s="45"/>
      <c r="K202" s="45"/>
      <c r="L202" s="45"/>
      <c r="M202" s="45"/>
      <c r="N202" s="45"/>
      <c r="O202" s="45"/>
      <c r="P202" s="45"/>
      <c r="Q202" s="45"/>
      <c r="R202" s="45"/>
      <c r="S202" s="45"/>
      <c r="W202" s="28"/>
      <c r="X202" s="1"/>
      <c r="Y202" s="1"/>
      <c r="Z202" s="1"/>
      <c r="AA202" s="1"/>
      <c r="AB202" s="48"/>
      <c r="AC202" s="11"/>
      <c r="AD202" s="11"/>
      <c r="AE202" s="11"/>
      <c r="AF202" s="11"/>
      <c r="AG202" s="11"/>
      <c r="AH202" s="11"/>
      <c r="AI202" s="11"/>
      <c r="AJ202" s="11"/>
      <c r="AK202" s="11"/>
      <c r="AL202" s="11"/>
      <c r="AM202" s="11"/>
      <c r="AN202" s="11"/>
      <c r="AO202" s="11"/>
      <c r="AP202" s="11"/>
      <c r="AQ202" s="11"/>
      <c r="AR202" s="11"/>
      <c r="AS202" s="11"/>
      <c r="AT202" s="11"/>
      <c r="AU202" s="11"/>
    </row>
    <row r="203" spans="1:47" hidden="1" x14ac:dyDescent="0.2">
      <c r="A203" s="45"/>
      <c r="B203" s="45"/>
      <c r="C203" s="45" t="s">
        <v>1581</v>
      </c>
      <c r="D203" s="45"/>
      <c r="E203" s="45"/>
      <c r="F203" s="45"/>
      <c r="G203" s="45"/>
      <c r="H203" s="45"/>
      <c r="I203" s="45"/>
      <c r="J203" s="45"/>
      <c r="K203" s="45"/>
      <c r="L203" s="45"/>
      <c r="M203" s="45"/>
      <c r="N203" s="45"/>
      <c r="O203" s="45"/>
      <c r="P203" s="45"/>
      <c r="Q203" s="45"/>
      <c r="R203" s="45"/>
      <c r="S203" s="45"/>
      <c r="W203" s="28"/>
      <c r="X203" s="1"/>
      <c r="Y203" s="1"/>
      <c r="Z203" s="1"/>
      <c r="AA203" s="1"/>
      <c r="AB203" s="48"/>
      <c r="AC203" s="11"/>
      <c r="AD203" s="11"/>
      <c r="AE203" s="11"/>
      <c r="AF203" s="11"/>
      <c r="AG203" s="11"/>
      <c r="AH203" s="11"/>
      <c r="AI203" s="11"/>
      <c r="AJ203" s="11"/>
      <c r="AK203" s="11"/>
      <c r="AL203" s="11"/>
      <c r="AM203" s="11"/>
      <c r="AN203" s="11"/>
      <c r="AO203" s="11"/>
      <c r="AP203" s="11"/>
      <c r="AQ203" s="11"/>
      <c r="AR203" s="11"/>
      <c r="AS203" s="11"/>
      <c r="AT203" s="11"/>
      <c r="AU203" s="11"/>
    </row>
    <row r="204" spans="1:47" hidden="1" x14ac:dyDescent="0.2">
      <c r="A204" s="45"/>
      <c r="B204" s="45"/>
      <c r="C204" s="45"/>
      <c r="D204" s="45"/>
      <c r="E204" s="45"/>
      <c r="F204" s="45"/>
      <c r="G204" s="45"/>
      <c r="H204" s="45"/>
      <c r="I204" s="45"/>
      <c r="J204" s="45"/>
      <c r="K204" s="45"/>
      <c r="L204" s="45"/>
      <c r="M204" s="45"/>
      <c r="N204" s="45"/>
      <c r="O204" s="45"/>
      <c r="P204" s="45"/>
      <c r="Q204" s="45"/>
      <c r="R204" s="45"/>
      <c r="S204" s="45"/>
      <c r="W204" s="28"/>
      <c r="X204" s="1"/>
      <c r="Y204" s="1"/>
      <c r="Z204" s="1"/>
      <c r="AA204" s="1"/>
      <c r="AB204" s="48"/>
      <c r="AC204" s="11"/>
      <c r="AD204" s="11"/>
      <c r="AE204" s="11"/>
      <c r="AF204" s="11"/>
      <c r="AG204" s="11"/>
      <c r="AH204" s="11"/>
      <c r="AI204" s="11"/>
      <c r="AJ204" s="11"/>
      <c r="AK204" s="11"/>
      <c r="AL204" s="11"/>
      <c r="AM204" s="11"/>
      <c r="AN204" s="11"/>
      <c r="AO204" s="11"/>
      <c r="AP204" s="11"/>
      <c r="AQ204" s="11"/>
      <c r="AR204" s="11"/>
      <c r="AS204" s="11"/>
      <c r="AT204" s="11"/>
      <c r="AU204" s="11"/>
    </row>
    <row r="205" spans="1:47" hidden="1" x14ac:dyDescent="0.2">
      <c r="A205" s="45"/>
      <c r="B205" s="45"/>
      <c r="C205" s="45"/>
      <c r="D205" s="45"/>
      <c r="E205" s="45"/>
      <c r="F205" s="45"/>
      <c r="G205" s="45"/>
      <c r="H205" s="45"/>
      <c r="I205" s="45"/>
      <c r="J205" s="45"/>
      <c r="K205" s="45"/>
      <c r="L205" s="45"/>
      <c r="M205" s="45"/>
      <c r="N205" s="45"/>
      <c r="O205" s="45"/>
      <c r="P205" s="45"/>
      <c r="Q205" s="45"/>
      <c r="R205" s="45"/>
      <c r="S205" s="45"/>
      <c r="W205" s="28"/>
      <c r="X205" s="1"/>
      <c r="Y205" s="1"/>
      <c r="Z205" s="1"/>
      <c r="AA205" s="1"/>
      <c r="AB205" s="48"/>
      <c r="AC205" s="11"/>
      <c r="AD205" s="11"/>
      <c r="AE205" s="11"/>
      <c r="AF205" s="11"/>
      <c r="AG205" s="11"/>
      <c r="AH205" s="11"/>
      <c r="AI205" s="11"/>
      <c r="AJ205" s="11"/>
      <c r="AK205" s="11"/>
      <c r="AL205" s="11"/>
      <c r="AM205" s="11"/>
      <c r="AN205" s="11"/>
      <c r="AO205" s="11"/>
      <c r="AP205" s="11"/>
      <c r="AQ205" s="11"/>
      <c r="AR205" s="11"/>
      <c r="AS205" s="11"/>
      <c r="AT205" s="11"/>
      <c r="AU205" s="11"/>
    </row>
    <row r="206" spans="1:47" hidden="1" x14ac:dyDescent="0.2">
      <c r="A206" s="45"/>
      <c r="B206" s="45"/>
      <c r="C206" s="45"/>
      <c r="D206" s="45"/>
      <c r="E206" s="45"/>
      <c r="F206" s="45"/>
      <c r="G206" s="45"/>
      <c r="H206" s="45"/>
      <c r="I206" s="45"/>
      <c r="J206" s="45"/>
      <c r="K206" s="45"/>
      <c r="L206" s="45"/>
      <c r="M206" s="45"/>
      <c r="N206" s="45"/>
      <c r="O206" s="45"/>
      <c r="P206" s="45"/>
      <c r="Q206" s="45"/>
      <c r="R206" s="45"/>
      <c r="S206" s="45"/>
      <c r="W206" s="28"/>
      <c r="X206" s="1"/>
      <c r="Y206" s="1"/>
      <c r="Z206" s="1"/>
      <c r="AA206" s="1"/>
      <c r="AB206" s="48"/>
      <c r="AC206" s="11"/>
      <c r="AD206" s="11"/>
      <c r="AE206" s="11"/>
      <c r="AF206" s="11"/>
      <c r="AG206" s="11"/>
      <c r="AH206" s="11"/>
      <c r="AI206" s="11"/>
      <c r="AJ206" s="11"/>
      <c r="AK206" s="11"/>
      <c r="AL206" s="11"/>
      <c r="AM206" s="11"/>
      <c r="AN206" s="11"/>
      <c r="AO206" s="11"/>
      <c r="AP206" s="11"/>
      <c r="AQ206" s="11"/>
      <c r="AR206" s="11"/>
      <c r="AS206" s="11"/>
      <c r="AT206" s="11"/>
      <c r="AU206" s="11"/>
    </row>
    <row r="207" spans="1:47" hidden="1" x14ac:dyDescent="0.2">
      <c r="A207" s="45"/>
      <c r="B207" s="45"/>
      <c r="C207" s="45"/>
      <c r="D207" s="45"/>
      <c r="E207" s="45"/>
      <c r="F207" s="45"/>
      <c r="G207" s="45"/>
      <c r="H207" s="45"/>
      <c r="I207" s="45"/>
      <c r="J207" s="45"/>
      <c r="K207" s="45"/>
      <c r="L207" s="45"/>
      <c r="M207" s="45"/>
      <c r="N207" s="45"/>
      <c r="O207" s="45"/>
      <c r="P207" s="45"/>
      <c r="Q207" s="45"/>
      <c r="R207" s="45"/>
      <c r="S207" s="45"/>
      <c r="W207" s="28"/>
      <c r="X207" s="1"/>
      <c r="Y207" s="1"/>
      <c r="Z207" s="1"/>
      <c r="AA207" s="1"/>
      <c r="AB207" s="48"/>
      <c r="AC207" s="11"/>
      <c r="AD207" s="11"/>
      <c r="AE207" s="11"/>
      <c r="AF207" s="11"/>
      <c r="AG207" s="11"/>
      <c r="AH207" s="11"/>
      <c r="AI207" s="11"/>
      <c r="AJ207" s="11"/>
      <c r="AK207" s="11"/>
      <c r="AL207" s="11"/>
      <c r="AM207" s="11"/>
      <c r="AN207" s="11"/>
      <c r="AO207" s="11"/>
      <c r="AP207" s="11"/>
      <c r="AQ207" s="11"/>
      <c r="AR207" s="11"/>
      <c r="AS207" s="11"/>
      <c r="AT207" s="11"/>
      <c r="AU207" s="11"/>
    </row>
    <row r="208" spans="1:47" hidden="1" x14ac:dyDescent="0.2">
      <c r="A208" s="45"/>
      <c r="B208" s="45"/>
      <c r="C208" s="45"/>
      <c r="D208" s="45"/>
      <c r="E208" s="45"/>
      <c r="F208" s="45"/>
      <c r="G208" s="45"/>
      <c r="H208" s="45"/>
      <c r="I208" s="45"/>
      <c r="J208" s="45"/>
      <c r="K208" s="45"/>
      <c r="L208" s="45"/>
      <c r="M208" s="45"/>
      <c r="N208" s="45"/>
      <c r="O208" s="45"/>
      <c r="P208" s="45"/>
      <c r="Q208" s="45"/>
      <c r="R208" s="45"/>
      <c r="S208" s="45"/>
      <c r="W208" s="29"/>
      <c r="X208" s="2" t="s">
        <v>1264</v>
      </c>
      <c r="Y208" s="2"/>
      <c r="Z208" s="2">
        <f>+Z200+Z191</f>
        <v>0</v>
      </c>
      <c r="AA208" s="2"/>
      <c r="AB208" s="49"/>
      <c r="AC208" s="11"/>
      <c r="AD208" s="11"/>
      <c r="AE208" s="11"/>
      <c r="AF208" s="11"/>
      <c r="AG208" s="11"/>
      <c r="AH208" s="11"/>
      <c r="AI208" s="11"/>
      <c r="AJ208" s="11"/>
      <c r="AK208" s="11"/>
      <c r="AL208" s="11"/>
      <c r="AM208" s="11"/>
      <c r="AN208" s="11"/>
      <c r="AO208" s="11"/>
      <c r="AP208" s="11"/>
      <c r="AQ208" s="11"/>
      <c r="AR208" s="11"/>
      <c r="AS208" s="11"/>
      <c r="AT208" s="11"/>
      <c r="AU208" s="11"/>
    </row>
    <row r="209" spans="1:47" hidden="1" x14ac:dyDescent="0.2">
      <c r="A209" s="45"/>
      <c r="B209" s="45"/>
      <c r="C209" s="45"/>
      <c r="D209" s="45"/>
      <c r="E209" s="45"/>
      <c r="F209" s="45"/>
      <c r="G209" s="45"/>
      <c r="H209" s="45"/>
      <c r="I209" s="45"/>
      <c r="J209" s="45"/>
      <c r="K209" s="45"/>
      <c r="L209" s="45"/>
      <c r="M209" s="45"/>
      <c r="N209" s="45"/>
      <c r="O209" s="45"/>
      <c r="P209" s="45"/>
      <c r="Q209" s="45"/>
      <c r="R209" s="45"/>
      <c r="S209" s="45"/>
      <c r="T209" s="50"/>
      <c r="U209" s="50"/>
      <c r="V209" s="50"/>
      <c r="W209" s="51"/>
      <c r="X209" s="51"/>
      <c r="Y209" s="51"/>
      <c r="Z209" s="51"/>
      <c r="AA209" s="51"/>
      <c r="AB209" s="51"/>
      <c r="AC209" s="11"/>
      <c r="AD209" s="11"/>
      <c r="AE209" s="11"/>
      <c r="AF209" s="11"/>
      <c r="AG209" s="11"/>
      <c r="AH209" s="11"/>
      <c r="AI209" s="11"/>
      <c r="AJ209" s="11"/>
      <c r="AK209" s="11"/>
      <c r="AL209" s="11"/>
      <c r="AM209" s="11"/>
      <c r="AN209" s="11"/>
      <c r="AO209" s="11"/>
      <c r="AP209" s="11"/>
      <c r="AQ209" s="11"/>
      <c r="AR209" s="11"/>
      <c r="AS209" s="11"/>
      <c r="AT209" s="11"/>
      <c r="AU209" s="11"/>
    </row>
    <row r="210" spans="1:47" hidden="1" x14ac:dyDescent="0.2">
      <c r="A210" s="36"/>
      <c r="B210" s="36"/>
      <c r="C210" s="37"/>
      <c r="D210" s="37"/>
      <c r="E210" s="37"/>
      <c r="F210" s="36"/>
      <c r="G210" s="36"/>
      <c r="H210" s="36"/>
      <c r="I210" s="36"/>
      <c r="J210" s="36"/>
      <c r="K210" s="36"/>
      <c r="L210" s="36"/>
      <c r="M210" s="36"/>
      <c r="N210" s="36"/>
      <c r="O210" s="36"/>
      <c r="P210" s="36"/>
      <c r="Q210" s="36"/>
      <c r="R210" s="36"/>
      <c r="S210" s="36"/>
      <c r="T210" s="36"/>
      <c r="U210" s="36"/>
      <c r="V210" s="36"/>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row>
    <row r="211" spans="1:47"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row>
    <row r="212" spans="1:47"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row>
    <row r="213" spans="1:47" x14ac:dyDescent="0.2">
      <c r="A213" s="58"/>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row>
    <row r="214" spans="1:47" x14ac:dyDescent="0.2">
      <c r="A214" s="58"/>
      <c r="B214" s="58"/>
      <c r="C214" s="58"/>
      <c r="D214" s="11"/>
      <c r="E214" s="11"/>
      <c r="F214" s="11"/>
      <c r="G214" s="11"/>
      <c r="H214" s="11"/>
      <c r="I214" s="11"/>
      <c r="J214" s="11"/>
      <c r="K214" s="11"/>
      <c r="L214" s="58"/>
      <c r="M214" s="58"/>
      <c r="N214" s="58"/>
      <c r="O214" s="58"/>
      <c r="P214" s="58"/>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row>
    <row r="215" spans="1:47" x14ac:dyDescent="0.2">
      <c r="A215" s="58"/>
      <c r="B215" s="58"/>
      <c r="C215" s="58"/>
      <c r="D215" s="11"/>
      <c r="E215" s="11"/>
      <c r="F215" s="11"/>
      <c r="G215" s="11"/>
      <c r="H215" s="11"/>
      <c r="I215" s="11"/>
      <c r="J215" s="11"/>
      <c r="K215" s="11"/>
      <c r="L215" s="58"/>
      <c r="M215" s="58"/>
      <c r="N215" s="58"/>
      <c r="O215" s="58"/>
      <c r="P215" s="58"/>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row>
    <row r="216" spans="1:47" x14ac:dyDescent="0.2">
      <c r="A216" s="58"/>
      <c r="B216" s="58"/>
      <c r="C216" s="58"/>
      <c r="D216" s="58"/>
      <c r="E216" s="58"/>
      <c r="F216" s="58"/>
      <c r="G216" s="58"/>
      <c r="H216" s="58"/>
      <c r="I216" s="58"/>
      <c r="J216" s="58"/>
      <c r="K216" s="58"/>
      <c r="L216" s="58"/>
      <c r="M216" s="58"/>
      <c r="N216" s="58"/>
      <c r="O216" s="58"/>
      <c r="P216" s="58"/>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row>
    <row r="217" spans="1:47" x14ac:dyDescent="0.2">
      <c r="A217" s="58"/>
      <c r="B217" s="58"/>
      <c r="C217" s="58"/>
      <c r="D217" s="58"/>
      <c r="E217" s="58"/>
      <c r="F217" s="58"/>
      <c r="G217" s="58"/>
      <c r="H217" s="58"/>
      <c r="I217" s="58"/>
      <c r="J217" s="58"/>
      <c r="K217" s="58"/>
      <c r="L217" s="58"/>
      <c r="M217" s="58"/>
      <c r="N217" s="58"/>
      <c r="O217" s="58"/>
      <c r="P217" s="58"/>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row>
    <row r="218" spans="1:47" x14ac:dyDescent="0.2">
      <c r="A218" s="58"/>
      <c r="B218" s="58"/>
      <c r="C218" s="58"/>
      <c r="D218" s="58"/>
      <c r="E218" s="58"/>
      <c r="F218" s="58"/>
      <c r="G218" s="58"/>
      <c r="H218" s="58"/>
      <c r="I218" s="58"/>
      <c r="J218" s="58"/>
      <c r="K218" s="58"/>
      <c r="L218" s="58"/>
      <c r="M218" s="58"/>
      <c r="N218" s="58"/>
      <c r="O218" s="58"/>
      <c r="P218" s="58"/>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row>
    <row r="219" spans="1:47" x14ac:dyDescent="0.2">
      <c r="A219" s="58"/>
      <c r="B219" s="58"/>
      <c r="C219" s="58"/>
      <c r="D219" s="58"/>
      <c r="E219" s="58"/>
      <c r="F219" s="58"/>
      <c r="G219" s="58"/>
      <c r="H219" s="58"/>
      <c r="I219" s="58"/>
      <c r="J219" s="58"/>
      <c r="K219" s="58"/>
      <c r="L219" s="58"/>
      <c r="M219" s="58"/>
      <c r="N219" s="58"/>
      <c r="O219" s="58"/>
      <c r="P219" s="58"/>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row>
    <row r="220" spans="1:47" x14ac:dyDescent="0.2">
      <c r="A220" s="58"/>
      <c r="B220" s="58"/>
      <c r="C220" s="58"/>
      <c r="D220" s="58"/>
      <c r="E220" s="58"/>
      <c r="F220" s="58"/>
      <c r="G220" s="58"/>
      <c r="H220" s="58"/>
      <c r="I220" s="58"/>
      <c r="J220" s="58"/>
      <c r="K220" s="58"/>
      <c r="L220" s="58"/>
      <c r="M220" s="58"/>
      <c r="N220" s="58"/>
      <c r="O220" s="58"/>
      <c r="P220" s="58"/>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row>
    <row r="221" spans="1:47" x14ac:dyDescent="0.2">
      <c r="A221" s="58"/>
      <c r="B221" s="58"/>
      <c r="C221" s="58"/>
      <c r="D221" s="52"/>
      <c r="E221" s="52"/>
      <c r="F221" s="52"/>
      <c r="G221" s="52"/>
      <c r="H221" s="52"/>
      <c r="I221" s="52"/>
      <c r="J221" s="52"/>
      <c r="K221" s="52"/>
      <c r="L221" s="58"/>
      <c r="M221" s="58"/>
      <c r="N221" s="58"/>
      <c r="O221" s="58"/>
      <c r="P221" s="58"/>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row>
    <row r="222" spans="1:47" x14ac:dyDescent="0.2">
      <c r="A222" s="58"/>
      <c r="B222" s="58"/>
      <c r="C222" s="58"/>
      <c r="D222" s="52"/>
      <c r="L222" s="58"/>
      <c r="M222" s="58"/>
      <c r="N222" s="58"/>
      <c r="O222" s="58"/>
      <c r="P222" s="58"/>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row>
    <row r="223" spans="1:47" x14ac:dyDescent="0.2">
      <c r="A223" s="58"/>
      <c r="B223" s="58"/>
      <c r="C223" s="58"/>
      <c r="D223" s="52"/>
      <c r="L223" s="58"/>
      <c r="M223" s="58"/>
      <c r="N223" s="58"/>
      <c r="O223" s="58"/>
      <c r="P223" s="58"/>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row>
    <row r="224" spans="1:47" x14ac:dyDescent="0.2">
      <c r="A224" s="58"/>
      <c r="B224" s="58"/>
      <c r="C224" s="58"/>
      <c r="D224" s="52"/>
      <c r="L224" s="58"/>
      <c r="M224" s="58"/>
      <c r="N224" s="58"/>
      <c r="O224" s="58"/>
      <c r="P224" s="58"/>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row>
    <row r="225" spans="1:47" x14ac:dyDescent="0.2">
      <c r="A225" s="58"/>
      <c r="B225" s="58"/>
      <c r="C225" s="58"/>
      <c r="D225" s="52"/>
      <c r="L225" s="58"/>
      <c r="M225" s="58"/>
      <c r="N225" s="58"/>
      <c r="O225" s="58"/>
      <c r="P225" s="58"/>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row>
    <row r="226" spans="1:47" ht="14.25" x14ac:dyDescent="0.2">
      <c r="A226" s="58"/>
      <c r="B226" s="58"/>
      <c r="C226" s="58"/>
      <c r="D226" s="52"/>
      <c r="I226" s="56"/>
      <c r="L226" s="58"/>
      <c r="M226" s="58"/>
      <c r="N226" s="58"/>
      <c r="O226" s="58"/>
      <c r="P226" s="58"/>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row>
    <row r="227" spans="1:47" x14ac:dyDescent="0.2">
      <c r="A227" s="58"/>
      <c r="B227" s="58"/>
      <c r="C227" s="58"/>
      <c r="D227" s="52"/>
      <c r="L227" s="58"/>
      <c r="M227" s="58"/>
      <c r="N227" s="58"/>
      <c r="O227" s="58"/>
      <c r="P227" s="58"/>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row>
    <row r="228" spans="1:47" x14ac:dyDescent="0.2">
      <c r="A228" s="58"/>
      <c r="B228" s="58"/>
      <c r="C228" s="58"/>
      <c r="D228" s="52"/>
      <c r="L228" s="58"/>
      <c r="M228" s="58"/>
      <c r="N228" s="58"/>
      <c r="O228" s="58"/>
      <c r="P228" s="58"/>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row>
    <row r="229" spans="1:47" x14ac:dyDescent="0.2">
      <c r="A229" s="58"/>
      <c r="B229" s="58"/>
      <c r="C229" s="58"/>
      <c r="D229" s="52"/>
      <c r="L229" s="58"/>
      <c r="M229" s="58"/>
      <c r="N229" s="58"/>
      <c r="O229" s="58"/>
      <c r="P229" s="58"/>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row>
    <row r="230" spans="1:47" x14ac:dyDescent="0.2">
      <c r="A230" s="58"/>
      <c r="B230" s="58"/>
      <c r="C230" s="58"/>
      <c r="D230" s="52"/>
      <c r="L230" s="58"/>
      <c r="M230" s="58"/>
      <c r="N230" s="58"/>
      <c r="O230" s="58"/>
      <c r="P230" s="58"/>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row>
    <row r="231" spans="1:47" x14ac:dyDescent="0.2">
      <c r="A231" s="58"/>
      <c r="B231" s="58"/>
      <c r="C231" s="58"/>
      <c r="D231" s="52"/>
      <c r="L231" s="58"/>
      <c r="M231" s="58"/>
      <c r="N231" s="58"/>
      <c r="O231" s="58"/>
      <c r="P231" s="58"/>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row>
    <row r="232" spans="1:47" x14ac:dyDescent="0.2">
      <c r="A232" s="58"/>
      <c r="B232" s="58"/>
      <c r="C232" s="58"/>
      <c r="D232" s="52"/>
      <c r="L232" s="58"/>
      <c r="M232" s="58"/>
      <c r="N232" s="58"/>
      <c r="O232" s="58"/>
      <c r="P232" s="58"/>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row>
    <row r="233" spans="1:47" x14ac:dyDescent="0.2">
      <c r="A233" s="58"/>
      <c r="B233" s="58"/>
      <c r="C233" s="58"/>
      <c r="D233" s="52"/>
      <c r="L233" s="58"/>
      <c r="M233" s="58"/>
      <c r="N233" s="58"/>
      <c r="O233" s="58"/>
      <c r="P233" s="58"/>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row>
    <row r="234" spans="1:47" x14ac:dyDescent="0.2">
      <c r="A234" s="58"/>
      <c r="B234" s="58"/>
      <c r="C234" s="58"/>
      <c r="D234" s="52"/>
      <c r="L234" s="58"/>
      <c r="M234" s="58"/>
      <c r="N234" s="58"/>
      <c r="O234" s="58"/>
      <c r="P234" s="58"/>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row>
    <row r="235" spans="1:47" x14ac:dyDescent="0.2">
      <c r="A235" s="58"/>
      <c r="B235" s="58"/>
      <c r="C235" s="58"/>
      <c r="D235" s="57"/>
      <c r="E235" s="15"/>
      <c r="F235" s="15"/>
      <c r="G235" s="15"/>
      <c r="H235" s="15"/>
      <c r="I235" s="15"/>
      <c r="J235" s="15"/>
      <c r="L235" s="58"/>
      <c r="M235" s="58"/>
      <c r="N235" s="58"/>
      <c r="O235" s="58"/>
      <c r="P235" s="58"/>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row>
    <row r="236" spans="1:47" x14ac:dyDescent="0.2">
      <c r="A236" s="58"/>
      <c r="B236" s="58"/>
      <c r="C236" s="58"/>
      <c r="D236" s="57"/>
      <c r="I236" s="15"/>
      <c r="J236" s="15"/>
      <c r="L236" s="58"/>
      <c r="M236" s="58"/>
      <c r="N236" s="58"/>
      <c r="O236" s="58"/>
      <c r="P236" s="58"/>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row>
    <row r="237" spans="1:47" x14ac:dyDescent="0.2">
      <c r="A237" s="58"/>
      <c r="B237" s="58"/>
      <c r="C237" s="58"/>
      <c r="D237" s="57"/>
      <c r="E237" s="57"/>
      <c r="F237" s="57"/>
      <c r="G237" s="57"/>
      <c r="H237" s="57"/>
      <c r="I237" s="57"/>
      <c r="J237" s="57"/>
      <c r="K237" s="52"/>
      <c r="L237" s="58"/>
      <c r="M237" s="58"/>
      <c r="N237" s="58"/>
      <c r="O237" s="58"/>
      <c r="P237" s="58"/>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row>
    <row r="238" spans="1:47" x14ac:dyDescent="0.2">
      <c r="A238" s="58"/>
      <c r="B238" s="58"/>
      <c r="C238" s="58"/>
      <c r="D238" s="57"/>
      <c r="E238" s="57"/>
      <c r="F238" s="57"/>
      <c r="G238" s="57"/>
      <c r="H238" s="57"/>
      <c r="I238" s="57"/>
      <c r="J238" s="57"/>
      <c r="K238" s="52"/>
      <c r="L238" s="58"/>
      <c r="M238" s="58"/>
      <c r="N238" s="58"/>
      <c r="O238" s="58"/>
      <c r="P238" s="58"/>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row>
    <row r="239" spans="1:47" x14ac:dyDescent="0.2">
      <c r="A239" s="58"/>
      <c r="B239" s="58"/>
      <c r="C239" s="58"/>
      <c r="D239" s="57"/>
      <c r="E239" s="57"/>
      <c r="F239" s="57"/>
      <c r="G239" s="57"/>
      <c r="H239" s="57"/>
      <c r="I239" s="57"/>
      <c r="J239" s="57"/>
      <c r="K239" s="52"/>
      <c r="L239" s="58"/>
      <c r="M239" s="58"/>
      <c r="N239" s="58"/>
      <c r="O239" s="58"/>
      <c r="P239" s="58"/>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row>
    <row r="240" spans="1:47" x14ac:dyDescent="0.2">
      <c r="A240" s="58"/>
      <c r="B240" s="58"/>
      <c r="C240" s="58"/>
      <c r="D240" s="58"/>
      <c r="E240" s="58"/>
      <c r="F240" s="58"/>
      <c r="G240" s="58"/>
      <c r="H240" s="58"/>
      <c r="I240" s="58"/>
      <c r="J240" s="58"/>
      <c r="K240" s="58"/>
      <c r="L240" s="58"/>
      <c r="M240" s="58"/>
      <c r="N240" s="58"/>
      <c r="O240" s="58"/>
      <c r="P240" s="58"/>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row>
    <row r="241" spans="1:47" x14ac:dyDescent="0.2">
      <c r="A241" s="58"/>
      <c r="B241" s="58"/>
      <c r="C241" s="58"/>
      <c r="D241" s="58"/>
      <c r="E241" s="58"/>
      <c r="F241" s="58"/>
      <c r="G241" s="58"/>
      <c r="H241" s="58"/>
      <c r="I241" s="58"/>
      <c r="J241" s="58"/>
      <c r="K241" s="58"/>
      <c r="L241" s="58"/>
      <c r="M241" s="58"/>
      <c r="N241" s="58"/>
      <c r="O241" s="58"/>
      <c r="P241" s="58"/>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row>
    <row r="242" spans="1:47" x14ac:dyDescent="0.2">
      <c r="A242" s="58"/>
      <c r="B242" s="58"/>
      <c r="C242" s="58"/>
      <c r="D242" s="58"/>
      <c r="E242" s="58"/>
      <c r="F242" s="58"/>
      <c r="G242" s="58"/>
      <c r="H242" s="58"/>
      <c r="I242" s="58"/>
      <c r="J242" s="58"/>
      <c r="K242" s="58"/>
      <c r="L242" s="58"/>
      <c r="M242" s="58"/>
      <c r="N242" s="58"/>
      <c r="O242" s="58"/>
      <c r="P242" s="58"/>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row>
    <row r="243" spans="1:47" x14ac:dyDescent="0.2">
      <c r="A243" s="58"/>
      <c r="B243" s="58"/>
      <c r="C243" s="58"/>
      <c r="D243" s="58"/>
      <c r="E243" s="58"/>
      <c r="F243" s="58"/>
      <c r="G243" s="58"/>
      <c r="H243" s="58"/>
      <c r="I243" s="58"/>
      <c r="J243" s="58"/>
      <c r="K243" s="58"/>
      <c r="L243" s="58"/>
      <c r="M243" s="58"/>
      <c r="N243" s="58"/>
      <c r="O243" s="58"/>
      <c r="P243" s="58"/>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row>
    <row r="244" spans="1:47" x14ac:dyDescent="0.2">
      <c r="A244" s="58"/>
      <c r="B244" s="58"/>
      <c r="C244" s="58"/>
      <c r="D244" s="58"/>
      <c r="E244" s="58"/>
      <c r="F244" s="58"/>
      <c r="G244" s="58"/>
      <c r="H244" s="58"/>
      <c r="I244" s="58"/>
      <c r="J244" s="58"/>
      <c r="K244" s="58"/>
      <c r="L244" s="58"/>
      <c r="M244" s="58"/>
      <c r="N244" s="58"/>
      <c r="O244" s="58"/>
      <c r="P244" s="58"/>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row>
    <row r="245" spans="1:47" x14ac:dyDescent="0.2">
      <c r="A245" s="58"/>
      <c r="B245" s="58"/>
      <c r="C245" s="58"/>
      <c r="D245" s="58"/>
      <c r="E245" s="58"/>
      <c r="F245" s="58"/>
      <c r="G245" s="58"/>
      <c r="H245" s="58"/>
      <c r="I245" s="58"/>
      <c r="J245" s="58"/>
      <c r="K245" s="58"/>
      <c r="L245" s="58"/>
      <c r="M245" s="58"/>
      <c r="N245" s="58"/>
      <c r="O245" s="58"/>
      <c r="P245" s="58"/>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row>
    <row r="246" spans="1:47" x14ac:dyDescent="0.2">
      <c r="A246" s="58"/>
      <c r="B246" s="58"/>
      <c r="C246" s="58"/>
      <c r="D246" s="58"/>
      <c r="E246" s="58"/>
      <c r="F246" s="58"/>
      <c r="G246" s="58"/>
      <c r="H246" s="58"/>
      <c r="I246" s="58"/>
      <c r="J246" s="58"/>
      <c r="K246" s="58"/>
      <c r="L246" s="58"/>
      <c r="M246" s="58"/>
      <c r="N246" s="58"/>
      <c r="O246" s="58"/>
      <c r="P246" s="58"/>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row>
    <row r="247" spans="1:47" x14ac:dyDescent="0.2">
      <c r="A247" s="58"/>
      <c r="B247" s="58"/>
      <c r="C247" s="58"/>
      <c r="D247" s="58"/>
      <c r="E247" s="58"/>
      <c r="F247" s="58"/>
      <c r="G247" s="58"/>
      <c r="H247" s="58"/>
      <c r="I247" s="58"/>
      <c r="J247" s="58"/>
      <c r="K247" s="58"/>
      <c r="L247" s="58"/>
      <c r="M247" s="58"/>
      <c r="N247" s="58"/>
      <c r="O247" s="58"/>
      <c r="P247" s="58"/>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row>
    <row r="248" spans="1:47" x14ac:dyDescent="0.2">
      <c r="A248" s="58"/>
      <c r="B248" s="58"/>
      <c r="C248" s="58"/>
      <c r="D248" s="58"/>
      <c r="E248" s="58"/>
      <c r="F248" s="58"/>
      <c r="G248" s="58"/>
      <c r="H248" s="58"/>
      <c r="I248" s="58"/>
      <c r="J248" s="58"/>
      <c r="K248" s="58"/>
      <c r="L248" s="58"/>
      <c r="M248" s="58"/>
      <c r="N248" s="58"/>
      <c r="O248" s="58"/>
      <c r="P248" s="58"/>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row>
    <row r="249" spans="1:47" x14ac:dyDescent="0.2">
      <c r="A249" s="58"/>
      <c r="B249" s="58"/>
      <c r="C249" s="58"/>
      <c r="D249" s="58"/>
      <c r="E249" s="58"/>
      <c r="F249" s="58"/>
      <c r="G249" s="58"/>
      <c r="H249" s="58"/>
      <c r="I249" s="58"/>
      <c r="J249" s="58"/>
      <c r="K249" s="58"/>
      <c r="L249" s="58"/>
      <c r="M249" s="58"/>
      <c r="N249" s="58"/>
      <c r="O249" s="58"/>
      <c r="P249" s="58"/>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row>
    <row r="250" spans="1:47" x14ac:dyDescent="0.2">
      <c r="A250" s="58"/>
      <c r="B250" s="58"/>
      <c r="C250" s="58"/>
      <c r="D250" s="58"/>
      <c r="E250" s="58"/>
      <c r="F250" s="58"/>
      <c r="G250" s="58"/>
      <c r="H250" s="58"/>
      <c r="I250" s="58"/>
      <c r="J250" s="58"/>
      <c r="K250" s="58"/>
      <c r="L250" s="58"/>
      <c r="M250" s="58"/>
      <c r="N250" s="58"/>
      <c r="O250" s="58"/>
      <c r="P250" s="58"/>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row>
    <row r="251" spans="1:47" x14ac:dyDescent="0.2">
      <c r="A251" s="58"/>
      <c r="B251" s="58"/>
      <c r="C251" s="58"/>
      <c r="D251" s="58"/>
      <c r="E251" s="58"/>
      <c r="F251" s="58"/>
      <c r="G251" s="58"/>
      <c r="H251" s="58"/>
      <c r="I251" s="58"/>
      <c r="J251" s="58"/>
      <c r="K251" s="58"/>
      <c r="L251" s="58"/>
      <c r="M251" s="58"/>
      <c r="N251" s="58"/>
      <c r="O251" s="58"/>
      <c r="P251" s="58"/>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row>
    <row r="252" spans="1:47" x14ac:dyDescent="0.2">
      <c r="A252" s="58"/>
      <c r="B252" s="58"/>
      <c r="C252" s="58"/>
      <c r="D252" s="58"/>
      <c r="E252" s="58"/>
      <c r="F252" s="58"/>
      <c r="G252" s="58"/>
      <c r="H252" s="58"/>
      <c r="I252" s="58"/>
      <c r="J252" s="58"/>
      <c r="K252" s="58"/>
      <c r="L252" s="58"/>
      <c r="M252" s="58"/>
      <c r="N252" s="58"/>
      <c r="O252" s="58"/>
      <c r="P252" s="58"/>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row>
    <row r="253" spans="1:47" x14ac:dyDescent="0.2">
      <c r="A253" s="58"/>
      <c r="B253" s="58"/>
      <c r="C253" s="58"/>
      <c r="D253" s="58"/>
      <c r="E253" s="58"/>
      <c r="F253" s="58"/>
      <c r="G253" s="58"/>
      <c r="H253" s="58"/>
      <c r="I253" s="58"/>
      <c r="J253" s="58"/>
      <c r="K253" s="58"/>
      <c r="L253" s="58"/>
      <c r="M253" s="58"/>
      <c r="N253" s="58"/>
      <c r="O253" s="58"/>
      <c r="P253" s="58"/>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row>
    <row r="254" spans="1:47" x14ac:dyDescent="0.2">
      <c r="A254" s="58"/>
      <c r="B254" s="58"/>
      <c r="C254" s="58"/>
      <c r="D254" s="58"/>
      <c r="E254" s="58"/>
      <c r="F254" s="58"/>
      <c r="G254" s="58"/>
      <c r="H254" s="58"/>
      <c r="I254" s="58"/>
      <c r="J254" s="58"/>
      <c r="K254" s="58"/>
      <c r="L254" s="58"/>
      <c r="M254" s="58"/>
      <c r="N254" s="58"/>
      <c r="O254" s="58"/>
      <c r="P254" s="58"/>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row>
    <row r="255" spans="1:47" x14ac:dyDescent="0.2">
      <c r="A255" s="58"/>
      <c r="B255" s="58"/>
      <c r="C255" s="58"/>
      <c r="D255" s="58"/>
      <c r="E255" s="58"/>
      <c r="F255" s="58"/>
      <c r="G255" s="58"/>
      <c r="H255" s="58"/>
      <c r="I255" s="58"/>
      <c r="J255" s="58"/>
      <c r="K255" s="58"/>
      <c r="L255" s="58"/>
      <c r="M255" s="58"/>
      <c r="N255" s="58"/>
      <c r="O255" s="58"/>
      <c r="P255" s="58"/>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row>
    <row r="256" spans="1:47" x14ac:dyDescent="0.2">
      <c r="A256" s="58"/>
      <c r="B256" s="58"/>
      <c r="C256" s="58"/>
      <c r="D256" s="58"/>
      <c r="E256" s="58"/>
      <c r="F256" s="58"/>
      <c r="G256" s="58"/>
      <c r="H256" s="58"/>
      <c r="I256" s="58"/>
      <c r="J256" s="58"/>
      <c r="K256" s="58"/>
      <c r="L256" s="58"/>
      <c r="M256" s="58"/>
      <c r="N256" s="58"/>
      <c r="O256" s="58"/>
      <c r="P256" s="58"/>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row>
    <row r="257" spans="1:47"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row>
    <row r="258" spans="1:47"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row>
    <row r="259" spans="1:47"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row>
    <row r="260" spans="1:47"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row>
    <row r="261" spans="1:47"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row>
    <row r="262" spans="1:47"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row>
    <row r="263" spans="1:47"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row>
    <row r="264" spans="1:47"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row>
    <row r="265" spans="1:47"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row>
    <row r="266" spans="1:47"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row>
    <row r="267" spans="1:47"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row>
    <row r="268" spans="1:47"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row>
    <row r="269" spans="1:47"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row>
    <row r="270" spans="1:47"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row>
    <row r="271" spans="1:47"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row>
    <row r="272" spans="1:47"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row>
    <row r="273" spans="1:47"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row>
    <row r="274" spans="1:47"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row>
    <row r="275" spans="1:47"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row>
    <row r="276" spans="1:47"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row>
    <row r="277" spans="1:47"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row>
    <row r="278" spans="1:47"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row>
    <row r="279" spans="1:47"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row>
    <row r="419" spans="2:28" hidden="1" x14ac:dyDescent="0.2"/>
    <row r="420" spans="2:28" hidden="1" x14ac:dyDescent="0.2">
      <c r="C420" t="s">
        <v>1354</v>
      </c>
      <c r="V420" s="137"/>
      <c r="W420" s="137"/>
      <c r="X420" s="137"/>
      <c r="Y420" s="137"/>
      <c r="Z420" s="137"/>
      <c r="AA420" s="137"/>
      <c r="AB420" s="137"/>
    </row>
    <row r="421" spans="2:28" hidden="1" x14ac:dyDescent="0.2">
      <c r="B421" s="30"/>
      <c r="C421" s="31"/>
      <c r="D421" s="31"/>
      <c r="E421" s="31"/>
      <c r="F421" s="31"/>
      <c r="G421" s="31"/>
      <c r="H421" s="31"/>
      <c r="I421" s="31"/>
      <c r="J421" s="31"/>
      <c r="K421" s="31"/>
      <c r="L421" s="31"/>
      <c r="M421" s="31"/>
      <c r="N421" s="31"/>
      <c r="O421" s="31"/>
      <c r="P421" s="31"/>
      <c r="Q421" s="31"/>
      <c r="R421" s="31"/>
      <c r="S421" s="120"/>
      <c r="V421" s="137"/>
      <c r="W421" s="137"/>
      <c r="X421" s="137"/>
      <c r="Y421" s="137"/>
      <c r="Z421" s="137"/>
      <c r="AA421" s="137"/>
      <c r="AB421" s="137"/>
    </row>
    <row r="422" spans="2:28" hidden="1" x14ac:dyDescent="0.2">
      <c r="B422" s="28"/>
      <c r="C422" s="1"/>
      <c r="D422" s="1"/>
      <c r="E422" s="1"/>
      <c r="F422" s="1"/>
      <c r="G422" s="1"/>
      <c r="H422" s="1"/>
      <c r="I422" s="1"/>
      <c r="J422" s="1"/>
      <c r="K422" s="1"/>
      <c r="L422" s="1"/>
      <c r="M422" s="1"/>
      <c r="N422" s="1"/>
      <c r="O422" s="1"/>
      <c r="P422" s="1"/>
      <c r="Q422" s="1"/>
      <c r="R422" s="1"/>
      <c r="S422" s="121"/>
      <c r="V422" s="137"/>
      <c r="W422" s="137"/>
      <c r="X422" s="137"/>
      <c r="Y422" s="137"/>
      <c r="Z422" s="137"/>
      <c r="AA422" s="137"/>
      <c r="AB422" s="137"/>
    </row>
    <row r="423" spans="2:28" hidden="1" x14ac:dyDescent="0.2">
      <c r="B423" s="28"/>
      <c r="C423" s="1"/>
      <c r="D423" s="1" t="s">
        <v>1341</v>
      </c>
      <c r="E423" s="1"/>
      <c r="F423" s="1"/>
      <c r="G423" s="1"/>
      <c r="H423" s="1"/>
      <c r="I423" s="1"/>
      <c r="J423" s="1"/>
      <c r="K423" s="1"/>
      <c r="L423" s="1"/>
      <c r="M423" s="1"/>
      <c r="N423" s="1"/>
      <c r="O423" s="1"/>
      <c r="P423" s="1"/>
      <c r="Q423" s="1"/>
      <c r="R423" s="1"/>
      <c r="S423" s="121"/>
      <c r="V423" s="137"/>
      <c r="W423" s="137"/>
      <c r="X423" s="137"/>
      <c r="Y423" s="137"/>
      <c r="Z423" s="137"/>
      <c r="AA423" s="137"/>
      <c r="AB423" s="137"/>
    </row>
    <row r="424" spans="2:28" hidden="1" x14ac:dyDescent="0.2">
      <c r="B424" s="28"/>
      <c r="C424" s="1"/>
      <c r="D424" s="1"/>
      <c r="E424" s="1"/>
      <c r="F424" s="1"/>
      <c r="G424" s="1"/>
      <c r="H424" s="1"/>
      <c r="I424" s="1"/>
      <c r="J424" s="1"/>
      <c r="K424" s="1"/>
      <c r="L424" s="1"/>
      <c r="M424" s="1"/>
      <c r="N424" s="1"/>
      <c r="O424" s="1"/>
      <c r="P424" s="1"/>
      <c r="Q424" s="1"/>
      <c r="R424" s="1"/>
      <c r="S424" s="121"/>
      <c r="V424" s="137"/>
      <c r="W424" s="137"/>
      <c r="X424" s="137"/>
      <c r="Y424" s="137"/>
      <c r="Z424" s="137"/>
      <c r="AA424" s="137"/>
      <c r="AB424" s="137"/>
    </row>
    <row r="425" spans="2:28" hidden="1" x14ac:dyDescent="0.2">
      <c r="B425" s="28"/>
      <c r="C425" s="1"/>
      <c r="D425" s="1"/>
      <c r="E425" s="1"/>
      <c r="F425" s="1"/>
      <c r="G425" s="1">
        <f>D!$N$6</f>
        <v>2013</v>
      </c>
      <c r="H425" s="1">
        <f>+G425+1</f>
        <v>2014</v>
      </c>
      <c r="I425" s="1">
        <f>+H425+1</f>
        <v>2015</v>
      </c>
      <c r="J425" s="1">
        <f>+I425+1</f>
        <v>2016</v>
      </c>
      <c r="K425" s="1">
        <f>+J425+1</f>
        <v>2017</v>
      </c>
      <c r="L425" s="1"/>
      <c r="M425" s="1"/>
      <c r="N425" s="1"/>
      <c r="O425" s="1"/>
      <c r="P425" s="1"/>
      <c r="Q425" s="1"/>
      <c r="R425" s="1"/>
      <c r="S425" s="121"/>
      <c r="V425" s="137"/>
      <c r="W425" s="137"/>
      <c r="X425" s="137"/>
      <c r="Y425" s="137"/>
      <c r="Z425" s="137"/>
      <c r="AA425" s="137"/>
      <c r="AB425" s="137"/>
    </row>
    <row r="426" spans="2:28" hidden="1" x14ac:dyDescent="0.2">
      <c r="B426" s="28"/>
      <c r="C426" s="1"/>
      <c r="D426" s="1">
        <v>1</v>
      </c>
      <c r="E426" s="1" t="s">
        <v>125</v>
      </c>
      <c r="F426" s="1"/>
      <c r="G426" s="1">
        <f>Amortizaciones!D25</f>
        <v>0</v>
      </c>
      <c r="H426" s="1">
        <f>Amortizaciones!E25</f>
        <v>0</v>
      </c>
      <c r="I426" s="1">
        <f>Amortizaciones!F25</f>
        <v>0</v>
      </c>
      <c r="J426" s="1">
        <f>Amortizaciones!G25</f>
        <v>0</v>
      </c>
      <c r="K426" s="1">
        <f>Amortizaciones!H25</f>
        <v>0</v>
      </c>
      <c r="L426" s="1" t="s">
        <v>124</v>
      </c>
      <c r="M426" s="1"/>
      <c r="N426" s="1"/>
      <c r="O426" s="1"/>
      <c r="P426" s="1"/>
      <c r="Q426" s="1"/>
      <c r="R426" s="1"/>
      <c r="S426" s="121"/>
      <c r="V426" s="137"/>
      <c r="W426" s="137"/>
      <c r="X426" s="137"/>
      <c r="Y426" s="137"/>
      <c r="Z426" s="137"/>
      <c r="AA426" s="137"/>
      <c r="AB426" s="137"/>
    </row>
    <row r="427" spans="2:28" hidden="1" x14ac:dyDescent="0.2">
      <c r="B427" s="28"/>
      <c r="C427" s="1"/>
      <c r="D427" s="1"/>
      <c r="E427" s="1"/>
      <c r="F427" s="1" t="s">
        <v>1186</v>
      </c>
      <c r="G427" s="1">
        <f>Amortizaciones!D23</f>
        <v>0</v>
      </c>
      <c r="H427" s="1">
        <f>Amortizaciones!E23</f>
        <v>0</v>
      </c>
      <c r="I427" s="1">
        <f>Amortizaciones!F23</f>
        <v>0</v>
      </c>
      <c r="J427" s="1">
        <f>Amortizaciones!G23</f>
        <v>0</v>
      </c>
      <c r="K427" s="1">
        <f>Amortizaciones!H23</f>
        <v>0</v>
      </c>
      <c r="L427" s="1"/>
      <c r="M427" s="1"/>
      <c r="N427" s="1"/>
      <c r="O427" s="1"/>
      <c r="P427" s="1"/>
      <c r="Q427" s="1"/>
      <c r="R427" s="1"/>
      <c r="S427" s="121"/>
      <c r="V427" s="137"/>
      <c r="W427" s="137"/>
      <c r="X427" s="137"/>
      <c r="Y427" s="137"/>
      <c r="Z427" s="137"/>
      <c r="AA427" s="137"/>
      <c r="AB427" s="137"/>
    </row>
    <row r="428" spans="2:28" hidden="1" x14ac:dyDescent="0.2">
      <c r="B428" s="28"/>
      <c r="C428" s="1"/>
      <c r="D428" s="1"/>
      <c r="E428" s="1"/>
      <c r="F428" s="1" t="s">
        <v>1187</v>
      </c>
      <c r="G428" s="1">
        <f>Amortizaciones!D24</f>
        <v>0</v>
      </c>
      <c r="H428" s="1">
        <f>Amortizaciones!E24</f>
        <v>0</v>
      </c>
      <c r="I428" s="1">
        <f>Amortizaciones!F24</f>
        <v>0</v>
      </c>
      <c r="J428" s="1">
        <f>Amortizaciones!G24</f>
        <v>0</v>
      </c>
      <c r="K428" s="1">
        <f>Amortizaciones!H24</f>
        <v>0</v>
      </c>
      <c r="L428" s="1"/>
      <c r="M428" s="1"/>
      <c r="N428" s="1"/>
      <c r="O428" s="1"/>
      <c r="P428" s="1"/>
      <c r="Q428" s="1"/>
      <c r="R428" s="1"/>
      <c r="S428" s="121"/>
      <c r="V428" s="137"/>
      <c r="W428" s="137"/>
      <c r="X428" s="137"/>
      <c r="Y428" s="137"/>
      <c r="Z428" s="137"/>
      <c r="AA428" s="137"/>
      <c r="AB428" s="137"/>
    </row>
    <row r="429" spans="2:28" hidden="1" x14ac:dyDescent="0.2">
      <c r="B429" s="28"/>
      <c r="C429" s="1"/>
      <c r="D429" s="1"/>
      <c r="E429" s="1"/>
      <c r="F429" s="1"/>
      <c r="G429" s="1"/>
      <c r="H429" s="1"/>
      <c r="I429" s="1"/>
      <c r="J429" s="1"/>
      <c r="K429" s="1"/>
      <c r="L429" s="1"/>
      <c r="M429" s="1"/>
      <c r="N429" s="1"/>
      <c r="O429" s="1"/>
      <c r="P429" s="1"/>
      <c r="Q429" s="1"/>
      <c r="R429" s="1"/>
      <c r="S429" s="121"/>
      <c r="V429" s="137"/>
      <c r="W429" s="137"/>
      <c r="X429" s="137"/>
      <c r="Y429" s="137"/>
      <c r="Z429" s="137"/>
      <c r="AA429" s="137"/>
      <c r="AB429" s="137"/>
    </row>
    <row r="430" spans="2:28" ht="15" hidden="1" x14ac:dyDescent="0.25">
      <c r="B430" s="28"/>
      <c r="C430" s="1"/>
      <c r="D430" s="1"/>
      <c r="E430" s="1" t="s">
        <v>1342</v>
      </c>
      <c r="F430" s="1"/>
      <c r="G430" s="1">
        <f>SUM(G431:G432)</f>
        <v>0</v>
      </c>
      <c r="H430" s="1">
        <f>SUM(H431:H432)</f>
        <v>0</v>
      </c>
      <c r="I430" s="1">
        <f>SUM(I431:I432)</f>
        <v>0</v>
      </c>
      <c r="J430" s="1">
        <f>SUM(J431:J432)</f>
        <v>0</v>
      </c>
      <c r="K430" s="1">
        <f>SUM(K431:K432)</f>
        <v>0</v>
      </c>
      <c r="L430" s="1"/>
      <c r="M430" s="1"/>
      <c r="N430" s="1"/>
      <c r="O430" s="1"/>
      <c r="P430" s="1"/>
      <c r="Q430" s="1"/>
      <c r="R430" s="1"/>
      <c r="S430" s="121"/>
      <c r="V430" s="137"/>
      <c r="W430" s="137"/>
      <c r="X430" s="137"/>
      <c r="Y430" s="137"/>
      <c r="Z430" s="137"/>
      <c r="AA430" s="137"/>
      <c r="AB430" s="137"/>
    </row>
    <row r="431" spans="2:28" hidden="1" x14ac:dyDescent="0.2">
      <c r="B431" s="28"/>
      <c r="C431" s="1"/>
      <c r="D431" s="1"/>
      <c r="E431" s="1"/>
      <c r="F431" s="1" t="s">
        <v>1186</v>
      </c>
      <c r="G431" s="1"/>
      <c r="H431" s="1"/>
      <c r="I431" s="1"/>
      <c r="J431" s="1"/>
      <c r="K431" s="1"/>
      <c r="L431" s="1" t="s">
        <v>983</v>
      </c>
      <c r="M431" s="1"/>
      <c r="N431" s="1"/>
      <c r="O431" s="1"/>
      <c r="P431" s="1"/>
      <c r="Q431" s="1"/>
      <c r="R431" s="1"/>
      <c r="S431" s="121"/>
      <c r="V431" s="137"/>
      <c r="W431" s="137"/>
      <c r="X431" s="137"/>
      <c r="Y431" s="137"/>
      <c r="Z431" s="137"/>
      <c r="AA431" s="137"/>
      <c r="AB431" s="137"/>
    </row>
    <row r="432" spans="2:28" hidden="1" x14ac:dyDescent="0.2">
      <c r="B432" s="28"/>
      <c r="C432" s="1"/>
      <c r="D432" s="1"/>
      <c r="E432" s="1"/>
      <c r="F432" s="1" t="s">
        <v>1187</v>
      </c>
      <c r="G432" s="1"/>
      <c r="H432" s="1"/>
      <c r="I432" s="1"/>
      <c r="J432" s="1"/>
      <c r="K432" s="1"/>
      <c r="L432" s="1"/>
      <c r="M432" s="1"/>
      <c r="N432" s="1"/>
      <c r="O432" s="1"/>
      <c r="P432" s="1"/>
      <c r="Q432" s="1"/>
      <c r="R432" s="1"/>
      <c r="S432" s="121"/>
      <c r="V432" s="137"/>
      <c r="W432" s="137"/>
      <c r="X432" s="137"/>
      <c r="Y432" s="137"/>
      <c r="Z432" s="137"/>
      <c r="AA432" s="137"/>
      <c r="AB432" s="137"/>
    </row>
    <row r="433" spans="2:28" hidden="1" x14ac:dyDescent="0.2">
      <c r="B433" s="28"/>
      <c r="C433" s="1"/>
      <c r="D433" s="1"/>
      <c r="E433" s="1"/>
      <c r="F433" s="1"/>
      <c r="G433" s="1"/>
      <c r="H433" s="1"/>
      <c r="I433" s="1"/>
      <c r="J433" s="1"/>
      <c r="K433" s="1"/>
      <c r="L433" s="1"/>
      <c r="M433" s="1"/>
      <c r="N433" s="1"/>
      <c r="O433" s="1"/>
      <c r="P433" s="1"/>
      <c r="Q433" s="1"/>
      <c r="R433" s="1"/>
      <c r="S433" s="121"/>
      <c r="V433" s="137"/>
      <c r="W433" s="137"/>
      <c r="X433" s="137"/>
      <c r="Y433" s="137"/>
      <c r="Z433" s="137"/>
      <c r="AA433" s="137"/>
      <c r="AB433" s="137"/>
    </row>
    <row r="434" spans="2:28" hidden="1" x14ac:dyDescent="0.2">
      <c r="B434" s="28"/>
      <c r="C434" s="1"/>
      <c r="D434" s="1"/>
      <c r="E434" s="1"/>
      <c r="F434" s="1" t="s">
        <v>1322</v>
      </c>
      <c r="G434" s="1">
        <f>IF(G432+G431=0,G426,G432+G431)</f>
        <v>0</v>
      </c>
      <c r="H434" s="1">
        <f>IF(H432+H431=0,H426,H432+H431)</f>
        <v>0</v>
      </c>
      <c r="I434" s="1">
        <f>IF(I432+I431=0,I426,I432+I431)</f>
        <v>0</v>
      </c>
      <c r="J434" s="1">
        <f>IF(J432+J431=0,J426,J432+J431)</f>
        <v>0</v>
      </c>
      <c r="K434" s="1">
        <f>IF(K432+K431=0,K426,K432+K431)</f>
        <v>0</v>
      </c>
      <c r="L434" s="1"/>
      <c r="M434" s="1"/>
      <c r="N434" s="1"/>
      <c r="O434" s="1"/>
      <c r="P434" s="1"/>
      <c r="Q434" s="1"/>
      <c r="R434" s="1"/>
      <c r="S434" s="121"/>
      <c r="V434" s="137"/>
      <c r="W434" s="137"/>
      <c r="X434" s="137"/>
      <c r="Y434" s="137"/>
      <c r="Z434" s="137"/>
      <c r="AA434" s="137"/>
      <c r="AB434" s="137"/>
    </row>
    <row r="435" spans="2:28" hidden="1" x14ac:dyDescent="0.2">
      <c r="B435" s="28"/>
      <c r="C435" s="1"/>
      <c r="D435" s="1"/>
      <c r="E435" s="1"/>
      <c r="F435" s="1"/>
      <c r="G435" s="1"/>
      <c r="H435" s="1"/>
      <c r="I435" s="1"/>
      <c r="J435" s="1"/>
      <c r="K435" s="1"/>
      <c r="L435" s="1"/>
      <c r="M435" s="1"/>
      <c r="N435" s="1"/>
      <c r="O435" s="1"/>
      <c r="P435" s="1"/>
      <c r="Q435" s="1"/>
      <c r="R435" s="1"/>
      <c r="S435" s="121"/>
      <c r="V435" s="137"/>
      <c r="W435" s="137"/>
      <c r="X435" s="137"/>
      <c r="Y435" s="137"/>
      <c r="Z435" s="137"/>
      <c r="AA435" s="137"/>
      <c r="AB435" s="137"/>
    </row>
    <row r="436" spans="2:28" hidden="1" x14ac:dyDescent="0.2">
      <c r="B436" s="28"/>
      <c r="C436" s="1"/>
      <c r="D436" s="1">
        <v>2</v>
      </c>
      <c r="E436" s="1" t="s">
        <v>984</v>
      </c>
      <c r="F436" s="1"/>
      <c r="G436" s="1">
        <f>Amortizaciones!D9</f>
        <v>0</v>
      </c>
      <c r="H436" s="1">
        <f>Amortizaciones!E9</f>
        <v>0</v>
      </c>
      <c r="I436" s="1">
        <f>Amortizaciones!F9</f>
        <v>0</v>
      </c>
      <c r="J436" s="1">
        <f>Amortizaciones!G9</f>
        <v>0</v>
      </c>
      <c r="K436" s="1">
        <f>Amortizaciones!H9</f>
        <v>0</v>
      </c>
      <c r="L436" s="1">
        <f>Amortizaciones!I9</f>
        <v>0</v>
      </c>
      <c r="M436" s="1">
        <f>Amortizaciones!J9</f>
        <v>0</v>
      </c>
      <c r="N436" s="1">
        <f>Amortizaciones!K9</f>
        <v>0</v>
      </c>
      <c r="O436" s="1">
        <f>Amortizaciones!L9</f>
        <v>0</v>
      </c>
      <c r="P436" s="1">
        <f>Amortizaciones!M9</f>
        <v>0</v>
      </c>
      <c r="Q436" s="1">
        <f>Amortizaciones!N9</f>
        <v>0</v>
      </c>
      <c r="R436" s="1">
        <f>Amortizaciones!O9</f>
        <v>0</v>
      </c>
      <c r="S436" s="121"/>
      <c r="V436" s="137"/>
      <c r="W436" s="137"/>
      <c r="X436" s="137"/>
      <c r="Y436" s="137"/>
      <c r="Z436" s="137"/>
      <c r="AA436" s="137"/>
      <c r="AB436" s="137"/>
    </row>
    <row r="437" spans="2:28" hidden="1" x14ac:dyDescent="0.2">
      <c r="B437" s="28"/>
      <c r="C437" s="1"/>
      <c r="D437" s="1"/>
      <c r="E437" s="1"/>
      <c r="F437" s="1" t="s">
        <v>1186</v>
      </c>
      <c r="G437" s="1">
        <f>Amortizaciones!D7</f>
        <v>0</v>
      </c>
      <c r="H437" s="1">
        <f>Amortizaciones!E7</f>
        <v>0</v>
      </c>
      <c r="I437" s="1">
        <f>Amortizaciones!F7</f>
        <v>0</v>
      </c>
      <c r="J437" s="1">
        <f>Amortizaciones!G7</f>
        <v>0</v>
      </c>
      <c r="K437" s="1">
        <f>Amortizaciones!H7</f>
        <v>0</v>
      </c>
      <c r="L437" s="1">
        <f>Amortizaciones!I7</f>
        <v>0</v>
      </c>
      <c r="M437" s="1">
        <f>Amortizaciones!J7</f>
        <v>0</v>
      </c>
      <c r="N437" s="1">
        <f>Amortizaciones!K7</f>
        <v>0</v>
      </c>
      <c r="O437" s="1">
        <f>Amortizaciones!L7</f>
        <v>0</v>
      </c>
      <c r="P437" s="1">
        <f>Amortizaciones!M7</f>
        <v>0</v>
      </c>
      <c r="Q437" s="1">
        <f>Amortizaciones!N7</f>
        <v>0</v>
      </c>
      <c r="R437" s="1">
        <f>Amortizaciones!O7</f>
        <v>0</v>
      </c>
      <c r="S437" s="121"/>
      <c r="V437" s="137"/>
      <c r="W437" s="137"/>
      <c r="X437" s="137"/>
      <c r="Y437" s="137"/>
      <c r="Z437" s="137"/>
      <c r="AA437" s="137"/>
      <c r="AB437" s="137"/>
    </row>
    <row r="438" spans="2:28" hidden="1" x14ac:dyDescent="0.2">
      <c r="B438" s="28"/>
      <c r="C438" s="1"/>
      <c r="D438" s="1"/>
      <c r="E438" s="1"/>
      <c r="F438" s="1" t="s">
        <v>1187</v>
      </c>
      <c r="G438" s="1">
        <f>Amortizaciones!D8</f>
        <v>0</v>
      </c>
      <c r="H438" s="1">
        <f>Amortizaciones!E8</f>
        <v>0</v>
      </c>
      <c r="I438" s="1">
        <f>Amortizaciones!F8</f>
        <v>0</v>
      </c>
      <c r="J438" s="1">
        <f>Amortizaciones!G8</f>
        <v>0</v>
      </c>
      <c r="K438" s="1">
        <f>Amortizaciones!H8</f>
        <v>0</v>
      </c>
      <c r="L438" s="1">
        <f>Amortizaciones!I8</f>
        <v>0</v>
      </c>
      <c r="M438" s="1">
        <f>Amortizaciones!J8</f>
        <v>0</v>
      </c>
      <c r="N438" s="1">
        <f>Amortizaciones!K8</f>
        <v>0</v>
      </c>
      <c r="O438" s="1">
        <f>Amortizaciones!L8</f>
        <v>0</v>
      </c>
      <c r="P438" s="1">
        <f>Amortizaciones!M8</f>
        <v>0</v>
      </c>
      <c r="Q438" s="1">
        <f>Amortizaciones!N8</f>
        <v>0</v>
      </c>
      <c r="R438" s="1">
        <f>Amortizaciones!O8</f>
        <v>0</v>
      </c>
      <c r="S438" s="121"/>
      <c r="V438" s="137"/>
      <c r="W438" s="137"/>
      <c r="X438" s="137"/>
      <c r="Y438" s="137"/>
      <c r="Z438" s="137"/>
      <c r="AA438" s="137"/>
      <c r="AB438" s="137"/>
    </row>
    <row r="439" spans="2:28" hidden="1" x14ac:dyDescent="0.2">
      <c r="B439" s="28"/>
      <c r="C439" s="1"/>
      <c r="D439" s="1"/>
      <c r="E439" s="1"/>
      <c r="F439" s="1"/>
      <c r="G439" s="1"/>
      <c r="H439" s="1"/>
      <c r="I439" s="1"/>
      <c r="J439" s="1"/>
      <c r="K439" s="1"/>
      <c r="L439" s="1"/>
      <c r="M439" s="1"/>
      <c r="N439" s="1"/>
      <c r="O439" s="1"/>
      <c r="P439" s="1"/>
      <c r="Q439" s="1"/>
      <c r="R439" s="1"/>
      <c r="S439" s="121"/>
      <c r="V439" s="137"/>
      <c r="W439" s="137"/>
      <c r="X439" s="137"/>
      <c r="Y439" s="137"/>
      <c r="Z439" s="137"/>
      <c r="AA439" s="137"/>
      <c r="AB439" s="137"/>
    </row>
    <row r="440" spans="2:28" ht="15" hidden="1" x14ac:dyDescent="0.25">
      <c r="B440" s="28"/>
      <c r="C440" s="1"/>
      <c r="D440" s="1"/>
      <c r="E440" s="1" t="s">
        <v>1342</v>
      </c>
      <c r="F440" s="1"/>
      <c r="G440" s="1">
        <f t="shared" ref="G440:R440" si="3">SUM(G441:G442)</f>
        <v>0</v>
      </c>
      <c r="H440" s="1">
        <f t="shared" si="3"/>
        <v>0</v>
      </c>
      <c r="I440" s="1">
        <f t="shared" si="3"/>
        <v>0</v>
      </c>
      <c r="J440" s="1">
        <f t="shared" si="3"/>
        <v>0</v>
      </c>
      <c r="K440" s="1">
        <f t="shared" si="3"/>
        <v>0</v>
      </c>
      <c r="L440" s="1">
        <f t="shared" si="3"/>
        <v>0</v>
      </c>
      <c r="M440" s="1">
        <f t="shared" si="3"/>
        <v>0</v>
      </c>
      <c r="N440" s="1">
        <f t="shared" si="3"/>
        <v>0</v>
      </c>
      <c r="O440" s="1">
        <f t="shared" si="3"/>
        <v>0</v>
      </c>
      <c r="P440" s="1">
        <f t="shared" si="3"/>
        <v>0</v>
      </c>
      <c r="Q440" s="1">
        <f t="shared" si="3"/>
        <v>0</v>
      </c>
      <c r="R440" s="1">
        <f t="shared" si="3"/>
        <v>0</v>
      </c>
      <c r="S440" s="121"/>
      <c r="V440" s="137"/>
      <c r="W440" s="137"/>
      <c r="X440" s="137"/>
      <c r="Y440" s="137"/>
      <c r="Z440" s="137"/>
      <c r="AA440" s="137"/>
      <c r="AB440" s="137"/>
    </row>
    <row r="441" spans="2:28" hidden="1" x14ac:dyDescent="0.2">
      <c r="B441" s="28"/>
      <c r="C441" s="1"/>
      <c r="D441" s="1"/>
      <c r="E441" s="1"/>
      <c r="F441" s="1" t="s">
        <v>1186</v>
      </c>
      <c r="G441" s="1"/>
      <c r="H441" s="1"/>
      <c r="I441" s="1"/>
      <c r="J441" s="1"/>
      <c r="K441" s="1"/>
      <c r="L441" s="1"/>
      <c r="M441" s="1"/>
      <c r="N441" s="1"/>
      <c r="O441" s="1"/>
      <c r="P441" s="1"/>
      <c r="Q441" s="1"/>
      <c r="R441" s="1"/>
      <c r="S441" s="121"/>
      <c r="V441" s="137"/>
      <c r="W441" s="137"/>
      <c r="X441" s="137"/>
      <c r="Y441" s="137"/>
      <c r="Z441" s="137"/>
      <c r="AA441" s="137"/>
      <c r="AB441" s="137"/>
    </row>
    <row r="442" spans="2:28" hidden="1" x14ac:dyDescent="0.2">
      <c r="B442" s="28"/>
      <c r="C442" s="1"/>
      <c r="D442" s="1"/>
      <c r="E442" s="1"/>
      <c r="F442" s="1" t="s">
        <v>1187</v>
      </c>
      <c r="G442" s="1"/>
      <c r="H442" s="1"/>
      <c r="I442" s="1"/>
      <c r="J442" s="1"/>
      <c r="K442" s="1"/>
      <c r="L442" s="1"/>
      <c r="M442" s="1"/>
      <c r="N442" s="1"/>
      <c r="O442" s="1"/>
      <c r="P442" s="1"/>
      <c r="Q442" s="1"/>
      <c r="R442" s="1"/>
      <c r="S442" s="121"/>
      <c r="V442" s="137"/>
      <c r="W442" s="137"/>
      <c r="X442" s="137"/>
      <c r="Y442" s="137"/>
      <c r="Z442" s="137"/>
      <c r="AA442" s="137"/>
      <c r="AB442" s="137"/>
    </row>
    <row r="443" spans="2:28" hidden="1" x14ac:dyDescent="0.2">
      <c r="B443" s="28"/>
      <c r="C443" s="1"/>
      <c r="D443" s="1"/>
      <c r="E443" s="1"/>
      <c r="F443" s="1"/>
      <c r="G443" s="1"/>
      <c r="H443" s="1"/>
      <c r="I443" s="1"/>
      <c r="J443" s="1"/>
      <c r="K443" s="1"/>
      <c r="L443" s="1"/>
      <c r="M443" s="1"/>
      <c r="N443" s="1"/>
      <c r="O443" s="1"/>
      <c r="P443" s="1"/>
      <c r="Q443" s="1"/>
      <c r="R443" s="1"/>
      <c r="S443" s="121"/>
      <c r="V443" s="137"/>
      <c r="W443" s="137"/>
      <c r="X443" s="137"/>
      <c r="Y443" s="137"/>
      <c r="Z443" s="137"/>
      <c r="AA443" s="137"/>
      <c r="AB443" s="137"/>
    </row>
    <row r="444" spans="2:28" hidden="1" x14ac:dyDescent="0.2">
      <c r="B444" s="28"/>
      <c r="C444" s="1"/>
      <c r="D444" s="1"/>
      <c r="E444" s="1"/>
      <c r="F444" s="1" t="s">
        <v>1322</v>
      </c>
      <c r="G444" s="1">
        <f t="shared" ref="G444:R444" si="4">IF(G442+G441=0,G436,G442+G441)</f>
        <v>0</v>
      </c>
      <c r="H444" s="1">
        <f t="shared" si="4"/>
        <v>0</v>
      </c>
      <c r="I444" s="1">
        <f t="shared" si="4"/>
        <v>0</v>
      </c>
      <c r="J444" s="1">
        <f t="shared" si="4"/>
        <v>0</v>
      </c>
      <c r="K444" s="1">
        <f t="shared" si="4"/>
        <v>0</v>
      </c>
      <c r="L444" s="1">
        <f t="shared" si="4"/>
        <v>0</v>
      </c>
      <c r="M444" s="1">
        <f t="shared" si="4"/>
        <v>0</v>
      </c>
      <c r="N444" s="1">
        <f t="shared" si="4"/>
        <v>0</v>
      </c>
      <c r="O444" s="1">
        <f t="shared" si="4"/>
        <v>0</v>
      </c>
      <c r="P444" s="1">
        <f t="shared" si="4"/>
        <v>0</v>
      </c>
      <c r="Q444" s="1">
        <f t="shared" si="4"/>
        <v>0</v>
      </c>
      <c r="R444" s="1">
        <f t="shared" si="4"/>
        <v>0</v>
      </c>
      <c r="S444" s="121"/>
      <c r="V444" s="137"/>
      <c r="W444" s="137"/>
      <c r="X444" s="137"/>
      <c r="Y444" s="137"/>
      <c r="Z444" s="137"/>
      <c r="AA444" s="137"/>
      <c r="AB444" s="137"/>
    </row>
    <row r="445" spans="2:28" hidden="1" x14ac:dyDescent="0.2">
      <c r="B445" s="28"/>
      <c r="C445" s="1"/>
      <c r="D445" s="1"/>
      <c r="E445" s="1"/>
      <c r="F445" s="1"/>
      <c r="G445" s="1"/>
      <c r="H445" s="1"/>
      <c r="I445" s="1"/>
      <c r="J445" s="1"/>
      <c r="K445" s="1"/>
      <c r="L445" s="1"/>
      <c r="M445" s="1"/>
      <c r="N445" s="1"/>
      <c r="O445" s="1"/>
      <c r="P445" s="1"/>
      <c r="Q445" s="1"/>
      <c r="R445" s="1"/>
      <c r="S445" s="121"/>
      <c r="V445" s="137"/>
      <c r="W445" s="137"/>
      <c r="X445" s="137"/>
      <c r="Y445" s="137"/>
      <c r="Z445" s="137"/>
      <c r="AA445" s="137"/>
      <c r="AB445" s="137"/>
    </row>
    <row r="446" spans="2:28" hidden="1" x14ac:dyDescent="0.2">
      <c r="B446" s="28"/>
      <c r="C446" s="1"/>
      <c r="D446" s="1" t="s">
        <v>1298</v>
      </c>
      <c r="E446" s="1"/>
      <c r="F446" s="1"/>
      <c r="G446" s="1"/>
      <c r="H446" s="1"/>
      <c r="I446" s="1"/>
      <c r="J446" s="1"/>
      <c r="K446" s="1"/>
      <c r="L446" s="1"/>
      <c r="M446" s="1"/>
      <c r="N446" s="1"/>
      <c r="O446" s="1"/>
      <c r="P446" s="1"/>
      <c r="Q446" s="1"/>
      <c r="R446" s="1"/>
      <c r="S446" s="121"/>
      <c r="V446" s="137"/>
      <c r="W446" s="137"/>
      <c r="X446" s="137"/>
      <c r="Y446" s="137"/>
      <c r="Z446" s="137"/>
      <c r="AA446" s="137"/>
      <c r="AB446" s="137"/>
    </row>
    <row r="447" spans="2:28" hidden="1" x14ac:dyDescent="0.2">
      <c r="B447" s="28"/>
      <c r="C447" s="1"/>
      <c r="D447" s="1"/>
      <c r="E447" s="1"/>
      <c r="F447" s="1"/>
      <c r="G447" s="1"/>
      <c r="H447" s="1"/>
      <c r="I447" s="1"/>
      <c r="J447" s="1"/>
      <c r="K447" s="1"/>
      <c r="L447" s="1"/>
      <c r="M447" s="1"/>
      <c r="N447" s="1"/>
      <c r="O447" s="1"/>
      <c r="P447" s="1"/>
      <c r="Q447" s="1"/>
      <c r="R447" s="1"/>
      <c r="S447" s="121"/>
      <c r="V447" s="137"/>
      <c r="W447" s="137"/>
      <c r="X447" s="137"/>
      <c r="Y447" s="137"/>
      <c r="Z447" s="137"/>
      <c r="AA447" s="137"/>
      <c r="AB447" s="137"/>
    </row>
    <row r="448" spans="2:28" hidden="1" x14ac:dyDescent="0.2">
      <c r="B448" s="28"/>
      <c r="C448" s="1"/>
      <c r="D448" s="1">
        <v>1</v>
      </c>
      <c r="E448" s="1" t="s">
        <v>1536</v>
      </c>
      <c r="F448" s="1"/>
      <c r="G448" s="1" t="s">
        <v>284</v>
      </c>
      <c r="H448" s="1" t="s">
        <v>285</v>
      </c>
      <c r="I448" s="1" t="s">
        <v>286</v>
      </c>
      <c r="J448" s="1"/>
      <c r="K448" s="1"/>
      <c r="L448" s="1"/>
      <c r="M448" s="1"/>
      <c r="N448" s="1"/>
      <c r="O448" s="1"/>
      <c r="P448" s="1"/>
      <c r="Q448" s="1"/>
      <c r="R448" s="1"/>
      <c r="S448" s="121"/>
      <c r="V448" s="137"/>
      <c r="W448" s="137"/>
      <c r="X448" s="137"/>
      <c r="Y448" s="137"/>
      <c r="Z448" s="137"/>
      <c r="AA448" s="137"/>
      <c r="AB448" s="137"/>
    </row>
    <row r="449" spans="2:28" hidden="1" x14ac:dyDescent="0.2">
      <c r="B449" s="28"/>
      <c r="C449" s="1"/>
      <c r="D449" s="1"/>
      <c r="E449" s="1"/>
      <c r="F449" s="1" t="s">
        <v>985</v>
      </c>
      <c r="G449" s="1">
        <f>D!$J$26</f>
        <v>0.21</v>
      </c>
      <c r="H449" s="1"/>
      <c r="I449" s="1">
        <f>IF(H449="",G449,H449)</f>
        <v>0.21</v>
      </c>
      <c r="J449" s="1"/>
      <c r="K449" s="1"/>
      <c r="L449" s="1"/>
      <c r="M449" s="1"/>
      <c r="N449" s="1"/>
      <c r="O449" s="1"/>
      <c r="P449" s="1"/>
      <c r="Q449" s="1"/>
      <c r="R449" s="1"/>
      <c r="S449" s="121"/>
      <c r="V449" s="137"/>
      <c r="W449" s="137"/>
      <c r="X449" s="137"/>
      <c r="Y449" s="137"/>
      <c r="Z449" s="137"/>
      <c r="AA449" s="137"/>
      <c r="AB449" s="137"/>
    </row>
    <row r="450" spans="2:28" hidden="1" x14ac:dyDescent="0.2">
      <c r="B450" s="28"/>
      <c r="C450" s="1"/>
      <c r="D450" s="1"/>
      <c r="E450" s="1"/>
      <c r="F450" s="1" t="s">
        <v>986</v>
      </c>
      <c r="G450" s="1">
        <f>D!$J$26</f>
        <v>0.21</v>
      </c>
      <c r="H450" s="1"/>
      <c r="I450" s="1">
        <f>IF(H450="",G450,H450)</f>
        <v>0.21</v>
      </c>
      <c r="J450" s="1"/>
      <c r="K450" s="1"/>
      <c r="L450" s="1"/>
      <c r="M450" s="1"/>
      <c r="N450" s="1"/>
      <c r="O450" s="1"/>
      <c r="P450" s="1"/>
      <c r="Q450" s="1"/>
      <c r="R450" s="1"/>
      <c r="S450" s="121"/>
      <c r="V450" s="137"/>
      <c r="W450" s="137"/>
      <c r="X450" s="137"/>
      <c r="Y450" s="137"/>
      <c r="Z450" s="137"/>
      <c r="AA450" s="137"/>
      <c r="AB450" s="137"/>
    </row>
    <row r="451" spans="2:28" hidden="1" x14ac:dyDescent="0.2">
      <c r="B451" s="28"/>
      <c r="C451" s="1"/>
      <c r="D451" s="1"/>
      <c r="E451" s="1"/>
      <c r="F451" s="1" t="s">
        <v>987</v>
      </c>
      <c r="G451" s="1">
        <f>D!$J$26</f>
        <v>0.21</v>
      </c>
      <c r="H451" s="1"/>
      <c r="I451" s="1">
        <f>IF(H451="",G451,H451)</f>
        <v>0.21</v>
      </c>
      <c r="J451" s="1"/>
      <c r="K451" s="1"/>
      <c r="L451" s="1"/>
      <c r="M451" s="1"/>
      <c r="N451" s="1"/>
      <c r="O451" s="1"/>
      <c r="P451" s="1"/>
      <c r="Q451" s="1"/>
      <c r="R451" s="1"/>
      <c r="S451" s="121"/>
      <c r="V451" s="137"/>
      <c r="W451" s="137"/>
      <c r="X451" s="137"/>
      <c r="Y451" s="137"/>
      <c r="Z451" s="137"/>
      <c r="AA451" s="137"/>
      <c r="AB451" s="137"/>
    </row>
    <row r="452" spans="2:28" hidden="1" x14ac:dyDescent="0.2">
      <c r="B452" s="28"/>
      <c r="C452" s="1"/>
      <c r="D452" s="1"/>
      <c r="E452" s="1"/>
      <c r="F452" s="1"/>
      <c r="G452" s="1"/>
      <c r="H452" s="1"/>
      <c r="I452" s="1"/>
      <c r="J452" s="1"/>
      <c r="K452" s="1"/>
      <c r="L452" s="1"/>
      <c r="M452" s="1"/>
      <c r="N452" s="1"/>
      <c r="O452" s="1"/>
      <c r="P452" s="1"/>
      <c r="Q452" s="1"/>
      <c r="R452" s="1"/>
      <c r="S452" s="121"/>
      <c r="V452" s="137"/>
      <c r="W452" s="137"/>
      <c r="X452" s="137"/>
      <c r="Y452" s="137"/>
      <c r="Z452" s="137"/>
      <c r="AA452" s="137"/>
      <c r="AB452" s="137"/>
    </row>
    <row r="453" spans="2:28" hidden="1" x14ac:dyDescent="0.2">
      <c r="B453" s="28"/>
      <c r="C453" s="1"/>
      <c r="D453" s="1">
        <v>2</v>
      </c>
      <c r="E453" s="1" t="s">
        <v>1295</v>
      </c>
      <c r="F453" s="1"/>
      <c r="G453" s="1" t="s">
        <v>284</v>
      </c>
      <c r="H453" s="1" t="s">
        <v>285</v>
      </c>
      <c r="I453" s="1" t="s">
        <v>286</v>
      </c>
      <c r="J453" s="1"/>
      <c r="K453" s="1"/>
      <c r="L453" s="1"/>
      <c r="M453" s="1"/>
      <c r="N453" s="1"/>
      <c r="O453" s="1"/>
      <c r="P453" s="1"/>
      <c r="Q453" s="1"/>
      <c r="R453" s="1"/>
      <c r="S453" s="121"/>
      <c r="V453" s="137"/>
      <c r="W453" s="137"/>
      <c r="X453" s="137"/>
      <c r="Y453" s="137"/>
      <c r="Z453" s="137"/>
      <c r="AA453" s="137"/>
      <c r="AB453" s="137"/>
    </row>
    <row r="454" spans="2:28" hidden="1" x14ac:dyDescent="0.2">
      <c r="B454" s="28"/>
      <c r="C454" s="1"/>
      <c r="D454" s="1"/>
      <c r="E454" s="1"/>
      <c r="F454" s="1"/>
      <c r="G454" s="1"/>
      <c r="H454" s="1"/>
      <c r="I454" s="1"/>
      <c r="J454" s="1"/>
      <c r="K454" s="1"/>
      <c r="L454" s="1"/>
      <c r="M454" s="1"/>
      <c r="N454" s="1"/>
      <c r="O454" s="1"/>
      <c r="P454" s="1"/>
      <c r="Q454" s="1"/>
      <c r="R454" s="1"/>
      <c r="S454" s="121"/>
      <c r="V454" s="137"/>
      <c r="W454" s="137"/>
      <c r="X454" s="137"/>
      <c r="Y454" s="137"/>
      <c r="Z454" s="137"/>
      <c r="AA454" s="137"/>
      <c r="AB454" s="137"/>
    </row>
    <row r="455" spans="2:28" ht="14.25" hidden="1" x14ac:dyDescent="0.2">
      <c r="B455" s="28"/>
      <c r="C455" s="1"/>
      <c r="D455" s="1"/>
      <c r="E455" s="1"/>
      <c r="F455" s="1" t="s">
        <v>1343</v>
      </c>
      <c r="G455" s="1">
        <f>D!$J$27</f>
        <v>0.21</v>
      </c>
      <c r="H455" s="1"/>
      <c r="I455" s="1">
        <f>IF(H455="",G455,H455)</f>
        <v>0.21</v>
      </c>
      <c r="J455" s="1" t="s">
        <v>1292</v>
      </c>
      <c r="K455" s="1"/>
      <c r="L455" s="1"/>
      <c r="M455" s="1"/>
      <c r="N455" s="1"/>
      <c r="O455" s="1"/>
      <c r="P455" s="1"/>
      <c r="Q455" s="1"/>
      <c r="R455" s="1"/>
      <c r="S455" s="121"/>
      <c r="V455" s="137"/>
      <c r="W455" s="137"/>
      <c r="X455" s="137"/>
      <c r="Y455" s="137"/>
      <c r="Z455" s="137"/>
      <c r="AA455" s="137"/>
      <c r="AB455" s="137"/>
    </row>
    <row r="456" spans="2:28" hidden="1" x14ac:dyDescent="0.2">
      <c r="B456" s="28"/>
      <c r="C456" s="1"/>
      <c r="D456" s="1"/>
      <c r="E456" s="1"/>
      <c r="F456" s="1"/>
      <c r="G456" s="1"/>
      <c r="H456" s="1"/>
      <c r="I456" s="1"/>
      <c r="J456" s="1"/>
      <c r="K456" s="1"/>
      <c r="L456" s="1"/>
      <c r="M456" s="1"/>
      <c r="N456" s="1"/>
      <c r="O456" s="1"/>
      <c r="P456" s="1"/>
      <c r="Q456" s="1"/>
      <c r="R456" s="1"/>
      <c r="S456" s="121"/>
      <c r="V456" s="137"/>
      <c r="W456" s="137"/>
      <c r="X456" s="137"/>
      <c r="Y456" s="137"/>
      <c r="Z456" s="137"/>
      <c r="AA456" s="137"/>
      <c r="AB456" s="137"/>
    </row>
    <row r="457" spans="2:28" hidden="1" x14ac:dyDescent="0.2">
      <c r="B457" s="28"/>
      <c r="C457" s="1"/>
      <c r="D457" s="1">
        <v>3</v>
      </c>
      <c r="E457" s="1" t="s">
        <v>1294</v>
      </c>
      <c r="F457" s="1"/>
      <c r="G457" s="1" t="s">
        <v>284</v>
      </c>
      <c r="H457" s="1" t="s">
        <v>285</v>
      </c>
      <c r="I457" s="1" t="s">
        <v>286</v>
      </c>
      <c r="J457" s="1" t="s">
        <v>1296</v>
      </c>
      <c r="K457" s="1"/>
      <c r="L457" s="1"/>
      <c r="M457" s="1"/>
      <c r="N457" s="1"/>
      <c r="O457" s="1"/>
      <c r="P457" s="1"/>
      <c r="Q457" s="1"/>
      <c r="R457" s="1"/>
      <c r="S457" s="121"/>
      <c r="V457" s="137"/>
      <c r="W457" s="137"/>
      <c r="X457" s="137"/>
      <c r="Y457" s="137"/>
      <c r="Z457" s="137"/>
      <c r="AA457" s="137"/>
      <c r="AB457" s="137"/>
    </row>
    <row r="458" spans="2:28" hidden="1" x14ac:dyDescent="0.2">
      <c r="B458" s="28"/>
      <c r="C458" s="1"/>
      <c r="D458" s="1"/>
      <c r="E458" s="1"/>
      <c r="F458" s="1"/>
      <c r="G458" s="1"/>
      <c r="H458" s="1"/>
      <c r="I458" s="1"/>
      <c r="J458" s="1"/>
      <c r="K458" s="1"/>
      <c r="L458" s="1"/>
      <c r="M458" s="1"/>
      <c r="N458" s="1"/>
      <c r="O458" s="1"/>
      <c r="P458" s="1"/>
      <c r="Q458" s="1"/>
      <c r="R458" s="1"/>
      <c r="S458" s="121"/>
      <c r="V458" s="137"/>
      <c r="W458" s="137"/>
      <c r="X458" s="137"/>
      <c r="Y458" s="137"/>
      <c r="Z458" s="137"/>
      <c r="AA458" s="137"/>
      <c r="AB458" s="137"/>
    </row>
    <row r="459" spans="2:28" ht="15" hidden="1" x14ac:dyDescent="0.2">
      <c r="B459" s="28"/>
      <c r="C459" s="1"/>
      <c r="D459" s="1"/>
      <c r="E459" s="1" t="s">
        <v>1344</v>
      </c>
      <c r="F459" s="1"/>
      <c r="G459" s="1">
        <f>$I$455</f>
        <v>0.21</v>
      </c>
      <c r="H459" s="1"/>
      <c r="I459" s="1">
        <f>IF(H459="",G459,H459)</f>
        <v>0.21</v>
      </c>
      <c r="J459" s="1"/>
      <c r="K459" s="1"/>
      <c r="L459" s="1"/>
      <c r="M459" s="1"/>
      <c r="N459" s="1"/>
      <c r="O459" s="1"/>
      <c r="P459" s="1"/>
      <c r="Q459" s="1"/>
      <c r="R459" s="1"/>
      <c r="S459" s="121"/>
      <c r="V459" s="137"/>
      <c r="W459" s="137"/>
      <c r="X459" s="137"/>
      <c r="Y459" s="137"/>
      <c r="Z459" s="137"/>
      <c r="AA459" s="137"/>
      <c r="AB459" s="137"/>
    </row>
    <row r="460" spans="2:28" hidden="1" x14ac:dyDescent="0.2">
      <c r="B460" s="28"/>
      <c r="C460" s="1"/>
      <c r="D460" s="1"/>
      <c r="E460" s="1"/>
      <c r="F460" s="1"/>
      <c r="G460" s="1"/>
      <c r="H460" s="1"/>
      <c r="I460" s="1"/>
      <c r="J460" s="1"/>
      <c r="K460" s="1"/>
      <c r="L460" s="1"/>
      <c r="M460" s="1"/>
      <c r="N460" s="1"/>
      <c r="O460" s="1"/>
      <c r="P460" s="1"/>
      <c r="Q460" s="1"/>
      <c r="R460" s="1"/>
      <c r="S460" s="121"/>
      <c r="V460" s="137"/>
      <c r="W460" s="137"/>
      <c r="X460" s="137"/>
      <c r="Y460" s="137"/>
      <c r="Z460" s="137"/>
      <c r="AA460" s="137"/>
      <c r="AB460" s="137"/>
    </row>
    <row r="461" spans="2:28" ht="14.25" hidden="1" x14ac:dyDescent="0.2">
      <c r="B461" s="28"/>
      <c r="C461" s="1"/>
      <c r="D461" s="1"/>
      <c r="E461" s="1" t="s">
        <v>1293</v>
      </c>
      <c r="F461" s="1"/>
      <c r="G461" s="1">
        <f>$I$455</f>
        <v>0.21</v>
      </c>
      <c r="H461" s="1"/>
      <c r="I461" s="1">
        <f t="shared" ref="I461:I490" si="5">IF(H461="",G461,H461)</f>
        <v>0.21</v>
      </c>
      <c r="J461" s="1" t="s">
        <v>1345</v>
      </c>
      <c r="K461" s="1"/>
      <c r="L461" s="1"/>
      <c r="M461" s="1"/>
      <c r="N461" s="1"/>
      <c r="O461" s="1"/>
      <c r="P461" s="1"/>
      <c r="Q461" s="1"/>
      <c r="R461" s="1"/>
      <c r="S461" s="121"/>
      <c r="V461" s="137"/>
      <c r="W461" s="137"/>
      <c r="X461" s="137"/>
      <c r="Y461" s="137"/>
      <c r="Z461" s="137"/>
      <c r="AA461" s="137"/>
      <c r="AB461" s="137"/>
    </row>
    <row r="462" spans="2:28" hidden="1" x14ac:dyDescent="0.2">
      <c r="B462" s="28"/>
      <c r="C462" s="1"/>
      <c r="D462" s="1"/>
      <c r="E462" s="1" t="str">
        <f>SANDBOX!D39</f>
        <v xml:space="preserve"> Concepto 1</v>
      </c>
      <c r="F462" s="1"/>
      <c r="G462" s="1">
        <f t="shared" ref="G462:G490" si="6">$I$461</f>
        <v>0.21</v>
      </c>
      <c r="H462" s="1"/>
      <c r="I462" s="1">
        <f t="shared" si="5"/>
        <v>0.21</v>
      </c>
      <c r="J462" s="1"/>
      <c r="K462" s="1"/>
      <c r="L462" s="1"/>
      <c r="M462" s="1"/>
      <c r="N462" s="1"/>
      <c r="O462" s="1"/>
      <c r="P462" s="1"/>
      <c r="Q462" s="1"/>
      <c r="R462" s="1"/>
      <c r="S462" s="121"/>
      <c r="V462" s="137"/>
      <c r="W462" s="137"/>
      <c r="X462" s="137"/>
      <c r="Y462" s="137"/>
      <c r="Z462" s="137"/>
      <c r="AA462" s="137"/>
      <c r="AB462" s="137"/>
    </row>
    <row r="463" spans="2:28" hidden="1" x14ac:dyDescent="0.2">
      <c r="B463" s="28"/>
      <c r="C463" s="1"/>
      <c r="D463" s="1"/>
      <c r="E463" s="1" t="str">
        <f>SANDBOX!D40</f>
        <v>Concepto 2</v>
      </c>
      <c r="F463" s="1"/>
      <c r="G463" s="1">
        <f t="shared" si="6"/>
        <v>0.21</v>
      </c>
      <c r="H463" s="1"/>
      <c r="I463" s="1">
        <f t="shared" si="5"/>
        <v>0.21</v>
      </c>
      <c r="J463" s="1"/>
      <c r="K463" s="1"/>
      <c r="L463" s="1"/>
      <c r="M463" s="1"/>
      <c r="N463" s="1"/>
      <c r="O463" s="1"/>
      <c r="P463" s="1"/>
      <c r="Q463" s="1"/>
      <c r="R463" s="1"/>
      <c r="S463" s="121"/>
      <c r="V463" s="137"/>
      <c r="W463" s="137"/>
      <c r="X463" s="137"/>
      <c r="Y463" s="137"/>
      <c r="Z463" s="137"/>
      <c r="AA463" s="137"/>
      <c r="AB463" s="137"/>
    </row>
    <row r="464" spans="2:28" hidden="1" x14ac:dyDescent="0.2">
      <c r="B464" s="28"/>
      <c r="C464" s="1"/>
      <c r="D464" s="1"/>
      <c r="E464" s="1" t="str">
        <f>SANDBOX!D41</f>
        <v>Concepto 3</v>
      </c>
      <c r="F464" s="1"/>
      <c r="G464" s="1">
        <f t="shared" si="6"/>
        <v>0.21</v>
      </c>
      <c r="H464" s="1"/>
      <c r="I464" s="1">
        <f t="shared" si="5"/>
        <v>0.21</v>
      </c>
      <c r="J464" s="1"/>
      <c r="K464" s="1"/>
      <c r="L464" s="1"/>
      <c r="M464" s="1"/>
      <c r="N464" s="1"/>
      <c r="O464" s="1"/>
      <c r="P464" s="1"/>
      <c r="Q464" s="1"/>
      <c r="R464" s="1"/>
      <c r="S464" s="121"/>
      <c r="V464" s="137"/>
      <c r="W464" s="137"/>
      <c r="X464" s="137"/>
      <c r="Y464" s="137"/>
      <c r="Z464" s="137"/>
      <c r="AA464" s="137"/>
      <c r="AB464" s="137"/>
    </row>
    <row r="465" spans="2:28" hidden="1" x14ac:dyDescent="0.2">
      <c r="B465" s="28"/>
      <c r="C465" s="1"/>
      <c r="D465" s="1"/>
      <c r="E465" s="1"/>
      <c r="F465" s="1"/>
      <c r="G465" s="1">
        <f t="shared" si="6"/>
        <v>0.21</v>
      </c>
      <c r="H465" s="1"/>
      <c r="I465" s="1">
        <f t="shared" si="5"/>
        <v>0.21</v>
      </c>
      <c r="J465" s="1"/>
      <c r="K465" s="1"/>
      <c r="L465" s="1"/>
      <c r="M465" s="1"/>
      <c r="N465" s="1"/>
      <c r="O465" s="1"/>
      <c r="P465" s="1"/>
      <c r="Q465" s="1"/>
      <c r="R465" s="1"/>
      <c r="S465" s="121"/>
      <c r="V465" s="137"/>
      <c r="W465" s="137"/>
      <c r="X465" s="137"/>
      <c r="Y465" s="137"/>
      <c r="Z465" s="137"/>
      <c r="AA465" s="137"/>
      <c r="AB465" s="137"/>
    </row>
    <row r="466" spans="2:28" hidden="1" x14ac:dyDescent="0.2">
      <c r="B466" s="28"/>
      <c r="C466" s="1"/>
      <c r="D466" s="1"/>
      <c r="E466" s="1"/>
      <c r="F466" s="1"/>
      <c r="G466" s="1">
        <f t="shared" si="6"/>
        <v>0.21</v>
      </c>
      <c r="H466" s="1"/>
      <c r="I466" s="1">
        <f t="shared" si="5"/>
        <v>0.21</v>
      </c>
      <c r="J466" s="1"/>
      <c r="K466" s="1"/>
      <c r="L466" s="1"/>
      <c r="M466" s="1"/>
      <c r="N466" s="1"/>
      <c r="O466" s="1"/>
      <c r="P466" s="1"/>
      <c r="Q466" s="1"/>
      <c r="R466" s="1"/>
      <c r="S466" s="121"/>
      <c r="V466" s="137"/>
      <c r="W466" s="137"/>
      <c r="X466" s="137"/>
      <c r="Y466" s="137"/>
      <c r="Z466" s="137"/>
      <c r="AA466" s="137"/>
      <c r="AB466" s="137"/>
    </row>
    <row r="467" spans="2:28" hidden="1" x14ac:dyDescent="0.2">
      <c r="B467" s="28"/>
      <c r="C467" s="1"/>
      <c r="D467" s="1"/>
      <c r="E467" s="1"/>
      <c r="F467" s="1"/>
      <c r="G467" s="1">
        <f t="shared" si="6"/>
        <v>0.21</v>
      </c>
      <c r="H467" s="1"/>
      <c r="I467" s="1">
        <f t="shared" si="5"/>
        <v>0.21</v>
      </c>
      <c r="J467" s="1"/>
      <c r="K467" s="1"/>
      <c r="L467" s="1"/>
      <c r="M467" s="1"/>
      <c r="N467" s="1"/>
      <c r="O467" s="1"/>
      <c r="P467" s="1"/>
      <c r="Q467" s="1"/>
      <c r="R467" s="1"/>
      <c r="S467" s="121"/>
      <c r="V467" s="137"/>
      <c r="W467" s="137"/>
      <c r="X467" s="137"/>
      <c r="Y467" s="137"/>
      <c r="Z467" s="137"/>
      <c r="AA467" s="137"/>
      <c r="AB467" s="137"/>
    </row>
    <row r="468" spans="2:28" hidden="1" x14ac:dyDescent="0.2">
      <c r="B468" s="28"/>
      <c r="C468" s="1"/>
      <c r="D468" s="1"/>
      <c r="E468" s="1"/>
      <c r="F468" s="1"/>
      <c r="G468" s="1">
        <f t="shared" si="6"/>
        <v>0.21</v>
      </c>
      <c r="H468" s="1"/>
      <c r="I468" s="1">
        <f t="shared" si="5"/>
        <v>0.21</v>
      </c>
      <c r="J468" s="1"/>
      <c r="K468" s="1"/>
      <c r="L468" s="1"/>
      <c r="M468" s="1"/>
      <c r="N468" s="1"/>
      <c r="O468" s="1"/>
      <c r="P468" s="1"/>
      <c r="Q468" s="1"/>
      <c r="R468" s="1"/>
      <c r="S468" s="121"/>
      <c r="V468" s="137"/>
      <c r="W468" s="137"/>
      <c r="X468" s="137"/>
      <c r="Y468" s="137"/>
      <c r="Z468" s="137"/>
      <c r="AA468" s="137"/>
      <c r="AB468" s="137"/>
    </row>
    <row r="469" spans="2:28" hidden="1" x14ac:dyDescent="0.2">
      <c r="B469" s="28"/>
      <c r="C469" s="1"/>
      <c r="D469" s="1"/>
      <c r="E469" s="1"/>
      <c r="F469" s="1"/>
      <c r="G469" s="1">
        <f t="shared" si="6"/>
        <v>0.21</v>
      </c>
      <c r="H469" s="1"/>
      <c r="I469" s="1">
        <f t="shared" si="5"/>
        <v>0.21</v>
      </c>
      <c r="J469" s="1"/>
      <c r="K469" s="1"/>
      <c r="L469" s="1"/>
      <c r="M469" s="1"/>
      <c r="N469" s="1"/>
      <c r="O469" s="1"/>
      <c r="P469" s="1"/>
      <c r="Q469" s="1"/>
      <c r="R469" s="1"/>
      <c r="S469" s="121"/>
      <c r="V469" s="137"/>
      <c r="W469" s="137"/>
      <c r="X469" s="137"/>
      <c r="Y469" s="137"/>
      <c r="Z469" s="137"/>
      <c r="AA469" s="137"/>
      <c r="AB469" s="137"/>
    </row>
    <row r="470" spans="2:28" hidden="1" x14ac:dyDescent="0.2">
      <c r="B470" s="28"/>
      <c r="C470" s="1"/>
      <c r="D470" s="1"/>
      <c r="E470" s="1"/>
      <c r="F470" s="1"/>
      <c r="G470" s="1">
        <f t="shared" si="6"/>
        <v>0.21</v>
      </c>
      <c r="H470" s="1"/>
      <c r="I470" s="1">
        <f t="shared" si="5"/>
        <v>0.21</v>
      </c>
      <c r="J470" s="1"/>
      <c r="K470" s="1"/>
      <c r="L470" s="1"/>
      <c r="M470" s="1"/>
      <c r="N470" s="1"/>
      <c r="O470" s="1"/>
      <c r="P470" s="1"/>
      <c r="Q470" s="1"/>
      <c r="R470" s="1"/>
      <c r="S470" s="121"/>
      <c r="V470" s="137"/>
      <c r="W470" s="137"/>
      <c r="X470" s="137"/>
      <c r="Y470" s="137"/>
      <c r="Z470" s="137"/>
      <c r="AA470" s="137"/>
      <c r="AB470" s="137"/>
    </row>
    <row r="471" spans="2:28" hidden="1" x14ac:dyDescent="0.2">
      <c r="B471" s="28"/>
      <c r="C471" s="1"/>
      <c r="D471" s="1"/>
      <c r="E471" s="1"/>
      <c r="F471" s="1"/>
      <c r="G471" s="1">
        <f t="shared" si="6"/>
        <v>0.21</v>
      </c>
      <c r="H471" s="1"/>
      <c r="I471" s="1">
        <f t="shared" si="5"/>
        <v>0.21</v>
      </c>
      <c r="J471" s="1"/>
      <c r="K471" s="1"/>
      <c r="L471" s="1"/>
      <c r="M471" s="1"/>
      <c r="N471" s="1"/>
      <c r="O471" s="1"/>
      <c r="P471" s="1"/>
      <c r="Q471" s="1"/>
      <c r="R471" s="1"/>
      <c r="S471" s="121"/>
      <c r="V471" s="137"/>
      <c r="W471" s="137"/>
      <c r="X471" s="137"/>
      <c r="Y471" s="137"/>
      <c r="Z471" s="137"/>
      <c r="AA471" s="137"/>
      <c r="AB471" s="137"/>
    </row>
    <row r="472" spans="2:28" hidden="1" x14ac:dyDescent="0.2">
      <c r="B472" s="28"/>
      <c r="C472" s="1"/>
      <c r="D472" s="1"/>
      <c r="E472" s="1"/>
      <c r="F472" s="1"/>
      <c r="G472" s="1">
        <f t="shared" si="6"/>
        <v>0.21</v>
      </c>
      <c r="H472" s="1"/>
      <c r="I472" s="1">
        <f t="shared" si="5"/>
        <v>0.21</v>
      </c>
      <c r="J472" s="1"/>
      <c r="K472" s="1"/>
      <c r="L472" s="1"/>
      <c r="M472" s="1"/>
      <c r="N472" s="1"/>
      <c r="O472" s="1"/>
      <c r="P472" s="1"/>
      <c r="Q472" s="1"/>
      <c r="R472" s="1"/>
      <c r="S472" s="121"/>
      <c r="V472" s="137"/>
      <c r="W472" s="137"/>
      <c r="X472" s="137"/>
      <c r="Y472" s="137"/>
      <c r="Z472" s="137"/>
      <c r="AA472" s="137"/>
      <c r="AB472" s="137"/>
    </row>
    <row r="473" spans="2:28" hidden="1" x14ac:dyDescent="0.2">
      <c r="B473" s="28"/>
      <c r="C473" s="1"/>
      <c r="D473" s="1"/>
      <c r="E473" s="1"/>
      <c r="F473" s="1"/>
      <c r="G473" s="1">
        <f t="shared" si="6"/>
        <v>0.21</v>
      </c>
      <c r="H473" s="1"/>
      <c r="I473" s="1">
        <f t="shared" si="5"/>
        <v>0.21</v>
      </c>
      <c r="J473" s="1" t="s">
        <v>1297</v>
      </c>
      <c r="K473" s="1"/>
      <c r="L473" s="1"/>
      <c r="M473" s="1"/>
      <c r="N473" s="1"/>
      <c r="O473" s="1"/>
      <c r="P473" s="1"/>
      <c r="Q473" s="1"/>
      <c r="R473" s="1"/>
      <c r="S473" s="121"/>
      <c r="V473" s="137"/>
      <c r="W473" s="137"/>
      <c r="X473" s="137"/>
      <c r="Y473" s="137"/>
      <c r="Z473" s="137"/>
      <c r="AA473" s="137"/>
      <c r="AB473" s="137"/>
    </row>
    <row r="474" spans="2:28" hidden="1" x14ac:dyDescent="0.2">
      <c r="B474" s="28"/>
      <c r="C474" s="1"/>
      <c r="D474" s="1"/>
      <c r="E474" s="1"/>
      <c r="F474" s="1"/>
      <c r="G474" s="1">
        <f t="shared" si="6"/>
        <v>0.21</v>
      </c>
      <c r="H474" s="1"/>
      <c r="I474" s="1">
        <f t="shared" si="5"/>
        <v>0.21</v>
      </c>
      <c r="J474" s="1"/>
      <c r="K474" s="1"/>
      <c r="L474" s="1"/>
      <c r="M474" s="1"/>
      <c r="N474" s="1"/>
      <c r="O474" s="1"/>
      <c r="P474" s="1"/>
      <c r="Q474" s="1"/>
      <c r="R474" s="1"/>
      <c r="S474" s="121"/>
      <c r="V474" s="137"/>
      <c r="W474" s="137"/>
      <c r="X474" s="137"/>
      <c r="Y474" s="137"/>
      <c r="Z474" s="137"/>
      <c r="AA474" s="137"/>
      <c r="AB474" s="137"/>
    </row>
    <row r="475" spans="2:28" hidden="1" x14ac:dyDescent="0.2">
      <c r="B475" s="28"/>
      <c r="C475" s="1"/>
      <c r="D475" s="1"/>
      <c r="E475" s="1"/>
      <c r="F475" s="1"/>
      <c r="G475" s="1">
        <f t="shared" si="6"/>
        <v>0.21</v>
      </c>
      <c r="H475" s="1"/>
      <c r="I475" s="1">
        <f t="shared" si="5"/>
        <v>0.21</v>
      </c>
      <c r="J475" s="1"/>
      <c r="K475" s="1"/>
      <c r="L475" s="1"/>
      <c r="M475" s="1"/>
      <c r="N475" s="1"/>
      <c r="O475" s="1"/>
      <c r="P475" s="1"/>
      <c r="Q475" s="1"/>
      <c r="R475" s="1"/>
      <c r="S475" s="121"/>
      <c r="V475" s="137"/>
      <c r="W475" s="137"/>
      <c r="X475" s="137"/>
      <c r="Y475" s="137"/>
      <c r="Z475" s="137"/>
      <c r="AA475" s="137"/>
      <c r="AB475" s="137"/>
    </row>
    <row r="476" spans="2:28" hidden="1" x14ac:dyDescent="0.2">
      <c r="B476" s="28"/>
      <c r="C476" s="1"/>
      <c r="D476" s="1"/>
      <c r="E476" s="1"/>
      <c r="F476" s="1"/>
      <c r="G476" s="1">
        <f t="shared" si="6"/>
        <v>0.21</v>
      </c>
      <c r="H476" s="1"/>
      <c r="I476" s="1">
        <f t="shared" si="5"/>
        <v>0.21</v>
      </c>
      <c r="J476" s="1"/>
      <c r="K476" s="1"/>
      <c r="L476" s="1"/>
      <c r="M476" s="1"/>
      <c r="N476" s="1"/>
      <c r="O476" s="1"/>
      <c r="P476" s="1"/>
      <c r="Q476" s="1"/>
      <c r="R476" s="1"/>
      <c r="S476" s="121"/>
      <c r="V476" s="137"/>
      <c r="W476" s="137"/>
      <c r="X476" s="137"/>
      <c r="Y476" s="137"/>
      <c r="Z476" s="137"/>
      <c r="AA476" s="137"/>
      <c r="AB476" s="137"/>
    </row>
    <row r="477" spans="2:28" hidden="1" x14ac:dyDescent="0.2">
      <c r="B477" s="28"/>
      <c r="C477" s="1"/>
      <c r="D477" s="1"/>
      <c r="E477" s="1"/>
      <c r="F477" s="1"/>
      <c r="G477" s="1">
        <f t="shared" si="6"/>
        <v>0.21</v>
      </c>
      <c r="H477" s="1"/>
      <c r="I477" s="1">
        <f t="shared" si="5"/>
        <v>0.21</v>
      </c>
      <c r="J477" s="1"/>
      <c r="K477" s="1"/>
      <c r="L477" s="1"/>
      <c r="M477" s="1"/>
      <c r="N477" s="1"/>
      <c r="O477" s="1"/>
      <c r="P477" s="1"/>
      <c r="Q477" s="1"/>
      <c r="R477" s="1"/>
      <c r="S477" s="121"/>
      <c r="V477" s="137"/>
      <c r="W477" s="137"/>
      <c r="X477" s="137"/>
      <c r="Y477" s="137"/>
      <c r="Z477" s="137"/>
      <c r="AA477" s="137"/>
      <c r="AB477" s="137"/>
    </row>
    <row r="478" spans="2:28" hidden="1" x14ac:dyDescent="0.2">
      <c r="B478" s="28"/>
      <c r="C478" s="1"/>
      <c r="D478" s="1"/>
      <c r="E478" s="1"/>
      <c r="F478" s="1"/>
      <c r="G478" s="1">
        <f t="shared" si="6"/>
        <v>0.21</v>
      </c>
      <c r="H478" s="1"/>
      <c r="I478" s="1">
        <f t="shared" si="5"/>
        <v>0.21</v>
      </c>
      <c r="J478" s="1"/>
      <c r="K478" s="1"/>
      <c r="L478" s="1"/>
      <c r="M478" s="1"/>
      <c r="N478" s="1"/>
      <c r="O478" s="1"/>
      <c r="P478" s="1"/>
      <c r="Q478" s="1"/>
      <c r="R478" s="1"/>
      <c r="S478" s="121"/>
      <c r="V478" s="137"/>
      <c r="W478" s="137"/>
      <c r="X478" s="137"/>
      <c r="Y478" s="137"/>
      <c r="Z478" s="137"/>
      <c r="AA478" s="137"/>
      <c r="AB478" s="137"/>
    </row>
    <row r="479" spans="2:28" hidden="1" x14ac:dyDescent="0.2">
      <c r="B479" s="28"/>
      <c r="C479" s="1"/>
      <c r="D479" s="1"/>
      <c r="E479" s="1"/>
      <c r="F479" s="1"/>
      <c r="G479" s="1">
        <f t="shared" si="6"/>
        <v>0.21</v>
      </c>
      <c r="H479" s="1"/>
      <c r="I479" s="1">
        <f t="shared" si="5"/>
        <v>0.21</v>
      </c>
      <c r="J479" s="1"/>
      <c r="K479" s="1"/>
      <c r="L479" s="1"/>
      <c r="M479" s="1"/>
      <c r="N479" s="1"/>
      <c r="O479" s="1"/>
      <c r="P479" s="1"/>
      <c r="Q479" s="1"/>
      <c r="R479" s="1"/>
      <c r="S479" s="121"/>
      <c r="V479" s="137"/>
      <c r="W479" s="137"/>
      <c r="X479" s="137"/>
      <c r="Y479" s="137"/>
      <c r="Z479" s="137"/>
      <c r="AA479" s="137"/>
      <c r="AB479" s="137"/>
    </row>
    <row r="480" spans="2:28" hidden="1" x14ac:dyDescent="0.2">
      <c r="B480" s="28"/>
      <c r="C480" s="1"/>
      <c r="D480" s="1"/>
      <c r="E480" s="1"/>
      <c r="F480" s="1"/>
      <c r="G480" s="1">
        <f t="shared" si="6"/>
        <v>0.21</v>
      </c>
      <c r="H480" s="1"/>
      <c r="I480" s="1">
        <f t="shared" si="5"/>
        <v>0.21</v>
      </c>
      <c r="J480" s="1"/>
      <c r="K480" s="1"/>
      <c r="L480" s="1"/>
      <c r="M480" s="1"/>
      <c r="N480" s="1"/>
      <c r="O480" s="1"/>
      <c r="P480" s="1"/>
      <c r="Q480" s="1"/>
      <c r="R480" s="1"/>
      <c r="S480" s="121"/>
      <c r="V480" s="137"/>
      <c r="W480" s="137"/>
      <c r="X480" s="137"/>
      <c r="Y480" s="137"/>
      <c r="Z480" s="137"/>
      <c r="AA480" s="137"/>
      <c r="AB480" s="137"/>
    </row>
    <row r="481" spans="2:28" hidden="1" x14ac:dyDescent="0.2">
      <c r="B481" s="28"/>
      <c r="C481" s="1"/>
      <c r="D481" s="1"/>
      <c r="E481" s="1"/>
      <c r="F481" s="1"/>
      <c r="G481" s="1">
        <f t="shared" si="6"/>
        <v>0.21</v>
      </c>
      <c r="H481" s="1"/>
      <c r="I481" s="1">
        <f t="shared" si="5"/>
        <v>0.21</v>
      </c>
      <c r="J481" s="1"/>
      <c r="K481" s="1"/>
      <c r="L481" s="1"/>
      <c r="M481" s="1"/>
      <c r="N481" s="1"/>
      <c r="O481" s="1"/>
      <c r="P481" s="1"/>
      <c r="Q481" s="1"/>
      <c r="R481" s="1"/>
      <c r="S481" s="121"/>
      <c r="V481" s="137"/>
      <c r="W481" s="137"/>
      <c r="X481" s="137"/>
      <c r="Y481" s="137"/>
      <c r="Z481" s="137"/>
      <c r="AA481" s="137"/>
      <c r="AB481" s="137"/>
    </row>
    <row r="482" spans="2:28" hidden="1" x14ac:dyDescent="0.2">
      <c r="B482" s="28"/>
      <c r="C482" s="1"/>
      <c r="D482" s="1"/>
      <c r="E482" s="1"/>
      <c r="F482" s="1"/>
      <c r="G482" s="1">
        <f t="shared" si="6"/>
        <v>0.21</v>
      </c>
      <c r="H482" s="1"/>
      <c r="I482" s="1">
        <f t="shared" si="5"/>
        <v>0.21</v>
      </c>
      <c r="J482" s="1"/>
      <c r="K482" s="1"/>
      <c r="L482" s="1"/>
      <c r="M482" s="1"/>
      <c r="N482" s="1"/>
      <c r="O482" s="1"/>
      <c r="P482" s="1"/>
      <c r="Q482" s="1"/>
      <c r="R482" s="1"/>
      <c r="S482" s="121"/>
      <c r="V482" s="137"/>
      <c r="W482" s="137"/>
      <c r="X482" s="137"/>
      <c r="Y482" s="137"/>
      <c r="Z482" s="137"/>
      <c r="AA482" s="137"/>
      <c r="AB482" s="137"/>
    </row>
    <row r="483" spans="2:28" hidden="1" x14ac:dyDescent="0.2">
      <c r="B483" s="28"/>
      <c r="C483" s="1"/>
      <c r="D483" s="1"/>
      <c r="E483" s="1"/>
      <c r="F483" s="1"/>
      <c r="G483" s="1">
        <f t="shared" si="6"/>
        <v>0.21</v>
      </c>
      <c r="H483" s="1"/>
      <c r="I483" s="1">
        <f t="shared" si="5"/>
        <v>0.21</v>
      </c>
      <c r="J483" s="1"/>
      <c r="K483" s="1"/>
      <c r="L483" s="1"/>
      <c r="M483" s="1"/>
      <c r="N483" s="1"/>
      <c r="O483" s="1"/>
      <c r="P483" s="1"/>
      <c r="Q483" s="1"/>
      <c r="R483" s="1"/>
      <c r="S483" s="121"/>
      <c r="V483" s="137"/>
      <c r="W483" s="137"/>
      <c r="X483" s="137"/>
      <c r="Y483" s="137"/>
      <c r="Z483" s="137"/>
      <c r="AA483" s="137"/>
      <c r="AB483" s="137"/>
    </row>
    <row r="484" spans="2:28" hidden="1" x14ac:dyDescent="0.2">
      <c r="B484" s="28"/>
      <c r="C484" s="1"/>
      <c r="D484" s="1"/>
      <c r="E484" s="1"/>
      <c r="F484" s="1"/>
      <c r="G484" s="1">
        <f t="shared" si="6"/>
        <v>0.21</v>
      </c>
      <c r="H484" s="1"/>
      <c r="I484" s="1">
        <f t="shared" si="5"/>
        <v>0.21</v>
      </c>
      <c r="J484" s="1"/>
      <c r="K484" s="1"/>
      <c r="L484" s="1"/>
      <c r="M484" s="1"/>
      <c r="N484" s="1"/>
      <c r="O484" s="1"/>
      <c r="P484" s="1"/>
      <c r="Q484" s="1"/>
      <c r="R484" s="1"/>
      <c r="S484" s="121"/>
      <c r="V484" s="137"/>
      <c r="W484" s="137"/>
      <c r="X484" s="137"/>
      <c r="Y484" s="137"/>
      <c r="Z484" s="137"/>
      <c r="AA484" s="137"/>
      <c r="AB484" s="137"/>
    </row>
    <row r="485" spans="2:28" hidden="1" x14ac:dyDescent="0.2">
      <c r="B485" s="28"/>
      <c r="C485" s="1"/>
      <c r="D485" s="1"/>
      <c r="E485" s="1"/>
      <c r="F485" s="1"/>
      <c r="G485" s="1">
        <f t="shared" si="6"/>
        <v>0.21</v>
      </c>
      <c r="H485" s="1"/>
      <c r="I485" s="1">
        <f t="shared" si="5"/>
        <v>0.21</v>
      </c>
      <c r="J485" s="1"/>
      <c r="K485" s="1"/>
      <c r="L485" s="1"/>
      <c r="M485" s="1"/>
      <c r="N485" s="1"/>
      <c r="O485" s="1"/>
      <c r="P485" s="1"/>
      <c r="Q485" s="1"/>
      <c r="R485" s="1"/>
      <c r="S485" s="121"/>
      <c r="V485" s="137"/>
      <c r="W485" s="137"/>
      <c r="X485" s="137"/>
      <c r="Y485" s="137"/>
      <c r="Z485" s="137"/>
      <c r="AA485" s="137"/>
      <c r="AB485" s="137"/>
    </row>
    <row r="486" spans="2:28" hidden="1" x14ac:dyDescent="0.2">
      <c r="B486" s="28"/>
      <c r="C486" s="1"/>
      <c r="D486" s="1"/>
      <c r="E486" s="1"/>
      <c r="F486" s="1"/>
      <c r="G486" s="1">
        <f t="shared" si="6"/>
        <v>0.21</v>
      </c>
      <c r="H486" s="1"/>
      <c r="I486" s="1">
        <f t="shared" si="5"/>
        <v>0.21</v>
      </c>
      <c r="J486" s="1"/>
      <c r="K486" s="1"/>
      <c r="L486" s="1"/>
      <c r="M486" s="1"/>
      <c r="N486" s="1"/>
      <c r="O486" s="1"/>
      <c r="P486" s="1"/>
      <c r="Q486" s="1"/>
      <c r="R486" s="1"/>
      <c r="S486" s="121"/>
      <c r="V486" s="137"/>
      <c r="W486" s="137"/>
      <c r="X486" s="137"/>
      <c r="Y486" s="137"/>
      <c r="Z486" s="137"/>
      <c r="AA486" s="137"/>
      <c r="AB486" s="137"/>
    </row>
    <row r="487" spans="2:28" hidden="1" x14ac:dyDescent="0.2">
      <c r="B487" s="28"/>
      <c r="C487" s="1"/>
      <c r="D487" s="1"/>
      <c r="E487" s="1"/>
      <c r="F487" s="1"/>
      <c r="G487" s="1">
        <f t="shared" si="6"/>
        <v>0.21</v>
      </c>
      <c r="H487" s="1"/>
      <c r="I487" s="1">
        <f t="shared" si="5"/>
        <v>0.21</v>
      </c>
      <c r="J487" s="1"/>
      <c r="K487" s="1"/>
      <c r="L487" s="1"/>
      <c r="M487" s="1"/>
      <c r="N487" s="1"/>
      <c r="O487" s="1"/>
      <c r="P487" s="1"/>
      <c r="Q487" s="1"/>
      <c r="R487" s="1"/>
      <c r="S487" s="121"/>
      <c r="V487" s="137"/>
      <c r="W487" s="137"/>
      <c r="X487" s="137"/>
      <c r="Y487" s="137"/>
      <c r="Z487" s="137"/>
      <c r="AA487" s="137"/>
      <c r="AB487" s="137"/>
    </row>
    <row r="488" spans="2:28" hidden="1" x14ac:dyDescent="0.2">
      <c r="B488" s="28"/>
      <c r="C488" s="1"/>
      <c r="D488" s="1"/>
      <c r="E488" s="1"/>
      <c r="F488" s="1"/>
      <c r="G488" s="1">
        <f t="shared" si="6"/>
        <v>0.21</v>
      </c>
      <c r="H488" s="1"/>
      <c r="I488" s="1">
        <f t="shared" si="5"/>
        <v>0.21</v>
      </c>
      <c r="J488" s="1"/>
      <c r="K488" s="1"/>
      <c r="L488" s="1"/>
      <c r="M488" s="1"/>
      <c r="N488" s="1"/>
      <c r="O488" s="1"/>
      <c r="P488" s="1"/>
      <c r="Q488" s="1"/>
      <c r="R488" s="1"/>
      <c r="S488" s="121"/>
      <c r="V488" s="137"/>
      <c r="W488" s="137"/>
      <c r="X488" s="137"/>
      <c r="Y488" s="137"/>
      <c r="Z488" s="137"/>
      <c r="AA488" s="137"/>
      <c r="AB488" s="137"/>
    </row>
    <row r="489" spans="2:28" hidden="1" x14ac:dyDescent="0.2">
      <c r="B489" s="28"/>
      <c r="C489" s="1"/>
      <c r="D489" s="1"/>
      <c r="E489" s="1"/>
      <c r="F489" s="1"/>
      <c r="G489" s="1">
        <f t="shared" si="6"/>
        <v>0.21</v>
      </c>
      <c r="H489" s="1"/>
      <c r="I489" s="1">
        <f t="shared" si="5"/>
        <v>0.21</v>
      </c>
      <c r="J489" s="1"/>
      <c r="K489" s="1"/>
      <c r="L489" s="1"/>
      <c r="M489" s="1"/>
      <c r="N489" s="1"/>
      <c r="O489" s="1"/>
      <c r="P489" s="1"/>
      <c r="Q489" s="1"/>
      <c r="R489" s="1"/>
      <c r="S489" s="121"/>
      <c r="V489" s="137"/>
      <c r="W489" s="137"/>
      <c r="X489" s="137"/>
      <c r="Y489" s="137"/>
      <c r="Z489" s="137"/>
      <c r="AA489" s="137"/>
      <c r="AB489" s="137"/>
    </row>
    <row r="490" spans="2:28" hidden="1" x14ac:dyDescent="0.2">
      <c r="B490" s="28"/>
      <c r="C490" s="1"/>
      <c r="D490" s="1"/>
      <c r="E490" s="1"/>
      <c r="F490" s="1"/>
      <c r="G490" s="1">
        <f t="shared" si="6"/>
        <v>0.21</v>
      </c>
      <c r="H490" s="1"/>
      <c r="I490" s="1">
        <f t="shared" si="5"/>
        <v>0.21</v>
      </c>
      <c r="J490" s="1"/>
      <c r="K490" s="1"/>
      <c r="L490" s="1"/>
      <c r="M490" s="1"/>
      <c r="N490" s="1"/>
      <c r="O490" s="1"/>
      <c r="P490" s="1"/>
      <c r="Q490" s="1"/>
      <c r="R490" s="1"/>
      <c r="S490" s="121"/>
      <c r="V490" s="137"/>
      <c r="W490" s="137"/>
      <c r="X490" s="137"/>
      <c r="Y490" s="137"/>
      <c r="Z490" s="137"/>
      <c r="AA490" s="137"/>
      <c r="AB490" s="137"/>
    </row>
    <row r="491" spans="2:28" hidden="1" x14ac:dyDescent="0.2">
      <c r="B491" s="28"/>
      <c r="C491" s="1"/>
      <c r="D491" s="1"/>
      <c r="E491" s="1"/>
      <c r="F491" s="1"/>
      <c r="G491" s="1"/>
      <c r="H491" s="1"/>
      <c r="I491" s="1"/>
      <c r="J491" s="1"/>
      <c r="K491" s="1"/>
      <c r="L491" s="1"/>
      <c r="M491" s="1"/>
      <c r="N491" s="1"/>
      <c r="O491" s="1"/>
      <c r="P491" s="1"/>
      <c r="Q491" s="1"/>
      <c r="R491" s="1"/>
      <c r="S491" s="121"/>
      <c r="V491" s="137"/>
      <c r="W491" s="137"/>
      <c r="X491" s="137"/>
      <c r="Y491" s="137"/>
      <c r="Z491" s="137"/>
      <c r="AA491" s="137"/>
      <c r="AB491" s="137"/>
    </row>
    <row r="492" spans="2:28" ht="15" hidden="1" x14ac:dyDescent="0.25">
      <c r="B492" s="28"/>
      <c r="C492" s="1"/>
      <c r="D492" s="1"/>
      <c r="E492" s="1" t="s">
        <v>1353</v>
      </c>
      <c r="F492" s="1"/>
      <c r="G492" s="1">
        <f>$I$461</f>
        <v>0.21</v>
      </c>
      <c r="H492" s="1"/>
      <c r="I492" s="1">
        <f>IF(H492="",G492,H492)</f>
        <v>0.21</v>
      </c>
      <c r="J492" s="1"/>
      <c r="K492" s="1"/>
      <c r="L492" s="1"/>
      <c r="M492" s="1"/>
      <c r="N492" s="1"/>
      <c r="O492" s="1"/>
      <c r="P492" s="1"/>
      <c r="Q492" s="1"/>
      <c r="R492" s="1"/>
      <c r="S492" s="121"/>
      <c r="V492" s="137"/>
      <c r="W492" s="137"/>
      <c r="X492" s="137"/>
      <c r="Y492" s="137"/>
      <c r="Z492" s="137"/>
      <c r="AA492" s="137"/>
      <c r="AB492" s="137"/>
    </row>
    <row r="493" spans="2:28" hidden="1" x14ac:dyDescent="0.2">
      <c r="B493" s="28"/>
      <c r="C493" s="1"/>
      <c r="D493" s="1"/>
      <c r="E493" s="1"/>
      <c r="F493" s="1"/>
      <c r="G493" s="1"/>
      <c r="H493" s="1"/>
      <c r="I493" s="1"/>
      <c r="J493" s="1"/>
      <c r="K493" s="1"/>
      <c r="L493" s="1"/>
      <c r="M493" s="1"/>
      <c r="N493" s="1"/>
      <c r="O493" s="1"/>
      <c r="P493" s="1"/>
      <c r="Q493" s="1"/>
      <c r="R493" s="1"/>
      <c r="S493" s="121"/>
      <c r="V493" s="137"/>
      <c r="W493" s="137"/>
      <c r="X493" s="137"/>
      <c r="Y493" s="137"/>
      <c r="Z493" s="137"/>
      <c r="AA493" s="137"/>
      <c r="AB493" s="137"/>
    </row>
    <row r="494" spans="2:28" ht="14.25" hidden="1" x14ac:dyDescent="0.2">
      <c r="B494" s="28"/>
      <c r="C494" s="1"/>
      <c r="D494" s="1"/>
      <c r="E494" s="1" t="str">
        <f>SANDBOX!$D$48</f>
        <v xml:space="preserve">Publicidad </v>
      </c>
      <c r="F494" s="1"/>
      <c r="G494" s="1">
        <f>$I$455</f>
        <v>0.21</v>
      </c>
      <c r="H494" s="1"/>
      <c r="I494" s="1">
        <f t="shared" ref="I494:I523" si="7">IF(H494="",G494,H494)</f>
        <v>0.21</v>
      </c>
      <c r="J494" s="1" t="s">
        <v>1345</v>
      </c>
      <c r="K494" s="1"/>
      <c r="L494" s="1"/>
      <c r="M494" s="1"/>
      <c r="N494" s="1"/>
      <c r="O494" s="1"/>
      <c r="P494" s="1"/>
      <c r="Q494" s="1"/>
      <c r="R494" s="1"/>
      <c r="S494" s="121"/>
      <c r="V494" s="137"/>
      <c r="W494" s="137"/>
      <c r="X494" s="137"/>
      <c r="Y494" s="137"/>
      <c r="Z494" s="137"/>
      <c r="AA494" s="137"/>
      <c r="AB494" s="137"/>
    </row>
    <row r="495" spans="2:28" hidden="1" x14ac:dyDescent="0.2">
      <c r="B495" s="28"/>
      <c r="C495" s="1"/>
      <c r="D495" s="1"/>
      <c r="E495" s="1" t="str">
        <f>SANDBOX!D49</f>
        <v xml:space="preserve">Publicidad </v>
      </c>
      <c r="F495" s="1"/>
      <c r="G495" s="1">
        <f t="shared" ref="G495:G523" si="8">$I$494</f>
        <v>0.21</v>
      </c>
      <c r="H495" s="1"/>
      <c r="I495" s="1">
        <f t="shared" si="7"/>
        <v>0.21</v>
      </c>
      <c r="J495" s="1"/>
      <c r="K495" s="1"/>
      <c r="L495" s="1"/>
      <c r="M495" s="1"/>
      <c r="N495" s="1"/>
      <c r="O495" s="1"/>
      <c r="P495" s="1"/>
      <c r="Q495" s="1"/>
      <c r="R495" s="1"/>
      <c r="S495" s="121"/>
      <c r="V495" s="137"/>
      <c r="W495" s="137"/>
      <c r="X495" s="137"/>
      <c r="Y495" s="137"/>
      <c r="Z495" s="137"/>
      <c r="AA495" s="137"/>
      <c r="AB495" s="137"/>
    </row>
    <row r="496" spans="2:28" hidden="1" x14ac:dyDescent="0.2">
      <c r="B496" s="28"/>
      <c r="C496" s="1"/>
      <c r="D496" s="1"/>
      <c r="E496" s="1"/>
      <c r="F496" s="1"/>
      <c r="G496" s="1">
        <f t="shared" si="8"/>
        <v>0.21</v>
      </c>
      <c r="H496" s="1"/>
      <c r="I496" s="1">
        <f t="shared" si="7"/>
        <v>0.21</v>
      </c>
      <c r="J496" s="1"/>
      <c r="K496" s="1"/>
      <c r="L496" s="1"/>
      <c r="M496" s="1"/>
      <c r="N496" s="1"/>
      <c r="O496" s="1"/>
      <c r="P496" s="1"/>
      <c r="Q496" s="1"/>
      <c r="R496" s="1"/>
      <c r="S496" s="121"/>
      <c r="V496" s="137"/>
      <c r="W496" s="137"/>
      <c r="X496" s="137"/>
      <c r="Y496" s="137"/>
      <c r="Z496" s="137"/>
      <c r="AA496" s="137"/>
      <c r="AB496" s="137"/>
    </row>
    <row r="497" spans="2:28" hidden="1" x14ac:dyDescent="0.2">
      <c r="B497" s="28"/>
      <c r="C497" s="1"/>
      <c r="D497" s="1"/>
      <c r="E497" s="1"/>
      <c r="F497" s="1"/>
      <c r="G497" s="1">
        <f t="shared" si="8"/>
        <v>0.21</v>
      </c>
      <c r="H497" s="1"/>
      <c r="I497" s="1">
        <f t="shared" si="7"/>
        <v>0.21</v>
      </c>
      <c r="J497" s="1"/>
      <c r="K497" s="1"/>
      <c r="L497" s="1"/>
      <c r="M497" s="1"/>
      <c r="N497" s="1"/>
      <c r="O497" s="1"/>
      <c r="P497" s="1"/>
      <c r="Q497" s="1"/>
      <c r="R497" s="1"/>
      <c r="S497" s="121"/>
      <c r="V497" s="137"/>
      <c r="W497" s="137"/>
      <c r="X497" s="137"/>
      <c r="Y497" s="137"/>
      <c r="Z497" s="137"/>
      <c r="AA497" s="137"/>
      <c r="AB497" s="137"/>
    </row>
    <row r="498" spans="2:28" hidden="1" x14ac:dyDescent="0.2">
      <c r="B498" s="28"/>
      <c r="C498" s="1"/>
      <c r="D498" s="1"/>
      <c r="E498" s="1"/>
      <c r="F498" s="1"/>
      <c r="G498" s="1">
        <f t="shared" si="8"/>
        <v>0.21</v>
      </c>
      <c r="H498" s="1"/>
      <c r="I498" s="1">
        <f t="shared" si="7"/>
        <v>0.21</v>
      </c>
      <c r="J498" s="1"/>
      <c r="K498" s="1"/>
      <c r="L498" s="1"/>
      <c r="M498" s="1"/>
      <c r="N498" s="1"/>
      <c r="O498" s="1"/>
      <c r="P498" s="1"/>
      <c r="Q498" s="1"/>
      <c r="R498" s="1"/>
      <c r="S498" s="121"/>
      <c r="V498" s="137"/>
      <c r="W498" s="137"/>
      <c r="X498" s="137"/>
      <c r="Y498" s="137"/>
      <c r="Z498" s="137"/>
      <c r="AA498" s="137"/>
      <c r="AB498" s="137"/>
    </row>
    <row r="499" spans="2:28" hidden="1" x14ac:dyDescent="0.2">
      <c r="B499" s="28"/>
      <c r="C499" s="1"/>
      <c r="D499" s="1"/>
      <c r="E499" s="1"/>
      <c r="F499" s="1"/>
      <c r="G499" s="1">
        <f t="shared" si="8"/>
        <v>0.21</v>
      </c>
      <c r="H499" s="1"/>
      <c r="I499" s="1">
        <f t="shared" si="7"/>
        <v>0.21</v>
      </c>
      <c r="J499" s="1"/>
      <c r="K499" s="1"/>
      <c r="L499" s="1"/>
      <c r="M499" s="1"/>
      <c r="N499" s="1"/>
      <c r="O499" s="1"/>
      <c r="P499" s="1"/>
      <c r="Q499" s="1"/>
      <c r="R499" s="1"/>
      <c r="S499" s="121"/>
      <c r="V499" s="137"/>
      <c r="W499" s="137"/>
      <c r="X499" s="137"/>
      <c r="Y499" s="137"/>
      <c r="Z499" s="137"/>
      <c r="AA499" s="137"/>
      <c r="AB499" s="137"/>
    </row>
    <row r="500" spans="2:28" hidden="1" x14ac:dyDescent="0.2">
      <c r="B500" s="28"/>
      <c r="C500" s="1"/>
      <c r="D500" s="1"/>
      <c r="E500" s="1"/>
      <c r="F500" s="1"/>
      <c r="G500" s="1">
        <f t="shared" si="8"/>
        <v>0.21</v>
      </c>
      <c r="H500" s="1"/>
      <c r="I500" s="1">
        <f t="shared" si="7"/>
        <v>0.21</v>
      </c>
      <c r="J500" s="1"/>
      <c r="K500" s="1"/>
      <c r="L500" s="1"/>
      <c r="M500" s="1"/>
      <c r="N500" s="1"/>
      <c r="O500" s="1"/>
      <c r="P500" s="1"/>
      <c r="Q500" s="1"/>
      <c r="R500" s="1"/>
      <c r="S500" s="121"/>
      <c r="V500" s="137"/>
      <c r="W500" s="137"/>
      <c r="X500" s="137"/>
      <c r="Y500" s="137"/>
      <c r="Z500" s="137"/>
      <c r="AA500" s="137"/>
      <c r="AB500" s="137"/>
    </row>
    <row r="501" spans="2:28" hidden="1" x14ac:dyDescent="0.2">
      <c r="B501" s="28"/>
      <c r="C501" s="1"/>
      <c r="D501" s="1"/>
      <c r="E501" s="1"/>
      <c r="F501" s="1"/>
      <c r="G501" s="1">
        <f t="shared" si="8"/>
        <v>0.21</v>
      </c>
      <c r="H501" s="1"/>
      <c r="I501" s="1">
        <f t="shared" si="7"/>
        <v>0.21</v>
      </c>
      <c r="J501" s="1" t="s">
        <v>1297</v>
      </c>
      <c r="K501" s="1"/>
      <c r="L501" s="1"/>
      <c r="M501" s="1"/>
      <c r="N501" s="1"/>
      <c r="O501" s="1"/>
      <c r="P501" s="1"/>
      <c r="Q501" s="1"/>
      <c r="R501" s="1"/>
      <c r="S501" s="121"/>
      <c r="V501" s="137"/>
      <c r="W501" s="137"/>
      <c r="X501" s="137"/>
      <c r="Y501" s="137"/>
      <c r="Z501" s="137"/>
      <c r="AA501" s="137"/>
      <c r="AB501" s="137"/>
    </row>
    <row r="502" spans="2:28" hidden="1" x14ac:dyDescent="0.2">
      <c r="B502" s="28"/>
      <c r="C502" s="1"/>
      <c r="D502" s="1"/>
      <c r="E502" s="1"/>
      <c r="F502" s="1"/>
      <c r="G502" s="1">
        <f t="shared" si="8"/>
        <v>0.21</v>
      </c>
      <c r="H502" s="1"/>
      <c r="I502" s="1">
        <f t="shared" si="7"/>
        <v>0.21</v>
      </c>
      <c r="J502" s="1"/>
      <c r="K502" s="1"/>
      <c r="L502" s="1"/>
      <c r="M502" s="1"/>
      <c r="N502" s="1"/>
      <c r="O502" s="1"/>
      <c r="P502" s="1"/>
      <c r="Q502" s="1"/>
      <c r="R502" s="1"/>
      <c r="S502" s="121"/>
      <c r="V502" s="137"/>
      <c r="W502" s="137"/>
      <c r="X502" s="137"/>
      <c r="Y502" s="137"/>
      <c r="Z502" s="137"/>
      <c r="AA502" s="137"/>
      <c r="AB502" s="137"/>
    </row>
    <row r="503" spans="2:28" hidden="1" x14ac:dyDescent="0.2">
      <c r="B503" s="28"/>
      <c r="C503" s="1"/>
      <c r="D503" s="1"/>
      <c r="E503" s="1"/>
      <c r="F503" s="1"/>
      <c r="G503" s="1">
        <f t="shared" si="8"/>
        <v>0.21</v>
      </c>
      <c r="H503" s="1"/>
      <c r="I503" s="1">
        <f t="shared" si="7"/>
        <v>0.21</v>
      </c>
      <c r="J503" s="1"/>
      <c r="K503" s="1"/>
      <c r="L503" s="1"/>
      <c r="M503" s="1"/>
      <c r="N503" s="1"/>
      <c r="O503" s="1"/>
      <c r="P503" s="1"/>
      <c r="Q503" s="1"/>
      <c r="R503" s="1"/>
      <c r="S503" s="121"/>
      <c r="V503" s="137"/>
      <c r="W503" s="137"/>
      <c r="X503" s="137"/>
      <c r="Y503" s="137"/>
      <c r="Z503" s="137"/>
      <c r="AA503" s="137"/>
      <c r="AB503" s="137"/>
    </row>
    <row r="504" spans="2:28" hidden="1" x14ac:dyDescent="0.2">
      <c r="B504" s="28"/>
      <c r="C504" s="1"/>
      <c r="D504" s="1"/>
      <c r="E504" s="1"/>
      <c r="F504" s="1"/>
      <c r="G504" s="1">
        <f t="shared" si="8"/>
        <v>0.21</v>
      </c>
      <c r="H504" s="1"/>
      <c r="I504" s="1">
        <f t="shared" si="7"/>
        <v>0.21</v>
      </c>
      <c r="J504" s="1"/>
      <c r="K504" s="1"/>
      <c r="L504" s="1"/>
      <c r="M504" s="1"/>
      <c r="N504" s="1"/>
      <c r="O504" s="1"/>
      <c r="P504" s="1"/>
      <c r="Q504" s="1"/>
      <c r="R504" s="1"/>
      <c r="S504" s="121"/>
      <c r="V504" s="137"/>
      <c r="W504" s="137"/>
      <c r="X504" s="137"/>
      <c r="Y504" s="137"/>
      <c r="Z504" s="137"/>
      <c r="AA504" s="137"/>
      <c r="AB504" s="137"/>
    </row>
    <row r="505" spans="2:28" hidden="1" x14ac:dyDescent="0.2">
      <c r="B505" s="28"/>
      <c r="C505" s="1"/>
      <c r="D505" s="1"/>
      <c r="E505" s="1"/>
      <c r="F505" s="1"/>
      <c r="G505" s="1">
        <f t="shared" si="8"/>
        <v>0.21</v>
      </c>
      <c r="H505" s="1"/>
      <c r="I505" s="1">
        <f t="shared" si="7"/>
        <v>0.21</v>
      </c>
      <c r="J505" s="1"/>
      <c r="K505" s="1"/>
      <c r="L505" s="1"/>
      <c r="M505" s="1"/>
      <c r="N505" s="1"/>
      <c r="O505" s="1"/>
      <c r="P505" s="1"/>
      <c r="Q505" s="1"/>
      <c r="R505" s="1"/>
      <c r="S505" s="121"/>
      <c r="V505" s="137"/>
      <c r="W505" s="137"/>
      <c r="X505" s="137"/>
      <c r="Y505" s="137"/>
      <c r="Z505" s="137"/>
      <c r="AA505" s="137"/>
      <c r="AB505" s="137"/>
    </row>
    <row r="506" spans="2:28" hidden="1" x14ac:dyDescent="0.2">
      <c r="B506" s="28"/>
      <c r="C506" s="1"/>
      <c r="D506" s="1"/>
      <c r="E506" s="1"/>
      <c r="F506" s="1"/>
      <c r="G506" s="1">
        <f t="shared" si="8"/>
        <v>0.21</v>
      </c>
      <c r="H506" s="1"/>
      <c r="I506" s="1">
        <f t="shared" si="7"/>
        <v>0.21</v>
      </c>
      <c r="J506" s="1"/>
      <c r="K506" s="1"/>
      <c r="L506" s="1"/>
      <c r="M506" s="1"/>
      <c r="N506" s="1"/>
      <c r="O506" s="1"/>
      <c r="P506" s="1"/>
      <c r="Q506" s="1"/>
      <c r="R506" s="1"/>
      <c r="S506" s="121"/>
      <c r="V506" s="137"/>
      <c r="W506" s="137"/>
      <c r="X506" s="137"/>
      <c r="Y506" s="137"/>
      <c r="Z506" s="137"/>
      <c r="AA506" s="137"/>
      <c r="AB506" s="137"/>
    </row>
    <row r="507" spans="2:28" hidden="1" x14ac:dyDescent="0.2">
      <c r="B507" s="28"/>
      <c r="C507" s="1"/>
      <c r="D507" s="1"/>
      <c r="E507" s="1"/>
      <c r="F507" s="1"/>
      <c r="G507" s="1">
        <f t="shared" si="8"/>
        <v>0.21</v>
      </c>
      <c r="H507" s="1"/>
      <c r="I507" s="1">
        <f t="shared" si="7"/>
        <v>0.21</v>
      </c>
      <c r="J507" s="1"/>
      <c r="K507" s="1"/>
      <c r="L507" s="1"/>
      <c r="M507" s="1"/>
      <c r="N507" s="1"/>
      <c r="O507" s="1"/>
      <c r="P507" s="1"/>
      <c r="Q507" s="1"/>
      <c r="R507" s="1"/>
      <c r="S507" s="121"/>
      <c r="V507" s="137"/>
      <c r="W507" s="137"/>
      <c r="X507" s="137"/>
      <c r="Y507" s="137"/>
      <c r="Z507" s="137"/>
      <c r="AA507" s="137"/>
      <c r="AB507" s="137"/>
    </row>
    <row r="508" spans="2:28" hidden="1" x14ac:dyDescent="0.2">
      <c r="B508" s="28"/>
      <c r="C508" s="1"/>
      <c r="D508" s="1"/>
      <c r="E508" s="1"/>
      <c r="F508" s="1"/>
      <c r="G508" s="1">
        <f t="shared" si="8"/>
        <v>0.21</v>
      </c>
      <c r="H508" s="1"/>
      <c r="I508" s="1">
        <f t="shared" si="7"/>
        <v>0.21</v>
      </c>
      <c r="J508" s="1"/>
      <c r="K508" s="1"/>
      <c r="L508" s="1"/>
      <c r="M508" s="1"/>
      <c r="N508" s="1"/>
      <c r="O508" s="1"/>
      <c r="P508" s="1"/>
      <c r="Q508" s="1"/>
      <c r="R508" s="1"/>
      <c r="S508" s="121"/>
      <c r="V508" s="137"/>
      <c r="W508" s="137"/>
      <c r="X508" s="137"/>
      <c r="Y508" s="137"/>
      <c r="Z508" s="137"/>
      <c r="AA508" s="137"/>
      <c r="AB508" s="137"/>
    </row>
    <row r="509" spans="2:28" hidden="1" x14ac:dyDescent="0.2">
      <c r="B509" s="28"/>
      <c r="C509" s="1"/>
      <c r="D509" s="1"/>
      <c r="E509" s="1"/>
      <c r="F509" s="1"/>
      <c r="G509" s="1">
        <f t="shared" si="8"/>
        <v>0.21</v>
      </c>
      <c r="H509" s="1"/>
      <c r="I509" s="1">
        <f t="shared" si="7"/>
        <v>0.21</v>
      </c>
      <c r="J509" s="1"/>
      <c r="K509" s="1"/>
      <c r="L509" s="1"/>
      <c r="M509" s="1"/>
      <c r="N509" s="1"/>
      <c r="O509" s="1"/>
      <c r="P509" s="1"/>
      <c r="Q509" s="1"/>
      <c r="R509" s="1"/>
      <c r="S509" s="121"/>
      <c r="V509" s="137"/>
      <c r="W509" s="137"/>
      <c r="X509" s="137"/>
      <c r="Y509" s="137"/>
      <c r="Z509" s="137"/>
      <c r="AA509" s="137"/>
      <c r="AB509" s="137"/>
    </row>
    <row r="510" spans="2:28" hidden="1" x14ac:dyDescent="0.2">
      <c r="B510" s="28"/>
      <c r="C510" s="1"/>
      <c r="D510" s="1"/>
      <c r="E510" s="1"/>
      <c r="F510" s="1"/>
      <c r="G510" s="1">
        <f t="shared" si="8"/>
        <v>0.21</v>
      </c>
      <c r="H510" s="1"/>
      <c r="I510" s="1">
        <f t="shared" si="7"/>
        <v>0.21</v>
      </c>
      <c r="J510" s="1"/>
      <c r="K510" s="1"/>
      <c r="L510" s="1"/>
      <c r="M510" s="1"/>
      <c r="N510" s="1"/>
      <c r="O510" s="1"/>
      <c r="P510" s="1"/>
      <c r="Q510" s="1"/>
      <c r="R510" s="1"/>
      <c r="S510" s="121"/>
      <c r="V510" s="137"/>
      <c r="W510" s="137"/>
      <c r="X510" s="137"/>
      <c r="Y510" s="137"/>
      <c r="Z510" s="137"/>
      <c r="AA510" s="137"/>
      <c r="AB510" s="137"/>
    </row>
    <row r="511" spans="2:28" hidden="1" x14ac:dyDescent="0.2">
      <c r="B511" s="28"/>
      <c r="C511" s="1"/>
      <c r="D511" s="1"/>
      <c r="E511" s="1"/>
      <c r="F511" s="1"/>
      <c r="G511" s="1">
        <f t="shared" si="8"/>
        <v>0.21</v>
      </c>
      <c r="H511" s="1"/>
      <c r="I511" s="1">
        <f t="shared" si="7"/>
        <v>0.21</v>
      </c>
      <c r="J511" s="1"/>
      <c r="K511" s="1"/>
      <c r="L511" s="1"/>
      <c r="M511" s="1"/>
      <c r="N511" s="1"/>
      <c r="O511" s="1"/>
      <c r="P511" s="1"/>
      <c r="Q511" s="1"/>
      <c r="R511" s="1"/>
      <c r="S511" s="121"/>
      <c r="V511" s="137"/>
      <c r="W511" s="137"/>
      <c r="X511" s="137"/>
      <c r="Y511" s="137"/>
      <c r="Z511" s="137"/>
      <c r="AA511" s="137"/>
      <c r="AB511" s="137"/>
    </row>
    <row r="512" spans="2:28" hidden="1" x14ac:dyDescent="0.2">
      <c r="B512" s="28"/>
      <c r="C512" s="1"/>
      <c r="D512" s="1"/>
      <c r="E512" s="1"/>
      <c r="F512" s="1"/>
      <c r="G512" s="1">
        <f t="shared" si="8"/>
        <v>0.21</v>
      </c>
      <c r="H512" s="1"/>
      <c r="I512" s="1">
        <f t="shared" si="7"/>
        <v>0.21</v>
      </c>
      <c r="J512" s="1"/>
      <c r="K512" s="1"/>
      <c r="L512" s="1"/>
      <c r="M512" s="1"/>
      <c r="N512" s="1"/>
      <c r="O512" s="1"/>
      <c r="P512" s="1"/>
      <c r="Q512" s="1"/>
      <c r="R512" s="1"/>
      <c r="S512" s="121"/>
      <c r="V512" s="137"/>
      <c r="W512" s="137"/>
      <c r="X512" s="137"/>
      <c r="Y512" s="137"/>
      <c r="Z512" s="137"/>
      <c r="AA512" s="137"/>
      <c r="AB512" s="137"/>
    </row>
    <row r="513" spans="2:28" hidden="1" x14ac:dyDescent="0.2">
      <c r="B513" s="28"/>
      <c r="C513" s="1"/>
      <c r="D513" s="1"/>
      <c r="E513" s="1"/>
      <c r="F513" s="1"/>
      <c r="G513" s="1">
        <f t="shared" si="8"/>
        <v>0.21</v>
      </c>
      <c r="H513" s="1"/>
      <c r="I513" s="1">
        <f t="shared" si="7"/>
        <v>0.21</v>
      </c>
      <c r="J513" s="1"/>
      <c r="K513" s="1"/>
      <c r="L513" s="1"/>
      <c r="M513" s="1"/>
      <c r="N513" s="1"/>
      <c r="O513" s="1"/>
      <c r="P513" s="1"/>
      <c r="Q513" s="1"/>
      <c r="R513" s="1"/>
      <c r="S513" s="121"/>
      <c r="V513" s="137"/>
      <c r="W513" s="137"/>
      <c r="X513" s="137"/>
      <c r="Y513" s="137"/>
      <c r="Z513" s="137"/>
      <c r="AA513" s="137"/>
      <c r="AB513" s="137"/>
    </row>
    <row r="514" spans="2:28" hidden="1" x14ac:dyDescent="0.2">
      <c r="B514" s="28"/>
      <c r="C514" s="1"/>
      <c r="D514" s="1"/>
      <c r="E514" s="1"/>
      <c r="F514" s="1"/>
      <c r="G514" s="1">
        <f t="shared" si="8"/>
        <v>0.21</v>
      </c>
      <c r="H514" s="1"/>
      <c r="I514" s="1">
        <f t="shared" si="7"/>
        <v>0.21</v>
      </c>
      <c r="J514" s="1"/>
      <c r="K514" s="1"/>
      <c r="L514" s="1"/>
      <c r="M514" s="1"/>
      <c r="N514" s="1"/>
      <c r="O514" s="1"/>
      <c r="P514" s="1"/>
      <c r="Q514" s="1"/>
      <c r="R514" s="1"/>
      <c r="S514" s="121"/>
      <c r="V514" s="137"/>
      <c r="W514" s="137"/>
      <c r="X514" s="137"/>
      <c r="Y514" s="137"/>
      <c r="Z514" s="137"/>
      <c r="AA514" s="137"/>
      <c r="AB514" s="137"/>
    </row>
    <row r="515" spans="2:28" hidden="1" x14ac:dyDescent="0.2">
      <c r="B515" s="28"/>
      <c r="C515" s="1"/>
      <c r="D515" s="1"/>
      <c r="E515" s="1"/>
      <c r="F515" s="1"/>
      <c r="G515" s="1">
        <f t="shared" si="8"/>
        <v>0.21</v>
      </c>
      <c r="H515" s="1"/>
      <c r="I515" s="1">
        <f t="shared" si="7"/>
        <v>0.21</v>
      </c>
      <c r="J515" s="1"/>
      <c r="K515" s="1"/>
      <c r="L515" s="1"/>
      <c r="M515" s="1"/>
      <c r="N515" s="1"/>
      <c r="O515" s="1"/>
      <c r="P515" s="1"/>
      <c r="Q515" s="1"/>
      <c r="R515" s="1"/>
      <c r="S515" s="121"/>
      <c r="V515" s="137"/>
      <c r="W515" s="137"/>
      <c r="X515" s="137"/>
      <c r="Y515" s="137"/>
      <c r="Z515" s="137"/>
      <c r="AA515" s="137"/>
      <c r="AB515" s="137"/>
    </row>
    <row r="516" spans="2:28" hidden="1" x14ac:dyDescent="0.2">
      <c r="B516" s="28"/>
      <c r="C516" s="1"/>
      <c r="D516" s="1"/>
      <c r="E516" s="1"/>
      <c r="F516" s="1"/>
      <c r="G516" s="1">
        <f t="shared" si="8"/>
        <v>0.21</v>
      </c>
      <c r="H516" s="1"/>
      <c r="I516" s="1">
        <f t="shared" si="7"/>
        <v>0.21</v>
      </c>
      <c r="J516" s="1"/>
      <c r="K516" s="1"/>
      <c r="L516" s="1"/>
      <c r="M516" s="1"/>
      <c r="N516" s="1"/>
      <c r="O516" s="1"/>
      <c r="P516" s="1"/>
      <c r="Q516" s="1"/>
      <c r="R516" s="1"/>
      <c r="S516" s="121"/>
      <c r="V516" s="137"/>
      <c r="W516" s="137"/>
      <c r="X516" s="137"/>
      <c r="Y516" s="137"/>
      <c r="Z516" s="137"/>
      <c r="AA516" s="137"/>
      <c r="AB516" s="137"/>
    </row>
    <row r="517" spans="2:28" hidden="1" x14ac:dyDescent="0.2">
      <c r="B517" s="28"/>
      <c r="C517" s="1"/>
      <c r="D517" s="1"/>
      <c r="E517" s="1"/>
      <c r="F517" s="1"/>
      <c r="G517" s="1">
        <f t="shared" si="8"/>
        <v>0.21</v>
      </c>
      <c r="H517" s="1"/>
      <c r="I517" s="1">
        <f t="shared" si="7"/>
        <v>0.21</v>
      </c>
      <c r="J517" s="1"/>
      <c r="K517" s="1"/>
      <c r="L517" s="1"/>
      <c r="M517" s="1"/>
      <c r="N517" s="1"/>
      <c r="O517" s="1"/>
      <c r="P517" s="1"/>
      <c r="Q517" s="1"/>
      <c r="R517" s="1"/>
      <c r="S517" s="121"/>
      <c r="V517" s="137"/>
      <c r="W517" s="137"/>
      <c r="X517" s="137"/>
      <c r="Y517" s="137"/>
      <c r="Z517" s="137"/>
      <c r="AA517" s="137"/>
      <c r="AB517" s="137"/>
    </row>
    <row r="518" spans="2:28" hidden="1" x14ac:dyDescent="0.2">
      <c r="B518" s="28"/>
      <c r="C518" s="1"/>
      <c r="D518" s="1"/>
      <c r="E518" s="1"/>
      <c r="F518" s="1"/>
      <c r="G518" s="1">
        <f t="shared" si="8"/>
        <v>0.21</v>
      </c>
      <c r="H518" s="1"/>
      <c r="I518" s="1">
        <f t="shared" si="7"/>
        <v>0.21</v>
      </c>
      <c r="J518" s="1"/>
      <c r="K518" s="1"/>
      <c r="L518" s="1"/>
      <c r="M518" s="1"/>
      <c r="N518" s="1"/>
      <c r="O518" s="1"/>
      <c r="P518" s="1"/>
      <c r="Q518" s="1"/>
      <c r="R518" s="1"/>
      <c r="S518" s="121"/>
      <c r="V518" s="137"/>
      <c r="W518" s="137"/>
      <c r="X518" s="137"/>
      <c r="Y518" s="137"/>
      <c r="Z518" s="137"/>
      <c r="AA518" s="137"/>
      <c r="AB518" s="137"/>
    </row>
    <row r="519" spans="2:28" hidden="1" x14ac:dyDescent="0.2">
      <c r="B519" s="28"/>
      <c r="C519" s="1"/>
      <c r="D519" s="1"/>
      <c r="E519" s="1"/>
      <c r="F519" s="1"/>
      <c r="G519" s="1">
        <f t="shared" si="8"/>
        <v>0.21</v>
      </c>
      <c r="H519" s="1"/>
      <c r="I519" s="1">
        <f t="shared" si="7"/>
        <v>0.21</v>
      </c>
      <c r="J519" s="1"/>
      <c r="K519" s="1"/>
      <c r="L519" s="1"/>
      <c r="M519" s="1"/>
      <c r="N519" s="1"/>
      <c r="O519" s="1"/>
      <c r="P519" s="1"/>
      <c r="Q519" s="1"/>
      <c r="R519" s="1"/>
      <c r="S519" s="121"/>
      <c r="V519" s="137"/>
      <c r="W519" s="137"/>
      <c r="X519" s="137"/>
      <c r="Y519" s="137"/>
      <c r="Z519" s="137"/>
      <c r="AA519" s="137"/>
      <c r="AB519" s="137"/>
    </row>
    <row r="520" spans="2:28" hidden="1" x14ac:dyDescent="0.2">
      <c r="B520" s="28"/>
      <c r="C520" s="1"/>
      <c r="D520" s="1"/>
      <c r="E520" s="1"/>
      <c r="F520" s="1"/>
      <c r="G520" s="1">
        <f t="shared" si="8"/>
        <v>0.21</v>
      </c>
      <c r="H520" s="1"/>
      <c r="I520" s="1">
        <f t="shared" si="7"/>
        <v>0.21</v>
      </c>
      <c r="J520" s="1"/>
      <c r="K520" s="1"/>
      <c r="L520" s="1"/>
      <c r="M520" s="1"/>
      <c r="N520" s="1"/>
      <c r="O520" s="1"/>
      <c r="P520" s="1"/>
      <c r="Q520" s="1"/>
      <c r="R520" s="1"/>
      <c r="S520" s="121"/>
      <c r="V520" s="137"/>
      <c r="W520" s="137"/>
      <c r="X520" s="137"/>
      <c r="Y520" s="137"/>
      <c r="Z520" s="137"/>
      <c r="AA520" s="137"/>
      <c r="AB520" s="137"/>
    </row>
    <row r="521" spans="2:28" hidden="1" x14ac:dyDescent="0.2">
      <c r="B521" s="28"/>
      <c r="C521" s="1"/>
      <c r="D521" s="1"/>
      <c r="E521" s="1"/>
      <c r="F521" s="1"/>
      <c r="G521" s="1">
        <f t="shared" si="8"/>
        <v>0.21</v>
      </c>
      <c r="H521" s="1"/>
      <c r="I521" s="1">
        <f t="shared" si="7"/>
        <v>0.21</v>
      </c>
      <c r="J521" s="1"/>
      <c r="K521" s="1"/>
      <c r="L521" s="1"/>
      <c r="M521" s="1"/>
      <c r="N521" s="1"/>
      <c r="O521" s="1"/>
      <c r="P521" s="1"/>
      <c r="Q521" s="1"/>
      <c r="R521" s="1"/>
      <c r="S521" s="121"/>
      <c r="V521" s="137"/>
      <c r="W521" s="137"/>
      <c r="X521" s="137"/>
      <c r="Y521" s="137"/>
      <c r="Z521" s="137"/>
      <c r="AA521" s="137"/>
      <c r="AB521" s="137"/>
    </row>
    <row r="522" spans="2:28" hidden="1" x14ac:dyDescent="0.2">
      <c r="B522" s="28"/>
      <c r="C522" s="1"/>
      <c r="D522" s="1"/>
      <c r="E522" s="1"/>
      <c r="F522" s="1"/>
      <c r="G522" s="1">
        <f t="shared" si="8"/>
        <v>0.21</v>
      </c>
      <c r="H522" s="1"/>
      <c r="I522" s="1">
        <f t="shared" si="7"/>
        <v>0.21</v>
      </c>
      <c r="J522" s="1"/>
      <c r="K522" s="1"/>
      <c r="L522" s="1"/>
      <c r="M522" s="1"/>
      <c r="N522" s="1"/>
      <c r="O522" s="1"/>
      <c r="P522" s="1"/>
      <c r="Q522" s="1"/>
      <c r="R522" s="1"/>
      <c r="S522" s="121"/>
      <c r="V522" s="137"/>
      <c r="W522" s="137"/>
      <c r="X522" s="137"/>
      <c r="Y522" s="137"/>
      <c r="Z522" s="137"/>
      <c r="AA522" s="137"/>
      <c r="AB522" s="137"/>
    </row>
    <row r="523" spans="2:28" hidden="1" x14ac:dyDescent="0.2">
      <c r="B523" s="28"/>
      <c r="C523" s="1"/>
      <c r="D523" s="1"/>
      <c r="E523" s="1"/>
      <c r="F523" s="1"/>
      <c r="G523" s="1">
        <f t="shared" si="8"/>
        <v>0.21</v>
      </c>
      <c r="H523" s="1"/>
      <c r="I523" s="1">
        <f t="shared" si="7"/>
        <v>0.21</v>
      </c>
      <c r="J523" s="1"/>
      <c r="K523" s="1"/>
      <c r="L523" s="1"/>
      <c r="M523" s="1"/>
      <c r="N523" s="1"/>
      <c r="O523" s="1"/>
      <c r="P523" s="1"/>
      <c r="Q523" s="1"/>
      <c r="R523" s="1"/>
      <c r="S523" s="121"/>
      <c r="V523" s="137"/>
      <c r="W523" s="137"/>
      <c r="X523" s="137"/>
      <c r="Y523" s="137"/>
      <c r="Z523" s="137"/>
      <c r="AA523" s="137"/>
      <c r="AB523" s="137"/>
    </row>
    <row r="524" spans="2:28" hidden="1" x14ac:dyDescent="0.2">
      <c r="B524" s="28"/>
      <c r="C524" s="1"/>
      <c r="D524" s="1"/>
      <c r="E524" s="1"/>
      <c r="F524" s="1"/>
      <c r="G524" s="1"/>
      <c r="H524" s="1"/>
      <c r="I524" s="1"/>
      <c r="J524" s="1"/>
      <c r="K524" s="1"/>
      <c r="L524" s="1"/>
      <c r="M524" s="1"/>
      <c r="N524" s="1"/>
      <c r="O524" s="1"/>
      <c r="P524" s="1"/>
      <c r="Q524" s="1"/>
      <c r="R524" s="1"/>
      <c r="S524" s="121"/>
      <c r="V524" s="137"/>
      <c r="W524" s="137"/>
      <c r="X524" s="137"/>
      <c r="Y524" s="137"/>
      <c r="Z524" s="137"/>
      <c r="AA524" s="137"/>
      <c r="AB524" s="137"/>
    </row>
    <row r="525" spans="2:28" ht="14.25" hidden="1" x14ac:dyDescent="0.2">
      <c r="B525" s="28"/>
      <c r="C525" s="1"/>
      <c r="D525" s="1"/>
      <c r="E525" s="1" t="s">
        <v>567</v>
      </c>
      <c r="F525" s="1"/>
      <c r="G525" s="1">
        <f>$I$455</f>
        <v>0.21</v>
      </c>
      <c r="H525" s="1"/>
      <c r="I525" s="1">
        <f t="shared" ref="I525:I554" si="9">IF(H525="",G525,H525)</f>
        <v>0.21</v>
      </c>
      <c r="J525" s="1" t="s">
        <v>1345</v>
      </c>
      <c r="K525" s="1"/>
      <c r="L525" s="1"/>
      <c r="M525" s="1"/>
      <c r="N525" s="1"/>
      <c r="O525" s="1"/>
      <c r="P525" s="1"/>
      <c r="Q525" s="1"/>
      <c r="R525" s="1"/>
      <c r="S525" s="121"/>
      <c r="V525" s="137"/>
      <c r="W525" s="137"/>
      <c r="X525" s="137"/>
      <c r="Y525" s="137"/>
      <c r="Z525" s="137"/>
      <c r="AA525" s="137"/>
      <c r="AB525" s="137"/>
    </row>
    <row r="526" spans="2:28" hidden="1" x14ac:dyDescent="0.2">
      <c r="B526" s="28"/>
      <c r="C526" s="1"/>
      <c r="D526" s="1"/>
      <c r="E526" s="1" t="str">
        <f>SANDBOX!D52</f>
        <v>Relaciones Púb.</v>
      </c>
      <c r="F526" s="1"/>
      <c r="G526" s="1">
        <f t="shared" ref="G526:G554" si="10">$I$525</f>
        <v>0.21</v>
      </c>
      <c r="H526" s="1"/>
      <c r="I526" s="1">
        <f t="shared" si="9"/>
        <v>0.21</v>
      </c>
      <c r="J526" s="1"/>
      <c r="K526" s="1"/>
      <c r="L526" s="1"/>
      <c r="M526" s="1"/>
      <c r="N526" s="1"/>
      <c r="O526" s="1"/>
      <c r="P526" s="1"/>
      <c r="Q526" s="1"/>
      <c r="R526" s="1"/>
      <c r="S526" s="121"/>
      <c r="V526" s="137"/>
      <c r="W526" s="137"/>
      <c r="X526" s="137"/>
      <c r="Y526" s="137"/>
      <c r="Z526" s="137"/>
      <c r="AA526" s="137"/>
      <c r="AB526" s="137"/>
    </row>
    <row r="527" spans="2:28" hidden="1" x14ac:dyDescent="0.2">
      <c r="B527" s="28"/>
      <c r="C527" s="1"/>
      <c r="D527" s="1"/>
      <c r="E527" s="1"/>
      <c r="F527" s="1"/>
      <c r="G527" s="1">
        <f t="shared" si="10"/>
        <v>0.21</v>
      </c>
      <c r="H527" s="1"/>
      <c r="I527" s="1">
        <f t="shared" si="9"/>
        <v>0.21</v>
      </c>
      <c r="J527" s="1"/>
      <c r="K527" s="1"/>
      <c r="L527" s="1"/>
      <c r="M527" s="1"/>
      <c r="N527" s="1"/>
      <c r="O527" s="1"/>
      <c r="P527" s="1"/>
      <c r="Q527" s="1"/>
      <c r="R527" s="1"/>
      <c r="S527" s="121"/>
      <c r="V527" s="137"/>
      <c r="W527" s="137"/>
      <c r="X527" s="137"/>
      <c r="Y527" s="137"/>
      <c r="Z527" s="137"/>
      <c r="AA527" s="137"/>
      <c r="AB527" s="137"/>
    </row>
    <row r="528" spans="2:28" hidden="1" x14ac:dyDescent="0.2">
      <c r="B528" s="28"/>
      <c r="C528" s="1"/>
      <c r="D528" s="1"/>
      <c r="E528" s="1"/>
      <c r="F528" s="1"/>
      <c r="G528" s="1">
        <f t="shared" si="10"/>
        <v>0.21</v>
      </c>
      <c r="H528" s="1"/>
      <c r="I528" s="1">
        <f t="shared" si="9"/>
        <v>0.21</v>
      </c>
      <c r="J528" s="1"/>
      <c r="K528" s="1"/>
      <c r="L528" s="1"/>
      <c r="M528" s="1"/>
      <c r="N528" s="1"/>
      <c r="O528" s="1"/>
      <c r="P528" s="1"/>
      <c r="Q528" s="1"/>
      <c r="R528" s="1"/>
      <c r="S528" s="121"/>
      <c r="V528" s="137"/>
      <c r="W528" s="137"/>
      <c r="X528" s="137"/>
      <c r="Y528" s="137"/>
      <c r="Z528" s="137"/>
      <c r="AA528" s="137"/>
      <c r="AB528" s="137"/>
    </row>
    <row r="529" spans="2:28" hidden="1" x14ac:dyDescent="0.2">
      <c r="B529" s="28"/>
      <c r="C529" s="1"/>
      <c r="D529" s="1"/>
      <c r="E529" s="1"/>
      <c r="F529" s="1"/>
      <c r="G529" s="1">
        <f t="shared" si="10"/>
        <v>0.21</v>
      </c>
      <c r="H529" s="1"/>
      <c r="I529" s="1">
        <f t="shared" si="9"/>
        <v>0.21</v>
      </c>
      <c r="J529" s="1"/>
      <c r="K529" s="1"/>
      <c r="L529" s="1"/>
      <c r="M529" s="1"/>
      <c r="N529" s="1"/>
      <c r="O529" s="1"/>
      <c r="P529" s="1"/>
      <c r="Q529" s="1"/>
      <c r="R529" s="1"/>
      <c r="S529" s="121"/>
      <c r="V529" s="137"/>
      <c r="W529" s="137"/>
      <c r="X529" s="137"/>
      <c r="Y529" s="137"/>
      <c r="Z529" s="137"/>
      <c r="AA529" s="137"/>
      <c r="AB529" s="137"/>
    </row>
    <row r="530" spans="2:28" hidden="1" x14ac:dyDescent="0.2">
      <c r="B530" s="28"/>
      <c r="C530" s="1"/>
      <c r="D530" s="1"/>
      <c r="E530" s="1"/>
      <c r="F530" s="1"/>
      <c r="G530" s="1">
        <f t="shared" si="10"/>
        <v>0.21</v>
      </c>
      <c r="H530" s="1"/>
      <c r="I530" s="1">
        <f t="shared" si="9"/>
        <v>0.21</v>
      </c>
      <c r="J530" s="1" t="s">
        <v>1297</v>
      </c>
      <c r="K530" s="1"/>
      <c r="L530" s="1"/>
      <c r="M530" s="1"/>
      <c r="N530" s="1"/>
      <c r="O530" s="1"/>
      <c r="P530" s="1"/>
      <c r="Q530" s="1"/>
      <c r="R530" s="1"/>
      <c r="S530" s="121"/>
      <c r="V530" s="137"/>
      <c r="W530" s="137"/>
      <c r="X530" s="137"/>
      <c r="Y530" s="137"/>
      <c r="Z530" s="137"/>
      <c r="AA530" s="137"/>
      <c r="AB530" s="137"/>
    </row>
    <row r="531" spans="2:28" hidden="1" x14ac:dyDescent="0.2">
      <c r="B531" s="28"/>
      <c r="C531" s="1"/>
      <c r="D531" s="1"/>
      <c r="E531" s="1"/>
      <c r="F531" s="1"/>
      <c r="G531" s="1">
        <f t="shared" si="10"/>
        <v>0.21</v>
      </c>
      <c r="H531" s="1"/>
      <c r="I531" s="1">
        <f t="shared" si="9"/>
        <v>0.21</v>
      </c>
      <c r="J531" s="1"/>
      <c r="K531" s="1"/>
      <c r="L531" s="1"/>
      <c r="M531" s="1"/>
      <c r="N531" s="1"/>
      <c r="O531" s="1"/>
      <c r="P531" s="1"/>
      <c r="Q531" s="1"/>
      <c r="R531" s="1"/>
      <c r="S531" s="121"/>
      <c r="V531" s="137"/>
      <c r="W531" s="137"/>
      <c r="X531" s="137"/>
      <c r="Y531" s="137"/>
      <c r="Z531" s="137"/>
      <c r="AA531" s="137"/>
      <c r="AB531" s="137"/>
    </row>
    <row r="532" spans="2:28" hidden="1" x14ac:dyDescent="0.2">
      <c r="B532" s="28"/>
      <c r="C532" s="1"/>
      <c r="D532" s="1"/>
      <c r="E532" s="1"/>
      <c r="F532" s="1"/>
      <c r="G532" s="1">
        <f t="shared" si="10"/>
        <v>0.21</v>
      </c>
      <c r="H532" s="1"/>
      <c r="I532" s="1">
        <f t="shared" si="9"/>
        <v>0.21</v>
      </c>
      <c r="J532" s="1"/>
      <c r="K532" s="1"/>
      <c r="L532" s="1"/>
      <c r="M532" s="1"/>
      <c r="N532" s="1"/>
      <c r="O532" s="1"/>
      <c r="P532" s="1"/>
      <c r="Q532" s="1"/>
      <c r="R532" s="1"/>
      <c r="S532" s="121"/>
      <c r="V532" s="137"/>
      <c r="W532" s="137"/>
      <c r="X532" s="137"/>
      <c r="Y532" s="137"/>
      <c r="Z532" s="137"/>
      <c r="AA532" s="137"/>
      <c r="AB532" s="137"/>
    </row>
    <row r="533" spans="2:28" hidden="1" x14ac:dyDescent="0.2">
      <c r="B533" s="28"/>
      <c r="C533" s="1"/>
      <c r="D533" s="1"/>
      <c r="E533" s="1"/>
      <c r="F533" s="1"/>
      <c r="G533" s="1">
        <f t="shared" si="10"/>
        <v>0.21</v>
      </c>
      <c r="H533" s="1"/>
      <c r="I533" s="1">
        <f t="shared" si="9"/>
        <v>0.21</v>
      </c>
      <c r="J533" s="1"/>
      <c r="K533" s="1"/>
      <c r="L533" s="1"/>
      <c r="M533" s="1"/>
      <c r="N533" s="1"/>
      <c r="O533" s="1"/>
      <c r="P533" s="1"/>
      <c r="Q533" s="1"/>
      <c r="R533" s="1"/>
      <c r="S533" s="121"/>
      <c r="V533" s="137"/>
      <c r="W533" s="137"/>
      <c r="X533" s="137"/>
      <c r="Y533" s="137"/>
      <c r="Z533" s="137"/>
      <c r="AA533" s="137"/>
      <c r="AB533" s="137"/>
    </row>
    <row r="534" spans="2:28" hidden="1" x14ac:dyDescent="0.2">
      <c r="B534" s="28"/>
      <c r="C534" s="1"/>
      <c r="D534" s="1"/>
      <c r="E534" s="1"/>
      <c r="F534" s="1"/>
      <c r="G534" s="1">
        <f t="shared" si="10"/>
        <v>0.21</v>
      </c>
      <c r="H534" s="1"/>
      <c r="I534" s="1">
        <f t="shared" si="9"/>
        <v>0.21</v>
      </c>
      <c r="J534" s="1"/>
      <c r="K534" s="1"/>
      <c r="L534" s="1"/>
      <c r="M534" s="1"/>
      <c r="N534" s="1"/>
      <c r="O534" s="1"/>
      <c r="P534" s="1"/>
      <c r="Q534" s="1"/>
      <c r="R534" s="1"/>
      <c r="S534" s="121"/>
      <c r="V534" s="137"/>
      <c r="W534" s="137"/>
      <c r="X534" s="137"/>
      <c r="Y534" s="137"/>
      <c r="Z534" s="137"/>
      <c r="AA534" s="137"/>
      <c r="AB534" s="137"/>
    </row>
    <row r="535" spans="2:28" hidden="1" x14ac:dyDescent="0.2">
      <c r="B535" s="28"/>
      <c r="C535" s="1"/>
      <c r="D535" s="1"/>
      <c r="E535" s="1"/>
      <c r="F535" s="1"/>
      <c r="G535" s="1">
        <f t="shared" si="10"/>
        <v>0.21</v>
      </c>
      <c r="H535" s="1"/>
      <c r="I535" s="1">
        <f t="shared" si="9"/>
        <v>0.21</v>
      </c>
      <c r="J535" s="1"/>
      <c r="K535" s="1"/>
      <c r="L535" s="1"/>
      <c r="M535" s="1"/>
      <c r="N535" s="1"/>
      <c r="O535" s="1"/>
      <c r="P535" s="1"/>
      <c r="Q535" s="1"/>
      <c r="R535" s="1"/>
      <c r="S535" s="121"/>
      <c r="V535" s="137"/>
      <c r="W535" s="137"/>
      <c r="X535" s="137"/>
      <c r="Y535" s="137"/>
      <c r="Z535" s="137"/>
      <c r="AA535" s="137"/>
      <c r="AB535" s="137"/>
    </row>
    <row r="536" spans="2:28" hidden="1" x14ac:dyDescent="0.2">
      <c r="B536" s="28"/>
      <c r="C536" s="1"/>
      <c r="D536" s="1"/>
      <c r="E536" s="1"/>
      <c r="F536" s="1"/>
      <c r="G536" s="1">
        <f t="shared" si="10"/>
        <v>0.21</v>
      </c>
      <c r="H536" s="1"/>
      <c r="I536" s="1">
        <f t="shared" si="9"/>
        <v>0.21</v>
      </c>
      <c r="J536" s="1"/>
      <c r="K536" s="1"/>
      <c r="L536" s="1"/>
      <c r="M536" s="1"/>
      <c r="N536" s="1"/>
      <c r="O536" s="1"/>
      <c r="P536" s="1"/>
      <c r="Q536" s="1"/>
      <c r="R536" s="1"/>
      <c r="S536" s="121"/>
      <c r="V536" s="137"/>
      <c r="W536" s="137"/>
      <c r="X536" s="137"/>
      <c r="Y536" s="137"/>
      <c r="Z536" s="137"/>
      <c r="AA536" s="137"/>
      <c r="AB536" s="137"/>
    </row>
    <row r="537" spans="2:28" hidden="1" x14ac:dyDescent="0.2">
      <c r="B537" s="28"/>
      <c r="C537" s="1"/>
      <c r="D537" s="1"/>
      <c r="E537" s="1"/>
      <c r="F537" s="1"/>
      <c r="G537" s="1">
        <f t="shared" si="10"/>
        <v>0.21</v>
      </c>
      <c r="H537" s="1"/>
      <c r="I537" s="1">
        <f t="shared" si="9"/>
        <v>0.21</v>
      </c>
      <c r="J537" s="1"/>
      <c r="K537" s="1"/>
      <c r="L537" s="1"/>
      <c r="M537" s="1"/>
      <c r="N537" s="1"/>
      <c r="O537" s="1"/>
      <c r="P537" s="1"/>
      <c r="Q537" s="1"/>
      <c r="R537" s="1"/>
      <c r="S537" s="121"/>
      <c r="V537" s="137"/>
      <c r="W537" s="137"/>
      <c r="X537" s="137"/>
      <c r="Y537" s="137"/>
      <c r="Z537" s="137"/>
      <c r="AA537" s="137"/>
      <c r="AB537" s="137"/>
    </row>
    <row r="538" spans="2:28" hidden="1" x14ac:dyDescent="0.2">
      <c r="B538" s="28"/>
      <c r="C538" s="1"/>
      <c r="D538" s="1"/>
      <c r="E538" s="1"/>
      <c r="F538" s="1"/>
      <c r="G538" s="1">
        <f t="shared" si="10"/>
        <v>0.21</v>
      </c>
      <c r="H538" s="1"/>
      <c r="I538" s="1">
        <f t="shared" si="9"/>
        <v>0.21</v>
      </c>
      <c r="J538" s="1"/>
      <c r="K538" s="1"/>
      <c r="L538" s="1"/>
      <c r="M538" s="1"/>
      <c r="N538" s="1"/>
      <c r="O538" s="1"/>
      <c r="P538" s="1"/>
      <c r="Q538" s="1"/>
      <c r="R538" s="1"/>
      <c r="S538" s="121"/>
      <c r="V538" s="137"/>
      <c r="W538" s="137"/>
      <c r="X538" s="137"/>
      <c r="Y538" s="137"/>
      <c r="Z538" s="137"/>
      <c r="AA538" s="137"/>
      <c r="AB538" s="137"/>
    </row>
    <row r="539" spans="2:28" hidden="1" x14ac:dyDescent="0.2">
      <c r="B539" s="28"/>
      <c r="C539" s="1"/>
      <c r="D539" s="1"/>
      <c r="E539" s="1"/>
      <c r="F539" s="1"/>
      <c r="G539" s="1">
        <f t="shared" si="10"/>
        <v>0.21</v>
      </c>
      <c r="H539" s="1"/>
      <c r="I539" s="1">
        <f t="shared" si="9"/>
        <v>0.21</v>
      </c>
      <c r="J539" s="1"/>
      <c r="K539" s="1"/>
      <c r="L539" s="1"/>
      <c r="M539" s="1"/>
      <c r="N539" s="1"/>
      <c r="O539" s="1"/>
      <c r="P539" s="1"/>
      <c r="Q539" s="1"/>
      <c r="R539" s="1"/>
      <c r="S539" s="121"/>
      <c r="V539" s="137"/>
      <c r="W539" s="137"/>
      <c r="X539" s="137"/>
      <c r="Y539" s="137"/>
      <c r="Z539" s="137"/>
      <c r="AA539" s="137"/>
      <c r="AB539" s="137"/>
    </row>
    <row r="540" spans="2:28" hidden="1" x14ac:dyDescent="0.2">
      <c r="B540" s="28"/>
      <c r="C540" s="1"/>
      <c r="D540" s="1"/>
      <c r="E540" s="1"/>
      <c r="F540" s="1"/>
      <c r="G540" s="1">
        <f t="shared" si="10"/>
        <v>0.21</v>
      </c>
      <c r="H540" s="1"/>
      <c r="I540" s="1">
        <f t="shared" si="9"/>
        <v>0.21</v>
      </c>
      <c r="J540" s="1"/>
      <c r="K540" s="1"/>
      <c r="L540" s="1"/>
      <c r="M540" s="1"/>
      <c r="N540" s="1"/>
      <c r="O540" s="1"/>
      <c r="P540" s="1"/>
      <c r="Q540" s="1"/>
      <c r="R540" s="1"/>
      <c r="S540" s="121"/>
      <c r="V540" s="137"/>
      <c r="W540" s="137"/>
      <c r="X540" s="137"/>
      <c r="Y540" s="137"/>
      <c r="Z540" s="137"/>
      <c r="AA540" s="137"/>
      <c r="AB540" s="137"/>
    </row>
    <row r="541" spans="2:28" hidden="1" x14ac:dyDescent="0.2">
      <c r="B541" s="28"/>
      <c r="C541" s="1"/>
      <c r="D541" s="1"/>
      <c r="E541" s="1"/>
      <c r="F541" s="1"/>
      <c r="G541" s="1">
        <f t="shared" si="10"/>
        <v>0.21</v>
      </c>
      <c r="H541" s="1"/>
      <c r="I541" s="1">
        <f t="shared" si="9"/>
        <v>0.21</v>
      </c>
      <c r="J541" s="1"/>
      <c r="K541" s="1"/>
      <c r="L541" s="1"/>
      <c r="M541" s="1"/>
      <c r="N541" s="1"/>
      <c r="O541" s="1"/>
      <c r="P541" s="1"/>
      <c r="Q541" s="1"/>
      <c r="R541" s="1"/>
      <c r="S541" s="121"/>
      <c r="V541" s="137"/>
      <c r="W541" s="137"/>
      <c r="X541" s="137"/>
      <c r="Y541" s="137"/>
      <c r="Z541" s="137"/>
      <c r="AA541" s="137"/>
      <c r="AB541" s="137"/>
    </row>
    <row r="542" spans="2:28" hidden="1" x14ac:dyDescent="0.2">
      <c r="B542" s="28"/>
      <c r="C542" s="1"/>
      <c r="D542" s="1"/>
      <c r="E542" s="1"/>
      <c r="F542" s="1"/>
      <c r="G542" s="1">
        <f t="shared" si="10"/>
        <v>0.21</v>
      </c>
      <c r="H542" s="1"/>
      <c r="I542" s="1">
        <f t="shared" si="9"/>
        <v>0.21</v>
      </c>
      <c r="J542" s="1"/>
      <c r="K542" s="1"/>
      <c r="L542" s="1"/>
      <c r="M542" s="1"/>
      <c r="N542" s="1"/>
      <c r="O542" s="1"/>
      <c r="P542" s="1"/>
      <c r="Q542" s="1"/>
      <c r="R542" s="1"/>
      <c r="S542" s="121"/>
      <c r="V542" s="137"/>
      <c r="W542" s="137"/>
      <c r="X542" s="137"/>
      <c r="Y542" s="137"/>
      <c r="Z542" s="137"/>
      <c r="AA542" s="137"/>
      <c r="AB542" s="137"/>
    </row>
    <row r="543" spans="2:28" hidden="1" x14ac:dyDescent="0.2">
      <c r="B543" s="28"/>
      <c r="C543" s="1"/>
      <c r="D543" s="1"/>
      <c r="E543" s="1"/>
      <c r="F543" s="1"/>
      <c r="G543" s="1">
        <f t="shared" si="10"/>
        <v>0.21</v>
      </c>
      <c r="H543" s="1"/>
      <c r="I543" s="1">
        <f t="shared" si="9"/>
        <v>0.21</v>
      </c>
      <c r="J543" s="1"/>
      <c r="K543" s="1"/>
      <c r="L543" s="1"/>
      <c r="M543" s="1"/>
      <c r="N543" s="1"/>
      <c r="O543" s="1"/>
      <c r="P543" s="1"/>
      <c r="Q543" s="1"/>
      <c r="R543" s="1"/>
      <c r="S543" s="121"/>
      <c r="V543" s="137"/>
      <c r="W543" s="137"/>
      <c r="X543" s="137"/>
      <c r="Y543" s="137"/>
      <c r="Z543" s="137"/>
      <c r="AA543" s="137"/>
      <c r="AB543" s="137"/>
    </row>
    <row r="544" spans="2:28" hidden="1" x14ac:dyDescent="0.2">
      <c r="B544" s="28"/>
      <c r="C544" s="1"/>
      <c r="D544" s="1"/>
      <c r="E544" s="1"/>
      <c r="F544" s="1"/>
      <c r="G544" s="1">
        <f t="shared" si="10"/>
        <v>0.21</v>
      </c>
      <c r="H544" s="1"/>
      <c r="I544" s="1">
        <f t="shared" si="9"/>
        <v>0.21</v>
      </c>
      <c r="J544" s="1"/>
      <c r="K544" s="1"/>
      <c r="L544" s="1"/>
      <c r="M544" s="1"/>
      <c r="N544" s="1"/>
      <c r="O544" s="1"/>
      <c r="P544" s="1"/>
      <c r="Q544" s="1"/>
      <c r="R544" s="1"/>
      <c r="S544" s="121"/>
      <c r="V544" s="137"/>
      <c r="W544" s="137"/>
      <c r="X544" s="137"/>
      <c r="Y544" s="137"/>
      <c r="Z544" s="137"/>
      <c r="AA544" s="137"/>
      <c r="AB544" s="137"/>
    </row>
    <row r="545" spans="2:28" hidden="1" x14ac:dyDescent="0.2">
      <c r="B545" s="28"/>
      <c r="C545" s="1"/>
      <c r="D545" s="1"/>
      <c r="E545" s="1"/>
      <c r="F545" s="1"/>
      <c r="G545" s="1">
        <f t="shared" si="10"/>
        <v>0.21</v>
      </c>
      <c r="H545" s="1"/>
      <c r="I545" s="1">
        <f t="shared" si="9"/>
        <v>0.21</v>
      </c>
      <c r="J545" s="1"/>
      <c r="K545" s="1"/>
      <c r="L545" s="1"/>
      <c r="M545" s="1"/>
      <c r="N545" s="1"/>
      <c r="O545" s="1"/>
      <c r="P545" s="1"/>
      <c r="Q545" s="1"/>
      <c r="R545" s="1"/>
      <c r="S545" s="121"/>
      <c r="V545" s="137"/>
      <c r="W545" s="137"/>
      <c r="X545" s="137"/>
      <c r="Y545" s="137"/>
      <c r="Z545" s="137"/>
      <c r="AA545" s="137"/>
      <c r="AB545" s="137"/>
    </row>
    <row r="546" spans="2:28" hidden="1" x14ac:dyDescent="0.2">
      <c r="B546" s="28"/>
      <c r="C546" s="1"/>
      <c r="D546" s="1"/>
      <c r="E546" s="1"/>
      <c r="F546" s="1"/>
      <c r="G546" s="1">
        <f t="shared" si="10"/>
        <v>0.21</v>
      </c>
      <c r="H546" s="1"/>
      <c r="I546" s="1">
        <f t="shared" si="9"/>
        <v>0.21</v>
      </c>
      <c r="J546" s="1"/>
      <c r="K546" s="1"/>
      <c r="L546" s="1"/>
      <c r="M546" s="1"/>
      <c r="N546" s="1"/>
      <c r="O546" s="1"/>
      <c r="P546" s="1"/>
      <c r="Q546" s="1"/>
      <c r="R546" s="1"/>
      <c r="S546" s="121"/>
      <c r="V546" s="137"/>
      <c r="W546" s="137"/>
      <c r="X546" s="137"/>
      <c r="Y546" s="137"/>
      <c r="Z546" s="137"/>
      <c r="AA546" s="137"/>
      <c r="AB546" s="137"/>
    </row>
    <row r="547" spans="2:28" hidden="1" x14ac:dyDescent="0.2">
      <c r="B547" s="28"/>
      <c r="C547" s="1"/>
      <c r="D547" s="1"/>
      <c r="E547" s="1"/>
      <c r="F547" s="1"/>
      <c r="G547" s="1">
        <f t="shared" si="10"/>
        <v>0.21</v>
      </c>
      <c r="H547" s="1"/>
      <c r="I547" s="1">
        <f t="shared" si="9"/>
        <v>0.21</v>
      </c>
      <c r="J547" s="1"/>
      <c r="K547" s="1"/>
      <c r="L547" s="1"/>
      <c r="M547" s="1"/>
      <c r="N547" s="1"/>
      <c r="O547" s="1"/>
      <c r="P547" s="1"/>
      <c r="Q547" s="1"/>
      <c r="R547" s="1"/>
      <c r="S547" s="121"/>
      <c r="V547" s="137"/>
      <c r="W547" s="137"/>
      <c r="X547" s="137"/>
      <c r="Y547" s="137"/>
      <c r="Z547" s="137"/>
      <c r="AA547" s="137"/>
      <c r="AB547" s="137"/>
    </row>
    <row r="548" spans="2:28" hidden="1" x14ac:dyDescent="0.2">
      <c r="B548" s="28"/>
      <c r="C548" s="1"/>
      <c r="D548" s="1"/>
      <c r="E548" s="1"/>
      <c r="F548" s="1"/>
      <c r="G548" s="1">
        <f t="shared" si="10"/>
        <v>0.21</v>
      </c>
      <c r="H548" s="1"/>
      <c r="I548" s="1">
        <f t="shared" si="9"/>
        <v>0.21</v>
      </c>
      <c r="J548" s="1"/>
      <c r="K548" s="1"/>
      <c r="L548" s="1"/>
      <c r="M548" s="1"/>
      <c r="N548" s="1"/>
      <c r="O548" s="1"/>
      <c r="P548" s="1"/>
      <c r="Q548" s="1"/>
      <c r="R548" s="1"/>
      <c r="S548" s="121"/>
      <c r="V548" s="137"/>
      <c r="W548" s="137"/>
      <c r="X548" s="137"/>
      <c r="Y548" s="137"/>
      <c r="Z548" s="137"/>
      <c r="AA548" s="137"/>
      <c r="AB548" s="137"/>
    </row>
    <row r="549" spans="2:28" hidden="1" x14ac:dyDescent="0.2">
      <c r="B549" s="28"/>
      <c r="C549" s="1"/>
      <c r="D549" s="1"/>
      <c r="E549" s="1"/>
      <c r="F549" s="1"/>
      <c r="G549" s="1">
        <f t="shared" si="10"/>
        <v>0.21</v>
      </c>
      <c r="H549" s="1"/>
      <c r="I549" s="1">
        <f t="shared" si="9"/>
        <v>0.21</v>
      </c>
      <c r="J549" s="1"/>
      <c r="K549" s="1"/>
      <c r="L549" s="1"/>
      <c r="M549" s="1"/>
      <c r="N549" s="1"/>
      <c r="O549" s="1"/>
      <c r="P549" s="1"/>
      <c r="Q549" s="1"/>
      <c r="R549" s="1"/>
      <c r="S549" s="121"/>
      <c r="V549" s="137"/>
      <c r="W549" s="137"/>
      <c r="X549" s="137"/>
      <c r="Y549" s="137"/>
      <c r="Z549" s="137"/>
      <c r="AA549" s="137"/>
      <c r="AB549" s="137"/>
    </row>
    <row r="550" spans="2:28" hidden="1" x14ac:dyDescent="0.2">
      <c r="B550" s="28"/>
      <c r="C550" s="1"/>
      <c r="D550" s="1"/>
      <c r="E550" s="1"/>
      <c r="F550" s="1"/>
      <c r="G550" s="1">
        <f t="shared" si="10"/>
        <v>0.21</v>
      </c>
      <c r="H550" s="1"/>
      <c r="I550" s="1">
        <f t="shared" si="9"/>
        <v>0.21</v>
      </c>
      <c r="J550" s="1"/>
      <c r="K550" s="1"/>
      <c r="L550" s="1"/>
      <c r="M550" s="1"/>
      <c r="N550" s="1"/>
      <c r="O550" s="1"/>
      <c r="P550" s="1"/>
      <c r="Q550" s="1"/>
      <c r="R550" s="1"/>
      <c r="S550" s="121"/>
      <c r="V550" s="137"/>
      <c r="W550" s="137"/>
      <c r="X550" s="137"/>
      <c r="Y550" s="137"/>
      <c r="Z550" s="137"/>
      <c r="AA550" s="137"/>
      <c r="AB550" s="137"/>
    </row>
    <row r="551" spans="2:28" hidden="1" x14ac:dyDescent="0.2">
      <c r="B551" s="28"/>
      <c r="C551" s="1"/>
      <c r="D551" s="1"/>
      <c r="E551" s="1"/>
      <c r="F551" s="1"/>
      <c r="G551" s="1">
        <f t="shared" si="10"/>
        <v>0.21</v>
      </c>
      <c r="H551" s="1"/>
      <c r="I551" s="1">
        <f t="shared" si="9"/>
        <v>0.21</v>
      </c>
      <c r="J551" s="1"/>
      <c r="K551" s="1"/>
      <c r="L551" s="1"/>
      <c r="M551" s="1"/>
      <c r="N551" s="1"/>
      <c r="O551" s="1"/>
      <c r="P551" s="1"/>
      <c r="Q551" s="1"/>
      <c r="R551" s="1"/>
      <c r="S551" s="121"/>
      <c r="V551" s="137"/>
      <c r="W551" s="137"/>
      <c r="X551" s="137"/>
      <c r="Y551" s="137"/>
      <c r="Z551" s="137"/>
      <c r="AA551" s="137"/>
      <c r="AB551" s="137"/>
    </row>
    <row r="552" spans="2:28" hidden="1" x14ac:dyDescent="0.2">
      <c r="B552" s="28"/>
      <c r="C552" s="1"/>
      <c r="D552" s="1"/>
      <c r="E552" s="1"/>
      <c r="F552" s="1"/>
      <c r="G552" s="1">
        <f t="shared" si="10"/>
        <v>0.21</v>
      </c>
      <c r="H552" s="1"/>
      <c r="I552" s="1">
        <f t="shared" si="9"/>
        <v>0.21</v>
      </c>
      <c r="J552" s="1"/>
      <c r="K552" s="1"/>
      <c r="L552" s="1"/>
      <c r="M552" s="1"/>
      <c r="N552" s="1"/>
      <c r="O552" s="1"/>
      <c r="P552" s="1"/>
      <c r="Q552" s="1"/>
      <c r="R552" s="1"/>
      <c r="S552" s="121"/>
      <c r="V552" s="137"/>
      <c r="W552" s="137"/>
      <c r="X552" s="137"/>
      <c r="Y552" s="137"/>
      <c r="Z552" s="137"/>
      <c r="AA552" s="137"/>
      <c r="AB552" s="137"/>
    </row>
    <row r="553" spans="2:28" hidden="1" x14ac:dyDescent="0.2">
      <c r="B553" s="28"/>
      <c r="C553" s="1"/>
      <c r="D553" s="1"/>
      <c r="E553" s="1"/>
      <c r="F553" s="1"/>
      <c r="G553" s="1">
        <f t="shared" si="10"/>
        <v>0.21</v>
      </c>
      <c r="H553" s="1"/>
      <c r="I553" s="1">
        <f t="shared" si="9"/>
        <v>0.21</v>
      </c>
      <c r="J553" s="1"/>
      <c r="K553" s="1"/>
      <c r="L553" s="1"/>
      <c r="M553" s="1"/>
      <c r="N553" s="1"/>
      <c r="O553" s="1"/>
      <c r="P553" s="1"/>
      <c r="Q553" s="1"/>
      <c r="R553" s="1"/>
      <c r="S553" s="121"/>
      <c r="V553" s="137"/>
      <c r="W553" s="137"/>
      <c r="X553" s="137"/>
      <c r="Y553" s="137"/>
      <c r="Z553" s="137"/>
      <c r="AA553" s="137"/>
      <c r="AB553" s="137"/>
    </row>
    <row r="554" spans="2:28" hidden="1" x14ac:dyDescent="0.2">
      <c r="B554" s="28"/>
      <c r="C554" s="1"/>
      <c r="D554" s="1"/>
      <c r="E554" s="1"/>
      <c r="F554" s="1"/>
      <c r="G554" s="1">
        <f t="shared" si="10"/>
        <v>0.21</v>
      </c>
      <c r="H554" s="1"/>
      <c r="I554" s="1">
        <f t="shared" si="9"/>
        <v>0.21</v>
      </c>
      <c r="J554" s="1"/>
      <c r="K554" s="1"/>
      <c r="L554" s="1"/>
      <c r="M554" s="1"/>
      <c r="N554" s="1"/>
      <c r="O554" s="1"/>
      <c r="P554" s="1"/>
      <c r="Q554" s="1"/>
      <c r="R554" s="1"/>
      <c r="S554" s="121"/>
      <c r="V554" s="137"/>
      <c r="W554" s="137"/>
      <c r="X554" s="137"/>
      <c r="Y554" s="137"/>
      <c r="Z554" s="137"/>
      <c r="AA554" s="137"/>
      <c r="AB554" s="137"/>
    </row>
    <row r="555" spans="2:28" hidden="1" x14ac:dyDescent="0.2">
      <c r="B555" s="28"/>
      <c r="C555" s="1"/>
      <c r="D555" s="1"/>
      <c r="E555" s="1"/>
      <c r="F555" s="1"/>
      <c r="G555" s="1"/>
      <c r="H555" s="1"/>
      <c r="I555" s="1"/>
      <c r="J555" s="1"/>
      <c r="K555" s="1"/>
      <c r="L555" s="1"/>
      <c r="M555" s="1"/>
      <c r="N555" s="1"/>
      <c r="O555" s="1"/>
      <c r="P555" s="1"/>
      <c r="Q555" s="1"/>
      <c r="R555" s="1"/>
      <c r="S555" s="121"/>
      <c r="V555" s="137"/>
      <c r="W555" s="137"/>
      <c r="X555" s="137"/>
      <c r="Y555" s="137"/>
      <c r="Z555" s="137"/>
      <c r="AA555" s="137"/>
      <c r="AB555" s="137"/>
    </row>
    <row r="556" spans="2:28" hidden="1" x14ac:dyDescent="0.2">
      <c r="B556" s="28"/>
      <c r="C556" s="1"/>
      <c r="D556" s="1"/>
      <c r="E556" s="1" t="str">
        <f>SANDBOX!$D$58</f>
        <v>Varios ventas</v>
      </c>
      <c r="F556" s="1"/>
      <c r="G556" s="1">
        <f>$I$455</f>
        <v>0.21</v>
      </c>
      <c r="H556" s="1"/>
      <c r="I556" s="1">
        <f>IF(H556="",G556,H556)</f>
        <v>0.21</v>
      </c>
      <c r="J556" s="1"/>
      <c r="K556" s="1"/>
      <c r="L556" s="1"/>
      <c r="M556" s="1"/>
      <c r="N556" s="1"/>
      <c r="O556" s="1"/>
      <c r="P556" s="1"/>
      <c r="Q556" s="1"/>
      <c r="R556" s="1"/>
      <c r="S556" s="121"/>
      <c r="V556" s="137"/>
      <c r="W556" s="137"/>
      <c r="X556" s="137"/>
      <c r="Y556" s="137"/>
      <c r="Z556" s="137"/>
      <c r="AA556" s="137"/>
      <c r="AB556" s="137"/>
    </row>
    <row r="557" spans="2:28" hidden="1" x14ac:dyDescent="0.2">
      <c r="B557" s="28"/>
      <c r="C557" s="1"/>
      <c r="D557" s="1"/>
      <c r="E557" s="1"/>
      <c r="F557" s="1"/>
      <c r="G557" s="1"/>
      <c r="H557" s="1"/>
      <c r="I557" s="1"/>
      <c r="J557" s="1"/>
      <c r="K557" s="1"/>
      <c r="L557" s="1"/>
      <c r="M557" s="1"/>
      <c r="N557" s="1"/>
      <c r="O557" s="1"/>
      <c r="P557" s="1"/>
      <c r="Q557" s="1"/>
      <c r="R557" s="1"/>
      <c r="S557" s="121"/>
      <c r="V557" s="137"/>
      <c r="W557" s="137"/>
      <c r="X557" s="137"/>
      <c r="Y557" s="137"/>
      <c r="Z557" s="137"/>
      <c r="AA557" s="137"/>
      <c r="AB557" s="137"/>
    </row>
    <row r="558" spans="2:28" hidden="1" x14ac:dyDescent="0.2">
      <c r="B558" s="28"/>
      <c r="C558" s="1"/>
      <c r="D558" s="1"/>
      <c r="E558" s="1" t="s">
        <v>568</v>
      </c>
      <c r="F558" s="1"/>
      <c r="G558" s="1">
        <f>$I$455</f>
        <v>0.21</v>
      </c>
      <c r="H558" s="1"/>
      <c r="I558" s="1">
        <f>IF(H558="",G558,H558)</f>
        <v>0.21</v>
      </c>
      <c r="J558" s="1"/>
      <c r="K558" s="1"/>
      <c r="L558" s="1"/>
      <c r="M558" s="1"/>
      <c r="N558" s="1"/>
      <c r="O558" s="1"/>
      <c r="P558" s="1"/>
      <c r="Q558" s="1"/>
      <c r="R558" s="1"/>
      <c r="S558" s="121"/>
      <c r="V558" s="137"/>
      <c r="W558" s="137"/>
      <c r="X558" s="137"/>
      <c r="Y558" s="137"/>
      <c r="Z558" s="137"/>
      <c r="AA558" s="137"/>
      <c r="AB558" s="137"/>
    </row>
    <row r="559" spans="2:28" hidden="1" x14ac:dyDescent="0.2">
      <c r="B559" s="28"/>
      <c r="C559" s="1"/>
      <c r="D559" s="1"/>
      <c r="E559" s="1"/>
      <c r="F559" s="1"/>
      <c r="G559" s="1"/>
      <c r="H559" s="1"/>
      <c r="I559" s="1"/>
      <c r="J559" s="1"/>
      <c r="K559" s="1"/>
      <c r="L559" s="1"/>
      <c r="M559" s="1"/>
      <c r="N559" s="1"/>
      <c r="O559" s="1"/>
      <c r="P559" s="1"/>
      <c r="Q559" s="1"/>
      <c r="R559" s="1"/>
      <c r="S559" s="121"/>
      <c r="V559" s="137"/>
      <c r="W559" s="137"/>
      <c r="X559" s="137"/>
      <c r="Y559" s="137"/>
      <c r="Z559" s="137"/>
      <c r="AA559" s="137"/>
      <c r="AB559" s="137"/>
    </row>
    <row r="560" spans="2:28" ht="14.25" hidden="1" x14ac:dyDescent="0.2">
      <c r="B560" s="28"/>
      <c r="C560" s="1"/>
      <c r="D560" s="1"/>
      <c r="E560" s="1" t="str">
        <f>SANDBOX!$D$66</f>
        <v>Total</v>
      </c>
      <c r="F560" s="1"/>
      <c r="G560" s="1">
        <f>$I$455</f>
        <v>0.21</v>
      </c>
      <c r="H560" s="1"/>
      <c r="I560" s="1">
        <f t="shared" ref="I560:I570" si="11">IF(H560="",G560,H560)</f>
        <v>0.21</v>
      </c>
      <c r="J560" s="1" t="s">
        <v>1345</v>
      </c>
      <c r="K560" s="1"/>
      <c r="L560" s="1"/>
      <c r="M560" s="1"/>
      <c r="N560" s="1"/>
      <c r="O560" s="1"/>
      <c r="P560" s="1"/>
      <c r="Q560" s="1"/>
      <c r="R560" s="1"/>
      <c r="S560" s="121"/>
      <c r="V560" s="137"/>
      <c r="W560" s="137"/>
      <c r="X560" s="137"/>
      <c r="Y560" s="137"/>
      <c r="Z560" s="137"/>
      <c r="AA560" s="137"/>
      <c r="AB560" s="137"/>
    </row>
    <row r="561" spans="2:28" hidden="1" x14ac:dyDescent="0.2">
      <c r="B561" s="28"/>
      <c r="C561" s="1"/>
      <c r="D561" s="1"/>
      <c r="E561" s="1" t="str">
        <f>SANDBOX!D67</f>
        <v>Gastos I+D</v>
      </c>
      <c r="F561" s="1"/>
      <c r="G561" s="1">
        <f t="shared" ref="G561:G570" si="12">$I$560</f>
        <v>0.21</v>
      </c>
      <c r="H561" s="1"/>
      <c r="I561" s="1">
        <f t="shared" si="11"/>
        <v>0.21</v>
      </c>
      <c r="J561" s="1"/>
      <c r="K561" s="1"/>
      <c r="L561" s="1"/>
      <c r="M561" s="1"/>
      <c r="N561" s="1"/>
      <c r="O561" s="1"/>
      <c r="P561" s="1"/>
      <c r="Q561" s="1"/>
      <c r="R561" s="1"/>
      <c r="S561" s="121"/>
      <c r="V561" s="137"/>
      <c r="W561" s="137"/>
      <c r="X561" s="137"/>
      <c r="Y561" s="137"/>
      <c r="Z561" s="137"/>
      <c r="AA561" s="137"/>
      <c r="AB561" s="137"/>
    </row>
    <row r="562" spans="2:28" hidden="1" x14ac:dyDescent="0.2">
      <c r="B562" s="28"/>
      <c r="C562" s="1"/>
      <c r="D562" s="1"/>
      <c r="E562" s="1" t="str">
        <f>SANDBOX!D68</f>
        <v>Arrendamientos</v>
      </c>
      <c r="F562" s="1"/>
      <c r="G562" s="1">
        <f t="shared" si="12"/>
        <v>0.21</v>
      </c>
      <c r="H562" s="1"/>
      <c r="I562" s="1">
        <f t="shared" si="11"/>
        <v>0.21</v>
      </c>
      <c r="J562" s="1"/>
      <c r="K562" s="1"/>
      <c r="L562" s="1"/>
      <c r="M562" s="1"/>
      <c r="N562" s="1"/>
      <c r="O562" s="1"/>
      <c r="P562" s="1"/>
      <c r="Q562" s="1"/>
      <c r="R562" s="1"/>
      <c r="S562" s="121"/>
      <c r="V562" s="137"/>
      <c r="W562" s="137"/>
      <c r="X562" s="137"/>
      <c r="Y562" s="137"/>
      <c r="Z562" s="137"/>
      <c r="AA562" s="137"/>
      <c r="AB562" s="137"/>
    </row>
    <row r="563" spans="2:28" hidden="1" x14ac:dyDescent="0.2">
      <c r="B563" s="28"/>
      <c r="C563" s="1"/>
      <c r="D563" s="1"/>
      <c r="E563" s="1" t="str">
        <f>SANDBOX!D71</f>
        <v>Conservación</v>
      </c>
      <c r="F563" s="1"/>
      <c r="G563" s="1">
        <f t="shared" si="12"/>
        <v>0.21</v>
      </c>
      <c r="H563" s="1"/>
      <c r="I563" s="1">
        <f t="shared" si="11"/>
        <v>0.21</v>
      </c>
      <c r="J563" s="1"/>
      <c r="K563" s="1"/>
      <c r="L563" s="1"/>
      <c r="M563" s="1"/>
      <c r="N563" s="1"/>
      <c r="O563" s="1"/>
      <c r="P563" s="1"/>
      <c r="Q563" s="1"/>
      <c r="R563" s="1"/>
      <c r="S563" s="121"/>
      <c r="V563" s="137"/>
      <c r="W563" s="137"/>
      <c r="X563" s="137"/>
      <c r="Y563" s="137"/>
      <c r="Z563" s="137"/>
      <c r="AA563" s="137"/>
      <c r="AB563" s="137"/>
    </row>
    <row r="564" spans="2:28" hidden="1" x14ac:dyDescent="0.2">
      <c r="B564" s="28"/>
      <c r="C564" s="1"/>
      <c r="D564" s="1"/>
      <c r="E564" s="1" t="str">
        <f>SANDBOX!D72</f>
        <v>S. Profesionales</v>
      </c>
      <c r="F564" s="1"/>
      <c r="G564" s="1">
        <f t="shared" si="12"/>
        <v>0.21</v>
      </c>
      <c r="H564" s="1"/>
      <c r="I564" s="1">
        <f t="shared" si="11"/>
        <v>0.21</v>
      </c>
      <c r="J564" s="1"/>
      <c r="K564" s="1"/>
      <c r="L564" s="1"/>
      <c r="M564" s="1"/>
      <c r="N564" s="1"/>
      <c r="O564" s="1"/>
      <c r="P564" s="1"/>
      <c r="Q564" s="1"/>
      <c r="R564" s="1"/>
      <c r="S564" s="121"/>
      <c r="V564" s="137"/>
      <c r="W564" s="137"/>
      <c r="X564" s="137"/>
      <c r="Y564" s="137"/>
      <c r="Z564" s="137"/>
      <c r="AA564" s="137"/>
      <c r="AB564" s="137"/>
    </row>
    <row r="565" spans="2:28" hidden="1" x14ac:dyDescent="0.2">
      <c r="B565" s="28"/>
      <c r="C565" s="1"/>
      <c r="D565" s="1"/>
      <c r="E565" s="1" t="str">
        <f>SANDBOX!D74</f>
        <v>Seguros</v>
      </c>
      <c r="F565" s="1"/>
      <c r="G565" s="1">
        <f t="shared" si="12"/>
        <v>0.21</v>
      </c>
      <c r="H565" s="1"/>
      <c r="I565" s="1">
        <f t="shared" si="11"/>
        <v>0.21</v>
      </c>
      <c r="J565" s="1"/>
      <c r="K565" s="1"/>
      <c r="L565" s="1"/>
      <c r="M565" s="1"/>
      <c r="N565" s="1"/>
      <c r="O565" s="1"/>
      <c r="P565" s="1"/>
      <c r="Q565" s="1"/>
      <c r="R565" s="1"/>
      <c r="S565" s="121"/>
      <c r="V565" s="137"/>
      <c r="W565" s="137"/>
      <c r="X565" s="137"/>
      <c r="Y565" s="137"/>
      <c r="Z565" s="137"/>
      <c r="AA565" s="137"/>
      <c r="AB565" s="137"/>
    </row>
    <row r="566" spans="2:28" hidden="1" x14ac:dyDescent="0.2">
      <c r="B566" s="28"/>
      <c r="C566" s="1"/>
      <c r="D566" s="1"/>
      <c r="E566" s="1" t="str">
        <f>SANDBOX!D75</f>
        <v>Otros servicios</v>
      </c>
      <c r="F566" s="1"/>
      <c r="G566" s="1">
        <f t="shared" si="12"/>
        <v>0.21</v>
      </c>
      <c r="H566" s="1"/>
      <c r="I566" s="1">
        <f t="shared" si="11"/>
        <v>0.21</v>
      </c>
      <c r="J566" s="1"/>
      <c r="K566" s="1"/>
      <c r="L566" s="1"/>
      <c r="M566" s="1"/>
      <c r="N566" s="1"/>
      <c r="O566" s="1"/>
      <c r="P566" s="1"/>
      <c r="Q566" s="1"/>
      <c r="R566" s="1"/>
      <c r="S566" s="121"/>
      <c r="V566" s="137"/>
      <c r="W566" s="137"/>
      <c r="X566" s="137"/>
      <c r="Y566" s="137"/>
      <c r="Z566" s="137"/>
      <c r="AA566" s="137"/>
      <c r="AB566" s="137"/>
    </row>
    <row r="567" spans="2:28" hidden="1" x14ac:dyDescent="0.2">
      <c r="B567" s="28"/>
      <c r="C567" s="1"/>
      <c r="D567" s="1"/>
      <c r="E567" s="1" t="str">
        <f>SANDBOX!D76</f>
        <v>Suministros</v>
      </c>
      <c r="F567" s="1"/>
      <c r="G567" s="1">
        <f t="shared" si="12"/>
        <v>0.21</v>
      </c>
      <c r="H567" s="1"/>
      <c r="I567" s="1">
        <f t="shared" si="11"/>
        <v>0.21</v>
      </c>
      <c r="J567" s="1"/>
      <c r="K567" s="1"/>
      <c r="L567" s="1"/>
      <c r="M567" s="1"/>
      <c r="N567" s="1"/>
      <c r="O567" s="1"/>
      <c r="P567" s="1"/>
      <c r="Q567" s="1"/>
      <c r="R567" s="1"/>
      <c r="S567" s="121"/>
      <c r="V567" s="137"/>
      <c r="W567" s="137"/>
      <c r="X567" s="137"/>
      <c r="Y567" s="137"/>
      <c r="Z567" s="137"/>
      <c r="AA567" s="137"/>
      <c r="AB567" s="137"/>
    </row>
    <row r="568" spans="2:28" hidden="1" x14ac:dyDescent="0.2">
      <c r="B568" s="28"/>
      <c r="C568" s="1"/>
      <c r="D568" s="1"/>
      <c r="E568" s="1" t="str">
        <f>SANDBOX!D77</f>
        <v>Viajes, dietas…</v>
      </c>
      <c r="F568" s="1"/>
      <c r="G568" s="1">
        <f t="shared" si="12"/>
        <v>0.21</v>
      </c>
      <c r="H568" s="1"/>
      <c r="I568" s="1">
        <f t="shared" si="11"/>
        <v>0.21</v>
      </c>
      <c r="J568" s="1"/>
      <c r="K568" s="1"/>
      <c r="L568" s="1"/>
      <c r="M568" s="1"/>
      <c r="N568" s="1"/>
      <c r="O568" s="1"/>
      <c r="P568" s="1"/>
      <c r="Q568" s="1"/>
      <c r="R568" s="1"/>
      <c r="S568" s="121"/>
      <c r="V568" s="137"/>
      <c r="W568" s="137"/>
      <c r="X568" s="137"/>
      <c r="Y568" s="137"/>
      <c r="Z568" s="137"/>
      <c r="AA568" s="137"/>
      <c r="AB568" s="137"/>
    </row>
    <row r="569" spans="2:28" hidden="1" x14ac:dyDescent="0.2">
      <c r="B569" s="28"/>
      <c r="C569" s="1"/>
      <c r="D569" s="1"/>
      <c r="E569" s="1" t="str">
        <f>SANDBOX!D78</f>
        <v>Material Oficina</v>
      </c>
      <c r="F569" s="1"/>
      <c r="G569" s="1">
        <f t="shared" si="12"/>
        <v>0.21</v>
      </c>
      <c r="H569" s="1"/>
      <c r="I569" s="1">
        <f t="shared" si="11"/>
        <v>0.21</v>
      </c>
      <c r="J569" s="1"/>
      <c r="K569" s="1"/>
      <c r="L569" s="1"/>
      <c r="M569" s="1"/>
      <c r="N569" s="1"/>
      <c r="O569" s="1"/>
      <c r="P569" s="1"/>
      <c r="Q569" s="1"/>
      <c r="R569" s="1"/>
      <c r="S569" s="121"/>
      <c r="V569" s="137"/>
      <c r="W569" s="137"/>
      <c r="X569" s="137"/>
      <c r="Y569" s="137"/>
      <c r="Z569" s="137"/>
      <c r="AA569" s="137"/>
      <c r="AB569" s="137"/>
    </row>
    <row r="570" spans="2:28" hidden="1" x14ac:dyDescent="0.2">
      <c r="B570" s="28"/>
      <c r="C570" s="1"/>
      <c r="D570" s="1"/>
      <c r="E570" s="1" t="str">
        <f>SANDBOX!D79</f>
        <v>Transportes</v>
      </c>
      <c r="F570" s="1"/>
      <c r="G570" s="1">
        <f t="shared" si="12"/>
        <v>0.21</v>
      </c>
      <c r="H570" s="1"/>
      <c r="I570" s="1">
        <f t="shared" si="11"/>
        <v>0.21</v>
      </c>
      <c r="J570" s="1"/>
      <c r="K570" s="1"/>
      <c r="L570" s="1"/>
      <c r="M570" s="1"/>
      <c r="N570" s="1"/>
      <c r="O570" s="1"/>
      <c r="P570" s="1"/>
      <c r="Q570" s="1"/>
      <c r="R570" s="1"/>
      <c r="S570" s="121"/>
      <c r="V570" s="137"/>
      <c r="W570" s="137"/>
      <c r="X570" s="137"/>
      <c r="Y570" s="137"/>
      <c r="Z570" s="137"/>
      <c r="AA570" s="137"/>
      <c r="AB570" s="137"/>
    </row>
    <row r="571" spans="2:28" hidden="1" x14ac:dyDescent="0.2">
      <c r="B571" s="28"/>
      <c r="C571" s="1"/>
      <c r="D571" s="1"/>
      <c r="E571" s="1"/>
      <c r="F571" s="1"/>
      <c r="G571" s="1"/>
      <c r="H571" s="1"/>
      <c r="I571" s="1"/>
      <c r="J571" s="1"/>
      <c r="K571" s="1"/>
      <c r="L571" s="1"/>
      <c r="M571" s="1"/>
      <c r="N571" s="1"/>
      <c r="O571" s="1"/>
      <c r="P571" s="1"/>
      <c r="Q571" s="1"/>
      <c r="R571" s="1"/>
      <c r="S571" s="121"/>
      <c r="V571" s="137"/>
      <c r="W571" s="137"/>
      <c r="X571" s="137"/>
      <c r="Y571" s="137"/>
      <c r="Z571" s="137"/>
      <c r="AA571" s="137"/>
      <c r="AB571" s="137"/>
    </row>
    <row r="572" spans="2:28" ht="14.25" hidden="1" x14ac:dyDescent="0.2">
      <c r="B572" s="28"/>
      <c r="C572" s="1"/>
      <c r="D572" s="1"/>
      <c r="E572" s="1" t="s">
        <v>1388</v>
      </c>
      <c r="F572" s="1"/>
      <c r="G572" s="1">
        <f>$I$455</f>
        <v>0.21</v>
      </c>
      <c r="H572" s="1">
        <v>0</v>
      </c>
      <c r="I572" s="1">
        <f>IF(H572="",G572,H572)</f>
        <v>0</v>
      </c>
      <c r="J572" s="1" t="s">
        <v>1345</v>
      </c>
      <c r="K572" s="1"/>
      <c r="L572" s="1"/>
      <c r="M572" s="1"/>
      <c r="N572" s="1"/>
      <c r="O572" s="1"/>
      <c r="P572" s="1"/>
      <c r="Q572" s="1"/>
      <c r="R572" s="1"/>
      <c r="S572" s="121"/>
      <c r="V572" s="137"/>
      <c r="W572" s="137"/>
      <c r="X572" s="137"/>
      <c r="Y572" s="137"/>
      <c r="Z572" s="137"/>
      <c r="AA572" s="137"/>
      <c r="AB572" s="137"/>
    </row>
    <row r="573" spans="2:28" hidden="1" x14ac:dyDescent="0.2">
      <c r="B573" s="28"/>
      <c r="C573" s="1"/>
      <c r="D573" s="1"/>
      <c r="E573" s="1" t="s">
        <v>569</v>
      </c>
      <c r="F573" s="1"/>
      <c r="G573" s="1">
        <f>+I572</f>
        <v>0</v>
      </c>
      <c r="H573" s="1"/>
      <c r="I573" s="1">
        <f>IF(H573="",G573,H573)</f>
        <v>0</v>
      </c>
      <c r="J573" s="1"/>
      <c r="K573" s="1"/>
      <c r="L573" s="1"/>
      <c r="M573" s="1"/>
      <c r="N573" s="1"/>
      <c r="O573" s="1"/>
      <c r="P573" s="1"/>
      <c r="Q573" s="1"/>
      <c r="R573" s="1"/>
      <c r="S573" s="121"/>
      <c r="V573" s="137"/>
      <c r="W573" s="137"/>
      <c r="X573" s="137"/>
      <c r="Y573" s="137"/>
      <c r="Z573" s="137"/>
      <c r="AA573" s="137"/>
      <c r="AB573" s="137"/>
    </row>
    <row r="574" spans="2:28" hidden="1" x14ac:dyDescent="0.2">
      <c r="B574" s="28"/>
      <c r="C574" s="1"/>
      <c r="D574" s="1"/>
      <c r="E574" s="1" t="s">
        <v>956</v>
      </c>
      <c r="F574" s="1"/>
      <c r="G574" s="1">
        <f>+I572</f>
        <v>0</v>
      </c>
      <c r="H574" s="1"/>
      <c r="I574" s="1">
        <f>IF(H574="",G574,H574)</f>
        <v>0</v>
      </c>
      <c r="J574" s="1"/>
      <c r="K574" s="1"/>
      <c r="L574" s="1"/>
      <c r="M574" s="1"/>
      <c r="N574" s="1"/>
      <c r="O574" s="1"/>
      <c r="P574" s="1"/>
      <c r="Q574" s="1"/>
      <c r="R574" s="1"/>
      <c r="S574" s="121"/>
      <c r="V574" s="137"/>
      <c r="W574" s="137"/>
      <c r="X574" s="137"/>
      <c r="Y574" s="137"/>
      <c r="Z574" s="137"/>
      <c r="AA574" s="137"/>
      <c r="AB574" s="137"/>
    </row>
    <row r="575" spans="2:28" hidden="1" x14ac:dyDescent="0.2">
      <c r="B575" s="28"/>
      <c r="C575" s="1"/>
      <c r="D575" s="1"/>
      <c r="E575" s="1" t="s">
        <v>957</v>
      </c>
      <c r="F575" s="1"/>
      <c r="G575" s="1">
        <f>+I572</f>
        <v>0</v>
      </c>
      <c r="H575" s="1"/>
      <c r="I575" s="1">
        <f>IF(H575="",G575,H575)</f>
        <v>0</v>
      </c>
      <c r="J575" s="1"/>
      <c r="K575" s="1"/>
      <c r="L575" s="1"/>
      <c r="M575" s="1"/>
      <c r="N575" s="1"/>
      <c r="O575" s="1"/>
      <c r="P575" s="1"/>
      <c r="Q575" s="1"/>
      <c r="R575" s="1"/>
      <c r="S575" s="121"/>
      <c r="V575" s="137"/>
      <c r="W575" s="137"/>
      <c r="X575" s="137"/>
      <c r="Y575" s="137"/>
      <c r="Z575" s="137"/>
      <c r="AA575" s="137"/>
      <c r="AB575" s="137"/>
    </row>
    <row r="576" spans="2:28" hidden="1" x14ac:dyDescent="0.2">
      <c r="B576" s="28"/>
      <c r="C576" s="1"/>
      <c r="D576" s="1"/>
      <c r="E576" s="1"/>
      <c r="F576" s="1"/>
      <c r="G576" s="1"/>
      <c r="H576" s="1"/>
      <c r="I576" s="1"/>
      <c r="J576" s="1"/>
      <c r="K576" s="1"/>
      <c r="L576" s="1"/>
      <c r="M576" s="1"/>
      <c r="N576" s="1"/>
      <c r="O576" s="1"/>
      <c r="P576" s="1"/>
      <c r="Q576" s="1"/>
      <c r="R576" s="1"/>
      <c r="S576" s="121"/>
      <c r="V576" s="137"/>
      <c r="W576" s="137"/>
      <c r="X576" s="137"/>
      <c r="Y576" s="137"/>
      <c r="Z576" s="137"/>
      <c r="AA576" s="137"/>
      <c r="AB576" s="137"/>
    </row>
    <row r="577" spans="2:28" hidden="1" x14ac:dyDescent="0.2">
      <c r="B577" s="28"/>
      <c r="C577" s="1"/>
      <c r="D577" s="1"/>
      <c r="E577" s="1" t="s">
        <v>1389</v>
      </c>
      <c r="F577" s="1"/>
      <c r="G577" s="1">
        <f>$I$455</f>
        <v>0.21</v>
      </c>
      <c r="H577" s="1"/>
      <c r="I577" s="1">
        <f>IF(H577="",G577,H577)</f>
        <v>0.21</v>
      </c>
      <c r="J577" s="1"/>
      <c r="K577" s="1"/>
      <c r="L577" s="1"/>
      <c r="M577" s="1"/>
      <c r="N577" s="1"/>
      <c r="O577" s="1"/>
      <c r="P577" s="1"/>
      <c r="Q577" s="1"/>
      <c r="R577" s="1"/>
      <c r="S577" s="121"/>
      <c r="V577" s="137"/>
      <c r="W577" s="137"/>
      <c r="X577" s="137"/>
      <c r="Y577" s="137"/>
      <c r="Z577" s="137"/>
      <c r="AA577" s="137"/>
      <c r="AB577" s="137"/>
    </row>
    <row r="578" spans="2:28" hidden="1" x14ac:dyDescent="0.2">
      <c r="B578" s="28"/>
      <c r="C578" s="1"/>
      <c r="D578" s="1"/>
      <c r="E578" s="1"/>
      <c r="F578" s="1"/>
      <c r="G578" s="1"/>
      <c r="H578" s="1"/>
      <c r="I578" s="1"/>
      <c r="J578" s="1"/>
      <c r="K578" s="1"/>
      <c r="L578" s="1"/>
      <c r="M578" s="1"/>
      <c r="N578" s="1"/>
      <c r="O578" s="1"/>
      <c r="P578" s="1"/>
      <c r="Q578" s="1"/>
      <c r="R578" s="1"/>
      <c r="S578" s="121"/>
      <c r="V578" s="137"/>
      <c r="W578" s="137"/>
      <c r="X578" s="137"/>
      <c r="Y578" s="137"/>
      <c r="Z578" s="137"/>
      <c r="AA578" s="137"/>
      <c r="AB578" s="137"/>
    </row>
    <row r="579" spans="2:28" ht="14.25" hidden="1" x14ac:dyDescent="0.2">
      <c r="B579" s="28"/>
      <c r="C579" s="1"/>
      <c r="D579" s="1"/>
      <c r="E579" s="1" t="s">
        <v>1300</v>
      </c>
      <c r="F579" s="1"/>
      <c r="G579" s="1">
        <f>$I$455</f>
        <v>0.21</v>
      </c>
      <c r="H579" s="1"/>
      <c r="I579" s="1">
        <f t="shared" ref="I579:I608" si="13">IF(H579="",G579,H579)</f>
        <v>0.21</v>
      </c>
      <c r="J579" s="1" t="s">
        <v>1345</v>
      </c>
      <c r="K579" s="1"/>
      <c r="L579" s="1"/>
      <c r="M579" s="1"/>
      <c r="N579" s="1"/>
      <c r="O579" s="1"/>
      <c r="P579" s="1"/>
      <c r="Q579" s="1"/>
      <c r="R579" s="1"/>
      <c r="S579" s="121"/>
      <c r="V579" s="137"/>
      <c r="W579" s="137"/>
      <c r="X579" s="137"/>
      <c r="Y579" s="137"/>
      <c r="Z579" s="137"/>
      <c r="AA579" s="137"/>
      <c r="AB579" s="137"/>
    </row>
    <row r="580" spans="2:28" hidden="1" x14ac:dyDescent="0.2">
      <c r="B580" s="28"/>
      <c r="C580" s="1"/>
      <c r="D580" s="1"/>
      <c r="E580" s="1">
        <f>SANDBOX!D107</f>
        <v>0</v>
      </c>
      <c r="F580" s="1"/>
      <c r="G580" s="1">
        <f t="shared" ref="G580:G608" si="14">+I$579</f>
        <v>0.21</v>
      </c>
      <c r="H580" s="1"/>
      <c r="I580" s="1">
        <f t="shared" si="13"/>
        <v>0.21</v>
      </c>
      <c r="J580" s="1"/>
      <c r="K580" s="1"/>
      <c r="L580" s="1"/>
      <c r="M580" s="1"/>
      <c r="N580" s="1"/>
      <c r="O580" s="1"/>
      <c r="P580" s="1"/>
      <c r="Q580" s="1"/>
      <c r="R580" s="1"/>
      <c r="S580" s="121"/>
      <c r="V580" s="137"/>
      <c r="W580" s="137"/>
      <c r="X580" s="137"/>
      <c r="Y580" s="137"/>
      <c r="Z580" s="137"/>
      <c r="AA580" s="137"/>
      <c r="AB580" s="137"/>
    </row>
    <row r="581" spans="2:28" hidden="1" x14ac:dyDescent="0.2">
      <c r="B581" s="28"/>
      <c r="C581" s="1"/>
      <c r="D581" s="1"/>
      <c r="E581" s="1">
        <f>SANDBOX!D108</f>
        <v>0</v>
      </c>
      <c r="F581" s="1"/>
      <c r="G581" s="1">
        <f t="shared" si="14"/>
        <v>0.21</v>
      </c>
      <c r="H581" s="1"/>
      <c r="I581" s="1">
        <f t="shared" si="13"/>
        <v>0.21</v>
      </c>
      <c r="J581" s="1"/>
      <c r="K581" s="1"/>
      <c r="L581" s="1"/>
      <c r="M581" s="1"/>
      <c r="N581" s="1"/>
      <c r="O581" s="1"/>
      <c r="P581" s="1"/>
      <c r="Q581" s="1"/>
      <c r="R581" s="1"/>
      <c r="S581" s="121"/>
      <c r="V581" s="137"/>
      <c r="W581" s="137"/>
      <c r="X581" s="137"/>
      <c r="Y581" s="137"/>
      <c r="Z581" s="137"/>
      <c r="AA581" s="137"/>
      <c r="AB581" s="137"/>
    </row>
    <row r="582" spans="2:28" hidden="1" x14ac:dyDescent="0.2">
      <c r="B582" s="28"/>
      <c r="C582" s="1"/>
      <c r="D582" s="1"/>
      <c r="E582" s="1">
        <f>SANDBOX!D109</f>
        <v>0</v>
      </c>
      <c r="F582" s="1"/>
      <c r="G582" s="1">
        <f t="shared" si="14"/>
        <v>0.21</v>
      </c>
      <c r="H582" s="1"/>
      <c r="I582" s="1">
        <f t="shared" si="13"/>
        <v>0.21</v>
      </c>
      <c r="J582" s="1"/>
      <c r="K582" s="1"/>
      <c r="L582" s="1"/>
      <c r="M582" s="1"/>
      <c r="N582" s="1"/>
      <c r="O582" s="1"/>
      <c r="P582" s="1"/>
      <c r="Q582" s="1"/>
      <c r="R582" s="1"/>
      <c r="S582" s="121"/>
      <c r="V582" s="137"/>
      <c r="W582" s="137"/>
      <c r="X582" s="137"/>
      <c r="Y582" s="137"/>
      <c r="Z582" s="137"/>
      <c r="AA582" s="137"/>
      <c r="AB582" s="137"/>
    </row>
    <row r="583" spans="2:28" hidden="1" x14ac:dyDescent="0.2">
      <c r="B583" s="28"/>
      <c r="C583" s="1"/>
      <c r="D583" s="1"/>
      <c r="E583" s="1">
        <f>SANDBOX!D110</f>
        <v>0</v>
      </c>
      <c r="F583" s="1"/>
      <c r="G583" s="1">
        <f t="shared" si="14"/>
        <v>0.21</v>
      </c>
      <c r="H583" s="1"/>
      <c r="I583" s="1">
        <f t="shared" si="13"/>
        <v>0.21</v>
      </c>
      <c r="J583" s="1"/>
      <c r="K583" s="1"/>
      <c r="L583" s="1"/>
      <c r="M583" s="1"/>
      <c r="N583" s="1"/>
      <c r="O583" s="1"/>
      <c r="P583" s="1"/>
      <c r="Q583" s="1"/>
      <c r="R583" s="1"/>
      <c r="S583" s="121"/>
      <c r="V583" s="137"/>
      <c r="W583" s="137"/>
      <c r="X583" s="137"/>
      <c r="Y583" s="137"/>
      <c r="Z583" s="137"/>
      <c r="AA583" s="137"/>
      <c r="AB583" s="137"/>
    </row>
    <row r="584" spans="2:28" hidden="1" x14ac:dyDescent="0.2">
      <c r="B584" s="28"/>
      <c r="C584" s="1"/>
      <c r="D584" s="1"/>
      <c r="E584" s="1">
        <f>SANDBOX!D111</f>
        <v>0</v>
      </c>
      <c r="F584" s="1"/>
      <c r="G584" s="1">
        <f t="shared" si="14"/>
        <v>0.21</v>
      </c>
      <c r="H584" s="1"/>
      <c r="I584" s="1">
        <f t="shared" si="13"/>
        <v>0.21</v>
      </c>
      <c r="J584" s="1"/>
      <c r="K584" s="1"/>
      <c r="L584" s="1"/>
      <c r="M584" s="1"/>
      <c r="N584" s="1"/>
      <c r="O584" s="1"/>
      <c r="P584" s="1"/>
      <c r="Q584" s="1"/>
      <c r="R584" s="1"/>
      <c r="S584" s="121"/>
      <c r="V584" s="137"/>
      <c r="W584" s="137"/>
      <c r="X584" s="137"/>
      <c r="Y584" s="137"/>
      <c r="Z584" s="137"/>
      <c r="AA584" s="137"/>
      <c r="AB584" s="137"/>
    </row>
    <row r="585" spans="2:28" hidden="1" x14ac:dyDescent="0.2">
      <c r="B585" s="28"/>
      <c r="C585" s="1"/>
      <c r="D585" s="1"/>
      <c r="E585" s="1">
        <f>SANDBOX!D112</f>
        <v>0</v>
      </c>
      <c r="F585" s="1"/>
      <c r="G585" s="1">
        <f t="shared" si="14"/>
        <v>0.21</v>
      </c>
      <c r="H585" s="1"/>
      <c r="I585" s="1">
        <f t="shared" si="13"/>
        <v>0.21</v>
      </c>
      <c r="J585" s="1"/>
      <c r="K585" s="1"/>
      <c r="L585" s="1"/>
      <c r="M585" s="1"/>
      <c r="N585" s="1"/>
      <c r="O585" s="1"/>
      <c r="P585" s="1"/>
      <c r="Q585" s="1"/>
      <c r="R585" s="1"/>
      <c r="S585" s="121"/>
      <c r="V585" s="137"/>
      <c r="W585" s="137"/>
      <c r="X585" s="137"/>
      <c r="Y585" s="137"/>
      <c r="Z585" s="137"/>
      <c r="AA585" s="137"/>
      <c r="AB585" s="137"/>
    </row>
    <row r="586" spans="2:28" hidden="1" x14ac:dyDescent="0.2">
      <c r="B586" s="28"/>
      <c r="C586" s="1"/>
      <c r="D586" s="1"/>
      <c r="E586" s="1">
        <f>SANDBOX!D113</f>
        <v>0</v>
      </c>
      <c r="F586" s="1"/>
      <c r="G586" s="1">
        <f t="shared" si="14"/>
        <v>0.21</v>
      </c>
      <c r="H586" s="1"/>
      <c r="I586" s="1">
        <f t="shared" si="13"/>
        <v>0.21</v>
      </c>
      <c r="J586" s="1"/>
      <c r="K586" s="1"/>
      <c r="L586" s="1"/>
      <c r="M586" s="1"/>
      <c r="N586" s="1"/>
      <c r="O586" s="1"/>
      <c r="P586" s="1"/>
      <c r="Q586" s="1"/>
      <c r="R586" s="1"/>
      <c r="S586" s="121"/>
      <c r="V586" s="137"/>
      <c r="W586" s="137"/>
      <c r="X586" s="137"/>
      <c r="Y586" s="137"/>
      <c r="Z586" s="137"/>
      <c r="AA586" s="137"/>
      <c r="AB586" s="137"/>
    </row>
    <row r="587" spans="2:28" hidden="1" x14ac:dyDescent="0.2">
      <c r="B587" s="28"/>
      <c r="C587" s="1"/>
      <c r="D587" s="1"/>
      <c r="E587" s="1">
        <f>SANDBOX!D114</f>
        <v>0</v>
      </c>
      <c r="F587" s="1"/>
      <c r="G587" s="1">
        <f t="shared" si="14"/>
        <v>0.21</v>
      </c>
      <c r="H587" s="1"/>
      <c r="I587" s="1">
        <f t="shared" si="13"/>
        <v>0.21</v>
      </c>
      <c r="J587" s="1"/>
      <c r="K587" s="1"/>
      <c r="L587" s="1"/>
      <c r="M587" s="1"/>
      <c r="N587" s="1"/>
      <c r="O587" s="1"/>
      <c r="P587" s="1"/>
      <c r="Q587" s="1"/>
      <c r="R587" s="1"/>
      <c r="S587" s="121"/>
      <c r="V587" s="137"/>
      <c r="W587" s="137"/>
      <c r="X587" s="137"/>
      <c r="Y587" s="137"/>
      <c r="Z587" s="137"/>
      <c r="AA587" s="137"/>
      <c r="AB587" s="137"/>
    </row>
    <row r="588" spans="2:28" hidden="1" x14ac:dyDescent="0.2">
      <c r="B588" s="28"/>
      <c r="C588" s="1"/>
      <c r="D588" s="1"/>
      <c r="E588" s="1">
        <f>SANDBOX!D115</f>
        <v>0</v>
      </c>
      <c r="F588" s="1"/>
      <c r="G588" s="1">
        <f t="shared" si="14"/>
        <v>0.21</v>
      </c>
      <c r="H588" s="1"/>
      <c r="I588" s="1">
        <f t="shared" si="13"/>
        <v>0.21</v>
      </c>
      <c r="J588" s="1"/>
      <c r="K588" s="1"/>
      <c r="L588" s="1"/>
      <c r="M588" s="1"/>
      <c r="N588" s="1"/>
      <c r="O588" s="1"/>
      <c r="P588" s="1"/>
      <c r="Q588" s="1"/>
      <c r="R588" s="1"/>
      <c r="S588" s="121"/>
      <c r="V588" s="137"/>
      <c r="W588" s="137"/>
      <c r="X588" s="137"/>
      <c r="Y588" s="137"/>
      <c r="Z588" s="137"/>
      <c r="AA588" s="137"/>
      <c r="AB588" s="137"/>
    </row>
    <row r="589" spans="2:28" hidden="1" x14ac:dyDescent="0.2">
      <c r="B589" s="28"/>
      <c r="C589" s="1"/>
      <c r="D589" s="1"/>
      <c r="E589" s="1">
        <f>SANDBOX!D116</f>
        <v>0</v>
      </c>
      <c r="F589" s="1"/>
      <c r="G589" s="1">
        <f t="shared" si="14"/>
        <v>0.21</v>
      </c>
      <c r="H589" s="1"/>
      <c r="I589" s="1">
        <f t="shared" si="13"/>
        <v>0.21</v>
      </c>
      <c r="J589" s="1"/>
      <c r="K589" s="1"/>
      <c r="L589" s="1"/>
      <c r="M589" s="1"/>
      <c r="N589" s="1"/>
      <c r="O589" s="1"/>
      <c r="P589" s="1"/>
      <c r="Q589" s="1"/>
      <c r="R589" s="1"/>
      <c r="S589" s="121"/>
      <c r="V589" s="137"/>
      <c r="W589" s="137"/>
      <c r="X589" s="137"/>
      <c r="Y589" s="137"/>
      <c r="Z589" s="137"/>
      <c r="AA589" s="137"/>
      <c r="AB589" s="137"/>
    </row>
    <row r="590" spans="2:28" hidden="1" x14ac:dyDescent="0.2">
      <c r="B590" s="28"/>
      <c r="C590" s="1"/>
      <c r="D590" s="1"/>
      <c r="E590" s="1">
        <f>SANDBOX!D117</f>
        <v>0</v>
      </c>
      <c r="F590" s="1"/>
      <c r="G590" s="1">
        <f t="shared" si="14"/>
        <v>0.21</v>
      </c>
      <c r="H590" s="1"/>
      <c r="I590" s="1">
        <f t="shared" si="13"/>
        <v>0.21</v>
      </c>
      <c r="J590" s="1"/>
      <c r="K590" s="1"/>
      <c r="L590" s="1"/>
      <c r="M590" s="1"/>
      <c r="N590" s="1"/>
      <c r="O590" s="1"/>
      <c r="P590" s="1"/>
      <c r="Q590" s="1"/>
      <c r="R590" s="1"/>
      <c r="S590" s="121"/>
      <c r="V590" s="137"/>
      <c r="W590" s="137"/>
      <c r="X590" s="137"/>
      <c r="Y590" s="137"/>
      <c r="Z590" s="137"/>
      <c r="AA590" s="137"/>
      <c r="AB590" s="137"/>
    </row>
    <row r="591" spans="2:28" hidden="1" x14ac:dyDescent="0.2">
      <c r="B591" s="28"/>
      <c r="C591" s="1"/>
      <c r="D591" s="1"/>
      <c r="E591" s="1">
        <f>SANDBOX!D118</f>
        <v>0</v>
      </c>
      <c r="F591" s="1"/>
      <c r="G591" s="1">
        <f t="shared" si="14"/>
        <v>0.21</v>
      </c>
      <c r="H591" s="1"/>
      <c r="I591" s="1">
        <f t="shared" si="13"/>
        <v>0.21</v>
      </c>
      <c r="J591" s="1"/>
      <c r="K591" s="1"/>
      <c r="L591" s="1"/>
      <c r="M591" s="1"/>
      <c r="N591" s="1"/>
      <c r="O591" s="1"/>
      <c r="P591" s="1"/>
      <c r="Q591" s="1"/>
      <c r="R591" s="1"/>
      <c r="S591" s="121"/>
      <c r="V591" s="137"/>
      <c r="W591" s="137"/>
      <c r="X591" s="137"/>
      <c r="Y591" s="137"/>
      <c r="Z591" s="137"/>
      <c r="AA591" s="137"/>
      <c r="AB591" s="137"/>
    </row>
    <row r="592" spans="2:28" hidden="1" x14ac:dyDescent="0.2">
      <c r="B592" s="28"/>
      <c r="C592" s="1"/>
      <c r="D592" s="1"/>
      <c r="E592" s="1">
        <f>SANDBOX!D119</f>
        <v>0</v>
      </c>
      <c r="F592" s="1"/>
      <c r="G592" s="1">
        <f t="shared" si="14"/>
        <v>0.21</v>
      </c>
      <c r="H592" s="1"/>
      <c r="I592" s="1">
        <f t="shared" si="13"/>
        <v>0.21</v>
      </c>
      <c r="J592" s="1"/>
      <c r="K592" s="1"/>
      <c r="L592" s="1"/>
      <c r="M592" s="1"/>
      <c r="N592" s="1"/>
      <c r="O592" s="1"/>
      <c r="P592" s="1"/>
      <c r="Q592" s="1"/>
      <c r="R592" s="1"/>
      <c r="S592" s="121"/>
      <c r="V592" s="137"/>
      <c r="W592" s="137"/>
      <c r="X592" s="137"/>
      <c r="Y592" s="137"/>
      <c r="Z592" s="137"/>
      <c r="AA592" s="137"/>
      <c r="AB592" s="137"/>
    </row>
    <row r="593" spans="2:28" hidden="1" x14ac:dyDescent="0.2">
      <c r="B593" s="28"/>
      <c r="C593" s="1"/>
      <c r="D593" s="1"/>
      <c r="E593" s="1">
        <f>SANDBOX!D120</f>
        <v>0</v>
      </c>
      <c r="F593" s="1"/>
      <c r="G593" s="1">
        <f t="shared" si="14"/>
        <v>0.21</v>
      </c>
      <c r="H593" s="1"/>
      <c r="I593" s="1">
        <f t="shared" si="13"/>
        <v>0.21</v>
      </c>
      <c r="J593" s="1"/>
      <c r="K593" s="1"/>
      <c r="L593" s="1"/>
      <c r="M593" s="1"/>
      <c r="N593" s="1"/>
      <c r="O593" s="1"/>
      <c r="P593" s="1"/>
      <c r="Q593" s="1"/>
      <c r="R593" s="1"/>
      <c r="S593" s="121"/>
      <c r="V593" s="137"/>
      <c r="W593" s="137"/>
      <c r="X593" s="137"/>
      <c r="Y593" s="137"/>
      <c r="Z593" s="137"/>
      <c r="AA593" s="137"/>
      <c r="AB593" s="137"/>
    </row>
    <row r="594" spans="2:28" hidden="1" x14ac:dyDescent="0.2">
      <c r="B594" s="28"/>
      <c r="C594" s="1"/>
      <c r="D594" s="1"/>
      <c r="E594" s="1">
        <f>SANDBOX!D121</f>
        <v>0</v>
      </c>
      <c r="F594" s="1"/>
      <c r="G594" s="1">
        <f t="shared" si="14"/>
        <v>0.21</v>
      </c>
      <c r="H594" s="1"/>
      <c r="I594" s="1">
        <f t="shared" si="13"/>
        <v>0.21</v>
      </c>
      <c r="J594" s="1" t="s">
        <v>1297</v>
      </c>
      <c r="K594" s="1"/>
      <c r="L594" s="1"/>
      <c r="M594" s="1"/>
      <c r="N594" s="1"/>
      <c r="O594" s="1"/>
      <c r="P594" s="1"/>
      <c r="Q594" s="1"/>
      <c r="R594" s="1"/>
      <c r="S594" s="121"/>
      <c r="V594" s="137"/>
      <c r="W594" s="137"/>
      <c r="X594" s="137"/>
      <c r="Y594" s="137"/>
      <c r="Z594" s="137"/>
      <c r="AA594" s="137"/>
      <c r="AB594" s="137"/>
    </row>
    <row r="595" spans="2:28" hidden="1" x14ac:dyDescent="0.2">
      <c r="B595" s="28"/>
      <c r="C595" s="1"/>
      <c r="D595" s="1"/>
      <c r="E595" s="1">
        <f>SANDBOX!D122</f>
        <v>0</v>
      </c>
      <c r="F595" s="1"/>
      <c r="G595" s="1">
        <f t="shared" si="14"/>
        <v>0.21</v>
      </c>
      <c r="H595" s="1"/>
      <c r="I595" s="1">
        <f t="shared" si="13"/>
        <v>0.21</v>
      </c>
      <c r="J595" s="1"/>
      <c r="K595" s="1"/>
      <c r="L595" s="1"/>
      <c r="M595" s="1"/>
      <c r="N595" s="1"/>
      <c r="O595" s="1"/>
      <c r="P595" s="1"/>
      <c r="Q595" s="1"/>
      <c r="R595" s="1"/>
      <c r="S595" s="121"/>
      <c r="V595" s="137"/>
      <c r="W595" s="137"/>
      <c r="X595" s="137"/>
      <c r="Y595" s="137"/>
      <c r="Z595" s="137"/>
      <c r="AA595" s="137"/>
      <c r="AB595" s="137"/>
    </row>
    <row r="596" spans="2:28" hidden="1" x14ac:dyDescent="0.2">
      <c r="B596" s="28"/>
      <c r="C596" s="1"/>
      <c r="D596" s="1"/>
      <c r="E596" s="1">
        <f>SANDBOX!D123</f>
        <v>0</v>
      </c>
      <c r="F596" s="1"/>
      <c r="G596" s="1">
        <f t="shared" si="14"/>
        <v>0.21</v>
      </c>
      <c r="H596" s="1"/>
      <c r="I596" s="1">
        <f t="shared" si="13"/>
        <v>0.21</v>
      </c>
      <c r="J596" s="1"/>
      <c r="K596" s="1"/>
      <c r="L596" s="1"/>
      <c r="M596" s="1"/>
      <c r="N596" s="1"/>
      <c r="O596" s="1"/>
      <c r="P596" s="1"/>
      <c r="Q596" s="1"/>
      <c r="R596" s="1"/>
      <c r="S596" s="121"/>
      <c r="V596" s="137"/>
      <c r="W596" s="137"/>
      <c r="X596" s="137"/>
      <c r="Y596" s="137"/>
      <c r="Z596" s="137"/>
      <c r="AA596" s="137"/>
      <c r="AB596" s="137"/>
    </row>
    <row r="597" spans="2:28" hidden="1" x14ac:dyDescent="0.2">
      <c r="B597" s="28"/>
      <c r="C597" s="1"/>
      <c r="D597" s="1"/>
      <c r="E597" s="1">
        <f>SANDBOX!D124</f>
        <v>0</v>
      </c>
      <c r="F597" s="1"/>
      <c r="G597" s="1">
        <f t="shared" si="14"/>
        <v>0.21</v>
      </c>
      <c r="H597" s="1"/>
      <c r="I597" s="1">
        <f t="shared" si="13"/>
        <v>0.21</v>
      </c>
      <c r="J597" s="1"/>
      <c r="K597" s="1"/>
      <c r="L597" s="1"/>
      <c r="M597" s="1"/>
      <c r="N597" s="1"/>
      <c r="O597" s="1"/>
      <c r="P597" s="1"/>
      <c r="Q597" s="1"/>
      <c r="R597" s="1"/>
      <c r="S597" s="121"/>
      <c r="V597" s="137"/>
      <c r="W597" s="137"/>
      <c r="X597" s="137"/>
      <c r="Y597" s="137"/>
      <c r="Z597" s="137"/>
      <c r="AA597" s="137"/>
      <c r="AB597" s="137"/>
    </row>
    <row r="598" spans="2:28" hidden="1" x14ac:dyDescent="0.2">
      <c r="B598" s="28"/>
      <c r="C598" s="1"/>
      <c r="D598" s="1"/>
      <c r="E598" s="1">
        <f>SANDBOX!D125</f>
        <v>0</v>
      </c>
      <c r="F598" s="1"/>
      <c r="G598" s="1">
        <f t="shared" si="14"/>
        <v>0.21</v>
      </c>
      <c r="H598" s="1"/>
      <c r="I598" s="1">
        <f t="shared" si="13"/>
        <v>0.21</v>
      </c>
      <c r="J598" s="1"/>
      <c r="K598" s="1"/>
      <c r="L598" s="1"/>
      <c r="M598" s="1"/>
      <c r="N598" s="1"/>
      <c r="O598" s="1"/>
      <c r="P598" s="1"/>
      <c r="Q598" s="1"/>
      <c r="R598" s="1"/>
      <c r="S598" s="121"/>
      <c r="V598" s="137"/>
      <c r="W598" s="137"/>
      <c r="X598" s="137"/>
      <c r="Y598" s="137"/>
      <c r="Z598" s="137"/>
      <c r="AA598" s="137"/>
      <c r="AB598" s="137"/>
    </row>
    <row r="599" spans="2:28" hidden="1" x14ac:dyDescent="0.2">
      <c r="B599" s="28"/>
      <c r="C599" s="1"/>
      <c r="D599" s="1"/>
      <c r="E599" s="1">
        <f>SANDBOX!D126</f>
        <v>0</v>
      </c>
      <c r="F599" s="1"/>
      <c r="G599" s="1">
        <f t="shared" si="14"/>
        <v>0.21</v>
      </c>
      <c r="H599" s="1"/>
      <c r="I599" s="1">
        <f t="shared" si="13"/>
        <v>0.21</v>
      </c>
      <c r="J599" s="1"/>
      <c r="K599" s="1"/>
      <c r="L599" s="1"/>
      <c r="M599" s="1"/>
      <c r="N599" s="1"/>
      <c r="O599" s="1"/>
      <c r="P599" s="1"/>
      <c r="Q599" s="1"/>
      <c r="R599" s="1"/>
      <c r="S599" s="121"/>
      <c r="V599" s="137"/>
      <c r="W599" s="137"/>
      <c r="X599" s="137"/>
      <c r="Y599" s="137"/>
      <c r="Z599" s="137"/>
      <c r="AA599" s="137"/>
      <c r="AB599" s="137"/>
    </row>
    <row r="600" spans="2:28" hidden="1" x14ac:dyDescent="0.2">
      <c r="B600" s="28"/>
      <c r="C600" s="1"/>
      <c r="D600" s="1"/>
      <c r="E600" s="1">
        <f>SANDBOX!D127</f>
        <v>0</v>
      </c>
      <c r="F600" s="1"/>
      <c r="G600" s="1">
        <f t="shared" si="14"/>
        <v>0.21</v>
      </c>
      <c r="H600" s="1"/>
      <c r="I600" s="1">
        <f t="shared" si="13"/>
        <v>0.21</v>
      </c>
      <c r="J600" s="1"/>
      <c r="K600" s="1"/>
      <c r="L600" s="1"/>
      <c r="M600" s="1"/>
      <c r="N600" s="1"/>
      <c r="O600" s="1"/>
      <c r="P600" s="1"/>
      <c r="Q600" s="1"/>
      <c r="R600" s="1"/>
      <c r="S600" s="121"/>
      <c r="V600" s="137"/>
      <c r="W600" s="137"/>
      <c r="X600" s="137"/>
      <c r="Y600" s="137"/>
      <c r="Z600" s="137"/>
      <c r="AA600" s="137"/>
      <c r="AB600" s="137"/>
    </row>
    <row r="601" spans="2:28" hidden="1" x14ac:dyDescent="0.2">
      <c r="B601" s="28"/>
      <c r="C601" s="1"/>
      <c r="D601" s="1"/>
      <c r="E601" s="1">
        <f>SANDBOX!D128</f>
        <v>0</v>
      </c>
      <c r="F601" s="1"/>
      <c r="G601" s="1">
        <f t="shared" si="14"/>
        <v>0.21</v>
      </c>
      <c r="H601" s="1"/>
      <c r="I601" s="1">
        <f t="shared" si="13"/>
        <v>0.21</v>
      </c>
      <c r="J601" s="1"/>
      <c r="K601" s="1"/>
      <c r="L601" s="1"/>
      <c r="M601" s="1"/>
      <c r="N601" s="1"/>
      <c r="O601" s="1"/>
      <c r="P601" s="1"/>
      <c r="Q601" s="1"/>
      <c r="R601" s="1"/>
      <c r="S601" s="121"/>
      <c r="V601" s="137"/>
      <c r="W601" s="137"/>
      <c r="X601" s="137"/>
      <c r="Y601" s="137"/>
      <c r="Z601" s="137"/>
      <c r="AA601" s="137"/>
      <c r="AB601" s="137"/>
    </row>
    <row r="602" spans="2:28" hidden="1" x14ac:dyDescent="0.2">
      <c r="B602" s="28"/>
      <c r="C602" s="1"/>
      <c r="D602" s="1"/>
      <c r="E602" s="1">
        <f>SANDBOX!D129</f>
        <v>0</v>
      </c>
      <c r="F602" s="1"/>
      <c r="G602" s="1">
        <f t="shared" si="14"/>
        <v>0.21</v>
      </c>
      <c r="H602" s="1"/>
      <c r="I602" s="1">
        <f t="shared" si="13"/>
        <v>0.21</v>
      </c>
      <c r="J602" s="1"/>
      <c r="K602" s="1"/>
      <c r="L602" s="1"/>
      <c r="M602" s="1"/>
      <c r="N602" s="1"/>
      <c r="O602" s="1"/>
      <c r="P602" s="1"/>
      <c r="Q602" s="1"/>
      <c r="R602" s="1"/>
      <c r="S602" s="121"/>
      <c r="V602" s="137"/>
      <c r="W602" s="137"/>
      <c r="X602" s="137"/>
      <c r="Y602" s="137"/>
      <c r="Z602" s="137"/>
      <c r="AA602" s="137"/>
      <c r="AB602" s="137"/>
    </row>
    <row r="603" spans="2:28" hidden="1" x14ac:dyDescent="0.2">
      <c r="B603" s="28"/>
      <c r="C603" s="1"/>
      <c r="D603" s="1"/>
      <c r="E603" s="1">
        <f>SANDBOX!D130</f>
        <v>0</v>
      </c>
      <c r="F603" s="1"/>
      <c r="G603" s="1">
        <f t="shared" si="14"/>
        <v>0.21</v>
      </c>
      <c r="H603" s="1"/>
      <c r="I603" s="1">
        <f t="shared" si="13"/>
        <v>0.21</v>
      </c>
      <c r="J603" s="1"/>
      <c r="K603" s="1"/>
      <c r="L603" s="1"/>
      <c r="M603" s="1"/>
      <c r="N603" s="1"/>
      <c r="O603" s="1"/>
      <c r="P603" s="1"/>
      <c r="Q603" s="1"/>
      <c r="R603" s="1"/>
      <c r="S603" s="121"/>
      <c r="V603" s="137"/>
      <c r="W603" s="137"/>
      <c r="X603" s="137"/>
      <c r="Y603" s="137"/>
      <c r="Z603" s="137"/>
      <c r="AA603" s="137"/>
      <c r="AB603" s="137"/>
    </row>
    <row r="604" spans="2:28" hidden="1" x14ac:dyDescent="0.2">
      <c r="B604" s="28"/>
      <c r="C604" s="1"/>
      <c r="D604" s="1"/>
      <c r="E604" s="1">
        <f>SANDBOX!D131</f>
        <v>0</v>
      </c>
      <c r="F604" s="1"/>
      <c r="G604" s="1">
        <f t="shared" si="14"/>
        <v>0.21</v>
      </c>
      <c r="H604" s="1"/>
      <c r="I604" s="1">
        <f t="shared" si="13"/>
        <v>0.21</v>
      </c>
      <c r="J604" s="1"/>
      <c r="K604" s="1"/>
      <c r="L604" s="1"/>
      <c r="M604" s="1"/>
      <c r="N604" s="1"/>
      <c r="O604" s="1"/>
      <c r="P604" s="1"/>
      <c r="Q604" s="1"/>
      <c r="R604" s="1"/>
      <c r="S604" s="121"/>
      <c r="V604" s="137"/>
      <c r="W604" s="137"/>
      <c r="X604" s="137"/>
      <c r="Y604" s="137"/>
      <c r="Z604" s="137"/>
      <c r="AA604" s="137"/>
      <c r="AB604" s="137"/>
    </row>
    <row r="605" spans="2:28" hidden="1" x14ac:dyDescent="0.2">
      <c r="B605" s="28"/>
      <c r="C605" s="1"/>
      <c r="D605" s="1"/>
      <c r="E605" s="1">
        <f>SANDBOX!D132</f>
        <v>0</v>
      </c>
      <c r="F605" s="1"/>
      <c r="G605" s="1">
        <f t="shared" si="14"/>
        <v>0.21</v>
      </c>
      <c r="H605" s="1"/>
      <c r="I605" s="1">
        <f t="shared" si="13"/>
        <v>0.21</v>
      </c>
      <c r="J605" s="1"/>
      <c r="K605" s="1"/>
      <c r="L605" s="1"/>
      <c r="M605" s="1"/>
      <c r="N605" s="1"/>
      <c r="O605" s="1"/>
      <c r="P605" s="1"/>
      <c r="Q605" s="1"/>
      <c r="R605" s="1"/>
      <c r="S605" s="121"/>
      <c r="V605" s="137"/>
      <c r="W605" s="137"/>
      <c r="X605" s="137"/>
      <c r="Y605" s="137"/>
      <c r="Z605" s="137"/>
      <c r="AA605" s="137"/>
      <c r="AB605" s="137"/>
    </row>
    <row r="606" spans="2:28" hidden="1" x14ac:dyDescent="0.2">
      <c r="B606" s="28"/>
      <c r="C606" s="1"/>
      <c r="D606" s="1"/>
      <c r="E606" s="1">
        <f>SANDBOX!D133</f>
        <v>0</v>
      </c>
      <c r="F606" s="1"/>
      <c r="G606" s="1">
        <f t="shared" si="14"/>
        <v>0.21</v>
      </c>
      <c r="H606" s="1"/>
      <c r="I606" s="1">
        <f t="shared" si="13"/>
        <v>0.21</v>
      </c>
      <c r="J606" s="1"/>
      <c r="K606" s="1"/>
      <c r="L606" s="1"/>
      <c r="M606" s="1"/>
      <c r="N606" s="1"/>
      <c r="O606" s="1"/>
      <c r="P606" s="1"/>
      <c r="Q606" s="1"/>
      <c r="R606" s="1"/>
      <c r="S606" s="121"/>
      <c r="V606" s="137"/>
      <c r="W606" s="137"/>
      <c r="X606" s="137"/>
      <c r="Y606" s="137"/>
      <c r="Z606" s="137"/>
      <c r="AA606" s="137"/>
      <c r="AB606" s="137"/>
    </row>
    <row r="607" spans="2:28" hidden="1" x14ac:dyDescent="0.2">
      <c r="B607" s="28"/>
      <c r="C607" s="1"/>
      <c r="D607" s="1"/>
      <c r="E607" s="1">
        <f>SANDBOX!D134</f>
        <v>0</v>
      </c>
      <c r="F607" s="1"/>
      <c r="G607" s="1">
        <f t="shared" si="14"/>
        <v>0.21</v>
      </c>
      <c r="H607" s="1"/>
      <c r="I607" s="1">
        <f t="shared" si="13"/>
        <v>0.21</v>
      </c>
      <c r="J607" s="1"/>
      <c r="K607" s="1"/>
      <c r="L607" s="1"/>
      <c r="M607" s="1"/>
      <c r="N607" s="1"/>
      <c r="O607" s="1"/>
      <c r="P607" s="1"/>
      <c r="Q607" s="1"/>
      <c r="R607" s="1"/>
      <c r="S607" s="121"/>
      <c r="V607" s="137"/>
      <c r="W607" s="137"/>
      <c r="X607" s="137"/>
      <c r="Y607" s="137"/>
      <c r="Z607" s="137"/>
      <c r="AA607" s="137"/>
      <c r="AB607" s="137"/>
    </row>
    <row r="608" spans="2:28" hidden="1" x14ac:dyDescent="0.2">
      <c r="B608" s="28"/>
      <c r="C608" s="1"/>
      <c r="D608" s="1"/>
      <c r="E608" s="1">
        <f>SANDBOX!D135</f>
        <v>0</v>
      </c>
      <c r="F608" s="1"/>
      <c r="G608" s="1">
        <f t="shared" si="14"/>
        <v>0.21</v>
      </c>
      <c r="H608" s="1"/>
      <c r="I608" s="1">
        <f t="shared" si="13"/>
        <v>0.21</v>
      </c>
      <c r="J608" s="1"/>
      <c r="K608" s="1"/>
      <c r="L608" s="1"/>
      <c r="M608" s="1"/>
      <c r="N608" s="1"/>
      <c r="O608" s="1"/>
      <c r="P608" s="1"/>
      <c r="Q608" s="1"/>
      <c r="R608" s="1"/>
      <c r="S608" s="121"/>
      <c r="V608" s="137"/>
      <c r="W608" s="137"/>
      <c r="X608" s="137"/>
      <c r="Y608" s="137"/>
      <c r="Z608" s="137"/>
      <c r="AA608" s="137"/>
      <c r="AB608" s="137"/>
    </row>
    <row r="609" spans="2:28" hidden="1" x14ac:dyDescent="0.2">
      <c r="B609" s="28"/>
      <c r="C609" s="1"/>
      <c r="D609" s="1"/>
      <c r="E609" s="1"/>
      <c r="F609" s="1"/>
      <c r="G609" s="1"/>
      <c r="H609" s="1"/>
      <c r="I609" s="1"/>
      <c r="J609" s="1"/>
      <c r="K609" s="1"/>
      <c r="L609" s="1"/>
      <c r="M609" s="1"/>
      <c r="N609" s="1"/>
      <c r="O609" s="1"/>
      <c r="P609" s="1"/>
      <c r="Q609" s="1"/>
      <c r="R609" s="1"/>
      <c r="S609" s="121"/>
      <c r="V609" s="137"/>
      <c r="W609" s="137"/>
      <c r="X609" s="137"/>
      <c r="Y609" s="137"/>
      <c r="Z609" s="137"/>
      <c r="AA609" s="137"/>
      <c r="AB609" s="137"/>
    </row>
    <row r="610" spans="2:28" ht="14.25" hidden="1" x14ac:dyDescent="0.2">
      <c r="B610" s="28"/>
      <c r="C610" s="1"/>
      <c r="D610" s="1"/>
      <c r="E610" s="1" t="s">
        <v>570</v>
      </c>
      <c r="F610" s="1"/>
      <c r="G610" s="1">
        <f>$I$455</f>
        <v>0.21</v>
      </c>
      <c r="H610" s="1"/>
      <c r="I610" s="1">
        <f t="shared" ref="I610:I617" si="15">IF(H610="",G610,H610)</f>
        <v>0.21</v>
      </c>
      <c r="J610" s="1" t="s">
        <v>1345</v>
      </c>
      <c r="K610" s="1"/>
      <c r="L610" s="1"/>
      <c r="M610" s="1"/>
      <c r="N610" s="1"/>
      <c r="O610" s="1"/>
      <c r="P610" s="1"/>
      <c r="Q610" s="1"/>
      <c r="R610" s="1"/>
      <c r="S610" s="121"/>
      <c r="V610" s="137"/>
      <c r="W610" s="137"/>
      <c r="X610" s="137"/>
      <c r="Y610" s="137"/>
      <c r="Z610" s="137"/>
      <c r="AA610" s="137"/>
      <c r="AB610" s="137"/>
    </row>
    <row r="611" spans="2:28" hidden="1" x14ac:dyDescent="0.2">
      <c r="B611" s="28"/>
      <c r="C611" s="1"/>
      <c r="D611" s="1"/>
      <c r="E611" s="1" t="str">
        <f>SANDBOX!D150</f>
        <v>Terrenos, construcciones y edificaciones</v>
      </c>
      <c r="F611" s="1"/>
      <c r="G611" s="1">
        <f t="shared" ref="G611:G617" si="16">+I$610</f>
        <v>0.21</v>
      </c>
      <c r="H611" s="1"/>
      <c r="I611" s="1">
        <f t="shared" si="15"/>
        <v>0.21</v>
      </c>
      <c r="J611" s="1"/>
      <c r="K611" s="1"/>
      <c r="L611" s="1"/>
      <c r="M611" s="1"/>
      <c r="N611" s="1"/>
      <c r="O611" s="1"/>
      <c r="P611" s="1"/>
      <c r="Q611" s="1"/>
      <c r="R611" s="1"/>
      <c r="S611" s="121"/>
      <c r="V611" s="137"/>
      <c r="W611" s="137"/>
      <c r="X611" s="137"/>
      <c r="Y611" s="137"/>
      <c r="Z611" s="137"/>
      <c r="AA611" s="137"/>
      <c r="AB611" s="137"/>
    </row>
    <row r="612" spans="2:28" hidden="1" x14ac:dyDescent="0.2">
      <c r="B612" s="28"/>
      <c r="C612" s="1"/>
      <c r="D612" s="1"/>
      <c r="E612" s="1" t="str">
        <f>SANDBOX!D157</f>
        <v>Otras instalaciones</v>
      </c>
      <c r="F612" s="1"/>
      <c r="G612" s="1">
        <f t="shared" si="16"/>
        <v>0.21</v>
      </c>
      <c r="H612" s="1"/>
      <c r="I612" s="1">
        <f t="shared" si="15"/>
        <v>0.21</v>
      </c>
      <c r="J612" s="1"/>
      <c r="K612" s="1"/>
      <c r="L612" s="1"/>
      <c r="M612" s="1"/>
      <c r="N612" s="1"/>
      <c r="O612" s="1"/>
      <c r="P612" s="1"/>
      <c r="Q612" s="1"/>
      <c r="R612" s="1"/>
      <c r="S612" s="121"/>
      <c r="V612" s="137"/>
      <c r="W612" s="137"/>
      <c r="X612" s="137"/>
      <c r="Y612" s="137"/>
      <c r="Z612" s="137"/>
      <c r="AA612" s="137"/>
      <c r="AB612" s="137"/>
    </row>
    <row r="613" spans="2:28" hidden="1" x14ac:dyDescent="0.2">
      <c r="B613" s="28"/>
      <c r="C613" s="1"/>
      <c r="D613" s="1"/>
      <c r="E613" s="1" t="str">
        <f>SANDBOX!D164</f>
        <v>Maquinaria, utillaje y herramientas</v>
      </c>
      <c r="F613" s="1"/>
      <c r="G613" s="1">
        <f t="shared" si="16"/>
        <v>0.21</v>
      </c>
      <c r="H613" s="1"/>
      <c r="I613" s="1">
        <f t="shared" si="15"/>
        <v>0.21</v>
      </c>
      <c r="J613" s="1"/>
      <c r="K613" s="1"/>
      <c r="L613" s="1"/>
      <c r="M613" s="1"/>
      <c r="N613" s="1"/>
      <c r="O613" s="1"/>
      <c r="P613" s="1"/>
      <c r="Q613" s="1"/>
      <c r="R613" s="1"/>
      <c r="S613" s="121"/>
      <c r="V613" s="137"/>
      <c r="W613" s="137"/>
      <c r="X613" s="137"/>
      <c r="Y613" s="137"/>
      <c r="Z613" s="137"/>
      <c r="AA613" s="137"/>
      <c r="AB613" s="137"/>
    </row>
    <row r="614" spans="2:28" hidden="1" x14ac:dyDescent="0.2">
      <c r="B614" s="28"/>
      <c r="C614" s="1"/>
      <c r="D614" s="1"/>
      <c r="E614" s="1" t="str">
        <f>SANDBOX!D171</f>
        <v>Vehículos y elementos de transporte</v>
      </c>
      <c r="F614" s="1"/>
      <c r="G614" s="1">
        <f t="shared" si="16"/>
        <v>0.21</v>
      </c>
      <c r="H614" s="1"/>
      <c r="I614" s="1">
        <f t="shared" si="15"/>
        <v>0.21</v>
      </c>
      <c r="J614" s="1"/>
      <c r="K614" s="1"/>
      <c r="L614" s="1"/>
      <c r="M614" s="1"/>
      <c r="N614" s="1"/>
      <c r="O614" s="1"/>
      <c r="P614" s="1"/>
      <c r="Q614" s="1"/>
      <c r="R614" s="1"/>
      <c r="S614" s="121"/>
      <c r="V614" s="137"/>
      <c r="W614" s="137"/>
      <c r="X614" s="137"/>
      <c r="Y614" s="137"/>
      <c r="Z614" s="137"/>
      <c r="AA614" s="137"/>
      <c r="AB614" s="137"/>
    </row>
    <row r="615" spans="2:28" hidden="1" x14ac:dyDescent="0.2">
      <c r="B615" s="28"/>
      <c r="C615" s="1"/>
      <c r="D615" s="1"/>
      <c r="E615" s="1" t="str">
        <f>SANDBOX!D178</f>
        <v>Mobiliario y equipos oficina</v>
      </c>
      <c r="F615" s="1"/>
      <c r="G615" s="1">
        <f t="shared" si="16"/>
        <v>0.21</v>
      </c>
      <c r="H615" s="1"/>
      <c r="I615" s="1">
        <f t="shared" si="15"/>
        <v>0.21</v>
      </c>
      <c r="J615" s="1"/>
      <c r="K615" s="1"/>
      <c r="L615" s="1"/>
      <c r="M615" s="1"/>
      <c r="N615" s="1"/>
      <c r="O615" s="1"/>
      <c r="P615" s="1"/>
      <c r="Q615" s="1"/>
      <c r="R615" s="1"/>
      <c r="S615" s="121"/>
      <c r="V615" s="137"/>
      <c r="W615" s="137"/>
      <c r="X615" s="137"/>
      <c r="Y615" s="137"/>
      <c r="Z615" s="137"/>
      <c r="AA615" s="137"/>
      <c r="AB615" s="137"/>
    </row>
    <row r="616" spans="2:28" hidden="1" x14ac:dyDescent="0.2">
      <c r="B616" s="28"/>
      <c r="C616" s="1"/>
      <c r="D616" s="1"/>
      <c r="E616" s="1" t="str">
        <f>SANDBOX!D185</f>
        <v>Equipos informáticos</v>
      </c>
      <c r="F616" s="1"/>
      <c r="G616" s="1">
        <f t="shared" si="16"/>
        <v>0.21</v>
      </c>
      <c r="H616" s="1"/>
      <c r="I616" s="1">
        <f t="shared" si="15"/>
        <v>0.21</v>
      </c>
      <c r="J616" s="1"/>
      <c r="K616" s="1"/>
      <c r="L616" s="1"/>
      <c r="M616" s="1"/>
      <c r="N616" s="1"/>
      <c r="O616" s="1"/>
      <c r="P616" s="1"/>
      <c r="Q616" s="1"/>
      <c r="R616" s="1"/>
      <c r="S616" s="121"/>
      <c r="V616" s="137"/>
      <c r="W616" s="137"/>
      <c r="X616" s="137"/>
      <c r="Y616" s="137"/>
      <c r="Z616" s="137"/>
      <c r="AA616" s="137"/>
      <c r="AB616" s="137"/>
    </row>
    <row r="617" spans="2:28" hidden="1" x14ac:dyDescent="0.2">
      <c r="B617" s="28"/>
      <c r="C617" s="1"/>
      <c r="D617" s="1"/>
      <c r="E617" s="1" t="str">
        <f>SANDBOX!D192</f>
        <v>Activos intangibles amortizables</v>
      </c>
      <c r="F617" s="1"/>
      <c r="G617" s="1">
        <f t="shared" si="16"/>
        <v>0.21</v>
      </c>
      <c r="H617" s="1"/>
      <c r="I617" s="1">
        <f t="shared" si="15"/>
        <v>0.21</v>
      </c>
      <c r="J617" s="1"/>
      <c r="K617" s="1"/>
      <c r="L617" s="1"/>
      <c r="M617" s="1"/>
      <c r="N617" s="1"/>
      <c r="O617" s="1"/>
      <c r="P617" s="1"/>
      <c r="Q617" s="1"/>
      <c r="R617" s="1"/>
      <c r="S617" s="121"/>
      <c r="V617" s="137"/>
      <c r="W617" s="137"/>
      <c r="X617" s="137"/>
      <c r="Y617" s="137"/>
      <c r="Z617" s="137"/>
      <c r="AA617" s="137"/>
      <c r="AB617" s="137"/>
    </row>
    <row r="618" spans="2:28" hidden="1" x14ac:dyDescent="0.2">
      <c r="B618" s="28"/>
      <c r="C618" s="1"/>
      <c r="D618" s="1"/>
      <c r="E618" s="1"/>
      <c r="F618" s="1"/>
      <c r="G618" s="1"/>
      <c r="H618" s="1"/>
      <c r="I618" s="1"/>
      <c r="J618" s="1"/>
      <c r="K618" s="1"/>
      <c r="L618" s="1"/>
      <c r="M618" s="1"/>
      <c r="N618" s="1"/>
      <c r="O618" s="1"/>
      <c r="P618" s="1"/>
      <c r="Q618" s="1"/>
      <c r="R618" s="1"/>
      <c r="S618" s="121"/>
      <c r="V618" s="137"/>
      <c r="W618" s="137"/>
      <c r="X618" s="137"/>
      <c r="Y618" s="137"/>
      <c r="Z618" s="137"/>
      <c r="AA618" s="137"/>
      <c r="AB618" s="137"/>
    </row>
    <row r="619" spans="2:28" hidden="1" x14ac:dyDescent="0.2">
      <c r="B619" s="28"/>
      <c r="C619" s="1"/>
      <c r="D619" s="1"/>
      <c r="E619" s="1"/>
      <c r="F619" s="1"/>
      <c r="G619" s="1"/>
      <c r="H619" s="1"/>
      <c r="I619" s="1"/>
      <c r="J619" s="1"/>
      <c r="K619" s="1"/>
      <c r="L619" s="1"/>
      <c r="M619" s="1"/>
      <c r="N619" s="1"/>
      <c r="O619" s="1"/>
      <c r="P619" s="1"/>
      <c r="Q619" s="1"/>
      <c r="R619" s="1"/>
      <c r="S619" s="121"/>
      <c r="V619" s="137"/>
      <c r="W619" s="137"/>
      <c r="X619" s="137"/>
      <c r="Y619" s="137"/>
      <c r="Z619" s="137"/>
      <c r="AA619" s="137"/>
      <c r="AB619" s="137"/>
    </row>
    <row r="620" spans="2:28" hidden="1" x14ac:dyDescent="0.2">
      <c r="B620" s="28"/>
      <c r="C620" s="1"/>
      <c r="D620" s="1"/>
      <c r="E620" s="1"/>
      <c r="F620" s="1"/>
      <c r="G620" s="1"/>
      <c r="H620" s="1"/>
      <c r="I620" s="1"/>
      <c r="J620" s="1"/>
      <c r="K620" s="1"/>
      <c r="L620" s="1"/>
      <c r="M620" s="1"/>
      <c r="N620" s="1"/>
      <c r="O620" s="1"/>
      <c r="P620" s="1"/>
      <c r="Q620" s="1"/>
      <c r="R620" s="1"/>
      <c r="S620" s="121"/>
      <c r="V620" s="137"/>
      <c r="W620" s="137"/>
      <c r="X620" s="137"/>
      <c r="Y620" s="137"/>
      <c r="Z620" s="137"/>
      <c r="AA620" s="137"/>
      <c r="AB620" s="137"/>
    </row>
    <row r="621" spans="2:28" hidden="1" x14ac:dyDescent="0.2">
      <c r="B621" s="28"/>
      <c r="C621" s="1"/>
      <c r="D621" s="1"/>
      <c r="E621" s="1"/>
      <c r="F621" s="1"/>
      <c r="G621" s="1"/>
      <c r="H621" s="1"/>
      <c r="I621" s="1"/>
      <c r="J621" s="1"/>
      <c r="K621" s="1"/>
      <c r="L621" s="1"/>
      <c r="M621" s="1"/>
      <c r="N621" s="1"/>
      <c r="O621" s="1"/>
      <c r="P621" s="1"/>
      <c r="Q621" s="1"/>
      <c r="R621" s="1"/>
      <c r="S621" s="121"/>
    </row>
    <row r="622" spans="2:28" hidden="1" x14ac:dyDescent="0.2">
      <c r="B622" s="28"/>
      <c r="C622" s="1"/>
      <c r="D622" s="1"/>
      <c r="E622" s="1"/>
      <c r="F622" s="1"/>
      <c r="G622" s="1"/>
      <c r="H622" s="1"/>
      <c r="I622" s="1"/>
      <c r="J622" s="1"/>
      <c r="K622" s="1"/>
      <c r="L622" s="1"/>
      <c r="M622" s="1"/>
      <c r="N622" s="1"/>
      <c r="O622" s="1"/>
      <c r="P622" s="1"/>
      <c r="Q622" s="1"/>
      <c r="R622" s="1"/>
      <c r="S622" s="121"/>
    </row>
    <row r="623" spans="2:28" hidden="1" x14ac:dyDescent="0.2">
      <c r="B623" s="28"/>
      <c r="C623" s="1"/>
      <c r="D623" s="1"/>
      <c r="E623" s="1"/>
      <c r="F623" s="1"/>
      <c r="G623" s="1"/>
      <c r="H623" s="1"/>
      <c r="I623" s="1"/>
      <c r="J623" s="1"/>
      <c r="K623" s="1"/>
      <c r="L623" s="1"/>
      <c r="M623" s="1"/>
      <c r="N623" s="1"/>
      <c r="O623" s="1"/>
      <c r="P623" s="1"/>
      <c r="Q623" s="1"/>
      <c r="R623" s="1"/>
      <c r="S623" s="121"/>
    </row>
    <row r="624" spans="2:28" hidden="1" x14ac:dyDescent="0.2">
      <c r="B624" s="29"/>
      <c r="C624" s="2"/>
      <c r="D624" s="2"/>
      <c r="E624" s="2"/>
      <c r="F624" s="2"/>
      <c r="G624" s="2"/>
      <c r="H624" s="2"/>
      <c r="I624" s="2"/>
      <c r="J624" s="2"/>
      <c r="K624" s="2"/>
      <c r="L624" s="2"/>
      <c r="M624" s="2"/>
      <c r="N624" s="2"/>
      <c r="O624" s="2"/>
      <c r="P624" s="2"/>
      <c r="Q624" s="2"/>
      <c r="R624" s="2"/>
      <c r="S624" s="122"/>
    </row>
    <row r="625" spans="2:20" hidden="1" x14ac:dyDescent="0.2"/>
    <row r="626" spans="2:20" hidden="1" x14ac:dyDescent="0.2">
      <c r="B626" s="85"/>
      <c r="C626" s="85" t="s">
        <v>1592</v>
      </c>
      <c r="D626" s="85"/>
      <c r="E626" s="85">
        <f>E628-E629</f>
        <v>0</v>
      </c>
      <c r="F626" s="85" t="e">
        <f>F628-F629</f>
        <v>#REF!</v>
      </c>
      <c r="G626" s="85"/>
      <c r="H626" s="85" t="e">
        <f>H628-H629</f>
        <v>#REF!</v>
      </c>
      <c r="I626" s="85"/>
      <c r="J626" s="85" t="e">
        <f>J628-J629</f>
        <v>#REF!</v>
      </c>
      <c r="K626" s="85"/>
      <c r="L626" s="85" t="e">
        <f>L628-L629</f>
        <v>#REF!</v>
      </c>
      <c r="M626" s="85"/>
      <c r="N626" s="85"/>
      <c r="O626" s="85"/>
      <c r="P626" s="85"/>
      <c r="Q626" s="85"/>
      <c r="R626" s="85"/>
      <c r="S626" s="85"/>
      <c r="T626" s="86"/>
    </row>
    <row r="627" spans="2:20" hidden="1" x14ac:dyDescent="0.2">
      <c r="B627" s="85"/>
      <c r="C627" s="85"/>
      <c r="D627" s="85"/>
      <c r="E627" s="85"/>
      <c r="F627" s="85"/>
      <c r="G627" s="85"/>
      <c r="H627" s="85"/>
      <c r="I627" s="85"/>
      <c r="J627" s="85"/>
      <c r="K627" s="85"/>
      <c r="L627" s="85"/>
      <c r="M627" s="85"/>
      <c r="N627" s="85"/>
      <c r="O627" s="85"/>
      <c r="P627" s="85"/>
      <c r="Q627" s="85"/>
      <c r="R627" s="85"/>
      <c r="S627" s="85"/>
      <c r="T627" s="86"/>
    </row>
    <row r="628" spans="2:20" hidden="1" x14ac:dyDescent="0.2">
      <c r="B628" s="85"/>
      <c r="C628" s="85" t="s">
        <v>975</v>
      </c>
      <c r="D628" s="85"/>
      <c r="E628" s="85">
        <f>SB!D635</f>
        <v>0</v>
      </c>
      <c r="F628" s="85">
        <f>SB!F669</f>
        <v>0</v>
      </c>
      <c r="G628" s="85"/>
      <c r="H628" s="85">
        <f>SB!G669</f>
        <v>0</v>
      </c>
      <c r="I628" s="85"/>
      <c r="J628" s="85">
        <f>SB!H669</f>
        <v>0</v>
      </c>
      <c r="K628" s="85"/>
      <c r="L628" s="85">
        <f>SB!I669</f>
        <v>0</v>
      </c>
      <c r="M628" s="85"/>
      <c r="N628" s="85"/>
      <c r="O628" s="85"/>
      <c r="P628" s="85"/>
      <c r="Q628" s="85"/>
      <c r="R628" s="85"/>
      <c r="S628" s="85"/>
      <c r="T628" s="86"/>
    </row>
    <row r="629" spans="2:20" hidden="1" x14ac:dyDescent="0.2">
      <c r="B629" s="85"/>
      <c r="C629" s="85" t="s">
        <v>1388</v>
      </c>
      <c r="D629" s="85"/>
      <c r="E629" s="85">
        <f>INFORME!E138</f>
        <v>0</v>
      </c>
      <c r="F629" s="85" t="e">
        <f>'5años'!E74</f>
        <v>#REF!</v>
      </c>
      <c r="G629" s="85"/>
      <c r="H629" s="85" t="e">
        <f>'5años'!F74</f>
        <v>#REF!</v>
      </c>
      <c r="I629" s="85"/>
      <c r="J629" s="85" t="e">
        <f>'5años'!G74</f>
        <v>#REF!</v>
      </c>
      <c r="K629" s="85"/>
      <c r="L629" s="85" t="e">
        <f>'5años'!H74</f>
        <v>#REF!</v>
      </c>
      <c r="M629" s="85"/>
      <c r="N629" s="85"/>
      <c r="O629" s="85"/>
      <c r="P629" s="85"/>
      <c r="Q629" s="85"/>
      <c r="R629" s="85"/>
      <c r="S629" s="85"/>
      <c r="T629" s="86"/>
    </row>
    <row r="630" spans="2:20" hidden="1" x14ac:dyDescent="0.2">
      <c r="B630" s="85"/>
      <c r="C630" s="85" t="str">
        <f>INFORME!D139</f>
        <v>Intereses</v>
      </c>
      <c r="D630" s="85"/>
      <c r="E630" s="85">
        <f>INFORME!E139</f>
        <v>0</v>
      </c>
      <c r="F630" s="85" t="e">
        <f>'5años'!E76</f>
        <v>#REF!</v>
      </c>
      <c r="G630" s="85"/>
      <c r="H630" s="85" t="e">
        <f>'5años'!F76</f>
        <v>#REF!</v>
      </c>
      <c r="I630" s="85"/>
      <c r="J630" s="85" t="e">
        <f>'5años'!G76</f>
        <v>#REF!</v>
      </c>
      <c r="K630" s="85"/>
      <c r="L630" s="85" t="e">
        <f>'5años'!H76</f>
        <v>#REF!</v>
      </c>
      <c r="M630" s="85"/>
      <c r="N630" s="85"/>
      <c r="O630" s="85"/>
      <c r="P630" s="85"/>
      <c r="Q630" s="85"/>
      <c r="R630" s="85"/>
      <c r="S630" s="85"/>
      <c r="T630" s="86"/>
    </row>
    <row r="631" spans="2:20" hidden="1" x14ac:dyDescent="0.2">
      <c r="B631" s="85"/>
      <c r="C631" s="85" t="str">
        <f>INFORME!D140</f>
        <v>Otros gastos financ.</v>
      </c>
      <c r="D631" s="85"/>
      <c r="E631" s="85">
        <f>INFORME!E140</f>
        <v>0</v>
      </c>
      <c r="F631" s="85" t="e">
        <f>+F629-F630</f>
        <v>#REF!</v>
      </c>
      <c r="G631" s="85"/>
      <c r="H631" s="85" t="e">
        <f>+H629-H630</f>
        <v>#REF!</v>
      </c>
      <c r="I631" s="85"/>
      <c r="J631" s="85" t="e">
        <f>+J629-J630</f>
        <v>#REF!</v>
      </c>
      <c r="K631" s="85"/>
      <c r="L631" s="85" t="e">
        <f>+L629-L630</f>
        <v>#REF!</v>
      </c>
      <c r="M631" s="85"/>
      <c r="N631" s="85"/>
      <c r="O631" s="85"/>
      <c r="P631" s="85"/>
      <c r="Q631" s="85"/>
      <c r="R631" s="85"/>
      <c r="S631" s="85"/>
      <c r="T631" s="86"/>
    </row>
    <row r="632" spans="2:20" hidden="1" x14ac:dyDescent="0.2">
      <c r="B632" s="85"/>
      <c r="C632" s="85"/>
      <c r="D632" s="85"/>
      <c r="E632" s="85"/>
      <c r="F632" s="85"/>
      <c r="G632" s="85"/>
      <c r="H632" s="85"/>
      <c r="I632" s="85"/>
      <c r="J632" s="85"/>
      <c r="K632" s="85"/>
      <c r="L632" s="85"/>
      <c r="M632" s="85"/>
      <c r="N632" s="85"/>
      <c r="O632" s="85"/>
      <c r="P632" s="85"/>
      <c r="Q632" s="85"/>
      <c r="R632" s="85"/>
      <c r="S632" s="85"/>
      <c r="T632" s="86"/>
    </row>
    <row r="633" spans="2:20" hidden="1" x14ac:dyDescent="0.2">
      <c r="B633" s="85"/>
      <c r="C633" s="85"/>
      <c r="D633" s="85"/>
      <c r="E633" s="85"/>
      <c r="F633" s="85"/>
      <c r="G633" s="85"/>
      <c r="H633" s="85"/>
      <c r="I633" s="85"/>
      <c r="J633" s="85"/>
      <c r="K633" s="85"/>
      <c r="L633" s="85"/>
      <c r="M633" s="85"/>
      <c r="N633" s="85"/>
      <c r="O633" s="85"/>
      <c r="P633" s="85"/>
      <c r="Q633" s="85"/>
      <c r="R633" s="85"/>
      <c r="S633" s="85"/>
      <c r="T633" s="86"/>
    </row>
    <row r="634" spans="2:20" hidden="1" x14ac:dyDescent="0.2">
      <c r="B634" s="85"/>
      <c r="C634" s="85" t="s">
        <v>71</v>
      </c>
      <c r="D634" s="85">
        <f>SUM(F634:Q634)</f>
        <v>0</v>
      </c>
      <c r="E634" s="85">
        <f>IF(INFORME!E$83=0,0,(D634/INFORME!$E$83))</f>
        <v>0</v>
      </c>
      <c r="F634" s="85">
        <f>+INFORME!G89-INFORME!G131</f>
        <v>0</v>
      </c>
      <c r="G634" s="85">
        <f>+INFORME!H89-INFORME!H131</f>
        <v>0</v>
      </c>
      <c r="H634" s="85">
        <f>+INFORME!I89-INFORME!I131</f>
        <v>0</v>
      </c>
      <c r="I634" s="85">
        <f>+INFORME!J89-INFORME!J131</f>
        <v>0</v>
      </c>
      <c r="J634" s="85">
        <f>+INFORME!K89-INFORME!K131</f>
        <v>0</v>
      </c>
      <c r="K634" s="85">
        <f>+INFORME!L89-INFORME!L131</f>
        <v>0</v>
      </c>
      <c r="L634" s="85">
        <f>+INFORME!M89-INFORME!M131</f>
        <v>0</v>
      </c>
      <c r="M634" s="85">
        <f>+INFORME!N89-INFORME!N131</f>
        <v>0</v>
      </c>
      <c r="N634" s="85">
        <f>+INFORME!O89-INFORME!O131</f>
        <v>0</v>
      </c>
      <c r="O634" s="85">
        <f>+INFORME!P89-INFORME!P131</f>
        <v>0</v>
      </c>
      <c r="P634" s="85">
        <f>+INFORME!Q89-INFORME!Q131</f>
        <v>0</v>
      </c>
      <c r="Q634" s="85">
        <f>+INFORME!R89-INFORME!R131</f>
        <v>0</v>
      </c>
      <c r="R634" s="85"/>
      <c r="S634" s="85"/>
      <c r="T634" s="86"/>
    </row>
    <row r="635" spans="2:20" ht="15" hidden="1" x14ac:dyDescent="0.2">
      <c r="B635" s="85"/>
      <c r="C635" s="85" t="s">
        <v>1171</v>
      </c>
      <c r="D635" s="85">
        <f>SUM(F635:Q635)</f>
        <v>0</v>
      </c>
      <c r="E635" s="85">
        <f>IF(INFORME!E$83=0,0,(D635/INFORME!$E$83))</f>
        <v>0</v>
      </c>
      <c r="F635" s="85">
        <f>SANDBOX!F91</f>
        <v>0</v>
      </c>
      <c r="G635" s="85">
        <f>SANDBOX!G91</f>
        <v>0</v>
      </c>
      <c r="H635" s="85">
        <f>SANDBOX!H91</f>
        <v>0</v>
      </c>
      <c r="I635" s="85">
        <f>SANDBOX!I91</f>
        <v>0</v>
      </c>
      <c r="J635" s="85">
        <f>SANDBOX!J91</f>
        <v>0</v>
      </c>
      <c r="K635" s="85">
        <f>SANDBOX!K91</f>
        <v>0</v>
      </c>
      <c r="L635" s="85">
        <f>SANDBOX!L91</f>
        <v>0</v>
      </c>
      <c r="M635" s="85">
        <f>SANDBOX!M91</f>
        <v>0</v>
      </c>
      <c r="N635" s="85">
        <f>SANDBOX!N91</f>
        <v>0</v>
      </c>
      <c r="O635" s="85">
        <f>SANDBOX!O91</f>
        <v>0</v>
      </c>
      <c r="P635" s="85">
        <f>SANDBOX!P91</f>
        <v>0</v>
      </c>
      <c r="Q635" s="85">
        <f>SANDBOX!Q91</f>
        <v>0</v>
      </c>
      <c r="R635" s="85"/>
      <c r="S635" s="85"/>
      <c r="T635" s="86"/>
    </row>
    <row r="636" spans="2:20" hidden="1" x14ac:dyDescent="0.2">
      <c r="B636" s="85"/>
      <c r="C636" s="85" t="s">
        <v>72</v>
      </c>
      <c r="D636" s="85">
        <f>SUM(F636:Q636)</f>
        <v>0</v>
      </c>
      <c r="E636" s="85">
        <f>IF(INFORME!E$252=0,0,(D636/INFORME!$E$252))</f>
        <v>0</v>
      </c>
      <c r="F636" s="85">
        <f>CTesorería!E136</f>
        <v>0</v>
      </c>
      <c r="G636" s="85">
        <f>CTesorería!F136</f>
        <v>0</v>
      </c>
      <c r="H636" s="85">
        <f>CTesorería!G136</f>
        <v>0</v>
      </c>
      <c r="I636" s="85">
        <f>CTesorería!H136</f>
        <v>0</v>
      </c>
      <c r="J636" s="85">
        <f>CTesorería!I136</f>
        <v>0</v>
      </c>
      <c r="K636" s="85">
        <f>CTesorería!J136</f>
        <v>0</v>
      </c>
      <c r="L636" s="85">
        <f>CTesorería!K136</f>
        <v>0</v>
      </c>
      <c r="M636" s="85">
        <f>CTesorería!L136</f>
        <v>0</v>
      </c>
      <c r="N636" s="85">
        <f>CTesorería!M136</f>
        <v>0</v>
      </c>
      <c r="O636" s="85">
        <f>CTesorería!N136</f>
        <v>0</v>
      </c>
      <c r="P636" s="85">
        <f>CTesorería!O136</f>
        <v>0</v>
      </c>
      <c r="Q636" s="85">
        <f>CTesorería!P136</f>
        <v>0</v>
      </c>
      <c r="R636" s="85"/>
      <c r="S636" s="85"/>
      <c r="T636" s="86"/>
    </row>
    <row r="637" spans="2:20" hidden="1" x14ac:dyDescent="0.2">
      <c r="B637" s="85"/>
      <c r="C637" s="292" t="s">
        <v>186</v>
      </c>
      <c r="D637" s="293"/>
      <c r="E637" s="293"/>
      <c r="F637" s="293"/>
      <c r="G637" s="293" t="s">
        <v>185</v>
      </c>
      <c r="H637" s="294"/>
      <c r="I637" s="85"/>
      <c r="J637" s="85"/>
      <c r="K637" s="85"/>
      <c r="L637" s="85"/>
      <c r="M637" s="85"/>
      <c r="N637" s="85"/>
      <c r="O637" s="85"/>
      <c r="P637" s="85"/>
      <c r="Q637" s="85"/>
      <c r="R637" s="85"/>
      <c r="S637" s="85"/>
      <c r="T637" s="86"/>
    </row>
    <row r="638" spans="2:20" hidden="1" x14ac:dyDescent="0.2">
      <c r="B638" s="85"/>
      <c r="C638" s="85" t="s">
        <v>1328</v>
      </c>
      <c r="D638" s="85">
        <f>SUM(F638:Q638)</f>
        <v>0</v>
      </c>
      <c r="E638" s="85">
        <f>IF(INFORME!E$252=0,0,(D638/INFORME!$E$252))</f>
        <v>0</v>
      </c>
      <c r="F638" s="85">
        <f>CTesorería!E138</f>
        <v>0</v>
      </c>
      <c r="G638" s="85">
        <f>CTesorería!F138</f>
        <v>0</v>
      </c>
      <c r="H638" s="85">
        <f>CTesorería!G138</f>
        <v>0</v>
      </c>
      <c r="I638" s="85">
        <f>CTesorería!H138</f>
        <v>0</v>
      </c>
      <c r="J638" s="85">
        <f>CTesorería!I138</f>
        <v>0</v>
      </c>
      <c r="K638" s="85">
        <f>CTesorería!J138</f>
        <v>0</v>
      </c>
      <c r="L638" s="85">
        <f>CTesorería!K138</f>
        <v>0</v>
      </c>
      <c r="M638" s="85">
        <f>CTesorería!L138</f>
        <v>0</v>
      </c>
      <c r="N638" s="85">
        <f>CTesorería!M138</f>
        <v>0</v>
      </c>
      <c r="O638" s="85">
        <f>CTesorería!N138</f>
        <v>0</v>
      </c>
      <c r="P638" s="85">
        <f>CTesorería!O138</f>
        <v>0</v>
      </c>
      <c r="Q638" s="85">
        <f>CTesorería!P138</f>
        <v>0</v>
      </c>
      <c r="R638" s="85"/>
      <c r="S638" s="85"/>
      <c r="T638" s="86"/>
    </row>
    <row r="639" spans="2:20" hidden="1" x14ac:dyDescent="0.2">
      <c r="B639" s="85"/>
      <c r="C639" s="85" t="s">
        <v>587</v>
      </c>
      <c r="D639" s="85"/>
      <c r="E639" s="85"/>
      <c r="F639" s="85"/>
      <c r="G639" s="85"/>
      <c r="H639" s="85"/>
      <c r="I639" s="85"/>
      <c r="J639" s="85"/>
      <c r="K639" s="85"/>
      <c r="L639" s="85"/>
      <c r="M639" s="85"/>
      <c r="N639" s="85"/>
      <c r="O639" s="85"/>
      <c r="P639" s="85"/>
      <c r="Q639" s="85"/>
      <c r="R639" s="85"/>
      <c r="S639" s="85"/>
      <c r="T639" s="86"/>
    </row>
    <row r="640" spans="2:20" hidden="1" x14ac:dyDescent="0.2">
      <c r="B640" s="85"/>
      <c r="C640" s="85" t="str">
        <f>SB!C638</f>
        <v>Leasings (pal.)</v>
      </c>
      <c r="D640" s="85"/>
      <c r="E640" s="85">
        <f>SB!D638</f>
        <v>0</v>
      </c>
      <c r="F640" s="85">
        <f>'5años'!$AC$104</f>
        <v>0</v>
      </c>
      <c r="G640" s="85">
        <f>'5años'!$AF$104</f>
        <v>0</v>
      </c>
      <c r="H640" s="85">
        <f>'5años'!$AI$104</f>
        <v>0</v>
      </c>
      <c r="I640" s="85">
        <f>'5años'!$AL$104</f>
        <v>0</v>
      </c>
      <c r="J640" s="85"/>
      <c r="K640" s="85"/>
      <c r="L640" s="85"/>
      <c r="M640" s="85"/>
      <c r="N640" s="85"/>
      <c r="O640" s="85"/>
      <c r="P640" s="85"/>
      <c r="Q640" s="85"/>
      <c r="R640" s="85"/>
      <c r="S640" s="85"/>
      <c r="T640" s="86"/>
    </row>
    <row r="641" spans="2:20" hidden="1" x14ac:dyDescent="0.2">
      <c r="B641" s="85"/>
      <c r="C641" s="85" t="s">
        <v>1483</v>
      </c>
      <c r="D641" s="85"/>
      <c r="E641" s="85">
        <f>CTesorería!D250</f>
        <v>0</v>
      </c>
      <c r="F641" s="85"/>
      <c r="G641" s="85"/>
      <c r="H641" s="85"/>
      <c r="I641" s="85"/>
      <c r="J641" s="85"/>
      <c r="K641" s="85"/>
      <c r="L641" s="85"/>
      <c r="M641" s="85"/>
      <c r="N641" s="85"/>
      <c r="O641" s="85"/>
      <c r="P641" s="85"/>
      <c r="Q641" s="85"/>
      <c r="R641" s="85"/>
      <c r="S641" s="85"/>
      <c r="T641" s="86"/>
    </row>
    <row r="642" spans="2:20" hidden="1" x14ac:dyDescent="0.2">
      <c r="B642" s="85"/>
      <c r="C642" s="85"/>
      <c r="D642" s="85"/>
      <c r="E642" s="85"/>
      <c r="F642" s="85"/>
      <c r="G642" s="85"/>
      <c r="H642" s="85"/>
      <c r="I642" s="85"/>
      <c r="J642" s="85"/>
      <c r="K642" s="85"/>
      <c r="L642" s="85"/>
      <c r="M642" s="85"/>
      <c r="N642" s="85"/>
      <c r="O642" s="85"/>
      <c r="P642" s="85"/>
      <c r="Q642" s="85"/>
      <c r="R642" s="85"/>
      <c r="S642" s="85"/>
      <c r="T642" s="86"/>
    </row>
    <row r="643" spans="2:20" hidden="1" x14ac:dyDescent="0.2">
      <c r="B643" s="85"/>
      <c r="C643" s="85"/>
      <c r="D643" s="85"/>
      <c r="E643" s="85"/>
      <c r="F643" s="85"/>
      <c r="G643" s="85"/>
      <c r="H643" s="85"/>
      <c r="I643" s="85"/>
      <c r="J643" s="85"/>
      <c r="K643" s="85"/>
      <c r="L643" s="85"/>
      <c r="M643" s="85"/>
      <c r="N643" s="85"/>
      <c r="O643" s="85"/>
      <c r="P643" s="85"/>
      <c r="Q643" s="85"/>
      <c r="R643" s="85"/>
      <c r="S643" s="85"/>
      <c r="T643" s="86"/>
    </row>
    <row r="644" spans="2:20" hidden="1" x14ac:dyDescent="0.2">
      <c r="B644" s="87"/>
      <c r="C644" s="87"/>
      <c r="D644" s="87"/>
      <c r="E644" s="87"/>
      <c r="F644" s="87"/>
      <c r="G644" s="87"/>
      <c r="H644" s="87"/>
      <c r="I644" s="87"/>
      <c r="J644" s="87"/>
      <c r="K644" s="87"/>
      <c r="L644" s="87"/>
      <c r="M644" s="87"/>
      <c r="N644" s="87"/>
      <c r="O644" s="87"/>
      <c r="P644" s="87"/>
      <c r="Q644" s="87"/>
      <c r="R644" s="87"/>
      <c r="S644" s="87"/>
      <c r="T644" s="88"/>
    </row>
    <row r="645" spans="2:20" hidden="1" x14ac:dyDescent="0.2"/>
    <row r="646" spans="2:20" hidden="1" x14ac:dyDescent="0.2">
      <c r="C646" s="53"/>
      <c r="D646" s="53"/>
      <c r="E646" s="53"/>
      <c r="F646" s="53"/>
      <c r="G646" s="53"/>
      <c r="H646" s="53"/>
      <c r="I646" s="53"/>
      <c r="J646" s="53"/>
      <c r="K646" s="53"/>
      <c r="L646" s="53"/>
      <c r="M646" s="53"/>
      <c r="N646" s="53"/>
      <c r="O646" s="53"/>
      <c r="P646" s="53"/>
      <c r="Q646" s="53"/>
    </row>
    <row r="647" spans="2:20" hidden="1" x14ac:dyDescent="0.2">
      <c r="C647" s="53"/>
      <c r="D647" s="53"/>
      <c r="E647" s="53"/>
      <c r="F647" s="53"/>
      <c r="G647" s="53"/>
      <c r="H647" s="53"/>
      <c r="I647" s="53"/>
      <c r="J647" s="53"/>
      <c r="K647" s="53"/>
      <c r="L647" s="53"/>
      <c r="M647" s="53"/>
      <c r="N647" s="53"/>
      <c r="O647" s="53"/>
      <c r="P647" s="53"/>
      <c r="Q647" s="53"/>
    </row>
    <row r="648" spans="2:20" hidden="1" x14ac:dyDescent="0.2">
      <c r="C648" s="53"/>
      <c r="D648" s="53"/>
      <c r="E648" s="53"/>
      <c r="F648" s="53"/>
      <c r="G648" s="53"/>
      <c r="H648" s="53"/>
      <c r="I648" s="53"/>
      <c r="J648" s="53"/>
      <c r="K648" s="53"/>
      <c r="L648" s="53"/>
      <c r="M648" s="53"/>
      <c r="N648" s="53"/>
      <c r="O648" s="53"/>
      <c r="P648" s="53"/>
      <c r="Q648" s="53"/>
    </row>
    <row r="649" spans="2:20" hidden="1" x14ac:dyDescent="0.2">
      <c r="C649" s="53"/>
      <c r="D649" s="289" t="s">
        <v>1093</v>
      </c>
      <c r="E649" s="290"/>
      <c r="F649" s="290"/>
      <c r="G649" s="290" t="s">
        <v>306</v>
      </c>
      <c r="H649" s="290"/>
      <c r="I649" s="290"/>
      <c r="J649" s="290"/>
      <c r="K649" s="290"/>
      <c r="L649" s="291"/>
      <c r="M649" s="82"/>
      <c r="N649" s="53"/>
      <c r="O649" s="53"/>
      <c r="P649" s="53"/>
      <c r="Q649" s="53"/>
    </row>
    <row r="650" spans="2:20" hidden="1" x14ac:dyDescent="0.2">
      <c r="C650" s="53"/>
      <c r="D650" s="53"/>
      <c r="E650" s="53"/>
      <c r="F650" s="53"/>
      <c r="G650" s="53"/>
      <c r="H650" s="53"/>
      <c r="I650" s="53"/>
      <c r="J650" s="53"/>
      <c r="K650" s="53"/>
      <c r="L650" s="53"/>
      <c r="M650" s="53"/>
      <c r="N650" s="53"/>
      <c r="O650" s="53"/>
      <c r="P650" s="53"/>
      <c r="Q650" s="53"/>
    </row>
    <row r="651" spans="2:20" hidden="1" x14ac:dyDescent="0.2">
      <c r="C651" s="53"/>
      <c r="D651" s="53"/>
      <c r="E651" s="53"/>
      <c r="F651" s="53"/>
      <c r="G651" s="53"/>
      <c r="H651" s="53"/>
      <c r="I651" s="53"/>
      <c r="J651" s="53"/>
      <c r="K651" s="53"/>
      <c r="L651" s="53"/>
      <c r="M651" s="53"/>
      <c r="N651" s="53"/>
      <c r="O651" s="53"/>
      <c r="P651" s="53"/>
      <c r="Q651" s="53"/>
    </row>
    <row r="652" spans="2:20" hidden="1" x14ac:dyDescent="0.2">
      <c r="C652" s="53"/>
      <c r="D652" s="53"/>
      <c r="E652" s="53"/>
      <c r="F652" s="53"/>
      <c r="G652" s="53"/>
      <c r="H652" s="53"/>
      <c r="I652" s="53"/>
      <c r="J652" s="53"/>
      <c r="K652" s="53"/>
      <c r="L652" s="53"/>
      <c r="M652" s="53"/>
      <c r="N652" s="53"/>
      <c r="O652" s="53"/>
      <c r="P652" s="53"/>
      <c r="Q652" s="53"/>
    </row>
    <row r="653" spans="2:20" hidden="1" x14ac:dyDescent="0.2">
      <c r="C653" s="53"/>
      <c r="D653" s="53"/>
      <c r="E653" s="53"/>
      <c r="F653" s="53"/>
      <c r="G653" s="53"/>
      <c r="H653" s="53"/>
      <c r="I653" s="53"/>
      <c r="J653" s="53"/>
      <c r="K653" s="53"/>
      <c r="L653" s="53"/>
      <c r="M653" s="53"/>
      <c r="N653" s="53"/>
      <c r="O653" s="53"/>
      <c r="P653" s="53"/>
      <c r="Q653" s="53"/>
    </row>
    <row r="654" spans="2:20" hidden="1" x14ac:dyDescent="0.2">
      <c r="C654" s="53"/>
      <c r="D654" s="53"/>
      <c r="E654" s="53"/>
      <c r="F654" s="53"/>
      <c r="G654" s="53"/>
      <c r="H654" s="53"/>
      <c r="I654" s="53"/>
      <c r="J654" s="53"/>
      <c r="K654" s="53"/>
      <c r="L654" s="53"/>
      <c r="M654" s="53"/>
      <c r="N654" s="53"/>
      <c r="O654" s="53"/>
      <c r="P654" s="53"/>
      <c r="Q654" s="53"/>
    </row>
    <row r="655" spans="2:20" hidden="1" x14ac:dyDescent="0.2">
      <c r="C655" s="53"/>
      <c r="D655" s="53"/>
      <c r="E655" s="53"/>
      <c r="F655" s="53"/>
      <c r="G655" s="53"/>
      <c r="H655" s="53"/>
      <c r="I655" s="53"/>
      <c r="J655" s="53"/>
      <c r="K655" s="53"/>
      <c r="L655" s="53"/>
      <c r="M655" s="53"/>
      <c r="N655" s="53"/>
      <c r="O655" s="53"/>
      <c r="P655" s="53"/>
      <c r="Q655" s="53"/>
    </row>
    <row r="656" spans="2:20" hidden="1" x14ac:dyDescent="0.2">
      <c r="C656" s="53"/>
      <c r="D656" s="53"/>
      <c r="E656" s="53"/>
      <c r="F656" s="53"/>
      <c r="G656" s="53"/>
      <c r="H656" s="53"/>
      <c r="I656" s="53"/>
      <c r="J656" s="53"/>
      <c r="K656" s="53"/>
      <c r="L656" s="53"/>
      <c r="M656" s="53"/>
      <c r="N656" s="53"/>
      <c r="O656" s="53"/>
      <c r="P656" s="53"/>
      <c r="Q656" s="53"/>
    </row>
    <row r="657" spans="3:17" hidden="1" x14ac:dyDescent="0.2">
      <c r="C657" s="53"/>
      <c r="D657" s="53"/>
      <c r="E657" s="53"/>
      <c r="F657" s="53"/>
      <c r="G657" s="53"/>
      <c r="H657" s="53"/>
      <c r="I657" s="53"/>
      <c r="J657" s="53"/>
      <c r="K657" s="53"/>
      <c r="L657" s="53"/>
      <c r="M657" s="53"/>
      <c r="N657" s="53"/>
      <c r="O657" s="53"/>
      <c r="P657" s="53"/>
      <c r="Q657" s="53"/>
    </row>
    <row r="658" spans="3:17" hidden="1" x14ac:dyDescent="0.2">
      <c r="C658" s="53"/>
      <c r="D658" s="53"/>
      <c r="E658" s="53"/>
      <c r="F658" s="53"/>
      <c r="G658" s="53"/>
      <c r="H658" s="53"/>
      <c r="I658" s="53"/>
      <c r="J658" s="53"/>
      <c r="K658" s="53"/>
      <c r="L658" s="53"/>
      <c r="M658" s="53"/>
      <c r="N658" s="53"/>
      <c r="O658" s="53"/>
      <c r="P658" s="53"/>
      <c r="Q658" s="53"/>
    </row>
    <row r="659" spans="3:17" hidden="1" x14ac:dyDescent="0.2">
      <c r="C659" s="53"/>
      <c r="D659" s="53"/>
      <c r="E659" s="53"/>
      <c r="F659" s="53"/>
      <c r="G659" s="53"/>
      <c r="H659" s="53"/>
      <c r="I659" s="53"/>
      <c r="J659" s="53"/>
      <c r="K659" s="53"/>
      <c r="L659" s="53"/>
      <c r="M659" s="53"/>
      <c r="N659" s="53"/>
      <c r="O659" s="53"/>
      <c r="P659" s="53"/>
      <c r="Q659" s="53"/>
    </row>
    <row r="660" spans="3:17" hidden="1" x14ac:dyDescent="0.2">
      <c r="C660" s="53"/>
      <c r="D660" s="53"/>
      <c r="E660" s="53"/>
      <c r="F660" s="53"/>
      <c r="G660" s="53"/>
      <c r="H660" s="53"/>
      <c r="I660" s="53"/>
      <c r="J660" s="53"/>
      <c r="K660" s="53"/>
      <c r="L660" s="53"/>
      <c r="M660" s="53"/>
      <c r="N660" s="53"/>
      <c r="O660" s="53"/>
      <c r="P660" s="53"/>
      <c r="Q660" s="53"/>
    </row>
    <row r="661" spans="3:17" hidden="1" x14ac:dyDescent="0.2">
      <c r="C661" s="53"/>
      <c r="D661" s="53"/>
      <c r="E661" s="53"/>
      <c r="F661" s="53"/>
      <c r="G661" s="53"/>
      <c r="H661" s="53"/>
      <c r="I661" s="53"/>
      <c r="J661" s="53"/>
      <c r="K661" s="53"/>
      <c r="L661" s="53"/>
      <c r="M661" s="53"/>
      <c r="N661" s="53"/>
      <c r="O661" s="53"/>
      <c r="P661" s="53"/>
      <c r="Q661" s="53"/>
    </row>
    <row r="662" spans="3:17" ht="15" hidden="1" x14ac:dyDescent="0.2">
      <c r="C662" s="89"/>
      <c r="D662" s="101" t="s">
        <v>1624</v>
      </c>
      <c r="E662" s="91"/>
      <c r="F662" s="91"/>
      <c r="G662" s="91"/>
      <c r="H662" s="91"/>
      <c r="I662" s="91"/>
      <c r="J662" s="91"/>
      <c r="K662" s="91"/>
      <c r="L662" s="91"/>
      <c r="M662" s="91"/>
      <c r="N662" s="92"/>
    </row>
    <row r="663" spans="3:17" hidden="1" x14ac:dyDescent="0.2">
      <c r="C663" s="93"/>
      <c r="D663" s="84"/>
      <c r="E663" s="84"/>
      <c r="F663" s="84"/>
      <c r="G663" s="84"/>
      <c r="H663" s="84"/>
      <c r="I663" s="84"/>
      <c r="J663" s="84"/>
      <c r="K663" s="84"/>
      <c r="L663" s="84"/>
      <c r="M663" s="84"/>
      <c r="N663" s="95"/>
    </row>
    <row r="664" spans="3:17" hidden="1" x14ac:dyDescent="0.2">
      <c r="C664" s="93"/>
      <c r="D664" s="82" t="s">
        <v>1190</v>
      </c>
      <c r="E664" s="82">
        <f>SANDBOX!E6</f>
        <v>0</v>
      </c>
      <c r="F664" s="82" t="e">
        <f>-#REF!*$F$665</f>
        <v>#REF!</v>
      </c>
      <c r="G664" s="82" t="e">
        <f>-#REF!*$F$665</f>
        <v>#REF!</v>
      </c>
      <c r="H664" s="82" t="e">
        <f>-#REF!*$F$665</f>
        <v>#REF!</v>
      </c>
      <c r="I664" s="82" t="e">
        <f>-#REF!*$F$665</f>
        <v>#REF!</v>
      </c>
      <c r="J664" s="82"/>
      <c r="K664" s="82"/>
      <c r="L664" s="82"/>
      <c r="M664" s="82"/>
      <c r="N664" s="94"/>
    </row>
    <row r="665" spans="3:17" hidden="1" x14ac:dyDescent="0.2">
      <c r="C665" s="93"/>
      <c r="D665" s="82" t="s">
        <v>896</v>
      </c>
      <c r="E665" s="82">
        <f>SANDBOX!E10</f>
        <v>0</v>
      </c>
      <c r="F665" s="82">
        <f>E665</f>
        <v>0</v>
      </c>
      <c r="G665" s="82">
        <f>F665</f>
        <v>0</v>
      </c>
      <c r="H665" s="82">
        <f>G665</f>
        <v>0</v>
      </c>
      <c r="I665" s="82">
        <f>H665</f>
        <v>0</v>
      </c>
      <c r="J665" s="82"/>
      <c r="K665" s="82"/>
      <c r="L665" s="82"/>
      <c r="M665" s="82"/>
      <c r="N665" s="94"/>
    </row>
    <row r="666" spans="3:17" hidden="1" x14ac:dyDescent="0.2">
      <c r="C666" s="93"/>
      <c r="D666" s="82" t="s">
        <v>611</v>
      </c>
      <c r="E666" s="82">
        <f>SANDBOX!E7</f>
        <v>0</v>
      </c>
      <c r="F666" s="82" t="e">
        <f>+#REF!</f>
        <v>#REF!</v>
      </c>
      <c r="G666" s="82" t="e">
        <f>+#REF!</f>
        <v>#REF!</v>
      </c>
      <c r="H666" s="82" t="e">
        <f>+#REF!</f>
        <v>#REF!</v>
      </c>
      <c r="I666" s="82" t="e">
        <f>+#REF!</f>
        <v>#REF!</v>
      </c>
      <c r="J666" s="82"/>
      <c r="K666" s="82"/>
      <c r="L666" s="82"/>
      <c r="M666" s="82"/>
      <c r="N666" s="94"/>
    </row>
    <row r="667" spans="3:17" hidden="1" x14ac:dyDescent="0.2">
      <c r="C667" s="93"/>
      <c r="D667" s="82" t="s">
        <v>1384</v>
      </c>
      <c r="E667" s="82">
        <f>SANDBOX!E8</f>
        <v>0</v>
      </c>
      <c r="F667" s="82" t="e">
        <f>+F666*F668</f>
        <v>#REF!</v>
      </c>
      <c r="G667" s="82" t="e">
        <f>+G666*G668</f>
        <v>#REF!</v>
      </c>
      <c r="H667" s="82" t="e">
        <f>+H666*H668</f>
        <v>#REF!</v>
      </c>
      <c r="I667" s="82" t="e">
        <f>+I666*I668</f>
        <v>#REF!</v>
      </c>
      <c r="J667" s="82"/>
      <c r="K667" s="82"/>
      <c r="L667" s="82"/>
      <c r="M667" s="82"/>
      <c r="N667" s="94"/>
    </row>
    <row r="668" spans="3:17" hidden="1" x14ac:dyDescent="0.2">
      <c r="C668" s="93"/>
      <c r="D668" s="82" t="s">
        <v>897</v>
      </c>
      <c r="E668" s="82">
        <f>'3'!F6</f>
        <v>0.5</v>
      </c>
      <c r="F668" s="82">
        <f>E668</f>
        <v>0.5</v>
      </c>
      <c r="G668" s="82">
        <f>F668</f>
        <v>0.5</v>
      </c>
      <c r="H668" s="82">
        <f>G668</f>
        <v>0.5</v>
      </c>
      <c r="I668" s="82">
        <f>H668</f>
        <v>0.5</v>
      </c>
      <c r="J668" s="82"/>
      <c r="K668" s="82"/>
      <c r="L668" s="82"/>
      <c r="M668" s="82"/>
      <c r="N668" s="94"/>
    </row>
    <row r="669" spans="3:17" hidden="1" x14ac:dyDescent="0.2">
      <c r="C669" s="93"/>
      <c r="D669" s="82" t="s">
        <v>898</v>
      </c>
      <c r="E669" s="82">
        <f>SANDBOX!$E$91</f>
        <v>0</v>
      </c>
      <c r="F669" s="82">
        <f>(E669*F670)+E669</f>
        <v>0</v>
      </c>
      <c r="G669" s="82">
        <f>(F669*G670)+F669</f>
        <v>0</v>
      </c>
      <c r="H669" s="82">
        <f>(G669*H670)+G669</f>
        <v>0</v>
      </c>
      <c r="I669" s="82">
        <f>(H669*I670)+H669</f>
        <v>0</v>
      </c>
      <c r="J669" s="82"/>
      <c r="K669" s="82"/>
      <c r="L669" s="82"/>
      <c r="M669" s="82"/>
      <c r="N669" s="94"/>
    </row>
    <row r="670" spans="3:17" hidden="1" x14ac:dyDescent="0.2">
      <c r="C670" s="93"/>
      <c r="D670" s="82" t="s">
        <v>1311</v>
      </c>
      <c r="E670" s="82"/>
      <c r="F670" s="82"/>
      <c r="G670" s="82"/>
      <c r="H670" s="82"/>
      <c r="I670" s="82"/>
      <c r="J670" s="82"/>
      <c r="K670" s="82"/>
      <c r="L670" s="82"/>
      <c r="M670" s="82"/>
      <c r="N670" s="94"/>
    </row>
    <row r="671" spans="3:17" hidden="1" x14ac:dyDescent="0.2">
      <c r="C671" s="93"/>
      <c r="D671" s="82" t="str">
        <f>SANDBOX!$D$42</f>
        <v>% G.Variables</v>
      </c>
      <c r="E671" s="82">
        <f>SANDBOX!$E$42</f>
        <v>0</v>
      </c>
      <c r="F671" s="82">
        <f>E671</f>
        <v>0</v>
      </c>
      <c r="G671" s="82">
        <f>F671</f>
        <v>0</v>
      </c>
      <c r="H671" s="82">
        <f>G671</f>
        <v>0</v>
      </c>
      <c r="I671" s="82">
        <f>H671</f>
        <v>0</v>
      </c>
      <c r="J671" s="82"/>
      <c r="K671" s="82"/>
      <c r="L671" s="82"/>
      <c r="M671" s="82"/>
      <c r="N671" s="94"/>
    </row>
    <row r="672" spans="3:17" hidden="1" x14ac:dyDescent="0.2">
      <c r="C672" s="93"/>
      <c r="D672" s="82" t="str">
        <f>SANDBOX!$D$60</f>
        <v>% G. Variables</v>
      </c>
      <c r="E672" s="82">
        <f>+SB!E666*'3'!F7</f>
        <v>0</v>
      </c>
      <c r="F672" s="82" t="e">
        <f>F666*'3'!$F$7</f>
        <v>#REF!</v>
      </c>
      <c r="G672" s="82" t="e">
        <f>G666*'3'!$F$7</f>
        <v>#REF!</v>
      </c>
      <c r="H672" s="82" t="e">
        <f>H666*'3'!$F$7</f>
        <v>#REF!</v>
      </c>
      <c r="I672" s="82" t="e">
        <f>I666*'3'!$F$7</f>
        <v>#REF!</v>
      </c>
      <c r="J672" s="82"/>
      <c r="K672" s="82"/>
      <c r="L672" s="82"/>
      <c r="M672" s="82"/>
      <c r="N672" s="94"/>
    </row>
    <row r="673" spans="3:14" hidden="1" x14ac:dyDescent="0.2">
      <c r="C673" s="93"/>
      <c r="D673" s="82" t="s">
        <v>1555</v>
      </c>
      <c r="E673" s="82">
        <f>SANDBOX!$E$70</f>
        <v>0</v>
      </c>
      <c r="F673" s="82">
        <f>Pagoinversiones!E34</f>
        <v>0</v>
      </c>
      <c r="G673" s="82">
        <f>Pagoinversiones!F34</f>
        <v>0</v>
      </c>
      <c r="H673" s="82">
        <f>Pagoinversiones!G34</f>
        <v>0</v>
      </c>
      <c r="I673" s="82">
        <f>Pagoinversiones!H34</f>
        <v>0</v>
      </c>
      <c r="J673" s="82"/>
      <c r="K673" s="82"/>
      <c r="L673" s="82"/>
      <c r="M673" s="82"/>
      <c r="N673" s="94"/>
    </row>
    <row r="674" spans="3:14" hidden="1" x14ac:dyDescent="0.2">
      <c r="C674" s="93"/>
      <c r="D674" s="82" t="s">
        <v>172</v>
      </c>
      <c r="E674" s="82">
        <f>INFORME!$E$103</f>
        <v>0</v>
      </c>
      <c r="F674" s="82" t="e">
        <f>SB!F$666*INFORME!$F$103</f>
        <v>#REF!</v>
      </c>
      <c r="G674" s="82" t="e">
        <f>SB!G$666*INFORME!$F$103</f>
        <v>#REF!</v>
      </c>
      <c r="H674" s="82" t="e">
        <f>SB!H$666*INFORME!$F$103</f>
        <v>#REF!</v>
      </c>
      <c r="I674" s="82" t="e">
        <f>SB!I$666*INFORME!$F$103</f>
        <v>#REF!</v>
      </c>
      <c r="J674" s="82"/>
      <c r="K674" s="82"/>
      <c r="L674" s="82"/>
      <c r="M674" s="82"/>
      <c r="N674" s="94"/>
    </row>
    <row r="675" spans="3:14" hidden="1" x14ac:dyDescent="0.2">
      <c r="C675" s="93"/>
      <c r="D675" s="82" t="s">
        <v>194</v>
      </c>
      <c r="E675" s="82">
        <f>SANDBOX!$E$98</f>
        <v>0</v>
      </c>
      <c r="F675" s="82" t="e">
        <f>SB!F$666*'3'!$F$40</f>
        <v>#REF!</v>
      </c>
      <c r="G675" s="82" t="e">
        <f>SB!G$666*'3'!$F$40</f>
        <v>#REF!</v>
      </c>
      <c r="H675" s="82" t="e">
        <f>SB!H$666*'3'!$F$40</f>
        <v>#REF!</v>
      </c>
      <c r="I675" s="82" t="e">
        <f>SB!I$666*'3'!$F$40</f>
        <v>#REF!</v>
      </c>
      <c r="J675" s="82"/>
      <c r="K675" s="82"/>
      <c r="L675" s="82"/>
      <c r="M675" s="82"/>
      <c r="N675" s="94"/>
    </row>
    <row r="676" spans="3:14" hidden="1" x14ac:dyDescent="0.2">
      <c r="C676" s="96"/>
      <c r="D676" s="97"/>
      <c r="E676" s="97"/>
      <c r="F676" s="97"/>
      <c r="G676" s="97"/>
      <c r="H676" s="97"/>
      <c r="I676" s="97"/>
      <c r="J676" s="97"/>
      <c r="K676" s="97"/>
      <c r="L676" s="97"/>
      <c r="M676" s="97"/>
      <c r="N676" s="98"/>
    </row>
    <row r="677" spans="3:14" hidden="1" x14ac:dyDescent="0.2">
      <c r="C677" s="83"/>
      <c r="D677" s="83"/>
      <c r="E677" s="83"/>
      <c r="F677" s="83"/>
      <c r="G677" s="83"/>
      <c r="H677" s="83"/>
      <c r="I677" s="83"/>
      <c r="J677" s="83"/>
      <c r="K677" s="83"/>
      <c r="L677" s="83"/>
      <c r="M677" s="83"/>
      <c r="N677" s="83"/>
    </row>
    <row r="678" spans="3:14" ht="15" hidden="1" x14ac:dyDescent="0.2">
      <c r="C678" s="89"/>
      <c r="D678" s="101" t="s">
        <v>1482</v>
      </c>
      <c r="E678" s="90"/>
      <c r="F678" s="90"/>
      <c r="G678" s="90"/>
      <c r="H678" s="90"/>
      <c r="I678" s="90"/>
      <c r="J678" s="90"/>
      <c r="K678" s="99"/>
      <c r="L678" s="99"/>
      <c r="M678" s="99"/>
      <c r="N678" s="100"/>
    </row>
    <row r="679" spans="3:14" hidden="1" x14ac:dyDescent="0.2">
      <c r="C679" s="93"/>
      <c r="D679" s="84" t="s">
        <v>1433</v>
      </c>
      <c r="E679" s="84">
        <f>'5años'!D146</f>
        <v>0</v>
      </c>
      <c r="F679" s="84" t="e">
        <f>'5años'!E146</f>
        <v>#REF!</v>
      </c>
      <c r="G679" s="84" t="e">
        <f>'5años'!F146</f>
        <v>#REF!</v>
      </c>
      <c r="H679" s="84" t="e">
        <f>'5años'!G146</f>
        <v>#REF!</v>
      </c>
      <c r="I679" s="84" t="e">
        <f>'5años'!H146</f>
        <v>#REF!</v>
      </c>
      <c r="J679" s="84"/>
      <c r="K679" s="82"/>
      <c r="L679" s="82"/>
      <c r="M679" s="82"/>
      <c r="N679" s="94"/>
    </row>
    <row r="680" spans="3:14" hidden="1" x14ac:dyDescent="0.2">
      <c r="C680" s="93"/>
      <c r="D680" s="84" t="s">
        <v>325</v>
      </c>
      <c r="E680" s="84" t="e">
        <f>#REF!</f>
        <v>#REF!</v>
      </c>
      <c r="F680" s="84" t="e">
        <f>#REF!</f>
        <v>#REF!</v>
      </c>
      <c r="G680" s="84" t="e">
        <f>#REF!</f>
        <v>#REF!</v>
      </c>
      <c r="H680" s="84" t="e">
        <f>#REF!</f>
        <v>#REF!</v>
      </c>
      <c r="I680" s="84" t="e">
        <f>#REF!</f>
        <v>#REF!</v>
      </c>
      <c r="J680" s="84"/>
      <c r="K680" s="82"/>
      <c r="L680" s="82"/>
      <c r="M680" s="82"/>
      <c r="N680" s="94"/>
    </row>
    <row r="681" spans="3:14" ht="14.25" hidden="1" x14ac:dyDescent="0.2">
      <c r="C681" s="93"/>
      <c r="D681" s="84" t="s">
        <v>609</v>
      </c>
      <c r="E681" s="84"/>
      <c r="F681" s="84"/>
      <c r="G681" s="84"/>
      <c r="H681" s="84"/>
      <c r="I681" s="84"/>
      <c r="J681" s="84"/>
      <c r="K681" s="82"/>
      <c r="L681" s="82"/>
      <c r="M681" s="82"/>
      <c r="N681" s="94"/>
    </row>
    <row r="682" spans="3:14" hidden="1" x14ac:dyDescent="0.2">
      <c r="C682" s="93"/>
      <c r="D682" s="84" t="s">
        <v>326</v>
      </c>
      <c r="E682" s="84"/>
      <c r="F682" s="84">
        <f>IF(F681=0,SB!F685,IF(SB!F685=0,0,E679-SB!F685))</f>
        <v>0</v>
      </c>
      <c r="G682" s="84" t="e">
        <f>IF(G681=0,SB!G685,IF(SB!G685=0,0,F679-SB!G685))</f>
        <v>#REF!</v>
      </c>
      <c r="H682" s="84" t="e">
        <f>IF(H681=0,SB!H685,IF(SB!H685=0,0,G679-SB!H685))</f>
        <v>#REF!</v>
      </c>
      <c r="I682" s="84" t="e">
        <f>IF(I681=0,SB!I685,IF(SB!I685=0,0,H679-SB!I685))</f>
        <v>#REF!</v>
      </c>
      <c r="J682" s="84"/>
      <c r="K682" s="82"/>
      <c r="L682" s="82"/>
      <c r="M682" s="82"/>
      <c r="N682" s="94"/>
    </row>
    <row r="683" spans="3:14" hidden="1" x14ac:dyDescent="0.2">
      <c r="C683" s="93"/>
      <c r="D683" s="84"/>
      <c r="E683" s="84"/>
      <c r="F683" s="84"/>
      <c r="G683" s="84"/>
      <c r="H683" s="84"/>
      <c r="I683" s="84"/>
      <c r="J683" s="84"/>
      <c r="K683" s="84"/>
      <c r="L683" s="84"/>
      <c r="M683" s="84"/>
      <c r="N683" s="95"/>
    </row>
    <row r="684" spans="3:14" hidden="1" x14ac:dyDescent="0.2">
      <c r="C684" s="93"/>
      <c r="D684" s="81"/>
      <c r="E684" s="81" t="s">
        <v>70</v>
      </c>
      <c r="F684" s="81"/>
      <c r="G684" s="81"/>
      <c r="H684" s="81"/>
      <c r="I684" s="81"/>
      <c r="J684" s="81"/>
      <c r="K684" s="81"/>
      <c r="L684" s="81"/>
      <c r="M684" s="81"/>
      <c r="N684" s="95"/>
    </row>
    <row r="685" spans="3:14" hidden="1" x14ac:dyDescent="0.2">
      <c r="C685" s="93"/>
      <c r="D685" s="27"/>
      <c r="E685" s="27" t="s">
        <v>1482</v>
      </c>
      <c r="F685" s="27">
        <f>IF(SB!E679&lt;0,0,IF(SB!F681&gt;SB!E679,SB!E679,SB!F681)+IF(SB!F681=0,SB!E679))</f>
        <v>0</v>
      </c>
      <c r="G685" s="27" t="e">
        <f>IF(SB!F679&lt;0,0,IF(SB!G681&gt;SB!F679,SB!F679,SB!G681)+IF(SB!G681=0,SB!F679))</f>
        <v>#REF!</v>
      </c>
      <c r="H685" s="27" t="e">
        <f>IF(SB!G679&lt;0,0,IF(SB!H681&gt;SB!G679,SB!G679,SB!H681)+IF(SB!H681=0,SB!G679))</f>
        <v>#REF!</v>
      </c>
      <c r="I685" s="27" t="e">
        <f>IF(SB!H679&lt;0,0,IF(SB!I681&gt;SB!H679,SB!H679,SB!I681)+IF(SB!I681=0,SB!H679))</f>
        <v>#REF!</v>
      </c>
      <c r="J685" s="27"/>
      <c r="K685" s="27" t="s">
        <v>418</v>
      </c>
      <c r="L685" s="27" t="s">
        <v>266</v>
      </c>
      <c r="M685" s="27"/>
      <c r="N685" s="94"/>
    </row>
    <row r="686" spans="3:14" hidden="1" x14ac:dyDescent="0.2">
      <c r="C686" s="93"/>
      <c r="D686" s="27"/>
      <c r="E686" s="27"/>
      <c r="F686" s="27"/>
      <c r="G686" s="27"/>
      <c r="H686" s="27"/>
      <c r="I686" s="27"/>
      <c r="J686" s="27"/>
      <c r="K686" s="27"/>
      <c r="L686" s="27"/>
      <c r="M686" s="27"/>
      <c r="N686" s="94"/>
    </row>
    <row r="687" spans="3:14" hidden="1" x14ac:dyDescent="0.2">
      <c r="C687" s="93"/>
      <c r="D687" s="81"/>
      <c r="E687" s="81"/>
      <c r="F687" s="81"/>
      <c r="G687" s="81"/>
      <c r="H687" s="81"/>
      <c r="I687" s="81"/>
      <c r="J687" s="81"/>
      <c r="K687" s="81"/>
      <c r="L687" s="81"/>
      <c r="M687" s="81"/>
      <c r="N687" s="95"/>
    </row>
    <row r="688" spans="3:14" hidden="1" x14ac:dyDescent="0.2">
      <c r="C688" s="93"/>
      <c r="D688" s="84"/>
      <c r="E688" s="84"/>
      <c r="F688" s="84"/>
      <c r="G688" s="84"/>
      <c r="H688" s="84"/>
      <c r="I688" s="84"/>
      <c r="J688" s="84"/>
      <c r="K688" s="84"/>
      <c r="L688" s="84"/>
      <c r="M688" s="84"/>
      <c r="N688" s="95"/>
    </row>
    <row r="689" spans="3:14" hidden="1" x14ac:dyDescent="0.2">
      <c r="C689" s="96"/>
      <c r="D689" s="97"/>
      <c r="E689" s="97"/>
      <c r="F689" s="97"/>
      <c r="G689" s="97"/>
      <c r="H689" s="97"/>
      <c r="I689" s="97"/>
      <c r="J689" s="97"/>
      <c r="K689" s="97"/>
      <c r="L689" s="97"/>
      <c r="M689" s="97"/>
      <c r="N689" s="98"/>
    </row>
    <row r="690" spans="3:14" hidden="1" x14ac:dyDescent="0.2"/>
    <row r="691" spans="3:14" hidden="1" x14ac:dyDescent="0.2">
      <c r="D691" s="925" t="s">
        <v>1598</v>
      </c>
      <c r="E691" s="927">
        <v>0</v>
      </c>
      <c r="F691" s="928"/>
      <c r="G691" s="929"/>
    </row>
    <row r="692" spans="3:14" hidden="1" x14ac:dyDescent="0.2">
      <c r="D692" s="926" t="s">
        <v>1497</v>
      </c>
      <c r="E692" s="1507">
        <v>0</v>
      </c>
      <c r="F692" s="1508"/>
      <c r="G692" s="1509"/>
    </row>
    <row r="693" spans="3:14" hidden="1" x14ac:dyDescent="0.2"/>
    <row r="694" spans="3:14" hidden="1" x14ac:dyDescent="0.2">
      <c r="D694" s="306" t="s">
        <v>360</v>
      </c>
    </row>
    <row r="695" spans="3:14" hidden="1" x14ac:dyDescent="0.2">
      <c r="D695" s="306" t="s">
        <v>361</v>
      </c>
    </row>
    <row r="696" spans="3:14" hidden="1" x14ac:dyDescent="0.2">
      <c r="D696" s="306" t="s">
        <v>362</v>
      </c>
    </row>
    <row r="697" spans="3:14" hidden="1" x14ac:dyDescent="0.2">
      <c r="D697" s="306" t="s">
        <v>363</v>
      </c>
    </row>
    <row r="698" spans="3:14" hidden="1" x14ac:dyDescent="0.2">
      <c r="D698" s="307" t="s">
        <v>903</v>
      </c>
    </row>
    <row r="699" spans="3:14" hidden="1" x14ac:dyDescent="0.2"/>
    <row r="700" spans="3:14" hidden="1" x14ac:dyDescent="0.2"/>
    <row r="701" spans="3:14" hidden="1" x14ac:dyDescent="0.2"/>
    <row r="702" spans="3:14" hidden="1" x14ac:dyDescent="0.2"/>
    <row r="703" spans="3:14" hidden="1" x14ac:dyDescent="0.2"/>
    <row r="704" spans="3:1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sheetData>
  <sheetProtection password="BC00" sheet="1" objects="1" scenarios="1"/>
  <mergeCells count="1">
    <mergeCell ref="E692:G692"/>
  </mergeCells>
  <phoneticPr fontId="2" type="noConversion"/>
  <dataValidations count="4">
    <dataValidation type="list" allowBlank="1" showInputMessage="1" showErrorMessage="1" sqref="E198">
      <formula1>amortizacion</formula1>
    </dataValidation>
    <dataValidation type="list" allowBlank="1" showInputMessage="1" showErrorMessage="1" sqref="O200:Q200">
      <formula1>leasings</formula1>
    </dataValidation>
    <dataValidation type="list" allowBlank="1" showInputMessage="1" showErrorMessage="1" sqref="H637:J637">
      <formula1>LEASING</formula1>
    </dataValidation>
    <dataValidation allowBlank="1" showInputMessage="1" showErrorMessage="1" promptTitle="% Sobre total COBROS" prompt="netos" sqref="E636 E638"/>
  </dataValidations>
  <pageMargins left="0.75" right="0.75" top="1" bottom="1" header="0" footer="0"/>
  <pageSetup paperSize="9" orientation="portrait" horizontalDpi="4294967292" r:id="rId1"/>
  <headerFooter alignWithMargins="0"/>
  <drawing r:id="rId2"/>
  <legacyDrawing r:id="rId3"/>
  <tableParts count="2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63"/>
    <pageSetUpPr fitToPage="1"/>
  </sheetPr>
  <dimension ref="A1:FH1317"/>
  <sheetViews>
    <sheetView showGridLines="0" showOutlineSymbols="0" workbookViewId="0">
      <pane xSplit="80" ySplit="1249" topLeftCell="CC1250" activePane="bottomRight" state="frozen"/>
      <selection pane="topRight" activeCell="CC1" sqref="CC1"/>
      <selection pane="bottomLeft" activeCell="A1250" sqref="A1250"/>
      <selection pane="bottomRight" activeCell="K1110" sqref="K1110"/>
    </sheetView>
  </sheetViews>
  <sheetFormatPr baseColWidth="10" defaultRowHeight="15" x14ac:dyDescent="0.2"/>
  <cols>
    <col min="1" max="2" width="0.85546875" style="80" customWidth="1"/>
    <col min="3" max="3" width="3.140625" style="59" customWidth="1"/>
    <col min="4" max="4" width="20.7109375" style="11" customWidth="1"/>
    <col min="5" max="5" width="12.5703125" style="11" customWidth="1"/>
    <col min="6" max="17" width="11.85546875" style="11" customWidth="1"/>
    <col min="18" max="18" width="9.7109375" style="11" customWidth="1"/>
    <col min="19" max="19" width="0.85546875" style="11" customWidth="1"/>
    <col min="20" max="30" width="4.7109375" style="79" customWidth="1"/>
    <col min="31" max="50" width="4.7109375" style="15" customWidth="1"/>
    <col min="51" max="51" width="20.7109375" style="15" customWidth="1"/>
    <col min="52" max="60" width="11.42578125" style="15"/>
    <col min="61" max="164" width="11.42578125" style="53"/>
  </cols>
  <sheetData>
    <row r="1" spans="1:164" s="47" customFormat="1" ht="42" customHeight="1" x14ac:dyDescent="0.3">
      <c r="A1" s="53"/>
      <c r="B1" s="53"/>
      <c r="C1" s="53"/>
      <c r="D1" s="306" t="s">
        <v>1386</v>
      </c>
      <c r="E1" s="53"/>
      <c r="F1" s="116"/>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row>
    <row r="2" spans="1:164" s="27" customFormat="1" ht="11.25" hidden="1" x14ac:dyDescent="0.2">
      <c r="D2" s="62" t="s">
        <v>1391</v>
      </c>
      <c r="E2" s="63" t="str">
        <f t="shared" ref="E2:Q2" si="0">E15</f>
        <v>Total</v>
      </c>
      <c r="F2" s="63" t="str">
        <f t="shared" si="0"/>
        <v>Enero</v>
      </c>
      <c r="G2" s="63" t="str">
        <f t="shared" si="0"/>
        <v>Febrero</v>
      </c>
      <c r="H2" s="63" t="str">
        <f t="shared" si="0"/>
        <v>Marzo</v>
      </c>
      <c r="I2" s="63" t="str">
        <f t="shared" si="0"/>
        <v>Abril</v>
      </c>
      <c r="J2" s="63" t="str">
        <f t="shared" si="0"/>
        <v xml:space="preserve">Mayo </v>
      </c>
      <c r="K2" s="63" t="str">
        <f t="shared" si="0"/>
        <v>Junio</v>
      </c>
      <c r="L2" s="63" t="str">
        <f t="shared" si="0"/>
        <v>Julio</v>
      </c>
      <c r="M2" s="63" t="str">
        <f t="shared" si="0"/>
        <v>Agosto</v>
      </c>
      <c r="N2" s="63" t="str">
        <f t="shared" si="0"/>
        <v>Septiembre</v>
      </c>
      <c r="O2" s="63" t="str">
        <f t="shared" si="0"/>
        <v>Octubre</v>
      </c>
      <c r="P2" s="63" t="str">
        <f t="shared" si="0"/>
        <v>Noviembre</v>
      </c>
      <c r="Q2" s="64" t="str">
        <f t="shared" si="0"/>
        <v>Diciembre</v>
      </c>
    </row>
    <row r="3" spans="1:164" s="27" customFormat="1" ht="11.25" hidden="1" x14ac:dyDescent="0.2">
      <c r="D3" s="60"/>
      <c r="Q3" s="61"/>
    </row>
    <row r="4" spans="1:164" s="27" customFormat="1" ht="11.25" hidden="1" x14ac:dyDescent="0.2">
      <c r="D4" s="60" t="s">
        <v>887</v>
      </c>
      <c r="E4" s="27">
        <f>SUM(F4:Q4)</f>
        <v>0</v>
      </c>
      <c r="F4" s="27">
        <f>'5'!G13</f>
        <v>0</v>
      </c>
      <c r="G4" s="27">
        <f>'5'!H13</f>
        <v>0</v>
      </c>
      <c r="H4" s="27">
        <f>'5'!I13</f>
        <v>0</v>
      </c>
      <c r="I4" s="27">
        <f>'5'!J13</f>
        <v>0</v>
      </c>
      <c r="J4" s="27">
        <f>'5'!K13</f>
        <v>0</v>
      </c>
      <c r="K4" s="27">
        <f>'5'!L13</f>
        <v>0</v>
      </c>
      <c r="L4" s="27">
        <f>'5'!M13</f>
        <v>0</v>
      </c>
      <c r="M4" s="27">
        <f>'5'!N13</f>
        <v>0</v>
      </c>
      <c r="N4" s="27">
        <f>'5'!O13</f>
        <v>0</v>
      </c>
      <c r="O4" s="27">
        <f>'5'!P13</f>
        <v>0</v>
      </c>
      <c r="P4" s="27">
        <f>'5'!Q13</f>
        <v>0</v>
      </c>
      <c r="Q4" s="61">
        <f>'5'!R13</f>
        <v>0</v>
      </c>
    </row>
    <row r="5" spans="1:164" s="27" customFormat="1" ht="11.25" hidden="1" x14ac:dyDescent="0.2">
      <c r="D5" s="60" t="s">
        <v>638</v>
      </c>
      <c r="E5" s="27">
        <f>SUM(F5:Q5)</f>
        <v>0</v>
      </c>
      <c r="F5" s="27">
        <f>'5'!G72</f>
        <v>0</v>
      </c>
      <c r="G5" s="27">
        <f>'5'!H72</f>
        <v>0</v>
      </c>
      <c r="H5" s="27">
        <f>'5'!I72</f>
        <v>0</v>
      </c>
      <c r="I5" s="27">
        <f>'5'!J72</f>
        <v>0</v>
      </c>
      <c r="J5" s="27">
        <f>'5'!K72</f>
        <v>0</v>
      </c>
      <c r="K5" s="27">
        <f>'5'!L72</f>
        <v>0</v>
      </c>
      <c r="L5" s="27">
        <f>'5'!M72</f>
        <v>0</v>
      </c>
      <c r="M5" s="27">
        <f>'5'!N72</f>
        <v>0</v>
      </c>
      <c r="N5" s="27">
        <f>'5'!O72</f>
        <v>0</v>
      </c>
      <c r="O5" s="27">
        <f>'5'!P72</f>
        <v>0</v>
      </c>
      <c r="P5" s="27">
        <f>'5'!Q72</f>
        <v>0</v>
      </c>
      <c r="Q5" s="61">
        <f>'5'!R72</f>
        <v>0</v>
      </c>
    </row>
    <row r="6" spans="1:164" s="27" customFormat="1" ht="11.25" hidden="1" x14ac:dyDescent="0.2">
      <c r="D6" s="60" t="s">
        <v>1190</v>
      </c>
      <c r="E6" s="27">
        <f>SUM(F6:Q6)</f>
        <v>0</v>
      </c>
      <c r="F6" s="27">
        <f>-F5*$E$10</f>
        <v>0</v>
      </c>
      <c r="G6" s="27">
        <f t="shared" ref="G6:Q6" si="1">-G5*$E$10</f>
        <v>0</v>
      </c>
      <c r="H6" s="27">
        <f t="shared" si="1"/>
        <v>0</v>
      </c>
      <c r="I6" s="27">
        <f t="shared" si="1"/>
        <v>0</v>
      </c>
      <c r="J6" s="27">
        <f t="shared" si="1"/>
        <v>0</v>
      </c>
      <c r="K6" s="27">
        <f t="shared" si="1"/>
        <v>0</v>
      </c>
      <c r="L6" s="27">
        <f t="shared" si="1"/>
        <v>0</v>
      </c>
      <c r="M6" s="27">
        <f t="shared" si="1"/>
        <v>0</v>
      </c>
      <c r="N6" s="27">
        <f t="shared" si="1"/>
        <v>0</v>
      </c>
      <c r="O6" s="27">
        <f t="shared" si="1"/>
        <v>0</v>
      </c>
      <c r="P6" s="27">
        <f t="shared" si="1"/>
        <v>0</v>
      </c>
      <c r="Q6" s="61">
        <f t="shared" si="1"/>
        <v>0</v>
      </c>
    </row>
    <row r="7" spans="1:164" s="27" customFormat="1" ht="11.25" hidden="1" x14ac:dyDescent="0.2">
      <c r="D7" s="60" t="s">
        <v>611</v>
      </c>
      <c r="E7" s="27">
        <f>SUM(F7:Q7)</f>
        <v>0</v>
      </c>
      <c r="F7" s="27">
        <f>+F5-(F5*$E$10)</f>
        <v>0</v>
      </c>
      <c r="G7" s="27">
        <f t="shared" ref="G7:Q7" si="2">+G5-(G5*$E$10)</f>
        <v>0</v>
      </c>
      <c r="H7" s="27">
        <f t="shared" si="2"/>
        <v>0</v>
      </c>
      <c r="I7" s="27">
        <f t="shared" si="2"/>
        <v>0</v>
      </c>
      <c r="J7" s="27">
        <f t="shared" si="2"/>
        <v>0</v>
      </c>
      <c r="K7" s="27">
        <f t="shared" si="2"/>
        <v>0</v>
      </c>
      <c r="L7" s="27">
        <f t="shared" si="2"/>
        <v>0</v>
      </c>
      <c r="M7" s="27">
        <f t="shared" si="2"/>
        <v>0</v>
      </c>
      <c r="N7" s="27">
        <f t="shared" si="2"/>
        <v>0</v>
      </c>
      <c r="O7" s="27">
        <f t="shared" si="2"/>
        <v>0</v>
      </c>
      <c r="P7" s="27">
        <f t="shared" si="2"/>
        <v>0</v>
      </c>
      <c r="Q7" s="61">
        <f t="shared" si="2"/>
        <v>0</v>
      </c>
    </row>
    <row r="8" spans="1:164" s="27" customFormat="1" ht="11.25" hidden="1" x14ac:dyDescent="0.2">
      <c r="D8" s="60" t="s">
        <v>1384</v>
      </c>
      <c r="E8" s="27">
        <f>SUM(F8:Q8)</f>
        <v>0</v>
      </c>
      <c r="F8" s="27">
        <f>IF('3'!$F$6&gt;100%,0,F7*'3'!$F$6)</f>
        <v>0</v>
      </c>
      <c r="G8" s="27">
        <f>IF('3'!$F$6&gt;100%,0,G7*'3'!$F$6)</f>
        <v>0</v>
      </c>
      <c r="H8" s="27">
        <f>IF('3'!$F$6&gt;100%,0,H7*'3'!$F$6)</f>
        <v>0</v>
      </c>
      <c r="I8" s="27">
        <f>IF('3'!$F$6&gt;100%,0,I7*'3'!$F$6)</f>
        <v>0</v>
      </c>
      <c r="J8" s="27">
        <f>IF('3'!$F$6&gt;100%,0,J7*'3'!$F$6)</f>
        <v>0</v>
      </c>
      <c r="K8" s="27">
        <f>IF('3'!$F$6&gt;100%,0,K7*'3'!$F$6)</f>
        <v>0</v>
      </c>
      <c r="L8" s="27">
        <f>IF('3'!$F$6&gt;100%,0,L7*'3'!$F$6)</f>
        <v>0</v>
      </c>
      <c r="M8" s="27">
        <f>IF('3'!$F$6&gt;100%,0,M7*'3'!$F$6)</f>
        <v>0</v>
      </c>
      <c r="N8" s="27">
        <f>IF('3'!$F$6&gt;100%,0,N7*'3'!$F$6)</f>
        <v>0</v>
      </c>
      <c r="O8" s="27">
        <f>IF('3'!$F$6&gt;100%,0,O7*'3'!$F$6)</f>
        <v>0</v>
      </c>
      <c r="P8" s="27">
        <f>IF('3'!$F$6&gt;100%,0,P7*'3'!$F$6)</f>
        <v>0</v>
      </c>
      <c r="Q8" s="61">
        <f>IF('3'!$F$6&gt;100%,0,Q7*'3'!$F$6)</f>
        <v>0</v>
      </c>
    </row>
    <row r="9" spans="1:164" s="27" customFormat="1" ht="11.25" hidden="1" x14ac:dyDescent="0.2">
      <c r="D9" s="60"/>
      <c r="Q9" s="61"/>
    </row>
    <row r="10" spans="1:164" s="27" customFormat="1" ht="11.25" hidden="1" x14ac:dyDescent="0.2">
      <c r="D10" s="60" t="s">
        <v>639</v>
      </c>
      <c r="Q10" s="61"/>
    </row>
    <row r="11" spans="1:164" s="27" customFormat="1" ht="11.25" hidden="1" x14ac:dyDescent="0.2">
      <c r="D11" s="60"/>
      <c r="Q11" s="61"/>
    </row>
    <row r="12" spans="1:164" s="27" customFormat="1" ht="11.25" hidden="1" x14ac:dyDescent="0.2">
      <c r="D12" s="60"/>
      <c r="Q12" s="61"/>
    </row>
    <row r="13" spans="1:164" s="27" customFormat="1" ht="20.100000000000001" hidden="1" customHeight="1" x14ac:dyDescent="0.2">
      <c r="B13" s="27">
        <v>3</v>
      </c>
      <c r="D13" s="70" t="s">
        <v>147</v>
      </c>
      <c r="E13" s="71"/>
      <c r="F13" s="71"/>
      <c r="G13" s="71"/>
      <c r="H13" s="71"/>
      <c r="I13" s="71"/>
      <c r="J13" s="71"/>
      <c r="K13" s="71"/>
      <c r="L13" s="71"/>
      <c r="M13" s="71"/>
      <c r="N13" s="71"/>
      <c r="O13" s="71"/>
      <c r="P13" s="71"/>
      <c r="Q13" s="72"/>
    </row>
    <row r="14" spans="1:164" s="27" customFormat="1" ht="11.25" hidden="1" x14ac:dyDescent="0.2">
      <c r="D14" s="60"/>
      <c r="Q14" s="61"/>
    </row>
    <row r="15" spans="1:164" s="27" customFormat="1" ht="11.25" hidden="1" x14ac:dyDescent="0.2">
      <c r="D15" s="60" t="s">
        <v>147</v>
      </c>
      <c r="E15" s="27" t="str">
        <f t="shared" ref="E15:Q15" si="3">E89</f>
        <v>Total</v>
      </c>
      <c r="F15" s="27" t="str">
        <f t="shared" si="3"/>
        <v>Enero</v>
      </c>
      <c r="G15" s="27" t="str">
        <f t="shared" si="3"/>
        <v>Febrero</v>
      </c>
      <c r="H15" s="27" t="str">
        <f t="shared" si="3"/>
        <v>Marzo</v>
      </c>
      <c r="I15" s="27" t="str">
        <f t="shared" si="3"/>
        <v>Abril</v>
      </c>
      <c r="J15" s="27" t="str">
        <f t="shared" si="3"/>
        <v xml:space="preserve">Mayo </v>
      </c>
      <c r="K15" s="27" t="str">
        <f t="shared" si="3"/>
        <v>Junio</v>
      </c>
      <c r="L15" s="27" t="str">
        <f t="shared" si="3"/>
        <v>Julio</v>
      </c>
      <c r="M15" s="27" t="str">
        <f t="shared" si="3"/>
        <v>Agosto</v>
      </c>
      <c r="N15" s="27" t="str">
        <f t="shared" si="3"/>
        <v>Septiembre</v>
      </c>
      <c r="O15" s="27" t="str">
        <f t="shared" si="3"/>
        <v>Octubre</v>
      </c>
      <c r="P15" s="27" t="str">
        <f t="shared" si="3"/>
        <v>Noviembre</v>
      </c>
      <c r="Q15" s="61" t="str">
        <f t="shared" si="3"/>
        <v>Diciembre</v>
      </c>
    </row>
    <row r="16" spans="1:164" s="27" customFormat="1" ht="5.0999999999999996" hidden="1" customHeight="1" x14ac:dyDescent="0.2">
      <c r="D16" s="60"/>
      <c r="Q16" s="61"/>
    </row>
    <row r="17" spans="2:17" s="27" customFormat="1" ht="11.25" hidden="1" x14ac:dyDescent="0.2">
      <c r="D17" s="60" t="s">
        <v>36</v>
      </c>
      <c r="E17" s="27">
        <f>SUM(F17:Q17)</f>
        <v>0</v>
      </c>
      <c r="F17" s="27">
        <f t="shared" ref="F17:Q17" si="4">SUM(F18:F18)</f>
        <v>0</v>
      </c>
      <c r="G17" s="27">
        <f t="shared" si="4"/>
        <v>0</v>
      </c>
      <c r="H17" s="27">
        <f t="shared" si="4"/>
        <v>0</v>
      </c>
      <c r="I17" s="27">
        <f t="shared" si="4"/>
        <v>0</v>
      </c>
      <c r="J17" s="27">
        <f t="shared" si="4"/>
        <v>0</v>
      </c>
      <c r="K17" s="27">
        <f t="shared" si="4"/>
        <v>0</v>
      </c>
      <c r="L17" s="27">
        <f t="shared" si="4"/>
        <v>0</v>
      </c>
      <c r="M17" s="27">
        <f t="shared" si="4"/>
        <v>0</v>
      </c>
      <c r="N17" s="27">
        <f t="shared" si="4"/>
        <v>0</v>
      </c>
      <c r="O17" s="27">
        <f t="shared" si="4"/>
        <v>0</v>
      </c>
      <c r="P17" s="27">
        <f t="shared" si="4"/>
        <v>0</v>
      </c>
      <c r="Q17" s="61">
        <f t="shared" si="4"/>
        <v>0</v>
      </c>
    </row>
    <row r="18" spans="2:17" s="27" customFormat="1" ht="11.25" hidden="1" x14ac:dyDescent="0.2">
      <c r="D18" s="60" t="s">
        <v>147</v>
      </c>
      <c r="E18" s="27">
        <f>SUM(F18:Q18)</f>
        <v>0</v>
      </c>
      <c r="F18" s="27">
        <f>'5'!G73</f>
        <v>0</v>
      </c>
      <c r="G18" s="27">
        <f>'5'!H73</f>
        <v>0</v>
      </c>
      <c r="H18" s="27">
        <f>'5'!I73</f>
        <v>0</v>
      </c>
      <c r="I18" s="27">
        <f>'5'!J73</f>
        <v>0</v>
      </c>
      <c r="J18" s="27">
        <f>'5'!K73</f>
        <v>0</v>
      </c>
      <c r="K18" s="27">
        <f>'5'!L73</f>
        <v>0</v>
      </c>
      <c r="L18" s="27">
        <f>'5'!M73</f>
        <v>0</v>
      </c>
      <c r="M18" s="27">
        <f>'5'!N73</f>
        <v>0</v>
      </c>
      <c r="N18" s="27">
        <f>'5'!O73</f>
        <v>0</v>
      </c>
      <c r="O18" s="27">
        <f>'5'!P73</f>
        <v>0</v>
      </c>
      <c r="P18" s="27">
        <f>'5'!Q73</f>
        <v>0</v>
      </c>
      <c r="Q18" s="61">
        <f>'5'!R73</f>
        <v>0</v>
      </c>
    </row>
    <row r="19" spans="2:17" s="27" customFormat="1" ht="11.25" hidden="1" customHeight="1" x14ac:dyDescent="0.2">
      <c r="D19" s="60"/>
      <c r="Q19" s="61"/>
    </row>
    <row r="20" spans="2:17" s="27" customFormat="1" ht="8.1" hidden="1" customHeight="1" x14ac:dyDescent="0.2">
      <c r="D20" s="65"/>
      <c r="E20" s="66"/>
      <c r="F20" s="66"/>
      <c r="G20" s="66"/>
      <c r="H20" s="66"/>
      <c r="I20" s="66"/>
      <c r="J20" s="66"/>
      <c r="K20" s="66"/>
      <c r="L20" s="66"/>
      <c r="M20" s="66"/>
      <c r="N20" s="66"/>
      <c r="O20" s="66"/>
      <c r="P20" s="66"/>
      <c r="Q20" s="67"/>
    </row>
    <row r="21" spans="2:17" s="27" customFormat="1" ht="20.100000000000001" hidden="1" customHeight="1" x14ac:dyDescent="0.2">
      <c r="B21" s="27">
        <v>4</v>
      </c>
      <c r="D21" s="62" t="s">
        <v>1169</v>
      </c>
      <c r="E21" s="63"/>
      <c r="F21" s="63"/>
      <c r="G21" s="63"/>
      <c r="H21" s="63"/>
      <c r="I21" s="63"/>
      <c r="J21" s="63"/>
      <c r="K21" s="63"/>
      <c r="L21" s="63"/>
      <c r="M21" s="63"/>
      <c r="N21" s="63"/>
      <c r="O21" s="63"/>
      <c r="P21" s="63"/>
      <c r="Q21" s="64"/>
    </row>
    <row r="22" spans="2:17" s="27" customFormat="1" ht="11.25" hidden="1" x14ac:dyDescent="0.2">
      <c r="D22" s="60"/>
      <c r="Q22" s="61"/>
    </row>
    <row r="23" spans="2:17" s="27" customFormat="1" ht="11.25" hidden="1" x14ac:dyDescent="0.2">
      <c r="D23" s="60" t="s">
        <v>636</v>
      </c>
      <c r="E23" s="27" t="s">
        <v>786</v>
      </c>
      <c r="F23" s="27" t="str">
        <f>SB!B6</f>
        <v>Enero</v>
      </c>
      <c r="G23" s="27" t="str">
        <f>SB!C6</f>
        <v>Febrero</v>
      </c>
      <c r="H23" s="27" t="str">
        <f>SB!D6</f>
        <v>Marzo</v>
      </c>
      <c r="I23" s="27" t="str">
        <f>SB!E6</f>
        <v>Abril</v>
      </c>
      <c r="J23" s="27" t="str">
        <f>SB!F6</f>
        <v xml:space="preserve">Mayo </v>
      </c>
      <c r="K23" s="27" t="str">
        <f>SB!G6</f>
        <v>Junio</v>
      </c>
      <c r="L23" s="27" t="str">
        <f>SB!H6</f>
        <v>Julio</v>
      </c>
      <c r="M23" s="27" t="str">
        <f>SB!I6</f>
        <v>Agosto</v>
      </c>
      <c r="N23" s="27" t="str">
        <f>SB!J6</f>
        <v>Septiembre</v>
      </c>
      <c r="O23" s="27" t="str">
        <f>SB!K6</f>
        <v>Octubre</v>
      </c>
      <c r="P23" s="27" t="str">
        <f>SB!L6</f>
        <v>Noviembre</v>
      </c>
      <c r="Q23" s="61" t="str">
        <f>SB!M6</f>
        <v>Diciembre</v>
      </c>
    </row>
    <row r="24" spans="2:17" s="27" customFormat="1" ht="5.0999999999999996" hidden="1" customHeight="1" x14ac:dyDescent="0.2">
      <c r="D24" s="60"/>
      <c r="Q24" s="61"/>
    </row>
    <row r="25" spans="2:17" s="27" customFormat="1" ht="11.25" hidden="1" x14ac:dyDescent="0.2">
      <c r="D25" s="60" t="s">
        <v>634</v>
      </c>
      <c r="E25" s="27">
        <f>SUM(F25:Q25)</f>
        <v>0</v>
      </c>
      <c r="F25" s="27">
        <f>CResult!D19</f>
        <v>0</v>
      </c>
      <c r="G25" s="27">
        <f>CResult!E19</f>
        <v>0</v>
      </c>
      <c r="H25" s="27">
        <f>CResult!F19</f>
        <v>0</v>
      </c>
      <c r="I25" s="27">
        <f>CResult!G19</f>
        <v>0</v>
      </c>
      <c r="J25" s="27">
        <f>CResult!H19</f>
        <v>0</v>
      </c>
      <c r="K25" s="27">
        <f>CResult!I19</f>
        <v>0</v>
      </c>
      <c r="L25" s="27">
        <f>CResult!J19</f>
        <v>0</v>
      </c>
      <c r="M25" s="27">
        <f>CResult!K19</f>
        <v>0</v>
      </c>
      <c r="N25" s="27">
        <f>CResult!L19</f>
        <v>0</v>
      </c>
      <c r="O25" s="27">
        <f>CResult!M19</f>
        <v>0</v>
      </c>
      <c r="P25" s="27">
        <f>CResult!N19</f>
        <v>0</v>
      </c>
      <c r="Q25" s="61">
        <f>CResult!O19</f>
        <v>0</v>
      </c>
    </row>
    <row r="26" spans="2:17" s="27" customFormat="1" ht="11.25" hidden="1" x14ac:dyDescent="0.2">
      <c r="D26" s="60" t="s">
        <v>636</v>
      </c>
      <c r="E26" s="27">
        <f>SUM(F26:Q26)</f>
        <v>0</v>
      </c>
      <c r="F26" s="27">
        <f>F25</f>
        <v>0</v>
      </c>
      <c r="G26" s="27">
        <f t="shared" ref="G26:Q26" si="5">G25</f>
        <v>0</v>
      </c>
      <c r="H26" s="27">
        <f t="shared" si="5"/>
        <v>0</v>
      </c>
      <c r="I26" s="27">
        <f t="shared" si="5"/>
        <v>0</v>
      </c>
      <c r="J26" s="27">
        <f t="shared" si="5"/>
        <v>0</v>
      </c>
      <c r="K26" s="27">
        <f t="shared" si="5"/>
        <v>0</v>
      </c>
      <c r="L26" s="27">
        <f t="shared" si="5"/>
        <v>0</v>
      </c>
      <c r="M26" s="27">
        <f t="shared" si="5"/>
        <v>0</v>
      </c>
      <c r="N26" s="27">
        <f t="shared" si="5"/>
        <v>0</v>
      </c>
      <c r="O26" s="27">
        <f t="shared" si="5"/>
        <v>0</v>
      </c>
      <c r="P26" s="27">
        <f t="shared" si="5"/>
        <v>0</v>
      </c>
      <c r="Q26" s="61">
        <f t="shared" si="5"/>
        <v>0</v>
      </c>
    </row>
    <row r="27" spans="2:17" s="27" customFormat="1" ht="11.25" hidden="1" x14ac:dyDescent="0.2">
      <c r="D27" s="60"/>
      <c r="Q27" s="61"/>
    </row>
    <row r="28" spans="2:17" s="27" customFormat="1" ht="11.25" hidden="1" x14ac:dyDescent="0.2">
      <c r="D28" s="60" t="s">
        <v>796</v>
      </c>
      <c r="F28" s="27" t="s">
        <v>797</v>
      </c>
      <c r="Q28" s="61"/>
    </row>
    <row r="29" spans="2:17" s="27" customFormat="1" ht="11.25" hidden="1" x14ac:dyDescent="0.2">
      <c r="D29" s="60" t="s">
        <v>22</v>
      </c>
      <c r="E29" s="27" t="s">
        <v>698</v>
      </c>
      <c r="F29" s="27" t="str">
        <f>SANDBOX!F36</f>
        <v>Enero</v>
      </c>
      <c r="G29" s="27" t="str">
        <f>SANDBOX!G36</f>
        <v>Febrero</v>
      </c>
      <c r="H29" s="27" t="str">
        <f>SANDBOX!H36</f>
        <v>Marzo</v>
      </c>
      <c r="I29" s="27" t="str">
        <f>SANDBOX!I36</f>
        <v>Abril</v>
      </c>
      <c r="J29" s="27" t="str">
        <f>SANDBOX!J36</f>
        <v xml:space="preserve">Mayo </v>
      </c>
      <c r="K29" s="27" t="str">
        <f>SANDBOX!K36</f>
        <v>Junio</v>
      </c>
      <c r="L29" s="27" t="str">
        <f>SANDBOX!L36</f>
        <v>Julio</v>
      </c>
      <c r="M29" s="27" t="str">
        <f>SANDBOX!M36</f>
        <v>Agosto</v>
      </c>
      <c r="N29" s="27" t="str">
        <f>SANDBOX!N36</f>
        <v>Septiembre</v>
      </c>
      <c r="O29" s="27" t="str">
        <f>SANDBOX!O36</f>
        <v>Octubre</v>
      </c>
      <c r="P29" s="27" t="str">
        <f>SANDBOX!P36</f>
        <v>Noviembre</v>
      </c>
      <c r="Q29" s="61" t="str">
        <f>SANDBOX!Q36</f>
        <v>Diciembre</v>
      </c>
    </row>
    <row r="30" spans="2:17" s="27" customFormat="1" ht="11.25" hidden="1" x14ac:dyDescent="0.2">
      <c r="D30" s="60">
        <f>SUM(E30:Q30)</f>
        <v>0</v>
      </c>
      <c r="Q30" s="61"/>
    </row>
    <row r="31" spans="2:17" s="27" customFormat="1" ht="11.25" hidden="1" x14ac:dyDescent="0.2">
      <c r="D31" s="60">
        <f>SUM(E31:Q31)</f>
        <v>0</v>
      </c>
      <c r="F31" s="27">
        <f>IF($D30=0,'1'!I31,F30)</f>
        <v>0</v>
      </c>
      <c r="G31" s="27">
        <f t="shared" ref="G31:Q31" si="6">IF($D30=0,0,G30)</f>
        <v>0</v>
      </c>
      <c r="H31" s="27">
        <f t="shared" si="6"/>
        <v>0</v>
      </c>
      <c r="I31" s="27">
        <f t="shared" si="6"/>
        <v>0</v>
      </c>
      <c r="J31" s="27">
        <f t="shared" si="6"/>
        <v>0</v>
      </c>
      <c r="K31" s="27">
        <f t="shared" si="6"/>
        <v>0</v>
      </c>
      <c r="L31" s="27">
        <f t="shared" si="6"/>
        <v>0</v>
      </c>
      <c r="M31" s="27">
        <f t="shared" si="6"/>
        <v>0</v>
      </c>
      <c r="N31" s="27">
        <f t="shared" si="6"/>
        <v>0</v>
      </c>
      <c r="O31" s="27">
        <f t="shared" si="6"/>
        <v>0</v>
      </c>
      <c r="P31" s="27">
        <f t="shared" si="6"/>
        <v>0</v>
      </c>
      <c r="Q31" s="61">
        <f t="shared" si="6"/>
        <v>0</v>
      </c>
    </row>
    <row r="32" spans="2:17" s="27" customFormat="1" ht="11.25" hidden="1" x14ac:dyDescent="0.2">
      <c r="D32" s="60" t="str">
        <f>IF(SANDBOX!D31='1'!I31,"","El stock inicial previsto no cuadra con la suma de los pagos")</f>
        <v/>
      </c>
      <c r="Q32" s="61"/>
    </row>
    <row r="33" spans="2:17" s="27" customFormat="1" ht="5.25" hidden="1" customHeight="1" x14ac:dyDescent="0.2">
      <c r="D33" s="65"/>
      <c r="E33" s="66"/>
      <c r="F33" s="66"/>
      <c r="G33" s="66"/>
      <c r="H33" s="66"/>
      <c r="I33" s="66"/>
      <c r="J33" s="66"/>
      <c r="K33" s="66"/>
      <c r="L33" s="66"/>
      <c r="M33" s="66"/>
      <c r="N33" s="66"/>
      <c r="O33" s="66"/>
      <c r="P33" s="66"/>
      <c r="Q33" s="67"/>
    </row>
    <row r="34" spans="2:17" s="27" customFormat="1" ht="20.100000000000001" hidden="1" customHeight="1" x14ac:dyDescent="0.2">
      <c r="B34" s="27">
        <v>5</v>
      </c>
      <c r="D34" s="62" t="s">
        <v>1168</v>
      </c>
      <c r="E34" s="63"/>
      <c r="F34" s="63"/>
      <c r="G34" s="63"/>
      <c r="H34" s="63"/>
      <c r="I34" s="63"/>
      <c r="J34" s="63"/>
      <c r="K34" s="63"/>
      <c r="L34" s="63"/>
      <c r="M34" s="63"/>
      <c r="N34" s="63"/>
      <c r="O34" s="63"/>
      <c r="P34" s="63"/>
      <c r="Q34" s="64"/>
    </row>
    <row r="35" spans="2:17" s="27" customFormat="1" ht="11.25" hidden="1" x14ac:dyDescent="0.2">
      <c r="D35" s="60"/>
      <c r="Q35" s="61"/>
    </row>
    <row r="36" spans="2:17" s="27" customFormat="1" ht="11.25" hidden="1" x14ac:dyDescent="0.2">
      <c r="D36" s="60" t="s">
        <v>580</v>
      </c>
      <c r="E36" s="27" t="str">
        <f t="shared" ref="E36:Q36" si="7">E23</f>
        <v>Total</v>
      </c>
      <c r="F36" s="27" t="str">
        <f t="shared" si="7"/>
        <v>Enero</v>
      </c>
      <c r="G36" s="27" t="str">
        <f t="shared" si="7"/>
        <v>Febrero</v>
      </c>
      <c r="H36" s="27" t="str">
        <f t="shared" si="7"/>
        <v>Marzo</v>
      </c>
      <c r="I36" s="27" t="str">
        <f t="shared" si="7"/>
        <v>Abril</v>
      </c>
      <c r="J36" s="27" t="str">
        <f t="shared" si="7"/>
        <v xml:space="preserve">Mayo </v>
      </c>
      <c r="K36" s="27" t="str">
        <f t="shared" si="7"/>
        <v>Junio</v>
      </c>
      <c r="L36" s="27" t="str">
        <f t="shared" si="7"/>
        <v>Julio</v>
      </c>
      <c r="M36" s="27" t="str">
        <f t="shared" si="7"/>
        <v>Agosto</v>
      </c>
      <c r="N36" s="27" t="str">
        <f t="shared" si="7"/>
        <v>Septiembre</v>
      </c>
      <c r="O36" s="27" t="str">
        <f t="shared" si="7"/>
        <v>Octubre</v>
      </c>
      <c r="P36" s="27" t="str">
        <f t="shared" si="7"/>
        <v>Noviembre</v>
      </c>
      <c r="Q36" s="61" t="str">
        <f t="shared" si="7"/>
        <v>Diciembre</v>
      </c>
    </row>
    <row r="37" spans="2:17" s="27" customFormat="1" ht="5.0999999999999996" hidden="1" customHeight="1" x14ac:dyDescent="0.2">
      <c r="D37" s="60"/>
      <c r="Q37" s="61"/>
    </row>
    <row r="38" spans="2:17" s="27" customFormat="1" ht="11.25" hidden="1" x14ac:dyDescent="0.2">
      <c r="D38" s="60" t="s">
        <v>1485</v>
      </c>
      <c r="E38" s="27">
        <f>SUM(F38:Q38)</f>
        <v>0</v>
      </c>
      <c r="F38" s="27">
        <f t="shared" ref="F38:Q38" si="8">SUM(F39:F41)</f>
        <v>0</v>
      </c>
      <c r="G38" s="27">
        <f t="shared" si="8"/>
        <v>0</v>
      </c>
      <c r="H38" s="27">
        <f t="shared" si="8"/>
        <v>0</v>
      </c>
      <c r="I38" s="27">
        <f t="shared" si="8"/>
        <v>0</v>
      </c>
      <c r="J38" s="27">
        <f t="shared" si="8"/>
        <v>0</v>
      </c>
      <c r="K38" s="27">
        <f t="shared" si="8"/>
        <v>0</v>
      </c>
      <c r="L38" s="27">
        <f t="shared" si="8"/>
        <v>0</v>
      </c>
      <c r="M38" s="27">
        <f t="shared" si="8"/>
        <v>0</v>
      </c>
      <c r="N38" s="27">
        <f t="shared" si="8"/>
        <v>0</v>
      </c>
      <c r="O38" s="27">
        <f t="shared" si="8"/>
        <v>0</v>
      </c>
      <c r="P38" s="27">
        <f t="shared" si="8"/>
        <v>0</v>
      </c>
      <c r="Q38" s="61">
        <f t="shared" si="8"/>
        <v>0</v>
      </c>
    </row>
    <row r="39" spans="2:17" s="27" customFormat="1" ht="11.25" hidden="1" x14ac:dyDescent="0.2">
      <c r="D39" s="60" t="str">
        <f>'3'!E10</f>
        <v xml:space="preserve"> Concepto 1</v>
      </c>
      <c r="E39" s="27">
        <f>SUM(SANDBOX!F39:Q39)</f>
        <v>0</v>
      </c>
      <c r="F39" s="27">
        <f>'3'!G10</f>
        <v>0</v>
      </c>
      <c r="G39" s="27">
        <f>'3'!H10</f>
        <v>0</v>
      </c>
      <c r="H39" s="27">
        <f>'3'!I10</f>
        <v>0</v>
      </c>
      <c r="I39" s="27">
        <f>'3'!J10</f>
        <v>0</v>
      </c>
      <c r="J39" s="27">
        <f>'3'!K10</f>
        <v>0</v>
      </c>
      <c r="K39" s="27">
        <f>'3'!L10</f>
        <v>0</v>
      </c>
      <c r="L39" s="27">
        <f>'3'!M10</f>
        <v>0</v>
      </c>
      <c r="M39" s="27">
        <f>'3'!N10</f>
        <v>0</v>
      </c>
      <c r="N39" s="27">
        <f>'3'!O10</f>
        <v>0</v>
      </c>
      <c r="O39" s="27">
        <f>'3'!P10</f>
        <v>0</v>
      </c>
      <c r="P39" s="27">
        <f>'3'!Q10</f>
        <v>0</v>
      </c>
      <c r="Q39" s="61">
        <f>'3'!R10</f>
        <v>0</v>
      </c>
    </row>
    <row r="40" spans="2:17" s="27" customFormat="1" ht="11.25" hidden="1" x14ac:dyDescent="0.2">
      <c r="D40" s="60" t="str">
        <f>'3'!E11</f>
        <v>Concepto 2</v>
      </c>
      <c r="E40" s="27">
        <f>SUM(SANDBOX!F40:Q40)</f>
        <v>0</v>
      </c>
      <c r="F40" s="27">
        <f>'3'!G11</f>
        <v>0</v>
      </c>
      <c r="G40" s="27">
        <f>'3'!H11</f>
        <v>0</v>
      </c>
      <c r="H40" s="27">
        <f>'3'!I11</f>
        <v>0</v>
      </c>
      <c r="I40" s="27">
        <f>'3'!J11</f>
        <v>0</v>
      </c>
      <c r="J40" s="27">
        <f>'3'!K11</f>
        <v>0</v>
      </c>
      <c r="K40" s="27">
        <f>'3'!L11</f>
        <v>0</v>
      </c>
      <c r="L40" s="27">
        <f>'3'!M11</f>
        <v>0</v>
      </c>
      <c r="M40" s="27">
        <f>'3'!N11</f>
        <v>0</v>
      </c>
      <c r="N40" s="27">
        <f>'3'!O11</f>
        <v>0</v>
      </c>
      <c r="O40" s="27">
        <f>'3'!P11</f>
        <v>0</v>
      </c>
      <c r="P40" s="27">
        <f>'3'!Q11</f>
        <v>0</v>
      </c>
      <c r="Q40" s="61">
        <f>'3'!R11</f>
        <v>0</v>
      </c>
    </row>
    <row r="41" spans="2:17" s="27" customFormat="1" ht="11.25" hidden="1" x14ac:dyDescent="0.2">
      <c r="D41" s="60" t="str">
        <f>'3'!E12</f>
        <v>Concepto 3</v>
      </c>
      <c r="E41" s="27">
        <f>SUM(SANDBOX!F41:Q41)</f>
        <v>0</v>
      </c>
      <c r="F41" s="27">
        <f>'3'!G12</f>
        <v>0</v>
      </c>
      <c r="G41" s="27">
        <f>'3'!H12</f>
        <v>0</v>
      </c>
      <c r="H41" s="27">
        <f>'3'!I12</f>
        <v>0</v>
      </c>
      <c r="I41" s="27">
        <f>'3'!J12</f>
        <v>0</v>
      </c>
      <c r="J41" s="27">
        <f>'3'!K12</f>
        <v>0</v>
      </c>
      <c r="K41" s="27">
        <f>'3'!L12</f>
        <v>0</v>
      </c>
      <c r="L41" s="27">
        <f>'3'!M12</f>
        <v>0</v>
      </c>
      <c r="M41" s="27">
        <f>'3'!N12</f>
        <v>0</v>
      </c>
      <c r="N41" s="27">
        <f>'3'!O12</f>
        <v>0</v>
      </c>
      <c r="O41" s="27">
        <f>'3'!P12</f>
        <v>0</v>
      </c>
      <c r="P41" s="27">
        <f>'3'!Q12</f>
        <v>0</v>
      </c>
      <c r="Q41" s="61">
        <f>'3'!R12</f>
        <v>0</v>
      </c>
    </row>
    <row r="42" spans="2:17" s="27" customFormat="1" ht="11.25" hidden="1" x14ac:dyDescent="0.2">
      <c r="D42" s="60" t="s">
        <v>1486</v>
      </c>
      <c r="E42" s="27">
        <f>'3'!$F$7</f>
        <v>0</v>
      </c>
      <c r="F42" s="27">
        <f>$E$42</f>
        <v>0</v>
      </c>
      <c r="G42" s="27">
        <f t="shared" ref="G42:Q42" si="9">$E$42</f>
        <v>0</v>
      </c>
      <c r="H42" s="27">
        <f t="shared" si="9"/>
        <v>0</v>
      </c>
      <c r="I42" s="27">
        <f t="shared" si="9"/>
        <v>0</v>
      </c>
      <c r="J42" s="27">
        <f t="shared" si="9"/>
        <v>0</v>
      </c>
      <c r="K42" s="27">
        <f t="shared" si="9"/>
        <v>0</v>
      </c>
      <c r="L42" s="27">
        <f t="shared" si="9"/>
        <v>0</v>
      </c>
      <c r="M42" s="27">
        <f t="shared" si="9"/>
        <v>0</v>
      </c>
      <c r="N42" s="27">
        <f t="shared" si="9"/>
        <v>0</v>
      </c>
      <c r="O42" s="27">
        <f t="shared" si="9"/>
        <v>0</v>
      </c>
      <c r="P42" s="27">
        <f t="shared" si="9"/>
        <v>0</v>
      </c>
      <c r="Q42" s="61">
        <f t="shared" si="9"/>
        <v>0</v>
      </c>
    </row>
    <row r="43" spans="2:17" s="27" customFormat="1" ht="11.25" hidden="1" x14ac:dyDescent="0.2">
      <c r="D43" s="65"/>
      <c r="E43" s="66"/>
      <c r="F43" s="66"/>
      <c r="G43" s="66"/>
      <c r="H43" s="66"/>
      <c r="I43" s="66"/>
      <c r="J43" s="66"/>
      <c r="K43" s="66"/>
      <c r="L43" s="66"/>
      <c r="M43" s="66"/>
      <c r="N43" s="66"/>
      <c r="O43" s="66"/>
      <c r="P43" s="66"/>
      <c r="Q43" s="67"/>
    </row>
    <row r="44" spans="2:17" s="27" customFormat="1" ht="20.100000000000001" hidden="1" customHeight="1" x14ac:dyDescent="0.2">
      <c r="B44" s="27">
        <v>6</v>
      </c>
      <c r="D44" s="62" t="s">
        <v>1141</v>
      </c>
      <c r="E44" s="63"/>
      <c r="F44" s="63"/>
      <c r="G44" s="63"/>
      <c r="H44" s="63"/>
      <c r="I44" s="63"/>
      <c r="J44" s="63"/>
      <c r="K44" s="63"/>
      <c r="L44" s="63"/>
      <c r="M44" s="63"/>
      <c r="N44" s="63"/>
      <c r="O44" s="63"/>
      <c r="P44" s="63"/>
      <c r="Q44" s="64"/>
    </row>
    <row r="45" spans="2:17" s="27" customFormat="1" ht="11.25" hidden="1" x14ac:dyDescent="0.2">
      <c r="D45" s="60"/>
      <c r="Q45" s="61"/>
    </row>
    <row r="46" spans="2:17" s="27" customFormat="1" ht="11.25" hidden="1" x14ac:dyDescent="0.2">
      <c r="D46" s="60" t="s">
        <v>152</v>
      </c>
      <c r="E46" s="27" t="str">
        <f>SANDBOX!E36</f>
        <v>Total</v>
      </c>
      <c r="F46" s="27" t="str">
        <f>SANDBOX!F36</f>
        <v>Enero</v>
      </c>
      <c r="G46" s="27" t="str">
        <f>SANDBOX!G36</f>
        <v>Febrero</v>
      </c>
      <c r="H46" s="27" t="str">
        <f>SANDBOX!H36</f>
        <v>Marzo</v>
      </c>
      <c r="I46" s="27" t="str">
        <f>SANDBOX!I36</f>
        <v>Abril</v>
      </c>
      <c r="J46" s="27" t="str">
        <f>SANDBOX!J36</f>
        <v xml:space="preserve">Mayo </v>
      </c>
      <c r="K46" s="27" t="str">
        <f>SANDBOX!K36</f>
        <v>Junio</v>
      </c>
      <c r="L46" s="27" t="str">
        <f>SANDBOX!L36</f>
        <v>Julio</v>
      </c>
      <c r="M46" s="27" t="str">
        <f>SANDBOX!M36</f>
        <v>Agosto</v>
      </c>
      <c r="N46" s="27" t="str">
        <f>SANDBOX!N36</f>
        <v>Septiembre</v>
      </c>
      <c r="O46" s="27" t="str">
        <f>SANDBOX!O36</f>
        <v>Octubre</v>
      </c>
      <c r="P46" s="27" t="str">
        <f>SANDBOX!P36</f>
        <v>Noviembre</v>
      </c>
      <c r="Q46" s="61" t="str">
        <f>SANDBOX!Q36</f>
        <v>Diciembre</v>
      </c>
    </row>
    <row r="47" spans="2:17" s="27" customFormat="1" ht="5.0999999999999996" hidden="1" customHeight="1" x14ac:dyDescent="0.2">
      <c r="D47" s="60"/>
      <c r="Q47" s="61"/>
    </row>
    <row r="48" spans="2:17" s="27" customFormat="1" ht="11.25" hidden="1" x14ac:dyDescent="0.2">
      <c r="D48" s="60" t="str">
        <f>'3'!$E$17</f>
        <v xml:space="preserve">Publicidad </v>
      </c>
      <c r="E48" s="27">
        <f>SUM(SANDBOX!F48:Q48)</f>
        <v>0</v>
      </c>
      <c r="F48" s="27">
        <f t="shared" ref="F48:Q48" si="10">SUM(F49:F49)</f>
        <v>0</v>
      </c>
      <c r="G48" s="27">
        <f t="shared" si="10"/>
        <v>0</v>
      </c>
      <c r="H48" s="27">
        <f t="shared" si="10"/>
        <v>0</v>
      </c>
      <c r="I48" s="27">
        <f t="shared" si="10"/>
        <v>0</v>
      </c>
      <c r="J48" s="27">
        <f t="shared" si="10"/>
        <v>0</v>
      </c>
      <c r="K48" s="27">
        <f t="shared" si="10"/>
        <v>0</v>
      </c>
      <c r="L48" s="27">
        <f t="shared" si="10"/>
        <v>0</v>
      </c>
      <c r="M48" s="27">
        <f t="shared" si="10"/>
        <v>0</v>
      </c>
      <c r="N48" s="27">
        <f t="shared" si="10"/>
        <v>0</v>
      </c>
      <c r="O48" s="27">
        <f t="shared" si="10"/>
        <v>0</v>
      </c>
      <c r="P48" s="27">
        <f t="shared" si="10"/>
        <v>0</v>
      </c>
      <c r="Q48" s="61">
        <f t="shared" si="10"/>
        <v>0</v>
      </c>
    </row>
    <row r="49" spans="2:17" s="27" customFormat="1" ht="11.25" hidden="1" x14ac:dyDescent="0.2">
      <c r="D49" s="60" t="str">
        <f>'3'!$E$17</f>
        <v xml:space="preserve">Publicidad </v>
      </c>
      <c r="E49" s="27">
        <f>SUM(F49:Q49)</f>
        <v>0</v>
      </c>
      <c r="F49" s="27">
        <f>'3'!G17</f>
        <v>0</v>
      </c>
      <c r="G49" s="27">
        <f>'3'!H17</f>
        <v>0</v>
      </c>
      <c r="H49" s="27">
        <f>'3'!I17</f>
        <v>0</v>
      </c>
      <c r="I49" s="27">
        <f>'3'!J17</f>
        <v>0</v>
      </c>
      <c r="J49" s="27">
        <f>'3'!K17</f>
        <v>0</v>
      </c>
      <c r="K49" s="27">
        <f>'3'!L17</f>
        <v>0</v>
      </c>
      <c r="L49" s="27">
        <f>'3'!M17</f>
        <v>0</v>
      </c>
      <c r="M49" s="27">
        <f>'3'!N17</f>
        <v>0</v>
      </c>
      <c r="N49" s="27">
        <f>'3'!O17</f>
        <v>0</v>
      </c>
      <c r="O49" s="27">
        <f>'3'!P17</f>
        <v>0</v>
      </c>
      <c r="P49" s="27">
        <f>'3'!Q17</f>
        <v>0</v>
      </c>
      <c r="Q49" s="61">
        <f>'3'!R17</f>
        <v>0</v>
      </c>
    </row>
    <row r="50" spans="2:17" s="27" customFormat="1" ht="11.25" hidden="1" x14ac:dyDescent="0.2">
      <c r="D50" s="60"/>
      <c r="Q50" s="61"/>
    </row>
    <row r="51" spans="2:17" s="27" customFormat="1" ht="11.25" hidden="1" x14ac:dyDescent="0.2">
      <c r="D51" s="60" t="str">
        <f>'3'!$E$18</f>
        <v>Relaciones Púb.</v>
      </c>
      <c r="E51" s="27">
        <f>SUM(F51:Q51)</f>
        <v>0</v>
      </c>
      <c r="F51" s="27">
        <f t="shared" ref="F51:Q51" si="11">SUM(F52:F52)</f>
        <v>0</v>
      </c>
      <c r="G51" s="27">
        <f t="shared" si="11"/>
        <v>0</v>
      </c>
      <c r="H51" s="27">
        <f t="shared" si="11"/>
        <v>0</v>
      </c>
      <c r="I51" s="27">
        <f t="shared" si="11"/>
        <v>0</v>
      </c>
      <c r="J51" s="27">
        <f t="shared" si="11"/>
        <v>0</v>
      </c>
      <c r="K51" s="27">
        <f t="shared" si="11"/>
        <v>0</v>
      </c>
      <c r="L51" s="27">
        <f t="shared" si="11"/>
        <v>0</v>
      </c>
      <c r="M51" s="27">
        <f t="shared" si="11"/>
        <v>0</v>
      </c>
      <c r="N51" s="27">
        <f t="shared" si="11"/>
        <v>0</v>
      </c>
      <c r="O51" s="27">
        <f t="shared" si="11"/>
        <v>0</v>
      </c>
      <c r="P51" s="27">
        <f t="shared" si="11"/>
        <v>0</v>
      </c>
      <c r="Q51" s="61">
        <f t="shared" si="11"/>
        <v>0</v>
      </c>
    </row>
    <row r="52" spans="2:17" s="27" customFormat="1" ht="11.25" hidden="1" x14ac:dyDescent="0.2">
      <c r="D52" s="65" t="str">
        <f>'3'!$E$18</f>
        <v>Relaciones Púb.</v>
      </c>
      <c r="E52" s="66">
        <f>SUM(F52:Q52)</f>
        <v>0</v>
      </c>
      <c r="F52" s="66">
        <f>'3'!G18</f>
        <v>0</v>
      </c>
      <c r="G52" s="66">
        <f>'3'!H18</f>
        <v>0</v>
      </c>
      <c r="H52" s="66">
        <f>'3'!I18</f>
        <v>0</v>
      </c>
      <c r="I52" s="66">
        <f>'3'!J18</f>
        <v>0</v>
      </c>
      <c r="J52" s="66">
        <f>'3'!K18</f>
        <v>0</v>
      </c>
      <c r="K52" s="66">
        <f>'3'!L18</f>
        <v>0</v>
      </c>
      <c r="L52" s="66">
        <f>'3'!M18</f>
        <v>0</v>
      </c>
      <c r="M52" s="66">
        <f>'3'!N18</f>
        <v>0</v>
      </c>
      <c r="N52" s="66">
        <f>'3'!O18</f>
        <v>0</v>
      </c>
      <c r="O52" s="66">
        <f>'3'!P18</f>
        <v>0</v>
      </c>
      <c r="P52" s="66">
        <f>'3'!Q18</f>
        <v>0</v>
      </c>
      <c r="Q52" s="67">
        <f>'3'!R18</f>
        <v>0</v>
      </c>
    </row>
    <row r="53" spans="2:17" s="27" customFormat="1" ht="11.25" hidden="1" x14ac:dyDescent="0.2">
      <c r="D53" s="62"/>
      <c r="E53" s="63"/>
      <c r="F53" s="63"/>
      <c r="G53" s="63"/>
      <c r="H53" s="63"/>
      <c r="I53" s="63"/>
      <c r="J53" s="63"/>
      <c r="K53" s="63"/>
      <c r="L53" s="63"/>
      <c r="M53" s="63"/>
      <c r="N53" s="63"/>
      <c r="O53" s="63"/>
      <c r="P53" s="63"/>
      <c r="Q53" s="64"/>
    </row>
    <row r="54" spans="2:17" s="27" customFormat="1" ht="18.75" hidden="1" customHeight="1" x14ac:dyDescent="0.25">
      <c r="B54" s="27">
        <v>7</v>
      </c>
      <c r="D54" s="60" t="s">
        <v>1140</v>
      </c>
      <c r="Q54" s="61"/>
    </row>
    <row r="55" spans="2:17" s="27" customFormat="1" ht="11.25" hidden="1" x14ac:dyDescent="0.2">
      <c r="D55" s="60"/>
      <c r="Q55" s="61"/>
    </row>
    <row r="56" spans="2:17" s="27" customFormat="1" ht="11.25" hidden="1" x14ac:dyDescent="0.2">
      <c r="D56" s="60" t="str">
        <f>$D$58</f>
        <v>Varios ventas</v>
      </c>
      <c r="E56" s="27" t="str">
        <f t="shared" ref="E56:Q56" si="12">E46</f>
        <v>Total</v>
      </c>
      <c r="F56" s="27" t="str">
        <f t="shared" si="12"/>
        <v>Enero</v>
      </c>
      <c r="G56" s="27" t="str">
        <f t="shared" si="12"/>
        <v>Febrero</v>
      </c>
      <c r="H56" s="27" t="str">
        <f t="shared" si="12"/>
        <v>Marzo</v>
      </c>
      <c r="I56" s="27" t="str">
        <f t="shared" si="12"/>
        <v>Abril</v>
      </c>
      <c r="J56" s="27" t="str">
        <f t="shared" si="12"/>
        <v xml:space="preserve">Mayo </v>
      </c>
      <c r="K56" s="27" t="str">
        <f t="shared" si="12"/>
        <v>Junio</v>
      </c>
      <c r="L56" s="27" t="str">
        <f t="shared" si="12"/>
        <v>Julio</v>
      </c>
      <c r="M56" s="27" t="str">
        <f t="shared" si="12"/>
        <v>Agosto</v>
      </c>
      <c r="N56" s="27" t="str">
        <f t="shared" si="12"/>
        <v>Septiembre</v>
      </c>
      <c r="O56" s="27" t="str">
        <f t="shared" si="12"/>
        <v>Octubre</v>
      </c>
      <c r="P56" s="27" t="str">
        <f t="shared" si="12"/>
        <v>Noviembre</v>
      </c>
      <c r="Q56" s="61" t="str">
        <f t="shared" si="12"/>
        <v>Diciembre</v>
      </c>
    </row>
    <row r="57" spans="2:17" s="27" customFormat="1" ht="5.0999999999999996" hidden="1" customHeight="1" x14ac:dyDescent="0.2">
      <c r="D57" s="60"/>
      <c r="Q57" s="61"/>
    </row>
    <row r="58" spans="2:17" s="27" customFormat="1" ht="11.25" hidden="1" x14ac:dyDescent="0.2">
      <c r="D58" s="60" t="str">
        <f>'3'!$E$19</f>
        <v>Varios ventas</v>
      </c>
      <c r="E58" s="27">
        <f>SUM(F58:Q58)</f>
        <v>0</v>
      </c>
      <c r="F58" s="27">
        <f>'3'!G19</f>
        <v>0</v>
      </c>
      <c r="G58" s="27">
        <f>'3'!H19</f>
        <v>0</v>
      </c>
      <c r="H58" s="27">
        <f>'3'!I19</f>
        <v>0</v>
      </c>
      <c r="I58" s="27">
        <f>'3'!J19</f>
        <v>0</v>
      </c>
      <c r="J58" s="27">
        <f>'3'!K19</f>
        <v>0</v>
      </c>
      <c r="K58" s="27">
        <f>'3'!L19</f>
        <v>0</v>
      </c>
      <c r="L58" s="27">
        <f>'3'!M19</f>
        <v>0</v>
      </c>
      <c r="M58" s="27">
        <f>'3'!N19</f>
        <v>0</v>
      </c>
      <c r="N58" s="27">
        <f>'3'!O19</f>
        <v>0</v>
      </c>
      <c r="O58" s="27">
        <f>'3'!P19</f>
        <v>0</v>
      </c>
      <c r="P58" s="27">
        <f>'3'!Q19</f>
        <v>0</v>
      </c>
      <c r="Q58" s="61">
        <f>'3'!R19</f>
        <v>0</v>
      </c>
    </row>
    <row r="59" spans="2:17" s="27" customFormat="1" ht="11.25" hidden="1" x14ac:dyDescent="0.2">
      <c r="D59" s="60"/>
      <c r="Q59" s="61"/>
    </row>
    <row r="60" spans="2:17" s="27" customFormat="1" ht="11.25" hidden="1" x14ac:dyDescent="0.2">
      <c r="D60" s="60" t="s">
        <v>579</v>
      </c>
      <c r="E60" s="27">
        <f>'3'!$F$20</f>
        <v>0</v>
      </c>
      <c r="F60" s="27">
        <f t="shared" ref="F60:Q60" si="13">$E$60</f>
        <v>0</v>
      </c>
      <c r="G60" s="27">
        <f t="shared" si="13"/>
        <v>0</v>
      </c>
      <c r="H60" s="27">
        <f t="shared" si="13"/>
        <v>0</v>
      </c>
      <c r="I60" s="27">
        <f t="shared" si="13"/>
        <v>0</v>
      </c>
      <c r="J60" s="27">
        <f t="shared" si="13"/>
        <v>0</v>
      </c>
      <c r="K60" s="27">
        <f t="shared" si="13"/>
        <v>0</v>
      </c>
      <c r="L60" s="27">
        <f t="shared" si="13"/>
        <v>0</v>
      </c>
      <c r="M60" s="27">
        <f t="shared" si="13"/>
        <v>0</v>
      </c>
      <c r="N60" s="27">
        <f t="shared" si="13"/>
        <v>0</v>
      </c>
      <c r="O60" s="27">
        <f t="shared" si="13"/>
        <v>0</v>
      </c>
      <c r="P60" s="27">
        <f t="shared" si="13"/>
        <v>0</v>
      </c>
      <c r="Q60" s="61">
        <f t="shared" si="13"/>
        <v>0</v>
      </c>
    </row>
    <row r="61" spans="2:17" s="27" customFormat="1" ht="11.25" hidden="1" x14ac:dyDescent="0.2">
      <c r="D61" s="65"/>
      <c r="E61" s="66"/>
      <c r="F61" s="66"/>
      <c r="G61" s="66"/>
      <c r="H61" s="66"/>
      <c r="I61" s="66"/>
      <c r="J61" s="66"/>
      <c r="K61" s="66"/>
      <c r="L61" s="66"/>
      <c r="M61" s="66"/>
      <c r="N61" s="66"/>
      <c r="O61" s="66"/>
      <c r="P61" s="66"/>
      <c r="Q61" s="67"/>
    </row>
    <row r="62" spans="2:17" s="27" customFormat="1" ht="20.100000000000001" hidden="1" customHeight="1" x14ac:dyDescent="0.2">
      <c r="B62" s="27">
        <v>8</v>
      </c>
      <c r="D62" s="62" t="s">
        <v>1139</v>
      </c>
      <c r="E62" s="63"/>
      <c r="F62" s="63"/>
      <c r="G62" s="63"/>
      <c r="H62" s="63"/>
      <c r="I62" s="63"/>
      <c r="J62" s="63"/>
      <c r="K62" s="63"/>
      <c r="L62" s="63"/>
      <c r="M62" s="63"/>
      <c r="N62" s="63"/>
      <c r="O62" s="63"/>
      <c r="P62" s="63"/>
      <c r="Q62" s="64"/>
    </row>
    <row r="63" spans="2:17" s="27" customFormat="1" ht="11.25" hidden="1" customHeight="1" x14ac:dyDescent="0.2">
      <c r="D63" s="60"/>
      <c r="Q63" s="61"/>
    </row>
    <row r="64" spans="2:17" s="27" customFormat="1" ht="11.25" hidden="1" x14ac:dyDescent="0.2">
      <c r="D64" s="60" t="s">
        <v>314</v>
      </c>
      <c r="E64" s="27" t="str">
        <f>SANDBOX!E36</f>
        <v>Total</v>
      </c>
      <c r="F64" s="27" t="str">
        <f>SANDBOX!F36</f>
        <v>Enero</v>
      </c>
      <c r="G64" s="27" t="str">
        <f>SANDBOX!G36</f>
        <v>Febrero</v>
      </c>
      <c r="H64" s="27" t="str">
        <f>SANDBOX!H36</f>
        <v>Marzo</v>
      </c>
      <c r="I64" s="27" t="str">
        <f>SANDBOX!I36</f>
        <v>Abril</v>
      </c>
      <c r="J64" s="27" t="str">
        <f>SANDBOX!J36</f>
        <v xml:space="preserve">Mayo </v>
      </c>
      <c r="K64" s="27" t="str">
        <f>SANDBOX!K36</f>
        <v>Junio</v>
      </c>
      <c r="L64" s="27" t="str">
        <f>SANDBOX!L36</f>
        <v>Julio</v>
      </c>
      <c r="M64" s="27" t="str">
        <f>SANDBOX!M36</f>
        <v>Agosto</v>
      </c>
      <c r="N64" s="27" t="str">
        <f>SANDBOX!N36</f>
        <v>Septiembre</v>
      </c>
      <c r="O64" s="27" t="str">
        <f>SANDBOX!O36</f>
        <v>Octubre</v>
      </c>
      <c r="P64" s="27" t="str">
        <f>SANDBOX!P36</f>
        <v>Noviembre</v>
      </c>
      <c r="Q64" s="61" t="str">
        <f>SANDBOX!Q36</f>
        <v>Diciembre</v>
      </c>
    </row>
    <row r="65" spans="4:17" s="27" customFormat="1" ht="5.0999999999999996" hidden="1" customHeight="1" x14ac:dyDescent="0.2">
      <c r="D65" s="60"/>
      <c r="Q65" s="61"/>
    </row>
    <row r="66" spans="4:17" s="27" customFormat="1" ht="11.25" hidden="1" x14ac:dyDescent="0.2">
      <c r="D66" s="60" t="s">
        <v>786</v>
      </c>
      <c r="E66" s="27">
        <f>SUM(F66:Q66)</f>
        <v>0</v>
      </c>
      <c r="F66" s="27">
        <f t="shared" ref="F66:Q66" si="14">+F67+F68+F71+F72+F73+F74+F75+F76+F77+F78+F79</f>
        <v>0</v>
      </c>
      <c r="G66" s="27">
        <f t="shared" si="14"/>
        <v>0</v>
      </c>
      <c r="H66" s="27">
        <f t="shared" si="14"/>
        <v>0</v>
      </c>
      <c r="I66" s="27">
        <f t="shared" si="14"/>
        <v>0</v>
      </c>
      <c r="J66" s="27">
        <f t="shared" si="14"/>
        <v>0</v>
      </c>
      <c r="K66" s="27">
        <f t="shared" si="14"/>
        <v>0</v>
      </c>
      <c r="L66" s="27">
        <f t="shared" si="14"/>
        <v>0</v>
      </c>
      <c r="M66" s="27">
        <f t="shared" si="14"/>
        <v>0</v>
      </c>
      <c r="N66" s="27">
        <f t="shared" si="14"/>
        <v>0</v>
      </c>
      <c r="O66" s="27">
        <f t="shared" si="14"/>
        <v>0</v>
      </c>
      <c r="P66" s="27">
        <f t="shared" si="14"/>
        <v>0</v>
      </c>
      <c r="Q66" s="61">
        <f t="shared" si="14"/>
        <v>0</v>
      </c>
    </row>
    <row r="67" spans="4:17" s="27" customFormat="1" ht="11.25" hidden="1" x14ac:dyDescent="0.2">
      <c r="D67" s="60" t="str">
        <f>'3'!$E$24</f>
        <v>Gastos I+D</v>
      </c>
      <c r="E67" s="27">
        <f>SUM(F67:Q67)</f>
        <v>0</v>
      </c>
      <c r="F67" s="27">
        <f>'3'!G24</f>
        <v>0</v>
      </c>
      <c r="G67" s="27">
        <f>'3'!H24</f>
        <v>0</v>
      </c>
      <c r="H67" s="27">
        <f>'3'!I24</f>
        <v>0</v>
      </c>
      <c r="I67" s="27">
        <f>'3'!J24</f>
        <v>0</v>
      </c>
      <c r="J67" s="27">
        <f>'3'!K24</f>
        <v>0</v>
      </c>
      <c r="K67" s="27">
        <f>'3'!L24</f>
        <v>0</v>
      </c>
      <c r="L67" s="27">
        <f>'3'!M24</f>
        <v>0</v>
      </c>
      <c r="M67" s="27">
        <f>'3'!N24</f>
        <v>0</v>
      </c>
      <c r="N67" s="27">
        <f>'3'!O24</f>
        <v>0</v>
      </c>
      <c r="O67" s="27">
        <f>'3'!P24</f>
        <v>0</v>
      </c>
      <c r="P67" s="27">
        <f>'3'!Q24</f>
        <v>0</v>
      </c>
      <c r="Q67" s="61">
        <f>'3'!R24</f>
        <v>0</v>
      </c>
    </row>
    <row r="68" spans="4:17" s="27" customFormat="1" ht="11.25" hidden="1" x14ac:dyDescent="0.2">
      <c r="D68" s="60" t="str">
        <f>'3'!$E$25</f>
        <v>Arrendamientos</v>
      </c>
      <c r="E68" s="27">
        <f t="shared" ref="E68:Q68" si="15">SUM(E69:E70)</f>
        <v>0</v>
      </c>
      <c r="F68" s="27">
        <f t="shared" si="15"/>
        <v>0</v>
      </c>
      <c r="G68" s="27">
        <f t="shared" si="15"/>
        <v>0</v>
      </c>
      <c r="H68" s="27">
        <f t="shared" si="15"/>
        <v>0</v>
      </c>
      <c r="I68" s="27">
        <f t="shared" si="15"/>
        <v>0</v>
      </c>
      <c r="J68" s="27">
        <f t="shared" si="15"/>
        <v>0</v>
      </c>
      <c r="K68" s="27">
        <f t="shared" si="15"/>
        <v>0</v>
      </c>
      <c r="L68" s="27">
        <f t="shared" si="15"/>
        <v>0</v>
      </c>
      <c r="M68" s="27">
        <f t="shared" si="15"/>
        <v>0</v>
      </c>
      <c r="N68" s="27">
        <f t="shared" si="15"/>
        <v>0</v>
      </c>
      <c r="O68" s="27">
        <f t="shared" si="15"/>
        <v>0</v>
      </c>
      <c r="P68" s="27">
        <f t="shared" si="15"/>
        <v>0</v>
      </c>
      <c r="Q68" s="61">
        <f t="shared" si="15"/>
        <v>0</v>
      </c>
    </row>
    <row r="69" spans="4:17" s="27" customFormat="1" ht="11.25" hidden="1" x14ac:dyDescent="0.2">
      <c r="D69" s="60" t="s">
        <v>1427</v>
      </c>
      <c r="E69" s="27">
        <f>SUM(F69:Q69)</f>
        <v>0</v>
      </c>
      <c r="F69" s="27">
        <f>'3'!G25</f>
        <v>0</v>
      </c>
      <c r="G69" s="27">
        <f>'3'!H25</f>
        <v>0</v>
      </c>
      <c r="H69" s="27">
        <f>'3'!I25</f>
        <v>0</v>
      </c>
      <c r="I69" s="27">
        <f>'3'!J25</f>
        <v>0</v>
      </c>
      <c r="J69" s="27">
        <f>'3'!K25</f>
        <v>0</v>
      </c>
      <c r="K69" s="27">
        <f>'3'!L25</f>
        <v>0</v>
      </c>
      <c r="L69" s="27">
        <f>'3'!M25</f>
        <v>0</v>
      </c>
      <c r="M69" s="27">
        <f>'3'!N25</f>
        <v>0</v>
      </c>
      <c r="N69" s="27">
        <f>'3'!O25</f>
        <v>0</v>
      </c>
      <c r="O69" s="27">
        <f>'3'!P25</f>
        <v>0</v>
      </c>
      <c r="P69" s="27">
        <f>'3'!Q25</f>
        <v>0</v>
      </c>
      <c r="Q69" s="61">
        <f>'3'!R25</f>
        <v>0</v>
      </c>
    </row>
    <row r="70" spans="4:17" s="27" customFormat="1" ht="11.25" hidden="1" x14ac:dyDescent="0.2">
      <c r="D70" s="60" t="s">
        <v>191</v>
      </c>
      <c r="E70" s="27">
        <f>SUM(F70:Q70)</f>
        <v>0</v>
      </c>
      <c r="F70" s="27">
        <f>Pagoinversiones!E33</f>
        <v>0</v>
      </c>
      <c r="G70" s="27">
        <f>Pagoinversiones!F33</f>
        <v>0</v>
      </c>
      <c r="H70" s="27">
        <f>Pagoinversiones!G33</f>
        <v>0</v>
      </c>
      <c r="I70" s="27">
        <f>Pagoinversiones!H33</f>
        <v>0</v>
      </c>
      <c r="J70" s="27">
        <f>Pagoinversiones!I33</f>
        <v>0</v>
      </c>
      <c r="K70" s="27">
        <f>Pagoinversiones!J33</f>
        <v>0</v>
      </c>
      <c r="L70" s="27">
        <f>Pagoinversiones!K33</f>
        <v>0</v>
      </c>
      <c r="M70" s="27">
        <f>Pagoinversiones!L33</f>
        <v>0</v>
      </c>
      <c r="N70" s="27">
        <f>Pagoinversiones!M33</f>
        <v>0</v>
      </c>
      <c r="O70" s="27">
        <f>Pagoinversiones!N33</f>
        <v>0</v>
      </c>
      <c r="P70" s="27">
        <f>Pagoinversiones!O33</f>
        <v>0</v>
      </c>
      <c r="Q70" s="61">
        <f>Pagoinversiones!P33</f>
        <v>0</v>
      </c>
    </row>
    <row r="71" spans="4:17" s="27" customFormat="1" ht="11.25" hidden="1" x14ac:dyDescent="0.2">
      <c r="D71" s="60" t="str">
        <f>'3'!E26</f>
        <v>Conservación</v>
      </c>
      <c r="E71" s="27">
        <f t="shared" ref="E71:E79" si="16">SUM(F71:Q71)</f>
        <v>0</v>
      </c>
      <c r="F71" s="27">
        <f>'3'!G26</f>
        <v>0</v>
      </c>
      <c r="G71" s="27">
        <f>'3'!H26</f>
        <v>0</v>
      </c>
      <c r="H71" s="27">
        <f>'3'!I26</f>
        <v>0</v>
      </c>
      <c r="I71" s="27">
        <f>'3'!J26</f>
        <v>0</v>
      </c>
      <c r="J71" s="27">
        <f>'3'!K26</f>
        <v>0</v>
      </c>
      <c r="K71" s="27">
        <f>'3'!L26</f>
        <v>0</v>
      </c>
      <c r="L71" s="27">
        <f>'3'!M26</f>
        <v>0</v>
      </c>
      <c r="M71" s="27">
        <f>'3'!N26</f>
        <v>0</v>
      </c>
      <c r="N71" s="27">
        <f>'3'!O26</f>
        <v>0</v>
      </c>
      <c r="O71" s="27">
        <f>'3'!P26</f>
        <v>0</v>
      </c>
      <c r="P71" s="27">
        <f>'3'!Q26</f>
        <v>0</v>
      </c>
      <c r="Q71" s="61">
        <f>'3'!R26</f>
        <v>0</v>
      </c>
    </row>
    <row r="72" spans="4:17" s="27" customFormat="1" ht="11.25" hidden="1" x14ac:dyDescent="0.2">
      <c r="D72" s="60" t="str">
        <f>'3'!E27</f>
        <v>S. Profesionales</v>
      </c>
      <c r="E72" s="27">
        <f t="shared" si="16"/>
        <v>0</v>
      </c>
      <c r="F72" s="27">
        <f>'3'!G27</f>
        <v>0</v>
      </c>
      <c r="G72" s="27">
        <f>'3'!H27</f>
        <v>0</v>
      </c>
      <c r="H72" s="27">
        <f>'3'!I27</f>
        <v>0</v>
      </c>
      <c r="I72" s="27">
        <f>'3'!J27</f>
        <v>0</v>
      </c>
      <c r="J72" s="27">
        <f>'3'!K27</f>
        <v>0</v>
      </c>
      <c r="K72" s="27">
        <f>'3'!L27</f>
        <v>0</v>
      </c>
      <c r="L72" s="27">
        <f>'3'!M27</f>
        <v>0</v>
      </c>
      <c r="M72" s="27">
        <f>'3'!N27</f>
        <v>0</v>
      </c>
      <c r="N72" s="27">
        <f>'3'!O27</f>
        <v>0</v>
      </c>
      <c r="O72" s="27">
        <f>'3'!P27</f>
        <v>0</v>
      </c>
      <c r="P72" s="27">
        <f>'3'!Q27</f>
        <v>0</v>
      </c>
      <c r="Q72" s="61">
        <f>'3'!R27</f>
        <v>0</v>
      </c>
    </row>
    <row r="73" spans="4:17" s="27" customFormat="1" ht="11.25" hidden="1" x14ac:dyDescent="0.2">
      <c r="D73" s="60" t="str">
        <f>'3'!E28</f>
        <v>Tributos</v>
      </c>
      <c r="E73" s="27">
        <f t="shared" si="16"/>
        <v>0</v>
      </c>
      <c r="F73" s="27">
        <f>'3'!G28</f>
        <v>0</v>
      </c>
      <c r="G73" s="27">
        <f>'3'!H28</f>
        <v>0</v>
      </c>
      <c r="H73" s="27">
        <f>'3'!I28</f>
        <v>0</v>
      </c>
      <c r="I73" s="27">
        <f>'3'!J28</f>
        <v>0</v>
      </c>
      <c r="J73" s="27">
        <f>'3'!K28</f>
        <v>0</v>
      </c>
      <c r="K73" s="27">
        <f>'3'!L28</f>
        <v>0</v>
      </c>
      <c r="L73" s="27">
        <f>'3'!M28</f>
        <v>0</v>
      </c>
      <c r="M73" s="27">
        <f>'3'!N28</f>
        <v>0</v>
      </c>
      <c r="N73" s="27">
        <f>'3'!O28</f>
        <v>0</v>
      </c>
      <c r="O73" s="27">
        <f>'3'!P28</f>
        <v>0</v>
      </c>
      <c r="P73" s="27">
        <f>'3'!Q28</f>
        <v>0</v>
      </c>
      <c r="Q73" s="61">
        <f>'3'!R28</f>
        <v>0</v>
      </c>
    </row>
    <row r="74" spans="4:17" s="27" customFormat="1" ht="11.25" hidden="1" x14ac:dyDescent="0.2">
      <c r="D74" s="60" t="str">
        <f>'3'!E29</f>
        <v>Seguros</v>
      </c>
      <c r="E74" s="27">
        <f t="shared" si="16"/>
        <v>0</v>
      </c>
      <c r="F74" s="27">
        <f>'3'!G29</f>
        <v>0</v>
      </c>
      <c r="G74" s="27">
        <f>'3'!H29</f>
        <v>0</v>
      </c>
      <c r="H74" s="27">
        <f>'3'!I29</f>
        <v>0</v>
      </c>
      <c r="I74" s="27">
        <f>'3'!J29</f>
        <v>0</v>
      </c>
      <c r="J74" s="27">
        <f>'3'!K29</f>
        <v>0</v>
      </c>
      <c r="K74" s="27">
        <f>'3'!L29</f>
        <v>0</v>
      </c>
      <c r="L74" s="27">
        <f>'3'!M29</f>
        <v>0</v>
      </c>
      <c r="M74" s="27">
        <f>'3'!N29</f>
        <v>0</v>
      </c>
      <c r="N74" s="27">
        <f>'3'!O29</f>
        <v>0</v>
      </c>
      <c r="O74" s="27">
        <f>'3'!P29</f>
        <v>0</v>
      </c>
      <c r="P74" s="27">
        <f>'3'!Q29</f>
        <v>0</v>
      </c>
      <c r="Q74" s="61">
        <f>'3'!R29</f>
        <v>0</v>
      </c>
    </row>
    <row r="75" spans="4:17" s="27" customFormat="1" ht="11.25" hidden="1" x14ac:dyDescent="0.2">
      <c r="D75" s="60" t="str">
        <f>'3'!E30</f>
        <v>Otros servicios</v>
      </c>
      <c r="E75" s="27">
        <f t="shared" si="16"/>
        <v>0</v>
      </c>
      <c r="F75" s="27">
        <f>'3'!G30</f>
        <v>0</v>
      </c>
      <c r="G75" s="27">
        <f>'3'!H30</f>
        <v>0</v>
      </c>
      <c r="H75" s="27">
        <f>'3'!I30</f>
        <v>0</v>
      </c>
      <c r="I75" s="27">
        <f>'3'!J30</f>
        <v>0</v>
      </c>
      <c r="J75" s="27">
        <f>'3'!K30</f>
        <v>0</v>
      </c>
      <c r="K75" s="27">
        <f>'3'!L30</f>
        <v>0</v>
      </c>
      <c r="L75" s="27">
        <f>'3'!M30</f>
        <v>0</v>
      </c>
      <c r="M75" s="27">
        <f>'3'!N30</f>
        <v>0</v>
      </c>
      <c r="N75" s="27">
        <f>'3'!O30</f>
        <v>0</v>
      </c>
      <c r="O75" s="27">
        <f>'3'!P30</f>
        <v>0</v>
      </c>
      <c r="P75" s="27">
        <f>'3'!Q30</f>
        <v>0</v>
      </c>
      <c r="Q75" s="61">
        <f>'3'!R30</f>
        <v>0</v>
      </c>
    </row>
    <row r="76" spans="4:17" s="27" customFormat="1" ht="11.25" hidden="1" x14ac:dyDescent="0.2">
      <c r="D76" s="60" t="str">
        <f>'3'!E31</f>
        <v>Suministros</v>
      </c>
      <c r="E76" s="27">
        <f t="shared" si="16"/>
        <v>0</v>
      </c>
      <c r="F76" s="27">
        <f>'3'!G31</f>
        <v>0</v>
      </c>
      <c r="G76" s="27">
        <f>'3'!H31</f>
        <v>0</v>
      </c>
      <c r="H76" s="27">
        <f>'3'!I31</f>
        <v>0</v>
      </c>
      <c r="I76" s="27">
        <f>'3'!J31</f>
        <v>0</v>
      </c>
      <c r="J76" s="27">
        <f>'3'!K31</f>
        <v>0</v>
      </c>
      <c r="K76" s="27">
        <f>'3'!L31</f>
        <v>0</v>
      </c>
      <c r="L76" s="27">
        <f>'3'!M31</f>
        <v>0</v>
      </c>
      <c r="M76" s="27">
        <f>'3'!N31</f>
        <v>0</v>
      </c>
      <c r="N76" s="27">
        <f>'3'!O31</f>
        <v>0</v>
      </c>
      <c r="O76" s="27">
        <f>'3'!P31</f>
        <v>0</v>
      </c>
      <c r="P76" s="27">
        <f>'3'!Q31</f>
        <v>0</v>
      </c>
      <c r="Q76" s="61">
        <f>'3'!R31</f>
        <v>0</v>
      </c>
    </row>
    <row r="77" spans="4:17" s="27" customFormat="1" ht="11.25" hidden="1" x14ac:dyDescent="0.2">
      <c r="D77" s="60" t="str">
        <f>'3'!E32</f>
        <v>Viajes, dietas…</v>
      </c>
      <c r="E77" s="27">
        <f t="shared" si="16"/>
        <v>0</v>
      </c>
      <c r="F77" s="27">
        <f>'3'!G32</f>
        <v>0</v>
      </c>
      <c r="G77" s="27">
        <f>'3'!H32</f>
        <v>0</v>
      </c>
      <c r="H77" s="27">
        <f>'3'!I32</f>
        <v>0</v>
      </c>
      <c r="I77" s="27">
        <f>'3'!J32</f>
        <v>0</v>
      </c>
      <c r="J77" s="27">
        <f>'3'!K32</f>
        <v>0</v>
      </c>
      <c r="K77" s="27">
        <f>'3'!L32</f>
        <v>0</v>
      </c>
      <c r="L77" s="27">
        <f>'3'!M32</f>
        <v>0</v>
      </c>
      <c r="M77" s="27">
        <f>'3'!N32</f>
        <v>0</v>
      </c>
      <c r="N77" s="27">
        <f>'3'!O32</f>
        <v>0</v>
      </c>
      <c r="O77" s="27">
        <f>'3'!P32</f>
        <v>0</v>
      </c>
      <c r="P77" s="27">
        <f>'3'!Q32</f>
        <v>0</v>
      </c>
      <c r="Q77" s="61">
        <f>'3'!R32</f>
        <v>0</v>
      </c>
    </row>
    <row r="78" spans="4:17" s="27" customFormat="1" ht="11.25" hidden="1" x14ac:dyDescent="0.2">
      <c r="D78" s="60" t="str">
        <f>'3'!E33</f>
        <v>Material Oficina</v>
      </c>
      <c r="E78" s="27">
        <f t="shared" si="16"/>
        <v>0</v>
      </c>
      <c r="F78" s="27">
        <f>'3'!G33</f>
        <v>0</v>
      </c>
      <c r="G78" s="27">
        <f>'3'!H33</f>
        <v>0</v>
      </c>
      <c r="H78" s="27">
        <f>'3'!I33</f>
        <v>0</v>
      </c>
      <c r="I78" s="27">
        <f>'3'!J33</f>
        <v>0</v>
      </c>
      <c r="J78" s="27">
        <f>'3'!K33</f>
        <v>0</v>
      </c>
      <c r="K78" s="27">
        <f>'3'!L33</f>
        <v>0</v>
      </c>
      <c r="L78" s="27">
        <f>'3'!M33</f>
        <v>0</v>
      </c>
      <c r="M78" s="27">
        <f>'3'!N33</f>
        <v>0</v>
      </c>
      <c r="N78" s="27">
        <f>'3'!O33</f>
        <v>0</v>
      </c>
      <c r="O78" s="27">
        <f>'3'!P33</f>
        <v>0</v>
      </c>
      <c r="P78" s="27">
        <f>'3'!Q33</f>
        <v>0</v>
      </c>
      <c r="Q78" s="61">
        <f>'3'!R33</f>
        <v>0</v>
      </c>
    </row>
    <row r="79" spans="4:17" s="27" customFormat="1" ht="11.25" hidden="1" x14ac:dyDescent="0.2">
      <c r="D79" s="60" t="str">
        <f>'3'!E34</f>
        <v>Transportes</v>
      </c>
      <c r="E79" s="27">
        <f t="shared" si="16"/>
        <v>0</v>
      </c>
      <c r="F79" s="27">
        <f>'3'!G34</f>
        <v>0</v>
      </c>
      <c r="G79" s="27">
        <f>'3'!H34</f>
        <v>0</v>
      </c>
      <c r="H79" s="27">
        <f>'3'!I34</f>
        <v>0</v>
      </c>
      <c r="I79" s="27">
        <f>'3'!J34</f>
        <v>0</v>
      </c>
      <c r="J79" s="27">
        <f>'3'!K34</f>
        <v>0</v>
      </c>
      <c r="K79" s="27">
        <f>'3'!L34</f>
        <v>0</v>
      </c>
      <c r="L79" s="27">
        <f>'3'!M34</f>
        <v>0</v>
      </c>
      <c r="M79" s="27">
        <f>'3'!N34</f>
        <v>0</v>
      </c>
      <c r="N79" s="27">
        <f>'3'!O34</f>
        <v>0</v>
      </c>
      <c r="O79" s="27">
        <f>'3'!P34</f>
        <v>0</v>
      </c>
      <c r="P79" s="27">
        <f>'3'!Q34</f>
        <v>0</v>
      </c>
      <c r="Q79" s="61">
        <f>'3'!R34</f>
        <v>0</v>
      </c>
    </row>
    <row r="80" spans="4:17" s="27" customFormat="1" ht="15" hidden="1" customHeight="1" x14ac:dyDescent="0.2">
      <c r="D80" s="65"/>
      <c r="E80" s="66"/>
      <c r="F80" s="66"/>
      <c r="G80" s="66"/>
      <c r="H80" s="66"/>
      <c r="I80" s="66"/>
      <c r="J80" s="66"/>
      <c r="K80" s="66"/>
      <c r="L80" s="66"/>
      <c r="M80" s="66"/>
      <c r="N80" s="66"/>
      <c r="O80" s="66"/>
      <c r="P80" s="66"/>
      <c r="Q80" s="67"/>
    </row>
    <row r="81" spans="2:17" s="27" customFormat="1" ht="20.100000000000001" hidden="1" customHeight="1" x14ac:dyDescent="0.2">
      <c r="B81" s="27">
        <v>9</v>
      </c>
      <c r="D81" s="62" t="s">
        <v>171</v>
      </c>
      <c r="E81" s="63"/>
      <c r="F81" s="63"/>
      <c r="G81" s="63"/>
      <c r="H81" s="63"/>
      <c r="I81" s="63"/>
      <c r="J81" s="63"/>
      <c r="K81" s="63"/>
      <c r="L81" s="63"/>
      <c r="M81" s="63"/>
      <c r="N81" s="63"/>
      <c r="O81" s="63"/>
      <c r="P81" s="63"/>
      <c r="Q81" s="64"/>
    </row>
    <row r="82" spans="2:17" s="27" customFormat="1" ht="11.25" hidden="1" x14ac:dyDescent="0.2">
      <c r="D82" s="60"/>
      <c r="Q82" s="61"/>
    </row>
    <row r="83" spans="2:17" s="27" customFormat="1" ht="15" hidden="1" customHeight="1" x14ac:dyDescent="0.2">
      <c r="D83" s="60" t="s">
        <v>154</v>
      </c>
      <c r="E83" s="27" t="str">
        <f t="shared" ref="E83:Q83" si="17">E64</f>
        <v>Total</v>
      </c>
      <c r="F83" s="27" t="str">
        <f t="shared" si="17"/>
        <v>Enero</v>
      </c>
      <c r="G83" s="27" t="str">
        <f t="shared" si="17"/>
        <v>Febrero</v>
      </c>
      <c r="H83" s="27" t="str">
        <f t="shared" si="17"/>
        <v>Marzo</v>
      </c>
      <c r="I83" s="27" t="str">
        <f t="shared" si="17"/>
        <v>Abril</v>
      </c>
      <c r="J83" s="27" t="str">
        <f t="shared" si="17"/>
        <v xml:space="preserve">Mayo </v>
      </c>
      <c r="K83" s="27" t="str">
        <f t="shared" si="17"/>
        <v>Junio</v>
      </c>
      <c r="L83" s="27" t="str">
        <f t="shared" si="17"/>
        <v>Julio</v>
      </c>
      <c r="M83" s="27" t="str">
        <f t="shared" si="17"/>
        <v>Agosto</v>
      </c>
      <c r="N83" s="27" t="str">
        <f t="shared" si="17"/>
        <v>Septiembre</v>
      </c>
      <c r="O83" s="27" t="str">
        <f t="shared" si="17"/>
        <v>Octubre</v>
      </c>
      <c r="P83" s="27" t="str">
        <f t="shared" si="17"/>
        <v>Noviembre</v>
      </c>
      <c r="Q83" s="61" t="str">
        <f t="shared" si="17"/>
        <v>Diciembre</v>
      </c>
    </row>
    <row r="84" spans="2:17" s="27" customFormat="1" ht="5.0999999999999996" hidden="1" customHeight="1" x14ac:dyDescent="0.2">
      <c r="D84" s="60"/>
      <c r="Q84" s="61"/>
    </row>
    <row r="85" spans="2:17" s="27" customFormat="1" ht="15" hidden="1" customHeight="1" x14ac:dyDescent="0.2">
      <c r="D85" s="60" t="str">
        <f>'3'!$E$38</f>
        <v>Excepcionales</v>
      </c>
      <c r="E85" s="27">
        <f>SUM(F85:Q85)</f>
        <v>0</v>
      </c>
      <c r="F85" s="27">
        <f>'3'!G38</f>
        <v>0</v>
      </c>
      <c r="G85" s="27">
        <f>'3'!H38</f>
        <v>0</v>
      </c>
      <c r="H85" s="27">
        <f>'3'!I38</f>
        <v>0</v>
      </c>
      <c r="I85" s="27">
        <f>'3'!J38</f>
        <v>0</v>
      </c>
      <c r="J85" s="27">
        <f>'3'!K38</f>
        <v>0</v>
      </c>
      <c r="K85" s="27">
        <f>'3'!L38</f>
        <v>0</v>
      </c>
      <c r="L85" s="27">
        <f>'3'!M38</f>
        <v>0</v>
      </c>
      <c r="M85" s="27">
        <f>'3'!N38</f>
        <v>0</v>
      </c>
      <c r="N85" s="27">
        <f>'3'!O38</f>
        <v>0</v>
      </c>
      <c r="O85" s="27">
        <f>'3'!P38</f>
        <v>0</v>
      </c>
      <c r="P85" s="27">
        <f>'3'!Q38</f>
        <v>0</v>
      </c>
      <c r="Q85" s="61">
        <f>'3'!R38</f>
        <v>0</v>
      </c>
    </row>
    <row r="86" spans="2:17" s="27" customFormat="1" ht="11.25" hidden="1" x14ac:dyDescent="0.2">
      <c r="D86" s="65"/>
      <c r="E86" s="66"/>
      <c r="F86" s="66"/>
      <c r="G86" s="66"/>
      <c r="H86" s="66"/>
      <c r="I86" s="66"/>
      <c r="J86" s="66"/>
      <c r="K86" s="66"/>
      <c r="L86" s="66"/>
      <c r="M86" s="66"/>
      <c r="N86" s="66"/>
      <c r="O86" s="66"/>
      <c r="P86" s="66"/>
      <c r="Q86" s="67"/>
    </row>
    <row r="87" spans="2:17" s="27" customFormat="1" ht="20.100000000000001" hidden="1" customHeight="1" x14ac:dyDescent="0.2">
      <c r="B87" s="27">
        <v>10</v>
      </c>
      <c r="D87" s="62" t="s">
        <v>1138</v>
      </c>
      <c r="E87" s="63"/>
      <c r="F87" s="63"/>
      <c r="G87" s="63"/>
      <c r="H87" s="63"/>
      <c r="I87" s="63"/>
      <c r="J87" s="63"/>
      <c r="K87" s="63"/>
      <c r="L87" s="63"/>
      <c r="M87" s="63"/>
      <c r="N87" s="63"/>
      <c r="O87" s="63"/>
      <c r="P87" s="63"/>
      <c r="Q87" s="64"/>
    </row>
    <row r="88" spans="2:17" s="27" customFormat="1" ht="11.25" hidden="1" x14ac:dyDescent="0.2">
      <c r="D88" s="60"/>
      <c r="Q88" s="61"/>
    </row>
    <row r="89" spans="2:17" s="27" customFormat="1" ht="11.25" hidden="1" x14ac:dyDescent="0.2">
      <c r="D89" s="60" t="s">
        <v>153</v>
      </c>
      <c r="E89" s="27" t="s">
        <v>786</v>
      </c>
      <c r="F89" s="27" t="str">
        <f>SB!B6</f>
        <v>Enero</v>
      </c>
      <c r="G89" s="27" t="str">
        <f>SB!C6</f>
        <v>Febrero</v>
      </c>
      <c r="H89" s="27" t="str">
        <f>SB!D6</f>
        <v>Marzo</v>
      </c>
      <c r="I89" s="27" t="str">
        <f>SB!E6</f>
        <v>Abril</v>
      </c>
      <c r="J89" s="27" t="str">
        <f>SB!F6</f>
        <v xml:space="preserve">Mayo </v>
      </c>
      <c r="K89" s="27" t="str">
        <f>SB!G6</f>
        <v>Junio</v>
      </c>
      <c r="L89" s="27" t="str">
        <f>SB!H6</f>
        <v>Julio</v>
      </c>
      <c r="M89" s="27" t="str">
        <f>SB!I6</f>
        <v>Agosto</v>
      </c>
      <c r="N89" s="27" t="str">
        <f>SB!J6</f>
        <v>Septiembre</v>
      </c>
      <c r="O89" s="27" t="str">
        <f>SB!K6</f>
        <v>Octubre</v>
      </c>
      <c r="P89" s="27" t="str">
        <f>SB!L6</f>
        <v>Noviembre</v>
      </c>
      <c r="Q89" s="61" t="str">
        <f>SB!M6</f>
        <v>Diciembre</v>
      </c>
    </row>
    <row r="90" spans="2:17" s="27" customFormat="1" ht="5.0999999999999996" hidden="1" customHeight="1" x14ac:dyDescent="0.2">
      <c r="D90" s="60"/>
      <c r="Q90" s="61"/>
    </row>
    <row r="91" spans="2:17" s="27" customFormat="1" ht="11.25" hidden="1" x14ac:dyDescent="0.2">
      <c r="D91" s="60" t="s">
        <v>1367</v>
      </c>
      <c r="E91" s="27">
        <f>SUM(F91:Q91)</f>
        <v>0</v>
      </c>
      <c r="F91" s="27">
        <f t="shared" ref="F91:Q91" si="18">SUM(F92:F94)</f>
        <v>0</v>
      </c>
      <c r="G91" s="27">
        <f t="shared" si="18"/>
        <v>0</v>
      </c>
      <c r="H91" s="27">
        <f t="shared" si="18"/>
        <v>0</v>
      </c>
      <c r="I91" s="27">
        <f t="shared" si="18"/>
        <v>0</v>
      </c>
      <c r="J91" s="27">
        <f t="shared" si="18"/>
        <v>0</v>
      </c>
      <c r="K91" s="27">
        <f t="shared" si="18"/>
        <v>0</v>
      </c>
      <c r="L91" s="27">
        <f t="shared" si="18"/>
        <v>0</v>
      </c>
      <c r="M91" s="27">
        <f t="shared" si="18"/>
        <v>0</v>
      </c>
      <c r="N91" s="27">
        <f t="shared" si="18"/>
        <v>0</v>
      </c>
      <c r="O91" s="27">
        <f t="shared" si="18"/>
        <v>0</v>
      </c>
      <c r="P91" s="27">
        <f t="shared" si="18"/>
        <v>0</v>
      </c>
      <c r="Q91" s="61">
        <f t="shared" si="18"/>
        <v>0</v>
      </c>
    </row>
    <row r="92" spans="2:17" s="27" customFormat="1" ht="11.25" hidden="1" x14ac:dyDescent="0.2">
      <c r="D92" s="60" t="s">
        <v>1428</v>
      </c>
      <c r="E92" s="27">
        <f>SUM(F92:Q92)</f>
        <v>0</v>
      </c>
      <c r="Q92" s="61"/>
    </row>
    <row r="93" spans="2:17" s="27" customFormat="1" ht="11.25" hidden="1" x14ac:dyDescent="0.2">
      <c r="D93" s="60"/>
      <c r="E93" s="27">
        <f>SUM(F93:Q93)</f>
        <v>0</v>
      </c>
      <c r="Q93" s="61"/>
    </row>
    <row r="94" spans="2:17" s="27" customFormat="1" ht="11.25" hidden="1" x14ac:dyDescent="0.2">
      <c r="D94" s="60"/>
      <c r="E94" s="27">
        <f>SUM(F94:Q94)</f>
        <v>0</v>
      </c>
      <c r="Q94" s="61"/>
    </row>
    <row r="95" spans="2:17" s="27" customFormat="1" ht="11.25" hidden="1" x14ac:dyDescent="0.2">
      <c r="D95" s="60"/>
      <c r="Q95" s="61"/>
    </row>
    <row r="96" spans="2:17" s="27" customFormat="1" ht="11.25" hidden="1" x14ac:dyDescent="0.2">
      <c r="D96" s="60" t="s">
        <v>1392</v>
      </c>
      <c r="E96" s="27">
        <f>SUM(F96:Q96)</f>
        <v>0</v>
      </c>
      <c r="F96" s="27">
        <f t="shared" ref="F96:Q96" si="19">F97+F98</f>
        <v>0</v>
      </c>
      <c r="G96" s="27">
        <f t="shared" si="19"/>
        <v>0</v>
      </c>
      <c r="H96" s="27">
        <f t="shared" si="19"/>
        <v>0</v>
      </c>
      <c r="I96" s="27">
        <f t="shared" si="19"/>
        <v>0</v>
      </c>
      <c r="J96" s="27">
        <f t="shared" si="19"/>
        <v>0</v>
      </c>
      <c r="K96" s="27">
        <f t="shared" si="19"/>
        <v>0</v>
      </c>
      <c r="L96" s="27">
        <f t="shared" si="19"/>
        <v>0</v>
      </c>
      <c r="M96" s="27">
        <f t="shared" si="19"/>
        <v>0</v>
      </c>
      <c r="N96" s="27">
        <f t="shared" si="19"/>
        <v>0</v>
      </c>
      <c r="O96" s="27">
        <f t="shared" si="19"/>
        <v>0</v>
      </c>
      <c r="P96" s="27">
        <f t="shared" si="19"/>
        <v>0</v>
      </c>
      <c r="Q96" s="61">
        <f t="shared" si="19"/>
        <v>0</v>
      </c>
    </row>
    <row r="97" spans="2:17" s="27" customFormat="1" ht="11.25" hidden="1" x14ac:dyDescent="0.2">
      <c r="D97" s="60" t="str">
        <f>'3'!$E$39</f>
        <v>Financieros</v>
      </c>
      <c r="E97" s="27">
        <f>SUM(F97:Q97)</f>
        <v>0</v>
      </c>
      <c r="F97" s="27">
        <f>'3'!G39</f>
        <v>0</v>
      </c>
      <c r="G97" s="27">
        <f>'3'!H39</f>
        <v>0</v>
      </c>
      <c r="H97" s="27">
        <f>'3'!I39</f>
        <v>0</v>
      </c>
      <c r="I97" s="27">
        <f>'3'!J39</f>
        <v>0</v>
      </c>
      <c r="J97" s="27">
        <f>'3'!K39</f>
        <v>0</v>
      </c>
      <c r="K97" s="27">
        <f>'3'!L39</f>
        <v>0</v>
      </c>
      <c r="L97" s="27">
        <f>'3'!M39</f>
        <v>0</v>
      </c>
      <c r="M97" s="27">
        <f>'3'!N39</f>
        <v>0</v>
      </c>
      <c r="N97" s="27">
        <f>'3'!O39</f>
        <v>0</v>
      </c>
      <c r="O97" s="27">
        <f>'3'!P39</f>
        <v>0</v>
      </c>
      <c r="P97" s="27">
        <f>'3'!Q39</f>
        <v>0</v>
      </c>
      <c r="Q97" s="61">
        <f>'3'!R39</f>
        <v>0</v>
      </c>
    </row>
    <row r="98" spans="2:17" s="27" customFormat="1" ht="11.25" hidden="1" x14ac:dyDescent="0.2">
      <c r="D98" s="60" t="s">
        <v>170</v>
      </c>
      <c r="E98" s="27">
        <f>SUM(F98:Q98)</f>
        <v>0</v>
      </c>
      <c r="F98" s="27">
        <f>F99</f>
        <v>0</v>
      </c>
      <c r="G98" s="27">
        <f t="shared" ref="G98:Q98" si="20">G99</f>
        <v>0</v>
      </c>
      <c r="H98" s="27">
        <f t="shared" si="20"/>
        <v>0</v>
      </c>
      <c r="I98" s="27">
        <f t="shared" si="20"/>
        <v>0</v>
      </c>
      <c r="J98" s="27">
        <f t="shared" si="20"/>
        <v>0</v>
      </c>
      <c r="K98" s="27">
        <f t="shared" si="20"/>
        <v>0</v>
      </c>
      <c r="L98" s="27">
        <f t="shared" si="20"/>
        <v>0</v>
      </c>
      <c r="M98" s="27">
        <f t="shared" si="20"/>
        <v>0</v>
      </c>
      <c r="N98" s="27">
        <f t="shared" si="20"/>
        <v>0</v>
      </c>
      <c r="O98" s="27">
        <f t="shared" si="20"/>
        <v>0</v>
      </c>
      <c r="P98" s="27">
        <f t="shared" si="20"/>
        <v>0</v>
      </c>
      <c r="Q98" s="61">
        <f t="shared" si="20"/>
        <v>0</v>
      </c>
    </row>
    <row r="99" spans="2:17" s="27" customFormat="1" ht="11.25" hidden="1" x14ac:dyDescent="0.2">
      <c r="D99" s="60"/>
      <c r="E99" s="27">
        <f>'3'!$F$40</f>
        <v>0</v>
      </c>
      <c r="F99" s="27">
        <f>+IF(INFORME!G$83&gt;0,INFORME!G$83*$E$99,0)</f>
        <v>0</v>
      </c>
      <c r="G99" s="27">
        <f>+IF(INFORME!H$83&gt;0,INFORME!H$83*$E$99,0)</f>
        <v>0</v>
      </c>
      <c r="H99" s="27">
        <f>+IF(INFORME!I$83&gt;0,INFORME!I$83*$E$99,0)</f>
        <v>0</v>
      </c>
      <c r="I99" s="27">
        <f>+IF(INFORME!J$83&gt;0,INFORME!J$83*$E$99,0)</f>
        <v>0</v>
      </c>
      <c r="J99" s="27">
        <f>+IF(INFORME!K$83&gt;0,INFORME!K$83*$E$99,0)</f>
        <v>0</v>
      </c>
      <c r="K99" s="27">
        <f>+IF(INFORME!L$83&gt;0,INFORME!L$83*$E$99,0)</f>
        <v>0</v>
      </c>
      <c r="L99" s="27">
        <f>+IF(INFORME!M$83&gt;0,INFORME!M$83*$E$99,0)</f>
        <v>0</v>
      </c>
      <c r="M99" s="27">
        <f>+IF(INFORME!N$83&gt;0,INFORME!N$83*$E$99,0)</f>
        <v>0</v>
      </c>
      <c r="N99" s="27">
        <f>+IF(INFORME!O$83&gt;0,INFORME!O$83*$E$99,0)</f>
        <v>0</v>
      </c>
      <c r="O99" s="27">
        <f>+IF(INFORME!P$83&gt;0,INFORME!P$83*$E$99,0)</f>
        <v>0</v>
      </c>
      <c r="P99" s="27">
        <f>+IF(INFORME!Q$83&gt;0,INFORME!Q$83*$E$99,0)</f>
        <v>0</v>
      </c>
      <c r="Q99" s="61">
        <f>+IF(INFORME!R$83&gt;0,INFORME!R$83*$E$99,0)</f>
        <v>0</v>
      </c>
    </row>
    <row r="100" spans="2:17" s="27" customFormat="1" ht="11.25" hidden="1" x14ac:dyDescent="0.2">
      <c r="D100" s="60"/>
      <c r="Q100" s="61"/>
    </row>
    <row r="101" spans="2:17" s="27" customFormat="1" ht="11.25" hidden="1" x14ac:dyDescent="0.2">
      <c r="D101" s="65"/>
      <c r="E101" s="66"/>
      <c r="F101" s="66"/>
      <c r="G101" s="66"/>
      <c r="H101" s="66"/>
      <c r="I101" s="66"/>
      <c r="J101" s="66"/>
      <c r="K101" s="66"/>
      <c r="L101" s="66"/>
      <c r="M101" s="66"/>
      <c r="N101" s="66"/>
      <c r="O101" s="66"/>
      <c r="P101" s="66"/>
      <c r="Q101" s="67"/>
    </row>
    <row r="102" spans="2:17" s="27" customFormat="1" ht="11.25" hidden="1" x14ac:dyDescent="0.2">
      <c r="B102" s="27">
        <v>1</v>
      </c>
      <c r="D102" s="62" t="s">
        <v>1136</v>
      </c>
      <c r="E102" s="63"/>
      <c r="F102" s="63"/>
      <c r="G102" s="63"/>
      <c r="H102" s="63"/>
      <c r="I102" s="63"/>
      <c r="J102" s="63"/>
      <c r="K102" s="63"/>
      <c r="L102" s="63"/>
      <c r="M102" s="63"/>
      <c r="N102" s="63"/>
      <c r="O102" s="63"/>
      <c r="P102" s="63"/>
      <c r="Q102" s="64"/>
    </row>
    <row r="103" spans="2:17" s="27" customFormat="1" ht="11.25" hidden="1" x14ac:dyDescent="0.2">
      <c r="D103" s="60"/>
      <c r="Q103" s="61"/>
    </row>
    <row r="104" spans="2:17" s="27" customFormat="1" ht="11.25" hidden="1" x14ac:dyDescent="0.2">
      <c r="D104" s="60"/>
      <c r="E104" s="27" t="s">
        <v>798</v>
      </c>
      <c r="N104" s="27" t="s">
        <v>799</v>
      </c>
      <c r="Q104" s="61"/>
    </row>
    <row r="105" spans="2:17" s="27" customFormat="1" ht="11.25" hidden="1" x14ac:dyDescent="0.2">
      <c r="D105" s="60" t="str">
        <f>SANDBOX!D29</f>
        <v>Mes</v>
      </c>
      <c r="E105" s="27" t="str">
        <f>SANDBOX!E29</f>
        <v>ANTERIOR</v>
      </c>
      <c r="F105" s="27" t="str">
        <f>SANDBOX!F29</f>
        <v>Enero</v>
      </c>
      <c r="G105" s="27" t="str">
        <f>SANDBOX!G29</f>
        <v>Febrero</v>
      </c>
      <c r="H105" s="27" t="str">
        <f>SANDBOX!H29</f>
        <v>Marzo</v>
      </c>
      <c r="I105" s="27" t="str">
        <f>SANDBOX!I29</f>
        <v>Abril</v>
      </c>
      <c r="J105" s="27" t="str">
        <f>SANDBOX!J29</f>
        <v xml:space="preserve">Mayo </v>
      </c>
      <c r="K105" s="27" t="str">
        <f>SANDBOX!K29</f>
        <v>Junio</v>
      </c>
      <c r="L105" s="27" t="s">
        <v>786</v>
      </c>
      <c r="N105" s="27" t="s">
        <v>36</v>
      </c>
      <c r="P105" s="27" t="s">
        <v>1549</v>
      </c>
      <c r="Q105" s="61" t="s">
        <v>786</v>
      </c>
    </row>
    <row r="106" spans="2:17" s="27" customFormat="1" ht="11.25" hidden="1" x14ac:dyDescent="0.2">
      <c r="D106" s="60" t="s">
        <v>36</v>
      </c>
      <c r="E106" s="27">
        <f t="shared" ref="E106:K106" si="21">SUM(E107:E135)</f>
        <v>0</v>
      </c>
      <c r="F106" s="27">
        <f t="shared" si="21"/>
        <v>0</v>
      </c>
      <c r="G106" s="27">
        <f t="shared" si="21"/>
        <v>0</v>
      </c>
      <c r="H106" s="27">
        <f t="shared" si="21"/>
        <v>0</v>
      </c>
      <c r="I106" s="27">
        <f t="shared" si="21"/>
        <v>0</v>
      </c>
      <c r="J106" s="27">
        <f t="shared" si="21"/>
        <v>0</v>
      </c>
      <c r="K106" s="27">
        <f t="shared" si="21"/>
        <v>0</v>
      </c>
      <c r="L106" s="27">
        <f t="shared" ref="L106:L135" si="22">SUM(E106:K106)</f>
        <v>0</v>
      </c>
      <c r="O106" s="27" t="str">
        <f>INFORME!$D$98</f>
        <v>Costes de venta</v>
      </c>
      <c r="P106" s="27">
        <f>SUM(P107:P109)</f>
        <v>0</v>
      </c>
      <c r="Q106" s="61">
        <f t="shared" ref="Q106:Q121" si="23">+P106</f>
        <v>0</v>
      </c>
    </row>
    <row r="107" spans="2:17" s="27" customFormat="1" ht="11.25" hidden="1" x14ac:dyDescent="0.2">
      <c r="D107" s="60"/>
      <c r="L107" s="27">
        <f t="shared" si="22"/>
        <v>0</v>
      </c>
      <c r="Q107" s="61">
        <f t="shared" si="23"/>
        <v>0</v>
      </c>
    </row>
    <row r="108" spans="2:17" s="27" customFormat="1" ht="11.25" hidden="1" x14ac:dyDescent="0.2">
      <c r="D108" s="60"/>
      <c r="L108" s="27">
        <f t="shared" si="22"/>
        <v>0</v>
      </c>
      <c r="Q108" s="61">
        <f t="shared" si="23"/>
        <v>0</v>
      </c>
    </row>
    <row r="109" spans="2:17" s="27" customFormat="1" ht="11.25" hidden="1" x14ac:dyDescent="0.2">
      <c r="D109" s="60"/>
      <c r="L109" s="27">
        <f t="shared" si="22"/>
        <v>0</v>
      </c>
      <c r="Q109" s="61">
        <f t="shared" si="23"/>
        <v>0</v>
      </c>
    </row>
    <row r="110" spans="2:17" s="27" customFormat="1" ht="11.25" hidden="1" x14ac:dyDescent="0.2">
      <c r="D110" s="60"/>
      <c r="L110" s="27">
        <f t="shared" si="22"/>
        <v>0</v>
      </c>
      <c r="O110" s="27" t="s">
        <v>1400</v>
      </c>
      <c r="P110" s="27">
        <f>SUM(P111:P113)</f>
        <v>0</v>
      </c>
      <c r="Q110" s="61">
        <f t="shared" si="23"/>
        <v>0</v>
      </c>
    </row>
    <row r="111" spans="2:17" s="27" customFormat="1" ht="11.25" hidden="1" x14ac:dyDescent="0.2">
      <c r="D111" s="60"/>
      <c r="L111" s="27">
        <f t="shared" si="22"/>
        <v>0</v>
      </c>
      <c r="O111" s="27" t="str">
        <f>INFORME!D104</f>
        <v>producción/servicio</v>
      </c>
      <c r="Q111" s="61">
        <f t="shared" si="23"/>
        <v>0</v>
      </c>
    </row>
    <row r="112" spans="2:17" s="27" customFormat="1" ht="11.25" hidden="1" x14ac:dyDescent="0.2">
      <c r="D112" s="60"/>
      <c r="L112" s="27">
        <f t="shared" si="22"/>
        <v>0</v>
      </c>
      <c r="O112" s="27" t="str">
        <f>INFORME!D105</f>
        <v>marketing/ventas</v>
      </c>
      <c r="Q112" s="61">
        <f t="shared" si="23"/>
        <v>0</v>
      </c>
    </row>
    <row r="113" spans="4:17" s="27" customFormat="1" ht="11.25" hidden="1" x14ac:dyDescent="0.2">
      <c r="D113" s="60"/>
      <c r="L113" s="27">
        <f t="shared" si="22"/>
        <v>0</v>
      </c>
      <c r="O113" s="27" t="str">
        <f>INFORME!D106</f>
        <v>administración/DG</v>
      </c>
      <c r="Q113" s="61">
        <f t="shared" si="23"/>
        <v>0</v>
      </c>
    </row>
    <row r="114" spans="4:17" s="27" customFormat="1" ht="11.25" hidden="1" x14ac:dyDescent="0.2">
      <c r="D114" s="60"/>
      <c r="L114" s="27">
        <f t="shared" si="22"/>
        <v>0</v>
      </c>
      <c r="O114" s="27" t="str">
        <f>INFORME!$D$108</f>
        <v>Marketing y ventas</v>
      </c>
      <c r="P114" s="27">
        <f>SUM(P115:P117)</f>
        <v>0</v>
      </c>
      <c r="Q114" s="61">
        <f t="shared" si="23"/>
        <v>0</v>
      </c>
    </row>
    <row r="115" spans="4:17" s="27" customFormat="1" ht="11.25" hidden="1" x14ac:dyDescent="0.2">
      <c r="D115" s="60"/>
      <c r="L115" s="27">
        <f t="shared" si="22"/>
        <v>0</v>
      </c>
      <c r="Q115" s="61">
        <f t="shared" si="23"/>
        <v>0</v>
      </c>
    </row>
    <row r="116" spans="4:17" s="27" customFormat="1" ht="11.25" hidden="1" x14ac:dyDescent="0.2">
      <c r="D116" s="60"/>
      <c r="L116" s="27">
        <f t="shared" si="22"/>
        <v>0</v>
      </c>
      <c r="Q116" s="61">
        <f t="shared" si="23"/>
        <v>0</v>
      </c>
    </row>
    <row r="117" spans="4:17" s="27" customFormat="1" ht="11.25" hidden="1" x14ac:dyDescent="0.2">
      <c r="D117" s="60"/>
      <c r="L117" s="27">
        <f t="shared" si="22"/>
        <v>0</v>
      </c>
      <c r="Q117" s="61">
        <f t="shared" si="23"/>
        <v>0</v>
      </c>
    </row>
    <row r="118" spans="4:17" s="27" customFormat="1" ht="11.25" hidden="1" x14ac:dyDescent="0.2">
      <c r="D118" s="60"/>
      <c r="L118" s="27">
        <f t="shared" si="22"/>
        <v>0</v>
      </c>
      <c r="O118" s="27" t="str">
        <f>INFORME!$D$114</f>
        <v>Generales y adm</v>
      </c>
      <c r="P118" s="27">
        <f>SUM(P119:P121)</f>
        <v>0</v>
      </c>
      <c r="Q118" s="61">
        <f t="shared" si="23"/>
        <v>0</v>
      </c>
    </row>
    <row r="119" spans="4:17" s="27" customFormat="1" ht="11.25" hidden="1" x14ac:dyDescent="0.2">
      <c r="D119" s="60"/>
      <c r="L119" s="27">
        <f t="shared" si="22"/>
        <v>0</v>
      </c>
      <c r="Q119" s="61">
        <f t="shared" si="23"/>
        <v>0</v>
      </c>
    </row>
    <row r="120" spans="4:17" s="27" customFormat="1" ht="11.25" hidden="1" x14ac:dyDescent="0.2">
      <c r="D120" s="60"/>
      <c r="L120" s="27">
        <f t="shared" si="22"/>
        <v>0</v>
      </c>
      <c r="Q120" s="61">
        <f t="shared" si="23"/>
        <v>0</v>
      </c>
    </row>
    <row r="121" spans="4:17" s="27" customFormat="1" ht="11.25" hidden="1" x14ac:dyDescent="0.2">
      <c r="D121" s="60"/>
      <c r="L121" s="27">
        <f t="shared" si="22"/>
        <v>0</v>
      </c>
      <c r="Q121" s="61">
        <f t="shared" si="23"/>
        <v>0</v>
      </c>
    </row>
    <row r="122" spans="4:17" s="27" customFormat="1" ht="11.25" hidden="1" x14ac:dyDescent="0.2">
      <c r="D122" s="60"/>
      <c r="L122" s="27">
        <f t="shared" si="22"/>
        <v>0</v>
      </c>
      <c r="Q122" s="61"/>
    </row>
    <row r="123" spans="4:17" s="27" customFormat="1" ht="11.25" hidden="1" x14ac:dyDescent="0.2">
      <c r="D123" s="60"/>
      <c r="L123" s="27">
        <f t="shared" si="22"/>
        <v>0</v>
      </c>
      <c r="Q123" s="61"/>
    </row>
    <row r="124" spans="4:17" s="27" customFormat="1" ht="11.25" hidden="1" x14ac:dyDescent="0.2">
      <c r="D124" s="60"/>
      <c r="L124" s="27">
        <f t="shared" si="22"/>
        <v>0</v>
      </c>
      <c r="Q124" s="61"/>
    </row>
    <row r="125" spans="4:17" s="27" customFormat="1" ht="11.25" hidden="1" x14ac:dyDescent="0.2">
      <c r="D125" s="60"/>
      <c r="L125" s="27">
        <f t="shared" si="22"/>
        <v>0</v>
      </c>
      <c r="Q125" s="61"/>
    </row>
    <row r="126" spans="4:17" s="27" customFormat="1" ht="11.25" hidden="1" x14ac:dyDescent="0.2">
      <c r="D126" s="60"/>
      <c r="L126" s="27">
        <f t="shared" si="22"/>
        <v>0</v>
      </c>
      <c r="Q126" s="61"/>
    </row>
    <row r="127" spans="4:17" s="27" customFormat="1" ht="11.25" hidden="1" x14ac:dyDescent="0.2">
      <c r="D127" s="60"/>
      <c r="L127" s="27">
        <f t="shared" si="22"/>
        <v>0</v>
      </c>
      <c r="Q127" s="61"/>
    </row>
    <row r="128" spans="4:17" s="27" customFormat="1" ht="11.25" hidden="1" x14ac:dyDescent="0.2">
      <c r="D128" s="60"/>
      <c r="L128" s="27">
        <f t="shared" si="22"/>
        <v>0</v>
      </c>
      <c r="Q128" s="61"/>
    </row>
    <row r="129" spans="2:17" s="27" customFormat="1" ht="11.25" hidden="1" x14ac:dyDescent="0.2">
      <c r="D129" s="60"/>
      <c r="L129" s="27">
        <f t="shared" si="22"/>
        <v>0</v>
      </c>
      <c r="Q129" s="61"/>
    </row>
    <row r="130" spans="2:17" s="27" customFormat="1" ht="11.25" hidden="1" x14ac:dyDescent="0.2">
      <c r="D130" s="60"/>
      <c r="L130" s="27">
        <f t="shared" si="22"/>
        <v>0</v>
      </c>
      <c r="Q130" s="61"/>
    </row>
    <row r="131" spans="2:17" s="27" customFormat="1" ht="11.25" hidden="1" x14ac:dyDescent="0.2">
      <c r="D131" s="60"/>
      <c r="L131" s="27">
        <f t="shared" si="22"/>
        <v>0</v>
      </c>
      <c r="Q131" s="61"/>
    </row>
    <row r="132" spans="2:17" s="27" customFormat="1" ht="11.25" hidden="1" x14ac:dyDescent="0.2">
      <c r="D132" s="60"/>
      <c r="L132" s="27">
        <f t="shared" si="22"/>
        <v>0</v>
      </c>
      <c r="Q132" s="61"/>
    </row>
    <row r="133" spans="2:17" s="27" customFormat="1" ht="11.25" hidden="1" x14ac:dyDescent="0.2">
      <c r="D133" s="60"/>
      <c r="L133" s="27">
        <f t="shared" si="22"/>
        <v>0</v>
      </c>
      <c r="Q133" s="61"/>
    </row>
    <row r="134" spans="2:17" s="27" customFormat="1" ht="11.25" hidden="1" x14ac:dyDescent="0.2">
      <c r="D134" s="60"/>
      <c r="L134" s="27">
        <f t="shared" si="22"/>
        <v>0</v>
      </c>
      <c r="Q134" s="61"/>
    </row>
    <row r="135" spans="2:17" s="27" customFormat="1" ht="11.25" hidden="1" x14ac:dyDescent="0.2">
      <c r="D135" s="60"/>
      <c r="L135" s="27">
        <f t="shared" si="22"/>
        <v>0</v>
      </c>
      <c r="Q135" s="61"/>
    </row>
    <row r="136" spans="2:17" s="27" customFormat="1" ht="11.25" hidden="1" x14ac:dyDescent="0.2">
      <c r="D136" s="60"/>
      <c r="Q136" s="61"/>
    </row>
    <row r="137" spans="2:17" s="27" customFormat="1" ht="11.25" hidden="1" x14ac:dyDescent="0.2">
      <c r="D137" s="60"/>
      <c r="F137" s="27" t="s">
        <v>800</v>
      </c>
      <c r="G137" s="27">
        <f>SANDBOX!$L$106</f>
        <v>0</v>
      </c>
      <c r="J137" s="27" t="s">
        <v>128</v>
      </c>
      <c r="Q137" s="61"/>
    </row>
    <row r="138" spans="2:17" s="27" customFormat="1" ht="11.25" hidden="1" x14ac:dyDescent="0.2">
      <c r="D138" s="65"/>
      <c r="E138" s="66"/>
      <c r="F138" s="66"/>
      <c r="G138" s="66"/>
      <c r="H138" s="66"/>
      <c r="I138" s="66"/>
      <c r="J138" s="66"/>
      <c r="K138" s="66"/>
      <c r="L138" s="66"/>
      <c r="M138" s="66"/>
      <c r="N138" s="66"/>
      <c r="O138" s="66"/>
      <c r="P138" s="66"/>
      <c r="Q138" s="67"/>
    </row>
    <row r="139" spans="2:17" s="27" customFormat="1" ht="11.25" hidden="1" x14ac:dyDescent="0.2">
      <c r="B139" s="27">
        <v>2</v>
      </c>
      <c r="D139" s="62" t="s">
        <v>320</v>
      </c>
      <c r="E139" s="63"/>
      <c r="F139" s="63"/>
      <c r="G139" s="63"/>
      <c r="H139" s="63"/>
      <c r="I139" s="63"/>
      <c r="J139" s="63"/>
      <c r="K139" s="63"/>
      <c r="L139" s="63"/>
      <c r="M139" s="63"/>
      <c r="N139" s="63"/>
      <c r="O139" s="63"/>
      <c r="P139" s="63"/>
      <c r="Q139" s="64"/>
    </row>
    <row r="140" spans="2:17" s="27" customFormat="1" ht="11.25" hidden="1" x14ac:dyDescent="0.2">
      <c r="D140" s="60"/>
      <c r="Q140" s="61"/>
    </row>
    <row r="141" spans="2:17" s="27" customFormat="1" ht="11.25" hidden="1" x14ac:dyDescent="0.2">
      <c r="D141" s="60"/>
      <c r="E141" s="295" t="s">
        <v>1094</v>
      </c>
      <c r="F141" s="295"/>
      <c r="G141" s="295"/>
      <c r="H141" s="295"/>
      <c r="I141" s="295"/>
      <c r="J141" s="295"/>
      <c r="N141" s="27">
        <f>'1'!I20</f>
        <v>0</v>
      </c>
      <c r="O141" s="27" t="str">
        <f>'1'!J20</f>
        <v>Enero</v>
      </c>
      <c r="P141" s="27" t="str">
        <f>IF(O141=0,F142,O141)</f>
        <v>Enero</v>
      </c>
      <c r="Q141" s="61"/>
    </row>
    <row r="142" spans="2:17" s="27" customFormat="1" ht="11.25" hidden="1" x14ac:dyDescent="0.2">
      <c r="D142" s="60" t="str">
        <f t="shared" ref="D142:L142" si="24">D105</f>
        <v>Mes</v>
      </c>
      <c r="F142" s="27" t="str">
        <f t="shared" si="24"/>
        <v>Enero</v>
      </c>
      <c r="G142" s="27" t="str">
        <f t="shared" si="24"/>
        <v>Febrero</v>
      </c>
      <c r="H142" s="27" t="str">
        <f t="shared" si="24"/>
        <v>Marzo</v>
      </c>
      <c r="I142" s="27" t="str">
        <f t="shared" si="24"/>
        <v>Abril</v>
      </c>
      <c r="J142" s="27" t="str">
        <f t="shared" si="24"/>
        <v xml:space="preserve">Mayo </v>
      </c>
      <c r="K142" s="27" t="str">
        <f t="shared" si="24"/>
        <v>Junio</v>
      </c>
      <c r="L142" s="27" t="str">
        <f t="shared" si="24"/>
        <v>Total</v>
      </c>
      <c r="Q142" s="61"/>
    </row>
    <row r="143" spans="2:17" s="27" customFormat="1" ht="11.25" hidden="1" x14ac:dyDescent="0.2">
      <c r="D143" s="60" t="s">
        <v>36</v>
      </c>
      <c r="F143" s="27">
        <f t="shared" ref="F143:K143" si="25">IF($P$141=F142,$N$141,0)</f>
        <v>0</v>
      </c>
      <c r="G143" s="27">
        <f t="shared" si="25"/>
        <v>0</v>
      </c>
      <c r="H143" s="27">
        <f t="shared" si="25"/>
        <v>0</v>
      </c>
      <c r="I143" s="27">
        <f t="shared" si="25"/>
        <v>0</v>
      </c>
      <c r="J143" s="27">
        <f t="shared" si="25"/>
        <v>0</v>
      </c>
      <c r="K143" s="27">
        <f t="shared" si="25"/>
        <v>0</v>
      </c>
      <c r="L143" s="27">
        <f>SUM(E143:K143)</f>
        <v>0</v>
      </c>
      <c r="Q143" s="61"/>
    </row>
    <row r="144" spans="2:17" s="27" customFormat="1" ht="11.25" hidden="1" x14ac:dyDescent="0.2">
      <c r="D144" s="60"/>
      <c r="L144" s="27">
        <f>SUM(E144:K144)</f>
        <v>0</v>
      </c>
      <c r="Q144" s="61"/>
    </row>
    <row r="145" spans="2:17" s="27" customFormat="1" ht="11.25" hidden="1" x14ac:dyDescent="0.2">
      <c r="D145" s="65"/>
      <c r="E145" s="66"/>
      <c r="F145" s="66"/>
      <c r="G145" s="66"/>
      <c r="H145" s="66"/>
      <c r="I145" s="66"/>
      <c r="J145" s="66"/>
      <c r="K145" s="66"/>
      <c r="L145" s="66"/>
      <c r="M145" s="66"/>
      <c r="N145" s="66"/>
      <c r="O145" s="66"/>
      <c r="P145" s="66"/>
      <c r="Q145" s="67"/>
    </row>
    <row r="146" spans="2:17" s="27" customFormat="1" ht="11.25" hidden="1" x14ac:dyDescent="0.2">
      <c r="B146" s="27">
        <v>3</v>
      </c>
      <c r="D146" s="62" t="s">
        <v>1135</v>
      </c>
      <c r="E146" s="63"/>
      <c r="F146" s="63"/>
      <c r="G146" s="63"/>
      <c r="H146" s="63"/>
      <c r="I146" s="63"/>
      <c r="J146" s="63"/>
      <c r="K146" s="63"/>
      <c r="L146" s="63"/>
      <c r="M146" s="63"/>
      <c r="N146" s="63"/>
      <c r="O146" s="63"/>
      <c r="P146" s="63"/>
      <c r="Q146" s="64"/>
    </row>
    <row r="147" spans="2:17" s="27" customFormat="1" ht="11.25" hidden="1" x14ac:dyDescent="0.2">
      <c r="D147" s="60"/>
      <c r="Q147" s="61"/>
    </row>
    <row r="148" spans="2:17" s="27" customFormat="1" ht="11.25" hidden="1" x14ac:dyDescent="0.2">
      <c r="D148" s="60" t="s">
        <v>193</v>
      </c>
      <c r="I148" s="62" t="s">
        <v>173</v>
      </c>
      <c r="J148" s="63"/>
      <c r="K148" s="64"/>
      <c r="N148" s="62" t="s">
        <v>1578</v>
      </c>
      <c r="O148" s="63"/>
      <c r="P148" s="63"/>
      <c r="Q148" s="64" t="s">
        <v>305</v>
      </c>
    </row>
    <row r="149" spans="2:17" s="27" customFormat="1" ht="11.25" hidden="1" x14ac:dyDescent="0.2">
      <c r="D149" s="60" t="s">
        <v>262</v>
      </c>
      <c r="F149" s="27" t="s">
        <v>264</v>
      </c>
      <c r="G149" s="27" t="s">
        <v>263</v>
      </c>
      <c r="I149" s="60" t="s">
        <v>22</v>
      </c>
      <c r="J149" s="27" t="s">
        <v>1324</v>
      </c>
      <c r="K149" s="61" t="s">
        <v>1556</v>
      </c>
      <c r="N149" s="60" t="s">
        <v>640</v>
      </c>
      <c r="O149" s="27" t="s">
        <v>271</v>
      </c>
      <c r="P149" s="27" t="s">
        <v>1325</v>
      </c>
      <c r="Q149" s="61" t="s">
        <v>486</v>
      </c>
    </row>
    <row r="150" spans="2:17" s="27" customFormat="1" ht="11.25" hidden="1" x14ac:dyDescent="0.2">
      <c r="D150" s="65" t="str">
        <f>D!$O$24</f>
        <v>Terrenos, construcciones y edificaciones</v>
      </c>
      <c r="E150" s="66"/>
      <c r="F150" s="66">
        <f>SUM(F151:F156)</f>
        <v>0</v>
      </c>
      <c r="G150" s="66"/>
      <c r="H150" s="66"/>
      <c r="I150" s="65" t="str">
        <f>+D150</f>
        <v>Terrenos, construcciones y edificaciones</v>
      </c>
      <c r="J150" s="66"/>
      <c r="K150" s="67"/>
      <c r="L150" s="66"/>
      <c r="M150" s="66"/>
      <c r="N150" s="65" t="str">
        <f>+I150</f>
        <v>Terrenos, construcciones y edificaciones</v>
      </c>
      <c r="O150" s="66"/>
      <c r="P150" s="66"/>
      <c r="Q150" s="67"/>
    </row>
    <row r="151" spans="2:17" s="27" customFormat="1" ht="11.25" hidden="1" x14ac:dyDescent="0.2">
      <c r="D151" s="60">
        <f>'1'!G169</f>
        <v>0</v>
      </c>
      <c r="F151" s="27">
        <f>'1'!I169</f>
        <v>0</v>
      </c>
      <c r="G151" s="27" t="s">
        <v>962</v>
      </c>
      <c r="I151" s="60">
        <f>'1'!J169</f>
        <v>0</v>
      </c>
      <c r="J151" s="27">
        <v>1</v>
      </c>
      <c r="K151" s="61" t="s">
        <v>564</v>
      </c>
      <c r="N151" s="60"/>
      <c r="Q151" s="61"/>
    </row>
    <row r="152" spans="2:17" s="27" customFormat="1" ht="11.25" hidden="1" x14ac:dyDescent="0.2">
      <c r="D152" s="60">
        <f>'1'!G170</f>
        <v>0</v>
      </c>
      <c r="F152" s="27">
        <f>'1'!I170</f>
        <v>0</v>
      </c>
      <c r="G152" s="27" t="s">
        <v>962</v>
      </c>
      <c r="I152" s="60">
        <f>'1'!J170</f>
        <v>0</v>
      </c>
      <c r="J152" s="27">
        <v>1</v>
      </c>
      <c r="K152" s="61" t="s">
        <v>564</v>
      </c>
      <c r="N152" s="60"/>
      <c r="Q152" s="61"/>
    </row>
    <row r="153" spans="2:17" s="27" customFormat="1" ht="11.25" hidden="1" x14ac:dyDescent="0.2">
      <c r="D153" s="60">
        <f>'1'!G171</f>
        <v>0</v>
      </c>
      <c r="F153" s="27">
        <f>'1'!I171</f>
        <v>0</v>
      </c>
      <c r="G153" s="27" t="s">
        <v>962</v>
      </c>
      <c r="I153" s="60">
        <f>'1'!J171</f>
        <v>0</v>
      </c>
      <c r="J153" s="27">
        <v>1</v>
      </c>
      <c r="K153" s="61" t="s">
        <v>564</v>
      </c>
      <c r="N153" s="60"/>
      <c r="Q153" s="61"/>
    </row>
    <row r="154" spans="2:17" s="27" customFormat="1" ht="11.25" hidden="1" x14ac:dyDescent="0.2">
      <c r="D154" s="60">
        <f>'1'!G172</f>
        <v>0</v>
      </c>
      <c r="F154" s="27">
        <f>'1'!I172</f>
        <v>0</v>
      </c>
      <c r="G154" s="27" t="s">
        <v>962</v>
      </c>
      <c r="I154" s="60">
        <f>'1'!J172</f>
        <v>0</v>
      </c>
      <c r="J154" s="27">
        <v>1</v>
      </c>
      <c r="K154" s="61" t="s">
        <v>564</v>
      </c>
      <c r="N154" s="60"/>
      <c r="Q154" s="61"/>
    </row>
    <row r="155" spans="2:17" s="27" customFormat="1" ht="11.25" hidden="1" x14ac:dyDescent="0.2">
      <c r="D155" s="60">
        <f>'1'!G173</f>
        <v>0</v>
      </c>
      <c r="F155" s="27">
        <f>'1'!I173</f>
        <v>0</v>
      </c>
      <c r="G155" s="27" t="s">
        <v>962</v>
      </c>
      <c r="I155" s="60">
        <f>'1'!J173</f>
        <v>0</v>
      </c>
      <c r="J155" s="27">
        <v>1</v>
      </c>
      <c r="K155" s="61" t="s">
        <v>564</v>
      </c>
      <c r="N155" s="60"/>
      <c r="Q155" s="61"/>
    </row>
    <row r="156" spans="2:17" s="27" customFormat="1" ht="11.25" hidden="1" x14ac:dyDescent="0.2">
      <c r="D156" s="60">
        <f>'1'!G174</f>
        <v>0</v>
      </c>
      <c r="F156" s="27">
        <f>'1'!I174</f>
        <v>0</v>
      </c>
      <c r="G156" s="27" t="s">
        <v>962</v>
      </c>
      <c r="I156" s="60">
        <f>'1'!J174</f>
        <v>0</v>
      </c>
      <c r="J156" s="27">
        <v>1</v>
      </c>
      <c r="K156" s="61" t="s">
        <v>564</v>
      </c>
      <c r="N156" s="60"/>
      <c r="Q156" s="61"/>
    </row>
    <row r="157" spans="2:17" s="27" customFormat="1" ht="11.25" hidden="1" x14ac:dyDescent="0.2">
      <c r="D157" s="65" t="str">
        <f>D!$O$25</f>
        <v>Otras instalaciones</v>
      </c>
      <c r="E157" s="66"/>
      <c r="F157" s="66">
        <f>SUM(F158:F163)</f>
        <v>0</v>
      </c>
      <c r="G157" s="66" t="s">
        <v>962</v>
      </c>
      <c r="H157" s="66"/>
      <c r="I157" s="65" t="str">
        <f>+D157</f>
        <v>Otras instalaciones</v>
      </c>
      <c r="J157" s="66"/>
      <c r="K157" s="67"/>
      <c r="L157" s="66"/>
      <c r="M157" s="66"/>
      <c r="N157" s="65" t="str">
        <f>+I157</f>
        <v>Otras instalaciones</v>
      </c>
      <c r="O157" s="66"/>
      <c r="P157" s="66"/>
      <c r="Q157" s="67"/>
    </row>
    <row r="158" spans="2:17" s="27" customFormat="1" ht="11.25" hidden="1" x14ac:dyDescent="0.2">
      <c r="D158" s="60">
        <f>'1'!G176</f>
        <v>0</v>
      </c>
      <c r="F158" s="27">
        <f>'1'!I176</f>
        <v>0</v>
      </c>
      <c r="G158" s="27" t="s">
        <v>962</v>
      </c>
      <c r="I158" s="60">
        <f>'1'!J176</f>
        <v>0</v>
      </c>
      <c r="J158" s="27">
        <v>1</v>
      </c>
      <c r="K158" s="61" t="s">
        <v>564</v>
      </c>
      <c r="N158" s="60"/>
      <c r="Q158" s="61"/>
    </row>
    <row r="159" spans="2:17" s="27" customFormat="1" ht="11.25" hidden="1" x14ac:dyDescent="0.2">
      <c r="D159" s="60">
        <f>'1'!G177</f>
        <v>0</v>
      </c>
      <c r="F159" s="27">
        <f>'1'!I177</f>
        <v>0</v>
      </c>
      <c r="G159" s="27" t="s">
        <v>962</v>
      </c>
      <c r="I159" s="60">
        <f>'1'!J177</f>
        <v>0</v>
      </c>
      <c r="J159" s="27">
        <v>1</v>
      </c>
      <c r="K159" s="61" t="s">
        <v>564</v>
      </c>
      <c r="N159" s="60"/>
      <c r="Q159" s="61"/>
    </row>
    <row r="160" spans="2:17" s="27" customFormat="1" ht="11.25" hidden="1" x14ac:dyDescent="0.2">
      <c r="D160" s="60">
        <f>'1'!G178</f>
        <v>0</v>
      </c>
      <c r="F160" s="27">
        <f>'1'!I178</f>
        <v>0</v>
      </c>
      <c r="G160" s="27" t="s">
        <v>962</v>
      </c>
      <c r="I160" s="60">
        <f>'1'!J178</f>
        <v>0</v>
      </c>
      <c r="J160" s="27">
        <v>1</v>
      </c>
      <c r="K160" s="61" t="s">
        <v>564</v>
      </c>
      <c r="N160" s="60"/>
      <c r="Q160" s="61"/>
    </row>
    <row r="161" spans="4:17" s="27" customFormat="1" ht="11.25" hidden="1" x14ac:dyDescent="0.2">
      <c r="D161" s="60">
        <f>'1'!G179</f>
        <v>0</v>
      </c>
      <c r="F161" s="27">
        <f>'1'!I179</f>
        <v>0</v>
      </c>
      <c r="G161" s="27" t="s">
        <v>962</v>
      </c>
      <c r="I161" s="60">
        <f>'1'!J179</f>
        <v>0</v>
      </c>
      <c r="J161" s="27">
        <v>1</v>
      </c>
      <c r="K161" s="61" t="s">
        <v>564</v>
      </c>
      <c r="N161" s="60"/>
      <c r="Q161" s="61"/>
    </row>
    <row r="162" spans="4:17" s="27" customFormat="1" ht="11.25" hidden="1" x14ac:dyDescent="0.2">
      <c r="D162" s="60">
        <f>'1'!G180</f>
        <v>0</v>
      </c>
      <c r="F162" s="27">
        <f>'1'!I180</f>
        <v>0</v>
      </c>
      <c r="G162" s="27" t="s">
        <v>962</v>
      </c>
      <c r="I162" s="60">
        <f>'1'!J180</f>
        <v>0</v>
      </c>
      <c r="J162" s="27">
        <v>1</v>
      </c>
      <c r="K162" s="61" t="s">
        <v>564</v>
      </c>
      <c r="N162" s="60"/>
      <c r="Q162" s="61"/>
    </row>
    <row r="163" spans="4:17" s="27" customFormat="1" ht="11.25" hidden="1" x14ac:dyDescent="0.2">
      <c r="D163" s="60">
        <f>'1'!G181</f>
        <v>0</v>
      </c>
      <c r="F163" s="27">
        <f>'1'!I181</f>
        <v>0</v>
      </c>
      <c r="G163" s="27" t="s">
        <v>962</v>
      </c>
      <c r="I163" s="60">
        <f>'1'!J181</f>
        <v>0</v>
      </c>
      <c r="J163" s="27">
        <v>1</v>
      </c>
      <c r="K163" s="61" t="s">
        <v>564</v>
      </c>
      <c r="N163" s="60"/>
      <c r="Q163" s="61"/>
    </row>
    <row r="164" spans="4:17" s="27" customFormat="1" ht="11.25" hidden="1" x14ac:dyDescent="0.2">
      <c r="D164" s="65" t="str">
        <f>D!$O$26</f>
        <v>Maquinaria, utillaje y herramientas</v>
      </c>
      <c r="E164" s="66"/>
      <c r="F164" s="66">
        <f>SUM(F165:F170)</f>
        <v>0</v>
      </c>
      <c r="G164" s="66" t="s">
        <v>962</v>
      </c>
      <c r="H164" s="66"/>
      <c r="I164" s="65" t="str">
        <f>+D164</f>
        <v>Maquinaria, utillaje y herramientas</v>
      </c>
      <c r="J164" s="66"/>
      <c r="K164" s="67"/>
      <c r="L164" s="66"/>
      <c r="M164" s="66"/>
      <c r="N164" s="65" t="str">
        <f>+I164</f>
        <v>Maquinaria, utillaje y herramientas</v>
      </c>
      <c r="O164" s="66"/>
      <c r="P164" s="66"/>
      <c r="Q164" s="67"/>
    </row>
    <row r="165" spans="4:17" s="27" customFormat="1" ht="11.25" hidden="1" x14ac:dyDescent="0.2">
      <c r="D165" s="60">
        <f>'1'!G183</f>
        <v>0</v>
      </c>
      <c r="F165" s="27">
        <f>'1'!I183</f>
        <v>0</v>
      </c>
      <c r="G165" s="27" t="s">
        <v>962</v>
      </c>
      <c r="I165" s="60">
        <f>'1'!J183</f>
        <v>0</v>
      </c>
      <c r="J165" s="27">
        <v>1</v>
      </c>
      <c r="K165" s="61" t="s">
        <v>564</v>
      </c>
      <c r="N165" s="60"/>
      <c r="Q165" s="61"/>
    </row>
    <row r="166" spans="4:17" s="27" customFormat="1" ht="11.25" hidden="1" x14ac:dyDescent="0.2">
      <c r="D166" s="60">
        <f>'1'!G184</f>
        <v>0</v>
      </c>
      <c r="F166" s="27">
        <f>'1'!I184</f>
        <v>0</v>
      </c>
      <c r="G166" s="27" t="s">
        <v>962</v>
      </c>
      <c r="I166" s="60">
        <f>'1'!J184</f>
        <v>0</v>
      </c>
      <c r="J166" s="27">
        <v>1</v>
      </c>
      <c r="K166" s="61" t="s">
        <v>564</v>
      </c>
      <c r="N166" s="60"/>
      <c r="Q166" s="61"/>
    </row>
    <row r="167" spans="4:17" s="27" customFormat="1" ht="11.25" hidden="1" x14ac:dyDescent="0.2">
      <c r="D167" s="60">
        <f>'1'!G185</f>
        <v>0</v>
      </c>
      <c r="F167" s="27">
        <f>'1'!I185</f>
        <v>0</v>
      </c>
      <c r="G167" s="27" t="s">
        <v>962</v>
      </c>
      <c r="I167" s="60">
        <f>'1'!J185</f>
        <v>0</v>
      </c>
      <c r="J167" s="27">
        <v>1</v>
      </c>
      <c r="K167" s="61" t="s">
        <v>564</v>
      </c>
      <c r="N167" s="60"/>
      <c r="Q167" s="61"/>
    </row>
    <row r="168" spans="4:17" s="27" customFormat="1" ht="11.25" hidden="1" x14ac:dyDescent="0.2">
      <c r="D168" s="60">
        <f>'1'!G186</f>
        <v>0</v>
      </c>
      <c r="F168" s="27">
        <f>'1'!I186</f>
        <v>0</v>
      </c>
      <c r="G168" s="27" t="s">
        <v>962</v>
      </c>
      <c r="I168" s="60">
        <f>'1'!J186</f>
        <v>0</v>
      </c>
      <c r="J168" s="27">
        <v>1</v>
      </c>
      <c r="K168" s="61" t="s">
        <v>564</v>
      </c>
      <c r="N168" s="60"/>
      <c r="Q168" s="61"/>
    </row>
    <row r="169" spans="4:17" s="27" customFormat="1" ht="11.25" hidden="1" x14ac:dyDescent="0.2">
      <c r="D169" s="60">
        <f>'1'!G187</f>
        <v>0</v>
      </c>
      <c r="F169" s="27">
        <f>'1'!I187</f>
        <v>0</v>
      </c>
      <c r="G169" s="27" t="s">
        <v>962</v>
      </c>
      <c r="I169" s="60">
        <f>'1'!J187</f>
        <v>0</v>
      </c>
      <c r="J169" s="27">
        <v>1</v>
      </c>
      <c r="K169" s="61" t="s">
        <v>564</v>
      </c>
      <c r="N169" s="60"/>
      <c r="Q169" s="61"/>
    </row>
    <row r="170" spans="4:17" s="27" customFormat="1" ht="11.25" hidden="1" x14ac:dyDescent="0.2">
      <c r="D170" s="60">
        <f>'1'!G188</f>
        <v>0</v>
      </c>
      <c r="F170" s="27">
        <f>'1'!I188</f>
        <v>0</v>
      </c>
      <c r="G170" s="27" t="s">
        <v>962</v>
      </c>
      <c r="I170" s="60">
        <f>'1'!J188</f>
        <v>0</v>
      </c>
      <c r="J170" s="27">
        <v>1</v>
      </c>
      <c r="K170" s="61" t="s">
        <v>564</v>
      </c>
      <c r="N170" s="60"/>
      <c r="Q170" s="61"/>
    </row>
    <row r="171" spans="4:17" s="27" customFormat="1" ht="11.25" hidden="1" x14ac:dyDescent="0.2">
      <c r="D171" s="65" t="str">
        <f>D!$O$27</f>
        <v>Vehículos y elementos de transporte</v>
      </c>
      <c r="E171" s="66"/>
      <c r="F171" s="66">
        <f>SUM(F172:F177)</f>
        <v>0</v>
      </c>
      <c r="G171" s="66" t="s">
        <v>962</v>
      </c>
      <c r="H171" s="66"/>
      <c r="I171" s="65" t="str">
        <f>+D171</f>
        <v>Vehículos y elementos de transporte</v>
      </c>
      <c r="J171" s="66"/>
      <c r="K171" s="67"/>
      <c r="L171" s="66"/>
      <c r="M171" s="66"/>
      <c r="N171" s="65" t="str">
        <f>+I171</f>
        <v>Vehículos y elementos de transporte</v>
      </c>
      <c r="O171" s="66"/>
      <c r="P171" s="66"/>
      <c r="Q171" s="67"/>
    </row>
    <row r="172" spans="4:17" s="27" customFormat="1" ht="11.25" hidden="1" x14ac:dyDescent="0.2">
      <c r="D172" s="60">
        <f>'1'!G190</f>
        <v>0</v>
      </c>
      <c r="F172" s="27">
        <f>'1'!I190</f>
        <v>0</v>
      </c>
      <c r="G172" s="27" t="s">
        <v>962</v>
      </c>
      <c r="I172" s="60">
        <f>'1'!J190</f>
        <v>0</v>
      </c>
      <c r="J172" s="27">
        <v>1</v>
      </c>
      <c r="K172" s="61" t="s">
        <v>564</v>
      </c>
      <c r="N172" s="60"/>
      <c r="Q172" s="61"/>
    </row>
    <row r="173" spans="4:17" s="27" customFormat="1" ht="11.25" hidden="1" x14ac:dyDescent="0.2">
      <c r="D173" s="60">
        <f>'1'!G191</f>
        <v>0</v>
      </c>
      <c r="F173" s="27">
        <f>'1'!I191</f>
        <v>0</v>
      </c>
      <c r="G173" s="27" t="s">
        <v>962</v>
      </c>
      <c r="I173" s="60">
        <f>'1'!J191</f>
        <v>0</v>
      </c>
      <c r="J173" s="27">
        <v>1</v>
      </c>
      <c r="K173" s="61" t="s">
        <v>564</v>
      </c>
      <c r="N173" s="60"/>
      <c r="Q173" s="61"/>
    </row>
    <row r="174" spans="4:17" s="27" customFormat="1" ht="11.25" hidden="1" x14ac:dyDescent="0.2">
      <c r="D174" s="60">
        <f>'1'!G192</f>
        <v>0</v>
      </c>
      <c r="F174" s="27">
        <f>'1'!I192</f>
        <v>0</v>
      </c>
      <c r="G174" s="27" t="s">
        <v>962</v>
      </c>
      <c r="I174" s="60">
        <f>'1'!J192</f>
        <v>0</v>
      </c>
      <c r="J174" s="27">
        <v>1</v>
      </c>
      <c r="K174" s="61" t="s">
        <v>564</v>
      </c>
      <c r="N174" s="60"/>
      <c r="Q174" s="61"/>
    </row>
    <row r="175" spans="4:17" s="27" customFormat="1" ht="11.25" hidden="1" x14ac:dyDescent="0.2">
      <c r="D175" s="60">
        <f>'1'!G193</f>
        <v>0</v>
      </c>
      <c r="F175" s="27">
        <f>'1'!I193</f>
        <v>0</v>
      </c>
      <c r="G175" s="27" t="s">
        <v>962</v>
      </c>
      <c r="I175" s="60">
        <f>'1'!J193</f>
        <v>0</v>
      </c>
      <c r="J175" s="27">
        <v>1</v>
      </c>
      <c r="K175" s="61" t="s">
        <v>564</v>
      </c>
      <c r="N175" s="60"/>
      <c r="Q175" s="61"/>
    </row>
    <row r="176" spans="4:17" s="27" customFormat="1" ht="11.25" hidden="1" x14ac:dyDescent="0.2">
      <c r="D176" s="60">
        <f>'1'!G194</f>
        <v>0</v>
      </c>
      <c r="F176" s="27">
        <f>'1'!I194</f>
        <v>0</v>
      </c>
      <c r="G176" s="27" t="s">
        <v>962</v>
      </c>
      <c r="I176" s="60">
        <f>'1'!J194</f>
        <v>0</v>
      </c>
      <c r="J176" s="27">
        <v>1</v>
      </c>
      <c r="K176" s="61" t="s">
        <v>564</v>
      </c>
      <c r="N176" s="60"/>
      <c r="Q176" s="61"/>
    </row>
    <row r="177" spans="4:17" s="27" customFormat="1" ht="11.25" hidden="1" x14ac:dyDescent="0.2">
      <c r="D177" s="60">
        <f>'1'!G195</f>
        <v>0</v>
      </c>
      <c r="F177" s="27">
        <f>'1'!I195</f>
        <v>0</v>
      </c>
      <c r="G177" s="27" t="s">
        <v>962</v>
      </c>
      <c r="I177" s="60">
        <f>'1'!J195</f>
        <v>0</v>
      </c>
      <c r="J177" s="27">
        <v>1</v>
      </c>
      <c r="K177" s="61" t="s">
        <v>564</v>
      </c>
      <c r="N177" s="60"/>
      <c r="Q177" s="61"/>
    </row>
    <row r="178" spans="4:17" s="27" customFormat="1" ht="11.25" hidden="1" x14ac:dyDescent="0.2">
      <c r="D178" s="65" t="str">
        <f>D!$O$28</f>
        <v>Mobiliario y equipos oficina</v>
      </c>
      <c r="E178" s="66"/>
      <c r="F178" s="66">
        <f>SUM(F179:F184)</f>
        <v>0</v>
      </c>
      <c r="G178" s="66" t="s">
        <v>962</v>
      </c>
      <c r="H178" s="66"/>
      <c r="I178" s="65" t="str">
        <f>+D178</f>
        <v>Mobiliario y equipos oficina</v>
      </c>
      <c r="J178" s="66"/>
      <c r="K178" s="67"/>
      <c r="L178" s="66"/>
      <c r="M178" s="66"/>
      <c r="N178" s="65" t="str">
        <f>+I178</f>
        <v>Mobiliario y equipos oficina</v>
      </c>
      <c r="O178" s="66"/>
      <c r="P178" s="66"/>
      <c r="Q178" s="67"/>
    </row>
    <row r="179" spans="4:17" s="27" customFormat="1" ht="11.25" hidden="1" x14ac:dyDescent="0.2">
      <c r="D179" s="60">
        <f>'1'!G197</f>
        <v>0</v>
      </c>
      <c r="F179" s="27">
        <f>'1'!I197</f>
        <v>0</v>
      </c>
      <c r="G179" s="27" t="s">
        <v>962</v>
      </c>
      <c r="I179" s="60">
        <f>'1'!J197</f>
        <v>0</v>
      </c>
      <c r="J179" s="27">
        <v>1</v>
      </c>
      <c r="K179" s="61" t="s">
        <v>564</v>
      </c>
      <c r="N179" s="60"/>
      <c r="Q179" s="61"/>
    </row>
    <row r="180" spans="4:17" s="27" customFormat="1" ht="11.25" hidden="1" x14ac:dyDescent="0.2">
      <c r="D180" s="60">
        <f>'1'!G198</f>
        <v>0</v>
      </c>
      <c r="F180" s="27">
        <f>'1'!I198</f>
        <v>0</v>
      </c>
      <c r="G180" s="27" t="s">
        <v>962</v>
      </c>
      <c r="I180" s="60">
        <f>'1'!J198</f>
        <v>0</v>
      </c>
      <c r="J180" s="27">
        <v>1</v>
      </c>
      <c r="K180" s="61" t="s">
        <v>564</v>
      </c>
      <c r="N180" s="60"/>
      <c r="Q180" s="61"/>
    </row>
    <row r="181" spans="4:17" s="27" customFormat="1" ht="11.25" hidden="1" x14ac:dyDescent="0.2">
      <c r="D181" s="60">
        <f>'1'!G199</f>
        <v>0</v>
      </c>
      <c r="F181" s="27">
        <f>'1'!I199</f>
        <v>0</v>
      </c>
      <c r="G181" s="27" t="s">
        <v>962</v>
      </c>
      <c r="I181" s="60">
        <f>'1'!J199</f>
        <v>0</v>
      </c>
      <c r="J181" s="27">
        <v>1</v>
      </c>
      <c r="K181" s="61" t="s">
        <v>564</v>
      </c>
      <c r="N181" s="60"/>
      <c r="Q181" s="61"/>
    </row>
    <row r="182" spans="4:17" s="27" customFormat="1" ht="11.25" hidden="1" x14ac:dyDescent="0.2">
      <c r="D182" s="60">
        <f>'1'!G200</f>
        <v>0</v>
      </c>
      <c r="F182" s="27">
        <f>'1'!I200</f>
        <v>0</v>
      </c>
      <c r="G182" s="27" t="s">
        <v>962</v>
      </c>
      <c r="I182" s="60">
        <f>'1'!J200</f>
        <v>0</v>
      </c>
      <c r="J182" s="27">
        <v>1</v>
      </c>
      <c r="K182" s="61" t="s">
        <v>564</v>
      </c>
      <c r="N182" s="60"/>
      <c r="Q182" s="61"/>
    </row>
    <row r="183" spans="4:17" s="27" customFormat="1" ht="11.25" hidden="1" x14ac:dyDescent="0.2">
      <c r="D183" s="60">
        <f>'1'!G201</f>
        <v>0</v>
      </c>
      <c r="F183" s="27">
        <f>'1'!I201</f>
        <v>0</v>
      </c>
      <c r="G183" s="27" t="s">
        <v>962</v>
      </c>
      <c r="I183" s="60">
        <f>'1'!J201</f>
        <v>0</v>
      </c>
      <c r="J183" s="27">
        <v>1</v>
      </c>
      <c r="K183" s="61" t="s">
        <v>564</v>
      </c>
      <c r="N183" s="60"/>
      <c r="Q183" s="61"/>
    </row>
    <row r="184" spans="4:17" s="27" customFormat="1" ht="11.25" hidden="1" x14ac:dyDescent="0.2">
      <c r="D184" s="60">
        <f>'1'!G202</f>
        <v>0</v>
      </c>
      <c r="F184" s="27">
        <f>'1'!I202</f>
        <v>0</v>
      </c>
      <c r="G184" s="27" t="s">
        <v>962</v>
      </c>
      <c r="I184" s="60">
        <f>'1'!J202</f>
        <v>0</v>
      </c>
      <c r="J184" s="27">
        <v>1</v>
      </c>
      <c r="K184" s="61" t="s">
        <v>564</v>
      </c>
      <c r="N184" s="60"/>
      <c r="Q184" s="61"/>
    </row>
    <row r="185" spans="4:17" s="27" customFormat="1" ht="11.25" hidden="1" x14ac:dyDescent="0.2">
      <c r="D185" s="65" t="str">
        <f>D!$O$29</f>
        <v>Equipos informáticos</v>
      </c>
      <c r="E185" s="66"/>
      <c r="F185" s="66">
        <f>SUM(F186:F191)</f>
        <v>0</v>
      </c>
      <c r="G185" s="66" t="s">
        <v>962</v>
      </c>
      <c r="H185" s="66"/>
      <c r="I185" s="65" t="str">
        <f>+D185</f>
        <v>Equipos informáticos</v>
      </c>
      <c r="J185" s="66"/>
      <c r="K185" s="67"/>
      <c r="L185" s="66"/>
      <c r="M185" s="66"/>
      <c r="N185" s="65" t="str">
        <f>+I185</f>
        <v>Equipos informáticos</v>
      </c>
      <c r="O185" s="66"/>
      <c r="P185" s="66"/>
      <c r="Q185" s="67"/>
    </row>
    <row r="186" spans="4:17" s="27" customFormat="1" ht="11.25" hidden="1" x14ac:dyDescent="0.2">
      <c r="D186" s="60">
        <f>'1'!G204</f>
        <v>0</v>
      </c>
      <c r="F186" s="27">
        <f>'1'!I204</f>
        <v>0</v>
      </c>
      <c r="G186" s="27" t="s">
        <v>962</v>
      </c>
      <c r="I186" s="60">
        <f>'1'!J204</f>
        <v>0</v>
      </c>
      <c r="J186" s="27">
        <v>1</v>
      </c>
      <c r="K186" s="61" t="s">
        <v>564</v>
      </c>
      <c r="N186" s="60"/>
      <c r="Q186" s="61"/>
    </row>
    <row r="187" spans="4:17" s="27" customFormat="1" ht="11.25" hidden="1" x14ac:dyDescent="0.2">
      <c r="D187" s="60">
        <f>'1'!G205</f>
        <v>0</v>
      </c>
      <c r="F187" s="27">
        <f>'1'!I205</f>
        <v>0</v>
      </c>
      <c r="G187" s="27" t="s">
        <v>962</v>
      </c>
      <c r="I187" s="60">
        <f>'1'!J205</f>
        <v>0</v>
      </c>
      <c r="J187" s="27">
        <v>1</v>
      </c>
      <c r="K187" s="61" t="s">
        <v>564</v>
      </c>
      <c r="N187" s="60"/>
      <c r="Q187" s="61"/>
    </row>
    <row r="188" spans="4:17" s="27" customFormat="1" ht="11.25" hidden="1" x14ac:dyDescent="0.2">
      <c r="D188" s="60">
        <f>'1'!G206</f>
        <v>0</v>
      </c>
      <c r="F188" s="27">
        <f>'1'!I206</f>
        <v>0</v>
      </c>
      <c r="G188" s="27" t="s">
        <v>962</v>
      </c>
      <c r="I188" s="60">
        <f>'1'!J206</f>
        <v>0</v>
      </c>
      <c r="J188" s="27">
        <v>1</v>
      </c>
      <c r="K188" s="61" t="s">
        <v>564</v>
      </c>
      <c r="N188" s="60"/>
      <c r="Q188" s="61"/>
    </row>
    <row r="189" spans="4:17" s="27" customFormat="1" ht="11.25" hidden="1" x14ac:dyDescent="0.2">
      <c r="D189" s="60">
        <f>'1'!G207</f>
        <v>0</v>
      </c>
      <c r="F189" s="27">
        <f>'1'!I207</f>
        <v>0</v>
      </c>
      <c r="G189" s="27" t="s">
        <v>962</v>
      </c>
      <c r="I189" s="60">
        <f>'1'!J207</f>
        <v>0</v>
      </c>
      <c r="J189" s="27">
        <v>1</v>
      </c>
      <c r="K189" s="61" t="s">
        <v>564</v>
      </c>
      <c r="N189" s="60"/>
      <c r="Q189" s="61"/>
    </row>
    <row r="190" spans="4:17" s="27" customFormat="1" ht="11.25" hidden="1" x14ac:dyDescent="0.2">
      <c r="D190" s="60">
        <f>'1'!G208</f>
        <v>0</v>
      </c>
      <c r="F190" s="27">
        <f>'1'!I208</f>
        <v>0</v>
      </c>
      <c r="G190" s="27" t="s">
        <v>962</v>
      </c>
      <c r="I190" s="60">
        <f>'1'!J208</f>
        <v>0</v>
      </c>
      <c r="J190" s="27">
        <v>1</v>
      </c>
      <c r="K190" s="61" t="s">
        <v>564</v>
      </c>
      <c r="N190" s="60"/>
      <c r="Q190" s="61"/>
    </row>
    <row r="191" spans="4:17" s="27" customFormat="1" ht="11.25" hidden="1" x14ac:dyDescent="0.2">
      <c r="D191" s="60">
        <f>'1'!G209</f>
        <v>0</v>
      </c>
      <c r="F191" s="27">
        <f>'1'!I209</f>
        <v>0</v>
      </c>
      <c r="G191" s="27" t="s">
        <v>962</v>
      </c>
      <c r="I191" s="60">
        <f>'1'!J209</f>
        <v>0</v>
      </c>
      <c r="J191" s="27">
        <v>1</v>
      </c>
      <c r="K191" s="61" t="s">
        <v>564</v>
      </c>
      <c r="N191" s="60"/>
      <c r="Q191" s="61"/>
    </row>
    <row r="192" spans="4:17" s="27" customFormat="1" ht="11.25" hidden="1" x14ac:dyDescent="0.2">
      <c r="D192" s="65" t="str">
        <f>D!$O$30</f>
        <v>Activos intangibles amortizables</v>
      </c>
      <c r="E192" s="66"/>
      <c r="F192" s="66">
        <f>SUM(F193:F198)</f>
        <v>0</v>
      </c>
      <c r="G192" s="66" t="s">
        <v>962</v>
      </c>
      <c r="H192" s="66"/>
      <c r="I192" s="65" t="str">
        <f>+D192</f>
        <v>Activos intangibles amortizables</v>
      </c>
      <c r="J192" s="66"/>
      <c r="K192" s="67"/>
      <c r="L192" s="66"/>
      <c r="M192" s="66"/>
      <c r="N192" s="65" t="str">
        <f>+I192</f>
        <v>Activos intangibles amortizables</v>
      </c>
      <c r="O192" s="66"/>
      <c r="P192" s="66"/>
      <c r="Q192" s="67"/>
    </row>
    <row r="193" spans="2:20" s="27" customFormat="1" ht="11.25" hidden="1" x14ac:dyDescent="0.2">
      <c r="D193" s="60" t="str">
        <f>'1'!E13</f>
        <v>Página web</v>
      </c>
      <c r="F193" s="27">
        <f>'1'!I13</f>
        <v>0</v>
      </c>
      <c r="G193" s="27" t="s">
        <v>962</v>
      </c>
      <c r="I193" s="60" t="str">
        <f>'1'!J13</f>
        <v>Enero</v>
      </c>
      <c r="J193" s="27">
        <v>1</v>
      </c>
      <c r="K193" s="61" t="s">
        <v>564</v>
      </c>
      <c r="N193" s="60"/>
      <c r="Q193" s="61"/>
    </row>
    <row r="194" spans="2:20" s="27" customFormat="1" ht="11.25" hidden="1" x14ac:dyDescent="0.2">
      <c r="D194" s="60" t="str">
        <f>'1'!E14</f>
        <v>Software standard</v>
      </c>
      <c r="F194" s="27">
        <f>'1'!I14</f>
        <v>0</v>
      </c>
      <c r="G194" s="27" t="s">
        <v>962</v>
      </c>
      <c r="I194" s="60" t="str">
        <f>'1'!J14</f>
        <v>Enero</v>
      </c>
      <c r="J194" s="27">
        <v>1</v>
      </c>
      <c r="K194" s="61" t="s">
        <v>564</v>
      </c>
      <c r="N194" s="60"/>
      <c r="Q194" s="61"/>
    </row>
    <row r="195" spans="2:20" s="27" customFormat="1" ht="11.25" hidden="1" x14ac:dyDescent="0.2">
      <c r="D195" s="60" t="str">
        <f>'1'!E15</f>
        <v>Traspaso</v>
      </c>
      <c r="F195" s="27">
        <f>'1'!I15</f>
        <v>0</v>
      </c>
      <c r="G195" s="27" t="s">
        <v>962</v>
      </c>
      <c r="I195" s="60" t="str">
        <f>'1'!J15</f>
        <v>Enero</v>
      </c>
      <c r="J195" s="27">
        <v>1</v>
      </c>
      <c r="K195" s="61" t="s">
        <v>564</v>
      </c>
      <c r="N195" s="60"/>
      <c r="Q195" s="61"/>
    </row>
    <row r="196" spans="2:20" s="27" customFormat="1" ht="11.25" hidden="1" x14ac:dyDescent="0.2">
      <c r="D196" s="60" t="str">
        <f>'1'!E16</f>
        <v>Patentes y marca</v>
      </c>
      <c r="F196" s="27">
        <f>'1'!I16</f>
        <v>0</v>
      </c>
      <c r="G196" s="27" t="s">
        <v>962</v>
      </c>
      <c r="I196" s="60" t="str">
        <f>'1'!J16</f>
        <v>Enero</v>
      </c>
      <c r="J196" s="27">
        <v>1</v>
      </c>
      <c r="K196" s="61" t="s">
        <v>564</v>
      </c>
      <c r="N196" s="60"/>
      <c r="Q196" s="61"/>
    </row>
    <row r="197" spans="2:20" s="27" customFormat="1" ht="11.25" hidden="1" x14ac:dyDescent="0.2">
      <c r="D197" s="60" t="str">
        <f>'1'!E17</f>
        <v>Otros activos intangibles</v>
      </c>
      <c r="F197" s="27">
        <f>'1'!I17</f>
        <v>0</v>
      </c>
      <c r="G197" s="27" t="s">
        <v>962</v>
      </c>
      <c r="I197" s="60" t="str">
        <f>'1'!J17</f>
        <v>Enero</v>
      </c>
      <c r="J197" s="27">
        <v>1</v>
      </c>
      <c r="K197" s="61" t="s">
        <v>564</v>
      </c>
      <c r="N197" s="60"/>
      <c r="Q197" s="61"/>
    </row>
    <row r="198" spans="2:20" s="27" customFormat="1" ht="11.25" hidden="1" x14ac:dyDescent="0.2">
      <c r="D198" s="60" t="str">
        <f>'1'!E18</f>
        <v>Activos intangibles 2</v>
      </c>
      <c r="F198" s="27">
        <f>'1'!I18</f>
        <v>0</v>
      </c>
      <c r="G198" s="27" t="s">
        <v>962</v>
      </c>
      <c r="I198" s="60" t="str">
        <f>'1'!J18</f>
        <v>Enero</v>
      </c>
      <c r="J198" s="27">
        <v>1</v>
      </c>
      <c r="K198" s="61" t="s">
        <v>564</v>
      </c>
      <c r="N198" s="60"/>
      <c r="Q198" s="61"/>
    </row>
    <row r="199" spans="2:20" s="27" customFormat="1" ht="11.25" hidden="1" x14ac:dyDescent="0.2">
      <c r="D199" s="60"/>
      <c r="I199" s="60"/>
      <c r="K199" s="61"/>
      <c r="N199" s="60"/>
      <c r="Q199" s="61"/>
    </row>
    <row r="200" spans="2:20" s="27" customFormat="1" ht="11.25" hidden="1" x14ac:dyDescent="0.2">
      <c r="D200" s="60"/>
      <c r="I200" s="60"/>
      <c r="K200" s="61"/>
      <c r="N200" s="60"/>
      <c r="Q200" s="61"/>
    </row>
    <row r="201" spans="2:20" s="27" customFormat="1" ht="11.25" hidden="1" x14ac:dyDescent="0.2">
      <c r="D201" s="60"/>
      <c r="I201" s="65"/>
      <c r="J201" s="66"/>
      <c r="K201" s="67"/>
      <c r="N201" s="65"/>
      <c r="O201" s="66"/>
      <c r="P201" s="66"/>
      <c r="Q201" s="67"/>
    </row>
    <row r="202" spans="2:20" s="27" customFormat="1" ht="11.25" hidden="1" x14ac:dyDescent="0.2">
      <c r="B202" s="27">
        <v>4</v>
      </c>
      <c r="D202" s="62" t="s">
        <v>1582</v>
      </c>
      <c r="E202" s="63"/>
      <c r="F202" s="63"/>
      <c r="G202" s="63"/>
      <c r="H202" s="63"/>
      <c r="I202" s="63"/>
      <c r="J202" s="63"/>
      <c r="K202" s="63"/>
      <c r="L202" s="63"/>
      <c r="M202" s="63"/>
      <c r="N202" s="63"/>
      <c r="O202" s="63"/>
      <c r="P202" s="63"/>
      <c r="Q202" s="64"/>
    </row>
    <row r="203" spans="2:20" s="27" customFormat="1" ht="11.25" hidden="1" x14ac:dyDescent="0.2">
      <c r="D203" s="60"/>
      <c r="Q203" s="61"/>
    </row>
    <row r="204" spans="2:20" s="27" customFormat="1" ht="11.25" hidden="1" x14ac:dyDescent="0.2">
      <c r="D204" s="60"/>
      <c r="I204" s="27" t="s">
        <v>1583</v>
      </c>
      <c r="L204" s="27" t="str">
        <f>IF(Q217='2'!H14,"",IF(Q217&gt;'2'!H14,"ERROR: La suma es SUPERIOR, al capital indicado",IF(Q217=0,"HAY QUE INDICAR EL DESEMBOLSO DE CAPITAL","")))</f>
        <v/>
      </c>
      <c r="N204" s="27">
        <f>'2'!$H$14</f>
        <v>0</v>
      </c>
      <c r="O204" s="27">
        <f>'2'!$I$14</f>
        <v>0</v>
      </c>
      <c r="P204" s="27" t="str">
        <f>IF(O204=0,G206,O204)</f>
        <v>Enero</v>
      </c>
      <c r="Q204" s="61"/>
    </row>
    <row r="205" spans="2:20" s="27" customFormat="1" ht="11.25" hidden="1" x14ac:dyDescent="0.2">
      <c r="D205" s="60"/>
      <c r="Q205" s="61"/>
    </row>
    <row r="206" spans="2:20" s="27" customFormat="1" hidden="1" x14ac:dyDescent="0.2">
      <c r="D206" s="60" t="s">
        <v>1359</v>
      </c>
      <c r="E206" s="27" t="s">
        <v>565</v>
      </c>
      <c r="F206" s="27" t="s">
        <v>1453</v>
      </c>
      <c r="G206" s="27" t="str">
        <f>SANDBOX!F29</f>
        <v>Enero</v>
      </c>
      <c r="H206" s="27" t="str">
        <f>SANDBOX!G29</f>
        <v>Febrero</v>
      </c>
      <c r="I206" s="27" t="str">
        <f>SANDBOX!H29</f>
        <v>Marzo</v>
      </c>
      <c r="J206" s="27" t="str">
        <f>SANDBOX!I29</f>
        <v>Abril</v>
      </c>
      <c r="K206" s="27" t="str">
        <f>SANDBOX!J29</f>
        <v xml:space="preserve">Mayo </v>
      </c>
      <c r="L206" s="27" t="str">
        <f>SANDBOX!K29</f>
        <v>Junio</v>
      </c>
      <c r="M206" s="27" t="str">
        <f>SANDBOX!L29</f>
        <v>Julio</v>
      </c>
      <c r="N206" s="27" t="str">
        <f>SANDBOX!M29</f>
        <v>Agosto</v>
      </c>
      <c r="O206" s="27" t="str">
        <f>SANDBOX!N29</f>
        <v>Septiembre</v>
      </c>
      <c r="P206" s="27" t="str">
        <f>SANDBOX!O29</f>
        <v>Octubre</v>
      </c>
      <c r="Q206" s="61" t="s">
        <v>786</v>
      </c>
    </row>
    <row r="207" spans="2:20" s="27" customFormat="1" ht="11.25" hidden="1" x14ac:dyDescent="0.2">
      <c r="D207" s="60"/>
      <c r="F207" s="27">
        <f>IF('2'!H$14=0,0,'2'!H$14*E207)</f>
        <v>0</v>
      </c>
      <c r="G207" s="27">
        <f t="shared" ref="G207:P207" si="26">IF(G206=$P$204,$N$204,0)</f>
        <v>0</v>
      </c>
      <c r="H207" s="27">
        <f t="shared" si="26"/>
        <v>0</v>
      </c>
      <c r="I207" s="27">
        <f t="shared" si="26"/>
        <v>0</v>
      </c>
      <c r="J207" s="27">
        <f t="shared" si="26"/>
        <v>0</v>
      </c>
      <c r="K207" s="27">
        <f t="shared" si="26"/>
        <v>0</v>
      </c>
      <c r="L207" s="27">
        <f t="shared" si="26"/>
        <v>0</v>
      </c>
      <c r="M207" s="27">
        <f t="shared" si="26"/>
        <v>0</v>
      </c>
      <c r="N207" s="27">
        <f t="shared" si="26"/>
        <v>0</v>
      </c>
      <c r="O207" s="27">
        <f t="shared" si="26"/>
        <v>0</v>
      </c>
      <c r="P207" s="27">
        <f t="shared" si="26"/>
        <v>0</v>
      </c>
      <c r="Q207" s="61">
        <f>SUM(G207:P207)</f>
        <v>0</v>
      </c>
      <c r="T207" s="27" t="str">
        <f>IF(F207=0,"",IF(Q207="","",SB!$K$11))</f>
        <v/>
      </c>
    </row>
    <row r="208" spans="2:20" s="27" customFormat="1" ht="11.25" hidden="1" x14ac:dyDescent="0.2">
      <c r="D208" s="60"/>
      <c r="Q208" s="61"/>
    </row>
    <row r="209" spans="2:17" s="27" customFormat="1" ht="11.25" hidden="1" x14ac:dyDescent="0.2">
      <c r="D209" s="60"/>
      <c r="Q209" s="61"/>
    </row>
    <row r="210" spans="2:17" s="27" customFormat="1" ht="11.25" hidden="1" x14ac:dyDescent="0.2">
      <c r="D210" s="60"/>
      <c r="Q210" s="61"/>
    </row>
    <row r="211" spans="2:17" s="27" customFormat="1" ht="11.25" hidden="1" x14ac:dyDescent="0.2">
      <c r="D211" s="60"/>
      <c r="Q211" s="61"/>
    </row>
    <row r="212" spans="2:17" s="27" customFormat="1" ht="11.25" hidden="1" x14ac:dyDescent="0.2">
      <c r="D212" s="60"/>
      <c r="Q212" s="61"/>
    </row>
    <row r="213" spans="2:17" s="27" customFormat="1" ht="11.25" hidden="1" x14ac:dyDescent="0.2">
      <c r="D213" s="60"/>
      <c r="Q213" s="61"/>
    </row>
    <row r="214" spans="2:17" s="27" customFormat="1" ht="11.25" hidden="1" x14ac:dyDescent="0.2">
      <c r="D214" s="60"/>
      <c r="Q214" s="61"/>
    </row>
    <row r="215" spans="2:17" s="27" customFormat="1" ht="11.25" hidden="1" x14ac:dyDescent="0.2">
      <c r="D215" s="60"/>
      <c r="Q215" s="61"/>
    </row>
    <row r="216" spans="2:17" s="27" customFormat="1" ht="11.25" hidden="1" x14ac:dyDescent="0.2">
      <c r="D216" s="60"/>
      <c r="Q216" s="61"/>
    </row>
    <row r="217" spans="2:17" s="27" customFormat="1" ht="11.25" hidden="1" x14ac:dyDescent="0.2">
      <c r="D217" s="60"/>
      <c r="G217" s="27">
        <f t="shared" ref="G217:Q217" si="27">SUM(G207:G216)</f>
        <v>0</v>
      </c>
      <c r="H217" s="27">
        <f t="shared" si="27"/>
        <v>0</v>
      </c>
      <c r="I217" s="27">
        <f t="shared" si="27"/>
        <v>0</v>
      </c>
      <c r="J217" s="27">
        <f t="shared" si="27"/>
        <v>0</v>
      </c>
      <c r="K217" s="27">
        <f t="shared" si="27"/>
        <v>0</v>
      </c>
      <c r="L217" s="27">
        <f t="shared" si="27"/>
        <v>0</v>
      </c>
      <c r="M217" s="27">
        <f t="shared" si="27"/>
        <v>0</v>
      </c>
      <c r="N217" s="27">
        <f t="shared" si="27"/>
        <v>0</v>
      </c>
      <c r="O217" s="27">
        <f t="shared" si="27"/>
        <v>0</v>
      </c>
      <c r="P217" s="27">
        <f t="shared" si="27"/>
        <v>0</v>
      </c>
      <c r="Q217" s="61">
        <f t="shared" si="27"/>
        <v>0</v>
      </c>
    </row>
    <row r="218" spans="2:17" s="27" customFormat="1" ht="11.25" hidden="1" x14ac:dyDescent="0.2">
      <c r="D218" s="62"/>
      <c r="E218" s="63"/>
      <c r="F218" s="63"/>
      <c r="G218" s="63"/>
      <c r="H218" s="63"/>
      <c r="I218" s="63"/>
      <c r="J218" s="63"/>
      <c r="K218" s="63"/>
      <c r="L218" s="63"/>
      <c r="M218" s="63"/>
      <c r="N218" s="63"/>
      <c r="O218" s="63"/>
      <c r="P218" s="63"/>
      <c r="Q218" s="64"/>
    </row>
    <row r="219" spans="2:17" s="27" customFormat="1" ht="11.25" hidden="1" x14ac:dyDescent="0.2">
      <c r="B219" s="27">
        <v>5</v>
      </c>
      <c r="D219" s="60" t="s">
        <v>1588</v>
      </c>
      <c r="Q219" s="61"/>
    </row>
    <row r="220" spans="2:17" s="27" customFormat="1" ht="11.25" hidden="1" x14ac:dyDescent="0.2">
      <c r="D220" s="60"/>
      <c r="Q220" s="61"/>
    </row>
    <row r="221" spans="2:17" s="27" customFormat="1" ht="11.25" hidden="1" x14ac:dyDescent="0.2">
      <c r="D221" s="60"/>
      <c r="Q221" s="61"/>
    </row>
    <row r="222" spans="2:17" s="27" customFormat="1" ht="11.25" hidden="1" x14ac:dyDescent="0.2">
      <c r="D222" s="65"/>
      <c r="E222" s="66"/>
      <c r="F222" s="66"/>
      <c r="G222" s="66"/>
      <c r="H222" s="66"/>
      <c r="I222" s="66"/>
      <c r="J222" s="66"/>
      <c r="K222" s="66"/>
      <c r="L222" s="66"/>
      <c r="M222" s="66"/>
      <c r="N222" s="66"/>
      <c r="O222" s="66"/>
      <c r="P222" s="66"/>
      <c r="Q222" s="67"/>
    </row>
    <row r="223" spans="2:17" s="27" customFormat="1" ht="11.25" hidden="1" x14ac:dyDescent="0.2">
      <c r="B223" s="27">
        <v>6</v>
      </c>
      <c r="D223" s="62" t="s">
        <v>1137</v>
      </c>
      <c r="E223" s="63"/>
      <c r="F223" s="63"/>
      <c r="G223" s="63"/>
      <c r="H223" s="63"/>
      <c r="I223" s="63"/>
      <c r="J223" s="63"/>
      <c r="K223" s="63"/>
      <c r="L223" s="63"/>
      <c r="M223" s="63"/>
      <c r="N223" s="63"/>
      <c r="O223" s="63"/>
      <c r="P223" s="63"/>
      <c r="Q223" s="64"/>
    </row>
    <row r="224" spans="2:17" s="27" customFormat="1" ht="11.25" hidden="1" x14ac:dyDescent="0.2">
      <c r="D224" s="60"/>
      <c r="Q224" s="61"/>
    </row>
    <row r="225" spans="4:17" s="27" customFormat="1" ht="11.25" hidden="1" x14ac:dyDescent="0.2">
      <c r="D225" s="60"/>
      <c r="Q225" s="61"/>
    </row>
    <row r="226" spans="4:17" s="27" customFormat="1" ht="11.25" hidden="1" x14ac:dyDescent="0.2">
      <c r="D226" s="60" t="s">
        <v>801</v>
      </c>
      <c r="Q226" s="61"/>
    </row>
    <row r="227" spans="4:17" s="27" customFormat="1" ht="11.25" hidden="1" x14ac:dyDescent="0.2">
      <c r="D227" s="60" t="s">
        <v>1452</v>
      </c>
      <c r="F227" s="27" t="s">
        <v>1453</v>
      </c>
      <c r="G227" s="27" t="s">
        <v>1436</v>
      </c>
      <c r="H227" s="27" t="s">
        <v>236</v>
      </c>
      <c r="I227" s="27" t="s">
        <v>21</v>
      </c>
      <c r="J227" s="27" t="s">
        <v>822</v>
      </c>
      <c r="Q227" s="61"/>
    </row>
    <row r="228" spans="4:17" s="27" customFormat="1" ht="11.25" hidden="1" x14ac:dyDescent="0.2">
      <c r="D228" s="60" t="s">
        <v>82</v>
      </c>
      <c r="Q228" s="61"/>
    </row>
    <row r="229" spans="4:17" s="27" customFormat="1" ht="11.25" hidden="1" x14ac:dyDescent="0.2">
      <c r="D229" s="60"/>
      <c r="Q229" s="61"/>
    </row>
    <row r="230" spans="4:17" s="27" customFormat="1" ht="11.25" hidden="1" x14ac:dyDescent="0.2">
      <c r="D230" s="60" t="s">
        <v>802</v>
      </c>
      <c r="Q230" s="61"/>
    </row>
    <row r="231" spans="4:17" s="27" customFormat="1" ht="11.25" hidden="1" x14ac:dyDescent="0.2">
      <c r="D231" s="60" t="s">
        <v>1452</v>
      </c>
      <c r="F231" s="27" t="s">
        <v>1453</v>
      </c>
      <c r="G231" s="27" t="s">
        <v>1435</v>
      </c>
      <c r="H231" s="27" t="s">
        <v>1443</v>
      </c>
      <c r="I231" s="27" t="s">
        <v>1437</v>
      </c>
      <c r="J231" s="27" t="s">
        <v>21</v>
      </c>
      <c r="Q231" s="61"/>
    </row>
    <row r="232" spans="4:17" s="27" customFormat="1" ht="11.25" hidden="1" x14ac:dyDescent="0.2">
      <c r="D232" s="60" t="s">
        <v>1191</v>
      </c>
      <c r="Q232" s="61"/>
    </row>
    <row r="233" spans="4:17" s="27" customFormat="1" ht="11.25" hidden="1" x14ac:dyDescent="0.2">
      <c r="D233" s="60"/>
      <c r="Q233" s="61"/>
    </row>
    <row r="234" spans="4:17" s="27" customFormat="1" ht="11.25" hidden="1" x14ac:dyDescent="0.2">
      <c r="D234" s="60"/>
      <c r="Q234" s="61"/>
    </row>
    <row r="235" spans="4:17" s="27" customFormat="1" ht="11.25" hidden="1" x14ac:dyDescent="0.2">
      <c r="D235" s="60"/>
      <c r="Q235" s="61"/>
    </row>
    <row r="236" spans="4:17" s="27" customFormat="1" ht="11.25" hidden="1" x14ac:dyDescent="0.2">
      <c r="D236" s="60"/>
      <c r="Q236" s="61"/>
    </row>
    <row r="237" spans="4:17" s="27" customFormat="1" ht="11.25" hidden="1" x14ac:dyDescent="0.2">
      <c r="D237" s="60"/>
      <c r="Q237" s="61"/>
    </row>
    <row r="238" spans="4:17" s="27" customFormat="1" ht="11.25" hidden="1" x14ac:dyDescent="0.2">
      <c r="D238" s="60"/>
      <c r="Q238" s="61"/>
    </row>
    <row r="239" spans="4:17" s="27" customFormat="1" ht="11.25" hidden="1" x14ac:dyDescent="0.2">
      <c r="D239" s="60"/>
      <c r="Q239" s="61"/>
    </row>
    <row r="240" spans="4:17" s="27" customFormat="1" ht="11.25" hidden="1" x14ac:dyDescent="0.2">
      <c r="D240" s="60"/>
      <c r="Q240" s="61"/>
    </row>
    <row r="241" spans="1:21" s="27" customFormat="1" ht="11.25" hidden="1" x14ac:dyDescent="0.2">
      <c r="D241" s="60"/>
      <c r="Q241" s="61"/>
    </row>
    <row r="242" spans="1:21" s="27" customFormat="1" ht="11.25" hidden="1" x14ac:dyDescent="0.2">
      <c r="D242" s="60"/>
      <c r="Q242" s="61"/>
    </row>
    <row r="243" spans="1:21" s="27" customFormat="1" ht="11.25" hidden="1" x14ac:dyDescent="0.2">
      <c r="D243" s="60"/>
      <c r="Q243" s="61"/>
    </row>
    <row r="244" spans="1:21" s="27" customFormat="1" ht="11.25" hidden="1" x14ac:dyDescent="0.2">
      <c r="D244" s="60"/>
      <c r="Q244" s="61"/>
    </row>
    <row r="245" spans="1:21" s="27" customFormat="1" ht="11.25" hidden="1" x14ac:dyDescent="0.2">
      <c r="D245" s="60"/>
      <c r="Q245" s="61"/>
    </row>
    <row r="246" spans="1:21" s="27" customFormat="1" ht="11.25" hidden="1" x14ac:dyDescent="0.2">
      <c r="D246" s="60"/>
      <c r="Q246" s="61"/>
    </row>
    <row r="247" spans="1:21" s="27" customFormat="1" ht="11.25" hidden="1" x14ac:dyDescent="0.2">
      <c r="D247" s="65"/>
      <c r="E247" s="66"/>
      <c r="F247" s="66"/>
      <c r="G247" s="66"/>
      <c r="H247" s="66"/>
      <c r="I247" s="66"/>
      <c r="J247" s="66"/>
      <c r="K247" s="66"/>
      <c r="L247" s="66"/>
      <c r="M247" s="66"/>
      <c r="N247" s="66"/>
      <c r="O247" s="66"/>
      <c r="P247" s="66"/>
      <c r="Q247" s="67"/>
    </row>
    <row r="248" spans="1:21" s="27" customFormat="1" ht="11.25" hidden="1" x14ac:dyDescent="0.2"/>
    <row r="249" spans="1:21" s="27" customFormat="1" ht="11.25" hidden="1" x14ac:dyDescent="0.2">
      <c r="A249" s="27">
        <v>1</v>
      </c>
      <c r="B249" s="27">
        <v>1</v>
      </c>
      <c r="C249" s="62" t="s">
        <v>1285</v>
      </c>
      <c r="D249" s="63"/>
      <c r="E249" s="63"/>
      <c r="F249" s="63"/>
      <c r="G249" s="63"/>
      <c r="H249" s="63"/>
      <c r="I249" s="63"/>
      <c r="J249" s="63"/>
      <c r="K249" s="63"/>
      <c r="L249" s="63"/>
      <c r="M249" s="63"/>
      <c r="N249" s="63"/>
      <c r="O249" s="63"/>
      <c r="P249" s="63"/>
      <c r="Q249" s="63"/>
      <c r="R249" s="63"/>
      <c r="S249" s="63"/>
      <c r="T249" s="63"/>
      <c r="U249" s="64"/>
    </row>
    <row r="250" spans="1:21" s="27" customFormat="1" ht="11.25" hidden="1" x14ac:dyDescent="0.2">
      <c r="C250" s="60"/>
      <c r="U250" s="61"/>
    </row>
    <row r="251" spans="1:21" s="27" customFormat="1" ht="12.75" hidden="1" x14ac:dyDescent="0.2">
      <c r="C251" s="60" t="s">
        <v>928</v>
      </c>
      <c r="D251" s="27" t="s">
        <v>929</v>
      </c>
      <c r="E251" s="27" t="s">
        <v>315</v>
      </c>
      <c r="F251" s="27" t="s">
        <v>316</v>
      </c>
      <c r="G251" s="27" t="s">
        <v>2</v>
      </c>
      <c r="I251" s="27" t="s">
        <v>411</v>
      </c>
      <c r="T251" s="27" t="s">
        <v>1378</v>
      </c>
      <c r="U251" s="61" t="s">
        <v>1377</v>
      </c>
    </row>
    <row r="252" spans="1:21" s="27" customFormat="1" ht="11.25" hidden="1" x14ac:dyDescent="0.2">
      <c r="C252" s="60" t="s">
        <v>932</v>
      </c>
      <c r="D252" s="27" t="s">
        <v>930</v>
      </c>
      <c r="E252" s="27" t="s">
        <v>931</v>
      </c>
      <c r="F252" s="27" t="s">
        <v>811</v>
      </c>
      <c r="G252" s="27" t="s">
        <v>933</v>
      </c>
      <c r="H252" s="27" t="s">
        <v>886</v>
      </c>
      <c r="I252" s="27" t="s">
        <v>934</v>
      </c>
      <c r="J252" s="27" t="s">
        <v>935</v>
      </c>
      <c r="K252" s="27" t="s">
        <v>936</v>
      </c>
      <c r="L252" s="27" t="s">
        <v>937</v>
      </c>
      <c r="M252" s="27" t="s">
        <v>938</v>
      </c>
      <c r="N252" s="27" t="s">
        <v>939</v>
      </c>
      <c r="O252" s="27" t="s">
        <v>940</v>
      </c>
      <c r="P252" s="27" t="s">
        <v>941</v>
      </c>
      <c r="Q252" s="27" t="s">
        <v>942</v>
      </c>
      <c r="R252" s="27" t="s">
        <v>943</v>
      </c>
      <c r="S252" s="27" t="s">
        <v>944</v>
      </c>
      <c r="T252" s="27" t="s">
        <v>1287</v>
      </c>
      <c r="U252" s="61" t="s">
        <v>1288</v>
      </c>
    </row>
    <row r="253" spans="1:21" s="27" customFormat="1" ht="11.25" hidden="1" x14ac:dyDescent="0.2">
      <c r="C253" s="60"/>
      <c r="U253" s="61"/>
    </row>
    <row r="254" spans="1:21" s="27" customFormat="1" ht="11.25" hidden="1" x14ac:dyDescent="0.2">
      <c r="C254" s="60" t="s">
        <v>805</v>
      </c>
      <c r="D254" s="27">
        <f>SUM(D259:D264)</f>
        <v>0</v>
      </c>
      <c r="H254" s="27">
        <f t="shared" ref="H254:S254" si="28">SUM(H259:H264)</f>
        <v>0</v>
      </c>
      <c r="I254" s="27">
        <f t="shared" si="28"/>
        <v>0</v>
      </c>
      <c r="J254" s="27">
        <f t="shared" si="28"/>
        <v>0</v>
      </c>
      <c r="K254" s="27">
        <f t="shared" si="28"/>
        <v>0</v>
      </c>
      <c r="L254" s="27">
        <f t="shared" si="28"/>
        <v>0</v>
      </c>
      <c r="M254" s="27">
        <f t="shared" si="28"/>
        <v>0</v>
      </c>
      <c r="N254" s="27">
        <f t="shared" si="28"/>
        <v>0</v>
      </c>
      <c r="O254" s="27">
        <f t="shared" si="28"/>
        <v>0</v>
      </c>
      <c r="P254" s="27">
        <f t="shared" si="28"/>
        <v>0</v>
      </c>
      <c r="Q254" s="27">
        <f t="shared" si="28"/>
        <v>0</v>
      </c>
      <c r="R254" s="27">
        <f t="shared" si="28"/>
        <v>0</v>
      </c>
      <c r="S254" s="27">
        <f t="shared" si="28"/>
        <v>0</v>
      </c>
      <c r="T254" s="27">
        <f>SUM(T255:T264)</f>
        <v>0</v>
      </c>
      <c r="U254" s="61">
        <f>SUM(U255:U264)</f>
        <v>0</v>
      </c>
    </row>
    <row r="255" spans="1:21" s="27" customFormat="1" ht="11.25" hidden="1" x14ac:dyDescent="0.2">
      <c r="C255" s="60"/>
      <c r="T255" s="27">
        <f>T861</f>
        <v>0</v>
      </c>
      <c r="U255" s="61">
        <f>+AQ861</f>
        <v>0</v>
      </c>
    </row>
    <row r="256" spans="1:21" s="27" customFormat="1" ht="11.25" hidden="1" x14ac:dyDescent="0.2">
      <c r="C256" s="60"/>
      <c r="T256" s="27">
        <f>T862</f>
        <v>0</v>
      </c>
      <c r="U256" s="61">
        <f>+AQ862</f>
        <v>0</v>
      </c>
    </row>
    <row r="257" spans="3:21" s="27" customFormat="1" ht="11.25" hidden="1" x14ac:dyDescent="0.2">
      <c r="C257" s="60"/>
      <c r="T257" s="27">
        <f>T863</f>
        <v>0</v>
      </c>
      <c r="U257" s="61">
        <f>+AQ863</f>
        <v>0</v>
      </c>
    </row>
    <row r="258" spans="3:21" s="27" customFormat="1" ht="11.25" hidden="1" x14ac:dyDescent="0.2">
      <c r="C258" s="60"/>
      <c r="T258" s="27">
        <f>T864</f>
        <v>0</v>
      </c>
      <c r="U258" s="61">
        <f>+AQ864</f>
        <v>0</v>
      </c>
    </row>
    <row r="259" spans="3:21" s="27" customFormat="1" ht="11.25" hidden="1" x14ac:dyDescent="0.2">
      <c r="C259" s="60"/>
      <c r="U259" s="61"/>
    </row>
    <row r="260" spans="3:21" s="27" customFormat="1" ht="11.25" hidden="1" x14ac:dyDescent="0.2">
      <c r="C260" s="60"/>
      <c r="U260" s="61"/>
    </row>
    <row r="261" spans="3:21" s="27" customFormat="1" ht="11.25" hidden="1" x14ac:dyDescent="0.2">
      <c r="C261" s="60"/>
      <c r="U261" s="61"/>
    </row>
    <row r="262" spans="3:21" s="27" customFormat="1" ht="11.25" hidden="1" x14ac:dyDescent="0.2">
      <c r="C262" s="60"/>
      <c r="U262" s="61"/>
    </row>
    <row r="263" spans="3:21" s="27" customFormat="1" ht="11.25" hidden="1" x14ac:dyDescent="0.2">
      <c r="C263" s="60"/>
      <c r="U263" s="61"/>
    </row>
    <row r="264" spans="3:21" s="27" customFormat="1" ht="11.25" hidden="1" x14ac:dyDescent="0.2">
      <c r="C264" s="60"/>
      <c r="U264" s="61"/>
    </row>
    <row r="265" spans="3:21" s="27" customFormat="1" ht="11.25" hidden="1" x14ac:dyDescent="0.2">
      <c r="C265" s="60" t="s">
        <v>806</v>
      </c>
      <c r="D265" s="27">
        <f>SUM(D276:D296)</f>
        <v>0</v>
      </c>
      <c r="H265" s="27">
        <f t="shared" ref="H265:S265" si="29">SUM(H276:H296)</f>
        <v>0</v>
      </c>
      <c r="I265" s="27">
        <f t="shared" si="29"/>
        <v>0</v>
      </c>
      <c r="J265" s="27">
        <f t="shared" si="29"/>
        <v>0</v>
      </c>
      <c r="K265" s="27">
        <f t="shared" si="29"/>
        <v>0</v>
      </c>
      <c r="L265" s="27">
        <f t="shared" si="29"/>
        <v>0</v>
      </c>
      <c r="M265" s="27">
        <f t="shared" si="29"/>
        <v>0</v>
      </c>
      <c r="N265" s="27">
        <f t="shared" si="29"/>
        <v>0</v>
      </c>
      <c r="O265" s="27">
        <f t="shared" si="29"/>
        <v>0</v>
      </c>
      <c r="P265" s="27">
        <f t="shared" si="29"/>
        <v>0</v>
      </c>
      <c r="Q265" s="27">
        <f t="shared" si="29"/>
        <v>0</v>
      </c>
      <c r="R265" s="27">
        <f t="shared" si="29"/>
        <v>0</v>
      </c>
      <c r="S265" s="27">
        <f t="shared" si="29"/>
        <v>0</v>
      </c>
      <c r="T265" s="27">
        <f>SUM(T266:T296)</f>
        <v>0</v>
      </c>
      <c r="U265" s="61">
        <f>SUM(U266:U296)</f>
        <v>0</v>
      </c>
    </row>
    <row r="266" spans="3:21" s="27" customFormat="1" ht="11.25" hidden="1" x14ac:dyDescent="0.2">
      <c r="C266" s="60"/>
      <c r="T266" s="27">
        <f t="shared" ref="T266:T275" si="30">T872</f>
        <v>0</v>
      </c>
      <c r="U266" s="61">
        <f t="shared" ref="U266:U275" si="31">+AQ872</f>
        <v>0</v>
      </c>
    </row>
    <row r="267" spans="3:21" s="27" customFormat="1" ht="11.25" hidden="1" x14ac:dyDescent="0.2">
      <c r="C267" s="60"/>
      <c r="T267" s="27">
        <f t="shared" si="30"/>
        <v>0</v>
      </c>
      <c r="U267" s="61">
        <f t="shared" si="31"/>
        <v>0</v>
      </c>
    </row>
    <row r="268" spans="3:21" s="27" customFormat="1" ht="11.25" hidden="1" x14ac:dyDescent="0.2">
      <c r="C268" s="60"/>
      <c r="T268" s="27">
        <f t="shared" si="30"/>
        <v>0</v>
      </c>
      <c r="U268" s="61">
        <f t="shared" si="31"/>
        <v>0</v>
      </c>
    </row>
    <row r="269" spans="3:21" s="27" customFormat="1" ht="11.25" hidden="1" x14ac:dyDescent="0.2">
      <c r="C269" s="60"/>
      <c r="T269" s="27">
        <f t="shared" si="30"/>
        <v>0</v>
      </c>
      <c r="U269" s="61">
        <f t="shared" si="31"/>
        <v>0</v>
      </c>
    </row>
    <row r="270" spans="3:21" s="27" customFormat="1" ht="11.25" hidden="1" x14ac:dyDescent="0.2">
      <c r="C270" s="60"/>
      <c r="T270" s="27">
        <f t="shared" si="30"/>
        <v>0</v>
      </c>
      <c r="U270" s="61">
        <f t="shared" si="31"/>
        <v>0</v>
      </c>
    </row>
    <row r="271" spans="3:21" s="27" customFormat="1" ht="11.25" hidden="1" x14ac:dyDescent="0.2">
      <c r="C271" s="60"/>
      <c r="T271" s="27">
        <f t="shared" si="30"/>
        <v>0</v>
      </c>
      <c r="U271" s="61">
        <f t="shared" si="31"/>
        <v>0</v>
      </c>
    </row>
    <row r="272" spans="3:21" s="27" customFormat="1" ht="11.25" hidden="1" x14ac:dyDescent="0.2">
      <c r="C272" s="60"/>
      <c r="T272" s="27">
        <f t="shared" si="30"/>
        <v>0</v>
      </c>
      <c r="U272" s="61">
        <f t="shared" si="31"/>
        <v>0</v>
      </c>
    </row>
    <row r="273" spans="3:21" s="27" customFormat="1" ht="11.25" hidden="1" x14ac:dyDescent="0.2">
      <c r="C273" s="60"/>
      <c r="T273" s="27">
        <f t="shared" si="30"/>
        <v>0</v>
      </c>
      <c r="U273" s="61">
        <f t="shared" si="31"/>
        <v>0</v>
      </c>
    </row>
    <row r="274" spans="3:21" s="27" customFormat="1" ht="11.25" hidden="1" x14ac:dyDescent="0.2">
      <c r="C274" s="60"/>
      <c r="T274" s="27">
        <f t="shared" si="30"/>
        <v>0</v>
      </c>
      <c r="U274" s="61">
        <f t="shared" si="31"/>
        <v>0</v>
      </c>
    </row>
    <row r="275" spans="3:21" s="27" customFormat="1" ht="11.25" hidden="1" x14ac:dyDescent="0.2">
      <c r="C275" s="60"/>
      <c r="T275" s="27">
        <f t="shared" si="30"/>
        <v>0</v>
      </c>
      <c r="U275" s="61">
        <f t="shared" si="31"/>
        <v>0</v>
      </c>
    </row>
    <row r="276" spans="3:21" s="27" customFormat="1" ht="11.25" hidden="1" x14ac:dyDescent="0.2">
      <c r="C276" s="60"/>
      <c r="U276" s="61"/>
    </row>
    <row r="277" spans="3:21" s="27" customFormat="1" ht="11.25" hidden="1" x14ac:dyDescent="0.2">
      <c r="C277" s="60"/>
      <c r="U277" s="61"/>
    </row>
    <row r="278" spans="3:21" s="27" customFormat="1" ht="11.25" hidden="1" x14ac:dyDescent="0.2">
      <c r="C278" s="60"/>
      <c r="U278" s="61"/>
    </row>
    <row r="279" spans="3:21" s="27" customFormat="1" ht="11.25" hidden="1" x14ac:dyDescent="0.2">
      <c r="C279" s="60"/>
      <c r="U279" s="61"/>
    </row>
    <row r="280" spans="3:21" s="27" customFormat="1" ht="11.25" hidden="1" x14ac:dyDescent="0.2">
      <c r="C280" s="60"/>
      <c r="U280" s="61"/>
    </row>
    <row r="281" spans="3:21" s="27" customFormat="1" ht="11.25" hidden="1" x14ac:dyDescent="0.2">
      <c r="C281" s="60"/>
      <c r="U281" s="61"/>
    </row>
    <row r="282" spans="3:21" s="27" customFormat="1" ht="11.25" hidden="1" x14ac:dyDescent="0.2">
      <c r="C282" s="60"/>
      <c r="U282" s="61"/>
    </row>
    <row r="283" spans="3:21" s="27" customFormat="1" ht="11.25" hidden="1" x14ac:dyDescent="0.2">
      <c r="C283" s="60"/>
      <c r="U283" s="61"/>
    </row>
    <row r="284" spans="3:21" s="27" customFormat="1" ht="11.25" hidden="1" x14ac:dyDescent="0.2">
      <c r="C284" s="60"/>
      <c r="U284" s="61"/>
    </row>
    <row r="285" spans="3:21" s="27" customFormat="1" ht="11.25" hidden="1" x14ac:dyDescent="0.2">
      <c r="C285" s="60"/>
      <c r="U285" s="61"/>
    </row>
    <row r="286" spans="3:21" s="27" customFormat="1" ht="11.25" hidden="1" x14ac:dyDescent="0.2">
      <c r="C286" s="60"/>
      <c r="U286" s="61"/>
    </row>
    <row r="287" spans="3:21" s="27" customFormat="1" ht="11.25" hidden="1" x14ac:dyDescent="0.2">
      <c r="C287" s="60"/>
      <c r="U287" s="61"/>
    </row>
    <row r="288" spans="3:21" s="27" customFormat="1" ht="11.25" hidden="1" x14ac:dyDescent="0.2">
      <c r="C288" s="60"/>
      <c r="U288" s="61"/>
    </row>
    <row r="289" spans="3:21" s="27" customFormat="1" ht="11.25" hidden="1" x14ac:dyDescent="0.2">
      <c r="C289" s="60"/>
      <c r="U289" s="61"/>
    </row>
    <row r="290" spans="3:21" s="27" customFormat="1" ht="11.25" hidden="1" x14ac:dyDescent="0.2">
      <c r="C290" s="60"/>
      <c r="U290" s="61"/>
    </row>
    <row r="291" spans="3:21" s="27" customFormat="1" ht="11.25" hidden="1" x14ac:dyDescent="0.2">
      <c r="C291" s="60"/>
      <c r="U291" s="61"/>
    </row>
    <row r="292" spans="3:21" s="27" customFormat="1" ht="11.25" hidden="1" x14ac:dyDescent="0.2">
      <c r="C292" s="60"/>
      <c r="U292" s="61"/>
    </row>
    <row r="293" spans="3:21" s="27" customFormat="1" ht="11.25" hidden="1" x14ac:dyDescent="0.2">
      <c r="C293" s="60"/>
      <c r="U293" s="61"/>
    </row>
    <row r="294" spans="3:21" s="27" customFormat="1" ht="11.25" hidden="1" x14ac:dyDescent="0.2">
      <c r="C294" s="60"/>
      <c r="U294" s="61"/>
    </row>
    <row r="295" spans="3:21" s="27" customFormat="1" ht="11.25" hidden="1" x14ac:dyDescent="0.2">
      <c r="C295" s="60"/>
      <c r="U295" s="61"/>
    </row>
    <row r="296" spans="3:21" s="27" customFormat="1" ht="11.25" hidden="1" x14ac:dyDescent="0.2">
      <c r="C296" s="60"/>
      <c r="U296" s="61"/>
    </row>
    <row r="297" spans="3:21" s="27" customFormat="1" ht="12.75" hidden="1" x14ac:dyDescent="0.2">
      <c r="C297" s="60" t="s">
        <v>317</v>
      </c>
      <c r="D297" s="27">
        <f>SUM(D298:D313)</f>
        <v>0</v>
      </c>
      <c r="H297" s="27">
        <f t="shared" ref="H297:U297" si="32">SUM(H298:H313)</f>
        <v>0</v>
      </c>
      <c r="I297" s="27">
        <f t="shared" si="32"/>
        <v>0</v>
      </c>
      <c r="J297" s="27">
        <f t="shared" si="32"/>
        <v>0</v>
      </c>
      <c r="K297" s="27">
        <f t="shared" si="32"/>
        <v>0</v>
      </c>
      <c r="L297" s="27">
        <f t="shared" si="32"/>
        <v>0</v>
      </c>
      <c r="M297" s="27">
        <f t="shared" si="32"/>
        <v>0</v>
      </c>
      <c r="N297" s="27">
        <f t="shared" si="32"/>
        <v>0</v>
      </c>
      <c r="O297" s="27">
        <f t="shared" si="32"/>
        <v>0</v>
      </c>
      <c r="P297" s="27">
        <f t="shared" si="32"/>
        <v>0</v>
      </c>
      <c r="Q297" s="27">
        <f t="shared" si="32"/>
        <v>0</v>
      </c>
      <c r="R297" s="27">
        <f t="shared" si="32"/>
        <v>0</v>
      </c>
      <c r="S297" s="27">
        <f t="shared" si="32"/>
        <v>0</v>
      </c>
      <c r="T297" s="27">
        <f t="shared" si="32"/>
        <v>0</v>
      </c>
      <c r="U297" s="61">
        <f t="shared" si="32"/>
        <v>0</v>
      </c>
    </row>
    <row r="298" spans="3:21" s="27" customFormat="1" ht="11.25" hidden="1" x14ac:dyDescent="0.2">
      <c r="C298" s="60"/>
      <c r="U298" s="61"/>
    </row>
    <row r="299" spans="3:21" s="27" customFormat="1" ht="11.25" hidden="1" x14ac:dyDescent="0.2">
      <c r="C299" s="60"/>
      <c r="U299" s="61"/>
    </row>
    <row r="300" spans="3:21" s="27" customFormat="1" ht="11.25" hidden="1" x14ac:dyDescent="0.2">
      <c r="C300" s="60"/>
      <c r="U300" s="61"/>
    </row>
    <row r="301" spans="3:21" s="27" customFormat="1" ht="11.25" hidden="1" x14ac:dyDescent="0.2">
      <c r="C301" s="60"/>
      <c r="U301" s="61"/>
    </row>
    <row r="302" spans="3:21" s="27" customFormat="1" ht="11.25" hidden="1" x14ac:dyDescent="0.2">
      <c r="C302" s="60"/>
      <c r="U302" s="61"/>
    </row>
    <row r="303" spans="3:21" s="27" customFormat="1" ht="11.25" hidden="1" x14ac:dyDescent="0.2">
      <c r="C303" s="60"/>
      <c r="U303" s="61"/>
    </row>
    <row r="304" spans="3:21" s="27" customFormat="1" ht="11.25" hidden="1" x14ac:dyDescent="0.2">
      <c r="C304" s="60"/>
      <c r="U304" s="61"/>
    </row>
    <row r="305" spans="1:21" s="27" customFormat="1" ht="11.25" hidden="1" x14ac:dyDescent="0.2">
      <c r="C305" s="60"/>
      <c r="U305" s="61"/>
    </row>
    <row r="306" spans="1:21" s="27" customFormat="1" ht="11.25" hidden="1" x14ac:dyDescent="0.2">
      <c r="C306" s="60"/>
      <c r="U306" s="61"/>
    </row>
    <row r="307" spans="1:21" s="27" customFormat="1" ht="11.25" hidden="1" x14ac:dyDescent="0.2">
      <c r="C307" s="60"/>
      <c r="U307" s="61"/>
    </row>
    <row r="308" spans="1:21" s="27" customFormat="1" ht="11.25" hidden="1" x14ac:dyDescent="0.2">
      <c r="C308" s="60"/>
      <c r="U308" s="61"/>
    </row>
    <row r="309" spans="1:21" s="27" customFormat="1" ht="11.25" hidden="1" x14ac:dyDescent="0.2">
      <c r="C309" s="60"/>
      <c r="U309" s="61"/>
    </row>
    <row r="310" spans="1:21" s="27" customFormat="1" ht="11.25" hidden="1" x14ac:dyDescent="0.2">
      <c r="C310" s="60"/>
      <c r="U310" s="61"/>
    </row>
    <row r="311" spans="1:21" s="27" customFormat="1" ht="11.25" hidden="1" x14ac:dyDescent="0.2">
      <c r="C311" s="60"/>
      <c r="U311" s="61"/>
    </row>
    <row r="312" spans="1:21" s="27" customFormat="1" ht="11.25" hidden="1" x14ac:dyDescent="0.2">
      <c r="C312" s="60"/>
      <c r="U312" s="61"/>
    </row>
    <row r="313" spans="1:21" s="27" customFormat="1" ht="11.25" hidden="1" x14ac:dyDescent="0.2">
      <c r="C313" s="60"/>
      <c r="U313" s="61"/>
    </row>
    <row r="314" spans="1:21" s="27" customFormat="1" ht="11.25" hidden="1" x14ac:dyDescent="0.2">
      <c r="C314" s="60"/>
      <c r="U314" s="61"/>
    </row>
    <row r="315" spans="1:21" s="27" customFormat="1" ht="11.25" hidden="1" x14ac:dyDescent="0.2">
      <c r="A315" s="27">
        <v>2</v>
      </c>
      <c r="B315" s="27">
        <v>2</v>
      </c>
      <c r="C315" s="60" t="s">
        <v>1286</v>
      </c>
      <c r="U315" s="61"/>
    </row>
    <row r="316" spans="1:21" s="27" customFormat="1" ht="11.25" hidden="1" x14ac:dyDescent="0.2">
      <c r="C316" s="60"/>
      <c r="U316" s="61"/>
    </row>
    <row r="317" spans="1:21" s="27" customFormat="1" ht="11.25" hidden="1" x14ac:dyDescent="0.2">
      <c r="C317" s="60" t="s">
        <v>928</v>
      </c>
      <c r="E317" s="27" t="s">
        <v>1513</v>
      </c>
      <c r="F317" s="27" t="s">
        <v>1514</v>
      </c>
      <c r="G317" s="27" t="str">
        <f>$G$251</f>
        <v>Depmto.</v>
      </c>
      <c r="H317" s="27" t="s">
        <v>318</v>
      </c>
      <c r="T317" s="27" t="s">
        <v>1378</v>
      </c>
      <c r="U317" s="61" t="s">
        <v>786</v>
      </c>
    </row>
    <row r="318" spans="1:21" s="27" customFormat="1" ht="11.25" hidden="1" x14ac:dyDescent="0.2">
      <c r="C318" s="60" t="s">
        <v>805</v>
      </c>
      <c r="H318" s="27">
        <f t="shared" ref="H318:S318" si="33">SUM(H320:H328)</f>
        <v>0</v>
      </c>
      <c r="I318" s="27">
        <f t="shared" si="33"/>
        <v>0</v>
      </c>
      <c r="J318" s="27">
        <f t="shared" si="33"/>
        <v>0</v>
      </c>
      <c r="K318" s="27">
        <f t="shared" si="33"/>
        <v>0</v>
      </c>
      <c r="L318" s="27">
        <f t="shared" si="33"/>
        <v>0</v>
      </c>
      <c r="M318" s="27">
        <f t="shared" si="33"/>
        <v>0</v>
      </c>
      <c r="N318" s="27">
        <f t="shared" si="33"/>
        <v>0</v>
      </c>
      <c r="O318" s="27">
        <f t="shared" si="33"/>
        <v>0</v>
      </c>
      <c r="P318" s="27">
        <f t="shared" si="33"/>
        <v>0</v>
      </c>
      <c r="Q318" s="27">
        <f t="shared" si="33"/>
        <v>0</v>
      </c>
      <c r="R318" s="27">
        <f t="shared" si="33"/>
        <v>0</v>
      </c>
      <c r="S318" s="27">
        <f t="shared" si="33"/>
        <v>0</v>
      </c>
      <c r="T318" s="27">
        <f>SUM(T319:T328)</f>
        <v>0</v>
      </c>
      <c r="U318" s="61">
        <f>SUM(H318:S318)</f>
        <v>0</v>
      </c>
    </row>
    <row r="319" spans="1:21" s="27" customFormat="1" ht="11.25" hidden="1" x14ac:dyDescent="0.2">
      <c r="C319" s="60"/>
      <c r="T319" s="27">
        <f>+U319+(U319*'4'!V24)</f>
        <v>0</v>
      </c>
      <c r="U319" s="61">
        <f>SUM('4'!I24:T24)</f>
        <v>0</v>
      </c>
    </row>
    <row r="320" spans="1:21" s="27" customFormat="1" ht="11.25" hidden="1" x14ac:dyDescent="0.2">
      <c r="C320" s="60"/>
      <c r="U320" s="61"/>
    </row>
    <row r="321" spans="3:21" s="27" customFormat="1" ht="11.25" hidden="1" x14ac:dyDescent="0.2">
      <c r="C321" s="60"/>
      <c r="U321" s="61"/>
    </row>
    <row r="322" spans="3:21" s="27" customFormat="1" ht="11.25" hidden="1" x14ac:dyDescent="0.2">
      <c r="C322" s="60"/>
      <c r="U322" s="61"/>
    </row>
    <row r="323" spans="3:21" s="27" customFormat="1" ht="11.25" hidden="1" x14ac:dyDescent="0.2">
      <c r="C323" s="60"/>
      <c r="U323" s="61"/>
    </row>
    <row r="324" spans="3:21" s="27" customFormat="1" ht="11.25" hidden="1" x14ac:dyDescent="0.2">
      <c r="C324" s="60"/>
      <c r="U324" s="61"/>
    </row>
    <row r="325" spans="3:21" s="27" customFormat="1" ht="11.25" hidden="1" x14ac:dyDescent="0.2">
      <c r="C325" s="60"/>
      <c r="U325" s="61"/>
    </row>
    <row r="326" spans="3:21" s="27" customFormat="1" ht="11.25" hidden="1" x14ac:dyDescent="0.2">
      <c r="C326" s="60"/>
      <c r="U326" s="61"/>
    </row>
    <row r="327" spans="3:21" s="27" customFormat="1" ht="11.25" hidden="1" x14ac:dyDescent="0.2">
      <c r="C327" s="60"/>
      <c r="U327" s="61"/>
    </row>
    <row r="328" spans="3:21" s="27" customFormat="1" ht="11.25" hidden="1" x14ac:dyDescent="0.2">
      <c r="C328" s="60"/>
      <c r="U328" s="61"/>
    </row>
    <row r="329" spans="3:21" s="27" customFormat="1" ht="11.25" hidden="1" x14ac:dyDescent="0.2">
      <c r="C329" s="60" t="s">
        <v>806</v>
      </c>
      <c r="H329" s="27">
        <f t="shared" ref="H329:S329" si="34">SUM(H332:H339)</f>
        <v>0</v>
      </c>
      <c r="I329" s="27">
        <f t="shared" si="34"/>
        <v>0</v>
      </c>
      <c r="J329" s="27">
        <f t="shared" si="34"/>
        <v>0</v>
      </c>
      <c r="K329" s="27">
        <f t="shared" si="34"/>
        <v>0</v>
      </c>
      <c r="L329" s="27">
        <f t="shared" si="34"/>
        <v>0</v>
      </c>
      <c r="M329" s="27">
        <f t="shared" si="34"/>
        <v>0</v>
      </c>
      <c r="N329" s="27">
        <f t="shared" si="34"/>
        <v>0</v>
      </c>
      <c r="O329" s="27">
        <f t="shared" si="34"/>
        <v>0</v>
      </c>
      <c r="P329" s="27">
        <f t="shared" si="34"/>
        <v>0</v>
      </c>
      <c r="Q329" s="27">
        <f t="shared" si="34"/>
        <v>0</v>
      </c>
      <c r="R329" s="27">
        <f t="shared" si="34"/>
        <v>0</v>
      </c>
      <c r="S329" s="27">
        <f t="shared" si="34"/>
        <v>0</v>
      </c>
      <c r="T329" s="27">
        <f>SUM(T330:T339)</f>
        <v>0</v>
      </c>
      <c r="U329" s="61">
        <f>SUM(H329:S329)</f>
        <v>0</v>
      </c>
    </row>
    <row r="330" spans="3:21" s="27" customFormat="1" ht="11.25" hidden="1" x14ac:dyDescent="0.2">
      <c r="C330" s="60"/>
      <c r="T330" s="27">
        <f>+U330+(U330*'4'!V25)</f>
        <v>0</v>
      </c>
      <c r="U330" s="61">
        <f>SUM('4'!I25:T25)</f>
        <v>0</v>
      </c>
    </row>
    <row r="331" spans="3:21" s="27" customFormat="1" ht="11.25" hidden="1" x14ac:dyDescent="0.2">
      <c r="C331" s="60"/>
      <c r="T331" s="27">
        <f>+U331+(U331*'4'!V26)</f>
        <v>0</v>
      </c>
      <c r="U331" s="61">
        <f>SUM('4'!I26:T26)</f>
        <v>0</v>
      </c>
    </row>
    <row r="332" spans="3:21" s="27" customFormat="1" ht="11.25" hidden="1" x14ac:dyDescent="0.2">
      <c r="C332" s="60"/>
      <c r="U332" s="61"/>
    </row>
    <row r="333" spans="3:21" s="27" customFormat="1" ht="11.25" hidden="1" x14ac:dyDescent="0.2">
      <c r="C333" s="60"/>
      <c r="U333" s="61"/>
    </row>
    <row r="334" spans="3:21" s="27" customFormat="1" ht="11.25" hidden="1" x14ac:dyDescent="0.2">
      <c r="C334" s="60"/>
      <c r="U334" s="61"/>
    </row>
    <row r="335" spans="3:21" s="27" customFormat="1" ht="11.25" hidden="1" x14ac:dyDescent="0.2">
      <c r="C335" s="60"/>
      <c r="U335" s="61"/>
    </row>
    <row r="336" spans="3:21" s="27" customFormat="1" ht="11.25" hidden="1" x14ac:dyDescent="0.2">
      <c r="C336" s="60"/>
      <c r="U336" s="61"/>
    </row>
    <row r="337" spans="1:21" s="27" customFormat="1" ht="11.25" hidden="1" x14ac:dyDescent="0.2">
      <c r="C337" s="60"/>
      <c r="U337" s="61"/>
    </row>
    <row r="338" spans="1:21" s="27" customFormat="1" ht="11.25" hidden="1" x14ac:dyDescent="0.2">
      <c r="C338" s="60"/>
      <c r="U338" s="61"/>
    </row>
    <row r="339" spans="1:21" s="27" customFormat="1" ht="11.25" hidden="1" x14ac:dyDescent="0.2">
      <c r="C339" s="60"/>
      <c r="U339" s="61"/>
    </row>
    <row r="340" spans="1:21" s="27" customFormat="1" ht="11.25" hidden="1" x14ac:dyDescent="0.2">
      <c r="C340" s="60" t="str">
        <f>$C$297</f>
        <v>Pers. EVENTUAL</v>
      </c>
      <c r="H340" s="27">
        <f t="shared" ref="H340:T340" si="35">SUM(H341:H350)</f>
        <v>0</v>
      </c>
      <c r="I340" s="27">
        <f t="shared" si="35"/>
        <v>0</v>
      </c>
      <c r="J340" s="27">
        <f t="shared" si="35"/>
        <v>0</v>
      </c>
      <c r="K340" s="27">
        <f t="shared" si="35"/>
        <v>0</v>
      </c>
      <c r="L340" s="27">
        <f t="shared" si="35"/>
        <v>0</v>
      </c>
      <c r="M340" s="27">
        <f t="shared" si="35"/>
        <v>0</v>
      </c>
      <c r="N340" s="27">
        <f t="shared" si="35"/>
        <v>0</v>
      </c>
      <c r="O340" s="27">
        <f t="shared" si="35"/>
        <v>0</v>
      </c>
      <c r="P340" s="27">
        <f t="shared" si="35"/>
        <v>0</v>
      </c>
      <c r="Q340" s="27">
        <f t="shared" si="35"/>
        <v>0</v>
      </c>
      <c r="R340" s="27">
        <f t="shared" si="35"/>
        <v>0</v>
      </c>
      <c r="S340" s="27">
        <f t="shared" si="35"/>
        <v>0</v>
      </c>
      <c r="T340" s="27">
        <f t="shared" si="35"/>
        <v>0</v>
      </c>
      <c r="U340" s="61">
        <f>SUM(H340:S340)</f>
        <v>0</v>
      </c>
    </row>
    <row r="341" spans="1:21" s="27" customFormat="1" ht="11.25" hidden="1" x14ac:dyDescent="0.2">
      <c r="C341" s="60"/>
      <c r="U341" s="61"/>
    </row>
    <row r="342" spans="1:21" s="27" customFormat="1" ht="11.25" hidden="1" x14ac:dyDescent="0.2">
      <c r="C342" s="60"/>
      <c r="U342" s="61"/>
    </row>
    <row r="343" spans="1:21" s="27" customFormat="1" ht="11.25" hidden="1" x14ac:dyDescent="0.2">
      <c r="C343" s="60"/>
      <c r="U343" s="61"/>
    </row>
    <row r="344" spans="1:21" s="27" customFormat="1" ht="11.25" hidden="1" x14ac:dyDescent="0.2">
      <c r="C344" s="60"/>
      <c r="U344" s="61"/>
    </row>
    <row r="345" spans="1:21" s="27" customFormat="1" ht="11.25" hidden="1" x14ac:dyDescent="0.2">
      <c r="C345" s="60"/>
      <c r="U345" s="61"/>
    </row>
    <row r="346" spans="1:21" s="27" customFormat="1" ht="11.25" hidden="1" x14ac:dyDescent="0.2">
      <c r="C346" s="60"/>
      <c r="U346" s="61"/>
    </row>
    <row r="347" spans="1:21" s="27" customFormat="1" ht="11.25" hidden="1" x14ac:dyDescent="0.2">
      <c r="C347" s="60"/>
      <c r="U347" s="61"/>
    </row>
    <row r="348" spans="1:21" s="27" customFormat="1" ht="11.25" hidden="1" x14ac:dyDescent="0.2">
      <c r="C348" s="60"/>
      <c r="U348" s="61"/>
    </row>
    <row r="349" spans="1:21" s="27" customFormat="1" ht="11.25" hidden="1" x14ac:dyDescent="0.2">
      <c r="C349" s="60"/>
      <c r="U349" s="61"/>
    </row>
    <row r="350" spans="1:21" s="27" customFormat="1" ht="11.25" hidden="1" x14ac:dyDescent="0.2">
      <c r="C350" s="60"/>
      <c r="U350" s="61"/>
    </row>
    <row r="351" spans="1:21" s="27" customFormat="1" ht="11.25" hidden="1" x14ac:dyDescent="0.2">
      <c r="C351" s="60"/>
      <c r="U351" s="61"/>
    </row>
    <row r="352" spans="1:21" s="27" customFormat="1" ht="11.25" hidden="1" x14ac:dyDescent="0.2">
      <c r="A352" s="27">
        <v>3</v>
      </c>
      <c r="B352" s="27">
        <v>3</v>
      </c>
      <c r="C352" s="60" t="s">
        <v>115</v>
      </c>
      <c r="U352" s="61"/>
    </row>
    <row r="353" spans="3:21" s="27" customFormat="1" ht="11.25" hidden="1" x14ac:dyDescent="0.2">
      <c r="C353" s="60"/>
      <c r="U353" s="61"/>
    </row>
    <row r="354" spans="3:21" s="27" customFormat="1" ht="12.75" hidden="1" x14ac:dyDescent="0.2">
      <c r="C354" s="60" t="s">
        <v>1519</v>
      </c>
      <c r="E354" s="27" t="s">
        <v>315</v>
      </c>
      <c r="F354" s="27" t="s">
        <v>316</v>
      </c>
      <c r="G354" s="27" t="s">
        <v>869</v>
      </c>
      <c r="I354" s="27" t="s">
        <v>116</v>
      </c>
      <c r="T354" s="27" t="s">
        <v>1378</v>
      </c>
      <c r="U354" s="61" t="s">
        <v>786</v>
      </c>
    </row>
    <row r="355" spans="3:21" s="27" customFormat="1" ht="11.25" hidden="1" x14ac:dyDescent="0.2">
      <c r="C355" s="60" t="s">
        <v>1571</v>
      </c>
      <c r="H355" s="27">
        <f>+SANDBOX!F7*'4'!$G29</f>
        <v>0</v>
      </c>
      <c r="I355" s="27">
        <f>+SANDBOX!G7*'4'!$G29</f>
        <v>0</v>
      </c>
      <c r="J355" s="27">
        <f>+SANDBOX!H7*'4'!$G29</f>
        <v>0</v>
      </c>
      <c r="K355" s="27">
        <f>+SANDBOX!I7*'4'!$G29</f>
        <v>0</v>
      </c>
      <c r="L355" s="27">
        <f>+SANDBOX!J7*'4'!$G29</f>
        <v>0</v>
      </c>
      <c r="M355" s="27">
        <f>+SANDBOX!K7*'4'!$G29</f>
        <v>0</v>
      </c>
      <c r="N355" s="27">
        <f>+SANDBOX!L7*'4'!$G29</f>
        <v>0</v>
      </c>
      <c r="O355" s="27">
        <f>+SANDBOX!M7*'4'!$G29</f>
        <v>0</v>
      </c>
      <c r="P355" s="27">
        <f>+SANDBOX!N7*'4'!$G29</f>
        <v>0</v>
      </c>
      <c r="Q355" s="27">
        <f>+SANDBOX!O7*'4'!$G29</f>
        <v>0</v>
      </c>
      <c r="R355" s="27">
        <f>+SANDBOX!P7*'4'!$G29</f>
        <v>0</v>
      </c>
      <c r="S355" s="27">
        <f>+SANDBOX!Q7*'4'!$G29</f>
        <v>0</v>
      </c>
      <c r="T355" s="27">
        <f>+U355+(U355*'4'!V29)</f>
        <v>0</v>
      </c>
      <c r="U355" s="61">
        <f>SUM(H355:S355)</f>
        <v>0</v>
      </c>
    </row>
    <row r="356" spans="3:21" s="27" customFormat="1" ht="11.25" hidden="1" x14ac:dyDescent="0.2">
      <c r="C356" s="60"/>
      <c r="U356" s="61"/>
    </row>
    <row r="357" spans="3:21" s="27" customFormat="1" ht="11.25" hidden="1" x14ac:dyDescent="0.2">
      <c r="C357" s="60"/>
      <c r="U357" s="61"/>
    </row>
    <row r="358" spans="3:21" s="27" customFormat="1" ht="11.25" hidden="1" x14ac:dyDescent="0.2">
      <c r="C358" s="60"/>
      <c r="U358" s="61"/>
    </row>
    <row r="359" spans="3:21" s="27" customFormat="1" ht="11.25" hidden="1" x14ac:dyDescent="0.2">
      <c r="C359" s="60"/>
      <c r="U359" s="61"/>
    </row>
    <row r="360" spans="3:21" s="27" customFormat="1" ht="11.25" hidden="1" x14ac:dyDescent="0.2">
      <c r="C360" s="60"/>
      <c r="U360" s="61"/>
    </row>
    <row r="361" spans="3:21" s="27" customFormat="1" ht="11.25" hidden="1" x14ac:dyDescent="0.2">
      <c r="C361" s="60"/>
      <c r="U361" s="61"/>
    </row>
    <row r="362" spans="3:21" s="27" customFormat="1" ht="11.25" hidden="1" x14ac:dyDescent="0.2">
      <c r="C362" s="60"/>
      <c r="U362" s="61"/>
    </row>
    <row r="363" spans="3:21" s="27" customFormat="1" ht="11.25" hidden="1" x14ac:dyDescent="0.2">
      <c r="C363" s="60"/>
      <c r="U363" s="61"/>
    </row>
    <row r="364" spans="3:21" s="27" customFormat="1" ht="11.25" hidden="1" x14ac:dyDescent="0.2">
      <c r="C364" s="60"/>
      <c r="U364" s="61"/>
    </row>
    <row r="365" spans="3:21" s="27" customFormat="1" ht="11.25" hidden="1" x14ac:dyDescent="0.2">
      <c r="C365" s="60"/>
      <c r="U365" s="61"/>
    </row>
    <row r="366" spans="3:21" s="27" customFormat="1" ht="11.25" hidden="1" x14ac:dyDescent="0.2">
      <c r="C366" s="60"/>
      <c r="U366" s="61"/>
    </row>
    <row r="367" spans="3:21" s="27" customFormat="1" ht="11.25" hidden="1" x14ac:dyDescent="0.2">
      <c r="C367" s="60"/>
      <c r="U367" s="61"/>
    </row>
    <row r="368" spans="3:21" s="27" customFormat="1" ht="11.25" hidden="1" x14ac:dyDescent="0.2">
      <c r="C368" s="60"/>
      <c r="U368" s="61"/>
    </row>
    <row r="369" spans="3:21" s="27" customFormat="1" ht="11.25" hidden="1" x14ac:dyDescent="0.2">
      <c r="C369" s="60"/>
      <c r="U369" s="61"/>
    </row>
    <row r="370" spans="3:21" s="27" customFormat="1" ht="11.25" hidden="1" x14ac:dyDescent="0.2">
      <c r="C370" s="60"/>
      <c r="U370" s="61"/>
    </row>
    <row r="371" spans="3:21" s="27" customFormat="1" ht="11.25" hidden="1" x14ac:dyDescent="0.2">
      <c r="C371" s="60"/>
      <c r="U371" s="61"/>
    </row>
    <row r="372" spans="3:21" s="27" customFormat="1" ht="11.25" hidden="1" x14ac:dyDescent="0.2">
      <c r="C372" s="60"/>
      <c r="U372" s="61"/>
    </row>
    <row r="373" spans="3:21" s="27" customFormat="1" ht="11.25" hidden="1" x14ac:dyDescent="0.2">
      <c r="C373" s="60"/>
      <c r="U373" s="61"/>
    </row>
    <row r="374" spans="3:21" s="27" customFormat="1" ht="11.25" hidden="1" x14ac:dyDescent="0.2">
      <c r="C374" s="60"/>
      <c r="U374" s="61"/>
    </row>
    <row r="375" spans="3:21" s="27" customFormat="1" ht="11.25" hidden="1" x14ac:dyDescent="0.2">
      <c r="C375" s="60"/>
      <c r="G375" s="27" t="s">
        <v>319</v>
      </c>
      <c r="H375" s="27">
        <f t="shared" ref="H375:S375" si="36">H355</f>
        <v>0</v>
      </c>
      <c r="I375" s="27">
        <f t="shared" si="36"/>
        <v>0</v>
      </c>
      <c r="J375" s="27">
        <f t="shared" si="36"/>
        <v>0</v>
      </c>
      <c r="K375" s="27">
        <f t="shared" si="36"/>
        <v>0</v>
      </c>
      <c r="L375" s="27">
        <f t="shared" si="36"/>
        <v>0</v>
      </c>
      <c r="M375" s="27">
        <f t="shared" si="36"/>
        <v>0</v>
      </c>
      <c r="N375" s="27">
        <f t="shared" si="36"/>
        <v>0</v>
      </c>
      <c r="O375" s="27">
        <f t="shared" si="36"/>
        <v>0</v>
      </c>
      <c r="P375" s="27">
        <f t="shared" si="36"/>
        <v>0</v>
      </c>
      <c r="Q375" s="27">
        <f t="shared" si="36"/>
        <v>0</v>
      </c>
      <c r="R375" s="27">
        <f t="shared" si="36"/>
        <v>0</v>
      </c>
      <c r="S375" s="27">
        <f t="shared" si="36"/>
        <v>0</v>
      </c>
      <c r="T375" s="27">
        <f>T981</f>
        <v>0</v>
      </c>
      <c r="U375" s="61">
        <f>U981</f>
        <v>0</v>
      </c>
    </row>
    <row r="376" spans="3:21" s="27" customFormat="1" ht="11.25" hidden="1" x14ac:dyDescent="0.2">
      <c r="C376" s="65"/>
      <c r="D376" s="66"/>
      <c r="E376" s="66"/>
      <c r="F376" s="66"/>
      <c r="G376" s="66"/>
      <c r="H376" s="66"/>
      <c r="I376" s="66"/>
      <c r="J376" s="66"/>
      <c r="K376" s="66"/>
      <c r="L376" s="66"/>
      <c r="M376" s="66"/>
      <c r="N376" s="66"/>
      <c r="O376" s="66"/>
      <c r="P376" s="66"/>
      <c r="Q376" s="66"/>
      <c r="R376" s="66"/>
      <c r="S376" s="66"/>
      <c r="T376" s="66"/>
      <c r="U376" s="67"/>
    </row>
    <row r="377" spans="3:21" s="27" customFormat="1" ht="11.25" hidden="1" x14ac:dyDescent="0.2"/>
    <row r="378" spans="3:21" s="27" customFormat="1" ht="11.25" hidden="1" x14ac:dyDescent="0.2"/>
    <row r="379" spans="3:21" s="27" customFormat="1" ht="11.25" hidden="1" x14ac:dyDescent="0.2"/>
    <row r="380" spans="3:21" s="27" customFormat="1" ht="11.25" hidden="1" x14ac:dyDescent="0.2"/>
    <row r="381" spans="3:21" s="27" customFormat="1" ht="11.25" hidden="1" x14ac:dyDescent="0.2"/>
    <row r="382" spans="3:21" s="27" customFormat="1" ht="11.25" hidden="1" x14ac:dyDescent="0.2"/>
    <row r="383" spans="3:21" s="27" customFormat="1" ht="11.25" hidden="1" x14ac:dyDescent="0.2"/>
    <row r="384" spans="3:21" s="27" customFormat="1" ht="11.25" hidden="1" x14ac:dyDescent="0.2"/>
    <row r="385" s="27" customFormat="1" ht="11.25" hidden="1" x14ac:dyDescent="0.2"/>
    <row r="386" s="27" customFormat="1" ht="11.25" hidden="1" x14ac:dyDescent="0.2"/>
    <row r="387" s="27" customFormat="1" ht="11.25" hidden="1" x14ac:dyDescent="0.2"/>
    <row r="388" s="27" customFormat="1" ht="11.25" hidden="1" x14ac:dyDescent="0.2"/>
    <row r="389" s="27" customFormat="1" ht="11.25" hidden="1" x14ac:dyDescent="0.2"/>
    <row r="390" s="27" customFormat="1" ht="11.25" hidden="1" x14ac:dyDescent="0.2"/>
    <row r="391" s="27" customFormat="1" ht="11.25" hidden="1" x14ac:dyDescent="0.2"/>
    <row r="392" s="27" customFormat="1" ht="11.25" hidden="1" x14ac:dyDescent="0.2"/>
    <row r="393" s="27" customFormat="1" ht="11.25" hidden="1" x14ac:dyDescent="0.2"/>
    <row r="394" s="27" customFormat="1" ht="11.25" hidden="1" x14ac:dyDescent="0.2"/>
    <row r="395" s="27" customFormat="1" ht="11.25" hidden="1" x14ac:dyDescent="0.2"/>
    <row r="396" s="27" customFormat="1" ht="11.25" hidden="1" x14ac:dyDescent="0.2"/>
    <row r="397" s="27" customFormat="1" ht="11.25" hidden="1" x14ac:dyDescent="0.2"/>
    <row r="398" s="27" customFormat="1" ht="11.25" hidden="1" x14ac:dyDescent="0.2"/>
    <row r="399" s="27" customFormat="1" ht="11.25" hidden="1" x14ac:dyDescent="0.2"/>
    <row r="400" s="27" customFormat="1" ht="11.25" hidden="1" x14ac:dyDescent="0.2"/>
    <row r="401" s="27" customFormat="1" ht="11.25" hidden="1" x14ac:dyDescent="0.2"/>
    <row r="402" s="27" customFormat="1" ht="11.25" hidden="1" x14ac:dyDescent="0.2"/>
    <row r="403" s="27" customFormat="1" ht="11.25" hidden="1" x14ac:dyDescent="0.2"/>
    <row r="404" s="27" customFormat="1" ht="11.25" hidden="1" x14ac:dyDescent="0.2"/>
    <row r="405" s="27" customFormat="1" ht="11.25" hidden="1" x14ac:dyDescent="0.2"/>
    <row r="406" s="27" customFormat="1" ht="11.25" hidden="1" x14ac:dyDescent="0.2"/>
    <row r="407" s="27" customFormat="1" ht="11.25" hidden="1" x14ac:dyDescent="0.2"/>
    <row r="408" s="27" customFormat="1" ht="11.25" hidden="1" x14ac:dyDescent="0.2"/>
    <row r="409" s="27" customFormat="1" ht="11.25" hidden="1" x14ac:dyDescent="0.2"/>
    <row r="410" s="27" customFormat="1" ht="11.25" hidden="1" x14ac:dyDescent="0.2"/>
    <row r="411" s="27" customFormat="1" ht="11.25" hidden="1" x14ac:dyDescent="0.2"/>
    <row r="412" s="27" customFormat="1" ht="11.25" hidden="1" x14ac:dyDescent="0.2"/>
    <row r="413" s="27" customFormat="1" ht="11.25" hidden="1" x14ac:dyDescent="0.2"/>
    <row r="414" s="27" customFormat="1" ht="11.25" hidden="1" x14ac:dyDescent="0.2"/>
    <row r="415" s="27" customFormat="1" ht="11.25" hidden="1" x14ac:dyDescent="0.2"/>
    <row r="416" s="27" customFormat="1" ht="11.25" hidden="1" x14ac:dyDescent="0.2"/>
    <row r="417" s="27" customFormat="1" ht="11.25" hidden="1" x14ac:dyDescent="0.2"/>
    <row r="418" s="27" customFormat="1" ht="11.25" hidden="1" x14ac:dyDescent="0.2"/>
    <row r="419" s="27" customFormat="1" ht="11.25" hidden="1" x14ac:dyDescent="0.2"/>
    <row r="420" s="27" customFormat="1" ht="11.25" hidden="1" x14ac:dyDescent="0.2"/>
    <row r="421" s="27" customFormat="1" ht="11.25" hidden="1" x14ac:dyDescent="0.2"/>
    <row r="422" s="27" customFormat="1" ht="11.25" hidden="1" x14ac:dyDescent="0.2"/>
    <row r="423" s="27" customFormat="1" ht="11.25" hidden="1" x14ac:dyDescent="0.2"/>
    <row r="424" s="27" customFormat="1" ht="11.25" hidden="1" x14ac:dyDescent="0.2"/>
    <row r="425" s="27" customFormat="1" ht="11.25" hidden="1" x14ac:dyDescent="0.2"/>
    <row r="426" s="27" customFormat="1" ht="11.25" hidden="1" x14ac:dyDescent="0.2"/>
    <row r="427" s="27" customFormat="1" ht="11.25" hidden="1" x14ac:dyDescent="0.2"/>
    <row r="428" s="27" customFormat="1" ht="11.25" hidden="1" x14ac:dyDescent="0.2"/>
    <row r="429" s="27" customFormat="1" ht="11.25" hidden="1" x14ac:dyDescent="0.2"/>
    <row r="430" s="27" customFormat="1" ht="11.25" hidden="1" x14ac:dyDescent="0.2"/>
    <row r="431" s="27" customFormat="1" ht="11.25" hidden="1" x14ac:dyDescent="0.2"/>
    <row r="432" s="27" customFormat="1" ht="11.25" hidden="1" x14ac:dyDescent="0.2"/>
    <row r="433" s="27" customFormat="1" ht="11.25" hidden="1" x14ac:dyDescent="0.2"/>
    <row r="434" s="27" customFormat="1" ht="11.25" hidden="1" x14ac:dyDescent="0.2"/>
    <row r="435" s="27" customFormat="1" ht="11.25" hidden="1" x14ac:dyDescent="0.2"/>
    <row r="436" s="27" customFormat="1" ht="11.25" hidden="1" x14ac:dyDescent="0.2"/>
    <row r="437" s="27" customFormat="1" ht="11.25" hidden="1" x14ac:dyDescent="0.2"/>
    <row r="438" s="27" customFormat="1" ht="11.25" hidden="1" x14ac:dyDescent="0.2"/>
    <row r="439" s="27" customFormat="1" ht="11.25" hidden="1" x14ac:dyDescent="0.2"/>
    <row r="440" s="27" customFormat="1" ht="11.25" hidden="1" x14ac:dyDescent="0.2"/>
    <row r="441" s="27" customFormat="1" ht="11.25" hidden="1" x14ac:dyDescent="0.2"/>
    <row r="442" s="27" customFormat="1" ht="11.25" hidden="1" x14ac:dyDescent="0.2"/>
    <row r="443" s="27" customFormat="1" ht="11.25" hidden="1" x14ac:dyDescent="0.2"/>
    <row r="444" s="27" customFormat="1" ht="11.25" hidden="1" x14ac:dyDescent="0.2"/>
    <row r="445" s="27" customFormat="1" ht="11.25" hidden="1" x14ac:dyDescent="0.2"/>
    <row r="446" s="27" customFormat="1" ht="11.25" hidden="1" x14ac:dyDescent="0.2"/>
    <row r="447" s="27" customFormat="1" ht="11.25" hidden="1" x14ac:dyDescent="0.2"/>
    <row r="448" s="27" customFormat="1" ht="11.25" hidden="1" x14ac:dyDescent="0.2"/>
    <row r="449" s="27" customFormat="1" ht="11.25" hidden="1" x14ac:dyDescent="0.2"/>
    <row r="450" s="27" customFormat="1" ht="11.25" hidden="1" x14ac:dyDescent="0.2"/>
    <row r="451" s="27" customFormat="1" ht="11.25" hidden="1" x14ac:dyDescent="0.2"/>
    <row r="452" s="27" customFormat="1" ht="11.25" hidden="1" x14ac:dyDescent="0.2"/>
    <row r="453" s="27" customFormat="1" ht="11.25" hidden="1" x14ac:dyDescent="0.2"/>
    <row r="454" s="27" customFormat="1" ht="11.25" hidden="1" x14ac:dyDescent="0.2"/>
    <row r="455" s="27" customFormat="1" ht="11.25" hidden="1" x14ac:dyDescent="0.2"/>
    <row r="456" s="27" customFormat="1" ht="11.25" hidden="1" x14ac:dyDescent="0.2"/>
    <row r="457" s="27" customFormat="1" ht="11.25" hidden="1" x14ac:dyDescent="0.2"/>
    <row r="458" s="27" customFormat="1" ht="11.25" hidden="1" x14ac:dyDescent="0.2"/>
    <row r="459" s="27" customFormat="1" ht="11.25" hidden="1" x14ac:dyDescent="0.2"/>
    <row r="460" s="27" customFormat="1" ht="11.25" hidden="1" x14ac:dyDescent="0.2"/>
    <row r="461" s="27" customFormat="1" ht="11.25" hidden="1" x14ac:dyDescent="0.2"/>
    <row r="462" s="27" customFormat="1" ht="11.25" hidden="1" x14ac:dyDescent="0.2"/>
    <row r="463" s="27" customFormat="1" ht="11.25" hidden="1" x14ac:dyDescent="0.2"/>
    <row r="464" s="27" customFormat="1" ht="11.25" hidden="1" x14ac:dyDescent="0.2"/>
    <row r="465" s="27" customFormat="1" ht="11.25" hidden="1" x14ac:dyDescent="0.2"/>
    <row r="466" s="27" customFormat="1" ht="11.25" hidden="1" x14ac:dyDescent="0.2"/>
    <row r="467" s="27" customFormat="1" ht="11.25" hidden="1" x14ac:dyDescent="0.2"/>
    <row r="468" s="27" customFormat="1" ht="11.25" hidden="1" x14ac:dyDescent="0.2"/>
    <row r="469" s="27" customFormat="1" ht="11.25" hidden="1" x14ac:dyDescent="0.2"/>
    <row r="470" s="27" customFormat="1" ht="11.25" hidden="1" x14ac:dyDescent="0.2"/>
    <row r="471" s="27" customFormat="1" ht="11.25" hidden="1" x14ac:dyDescent="0.2"/>
    <row r="472" s="27" customFormat="1" ht="11.25" hidden="1" x14ac:dyDescent="0.2"/>
    <row r="473" s="27" customFormat="1" ht="11.25" hidden="1" x14ac:dyDescent="0.2"/>
    <row r="474" s="27" customFormat="1" ht="11.25" hidden="1" x14ac:dyDescent="0.2"/>
    <row r="475" s="27" customFormat="1" ht="11.25" hidden="1" x14ac:dyDescent="0.2"/>
    <row r="476" s="27" customFormat="1" ht="11.25" hidden="1" x14ac:dyDescent="0.2"/>
    <row r="477" s="27" customFormat="1" ht="11.25" hidden="1" x14ac:dyDescent="0.2"/>
    <row r="478" s="27" customFormat="1" ht="11.25" hidden="1" x14ac:dyDescent="0.2"/>
    <row r="479" s="27" customFormat="1" ht="11.25" hidden="1" x14ac:dyDescent="0.2"/>
    <row r="480" s="27" customFormat="1" ht="11.25" hidden="1" x14ac:dyDescent="0.2"/>
    <row r="481" s="27" customFormat="1" ht="11.25" hidden="1" x14ac:dyDescent="0.2"/>
    <row r="482" s="27" customFormat="1" ht="11.25" hidden="1" x14ac:dyDescent="0.2"/>
    <row r="483" s="27" customFormat="1" ht="11.25" hidden="1" x14ac:dyDescent="0.2"/>
    <row r="484" s="27" customFormat="1" ht="11.25" hidden="1" x14ac:dyDescent="0.2"/>
    <row r="485" s="27" customFormat="1" ht="11.25" hidden="1" x14ac:dyDescent="0.2"/>
    <row r="486" s="27" customFormat="1" ht="11.25" hidden="1" x14ac:dyDescent="0.2"/>
    <row r="487" s="27" customFormat="1" ht="11.25" hidden="1" x14ac:dyDescent="0.2"/>
    <row r="488" s="27" customFormat="1" ht="11.25" hidden="1" x14ac:dyDescent="0.2"/>
    <row r="489" s="27" customFormat="1" ht="11.25" hidden="1" x14ac:dyDescent="0.2"/>
    <row r="490" s="27" customFormat="1" ht="11.25" hidden="1" x14ac:dyDescent="0.2"/>
    <row r="491" s="27" customFormat="1" ht="11.25" hidden="1" x14ac:dyDescent="0.2"/>
    <row r="492" s="27" customFormat="1" ht="11.25" hidden="1" x14ac:dyDescent="0.2"/>
    <row r="493" s="27" customFormat="1" ht="11.25" hidden="1" x14ac:dyDescent="0.2"/>
    <row r="494" s="27" customFormat="1" ht="11.25" hidden="1" x14ac:dyDescent="0.2"/>
    <row r="495" s="27" customFormat="1" ht="11.25" hidden="1" x14ac:dyDescent="0.2"/>
    <row r="496" s="27" customFormat="1" ht="11.25" hidden="1" x14ac:dyDescent="0.2"/>
    <row r="497" s="27" customFormat="1" ht="11.25" hidden="1" x14ac:dyDescent="0.2"/>
    <row r="498" s="27" customFormat="1" ht="11.25" hidden="1" x14ac:dyDescent="0.2"/>
    <row r="499" s="27" customFormat="1" ht="11.25" hidden="1" x14ac:dyDescent="0.2"/>
    <row r="500" s="27" customFormat="1" ht="11.25" hidden="1" x14ac:dyDescent="0.2"/>
    <row r="501" s="27" customFormat="1" ht="11.25" hidden="1" x14ac:dyDescent="0.2"/>
    <row r="502" s="27" customFormat="1" ht="11.25" hidden="1" x14ac:dyDescent="0.2"/>
    <row r="503" s="27" customFormat="1" ht="11.25" hidden="1" x14ac:dyDescent="0.2"/>
    <row r="504" s="27" customFormat="1" ht="11.25" hidden="1" x14ac:dyDescent="0.2"/>
    <row r="505" s="27" customFormat="1" ht="11.25" hidden="1" x14ac:dyDescent="0.2"/>
    <row r="506" s="27" customFormat="1" ht="11.25" hidden="1" x14ac:dyDescent="0.2"/>
    <row r="507" s="27" customFormat="1" ht="11.25" hidden="1" x14ac:dyDescent="0.2"/>
    <row r="508" s="27" customFormat="1" ht="11.25" hidden="1" x14ac:dyDescent="0.2"/>
    <row r="509" s="27" customFormat="1" ht="11.25" hidden="1" x14ac:dyDescent="0.2"/>
    <row r="510" s="27" customFormat="1" ht="11.25" hidden="1" x14ac:dyDescent="0.2"/>
    <row r="511" s="27" customFormat="1" ht="11.25" hidden="1" x14ac:dyDescent="0.2"/>
    <row r="512" s="27" customFormat="1" ht="11.25" hidden="1" x14ac:dyDescent="0.2"/>
    <row r="513" s="27" customFormat="1" ht="11.25" hidden="1" x14ac:dyDescent="0.2"/>
    <row r="514" s="27" customFormat="1" ht="11.25" hidden="1" x14ac:dyDescent="0.2"/>
    <row r="515" s="27" customFormat="1" ht="11.25" hidden="1" x14ac:dyDescent="0.2"/>
    <row r="516" s="27" customFormat="1" ht="11.25" hidden="1" x14ac:dyDescent="0.2"/>
    <row r="517" s="27" customFormat="1" ht="11.25" hidden="1" x14ac:dyDescent="0.2"/>
    <row r="518" s="27" customFormat="1" ht="11.25" hidden="1" x14ac:dyDescent="0.2"/>
    <row r="519" s="27" customFormat="1" ht="11.25" hidden="1" x14ac:dyDescent="0.2"/>
    <row r="520" s="27" customFormat="1" ht="11.25" hidden="1" x14ac:dyDescent="0.2"/>
    <row r="521" s="27" customFormat="1" ht="11.25" hidden="1" x14ac:dyDescent="0.2"/>
    <row r="522" s="27" customFormat="1" ht="11.25" hidden="1" x14ac:dyDescent="0.2"/>
    <row r="523" s="27" customFormat="1" ht="11.25" hidden="1" x14ac:dyDescent="0.2"/>
    <row r="524" s="27" customFormat="1" ht="11.25" hidden="1" x14ac:dyDescent="0.2"/>
    <row r="525" s="27" customFormat="1" ht="11.25" hidden="1" x14ac:dyDescent="0.2"/>
    <row r="526" s="27" customFormat="1" ht="11.25" hidden="1" x14ac:dyDescent="0.2"/>
    <row r="527" s="27" customFormat="1" ht="11.25" hidden="1" x14ac:dyDescent="0.2"/>
    <row r="528" s="27" customFormat="1" ht="11.25" hidden="1" x14ac:dyDescent="0.2"/>
    <row r="529" s="27" customFormat="1" ht="11.25" hidden="1" x14ac:dyDescent="0.2"/>
    <row r="530" s="27" customFormat="1" ht="11.25" hidden="1" x14ac:dyDescent="0.2"/>
    <row r="531" s="27" customFormat="1" ht="11.25" hidden="1" x14ac:dyDescent="0.2"/>
    <row r="532" s="27" customFormat="1" ht="11.25" hidden="1" x14ac:dyDescent="0.2"/>
    <row r="533" s="27" customFormat="1" ht="11.25" hidden="1" x14ac:dyDescent="0.2"/>
    <row r="534" s="27" customFormat="1" ht="11.25" hidden="1" x14ac:dyDescent="0.2"/>
    <row r="535" s="27" customFormat="1" ht="11.25" hidden="1" x14ac:dyDescent="0.2"/>
    <row r="536" s="27" customFormat="1" ht="11.25" hidden="1" x14ac:dyDescent="0.2"/>
    <row r="537" s="27" customFormat="1" ht="11.25" hidden="1" x14ac:dyDescent="0.2"/>
    <row r="538" s="27" customFormat="1" ht="11.25" hidden="1" x14ac:dyDescent="0.2"/>
    <row r="539" s="27" customFormat="1" ht="11.25" hidden="1" x14ac:dyDescent="0.2"/>
    <row r="540" s="27" customFormat="1" ht="11.25" hidden="1" x14ac:dyDescent="0.2"/>
    <row r="541" s="27" customFormat="1" ht="11.25" hidden="1" x14ac:dyDescent="0.2"/>
    <row r="542" s="27" customFormat="1" ht="11.25" hidden="1" x14ac:dyDescent="0.2"/>
    <row r="543" s="27" customFormat="1" ht="11.25" hidden="1" x14ac:dyDescent="0.2"/>
    <row r="544" s="27" customFormat="1" ht="11.25" hidden="1" x14ac:dyDescent="0.2"/>
    <row r="545" s="27" customFormat="1" ht="11.25" hidden="1" x14ac:dyDescent="0.2"/>
    <row r="546" s="27" customFormat="1" ht="11.25" hidden="1" x14ac:dyDescent="0.2"/>
    <row r="547" s="27" customFormat="1" ht="11.25" hidden="1" x14ac:dyDescent="0.2"/>
    <row r="548" s="27" customFormat="1" ht="11.25" hidden="1" x14ac:dyDescent="0.2"/>
    <row r="549" s="27" customFormat="1" ht="11.25" hidden="1" x14ac:dyDescent="0.2"/>
    <row r="550" s="27" customFormat="1" ht="11.25" hidden="1" x14ac:dyDescent="0.2"/>
    <row r="551" s="27" customFormat="1" ht="11.25" hidden="1" x14ac:dyDescent="0.2"/>
    <row r="552" s="27" customFormat="1" ht="11.25" hidden="1" x14ac:dyDescent="0.2"/>
    <row r="553" s="27" customFormat="1" ht="11.25" hidden="1" x14ac:dyDescent="0.2"/>
    <row r="554" s="27" customFormat="1" ht="11.25" hidden="1" x14ac:dyDescent="0.2"/>
    <row r="555" s="27" customFormat="1" ht="11.25" hidden="1" x14ac:dyDescent="0.2"/>
    <row r="556" s="27" customFormat="1" ht="11.25" hidden="1" x14ac:dyDescent="0.2"/>
    <row r="557" s="27" customFormat="1" ht="11.25" hidden="1" x14ac:dyDescent="0.2"/>
    <row r="558" s="27" customFormat="1" ht="11.25" hidden="1" x14ac:dyDescent="0.2"/>
    <row r="559" s="27" customFormat="1" ht="11.25" hidden="1" x14ac:dyDescent="0.2"/>
    <row r="560" s="27" customFormat="1" ht="11.25" hidden="1" x14ac:dyDescent="0.2"/>
    <row r="561" s="27" customFormat="1" ht="11.25" hidden="1" x14ac:dyDescent="0.2"/>
    <row r="562" s="27" customFormat="1" ht="11.25" hidden="1" x14ac:dyDescent="0.2"/>
    <row r="563" s="27" customFormat="1" ht="11.25" hidden="1" x14ac:dyDescent="0.2"/>
    <row r="564" s="27" customFormat="1" ht="11.25" hidden="1" x14ac:dyDescent="0.2"/>
    <row r="565" s="27" customFormat="1" ht="11.25" hidden="1" x14ac:dyDescent="0.2"/>
    <row r="566" s="27" customFormat="1" ht="11.25" hidden="1" x14ac:dyDescent="0.2"/>
    <row r="567" s="27" customFormat="1" ht="11.25" hidden="1" x14ac:dyDescent="0.2"/>
    <row r="568" s="27" customFormat="1" ht="11.25" hidden="1" x14ac:dyDescent="0.2"/>
    <row r="569" s="27" customFormat="1" ht="11.25" hidden="1" x14ac:dyDescent="0.2"/>
    <row r="570" s="27" customFormat="1" ht="11.25" hidden="1" x14ac:dyDescent="0.2"/>
    <row r="571" s="27" customFormat="1" ht="11.25" hidden="1" x14ac:dyDescent="0.2"/>
    <row r="572" s="27" customFormat="1" ht="11.25" hidden="1" x14ac:dyDescent="0.2"/>
    <row r="573" s="27" customFormat="1" ht="11.25" hidden="1" x14ac:dyDescent="0.2"/>
    <row r="574" s="27" customFormat="1" ht="11.25" hidden="1" x14ac:dyDescent="0.2"/>
    <row r="575" s="27" customFormat="1" ht="11.25" hidden="1" x14ac:dyDescent="0.2"/>
    <row r="576" s="27" customFormat="1" ht="11.25" hidden="1" x14ac:dyDescent="0.2"/>
    <row r="577" s="27" customFormat="1" ht="11.25" hidden="1" x14ac:dyDescent="0.2"/>
    <row r="578" s="27" customFormat="1" ht="11.25" hidden="1" x14ac:dyDescent="0.2"/>
    <row r="579" s="27" customFormat="1" ht="11.25" hidden="1" x14ac:dyDescent="0.2"/>
    <row r="580" s="27" customFormat="1" ht="11.25" hidden="1" x14ac:dyDescent="0.2"/>
    <row r="581" s="27" customFormat="1" ht="11.25" hidden="1" x14ac:dyDescent="0.2"/>
    <row r="582" s="27" customFormat="1" ht="11.25" hidden="1" x14ac:dyDescent="0.2"/>
    <row r="583" s="27" customFormat="1" ht="11.25" hidden="1" x14ac:dyDescent="0.2"/>
    <row r="584" s="27" customFormat="1" ht="11.25" hidden="1" x14ac:dyDescent="0.2"/>
    <row r="585" s="27" customFormat="1" ht="11.25" hidden="1" x14ac:dyDescent="0.2"/>
    <row r="586" s="27" customFormat="1" ht="11.25" hidden="1" x14ac:dyDescent="0.2"/>
    <row r="587" s="27" customFormat="1" ht="11.25" hidden="1" x14ac:dyDescent="0.2"/>
    <row r="588" s="27" customFormat="1" ht="11.25" hidden="1" x14ac:dyDescent="0.2"/>
    <row r="589" s="27" customFormat="1" ht="11.25" hidden="1" x14ac:dyDescent="0.2"/>
    <row r="590" s="27" customFormat="1" ht="11.25" hidden="1" x14ac:dyDescent="0.2"/>
    <row r="591" s="27" customFormat="1" ht="11.25" hidden="1" x14ac:dyDescent="0.2"/>
    <row r="592" s="27" customFormat="1" ht="11.25" hidden="1" x14ac:dyDescent="0.2"/>
    <row r="593" s="27" customFormat="1" ht="11.25" hidden="1" x14ac:dyDescent="0.2"/>
    <row r="594" s="27" customFormat="1" ht="11.25" hidden="1" x14ac:dyDescent="0.2"/>
    <row r="595" s="27" customFormat="1" ht="11.25" hidden="1" x14ac:dyDescent="0.2"/>
    <row r="596" s="27" customFormat="1" ht="11.25" hidden="1" x14ac:dyDescent="0.2"/>
    <row r="597" s="27" customFormat="1" ht="11.25" hidden="1" x14ac:dyDescent="0.2"/>
    <row r="598" s="27" customFormat="1" ht="11.25" hidden="1" x14ac:dyDescent="0.2"/>
    <row r="599" s="27" customFormat="1" ht="11.25" hidden="1" x14ac:dyDescent="0.2"/>
    <row r="600" s="27" customFormat="1" ht="11.25" hidden="1" x14ac:dyDescent="0.2"/>
    <row r="601" s="27" customFormat="1" ht="11.25" hidden="1" x14ac:dyDescent="0.2"/>
    <row r="602" s="27" customFormat="1" ht="11.25" hidden="1" x14ac:dyDescent="0.2"/>
    <row r="603" s="27" customFormat="1" ht="11.25" hidden="1" x14ac:dyDescent="0.2"/>
    <row r="604" s="27" customFormat="1" ht="11.25" hidden="1" x14ac:dyDescent="0.2"/>
    <row r="605" s="27" customFormat="1" ht="11.25" hidden="1" x14ac:dyDescent="0.2"/>
    <row r="606" s="27" customFormat="1" ht="11.25" hidden="1" x14ac:dyDescent="0.2"/>
    <row r="607" s="27" customFormat="1" ht="11.25" hidden="1" x14ac:dyDescent="0.2"/>
    <row r="608" s="27" customFormat="1" ht="11.25" hidden="1" x14ac:dyDescent="0.2"/>
    <row r="609" s="27" customFormat="1" ht="11.25" hidden="1" x14ac:dyDescent="0.2"/>
    <row r="610" s="27" customFormat="1" ht="11.25" hidden="1" x14ac:dyDescent="0.2"/>
    <row r="611" s="27" customFormat="1" ht="11.25" hidden="1" x14ac:dyDescent="0.2"/>
    <row r="612" s="27" customFormat="1" ht="11.25" hidden="1" x14ac:dyDescent="0.2"/>
    <row r="613" s="27" customFormat="1" ht="11.25" hidden="1" x14ac:dyDescent="0.2"/>
    <row r="614" s="27" customFormat="1" ht="11.25" hidden="1" x14ac:dyDescent="0.2"/>
    <row r="615" s="27" customFormat="1" ht="11.25" hidden="1" x14ac:dyDescent="0.2"/>
    <row r="616" s="27" customFormat="1" ht="11.25" hidden="1" x14ac:dyDescent="0.2"/>
    <row r="617" s="27" customFormat="1" ht="11.25" hidden="1" x14ac:dyDescent="0.2"/>
    <row r="618" s="27" customFormat="1" ht="11.25" hidden="1" x14ac:dyDescent="0.2"/>
    <row r="619" s="27" customFormat="1" ht="11.25" hidden="1" x14ac:dyDescent="0.2"/>
    <row r="620" s="27" customFormat="1" ht="11.25" hidden="1" x14ac:dyDescent="0.2"/>
    <row r="621" s="27" customFormat="1" ht="11.25" hidden="1" x14ac:dyDescent="0.2"/>
    <row r="622" s="27" customFormat="1" ht="11.25" hidden="1" x14ac:dyDescent="0.2"/>
    <row r="623" s="27" customFormat="1" ht="11.25" hidden="1" x14ac:dyDescent="0.2"/>
    <row r="624" s="27" customFormat="1" ht="11.25" hidden="1" x14ac:dyDescent="0.2"/>
    <row r="625" s="27" customFormat="1" ht="11.25" hidden="1" x14ac:dyDescent="0.2"/>
    <row r="626" s="27" customFormat="1" ht="11.25" hidden="1" x14ac:dyDescent="0.2"/>
    <row r="627" s="27" customFormat="1" ht="11.25" hidden="1" x14ac:dyDescent="0.2"/>
    <row r="628" s="27" customFormat="1" ht="11.25" hidden="1" x14ac:dyDescent="0.2"/>
    <row r="629" s="27" customFormat="1" ht="11.25" hidden="1" x14ac:dyDescent="0.2"/>
    <row r="630" s="27" customFormat="1" ht="11.25" hidden="1" x14ac:dyDescent="0.2"/>
    <row r="631" s="27" customFormat="1" ht="11.25" hidden="1" x14ac:dyDescent="0.2"/>
    <row r="632" s="27" customFormat="1" ht="11.25" hidden="1" x14ac:dyDescent="0.2"/>
    <row r="633" s="27" customFormat="1" ht="11.25" hidden="1" x14ac:dyDescent="0.2"/>
    <row r="634" s="27" customFormat="1" ht="11.25" hidden="1" x14ac:dyDescent="0.2"/>
    <row r="635" s="27" customFormat="1" ht="11.25" hidden="1" x14ac:dyDescent="0.2"/>
    <row r="636" s="27" customFormat="1" ht="11.25" hidden="1" x14ac:dyDescent="0.2"/>
    <row r="637" s="27" customFormat="1" ht="11.25" hidden="1" x14ac:dyDescent="0.2"/>
    <row r="638" s="27" customFormat="1" ht="11.25" hidden="1" x14ac:dyDescent="0.2"/>
    <row r="639" s="27" customFormat="1" ht="11.25" hidden="1" x14ac:dyDescent="0.2"/>
    <row r="640" s="27" customFormat="1" ht="11.25" hidden="1" x14ac:dyDescent="0.2"/>
    <row r="641" s="27" customFormat="1" ht="11.25" hidden="1" x14ac:dyDescent="0.2"/>
    <row r="642" s="27" customFormat="1" ht="11.25" hidden="1" x14ac:dyDescent="0.2"/>
    <row r="643" s="27" customFormat="1" ht="11.25" hidden="1" x14ac:dyDescent="0.2"/>
    <row r="644" s="27" customFormat="1" ht="11.25" hidden="1" x14ac:dyDescent="0.2"/>
    <row r="645" s="27" customFormat="1" ht="11.25" hidden="1" x14ac:dyDescent="0.2"/>
    <row r="646" s="27" customFormat="1" ht="11.25" hidden="1" x14ac:dyDescent="0.2"/>
    <row r="647" s="27" customFormat="1" ht="11.25" hidden="1" x14ac:dyDescent="0.2"/>
    <row r="648" s="27" customFormat="1" ht="11.25" hidden="1" x14ac:dyDescent="0.2"/>
    <row r="649" s="27" customFormat="1" ht="11.25" hidden="1" x14ac:dyDescent="0.2"/>
    <row r="650" s="27" customFormat="1" ht="11.25" hidden="1" x14ac:dyDescent="0.2"/>
    <row r="651" s="27" customFormat="1" ht="11.25" hidden="1" x14ac:dyDescent="0.2"/>
    <row r="652" s="27" customFormat="1" ht="11.25" hidden="1" x14ac:dyDescent="0.2"/>
    <row r="653" s="27" customFormat="1" ht="11.25" hidden="1" x14ac:dyDescent="0.2"/>
    <row r="654" s="27" customFormat="1" ht="11.25" hidden="1" x14ac:dyDescent="0.2"/>
    <row r="655" s="27" customFormat="1" ht="11.25" hidden="1" x14ac:dyDescent="0.2"/>
    <row r="656" s="27" customFormat="1" ht="11.25" hidden="1" x14ac:dyDescent="0.2"/>
    <row r="657" s="27" customFormat="1" ht="11.25" hidden="1" x14ac:dyDescent="0.2"/>
    <row r="658" s="27" customFormat="1" ht="11.25" hidden="1" x14ac:dyDescent="0.2"/>
    <row r="659" s="27" customFormat="1" ht="11.25" hidden="1" x14ac:dyDescent="0.2"/>
    <row r="660" s="27" customFormat="1" ht="11.25" hidden="1" x14ac:dyDescent="0.2"/>
    <row r="661" s="27" customFormat="1" ht="11.25" hidden="1" x14ac:dyDescent="0.2"/>
    <row r="662" s="27" customFormat="1" ht="11.25" hidden="1" x14ac:dyDescent="0.2"/>
    <row r="663" s="27" customFormat="1" ht="11.25" hidden="1" x14ac:dyDescent="0.2"/>
    <row r="664" s="27" customFormat="1" ht="11.25" hidden="1" x14ac:dyDescent="0.2"/>
    <row r="665" s="27" customFormat="1" ht="11.25" hidden="1" x14ac:dyDescent="0.2"/>
    <row r="666" s="27" customFormat="1" ht="11.25" hidden="1" x14ac:dyDescent="0.2"/>
    <row r="667" s="27" customFormat="1" ht="11.25" hidden="1" x14ac:dyDescent="0.2"/>
    <row r="668" s="27" customFormat="1" ht="11.25" hidden="1" x14ac:dyDescent="0.2"/>
    <row r="669" s="27" customFormat="1" ht="11.25" hidden="1" x14ac:dyDescent="0.2"/>
    <row r="670" s="27" customFormat="1" ht="11.25" hidden="1" x14ac:dyDescent="0.2"/>
    <row r="671" s="27" customFormat="1" ht="11.25" hidden="1" x14ac:dyDescent="0.2"/>
    <row r="672" s="27" customFormat="1" ht="11.25" hidden="1" x14ac:dyDescent="0.2"/>
    <row r="673" s="27" customFormat="1" ht="11.25" hidden="1" x14ac:dyDescent="0.2"/>
    <row r="674" s="27" customFormat="1" ht="11.25" hidden="1" x14ac:dyDescent="0.2"/>
    <row r="675" s="27" customFormat="1" ht="11.25" hidden="1" x14ac:dyDescent="0.2"/>
    <row r="676" s="27" customFormat="1" ht="11.25" hidden="1" x14ac:dyDescent="0.2"/>
    <row r="677" s="27" customFormat="1" ht="11.25" hidden="1" x14ac:dyDescent="0.2"/>
    <row r="678" s="27" customFormat="1" ht="11.25" hidden="1" x14ac:dyDescent="0.2"/>
    <row r="679" s="27" customFormat="1" ht="11.25" hidden="1" x14ac:dyDescent="0.2"/>
    <row r="680" s="27" customFormat="1" ht="11.25" hidden="1" x14ac:dyDescent="0.2"/>
    <row r="681" s="27" customFormat="1" ht="11.25" hidden="1" x14ac:dyDescent="0.2"/>
    <row r="682" s="27" customFormat="1" ht="11.25" hidden="1" x14ac:dyDescent="0.2"/>
    <row r="683" s="27" customFormat="1" ht="11.25" hidden="1" x14ac:dyDescent="0.2"/>
    <row r="684" s="27" customFormat="1" ht="11.25" hidden="1" x14ac:dyDescent="0.2"/>
    <row r="685" s="27" customFormat="1" ht="11.25" hidden="1" x14ac:dyDescent="0.2"/>
    <row r="686" s="27" customFormat="1" ht="11.25" hidden="1" x14ac:dyDescent="0.2"/>
    <row r="687" s="27" customFormat="1" ht="11.25" hidden="1" x14ac:dyDescent="0.2"/>
    <row r="688" s="27" customFormat="1" ht="11.25" hidden="1" x14ac:dyDescent="0.2"/>
    <row r="689" s="27" customFormat="1" ht="11.25" hidden="1" x14ac:dyDescent="0.2"/>
    <row r="690" s="27" customFormat="1" ht="11.25" hidden="1" x14ac:dyDescent="0.2"/>
    <row r="691" s="27" customFormat="1" ht="11.25" hidden="1" x14ac:dyDescent="0.2"/>
    <row r="692" s="27" customFormat="1" ht="11.25" hidden="1" x14ac:dyDescent="0.2"/>
    <row r="693" s="27" customFormat="1" ht="11.25" hidden="1" x14ac:dyDescent="0.2"/>
    <row r="694" s="27" customFormat="1" ht="11.25" hidden="1" x14ac:dyDescent="0.2"/>
    <row r="695" s="27" customFormat="1" ht="11.25" hidden="1" x14ac:dyDescent="0.2"/>
    <row r="696" s="27" customFormat="1" ht="11.25" hidden="1" x14ac:dyDescent="0.2"/>
    <row r="697" s="27" customFormat="1" ht="11.25" hidden="1" x14ac:dyDescent="0.2"/>
    <row r="698" s="27" customFormat="1" ht="11.25" hidden="1" x14ac:dyDescent="0.2"/>
    <row r="699" s="27" customFormat="1" ht="11.25" hidden="1" x14ac:dyDescent="0.2"/>
    <row r="700" s="27" customFormat="1" ht="11.25" hidden="1" x14ac:dyDescent="0.2"/>
    <row r="701" s="27" customFormat="1" ht="11.25" hidden="1" x14ac:dyDescent="0.2"/>
    <row r="702" s="27" customFormat="1" ht="11.25" hidden="1" x14ac:dyDescent="0.2"/>
    <row r="703" s="27" customFormat="1" ht="11.25" hidden="1" x14ac:dyDescent="0.2"/>
    <row r="704" s="27" customFormat="1" ht="11.25" hidden="1" x14ac:dyDescent="0.2"/>
    <row r="705" s="27" customFormat="1" ht="11.25" hidden="1" x14ac:dyDescent="0.2"/>
    <row r="706" s="27" customFormat="1" ht="11.25" hidden="1" x14ac:dyDescent="0.2"/>
    <row r="707" s="27" customFormat="1" ht="11.25" hidden="1" x14ac:dyDescent="0.2"/>
    <row r="708" s="27" customFormat="1" ht="11.25" hidden="1" x14ac:dyDescent="0.2"/>
    <row r="709" s="27" customFormat="1" ht="11.25" hidden="1" x14ac:dyDescent="0.2"/>
    <row r="710" s="27" customFormat="1" ht="11.25" hidden="1" x14ac:dyDescent="0.2"/>
    <row r="711" s="27" customFormat="1" ht="11.25" hidden="1" x14ac:dyDescent="0.2"/>
    <row r="712" s="27" customFormat="1" ht="11.25" hidden="1" x14ac:dyDescent="0.2"/>
    <row r="713" s="27" customFormat="1" ht="11.25" hidden="1" x14ac:dyDescent="0.2"/>
    <row r="714" s="27" customFormat="1" ht="11.25" hidden="1" x14ac:dyDescent="0.2"/>
    <row r="715" s="27" customFormat="1" ht="11.25" hidden="1" x14ac:dyDescent="0.2"/>
    <row r="716" s="27" customFormat="1" ht="11.25" hidden="1" x14ac:dyDescent="0.2"/>
    <row r="717" s="27" customFormat="1" ht="11.25" hidden="1" x14ac:dyDescent="0.2"/>
    <row r="718" s="27" customFormat="1" ht="11.25" hidden="1" x14ac:dyDescent="0.2"/>
    <row r="719" s="27" customFormat="1" ht="11.25" hidden="1" x14ac:dyDescent="0.2"/>
    <row r="720" s="27" customFormat="1" ht="11.25" hidden="1" x14ac:dyDescent="0.2"/>
    <row r="721" s="27" customFormat="1" ht="11.25" hidden="1" x14ac:dyDescent="0.2"/>
    <row r="722" s="27" customFormat="1" ht="11.25" hidden="1" x14ac:dyDescent="0.2"/>
    <row r="723" s="27" customFormat="1" ht="11.25" hidden="1" x14ac:dyDescent="0.2"/>
    <row r="724" s="27" customFormat="1" ht="11.25" hidden="1" x14ac:dyDescent="0.2"/>
    <row r="725" s="27" customFormat="1" ht="11.25" hidden="1" x14ac:dyDescent="0.2"/>
    <row r="726" s="27" customFormat="1" ht="11.25" hidden="1" x14ac:dyDescent="0.2"/>
    <row r="727" s="27" customFormat="1" ht="11.25" hidden="1" x14ac:dyDescent="0.2"/>
    <row r="728" s="27" customFormat="1" ht="11.25" hidden="1" x14ac:dyDescent="0.2"/>
    <row r="729" s="27" customFormat="1" ht="11.25" hidden="1" x14ac:dyDescent="0.2"/>
    <row r="730" s="27" customFormat="1" ht="11.25" hidden="1" x14ac:dyDescent="0.2"/>
    <row r="731" s="27" customFormat="1" ht="11.25" hidden="1" x14ac:dyDescent="0.2"/>
    <row r="732" s="27" customFormat="1" ht="11.25" hidden="1" x14ac:dyDescent="0.2"/>
    <row r="733" s="27" customFormat="1" ht="11.25" hidden="1" x14ac:dyDescent="0.2"/>
    <row r="734" s="27" customFormat="1" ht="11.25" hidden="1" x14ac:dyDescent="0.2"/>
    <row r="735" s="27" customFormat="1" ht="11.25" hidden="1" x14ac:dyDescent="0.2"/>
    <row r="736" s="27" customFormat="1" ht="11.25" hidden="1" x14ac:dyDescent="0.2"/>
    <row r="737" s="27" customFormat="1" ht="11.25" hidden="1" x14ac:dyDescent="0.2"/>
    <row r="738" s="27" customFormat="1" ht="11.25" hidden="1" x14ac:dyDescent="0.2"/>
    <row r="739" s="27" customFormat="1" ht="11.25" hidden="1" x14ac:dyDescent="0.2"/>
    <row r="740" s="27" customFormat="1" ht="11.25" hidden="1" x14ac:dyDescent="0.2"/>
    <row r="741" s="27" customFormat="1" ht="11.25" hidden="1" x14ac:dyDescent="0.2"/>
    <row r="742" s="27" customFormat="1" ht="11.25" hidden="1" x14ac:dyDescent="0.2"/>
    <row r="743" s="27" customFormat="1" ht="11.25" hidden="1" x14ac:dyDescent="0.2"/>
    <row r="744" s="27" customFormat="1" ht="11.25" hidden="1" x14ac:dyDescent="0.2"/>
    <row r="745" s="27" customFormat="1" ht="11.25" hidden="1" x14ac:dyDescent="0.2"/>
    <row r="746" s="27" customFormat="1" ht="11.25" hidden="1" x14ac:dyDescent="0.2"/>
    <row r="747" s="27" customFormat="1" ht="11.25" hidden="1" x14ac:dyDescent="0.2"/>
    <row r="748" s="27" customFormat="1" ht="11.25" hidden="1" x14ac:dyDescent="0.2"/>
    <row r="749" s="27" customFormat="1" ht="11.25" hidden="1" x14ac:dyDescent="0.2"/>
    <row r="750" s="27" customFormat="1" ht="11.25" hidden="1" x14ac:dyDescent="0.2"/>
    <row r="751" s="27" customFormat="1" ht="11.25" hidden="1" x14ac:dyDescent="0.2"/>
    <row r="752" s="27" customFormat="1" ht="11.25" hidden="1" x14ac:dyDescent="0.2"/>
    <row r="753" spans="2:81" s="27" customFormat="1" ht="11.25" hidden="1" x14ac:dyDescent="0.2"/>
    <row r="754" spans="2:81" s="27" customFormat="1" ht="11.25" hidden="1" x14ac:dyDescent="0.2"/>
    <row r="755" spans="2:81" s="27" customFormat="1" ht="11.25" hidden="1" x14ac:dyDescent="0.2"/>
    <row r="756" spans="2:81" s="27" customFormat="1" ht="11.25" hidden="1" x14ac:dyDescent="0.2"/>
    <row r="757" spans="2:81" s="27" customFormat="1" ht="11.25" hidden="1" x14ac:dyDescent="0.2"/>
    <row r="758" spans="2:81" s="27" customFormat="1" ht="11.25" hidden="1" x14ac:dyDescent="0.2"/>
    <row r="759" spans="2:81" s="27" customFormat="1" ht="11.25" hidden="1" x14ac:dyDescent="0.2"/>
    <row r="760" spans="2:81" s="27" customFormat="1" ht="11.25" hidden="1" x14ac:dyDescent="0.2"/>
    <row r="761" spans="2:81" s="27" customFormat="1" ht="11.25" hidden="1" x14ac:dyDescent="0.2">
      <c r="W761" s="62"/>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4"/>
    </row>
    <row r="762" spans="2:81" s="27" customFormat="1" ht="11.25" hidden="1" x14ac:dyDescent="0.2">
      <c r="B762" s="27" t="s">
        <v>70</v>
      </c>
      <c r="C762" s="62"/>
      <c r="D762" s="63"/>
      <c r="E762" s="63"/>
      <c r="F762" s="63"/>
      <c r="G762" s="63"/>
      <c r="H762" s="63"/>
      <c r="I762" s="63"/>
      <c r="J762" s="63"/>
      <c r="K762" s="63"/>
      <c r="L762" s="63"/>
      <c r="M762" s="63"/>
      <c r="N762" s="63"/>
      <c r="O762" s="63"/>
      <c r="P762" s="63"/>
      <c r="Q762" s="63"/>
      <c r="R762" s="63"/>
      <c r="S762" s="63"/>
      <c r="T762" s="63"/>
      <c r="U762" s="63"/>
      <c r="V762" s="63"/>
      <c r="W762" s="60"/>
      <c r="AD762" s="27" t="s">
        <v>70</v>
      </c>
      <c r="CC762" s="61"/>
    </row>
    <row r="763" spans="2:81" s="27" customFormat="1" ht="11.25" hidden="1" x14ac:dyDescent="0.2">
      <c r="B763" s="27">
        <v>1</v>
      </c>
      <c r="C763" s="60" t="s">
        <v>1612</v>
      </c>
      <c r="H763" s="27" t="str">
        <f t="shared" ref="H763:S763" si="37">H252</f>
        <v>1</v>
      </c>
      <c r="I763" s="27" t="str">
        <f t="shared" si="37"/>
        <v>2</v>
      </c>
      <c r="J763" s="27" t="str">
        <f t="shared" si="37"/>
        <v>3</v>
      </c>
      <c r="K763" s="27" t="str">
        <f t="shared" si="37"/>
        <v>4</v>
      </c>
      <c r="L763" s="27" t="str">
        <f t="shared" si="37"/>
        <v>5</v>
      </c>
      <c r="M763" s="27" t="str">
        <f t="shared" si="37"/>
        <v>6</v>
      </c>
      <c r="N763" s="27" t="str">
        <f t="shared" si="37"/>
        <v>7</v>
      </c>
      <c r="O763" s="27" t="str">
        <f t="shared" si="37"/>
        <v>8</v>
      </c>
      <c r="P763" s="27" t="str">
        <f t="shared" si="37"/>
        <v>9</v>
      </c>
      <c r="Q763" s="27" t="str">
        <f t="shared" si="37"/>
        <v>10</v>
      </c>
      <c r="R763" s="27" t="str">
        <f t="shared" si="37"/>
        <v>11</v>
      </c>
      <c r="S763" s="27" t="str">
        <f t="shared" si="37"/>
        <v>12</v>
      </c>
      <c r="W763" s="60"/>
      <c r="CC763" s="61"/>
    </row>
    <row r="764" spans="2:81" s="27" customFormat="1" ht="11.25" hidden="1" x14ac:dyDescent="0.2">
      <c r="C764" s="60"/>
      <c r="E764" s="27" t="s">
        <v>812</v>
      </c>
      <c r="G764" s="27" t="str">
        <f t="shared" ref="G764:G778" si="38">G796</f>
        <v>Ventas</v>
      </c>
      <c r="H764" s="27">
        <f t="shared" ref="H764:S767" si="39">SUMIF($G$254:$G$264,$G764,H$254:H$264)</f>
        <v>0</v>
      </c>
      <c r="I764" s="27">
        <f t="shared" si="39"/>
        <v>0</v>
      </c>
      <c r="J764" s="27">
        <f t="shared" si="39"/>
        <v>0</v>
      </c>
      <c r="K764" s="27">
        <f t="shared" si="39"/>
        <v>0</v>
      </c>
      <c r="L764" s="27">
        <f t="shared" si="39"/>
        <v>0</v>
      </c>
      <c r="M764" s="27">
        <f t="shared" si="39"/>
        <v>0</v>
      </c>
      <c r="N764" s="27">
        <f t="shared" si="39"/>
        <v>0</v>
      </c>
      <c r="O764" s="27">
        <f t="shared" si="39"/>
        <v>0</v>
      </c>
      <c r="P764" s="27">
        <f t="shared" si="39"/>
        <v>0</v>
      </c>
      <c r="Q764" s="27">
        <f t="shared" si="39"/>
        <v>0</v>
      </c>
      <c r="R764" s="27">
        <f t="shared" si="39"/>
        <v>0</v>
      </c>
      <c r="S764" s="27">
        <f t="shared" si="39"/>
        <v>0</v>
      </c>
      <c r="T764" s="27">
        <f>SUM(H764:S764)</f>
        <v>0</v>
      </c>
      <c r="W764" s="60"/>
      <c r="CC764" s="61"/>
    </row>
    <row r="765" spans="2:81" s="27" customFormat="1" ht="11.25" hidden="1" x14ac:dyDescent="0.2">
      <c r="C765" s="60"/>
      <c r="G765" s="27" t="str">
        <f t="shared" si="38"/>
        <v>Marketing</v>
      </c>
      <c r="H765" s="27">
        <f t="shared" si="39"/>
        <v>0</v>
      </c>
      <c r="I765" s="27">
        <f t="shared" si="39"/>
        <v>0</v>
      </c>
      <c r="J765" s="27">
        <f t="shared" si="39"/>
        <v>0</v>
      </c>
      <c r="K765" s="27">
        <f t="shared" si="39"/>
        <v>0</v>
      </c>
      <c r="L765" s="27">
        <f t="shared" si="39"/>
        <v>0</v>
      </c>
      <c r="M765" s="27">
        <f t="shared" si="39"/>
        <v>0</v>
      </c>
      <c r="N765" s="27">
        <f t="shared" si="39"/>
        <v>0</v>
      </c>
      <c r="O765" s="27">
        <f t="shared" si="39"/>
        <v>0</v>
      </c>
      <c r="P765" s="27">
        <f t="shared" si="39"/>
        <v>0</v>
      </c>
      <c r="Q765" s="27">
        <f t="shared" si="39"/>
        <v>0</v>
      </c>
      <c r="R765" s="27">
        <f t="shared" si="39"/>
        <v>0</v>
      </c>
      <c r="S765" s="27">
        <f t="shared" si="39"/>
        <v>0</v>
      </c>
      <c r="T765" s="27">
        <f>SUM(H765:S765)</f>
        <v>0</v>
      </c>
      <c r="W765" s="60"/>
      <c r="CC765" s="61"/>
    </row>
    <row r="766" spans="2:81" s="27" customFormat="1" ht="11.25" hidden="1" x14ac:dyDescent="0.2">
      <c r="C766" s="60"/>
      <c r="G766" s="27" t="str">
        <f t="shared" si="38"/>
        <v>Administración</v>
      </c>
      <c r="H766" s="27">
        <f t="shared" si="39"/>
        <v>0</v>
      </c>
      <c r="I766" s="27">
        <f t="shared" si="39"/>
        <v>0</v>
      </c>
      <c r="J766" s="27">
        <f t="shared" si="39"/>
        <v>0</v>
      </c>
      <c r="K766" s="27">
        <f t="shared" si="39"/>
        <v>0</v>
      </c>
      <c r="L766" s="27">
        <f t="shared" si="39"/>
        <v>0</v>
      </c>
      <c r="M766" s="27">
        <f t="shared" si="39"/>
        <v>0</v>
      </c>
      <c r="N766" s="27">
        <f t="shared" si="39"/>
        <v>0</v>
      </c>
      <c r="O766" s="27">
        <f t="shared" si="39"/>
        <v>0</v>
      </c>
      <c r="P766" s="27">
        <f t="shared" si="39"/>
        <v>0</v>
      </c>
      <c r="Q766" s="27">
        <f t="shared" si="39"/>
        <v>0</v>
      </c>
      <c r="R766" s="27">
        <f t="shared" si="39"/>
        <v>0</v>
      </c>
      <c r="S766" s="27">
        <f t="shared" si="39"/>
        <v>0</v>
      </c>
      <c r="T766" s="27">
        <f>SUM(H766:S766)</f>
        <v>0</v>
      </c>
      <c r="W766" s="60"/>
      <c r="CC766" s="61"/>
    </row>
    <row r="767" spans="2:81" s="27" customFormat="1" ht="11.25" hidden="1" x14ac:dyDescent="0.2">
      <c r="C767" s="60"/>
      <c r="G767" s="27" t="str">
        <f t="shared" si="38"/>
        <v>Prod./Servicio</v>
      </c>
      <c r="H767" s="27">
        <f t="shared" si="39"/>
        <v>0</v>
      </c>
      <c r="I767" s="27">
        <f t="shared" si="39"/>
        <v>0</v>
      </c>
      <c r="J767" s="27">
        <f t="shared" si="39"/>
        <v>0</v>
      </c>
      <c r="K767" s="27">
        <f t="shared" si="39"/>
        <v>0</v>
      </c>
      <c r="L767" s="27">
        <f t="shared" si="39"/>
        <v>0</v>
      </c>
      <c r="M767" s="27">
        <f t="shared" si="39"/>
        <v>0</v>
      </c>
      <c r="N767" s="27">
        <f t="shared" si="39"/>
        <v>0</v>
      </c>
      <c r="O767" s="27">
        <f t="shared" si="39"/>
        <v>0</v>
      </c>
      <c r="P767" s="27">
        <f t="shared" si="39"/>
        <v>0</v>
      </c>
      <c r="Q767" s="27">
        <f t="shared" si="39"/>
        <v>0</v>
      </c>
      <c r="R767" s="27">
        <f t="shared" si="39"/>
        <v>0</v>
      </c>
      <c r="S767" s="27">
        <f t="shared" si="39"/>
        <v>0</v>
      </c>
      <c r="T767" s="27">
        <f>SUM(H767:S767)</f>
        <v>0</v>
      </c>
      <c r="W767" s="60"/>
      <c r="CC767" s="61"/>
    </row>
    <row r="768" spans="2:81" s="27" customFormat="1" ht="11.25" hidden="1" x14ac:dyDescent="0.2">
      <c r="C768" s="60"/>
      <c r="G768" s="27" t="str">
        <f t="shared" si="38"/>
        <v>TOTAL</v>
      </c>
      <c r="H768" s="27">
        <f t="shared" ref="H768:T768" si="40">SUM(H764:H767)</f>
        <v>0</v>
      </c>
      <c r="I768" s="27">
        <f t="shared" si="40"/>
        <v>0</v>
      </c>
      <c r="J768" s="27">
        <f t="shared" si="40"/>
        <v>0</v>
      </c>
      <c r="K768" s="27">
        <f t="shared" si="40"/>
        <v>0</v>
      </c>
      <c r="L768" s="27">
        <f t="shared" si="40"/>
        <v>0</v>
      </c>
      <c r="M768" s="27">
        <f t="shared" si="40"/>
        <v>0</v>
      </c>
      <c r="N768" s="27">
        <f t="shared" si="40"/>
        <v>0</v>
      </c>
      <c r="O768" s="27">
        <f t="shared" si="40"/>
        <v>0</v>
      </c>
      <c r="P768" s="27">
        <f t="shared" si="40"/>
        <v>0</v>
      </c>
      <c r="Q768" s="27">
        <f t="shared" si="40"/>
        <v>0</v>
      </c>
      <c r="R768" s="27">
        <f t="shared" si="40"/>
        <v>0</v>
      </c>
      <c r="S768" s="27">
        <f t="shared" si="40"/>
        <v>0</v>
      </c>
      <c r="T768" s="27">
        <f t="shared" si="40"/>
        <v>0</v>
      </c>
      <c r="W768" s="60"/>
      <c r="CC768" s="61"/>
    </row>
    <row r="769" spans="2:81" s="27" customFormat="1" ht="11.25" hidden="1" x14ac:dyDescent="0.2">
      <c r="C769" s="60"/>
      <c r="E769" s="27" t="s">
        <v>813</v>
      </c>
      <c r="G769" s="27" t="str">
        <f t="shared" si="38"/>
        <v>Ventas</v>
      </c>
      <c r="H769" s="27">
        <f t="shared" ref="H769:S772" si="41">SUMIF($G$276:$G$296,$G769,H$276:H$296)</f>
        <v>0</v>
      </c>
      <c r="I769" s="27">
        <f t="shared" si="41"/>
        <v>0</v>
      </c>
      <c r="J769" s="27">
        <f t="shared" si="41"/>
        <v>0</v>
      </c>
      <c r="K769" s="27">
        <f t="shared" si="41"/>
        <v>0</v>
      </c>
      <c r="L769" s="27">
        <f t="shared" si="41"/>
        <v>0</v>
      </c>
      <c r="M769" s="27">
        <f t="shared" si="41"/>
        <v>0</v>
      </c>
      <c r="N769" s="27">
        <f t="shared" si="41"/>
        <v>0</v>
      </c>
      <c r="O769" s="27">
        <f t="shared" si="41"/>
        <v>0</v>
      </c>
      <c r="P769" s="27">
        <f t="shared" si="41"/>
        <v>0</v>
      </c>
      <c r="Q769" s="27">
        <f t="shared" si="41"/>
        <v>0</v>
      </c>
      <c r="R769" s="27">
        <f t="shared" si="41"/>
        <v>0</v>
      </c>
      <c r="S769" s="27">
        <f t="shared" si="41"/>
        <v>0</v>
      </c>
      <c r="T769" s="27">
        <f>SUM(H769:S769)</f>
        <v>0</v>
      </c>
      <c r="W769" s="60"/>
      <c r="CC769" s="61"/>
    </row>
    <row r="770" spans="2:81" s="27" customFormat="1" ht="11.25" hidden="1" x14ac:dyDescent="0.2">
      <c r="C770" s="60"/>
      <c r="G770" s="27" t="str">
        <f t="shared" si="38"/>
        <v>Marketing</v>
      </c>
      <c r="H770" s="27">
        <f t="shared" si="41"/>
        <v>0</v>
      </c>
      <c r="I770" s="27">
        <f t="shared" si="41"/>
        <v>0</v>
      </c>
      <c r="J770" s="27">
        <f t="shared" si="41"/>
        <v>0</v>
      </c>
      <c r="K770" s="27">
        <f t="shared" si="41"/>
        <v>0</v>
      </c>
      <c r="L770" s="27">
        <f t="shared" si="41"/>
        <v>0</v>
      </c>
      <c r="M770" s="27">
        <f t="shared" si="41"/>
        <v>0</v>
      </c>
      <c r="N770" s="27">
        <f t="shared" si="41"/>
        <v>0</v>
      </c>
      <c r="O770" s="27">
        <f t="shared" si="41"/>
        <v>0</v>
      </c>
      <c r="P770" s="27">
        <f t="shared" si="41"/>
        <v>0</v>
      </c>
      <c r="Q770" s="27">
        <f t="shared" si="41"/>
        <v>0</v>
      </c>
      <c r="R770" s="27">
        <f t="shared" si="41"/>
        <v>0</v>
      </c>
      <c r="S770" s="27">
        <f t="shared" si="41"/>
        <v>0</v>
      </c>
      <c r="T770" s="27">
        <f>SUM(H770:S770)</f>
        <v>0</v>
      </c>
      <c r="W770" s="60"/>
      <c r="CC770" s="61"/>
    </row>
    <row r="771" spans="2:81" s="27" customFormat="1" ht="11.25" hidden="1" x14ac:dyDescent="0.2">
      <c r="C771" s="60"/>
      <c r="G771" s="27" t="str">
        <f t="shared" si="38"/>
        <v>Administración</v>
      </c>
      <c r="H771" s="27">
        <f t="shared" si="41"/>
        <v>0</v>
      </c>
      <c r="I771" s="27">
        <f t="shared" si="41"/>
        <v>0</v>
      </c>
      <c r="J771" s="27">
        <f t="shared" si="41"/>
        <v>0</v>
      </c>
      <c r="K771" s="27">
        <f t="shared" si="41"/>
        <v>0</v>
      </c>
      <c r="L771" s="27">
        <f t="shared" si="41"/>
        <v>0</v>
      </c>
      <c r="M771" s="27">
        <f t="shared" si="41"/>
        <v>0</v>
      </c>
      <c r="N771" s="27">
        <f t="shared" si="41"/>
        <v>0</v>
      </c>
      <c r="O771" s="27">
        <f t="shared" si="41"/>
        <v>0</v>
      </c>
      <c r="P771" s="27">
        <f t="shared" si="41"/>
        <v>0</v>
      </c>
      <c r="Q771" s="27">
        <f t="shared" si="41"/>
        <v>0</v>
      </c>
      <c r="R771" s="27">
        <f t="shared" si="41"/>
        <v>0</v>
      </c>
      <c r="S771" s="27">
        <f t="shared" si="41"/>
        <v>0</v>
      </c>
      <c r="T771" s="27">
        <f>SUM(H771:S771)</f>
        <v>0</v>
      </c>
      <c r="W771" s="60"/>
      <c r="CC771" s="61"/>
    </row>
    <row r="772" spans="2:81" s="27" customFormat="1" ht="11.25" hidden="1" x14ac:dyDescent="0.2">
      <c r="C772" s="60"/>
      <c r="G772" s="27" t="str">
        <f t="shared" si="38"/>
        <v>Prod./Servicio</v>
      </c>
      <c r="H772" s="27">
        <f t="shared" si="41"/>
        <v>0</v>
      </c>
      <c r="I772" s="27">
        <f t="shared" si="41"/>
        <v>0</v>
      </c>
      <c r="J772" s="27">
        <f t="shared" si="41"/>
        <v>0</v>
      </c>
      <c r="K772" s="27">
        <f t="shared" si="41"/>
        <v>0</v>
      </c>
      <c r="L772" s="27">
        <f t="shared" si="41"/>
        <v>0</v>
      </c>
      <c r="M772" s="27">
        <f t="shared" si="41"/>
        <v>0</v>
      </c>
      <c r="N772" s="27">
        <f t="shared" si="41"/>
        <v>0</v>
      </c>
      <c r="O772" s="27">
        <f t="shared" si="41"/>
        <v>0</v>
      </c>
      <c r="P772" s="27">
        <f t="shared" si="41"/>
        <v>0</v>
      </c>
      <c r="Q772" s="27">
        <f t="shared" si="41"/>
        <v>0</v>
      </c>
      <c r="R772" s="27">
        <f t="shared" si="41"/>
        <v>0</v>
      </c>
      <c r="S772" s="27">
        <f t="shared" si="41"/>
        <v>0</v>
      </c>
      <c r="T772" s="27">
        <f>SUM(H772:S772)</f>
        <v>0</v>
      </c>
      <c r="W772" s="60"/>
      <c r="CC772" s="61"/>
    </row>
    <row r="773" spans="2:81" s="27" customFormat="1" ht="11.25" hidden="1" x14ac:dyDescent="0.2">
      <c r="C773" s="60"/>
      <c r="G773" s="27" t="str">
        <f t="shared" si="38"/>
        <v>TOTAL</v>
      </c>
      <c r="H773" s="27">
        <f t="shared" ref="H773:T773" si="42">SUM(H769:H772)</f>
        <v>0</v>
      </c>
      <c r="I773" s="27">
        <f t="shared" si="42"/>
        <v>0</v>
      </c>
      <c r="J773" s="27">
        <f t="shared" si="42"/>
        <v>0</v>
      </c>
      <c r="K773" s="27">
        <f t="shared" si="42"/>
        <v>0</v>
      </c>
      <c r="L773" s="27">
        <f t="shared" si="42"/>
        <v>0</v>
      </c>
      <c r="M773" s="27">
        <f t="shared" si="42"/>
        <v>0</v>
      </c>
      <c r="N773" s="27">
        <f t="shared" si="42"/>
        <v>0</v>
      </c>
      <c r="O773" s="27">
        <f t="shared" si="42"/>
        <v>0</v>
      </c>
      <c r="P773" s="27">
        <f t="shared" si="42"/>
        <v>0</v>
      </c>
      <c r="Q773" s="27">
        <f t="shared" si="42"/>
        <v>0</v>
      </c>
      <c r="R773" s="27">
        <f t="shared" si="42"/>
        <v>0</v>
      </c>
      <c r="S773" s="27">
        <f t="shared" si="42"/>
        <v>0</v>
      </c>
      <c r="T773" s="27">
        <f t="shared" si="42"/>
        <v>0</v>
      </c>
      <c r="W773" s="60"/>
      <c r="CC773" s="61"/>
    </row>
    <row r="774" spans="2:81" s="27" customFormat="1" ht="11.25" hidden="1" x14ac:dyDescent="0.2">
      <c r="C774" s="60"/>
      <c r="E774" s="27" t="s">
        <v>814</v>
      </c>
      <c r="G774" s="27" t="str">
        <f t="shared" si="38"/>
        <v>Ventas</v>
      </c>
      <c r="H774" s="27">
        <f t="shared" ref="H774:S777" si="43">SUMIF($G$298:$G$313,$G774,H$298:H$313)</f>
        <v>0</v>
      </c>
      <c r="I774" s="27">
        <f t="shared" si="43"/>
        <v>0</v>
      </c>
      <c r="J774" s="27">
        <f t="shared" si="43"/>
        <v>0</v>
      </c>
      <c r="K774" s="27">
        <f t="shared" si="43"/>
        <v>0</v>
      </c>
      <c r="L774" s="27">
        <f t="shared" si="43"/>
        <v>0</v>
      </c>
      <c r="M774" s="27">
        <f t="shared" si="43"/>
        <v>0</v>
      </c>
      <c r="N774" s="27">
        <f t="shared" si="43"/>
        <v>0</v>
      </c>
      <c r="O774" s="27">
        <f t="shared" si="43"/>
        <v>0</v>
      </c>
      <c r="P774" s="27">
        <f t="shared" si="43"/>
        <v>0</v>
      </c>
      <c r="Q774" s="27">
        <f t="shared" si="43"/>
        <v>0</v>
      </c>
      <c r="R774" s="27">
        <f t="shared" si="43"/>
        <v>0</v>
      </c>
      <c r="S774" s="27">
        <f t="shared" si="43"/>
        <v>0</v>
      </c>
      <c r="T774" s="27">
        <f>SUM(H774:S774)</f>
        <v>0</v>
      </c>
      <c r="W774" s="60"/>
      <c r="CC774" s="61"/>
    </row>
    <row r="775" spans="2:81" s="27" customFormat="1" ht="11.25" hidden="1" x14ac:dyDescent="0.2">
      <c r="C775" s="60"/>
      <c r="G775" s="27" t="str">
        <f t="shared" si="38"/>
        <v>Marketing</v>
      </c>
      <c r="H775" s="27">
        <f t="shared" si="43"/>
        <v>0</v>
      </c>
      <c r="I775" s="27">
        <f t="shared" si="43"/>
        <v>0</v>
      </c>
      <c r="J775" s="27">
        <f t="shared" si="43"/>
        <v>0</v>
      </c>
      <c r="K775" s="27">
        <f t="shared" si="43"/>
        <v>0</v>
      </c>
      <c r="L775" s="27">
        <f t="shared" si="43"/>
        <v>0</v>
      </c>
      <c r="M775" s="27">
        <f t="shared" si="43"/>
        <v>0</v>
      </c>
      <c r="N775" s="27">
        <f t="shared" si="43"/>
        <v>0</v>
      </c>
      <c r="O775" s="27">
        <f t="shared" si="43"/>
        <v>0</v>
      </c>
      <c r="P775" s="27">
        <f t="shared" si="43"/>
        <v>0</v>
      </c>
      <c r="Q775" s="27">
        <f t="shared" si="43"/>
        <v>0</v>
      </c>
      <c r="R775" s="27">
        <f t="shared" si="43"/>
        <v>0</v>
      </c>
      <c r="S775" s="27">
        <f t="shared" si="43"/>
        <v>0</v>
      </c>
      <c r="T775" s="27">
        <f>SUM(H775:S775)</f>
        <v>0</v>
      </c>
      <c r="W775" s="60"/>
      <c r="CC775" s="61"/>
    </row>
    <row r="776" spans="2:81" s="27" customFormat="1" ht="11.25" hidden="1" x14ac:dyDescent="0.2">
      <c r="C776" s="60"/>
      <c r="G776" s="27" t="str">
        <f t="shared" si="38"/>
        <v>Administración</v>
      </c>
      <c r="H776" s="27">
        <f t="shared" si="43"/>
        <v>0</v>
      </c>
      <c r="I776" s="27">
        <f t="shared" si="43"/>
        <v>0</v>
      </c>
      <c r="J776" s="27">
        <f t="shared" si="43"/>
        <v>0</v>
      </c>
      <c r="K776" s="27">
        <f t="shared" si="43"/>
        <v>0</v>
      </c>
      <c r="L776" s="27">
        <f t="shared" si="43"/>
        <v>0</v>
      </c>
      <c r="M776" s="27">
        <f t="shared" si="43"/>
        <v>0</v>
      </c>
      <c r="N776" s="27">
        <f t="shared" si="43"/>
        <v>0</v>
      </c>
      <c r="O776" s="27">
        <f t="shared" si="43"/>
        <v>0</v>
      </c>
      <c r="P776" s="27">
        <f t="shared" si="43"/>
        <v>0</v>
      </c>
      <c r="Q776" s="27">
        <f t="shared" si="43"/>
        <v>0</v>
      </c>
      <c r="R776" s="27">
        <f t="shared" si="43"/>
        <v>0</v>
      </c>
      <c r="S776" s="27">
        <f t="shared" si="43"/>
        <v>0</v>
      </c>
      <c r="T776" s="27">
        <f>SUM(H776:S776)</f>
        <v>0</v>
      </c>
      <c r="W776" s="60"/>
      <c r="CC776" s="61"/>
    </row>
    <row r="777" spans="2:81" s="27" customFormat="1" ht="11.25" hidden="1" x14ac:dyDescent="0.2">
      <c r="C777" s="60"/>
      <c r="G777" s="27" t="str">
        <f t="shared" si="38"/>
        <v>Prod./Servicio</v>
      </c>
      <c r="H777" s="27">
        <f t="shared" si="43"/>
        <v>0</v>
      </c>
      <c r="I777" s="27">
        <f t="shared" si="43"/>
        <v>0</v>
      </c>
      <c r="J777" s="27">
        <f t="shared" si="43"/>
        <v>0</v>
      </c>
      <c r="K777" s="27">
        <f t="shared" si="43"/>
        <v>0</v>
      </c>
      <c r="L777" s="27">
        <f t="shared" si="43"/>
        <v>0</v>
      </c>
      <c r="M777" s="27">
        <f t="shared" si="43"/>
        <v>0</v>
      </c>
      <c r="N777" s="27">
        <f t="shared" si="43"/>
        <v>0</v>
      </c>
      <c r="O777" s="27">
        <f t="shared" si="43"/>
        <v>0</v>
      </c>
      <c r="P777" s="27">
        <f t="shared" si="43"/>
        <v>0</v>
      </c>
      <c r="Q777" s="27">
        <f t="shared" si="43"/>
        <v>0</v>
      </c>
      <c r="R777" s="27">
        <f t="shared" si="43"/>
        <v>0</v>
      </c>
      <c r="S777" s="27">
        <f t="shared" si="43"/>
        <v>0</v>
      </c>
      <c r="T777" s="27">
        <f>SUM(H777:S777)</f>
        <v>0</v>
      </c>
      <c r="W777" s="60"/>
      <c r="CC777" s="61"/>
    </row>
    <row r="778" spans="2:81" s="27" customFormat="1" ht="11.25" hidden="1" x14ac:dyDescent="0.2">
      <c r="C778" s="60"/>
      <c r="G778" s="27" t="str">
        <f t="shared" si="38"/>
        <v>TOTAL</v>
      </c>
      <c r="H778" s="27">
        <f t="shared" ref="H778:T778" si="44">SUM(H774:H777)</f>
        <v>0</v>
      </c>
      <c r="I778" s="27">
        <f t="shared" si="44"/>
        <v>0</v>
      </c>
      <c r="J778" s="27">
        <f t="shared" si="44"/>
        <v>0</v>
      </c>
      <c r="K778" s="27">
        <f t="shared" si="44"/>
        <v>0</v>
      </c>
      <c r="L778" s="27">
        <f t="shared" si="44"/>
        <v>0</v>
      </c>
      <c r="M778" s="27">
        <f t="shared" si="44"/>
        <v>0</v>
      </c>
      <c r="N778" s="27">
        <f t="shared" si="44"/>
        <v>0</v>
      </c>
      <c r="O778" s="27">
        <f t="shared" si="44"/>
        <v>0</v>
      </c>
      <c r="P778" s="27">
        <f t="shared" si="44"/>
        <v>0</v>
      </c>
      <c r="Q778" s="27">
        <f t="shared" si="44"/>
        <v>0</v>
      </c>
      <c r="R778" s="27">
        <f t="shared" si="44"/>
        <v>0</v>
      </c>
      <c r="S778" s="27">
        <f t="shared" si="44"/>
        <v>0</v>
      </c>
      <c r="T778" s="27">
        <f t="shared" si="44"/>
        <v>0</v>
      </c>
      <c r="W778" s="60"/>
      <c r="CC778" s="61"/>
    </row>
    <row r="779" spans="2:81" s="27" customFormat="1" ht="11.25" hidden="1" x14ac:dyDescent="0.2">
      <c r="C779" s="60"/>
      <c r="G779" s="27" t="s">
        <v>1613</v>
      </c>
      <c r="H779" s="27">
        <f t="shared" ref="H779:T779" si="45">+H778+H773+H768</f>
        <v>0</v>
      </c>
      <c r="I779" s="27">
        <f t="shared" si="45"/>
        <v>0</v>
      </c>
      <c r="J779" s="27">
        <f t="shared" si="45"/>
        <v>0</v>
      </c>
      <c r="K779" s="27">
        <f t="shared" si="45"/>
        <v>0</v>
      </c>
      <c r="L779" s="27">
        <f t="shared" si="45"/>
        <v>0</v>
      </c>
      <c r="M779" s="27">
        <f t="shared" si="45"/>
        <v>0</v>
      </c>
      <c r="N779" s="27">
        <f t="shared" si="45"/>
        <v>0</v>
      </c>
      <c r="O779" s="27">
        <f t="shared" si="45"/>
        <v>0</v>
      </c>
      <c r="P779" s="27">
        <f t="shared" si="45"/>
        <v>0</v>
      </c>
      <c r="Q779" s="27">
        <f t="shared" si="45"/>
        <v>0</v>
      </c>
      <c r="R779" s="27">
        <f t="shared" si="45"/>
        <v>0</v>
      </c>
      <c r="S779" s="27">
        <f t="shared" si="45"/>
        <v>0</v>
      </c>
      <c r="T779" s="27">
        <f t="shared" si="45"/>
        <v>0</v>
      </c>
      <c r="W779" s="60"/>
      <c r="CC779" s="61"/>
    </row>
    <row r="780" spans="2:81" s="27" customFormat="1" ht="11.25" hidden="1" x14ac:dyDescent="0.2">
      <c r="C780" s="60"/>
      <c r="G780" s="27" t="s">
        <v>1614</v>
      </c>
      <c r="H780" s="27">
        <f t="shared" ref="H780:S780" si="46">+H254+H265+H297</f>
        <v>0</v>
      </c>
      <c r="I780" s="27">
        <f t="shared" si="46"/>
        <v>0</v>
      </c>
      <c r="J780" s="27">
        <f t="shared" si="46"/>
        <v>0</v>
      </c>
      <c r="K780" s="27">
        <f t="shared" si="46"/>
        <v>0</v>
      </c>
      <c r="L780" s="27">
        <f t="shared" si="46"/>
        <v>0</v>
      </c>
      <c r="M780" s="27">
        <f t="shared" si="46"/>
        <v>0</v>
      </c>
      <c r="N780" s="27">
        <f t="shared" si="46"/>
        <v>0</v>
      </c>
      <c r="O780" s="27">
        <f t="shared" si="46"/>
        <v>0</v>
      </c>
      <c r="P780" s="27">
        <f t="shared" si="46"/>
        <v>0</v>
      </c>
      <c r="Q780" s="27">
        <f t="shared" si="46"/>
        <v>0</v>
      </c>
      <c r="R780" s="27">
        <f t="shared" si="46"/>
        <v>0</v>
      </c>
      <c r="S780" s="27">
        <f t="shared" si="46"/>
        <v>0</v>
      </c>
      <c r="T780" s="27">
        <f>SUM(H780:S780)</f>
        <v>0</v>
      </c>
      <c r="W780" s="60"/>
      <c r="CC780" s="61"/>
    </row>
    <row r="781" spans="2:81" s="27" customFormat="1" ht="11.25" hidden="1" x14ac:dyDescent="0.2">
      <c r="C781" s="60"/>
      <c r="G781" s="27" t="s">
        <v>1615</v>
      </c>
      <c r="I781" s="27" t="str">
        <f>IF(T779=T780,"NO HAY ERROR","NO COINCIDE")</f>
        <v>NO HAY ERROR</v>
      </c>
      <c r="K781" s="27" t="s">
        <v>1616</v>
      </c>
      <c r="W781" s="60"/>
      <c r="CC781" s="61"/>
    </row>
    <row r="782" spans="2:81" s="27" customFormat="1" ht="11.25" hidden="1" x14ac:dyDescent="0.2">
      <c r="C782" s="60"/>
      <c r="W782" s="60"/>
      <c r="CC782" s="61"/>
    </row>
    <row r="783" spans="2:81" s="27" customFormat="1" ht="11.25" hidden="1" x14ac:dyDescent="0.2">
      <c r="B783" s="27">
        <v>1</v>
      </c>
      <c r="C783" s="60" t="s">
        <v>1617</v>
      </c>
      <c r="H783" s="27" t="s">
        <v>886</v>
      </c>
      <c r="I783" s="27" t="s">
        <v>934</v>
      </c>
      <c r="J783" s="27" t="s">
        <v>935</v>
      </c>
      <c r="K783" s="27" t="s">
        <v>936</v>
      </c>
      <c r="L783" s="27" t="s">
        <v>937</v>
      </c>
      <c r="M783" s="27" t="s">
        <v>938</v>
      </c>
      <c r="N783" s="27" t="s">
        <v>939</v>
      </c>
      <c r="O783" s="27" t="s">
        <v>940</v>
      </c>
      <c r="P783" s="27" t="s">
        <v>941</v>
      </c>
      <c r="Q783" s="27" t="s">
        <v>942</v>
      </c>
      <c r="R783" s="27" t="s">
        <v>943</v>
      </c>
      <c r="S783" s="27" t="s">
        <v>944</v>
      </c>
      <c r="W783" s="60"/>
      <c r="CC783" s="61"/>
    </row>
    <row r="784" spans="2:81" s="27" customFormat="1" ht="11.25" hidden="1" x14ac:dyDescent="0.2">
      <c r="C784" s="60"/>
      <c r="D784" s="27" t="s">
        <v>120</v>
      </c>
      <c r="H784" s="27">
        <f t="shared" ref="H784:S784" si="47">+H800+H805+H810</f>
        <v>0</v>
      </c>
      <c r="I784" s="27">
        <f t="shared" si="47"/>
        <v>0</v>
      </c>
      <c r="J784" s="27">
        <f t="shared" si="47"/>
        <v>0</v>
      </c>
      <c r="K784" s="27">
        <f t="shared" si="47"/>
        <v>0</v>
      </c>
      <c r="L784" s="27">
        <f t="shared" si="47"/>
        <v>0</v>
      </c>
      <c r="M784" s="27">
        <f t="shared" si="47"/>
        <v>0</v>
      </c>
      <c r="N784" s="27">
        <f t="shared" si="47"/>
        <v>0</v>
      </c>
      <c r="O784" s="27">
        <f t="shared" si="47"/>
        <v>0</v>
      </c>
      <c r="P784" s="27">
        <f t="shared" si="47"/>
        <v>0</v>
      </c>
      <c r="Q784" s="27">
        <f t="shared" si="47"/>
        <v>0</v>
      </c>
      <c r="R784" s="27">
        <f t="shared" si="47"/>
        <v>0</v>
      </c>
      <c r="S784" s="27">
        <f t="shared" si="47"/>
        <v>0</v>
      </c>
      <c r="T784" s="27">
        <f>SUM(H784:S784)</f>
        <v>0</v>
      </c>
      <c r="W784" s="60"/>
      <c r="CC784" s="61"/>
    </row>
    <row r="785" spans="3:81" s="27" customFormat="1" ht="11.25" hidden="1" x14ac:dyDescent="0.2">
      <c r="C785" s="60"/>
      <c r="D785" s="27" t="s">
        <v>711</v>
      </c>
      <c r="H785" s="27">
        <f t="shared" ref="H785:S785" si="48">AE931</f>
        <v>0</v>
      </c>
      <c r="I785" s="27">
        <f t="shared" si="48"/>
        <v>0</v>
      </c>
      <c r="J785" s="27">
        <f t="shared" si="48"/>
        <v>0</v>
      </c>
      <c r="K785" s="27">
        <f t="shared" si="48"/>
        <v>0</v>
      </c>
      <c r="L785" s="27">
        <f t="shared" si="48"/>
        <v>0</v>
      </c>
      <c r="M785" s="27">
        <f t="shared" si="48"/>
        <v>0</v>
      </c>
      <c r="N785" s="27">
        <f t="shared" si="48"/>
        <v>0</v>
      </c>
      <c r="O785" s="27">
        <f t="shared" si="48"/>
        <v>0</v>
      </c>
      <c r="P785" s="27">
        <f t="shared" si="48"/>
        <v>0</v>
      </c>
      <c r="Q785" s="27">
        <f t="shared" si="48"/>
        <v>0</v>
      </c>
      <c r="R785" s="27">
        <f t="shared" si="48"/>
        <v>0</v>
      </c>
      <c r="S785" s="27">
        <f t="shared" si="48"/>
        <v>0</v>
      </c>
      <c r="W785" s="60"/>
      <c r="CC785" s="61"/>
    </row>
    <row r="786" spans="3:81" s="27" customFormat="1" ht="11.25" hidden="1" x14ac:dyDescent="0.2">
      <c r="C786" s="60"/>
      <c r="D786" s="27" t="s">
        <v>1282</v>
      </c>
      <c r="H786" s="27">
        <f t="shared" ref="H786:S786" si="49">AT925</f>
        <v>0</v>
      </c>
      <c r="I786" s="27">
        <f t="shared" si="49"/>
        <v>0</v>
      </c>
      <c r="J786" s="27">
        <f t="shared" si="49"/>
        <v>0</v>
      </c>
      <c r="K786" s="27">
        <f t="shared" si="49"/>
        <v>0</v>
      </c>
      <c r="L786" s="27">
        <f t="shared" si="49"/>
        <v>0</v>
      </c>
      <c r="M786" s="27">
        <f t="shared" si="49"/>
        <v>0</v>
      </c>
      <c r="N786" s="27">
        <f t="shared" si="49"/>
        <v>0</v>
      </c>
      <c r="O786" s="27">
        <f t="shared" si="49"/>
        <v>0</v>
      </c>
      <c r="P786" s="27">
        <f t="shared" si="49"/>
        <v>0</v>
      </c>
      <c r="Q786" s="27">
        <f t="shared" si="49"/>
        <v>0</v>
      </c>
      <c r="R786" s="27">
        <f t="shared" si="49"/>
        <v>0</v>
      </c>
      <c r="S786" s="27">
        <f t="shared" si="49"/>
        <v>0</v>
      </c>
      <c r="W786" s="60"/>
      <c r="CC786" s="61"/>
    </row>
    <row r="787" spans="3:81" s="27" customFormat="1" ht="11.25" hidden="1" x14ac:dyDescent="0.2">
      <c r="C787" s="60"/>
      <c r="D787" s="27" t="s">
        <v>121</v>
      </c>
      <c r="H787" s="27">
        <f t="shared" ref="H787:S787" si="50">AT931</f>
        <v>0</v>
      </c>
      <c r="I787" s="27">
        <f t="shared" si="50"/>
        <v>0</v>
      </c>
      <c r="J787" s="27">
        <f t="shared" si="50"/>
        <v>0</v>
      </c>
      <c r="K787" s="27">
        <f t="shared" si="50"/>
        <v>0</v>
      </c>
      <c r="L787" s="27">
        <f t="shared" si="50"/>
        <v>0</v>
      </c>
      <c r="M787" s="27">
        <f t="shared" si="50"/>
        <v>0</v>
      </c>
      <c r="N787" s="27">
        <f t="shared" si="50"/>
        <v>0</v>
      </c>
      <c r="O787" s="27">
        <f t="shared" si="50"/>
        <v>0</v>
      </c>
      <c r="P787" s="27">
        <f t="shared" si="50"/>
        <v>0</v>
      </c>
      <c r="Q787" s="27">
        <f t="shared" si="50"/>
        <v>0</v>
      </c>
      <c r="R787" s="27">
        <f t="shared" si="50"/>
        <v>0</v>
      </c>
      <c r="S787" s="27">
        <f t="shared" si="50"/>
        <v>0</v>
      </c>
      <c r="W787" s="60"/>
      <c r="CC787" s="61"/>
    </row>
    <row r="788" spans="3:81" s="27" customFormat="1" ht="11.25" hidden="1" x14ac:dyDescent="0.2">
      <c r="C788" s="60"/>
      <c r="D788" s="27" t="s">
        <v>1618</v>
      </c>
      <c r="H788" s="27">
        <f t="shared" ref="H788:S788" si="51">+H787+H786</f>
        <v>0</v>
      </c>
      <c r="I788" s="27">
        <f t="shared" si="51"/>
        <v>0</v>
      </c>
      <c r="J788" s="27">
        <f t="shared" si="51"/>
        <v>0</v>
      </c>
      <c r="K788" s="27">
        <f t="shared" si="51"/>
        <v>0</v>
      </c>
      <c r="L788" s="27">
        <f t="shared" si="51"/>
        <v>0</v>
      </c>
      <c r="M788" s="27">
        <f t="shared" si="51"/>
        <v>0</v>
      </c>
      <c r="N788" s="27">
        <f t="shared" si="51"/>
        <v>0</v>
      </c>
      <c r="O788" s="27">
        <f t="shared" si="51"/>
        <v>0</v>
      </c>
      <c r="P788" s="27">
        <f t="shared" si="51"/>
        <v>0</v>
      </c>
      <c r="Q788" s="27">
        <f t="shared" si="51"/>
        <v>0</v>
      </c>
      <c r="R788" s="27">
        <f t="shared" si="51"/>
        <v>0</v>
      </c>
      <c r="S788" s="27">
        <f t="shared" si="51"/>
        <v>0</v>
      </c>
      <c r="T788" s="27">
        <f>SUM(H788:S788)</f>
        <v>0</v>
      </c>
      <c r="W788" s="60"/>
      <c r="CC788" s="61"/>
    </row>
    <row r="789" spans="3:81" s="27" customFormat="1" ht="11.25" hidden="1" x14ac:dyDescent="0.2">
      <c r="C789" s="60"/>
      <c r="D789" s="27" t="s">
        <v>1619</v>
      </c>
      <c r="H789" s="27">
        <f t="shared" ref="H789:S789" si="52">+H784-H785</f>
        <v>0</v>
      </c>
      <c r="I789" s="27">
        <f t="shared" si="52"/>
        <v>0</v>
      </c>
      <c r="J789" s="27">
        <f t="shared" si="52"/>
        <v>0</v>
      </c>
      <c r="K789" s="27">
        <f t="shared" si="52"/>
        <v>0</v>
      </c>
      <c r="L789" s="27">
        <f t="shared" si="52"/>
        <v>0</v>
      </c>
      <c r="M789" s="27">
        <f t="shared" si="52"/>
        <v>0</v>
      </c>
      <c r="N789" s="27">
        <f t="shared" si="52"/>
        <v>0</v>
      </c>
      <c r="O789" s="27">
        <f t="shared" si="52"/>
        <v>0</v>
      </c>
      <c r="P789" s="27">
        <f t="shared" si="52"/>
        <v>0</v>
      </c>
      <c r="Q789" s="27">
        <f t="shared" si="52"/>
        <v>0</v>
      </c>
      <c r="R789" s="27">
        <f t="shared" si="52"/>
        <v>0</v>
      </c>
      <c r="S789" s="27">
        <f t="shared" si="52"/>
        <v>0</v>
      </c>
      <c r="T789" s="27">
        <f>SUM(H789:S789)</f>
        <v>0</v>
      </c>
      <c r="W789" s="60"/>
      <c r="CC789" s="61"/>
    </row>
    <row r="790" spans="3:81" s="27" customFormat="1" ht="11.25" hidden="1" x14ac:dyDescent="0.2">
      <c r="C790" s="60"/>
      <c r="G790" s="27" t="s">
        <v>1615</v>
      </c>
      <c r="I790" s="27" t="str">
        <f>IF(T788=T789,"NO HAY ERROR","NO COINCIDE")</f>
        <v>NO HAY ERROR</v>
      </c>
      <c r="K790" s="27" t="s">
        <v>1616</v>
      </c>
      <c r="W790" s="60"/>
      <c r="CC790" s="61"/>
    </row>
    <row r="791" spans="3:81" s="27" customFormat="1" ht="11.25" hidden="1" x14ac:dyDescent="0.2">
      <c r="C791" s="60" t="s">
        <v>711</v>
      </c>
      <c r="D791" s="27" t="s">
        <v>1620</v>
      </c>
      <c r="G791" s="27" t="str">
        <f>INFORME!D104</f>
        <v>producción/servicio</v>
      </c>
      <c r="H791" s="27">
        <f t="shared" ref="H791:S791" si="53">+H799+H804+H809+H823+H828+H833</f>
        <v>0</v>
      </c>
      <c r="I791" s="27">
        <f t="shared" si="53"/>
        <v>0</v>
      </c>
      <c r="J791" s="27">
        <f t="shared" si="53"/>
        <v>0</v>
      </c>
      <c r="K791" s="27">
        <f t="shared" si="53"/>
        <v>0</v>
      </c>
      <c r="L791" s="27">
        <f t="shared" si="53"/>
        <v>0</v>
      </c>
      <c r="M791" s="27">
        <f t="shared" si="53"/>
        <v>0</v>
      </c>
      <c r="N791" s="27">
        <f t="shared" si="53"/>
        <v>0</v>
      </c>
      <c r="O791" s="27">
        <f t="shared" si="53"/>
        <v>0</v>
      </c>
      <c r="P791" s="27">
        <f t="shared" si="53"/>
        <v>0</v>
      </c>
      <c r="Q791" s="27">
        <f t="shared" si="53"/>
        <v>0</v>
      </c>
      <c r="R791" s="27">
        <f t="shared" si="53"/>
        <v>0</v>
      </c>
      <c r="S791" s="27">
        <f t="shared" si="53"/>
        <v>0</v>
      </c>
      <c r="W791" s="60"/>
      <c r="CC791" s="61"/>
    </row>
    <row r="792" spans="3:81" s="27" customFormat="1" ht="11.25" hidden="1" x14ac:dyDescent="0.2">
      <c r="C792" s="60"/>
      <c r="D792" s="27" t="s">
        <v>3</v>
      </c>
      <c r="G792" s="27" t="str">
        <f>INFORME!D105</f>
        <v>marketing/ventas</v>
      </c>
      <c r="H792" s="27">
        <f t="shared" ref="H792:S792" si="54">+H796+H797+H801+H802+H806+H807+H820+H821+H825+H826+H830+H831</f>
        <v>0</v>
      </c>
      <c r="I792" s="27">
        <f t="shared" si="54"/>
        <v>0</v>
      </c>
      <c r="J792" s="27">
        <f t="shared" si="54"/>
        <v>0</v>
      </c>
      <c r="K792" s="27">
        <f t="shared" si="54"/>
        <v>0</v>
      </c>
      <c r="L792" s="27">
        <f t="shared" si="54"/>
        <v>0</v>
      </c>
      <c r="M792" s="27">
        <f t="shared" si="54"/>
        <v>0</v>
      </c>
      <c r="N792" s="27">
        <f t="shared" si="54"/>
        <v>0</v>
      </c>
      <c r="O792" s="27">
        <f t="shared" si="54"/>
        <v>0</v>
      </c>
      <c r="P792" s="27">
        <f t="shared" si="54"/>
        <v>0</v>
      </c>
      <c r="Q792" s="27">
        <f t="shared" si="54"/>
        <v>0</v>
      </c>
      <c r="R792" s="27">
        <f t="shared" si="54"/>
        <v>0</v>
      </c>
      <c r="S792" s="27">
        <f t="shared" si="54"/>
        <v>0</v>
      </c>
      <c r="W792" s="60"/>
      <c r="CC792" s="61"/>
    </row>
    <row r="793" spans="3:81" s="27" customFormat="1" ht="11.25" hidden="1" x14ac:dyDescent="0.2">
      <c r="C793" s="60"/>
      <c r="G793" s="27" t="str">
        <f>INFORME!D106</f>
        <v>administración/DG</v>
      </c>
      <c r="H793" s="27">
        <f t="shared" ref="H793:S793" si="55">+H798+H803+H808+H822+H827+H832</f>
        <v>0</v>
      </c>
      <c r="I793" s="27">
        <f t="shared" si="55"/>
        <v>0</v>
      </c>
      <c r="J793" s="27">
        <f t="shared" si="55"/>
        <v>0</v>
      </c>
      <c r="K793" s="27">
        <f t="shared" si="55"/>
        <v>0</v>
      </c>
      <c r="L793" s="27">
        <f t="shared" si="55"/>
        <v>0</v>
      </c>
      <c r="M793" s="27">
        <f t="shared" si="55"/>
        <v>0</v>
      </c>
      <c r="N793" s="27">
        <f t="shared" si="55"/>
        <v>0</v>
      </c>
      <c r="O793" s="27">
        <f t="shared" si="55"/>
        <v>0</v>
      </c>
      <c r="P793" s="27">
        <f t="shared" si="55"/>
        <v>0</v>
      </c>
      <c r="Q793" s="27">
        <f t="shared" si="55"/>
        <v>0</v>
      </c>
      <c r="R793" s="27">
        <f t="shared" si="55"/>
        <v>0</v>
      </c>
      <c r="S793" s="27">
        <f t="shared" si="55"/>
        <v>0</v>
      </c>
      <c r="T793" s="27">
        <f>+T784+T835</f>
        <v>0</v>
      </c>
      <c r="W793" s="60"/>
      <c r="CC793" s="61"/>
    </row>
    <row r="794" spans="3:81" s="27" customFormat="1" ht="11.25" hidden="1" x14ac:dyDescent="0.2">
      <c r="C794" s="60"/>
      <c r="G794" s="27" t="s">
        <v>958</v>
      </c>
      <c r="H794" s="27">
        <f t="shared" ref="H794:S794" si="56">SUM(H791:H793)</f>
        <v>0</v>
      </c>
      <c r="I794" s="27">
        <f t="shared" si="56"/>
        <v>0</v>
      </c>
      <c r="J794" s="27">
        <f t="shared" si="56"/>
        <v>0</v>
      </c>
      <c r="K794" s="27">
        <f t="shared" si="56"/>
        <v>0</v>
      </c>
      <c r="L794" s="27">
        <f t="shared" si="56"/>
        <v>0</v>
      </c>
      <c r="M794" s="27">
        <f t="shared" si="56"/>
        <v>0</v>
      </c>
      <c r="N794" s="27">
        <f t="shared" si="56"/>
        <v>0</v>
      </c>
      <c r="O794" s="27">
        <f t="shared" si="56"/>
        <v>0</v>
      </c>
      <c r="P794" s="27">
        <f t="shared" si="56"/>
        <v>0</v>
      </c>
      <c r="Q794" s="27">
        <f t="shared" si="56"/>
        <v>0</v>
      </c>
      <c r="R794" s="27">
        <f t="shared" si="56"/>
        <v>0</v>
      </c>
      <c r="S794" s="27">
        <f t="shared" si="56"/>
        <v>0</v>
      </c>
      <c r="T794" s="27">
        <f>SUM(H794:S794)</f>
        <v>0</v>
      </c>
      <c r="W794" s="60"/>
      <c r="CC794" s="61"/>
    </row>
    <row r="795" spans="3:81" s="27" customFormat="1" ht="11.25" hidden="1" x14ac:dyDescent="0.2">
      <c r="C795" s="60"/>
      <c r="G795" s="27" t="s">
        <v>1615</v>
      </c>
      <c r="I795" s="27" t="str">
        <f>IF(T793=T794,"NO HAY ERROR","NO COINCIDE")</f>
        <v>NO HAY ERROR</v>
      </c>
      <c r="K795" s="27" t="s">
        <v>1616</v>
      </c>
      <c r="W795" s="60"/>
      <c r="CC795" s="61"/>
    </row>
    <row r="796" spans="3:81" s="27" customFormat="1" ht="11.25" hidden="1" x14ac:dyDescent="0.2">
      <c r="C796" s="60"/>
      <c r="E796" s="27" t="s">
        <v>812</v>
      </c>
      <c r="G796" s="27" t="str">
        <f>SB!K137</f>
        <v>Ventas</v>
      </c>
      <c r="H796" s="27">
        <f t="shared" ref="H796:S799" si="57">SUMIF($G$861:$G$870,$G796,H$861:H$870)</f>
        <v>0</v>
      </c>
      <c r="I796" s="27">
        <f t="shared" si="57"/>
        <v>0</v>
      </c>
      <c r="J796" s="27">
        <f t="shared" si="57"/>
        <v>0</v>
      </c>
      <c r="K796" s="27">
        <f t="shared" si="57"/>
        <v>0</v>
      </c>
      <c r="L796" s="27">
        <f t="shared" si="57"/>
        <v>0</v>
      </c>
      <c r="M796" s="27">
        <f t="shared" si="57"/>
        <v>0</v>
      </c>
      <c r="N796" s="27">
        <f t="shared" si="57"/>
        <v>0</v>
      </c>
      <c r="O796" s="27">
        <f t="shared" si="57"/>
        <v>0</v>
      </c>
      <c r="P796" s="27">
        <f t="shared" si="57"/>
        <v>0</v>
      </c>
      <c r="Q796" s="27">
        <f t="shared" si="57"/>
        <v>0</v>
      </c>
      <c r="R796" s="27">
        <f t="shared" si="57"/>
        <v>0</v>
      </c>
      <c r="S796" s="27">
        <f t="shared" si="57"/>
        <v>0</v>
      </c>
      <c r="T796" s="27">
        <f>SUM(H796:S796)</f>
        <v>0</v>
      </c>
      <c r="W796" s="60"/>
      <c r="CC796" s="61"/>
    </row>
    <row r="797" spans="3:81" s="27" customFormat="1" ht="11.25" hidden="1" x14ac:dyDescent="0.2">
      <c r="C797" s="60"/>
      <c r="G797" s="27" t="str">
        <f>SB!K138</f>
        <v>Marketing</v>
      </c>
      <c r="H797" s="27">
        <f t="shared" si="57"/>
        <v>0</v>
      </c>
      <c r="I797" s="27">
        <f t="shared" si="57"/>
        <v>0</v>
      </c>
      <c r="J797" s="27">
        <f t="shared" si="57"/>
        <v>0</v>
      </c>
      <c r="K797" s="27">
        <f t="shared" si="57"/>
        <v>0</v>
      </c>
      <c r="L797" s="27">
        <f t="shared" si="57"/>
        <v>0</v>
      </c>
      <c r="M797" s="27">
        <f t="shared" si="57"/>
        <v>0</v>
      </c>
      <c r="N797" s="27">
        <f t="shared" si="57"/>
        <v>0</v>
      </c>
      <c r="O797" s="27">
        <f t="shared" si="57"/>
        <v>0</v>
      </c>
      <c r="P797" s="27">
        <f t="shared" si="57"/>
        <v>0</v>
      </c>
      <c r="Q797" s="27">
        <f t="shared" si="57"/>
        <v>0</v>
      </c>
      <c r="R797" s="27">
        <f t="shared" si="57"/>
        <v>0</v>
      </c>
      <c r="S797" s="27">
        <f t="shared" si="57"/>
        <v>0</v>
      </c>
      <c r="T797" s="27">
        <f>SUM(H797:S797)</f>
        <v>0</v>
      </c>
      <c r="W797" s="60"/>
      <c r="CC797" s="61"/>
    </row>
    <row r="798" spans="3:81" s="27" customFormat="1" ht="11.25" hidden="1" x14ac:dyDescent="0.2">
      <c r="C798" s="60"/>
      <c r="G798" s="27" t="str">
        <f>SB!K139</f>
        <v>Administración</v>
      </c>
      <c r="H798" s="27">
        <f t="shared" si="57"/>
        <v>0</v>
      </c>
      <c r="I798" s="27">
        <f t="shared" si="57"/>
        <v>0</v>
      </c>
      <c r="J798" s="27">
        <f t="shared" si="57"/>
        <v>0</v>
      </c>
      <c r="K798" s="27">
        <f t="shared" si="57"/>
        <v>0</v>
      </c>
      <c r="L798" s="27">
        <f t="shared" si="57"/>
        <v>0</v>
      </c>
      <c r="M798" s="27">
        <f t="shared" si="57"/>
        <v>0</v>
      </c>
      <c r="N798" s="27">
        <f t="shared" si="57"/>
        <v>0</v>
      </c>
      <c r="O798" s="27">
        <f t="shared" si="57"/>
        <v>0</v>
      </c>
      <c r="P798" s="27">
        <f t="shared" si="57"/>
        <v>0</v>
      </c>
      <c r="Q798" s="27">
        <f t="shared" si="57"/>
        <v>0</v>
      </c>
      <c r="R798" s="27">
        <f t="shared" si="57"/>
        <v>0</v>
      </c>
      <c r="S798" s="27">
        <f t="shared" si="57"/>
        <v>0</v>
      </c>
      <c r="T798" s="27">
        <f>SUM(H798:S798)</f>
        <v>0</v>
      </c>
      <c r="W798" s="60"/>
      <c r="CC798" s="61"/>
    </row>
    <row r="799" spans="3:81" s="27" customFormat="1" ht="11.25" hidden="1" x14ac:dyDescent="0.2">
      <c r="C799" s="60"/>
      <c r="G799" s="27" t="str">
        <f>SB!K140</f>
        <v>Prod./Servicio</v>
      </c>
      <c r="H799" s="27">
        <f t="shared" si="57"/>
        <v>0</v>
      </c>
      <c r="I799" s="27">
        <f t="shared" si="57"/>
        <v>0</v>
      </c>
      <c r="J799" s="27">
        <f t="shared" si="57"/>
        <v>0</v>
      </c>
      <c r="K799" s="27">
        <f t="shared" si="57"/>
        <v>0</v>
      </c>
      <c r="L799" s="27">
        <f t="shared" si="57"/>
        <v>0</v>
      </c>
      <c r="M799" s="27">
        <f t="shared" si="57"/>
        <v>0</v>
      </c>
      <c r="N799" s="27">
        <f t="shared" si="57"/>
        <v>0</v>
      </c>
      <c r="O799" s="27">
        <f t="shared" si="57"/>
        <v>0</v>
      </c>
      <c r="P799" s="27">
        <f t="shared" si="57"/>
        <v>0</v>
      </c>
      <c r="Q799" s="27">
        <f t="shared" si="57"/>
        <v>0</v>
      </c>
      <c r="R799" s="27">
        <f t="shared" si="57"/>
        <v>0</v>
      </c>
      <c r="S799" s="27">
        <f t="shared" si="57"/>
        <v>0</v>
      </c>
      <c r="T799" s="27">
        <f>SUM(H799:S799)</f>
        <v>0</v>
      </c>
      <c r="W799" s="60"/>
      <c r="CC799" s="61"/>
    </row>
    <row r="800" spans="3:81" s="27" customFormat="1" ht="11.25" hidden="1" x14ac:dyDescent="0.2">
      <c r="C800" s="60"/>
      <c r="G800" s="27" t="s">
        <v>958</v>
      </c>
      <c r="H800" s="27">
        <f t="shared" ref="H800:T800" si="58">SUM(H796:H799)</f>
        <v>0</v>
      </c>
      <c r="I800" s="27">
        <f t="shared" si="58"/>
        <v>0</v>
      </c>
      <c r="J800" s="27">
        <f t="shared" si="58"/>
        <v>0</v>
      </c>
      <c r="K800" s="27">
        <f t="shared" si="58"/>
        <v>0</v>
      </c>
      <c r="L800" s="27">
        <f t="shared" si="58"/>
        <v>0</v>
      </c>
      <c r="M800" s="27">
        <f t="shared" si="58"/>
        <v>0</v>
      </c>
      <c r="N800" s="27">
        <f t="shared" si="58"/>
        <v>0</v>
      </c>
      <c r="O800" s="27">
        <f t="shared" si="58"/>
        <v>0</v>
      </c>
      <c r="P800" s="27">
        <f t="shared" si="58"/>
        <v>0</v>
      </c>
      <c r="Q800" s="27">
        <f t="shared" si="58"/>
        <v>0</v>
      </c>
      <c r="R800" s="27">
        <f t="shared" si="58"/>
        <v>0</v>
      </c>
      <c r="S800" s="27">
        <f t="shared" si="58"/>
        <v>0</v>
      </c>
      <c r="T800" s="27">
        <f t="shared" si="58"/>
        <v>0</v>
      </c>
      <c r="W800" s="60"/>
      <c r="CC800" s="61"/>
    </row>
    <row r="801" spans="2:81" s="27" customFormat="1" ht="11.25" hidden="1" x14ac:dyDescent="0.2">
      <c r="C801" s="60"/>
      <c r="E801" s="27" t="s">
        <v>813</v>
      </c>
      <c r="G801" s="27" t="str">
        <f t="shared" ref="G801:G810" si="59">G796</f>
        <v>Ventas</v>
      </c>
      <c r="H801" s="27">
        <f t="shared" ref="H801:S804" si="60">SUMIF($G$872:$G$902,$G801,H$872:H$902)</f>
        <v>0</v>
      </c>
      <c r="I801" s="27">
        <f t="shared" si="60"/>
        <v>0</v>
      </c>
      <c r="J801" s="27">
        <f t="shared" si="60"/>
        <v>0</v>
      </c>
      <c r="K801" s="27">
        <f t="shared" si="60"/>
        <v>0</v>
      </c>
      <c r="L801" s="27">
        <f t="shared" si="60"/>
        <v>0</v>
      </c>
      <c r="M801" s="27">
        <f t="shared" si="60"/>
        <v>0</v>
      </c>
      <c r="N801" s="27">
        <f t="shared" si="60"/>
        <v>0</v>
      </c>
      <c r="O801" s="27">
        <f t="shared" si="60"/>
        <v>0</v>
      </c>
      <c r="P801" s="27">
        <f t="shared" si="60"/>
        <v>0</v>
      </c>
      <c r="Q801" s="27">
        <f t="shared" si="60"/>
        <v>0</v>
      </c>
      <c r="R801" s="27">
        <f t="shared" si="60"/>
        <v>0</v>
      </c>
      <c r="S801" s="27">
        <f t="shared" si="60"/>
        <v>0</v>
      </c>
      <c r="T801" s="27">
        <f>SUM(H801:S801)</f>
        <v>0</v>
      </c>
      <c r="W801" s="60"/>
      <c r="CC801" s="61"/>
    </row>
    <row r="802" spans="2:81" s="27" customFormat="1" ht="11.25" hidden="1" x14ac:dyDescent="0.2">
      <c r="C802" s="60"/>
      <c r="G802" s="27" t="str">
        <f t="shared" si="59"/>
        <v>Marketing</v>
      </c>
      <c r="H802" s="27">
        <f t="shared" si="60"/>
        <v>0</v>
      </c>
      <c r="I802" s="27">
        <f t="shared" si="60"/>
        <v>0</v>
      </c>
      <c r="J802" s="27">
        <f t="shared" si="60"/>
        <v>0</v>
      </c>
      <c r="K802" s="27">
        <f t="shared" si="60"/>
        <v>0</v>
      </c>
      <c r="L802" s="27">
        <f t="shared" si="60"/>
        <v>0</v>
      </c>
      <c r="M802" s="27">
        <f t="shared" si="60"/>
        <v>0</v>
      </c>
      <c r="N802" s="27">
        <f t="shared" si="60"/>
        <v>0</v>
      </c>
      <c r="O802" s="27">
        <f t="shared" si="60"/>
        <v>0</v>
      </c>
      <c r="P802" s="27">
        <f t="shared" si="60"/>
        <v>0</v>
      </c>
      <c r="Q802" s="27">
        <f t="shared" si="60"/>
        <v>0</v>
      </c>
      <c r="R802" s="27">
        <f t="shared" si="60"/>
        <v>0</v>
      </c>
      <c r="S802" s="27">
        <f t="shared" si="60"/>
        <v>0</v>
      </c>
      <c r="T802" s="27">
        <f>SUM(H802:S802)</f>
        <v>0</v>
      </c>
      <c r="W802" s="60"/>
      <c r="CC802" s="61"/>
    </row>
    <row r="803" spans="2:81" s="27" customFormat="1" ht="11.25" hidden="1" x14ac:dyDescent="0.2">
      <c r="C803" s="60"/>
      <c r="G803" s="27" t="str">
        <f t="shared" si="59"/>
        <v>Administración</v>
      </c>
      <c r="H803" s="27">
        <f t="shared" si="60"/>
        <v>0</v>
      </c>
      <c r="I803" s="27">
        <f t="shared" si="60"/>
        <v>0</v>
      </c>
      <c r="J803" s="27">
        <f t="shared" si="60"/>
        <v>0</v>
      </c>
      <c r="K803" s="27">
        <f t="shared" si="60"/>
        <v>0</v>
      </c>
      <c r="L803" s="27">
        <f t="shared" si="60"/>
        <v>0</v>
      </c>
      <c r="M803" s="27">
        <f t="shared" si="60"/>
        <v>0</v>
      </c>
      <c r="N803" s="27">
        <f t="shared" si="60"/>
        <v>0</v>
      </c>
      <c r="O803" s="27">
        <f t="shared" si="60"/>
        <v>0</v>
      </c>
      <c r="P803" s="27">
        <f t="shared" si="60"/>
        <v>0</v>
      </c>
      <c r="Q803" s="27">
        <f t="shared" si="60"/>
        <v>0</v>
      </c>
      <c r="R803" s="27">
        <f t="shared" si="60"/>
        <v>0</v>
      </c>
      <c r="S803" s="27">
        <f t="shared" si="60"/>
        <v>0</v>
      </c>
      <c r="T803" s="27">
        <f>SUM(H803:S803)</f>
        <v>0</v>
      </c>
      <c r="W803" s="60"/>
      <c r="CC803" s="61"/>
    </row>
    <row r="804" spans="2:81" s="27" customFormat="1" ht="11.25" hidden="1" x14ac:dyDescent="0.2">
      <c r="C804" s="60"/>
      <c r="G804" s="27" t="str">
        <f t="shared" si="59"/>
        <v>Prod./Servicio</v>
      </c>
      <c r="H804" s="27">
        <f t="shared" si="60"/>
        <v>0</v>
      </c>
      <c r="I804" s="27">
        <f t="shared" si="60"/>
        <v>0</v>
      </c>
      <c r="J804" s="27">
        <f t="shared" si="60"/>
        <v>0</v>
      </c>
      <c r="K804" s="27">
        <f t="shared" si="60"/>
        <v>0</v>
      </c>
      <c r="L804" s="27">
        <f t="shared" si="60"/>
        <v>0</v>
      </c>
      <c r="M804" s="27">
        <f t="shared" si="60"/>
        <v>0</v>
      </c>
      <c r="N804" s="27">
        <f t="shared" si="60"/>
        <v>0</v>
      </c>
      <c r="O804" s="27">
        <f t="shared" si="60"/>
        <v>0</v>
      </c>
      <c r="P804" s="27">
        <f t="shared" si="60"/>
        <v>0</v>
      </c>
      <c r="Q804" s="27">
        <f t="shared" si="60"/>
        <v>0</v>
      </c>
      <c r="R804" s="27">
        <f t="shared" si="60"/>
        <v>0</v>
      </c>
      <c r="S804" s="27">
        <f t="shared" si="60"/>
        <v>0</v>
      </c>
      <c r="T804" s="27">
        <f>SUM(H804:S804)</f>
        <v>0</v>
      </c>
      <c r="W804" s="60"/>
      <c r="CC804" s="61"/>
    </row>
    <row r="805" spans="2:81" s="27" customFormat="1" ht="11.25" hidden="1" x14ac:dyDescent="0.2">
      <c r="C805" s="60"/>
      <c r="G805" s="27" t="str">
        <f t="shared" si="59"/>
        <v>TOTAL</v>
      </c>
      <c r="H805" s="27">
        <f t="shared" ref="H805:T805" si="61">SUM(H801:H804)</f>
        <v>0</v>
      </c>
      <c r="I805" s="27">
        <f t="shared" si="61"/>
        <v>0</v>
      </c>
      <c r="J805" s="27">
        <f t="shared" si="61"/>
        <v>0</v>
      </c>
      <c r="K805" s="27">
        <f t="shared" si="61"/>
        <v>0</v>
      </c>
      <c r="L805" s="27">
        <f t="shared" si="61"/>
        <v>0</v>
      </c>
      <c r="M805" s="27">
        <f t="shared" si="61"/>
        <v>0</v>
      </c>
      <c r="N805" s="27">
        <f t="shared" si="61"/>
        <v>0</v>
      </c>
      <c r="O805" s="27">
        <f t="shared" si="61"/>
        <v>0</v>
      </c>
      <c r="P805" s="27">
        <f t="shared" si="61"/>
        <v>0</v>
      </c>
      <c r="Q805" s="27">
        <f t="shared" si="61"/>
        <v>0</v>
      </c>
      <c r="R805" s="27">
        <f t="shared" si="61"/>
        <v>0</v>
      </c>
      <c r="S805" s="27">
        <f t="shared" si="61"/>
        <v>0</v>
      </c>
      <c r="T805" s="27">
        <f t="shared" si="61"/>
        <v>0</v>
      </c>
      <c r="W805" s="60"/>
      <c r="CC805" s="61"/>
    </row>
    <row r="806" spans="2:81" s="27" customFormat="1" ht="11.25" hidden="1" x14ac:dyDescent="0.2">
      <c r="C806" s="60"/>
      <c r="E806" s="27" t="s">
        <v>814</v>
      </c>
      <c r="G806" s="27" t="str">
        <f t="shared" si="59"/>
        <v>Ventas</v>
      </c>
      <c r="H806" s="27">
        <f t="shared" ref="H806:S809" si="62">SUMIF($G$903:$G$919,$G806,H$903:H$919)</f>
        <v>0</v>
      </c>
      <c r="I806" s="27">
        <f t="shared" si="62"/>
        <v>0</v>
      </c>
      <c r="J806" s="27">
        <f t="shared" si="62"/>
        <v>0</v>
      </c>
      <c r="K806" s="27">
        <f t="shared" si="62"/>
        <v>0</v>
      </c>
      <c r="L806" s="27">
        <f t="shared" si="62"/>
        <v>0</v>
      </c>
      <c r="M806" s="27">
        <f t="shared" si="62"/>
        <v>0</v>
      </c>
      <c r="N806" s="27">
        <f t="shared" si="62"/>
        <v>0</v>
      </c>
      <c r="O806" s="27">
        <f t="shared" si="62"/>
        <v>0</v>
      </c>
      <c r="P806" s="27">
        <f t="shared" si="62"/>
        <v>0</v>
      </c>
      <c r="Q806" s="27">
        <f t="shared" si="62"/>
        <v>0</v>
      </c>
      <c r="R806" s="27">
        <f t="shared" si="62"/>
        <v>0</v>
      </c>
      <c r="S806" s="27">
        <f t="shared" si="62"/>
        <v>0</v>
      </c>
      <c r="T806" s="27">
        <f>SUM(H806:S806)</f>
        <v>0</v>
      </c>
      <c r="W806" s="60"/>
      <c r="CC806" s="61"/>
    </row>
    <row r="807" spans="2:81" s="27" customFormat="1" ht="11.25" hidden="1" x14ac:dyDescent="0.2">
      <c r="C807" s="60"/>
      <c r="G807" s="27" t="str">
        <f t="shared" si="59"/>
        <v>Marketing</v>
      </c>
      <c r="H807" s="27">
        <f t="shared" si="62"/>
        <v>0</v>
      </c>
      <c r="I807" s="27">
        <f t="shared" si="62"/>
        <v>0</v>
      </c>
      <c r="J807" s="27">
        <f t="shared" si="62"/>
        <v>0</v>
      </c>
      <c r="K807" s="27">
        <f t="shared" si="62"/>
        <v>0</v>
      </c>
      <c r="L807" s="27">
        <f t="shared" si="62"/>
        <v>0</v>
      </c>
      <c r="M807" s="27">
        <f t="shared" si="62"/>
        <v>0</v>
      </c>
      <c r="N807" s="27">
        <f t="shared" si="62"/>
        <v>0</v>
      </c>
      <c r="O807" s="27">
        <f t="shared" si="62"/>
        <v>0</v>
      </c>
      <c r="P807" s="27">
        <f t="shared" si="62"/>
        <v>0</v>
      </c>
      <c r="Q807" s="27">
        <f t="shared" si="62"/>
        <v>0</v>
      </c>
      <c r="R807" s="27">
        <f t="shared" si="62"/>
        <v>0</v>
      </c>
      <c r="S807" s="27">
        <f t="shared" si="62"/>
        <v>0</v>
      </c>
      <c r="T807" s="27">
        <f>SUM(H807:S807)</f>
        <v>0</v>
      </c>
      <c r="W807" s="60"/>
      <c r="CC807" s="61"/>
    </row>
    <row r="808" spans="2:81" s="27" customFormat="1" ht="11.25" hidden="1" x14ac:dyDescent="0.2">
      <c r="C808" s="60"/>
      <c r="G808" s="27" t="str">
        <f t="shared" si="59"/>
        <v>Administración</v>
      </c>
      <c r="H808" s="27">
        <f t="shared" si="62"/>
        <v>0</v>
      </c>
      <c r="I808" s="27">
        <f t="shared" si="62"/>
        <v>0</v>
      </c>
      <c r="J808" s="27">
        <f t="shared" si="62"/>
        <v>0</v>
      </c>
      <c r="K808" s="27">
        <f t="shared" si="62"/>
        <v>0</v>
      </c>
      <c r="L808" s="27">
        <f t="shared" si="62"/>
        <v>0</v>
      </c>
      <c r="M808" s="27">
        <f t="shared" si="62"/>
        <v>0</v>
      </c>
      <c r="N808" s="27">
        <f t="shared" si="62"/>
        <v>0</v>
      </c>
      <c r="O808" s="27">
        <f t="shared" si="62"/>
        <v>0</v>
      </c>
      <c r="P808" s="27">
        <f t="shared" si="62"/>
        <v>0</v>
      </c>
      <c r="Q808" s="27">
        <f t="shared" si="62"/>
        <v>0</v>
      </c>
      <c r="R808" s="27">
        <f t="shared" si="62"/>
        <v>0</v>
      </c>
      <c r="S808" s="27">
        <f t="shared" si="62"/>
        <v>0</v>
      </c>
      <c r="T808" s="27">
        <f>SUM(H808:S808)</f>
        <v>0</v>
      </c>
      <c r="W808" s="60"/>
      <c r="CC808" s="61"/>
    </row>
    <row r="809" spans="2:81" s="27" customFormat="1" ht="11.25" hidden="1" x14ac:dyDescent="0.2">
      <c r="C809" s="60"/>
      <c r="G809" s="27" t="str">
        <f t="shared" si="59"/>
        <v>Prod./Servicio</v>
      </c>
      <c r="H809" s="27">
        <f t="shared" si="62"/>
        <v>0</v>
      </c>
      <c r="I809" s="27">
        <f t="shared" si="62"/>
        <v>0</v>
      </c>
      <c r="J809" s="27">
        <f t="shared" si="62"/>
        <v>0</v>
      </c>
      <c r="K809" s="27">
        <f t="shared" si="62"/>
        <v>0</v>
      </c>
      <c r="L809" s="27">
        <f t="shared" si="62"/>
        <v>0</v>
      </c>
      <c r="M809" s="27">
        <f t="shared" si="62"/>
        <v>0</v>
      </c>
      <c r="N809" s="27">
        <f t="shared" si="62"/>
        <v>0</v>
      </c>
      <c r="O809" s="27">
        <f t="shared" si="62"/>
        <v>0</v>
      </c>
      <c r="P809" s="27">
        <f t="shared" si="62"/>
        <v>0</v>
      </c>
      <c r="Q809" s="27">
        <f t="shared" si="62"/>
        <v>0</v>
      </c>
      <c r="R809" s="27">
        <f t="shared" si="62"/>
        <v>0</v>
      </c>
      <c r="S809" s="27">
        <f t="shared" si="62"/>
        <v>0</v>
      </c>
      <c r="T809" s="27">
        <f>SUM(H809:S809)</f>
        <v>0</v>
      </c>
      <c r="W809" s="60"/>
      <c r="CC809" s="61"/>
    </row>
    <row r="810" spans="2:81" s="27" customFormat="1" ht="11.25" hidden="1" x14ac:dyDescent="0.2">
      <c r="C810" s="60"/>
      <c r="G810" s="27" t="str">
        <f t="shared" si="59"/>
        <v>TOTAL</v>
      </c>
      <c r="H810" s="27">
        <f t="shared" ref="H810:T810" si="63">SUM(H806:H809)</f>
        <v>0</v>
      </c>
      <c r="I810" s="27">
        <f t="shared" si="63"/>
        <v>0</v>
      </c>
      <c r="J810" s="27">
        <f t="shared" si="63"/>
        <v>0</v>
      </c>
      <c r="K810" s="27">
        <f t="shared" si="63"/>
        <v>0</v>
      </c>
      <c r="L810" s="27">
        <f t="shared" si="63"/>
        <v>0</v>
      </c>
      <c r="M810" s="27">
        <f t="shared" si="63"/>
        <v>0</v>
      </c>
      <c r="N810" s="27">
        <f t="shared" si="63"/>
        <v>0</v>
      </c>
      <c r="O810" s="27">
        <f t="shared" si="63"/>
        <v>0</v>
      </c>
      <c r="P810" s="27">
        <f t="shared" si="63"/>
        <v>0</v>
      </c>
      <c r="Q810" s="27">
        <f t="shared" si="63"/>
        <v>0</v>
      </c>
      <c r="R810" s="27">
        <f t="shared" si="63"/>
        <v>0</v>
      </c>
      <c r="S810" s="27">
        <f t="shared" si="63"/>
        <v>0</v>
      </c>
      <c r="T810" s="27">
        <f t="shared" si="63"/>
        <v>0</v>
      </c>
      <c r="W810" s="60"/>
      <c r="CC810" s="61"/>
    </row>
    <row r="811" spans="2:81" s="27" customFormat="1" ht="11.25" hidden="1" x14ac:dyDescent="0.2">
      <c r="C811" s="60"/>
      <c r="W811" s="60"/>
      <c r="CC811" s="61"/>
    </row>
    <row r="812" spans="2:81" s="27" customFormat="1" ht="11.25" hidden="1" x14ac:dyDescent="0.2">
      <c r="B812" s="27">
        <v>2</v>
      </c>
      <c r="C812" s="60" t="s">
        <v>1621</v>
      </c>
      <c r="H812" s="27" t="s">
        <v>886</v>
      </c>
      <c r="I812" s="27" t="s">
        <v>934</v>
      </c>
      <c r="J812" s="27" t="s">
        <v>935</v>
      </c>
      <c r="K812" s="27" t="s">
        <v>936</v>
      </c>
      <c r="L812" s="27" t="s">
        <v>937</v>
      </c>
      <c r="M812" s="27" t="s">
        <v>938</v>
      </c>
      <c r="N812" s="27" t="s">
        <v>939</v>
      </c>
      <c r="O812" s="27" t="s">
        <v>940</v>
      </c>
      <c r="P812" s="27" t="s">
        <v>941</v>
      </c>
      <c r="Q812" s="27" t="s">
        <v>942</v>
      </c>
      <c r="R812" s="27" t="s">
        <v>943</v>
      </c>
      <c r="S812" s="27" t="s">
        <v>944</v>
      </c>
      <c r="W812" s="60"/>
      <c r="CC812" s="61"/>
    </row>
    <row r="813" spans="2:81" s="27" customFormat="1" ht="11.25" hidden="1" x14ac:dyDescent="0.2">
      <c r="C813" s="60"/>
      <c r="D813" s="27" t="s">
        <v>120</v>
      </c>
      <c r="H813" s="27">
        <f t="shared" ref="H813:S813" si="64">H835</f>
        <v>0</v>
      </c>
      <c r="I813" s="27">
        <f t="shared" si="64"/>
        <v>0</v>
      </c>
      <c r="J813" s="27">
        <f t="shared" si="64"/>
        <v>0</v>
      </c>
      <c r="K813" s="27">
        <f t="shared" si="64"/>
        <v>0</v>
      </c>
      <c r="L813" s="27">
        <f t="shared" si="64"/>
        <v>0</v>
      </c>
      <c r="M813" s="27">
        <f t="shared" si="64"/>
        <v>0</v>
      </c>
      <c r="N813" s="27">
        <f t="shared" si="64"/>
        <v>0</v>
      </c>
      <c r="O813" s="27">
        <f t="shared" si="64"/>
        <v>0</v>
      </c>
      <c r="P813" s="27">
        <f t="shared" si="64"/>
        <v>0</v>
      </c>
      <c r="Q813" s="27">
        <f t="shared" si="64"/>
        <v>0</v>
      </c>
      <c r="R813" s="27">
        <f t="shared" si="64"/>
        <v>0</v>
      </c>
      <c r="S813" s="27">
        <f t="shared" si="64"/>
        <v>0</v>
      </c>
      <c r="T813" s="27">
        <f>SUM(H813:S813)</f>
        <v>0</v>
      </c>
      <c r="W813" s="60"/>
      <c r="CC813" s="61"/>
    </row>
    <row r="814" spans="2:81" s="27" customFormat="1" ht="11.25" hidden="1" x14ac:dyDescent="0.2">
      <c r="C814" s="60"/>
      <c r="D814" s="27" t="s">
        <v>711</v>
      </c>
      <c r="H814" s="27">
        <f t="shared" ref="H814:S814" si="65">AE974</f>
        <v>0</v>
      </c>
      <c r="I814" s="27">
        <f t="shared" si="65"/>
        <v>0</v>
      </c>
      <c r="J814" s="27">
        <f t="shared" si="65"/>
        <v>0</v>
      </c>
      <c r="K814" s="27">
        <f t="shared" si="65"/>
        <v>0</v>
      </c>
      <c r="L814" s="27">
        <f t="shared" si="65"/>
        <v>0</v>
      </c>
      <c r="M814" s="27">
        <f t="shared" si="65"/>
        <v>0</v>
      </c>
      <c r="N814" s="27">
        <f t="shared" si="65"/>
        <v>0</v>
      </c>
      <c r="O814" s="27">
        <f t="shared" si="65"/>
        <v>0</v>
      </c>
      <c r="P814" s="27">
        <f t="shared" si="65"/>
        <v>0</v>
      </c>
      <c r="Q814" s="27">
        <f t="shared" si="65"/>
        <v>0</v>
      </c>
      <c r="R814" s="27">
        <f t="shared" si="65"/>
        <v>0</v>
      </c>
      <c r="S814" s="27">
        <f t="shared" si="65"/>
        <v>0</v>
      </c>
      <c r="W814" s="60"/>
      <c r="CC814" s="61"/>
    </row>
    <row r="815" spans="2:81" s="27" customFormat="1" ht="11.25" hidden="1" x14ac:dyDescent="0.2">
      <c r="C815" s="60"/>
      <c r="D815" s="27" t="s">
        <v>1282</v>
      </c>
      <c r="H815" s="27">
        <f t="shared" ref="H815:S815" si="66">AE969</f>
        <v>0</v>
      </c>
      <c r="I815" s="27">
        <f t="shared" si="66"/>
        <v>0</v>
      </c>
      <c r="J815" s="27">
        <f t="shared" si="66"/>
        <v>0</v>
      </c>
      <c r="K815" s="27">
        <f t="shared" si="66"/>
        <v>0</v>
      </c>
      <c r="L815" s="27">
        <f t="shared" si="66"/>
        <v>0</v>
      </c>
      <c r="M815" s="27">
        <f t="shared" si="66"/>
        <v>0</v>
      </c>
      <c r="N815" s="27">
        <f t="shared" si="66"/>
        <v>0</v>
      </c>
      <c r="O815" s="27">
        <f t="shared" si="66"/>
        <v>0</v>
      </c>
      <c r="P815" s="27">
        <f t="shared" si="66"/>
        <v>0</v>
      </c>
      <c r="Q815" s="27">
        <f t="shared" si="66"/>
        <v>0</v>
      </c>
      <c r="R815" s="27">
        <f t="shared" si="66"/>
        <v>0</v>
      </c>
      <c r="S815" s="27">
        <f t="shared" si="66"/>
        <v>0</v>
      </c>
      <c r="W815" s="60"/>
      <c r="CC815" s="61"/>
    </row>
    <row r="816" spans="2:81" s="27" customFormat="1" ht="11.25" hidden="1" x14ac:dyDescent="0.2">
      <c r="C816" s="60"/>
      <c r="D816" s="27" t="s">
        <v>121</v>
      </c>
      <c r="H816" s="27">
        <f t="shared" ref="H816:S816" si="67">AE972</f>
        <v>0</v>
      </c>
      <c r="I816" s="27">
        <f t="shared" si="67"/>
        <v>0</v>
      </c>
      <c r="J816" s="27">
        <f t="shared" si="67"/>
        <v>0</v>
      </c>
      <c r="K816" s="27">
        <f t="shared" si="67"/>
        <v>0</v>
      </c>
      <c r="L816" s="27">
        <f t="shared" si="67"/>
        <v>0</v>
      </c>
      <c r="M816" s="27">
        <f t="shared" si="67"/>
        <v>0</v>
      </c>
      <c r="N816" s="27">
        <f t="shared" si="67"/>
        <v>0</v>
      </c>
      <c r="O816" s="27">
        <f t="shared" si="67"/>
        <v>0</v>
      </c>
      <c r="P816" s="27">
        <f t="shared" si="67"/>
        <v>0</v>
      </c>
      <c r="Q816" s="27">
        <f t="shared" si="67"/>
        <v>0</v>
      </c>
      <c r="R816" s="27">
        <f t="shared" si="67"/>
        <v>0</v>
      </c>
      <c r="S816" s="27">
        <f t="shared" si="67"/>
        <v>0</v>
      </c>
      <c r="W816" s="60"/>
      <c r="CC816" s="61"/>
    </row>
    <row r="817" spans="3:81" s="27" customFormat="1" ht="11.25" hidden="1" x14ac:dyDescent="0.2">
      <c r="C817" s="60"/>
      <c r="D817" s="27" t="s">
        <v>1618</v>
      </c>
      <c r="H817" s="27">
        <f t="shared" ref="H817:S817" si="68">+H816+H815</f>
        <v>0</v>
      </c>
      <c r="I817" s="27">
        <f t="shared" si="68"/>
        <v>0</v>
      </c>
      <c r="J817" s="27">
        <f t="shared" si="68"/>
        <v>0</v>
      </c>
      <c r="K817" s="27">
        <f t="shared" si="68"/>
        <v>0</v>
      </c>
      <c r="L817" s="27">
        <f t="shared" si="68"/>
        <v>0</v>
      </c>
      <c r="M817" s="27">
        <f t="shared" si="68"/>
        <v>0</v>
      </c>
      <c r="N817" s="27">
        <f t="shared" si="68"/>
        <v>0</v>
      </c>
      <c r="O817" s="27">
        <f t="shared" si="68"/>
        <v>0</v>
      </c>
      <c r="P817" s="27">
        <f t="shared" si="68"/>
        <v>0</v>
      </c>
      <c r="Q817" s="27">
        <f t="shared" si="68"/>
        <v>0</v>
      </c>
      <c r="R817" s="27">
        <f t="shared" si="68"/>
        <v>0</v>
      </c>
      <c r="S817" s="27">
        <f t="shared" si="68"/>
        <v>0</v>
      </c>
      <c r="T817" s="27">
        <f>SUM(H817:S817)</f>
        <v>0</v>
      </c>
      <c r="W817" s="60"/>
      <c r="CC817" s="61"/>
    </row>
    <row r="818" spans="3:81" s="27" customFormat="1" ht="11.25" hidden="1" x14ac:dyDescent="0.2">
      <c r="C818" s="60"/>
      <c r="D818" s="27" t="s">
        <v>1619</v>
      </c>
      <c r="H818" s="27">
        <f t="shared" ref="H818:S818" si="69">+H813-H814</f>
        <v>0</v>
      </c>
      <c r="I818" s="27">
        <f t="shared" si="69"/>
        <v>0</v>
      </c>
      <c r="J818" s="27">
        <f t="shared" si="69"/>
        <v>0</v>
      </c>
      <c r="K818" s="27">
        <f t="shared" si="69"/>
        <v>0</v>
      </c>
      <c r="L818" s="27">
        <f t="shared" si="69"/>
        <v>0</v>
      </c>
      <c r="M818" s="27">
        <f t="shared" si="69"/>
        <v>0</v>
      </c>
      <c r="N818" s="27">
        <f t="shared" si="69"/>
        <v>0</v>
      </c>
      <c r="O818" s="27">
        <f t="shared" si="69"/>
        <v>0</v>
      </c>
      <c r="P818" s="27">
        <f t="shared" si="69"/>
        <v>0</v>
      </c>
      <c r="Q818" s="27">
        <f t="shared" si="69"/>
        <v>0</v>
      </c>
      <c r="R818" s="27">
        <f t="shared" si="69"/>
        <v>0</v>
      </c>
      <c r="S818" s="27">
        <f t="shared" si="69"/>
        <v>0</v>
      </c>
      <c r="T818" s="27">
        <f>SUM(H818:S818)</f>
        <v>0</v>
      </c>
      <c r="W818" s="60"/>
      <c r="CC818" s="61"/>
    </row>
    <row r="819" spans="3:81" s="27" customFormat="1" ht="11.25" hidden="1" x14ac:dyDescent="0.2">
      <c r="C819" s="60"/>
      <c r="G819" s="27" t="s">
        <v>1615</v>
      </c>
      <c r="I819" s="27" t="str">
        <f>IF(T817=T818,"NO HAY ERROR","NO COINCIDE")</f>
        <v>NO HAY ERROR</v>
      </c>
      <c r="K819" s="27" t="s">
        <v>1616</v>
      </c>
      <c r="W819" s="60"/>
      <c r="CC819" s="61"/>
    </row>
    <row r="820" spans="3:81" s="27" customFormat="1" ht="11.25" hidden="1" x14ac:dyDescent="0.2">
      <c r="C820" s="60"/>
      <c r="E820" s="27" t="s">
        <v>812</v>
      </c>
      <c r="G820" s="27" t="str">
        <f>G796</f>
        <v>Ventas</v>
      </c>
      <c r="H820" s="27">
        <f t="shared" ref="H820:S823" si="70">SUMIF($G$937:$G$946,$G820,H$937:H$946)</f>
        <v>0</v>
      </c>
      <c r="I820" s="27">
        <f t="shared" si="70"/>
        <v>0</v>
      </c>
      <c r="J820" s="27">
        <f t="shared" si="70"/>
        <v>0</v>
      </c>
      <c r="K820" s="27">
        <f t="shared" si="70"/>
        <v>0</v>
      </c>
      <c r="L820" s="27">
        <f t="shared" si="70"/>
        <v>0</v>
      </c>
      <c r="M820" s="27">
        <f t="shared" si="70"/>
        <v>0</v>
      </c>
      <c r="N820" s="27">
        <f t="shared" si="70"/>
        <v>0</v>
      </c>
      <c r="O820" s="27">
        <f t="shared" si="70"/>
        <v>0</v>
      </c>
      <c r="P820" s="27">
        <f t="shared" si="70"/>
        <v>0</v>
      </c>
      <c r="Q820" s="27">
        <f t="shared" si="70"/>
        <v>0</v>
      </c>
      <c r="R820" s="27">
        <f t="shared" si="70"/>
        <v>0</v>
      </c>
      <c r="S820" s="27">
        <f t="shared" si="70"/>
        <v>0</v>
      </c>
      <c r="W820" s="60"/>
      <c r="CC820" s="61"/>
    </row>
    <row r="821" spans="3:81" s="27" customFormat="1" ht="11.25" hidden="1" x14ac:dyDescent="0.2">
      <c r="C821" s="60"/>
      <c r="G821" s="27" t="str">
        <f>G797</f>
        <v>Marketing</v>
      </c>
      <c r="H821" s="27">
        <f t="shared" si="70"/>
        <v>0</v>
      </c>
      <c r="I821" s="27">
        <f t="shared" si="70"/>
        <v>0</v>
      </c>
      <c r="J821" s="27">
        <f t="shared" si="70"/>
        <v>0</v>
      </c>
      <c r="K821" s="27">
        <f t="shared" si="70"/>
        <v>0</v>
      </c>
      <c r="L821" s="27">
        <f t="shared" si="70"/>
        <v>0</v>
      </c>
      <c r="M821" s="27">
        <f t="shared" si="70"/>
        <v>0</v>
      </c>
      <c r="N821" s="27">
        <f t="shared" si="70"/>
        <v>0</v>
      </c>
      <c r="O821" s="27">
        <f t="shared" si="70"/>
        <v>0</v>
      </c>
      <c r="P821" s="27">
        <f t="shared" si="70"/>
        <v>0</v>
      </c>
      <c r="Q821" s="27">
        <f t="shared" si="70"/>
        <v>0</v>
      </c>
      <c r="R821" s="27">
        <f t="shared" si="70"/>
        <v>0</v>
      </c>
      <c r="S821" s="27">
        <f t="shared" si="70"/>
        <v>0</v>
      </c>
      <c r="W821" s="60"/>
      <c r="CC821" s="61"/>
    </row>
    <row r="822" spans="3:81" s="27" customFormat="1" ht="11.25" hidden="1" x14ac:dyDescent="0.2">
      <c r="C822" s="60"/>
      <c r="G822" s="27" t="str">
        <f>G798</f>
        <v>Administración</v>
      </c>
      <c r="H822" s="27">
        <f t="shared" si="70"/>
        <v>0</v>
      </c>
      <c r="I822" s="27">
        <f t="shared" si="70"/>
        <v>0</v>
      </c>
      <c r="J822" s="27">
        <f t="shared" si="70"/>
        <v>0</v>
      </c>
      <c r="K822" s="27">
        <f t="shared" si="70"/>
        <v>0</v>
      </c>
      <c r="L822" s="27">
        <f t="shared" si="70"/>
        <v>0</v>
      </c>
      <c r="M822" s="27">
        <f t="shared" si="70"/>
        <v>0</v>
      </c>
      <c r="N822" s="27">
        <f t="shared" si="70"/>
        <v>0</v>
      </c>
      <c r="O822" s="27">
        <f t="shared" si="70"/>
        <v>0</v>
      </c>
      <c r="P822" s="27">
        <f t="shared" si="70"/>
        <v>0</v>
      </c>
      <c r="Q822" s="27">
        <f t="shared" si="70"/>
        <v>0</v>
      </c>
      <c r="R822" s="27">
        <f t="shared" si="70"/>
        <v>0</v>
      </c>
      <c r="S822" s="27">
        <f t="shared" si="70"/>
        <v>0</v>
      </c>
      <c r="W822" s="60"/>
      <c r="CC822" s="61"/>
    </row>
    <row r="823" spans="3:81" s="27" customFormat="1" ht="11.25" hidden="1" x14ac:dyDescent="0.2">
      <c r="C823" s="60"/>
      <c r="G823" s="27" t="str">
        <f>G799</f>
        <v>Prod./Servicio</v>
      </c>
      <c r="H823" s="27">
        <f t="shared" si="70"/>
        <v>0</v>
      </c>
      <c r="I823" s="27">
        <f t="shared" si="70"/>
        <v>0</v>
      </c>
      <c r="J823" s="27">
        <f t="shared" si="70"/>
        <v>0</v>
      </c>
      <c r="K823" s="27">
        <f t="shared" si="70"/>
        <v>0</v>
      </c>
      <c r="L823" s="27">
        <f t="shared" si="70"/>
        <v>0</v>
      </c>
      <c r="M823" s="27">
        <f t="shared" si="70"/>
        <v>0</v>
      </c>
      <c r="N823" s="27">
        <f t="shared" si="70"/>
        <v>0</v>
      </c>
      <c r="O823" s="27">
        <f t="shared" si="70"/>
        <v>0</v>
      </c>
      <c r="P823" s="27">
        <f t="shared" si="70"/>
        <v>0</v>
      </c>
      <c r="Q823" s="27">
        <f t="shared" si="70"/>
        <v>0</v>
      </c>
      <c r="R823" s="27">
        <f t="shared" si="70"/>
        <v>0</v>
      </c>
      <c r="S823" s="27">
        <f t="shared" si="70"/>
        <v>0</v>
      </c>
      <c r="W823" s="60"/>
      <c r="CC823" s="61"/>
    </row>
    <row r="824" spans="3:81" s="27" customFormat="1" ht="11.25" hidden="1" x14ac:dyDescent="0.2">
      <c r="C824" s="60"/>
      <c r="G824" s="27" t="str">
        <f>G800</f>
        <v>TOTAL</v>
      </c>
      <c r="H824" s="27">
        <f t="shared" ref="H824:S824" si="71">SUM(H820:H823)</f>
        <v>0</v>
      </c>
      <c r="I824" s="27">
        <f t="shared" si="71"/>
        <v>0</v>
      </c>
      <c r="J824" s="27">
        <f t="shared" si="71"/>
        <v>0</v>
      </c>
      <c r="K824" s="27">
        <f t="shared" si="71"/>
        <v>0</v>
      </c>
      <c r="L824" s="27">
        <f t="shared" si="71"/>
        <v>0</v>
      </c>
      <c r="M824" s="27">
        <f t="shared" si="71"/>
        <v>0</v>
      </c>
      <c r="N824" s="27">
        <f t="shared" si="71"/>
        <v>0</v>
      </c>
      <c r="O824" s="27">
        <f t="shared" si="71"/>
        <v>0</v>
      </c>
      <c r="P824" s="27">
        <f t="shared" si="71"/>
        <v>0</v>
      </c>
      <c r="Q824" s="27">
        <f t="shared" si="71"/>
        <v>0</v>
      </c>
      <c r="R824" s="27">
        <f t="shared" si="71"/>
        <v>0</v>
      </c>
      <c r="S824" s="27">
        <f t="shared" si="71"/>
        <v>0</v>
      </c>
      <c r="W824" s="60"/>
      <c r="CC824" s="61"/>
    </row>
    <row r="825" spans="3:81" s="27" customFormat="1" ht="11.25" hidden="1" x14ac:dyDescent="0.2">
      <c r="C825" s="60"/>
      <c r="E825" s="27" t="s">
        <v>1289</v>
      </c>
      <c r="G825" s="27" t="str">
        <f>G764</f>
        <v>Ventas</v>
      </c>
      <c r="H825" s="27">
        <f t="shared" ref="H825:S828" si="72">SUMIF($G$948:$G$957,$G825,H$948:H$957)</f>
        <v>0</v>
      </c>
      <c r="I825" s="27">
        <f t="shared" si="72"/>
        <v>0</v>
      </c>
      <c r="J825" s="27">
        <f t="shared" si="72"/>
        <v>0</v>
      </c>
      <c r="K825" s="27">
        <f t="shared" si="72"/>
        <v>0</v>
      </c>
      <c r="L825" s="27">
        <f t="shared" si="72"/>
        <v>0</v>
      </c>
      <c r="M825" s="27">
        <f t="shared" si="72"/>
        <v>0</v>
      </c>
      <c r="N825" s="27">
        <f t="shared" si="72"/>
        <v>0</v>
      </c>
      <c r="O825" s="27">
        <f t="shared" si="72"/>
        <v>0</v>
      </c>
      <c r="P825" s="27">
        <f t="shared" si="72"/>
        <v>0</v>
      </c>
      <c r="Q825" s="27">
        <f t="shared" si="72"/>
        <v>0</v>
      </c>
      <c r="R825" s="27">
        <f t="shared" si="72"/>
        <v>0</v>
      </c>
      <c r="S825" s="27">
        <f t="shared" si="72"/>
        <v>0</v>
      </c>
      <c r="W825" s="60"/>
      <c r="CC825" s="61"/>
    </row>
    <row r="826" spans="3:81" s="27" customFormat="1" ht="11.25" hidden="1" x14ac:dyDescent="0.2">
      <c r="C826" s="60"/>
      <c r="G826" s="27" t="str">
        <f>G765</f>
        <v>Marketing</v>
      </c>
      <c r="H826" s="27">
        <f t="shared" si="72"/>
        <v>0</v>
      </c>
      <c r="I826" s="27">
        <f t="shared" si="72"/>
        <v>0</v>
      </c>
      <c r="J826" s="27">
        <f t="shared" si="72"/>
        <v>0</v>
      </c>
      <c r="K826" s="27">
        <f t="shared" si="72"/>
        <v>0</v>
      </c>
      <c r="L826" s="27">
        <f t="shared" si="72"/>
        <v>0</v>
      </c>
      <c r="M826" s="27">
        <f t="shared" si="72"/>
        <v>0</v>
      </c>
      <c r="N826" s="27">
        <f t="shared" si="72"/>
        <v>0</v>
      </c>
      <c r="O826" s="27">
        <f t="shared" si="72"/>
        <v>0</v>
      </c>
      <c r="P826" s="27">
        <f t="shared" si="72"/>
        <v>0</v>
      </c>
      <c r="Q826" s="27">
        <f t="shared" si="72"/>
        <v>0</v>
      </c>
      <c r="R826" s="27">
        <f t="shared" si="72"/>
        <v>0</v>
      </c>
      <c r="S826" s="27">
        <f t="shared" si="72"/>
        <v>0</v>
      </c>
      <c r="W826" s="60"/>
      <c r="CC826" s="61"/>
    </row>
    <row r="827" spans="3:81" s="27" customFormat="1" ht="11.25" hidden="1" x14ac:dyDescent="0.2">
      <c r="C827" s="60"/>
      <c r="G827" s="27" t="str">
        <f>G766</f>
        <v>Administración</v>
      </c>
      <c r="H827" s="27">
        <f t="shared" si="72"/>
        <v>0</v>
      </c>
      <c r="I827" s="27">
        <f t="shared" si="72"/>
        <v>0</v>
      </c>
      <c r="J827" s="27">
        <f t="shared" si="72"/>
        <v>0</v>
      </c>
      <c r="K827" s="27">
        <f t="shared" si="72"/>
        <v>0</v>
      </c>
      <c r="L827" s="27">
        <f t="shared" si="72"/>
        <v>0</v>
      </c>
      <c r="M827" s="27">
        <f t="shared" si="72"/>
        <v>0</v>
      </c>
      <c r="N827" s="27">
        <f t="shared" si="72"/>
        <v>0</v>
      </c>
      <c r="O827" s="27">
        <f t="shared" si="72"/>
        <v>0</v>
      </c>
      <c r="P827" s="27">
        <f t="shared" si="72"/>
        <v>0</v>
      </c>
      <c r="Q827" s="27">
        <f t="shared" si="72"/>
        <v>0</v>
      </c>
      <c r="R827" s="27">
        <f t="shared" si="72"/>
        <v>0</v>
      </c>
      <c r="S827" s="27">
        <f t="shared" si="72"/>
        <v>0</v>
      </c>
      <c r="W827" s="60"/>
      <c r="CC827" s="61"/>
    </row>
    <row r="828" spans="3:81" s="27" customFormat="1" ht="11.25" hidden="1" x14ac:dyDescent="0.2">
      <c r="C828" s="60"/>
      <c r="G828" s="27" t="str">
        <f>G767</f>
        <v>Prod./Servicio</v>
      </c>
      <c r="H828" s="27">
        <f t="shared" si="72"/>
        <v>0</v>
      </c>
      <c r="I828" s="27">
        <f t="shared" si="72"/>
        <v>0</v>
      </c>
      <c r="J828" s="27">
        <f t="shared" si="72"/>
        <v>0</v>
      </c>
      <c r="K828" s="27">
        <f t="shared" si="72"/>
        <v>0</v>
      </c>
      <c r="L828" s="27">
        <f t="shared" si="72"/>
        <v>0</v>
      </c>
      <c r="M828" s="27">
        <f t="shared" si="72"/>
        <v>0</v>
      </c>
      <c r="N828" s="27">
        <f t="shared" si="72"/>
        <v>0</v>
      </c>
      <c r="O828" s="27">
        <f t="shared" si="72"/>
        <v>0</v>
      </c>
      <c r="P828" s="27">
        <f t="shared" si="72"/>
        <v>0</v>
      </c>
      <c r="Q828" s="27">
        <f t="shared" si="72"/>
        <v>0</v>
      </c>
      <c r="R828" s="27">
        <f t="shared" si="72"/>
        <v>0</v>
      </c>
      <c r="S828" s="27">
        <f t="shared" si="72"/>
        <v>0</v>
      </c>
      <c r="W828" s="60"/>
      <c r="CC828" s="61"/>
    </row>
    <row r="829" spans="3:81" s="27" customFormat="1" ht="11.25" hidden="1" x14ac:dyDescent="0.2">
      <c r="C829" s="60"/>
      <c r="G829" s="27" t="str">
        <f>G768</f>
        <v>TOTAL</v>
      </c>
      <c r="H829" s="27">
        <f t="shared" ref="H829:S829" si="73">SUM(H825:H828)</f>
        <v>0</v>
      </c>
      <c r="I829" s="27">
        <f t="shared" si="73"/>
        <v>0</v>
      </c>
      <c r="J829" s="27">
        <f t="shared" si="73"/>
        <v>0</v>
      </c>
      <c r="K829" s="27">
        <f t="shared" si="73"/>
        <v>0</v>
      </c>
      <c r="L829" s="27">
        <f t="shared" si="73"/>
        <v>0</v>
      </c>
      <c r="M829" s="27">
        <f t="shared" si="73"/>
        <v>0</v>
      </c>
      <c r="N829" s="27">
        <f t="shared" si="73"/>
        <v>0</v>
      </c>
      <c r="O829" s="27">
        <f t="shared" si="73"/>
        <v>0</v>
      </c>
      <c r="P829" s="27">
        <f t="shared" si="73"/>
        <v>0</v>
      </c>
      <c r="Q829" s="27">
        <f t="shared" si="73"/>
        <v>0</v>
      </c>
      <c r="R829" s="27">
        <f t="shared" si="73"/>
        <v>0</v>
      </c>
      <c r="S829" s="27">
        <f t="shared" si="73"/>
        <v>0</v>
      </c>
      <c r="W829" s="60"/>
      <c r="CC829" s="61"/>
    </row>
    <row r="830" spans="3:81" s="27" customFormat="1" ht="11.25" hidden="1" x14ac:dyDescent="0.2">
      <c r="C830" s="60"/>
      <c r="E830" s="27" t="s">
        <v>1290</v>
      </c>
      <c r="G830" s="27" t="str">
        <f>G825</f>
        <v>Ventas</v>
      </c>
      <c r="H830" s="27">
        <f t="shared" ref="H830:S833" si="74">SUMIF($G$959:$G$968,$G830,H$959:H$968)</f>
        <v>0</v>
      </c>
      <c r="I830" s="27">
        <f t="shared" si="74"/>
        <v>0</v>
      </c>
      <c r="J830" s="27">
        <f t="shared" si="74"/>
        <v>0</v>
      </c>
      <c r="K830" s="27">
        <f t="shared" si="74"/>
        <v>0</v>
      </c>
      <c r="L830" s="27">
        <f t="shared" si="74"/>
        <v>0</v>
      </c>
      <c r="M830" s="27">
        <f t="shared" si="74"/>
        <v>0</v>
      </c>
      <c r="N830" s="27">
        <f t="shared" si="74"/>
        <v>0</v>
      </c>
      <c r="O830" s="27">
        <f t="shared" si="74"/>
        <v>0</v>
      </c>
      <c r="P830" s="27">
        <f t="shared" si="74"/>
        <v>0</v>
      </c>
      <c r="Q830" s="27">
        <f t="shared" si="74"/>
        <v>0</v>
      </c>
      <c r="R830" s="27">
        <f t="shared" si="74"/>
        <v>0</v>
      </c>
      <c r="S830" s="27">
        <f t="shared" si="74"/>
        <v>0</v>
      </c>
      <c r="W830" s="60"/>
      <c r="CC830" s="61"/>
    </row>
    <row r="831" spans="3:81" s="27" customFormat="1" ht="11.25" hidden="1" x14ac:dyDescent="0.2">
      <c r="C831" s="60"/>
      <c r="G831" s="27" t="str">
        <f>G826</f>
        <v>Marketing</v>
      </c>
      <c r="H831" s="27">
        <f t="shared" si="74"/>
        <v>0</v>
      </c>
      <c r="I831" s="27">
        <f t="shared" si="74"/>
        <v>0</v>
      </c>
      <c r="J831" s="27">
        <f t="shared" si="74"/>
        <v>0</v>
      </c>
      <c r="K831" s="27">
        <f t="shared" si="74"/>
        <v>0</v>
      </c>
      <c r="L831" s="27">
        <f t="shared" si="74"/>
        <v>0</v>
      </c>
      <c r="M831" s="27">
        <f t="shared" si="74"/>
        <v>0</v>
      </c>
      <c r="N831" s="27">
        <f t="shared" si="74"/>
        <v>0</v>
      </c>
      <c r="O831" s="27">
        <f t="shared" si="74"/>
        <v>0</v>
      </c>
      <c r="P831" s="27">
        <f t="shared" si="74"/>
        <v>0</v>
      </c>
      <c r="Q831" s="27">
        <f t="shared" si="74"/>
        <v>0</v>
      </c>
      <c r="R831" s="27">
        <f t="shared" si="74"/>
        <v>0</v>
      </c>
      <c r="S831" s="27">
        <f t="shared" si="74"/>
        <v>0</v>
      </c>
      <c r="W831" s="60"/>
      <c r="CC831" s="61"/>
    </row>
    <row r="832" spans="3:81" s="27" customFormat="1" ht="11.25" hidden="1" x14ac:dyDescent="0.2">
      <c r="C832" s="60"/>
      <c r="G832" s="27" t="str">
        <f>G827</f>
        <v>Administración</v>
      </c>
      <c r="H832" s="27">
        <f t="shared" si="74"/>
        <v>0</v>
      </c>
      <c r="I832" s="27">
        <f t="shared" si="74"/>
        <v>0</v>
      </c>
      <c r="J832" s="27">
        <f t="shared" si="74"/>
        <v>0</v>
      </c>
      <c r="K832" s="27">
        <f t="shared" si="74"/>
        <v>0</v>
      </c>
      <c r="L832" s="27">
        <f t="shared" si="74"/>
        <v>0</v>
      </c>
      <c r="M832" s="27">
        <f t="shared" si="74"/>
        <v>0</v>
      </c>
      <c r="N832" s="27">
        <f t="shared" si="74"/>
        <v>0</v>
      </c>
      <c r="O832" s="27">
        <f t="shared" si="74"/>
        <v>0</v>
      </c>
      <c r="P832" s="27">
        <f t="shared" si="74"/>
        <v>0</v>
      </c>
      <c r="Q832" s="27">
        <f t="shared" si="74"/>
        <v>0</v>
      </c>
      <c r="R832" s="27">
        <f t="shared" si="74"/>
        <v>0</v>
      </c>
      <c r="S832" s="27">
        <f t="shared" si="74"/>
        <v>0</v>
      </c>
      <c r="W832" s="60"/>
      <c r="CC832" s="61"/>
    </row>
    <row r="833" spans="2:81" s="27" customFormat="1" ht="11.25" hidden="1" x14ac:dyDescent="0.2">
      <c r="C833" s="60"/>
      <c r="G833" s="27" t="str">
        <f>G828</f>
        <v>Prod./Servicio</v>
      </c>
      <c r="H833" s="27">
        <f t="shared" si="74"/>
        <v>0</v>
      </c>
      <c r="I833" s="27">
        <f t="shared" si="74"/>
        <v>0</v>
      </c>
      <c r="J833" s="27">
        <f t="shared" si="74"/>
        <v>0</v>
      </c>
      <c r="K833" s="27">
        <f t="shared" si="74"/>
        <v>0</v>
      </c>
      <c r="L833" s="27">
        <f t="shared" si="74"/>
        <v>0</v>
      </c>
      <c r="M833" s="27">
        <f t="shared" si="74"/>
        <v>0</v>
      </c>
      <c r="N833" s="27">
        <f t="shared" si="74"/>
        <v>0</v>
      </c>
      <c r="O833" s="27">
        <f t="shared" si="74"/>
        <v>0</v>
      </c>
      <c r="P833" s="27">
        <f t="shared" si="74"/>
        <v>0</v>
      </c>
      <c r="Q833" s="27">
        <f t="shared" si="74"/>
        <v>0</v>
      </c>
      <c r="R833" s="27">
        <f t="shared" si="74"/>
        <v>0</v>
      </c>
      <c r="S833" s="27">
        <f t="shared" si="74"/>
        <v>0</v>
      </c>
      <c r="W833" s="60"/>
      <c r="CC833" s="61"/>
    </row>
    <row r="834" spans="2:81" s="27" customFormat="1" ht="11.25" hidden="1" x14ac:dyDescent="0.2">
      <c r="C834" s="60"/>
      <c r="G834" s="27" t="str">
        <f>G829</f>
        <v>TOTAL</v>
      </c>
      <c r="H834" s="27">
        <f t="shared" ref="H834:S834" si="75">SUM(H830:H833)</f>
        <v>0</v>
      </c>
      <c r="I834" s="27">
        <f t="shared" si="75"/>
        <v>0</v>
      </c>
      <c r="J834" s="27">
        <f t="shared" si="75"/>
        <v>0</v>
      </c>
      <c r="K834" s="27">
        <f t="shared" si="75"/>
        <v>0</v>
      </c>
      <c r="L834" s="27">
        <f t="shared" si="75"/>
        <v>0</v>
      </c>
      <c r="M834" s="27">
        <f t="shared" si="75"/>
        <v>0</v>
      </c>
      <c r="N834" s="27">
        <f t="shared" si="75"/>
        <v>0</v>
      </c>
      <c r="O834" s="27">
        <f t="shared" si="75"/>
        <v>0</v>
      </c>
      <c r="P834" s="27">
        <f t="shared" si="75"/>
        <v>0</v>
      </c>
      <c r="Q834" s="27">
        <f t="shared" si="75"/>
        <v>0</v>
      </c>
      <c r="R834" s="27">
        <f t="shared" si="75"/>
        <v>0</v>
      </c>
      <c r="S834" s="27">
        <f t="shared" si="75"/>
        <v>0</v>
      </c>
      <c r="W834" s="60"/>
      <c r="CC834" s="61"/>
    </row>
    <row r="835" spans="2:81" s="27" customFormat="1" ht="11.25" hidden="1" x14ac:dyDescent="0.2">
      <c r="C835" s="60"/>
      <c r="G835" s="27" t="s">
        <v>114</v>
      </c>
      <c r="H835" s="27">
        <f t="shared" ref="H835:S835" si="76">+H834+H829+H824</f>
        <v>0</v>
      </c>
      <c r="I835" s="27">
        <f t="shared" si="76"/>
        <v>0</v>
      </c>
      <c r="J835" s="27">
        <f t="shared" si="76"/>
        <v>0</v>
      </c>
      <c r="K835" s="27">
        <f t="shared" si="76"/>
        <v>0</v>
      </c>
      <c r="L835" s="27">
        <f t="shared" si="76"/>
        <v>0</v>
      </c>
      <c r="M835" s="27">
        <f t="shared" si="76"/>
        <v>0</v>
      </c>
      <c r="N835" s="27">
        <f t="shared" si="76"/>
        <v>0</v>
      </c>
      <c r="O835" s="27">
        <f t="shared" si="76"/>
        <v>0</v>
      </c>
      <c r="P835" s="27">
        <f t="shared" si="76"/>
        <v>0</v>
      </c>
      <c r="Q835" s="27">
        <f t="shared" si="76"/>
        <v>0</v>
      </c>
      <c r="R835" s="27">
        <f t="shared" si="76"/>
        <v>0</v>
      </c>
      <c r="S835" s="27">
        <f t="shared" si="76"/>
        <v>0</v>
      </c>
      <c r="T835" s="27">
        <f>SUM(H835:S835)</f>
        <v>0</v>
      </c>
      <c r="W835" s="60"/>
      <c r="CC835" s="61"/>
    </row>
    <row r="836" spans="2:81" s="27" customFormat="1" ht="11.25" hidden="1" x14ac:dyDescent="0.2">
      <c r="C836" s="60"/>
      <c r="W836" s="60"/>
      <c r="CC836" s="61"/>
    </row>
    <row r="837" spans="2:81" s="27" customFormat="1" ht="11.25" hidden="1" x14ac:dyDescent="0.2">
      <c r="B837" s="27">
        <v>3</v>
      </c>
      <c r="C837" s="60" t="s">
        <v>1622</v>
      </c>
      <c r="H837" s="27">
        <v>1</v>
      </c>
      <c r="I837" s="27">
        <v>2</v>
      </c>
      <c r="J837" s="27">
        <v>3</v>
      </c>
      <c r="K837" s="27">
        <v>4</v>
      </c>
      <c r="L837" s="27">
        <v>5</v>
      </c>
      <c r="M837" s="27">
        <v>6</v>
      </c>
      <c r="N837" s="27">
        <v>7</v>
      </c>
      <c r="O837" s="27">
        <v>8</v>
      </c>
      <c r="P837" s="27">
        <v>9</v>
      </c>
      <c r="Q837" s="27">
        <v>10</v>
      </c>
      <c r="R837" s="27">
        <v>11</v>
      </c>
      <c r="S837" s="27">
        <v>12</v>
      </c>
      <c r="W837" s="60"/>
      <c r="CC837" s="61"/>
    </row>
    <row r="838" spans="2:81" s="27" customFormat="1" ht="11.25" hidden="1" x14ac:dyDescent="0.2">
      <c r="C838" s="60"/>
      <c r="D838" s="27" t="s">
        <v>120</v>
      </c>
      <c r="H838" s="27">
        <f t="shared" ref="H838:S838" si="77">H984</f>
        <v>0</v>
      </c>
      <c r="I838" s="27">
        <f t="shared" si="77"/>
        <v>0</v>
      </c>
      <c r="J838" s="27">
        <f t="shared" si="77"/>
        <v>0</v>
      </c>
      <c r="K838" s="27">
        <f t="shared" si="77"/>
        <v>0</v>
      </c>
      <c r="L838" s="27">
        <f t="shared" si="77"/>
        <v>0</v>
      </c>
      <c r="M838" s="27">
        <f t="shared" si="77"/>
        <v>0</v>
      </c>
      <c r="N838" s="27">
        <f t="shared" si="77"/>
        <v>0</v>
      </c>
      <c r="O838" s="27">
        <f t="shared" si="77"/>
        <v>0</v>
      </c>
      <c r="P838" s="27">
        <f t="shared" si="77"/>
        <v>0</v>
      </c>
      <c r="Q838" s="27">
        <f t="shared" si="77"/>
        <v>0</v>
      </c>
      <c r="R838" s="27">
        <f t="shared" si="77"/>
        <v>0</v>
      </c>
      <c r="S838" s="27">
        <f t="shared" si="77"/>
        <v>0</v>
      </c>
      <c r="T838" s="27">
        <f>SUM(H838:S838)</f>
        <v>0</v>
      </c>
      <c r="W838" s="60"/>
      <c r="CC838" s="61"/>
    </row>
    <row r="839" spans="2:81" s="27" customFormat="1" ht="11.25" hidden="1" x14ac:dyDescent="0.2">
      <c r="C839" s="60"/>
      <c r="D839" s="27" t="s">
        <v>711</v>
      </c>
      <c r="H839" s="27">
        <f t="shared" ref="H839:S839" si="78">H985</f>
        <v>0</v>
      </c>
      <c r="I839" s="27">
        <f t="shared" si="78"/>
        <v>0</v>
      </c>
      <c r="J839" s="27">
        <f t="shared" si="78"/>
        <v>0</v>
      </c>
      <c r="K839" s="27">
        <f t="shared" si="78"/>
        <v>0</v>
      </c>
      <c r="L839" s="27">
        <f t="shared" si="78"/>
        <v>0</v>
      </c>
      <c r="M839" s="27">
        <f t="shared" si="78"/>
        <v>0</v>
      </c>
      <c r="N839" s="27">
        <f t="shared" si="78"/>
        <v>0</v>
      </c>
      <c r="O839" s="27">
        <f t="shared" si="78"/>
        <v>0</v>
      </c>
      <c r="P839" s="27">
        <f t="shared" si="78"/>
        <v>0</v>
      </c>
      <c r="Q839" s="27">
        <f t="shared" si="78"/>
        <v>0</v>
      </c>
      <c r="R839" s="27">
        <f t="shared" si="78"/>
        <v>0</v>
      </c>
      <c r="S839" s="27">
        <f t="shared" si="78"/>
        <v>0</v>
      </c>
      <c r="W839" s="60"/>
      <c r="CC839" s="61"/>
    </row>
    <row r="840" spans="2:81" s="27" customFormat="1" ht="11.25" hidden="1" x14ac:dyDescent="0.2">
      <c r="C840" s="60"/>
      <c r="D840" s="27" t="s">
        <v>1282</v>
      </c>
      <c r="H840" s="27">
        <f t="shared" ref="H840:S840" si="79">H986</f>
        <v>0</v>
      </c>
      <c r="I840" s="27">
        <f t="shared" si="79"/>
        <v>0</v>
      </c>
      <c r="J840" s="27">
        <f t="shared" si="79"/>
        <v>0</v>
      </c>
      <c r="K840" s="27">
        <f t="shared" si="79"/>
        <v>0</v>
      </c>
      <c r="L840" s="27">
        <f t="shared" si="79"/>
        <v>0</v>
      </c>
      <c r="M840" s="27">
        <f t="shared" si="79"/>
        <v>0</v>
      </c>
      <c r="N840" s="27">
        <f t="shared" si="79"/>
        <v>0</v>
      </c>
      <c r="O840" s="27">
        <f t="shared" si="79"/>
        <v>0</v>
      </c>
      <c r="P840" s="27">
        <f t="shared" si="79"/>
        <v>0</v>
      </c>
      <c r="Q840" s="27">
        <f t="shared" si="79"/>
        <v>0</v>
      </c>
      <c r="R840" s="27">
        <f t="shared" si="79"/>
        <v>0</v>
      </c>
      <c r="S840" s="27">
        <f t="shared" si="79"/>
        <v>0</v>
      </c>
      <c r="W840" s="60"/>
      <c r="CC840" s="61"/>
    </row>
    <row r="841" spans="2:81" s="27" customFormat="1" ht="11.25" hidden="1" x14ac:dyDescent="0.2">
      <c r="C841" s="60"/>
      <c r="D841" s="27" t="s">
        <v>121</v>
      </c>
      <c r="H841" s="27">
        <f t="shared" ref="H841:S841" si="80">H987</f>
        <v>0</v>
      </c>
      <c r="I841" s="27">
        <f t="shared" si="80"/>
        <v>0</v>
      </c>
      <c r="J841" s="27">
        <f t="shared" si="80"/>
        <v>0</v>
      </c>
      <c r="K841" s="27">
        <f t="shared" si="80"/>
        <v>0</v>
      </c>
      <c r="L841" s="27">
        <f t="shared" si="80"/>
        <v>0</v>
      </c>
      <c r="M841" s="27">
        <f t="shared" si="80"/>
        <v>0</v>
      </c>
      <c r="N841" s="27">
        <f t="shared" si="80"/>
        <v>0</v>
      </c>
      <c r="O841" s="27">
        <f t="shared" si="80"/>
        <v>0</v>
      </c>
      <c r="P841" s="27">
        <f t="shared" si="80"/>
        <v>0</v>
      </c>
      <c r="Q841" s="27">
        <f t="shared" si="80"/>
        <v>0</v>
      </c>
      <c r="R841" s="27">
        <f t="shared" si="80"/>
        <v>0</v>
      </c>
      <c r="S841" s="27">
        <f t="shared" si="80"/>
        <v>0</v>
      </c>
      <c r="W841" s="60"/>
      <c r="CC841" s="61"/>
    </row>
    <row r="842" spans="2:81" s="27" customFormat="1" ht="11.25" hidden="1" x14ac:dyDescent="0.2">
      <c r="C842" s="60"/>
      <c r="D842" s="27" t="s">
        <v>1618</v>
      </c>
      <c r="H842" s="27">
        <f t="shared" ref="H842:S842" si="81">+H841+H840</f>
        <v>0</v>
      </c>
      <c r="I842" s="27">
        <f t="shared" si="81"/>
        <v>0</v>
      </c>
      <c r="J842" s="27">
        <f t="shared" si="81"/>
        <v>0</v>
      </c>
      <c r="K842" s="27">
        <f t="shared" si="81"/>
        <v>0</v>
      </c>
      <c r="L842" s="27">
        <f t="shared" si="81"/>
        <v>0</v>
      </c>
      <c r="M842" s="27">
        <f t="shared" si="81"/>
        <v>0</v>
      </c>
      <c r="N842" s="27">
        <f t="shared" si="81"/>
        <v>0</v>
      </c>
      <c r="O842" s="27">
        <f t="shared" si="81"/>
        <v>0</v>
      </c>
      <c r="P842" s="27">
        <f t="shared" si="81"/>
        <v>0</v>
      </c>
      <c r="Q842" s="27">
        <f t="shared" si="81"/>
        <v>0</v>
      </c>
      <c r="R842" s="27">
        <f t="shared" si="81"/>
        <v>0</v>
      </c>
      <c r="S842" s="27">
        <f t="shared" si="81"/>
        <v>0</v>
      </c>
      <c r="T842" s="27">
        <f>SUM(H842:S842)</f>
        <v>0</v>
      </c>
      <c r="W842" s="60"/>
      <c r="CC842" s="61"/>
    </row>
    <row r="843" spans="2:81" s="27" customFormat="1" ht="11.25" hidden="1" x14ac:dyDescent="0.2">
      <c r="C843" s="60"/>
      <c r="D843" s="27" t="s">
        <v>1619</v>
      </c>
      <c r="H843" s="27">
        <f t="shared" ref="H843:S843" si="82">+H838-H839</f>
        <v>0</v>
      </c>
      <c r="I843" s="27">
        <f t="shared" si="82"/>
        <v>0</v>
      </c>
      <c r="J843" s="27">
        <f t="shared" si="82"/>
        <v>0</v>
      </c>
      <c r="K843" s="27">
        <f t="shared" si="82"/>
        <v>0</v>
      </c>
      <c r="L843" s="27">
        <f t="shared" si="82"/>
        <v>0</v>
      </c>
      <c r="M843" s="27">
        <f t="shared" si="82"/>
        <v>0</v>
      </c>
      <c r="N843" s="27">
        <f t="shared" si="82"/>
        <v>0</v>
      </c>
      <c r="O843" s="27">
        <f t="shared" si="82"/>
        <v>0</v>
      </c>
      <c r="P843" s="27">
        <f t="shared" si="82"/>
        <v>0</v>
      </c>
      <c r="Q843" s="27">
        <f t="shared" si="82"/>
        <v>0</v>
      </c>
      <c r="R843" s="27">
        <f t="shared" si="82"/>
        <v>0</v>
      </c>
      <c r="S843" s="27">
        <f t="shared" si="82"/>
        <v>0</v>
      </c>
      <c r="T843" s="27">
        <f>SUM(H843:S843)</f>
        <v>0</v>
      </c>
      <c r="W843" s="60"/>
      <c r="CC843" s="61"/>
    </row>
    <row r="844" spans="2:81" s="27" customFormat="1" ht="11.25" hidden="1" x14ac:dyDescent="0.2">
      <c r="C844" s="60"/>
      <c r="G844" s="27" t="s">
        <v>1615</v>
      </c>
      <c r="I844" s="27" t="str">
        <f>IF(T842=T843,"NO HAY ERROR","NO COINCIDE")</f>
        <v>NO HAY ERROR</v>
      </c>
      <c r="K844" s="27" t="s">
        <v>1616</v>
      </c>
      <c r="W844" s="60"/>
      <c r="CC844" s="61"/>
    </row>
    <row r="845" spans="2:81" s="27" customFormat="1" ht="11.25" hidden="1" x14ac:dyDescent="0.2">
      <c r="C845" s="60" t="s">
        <v>123</v>
      </c>
      <c r="E845" s="27" t="s">
        <v>812</v>
      </c>
      <c r="G845" s="27" t="str">
        <f t="shared" ref="G845:G854" si="83">G820</f>
        <v>Ventas</v>
      </c>
      <c r="H845" s="27">
        <f t="shared" ref="H845:S848" si="84">SUMIF($G$1006:$G$1009,$G845,H$1006:H$1009)</f>
        <v>0</v>
      </c>
      <c r="I845" s="27">
        <f t="shared" si="84"/>
        <v>0</v>
      </c>
      <c r="J845" s="27">
        <f t="shared" si="84"/>
        <v>0</v>
      </c>
      <c r="K845" s="27">
        <f t="shared" si="84"/>
        <v>0</v>
      </c>
      <c r="L845" s="27">
        <f t="shared" si="84"/>
        <v>0</v>
      </c>
      <c r="M845" s="27">
        <f t="shared" si="84"/>
        <v>0</v>
      </c>
      <c r="N845" s="27">
        <f t="shared" si="84"/>
        <v>0</v>
      </c>
      <c r="O845" s="27">
        <f t="shared" si="84"/>
        <v>0</v>
      </c>
      <c r="P845" s="27">
        <f t="shared" si="84"/>
        <v>0</v>
      </c>
      <c r="Q845" s="27">
        <f t="shared" si="84"/>
        <v>0</v>
      </c>
      <c r="R845" s="27">
        <f t="shared" si="84"/>
        <v>0</v>
      </c>
      <c r="S845" s="27">
        <f t="shared" si="84"/>
        <v>0</v>
      </c>
      <c r="W845" s="60"/>
      <c r="CC845" s="61"/>
    </row>
    <row r="846" spans="2:81" s="27" customFormat="1" ht="11.25" hidden="1" x14ac:dyDescent="0.2">
      <c r="C846" s="60"/>
      <c r="G846" s="27" t="str">
        <f t="shared" si="83"/>
        <v>Marketing</v>
      </c>
      <c r="H846" s="27">
        <f t="shared" si="84"/>
        <v>0</v>
      </c>
      <c r="I846" s="27">
        <f t="shared" si="84"/>
        <v>0</v>
      </c>
      <c r="J846" s="27">
        <f t="shared" si="84"/>
        <v>0</v>
      </c>
      <c r="K846" s="27">
        <f t="shared" si="84"/>
        <v>0</v>
      </c>
      <c r="L846" s="27">
        <f t="shared" si="84"/>
        <v>0</v>
      </c>
      <c r="M846" s="27">
        <f t="shared" si="84"/>
        <v>0</v>
      </c>
      <c r="N846" s="27">
        <f t="shared" si="84"/>
        <v>0</v>
      </c>
      <c r="O846" s="27">
        <f t="shared" si="84"/>
        <v>0</v>
      </c>
      <c r="P846" s="27">
        <f t="shared" si="84"/>
        <v>0</v>
      </c>
      <c r="Q846" s="27">
        <f t="shared" si="84"/>
        <v>0</v>
      </c>
      <c r="R846" s="27">
        <f t="shared" si="84"/>
        <v>0</v>
      </c>
      <c r="S846" s="27">
        <f t="shared" si="84"/>
        <v>0</v>
      </c>
      <c r="W846" s="60"/>
      <c r="CC846" s="61"/>
    </row>
    <row r="847" spans="2:81" s="27" customFormat="1" ht="11.25" hidden="1" x14ac:dyDescent="0.2">
      <c r="C847" s="60"/>
      <c r="G847" s="27" t="str">
        <f t="shared" si="83"/>
        <v>Administración</v>
      </c>
      <c r="H847" s="27">
        <f t="shared" si="84"/>
        <v>0</v>
      </c>
      <c r="I847" s="27">
        <f t="shared" si="84"/>
        <v>0</v>
      </c>
      <c r="J847" s="27">
        <f t="shared" si="84"/>
        <v>0</v>
      </c>
      <c r="K847" s="27">
        <f t="shared" si="84"/>
        <v>0</v>
      </c>
      <c r="L847" s="27">
        <f t="shared" si="84"/>
        <v>0</v>
      </c>
      <c r="M847" s="27">
        <f t="shared" si="84"/>
        <v>0</v>
      </c>
      <c r="N847" s="27">
        <f t="shared" si="84"/>
        <v>0</v>
      </c>
      <c r="O847" s="27">
        <f t="shared" si="84"/>
        <v>0</v>
      </c>
      <c r="P847" s="27">
        <f t="shared" si="84"/>
        <v>0</v>
      </c>
      <c r="Q847" s="27">
        <f t="shared" si="84"/>
        <v>0</v>
      </c>
      <c r="R847" s="27">
        <f t="shared" si="84"/>
        <v>0</v>
      </c>
      <c r="S847" s="27">
        <f t="shared" si="84"/>
        <v>0</v>
      </c>
      <c r="W847" s="60"/>
      <c r="CC847" s="61"/>
    </row>
    <row r="848" spans="2:81" s="27" customFormat="1" ht="11.25" hidden="1" x14ac:dyDescent="0.2">
      <c r="C848" s="60"/>
      <c r="G848" s="27" t="str">
        <f t="shared" si="83"/>
        <v>Prod./Servicio</v>
      </c>
      <c r="H848" s="27">
        <f t="shared" si="84"/>
        <v>0</v>
      </c>
      <c r="I848" s="27">
        <f t="shared" si="84"/>
        <v>0</v>
      </c>
      <c r="J848" s="27">
        <f t="shared" si="84"/>
        <v>0</v>
      </c>
      <c r="K848" s="27">
        <f t="shared" si="84"/>
        <v>0</v>
      </c>
      <c r="L848" s="27">
        <f t="shared" si="84"/>
        <v>0</v>
      </c>
      <c r="M848" s="27">
        <f t="shared" si="84"/>
        <v>0</v>
      </c>
      <c r="N848" s="27">
        <f t="shared" si="84"/>
        <v>0</v>
      </c>
      <c r="O848" s="27">
        <f t="shared" si="84"/>
        <v>0</v>
      </c>
      <c r="P848" s="27">
        <f t="shared" si="84"/>
        <v>0</v>
      </c>
      <c r="Q848" s="27">
        <f t="shared" si="84"/>
        <v>0</v>
      </c>
      <c r="R848" s="27">
        <f t="shared" si="84"/>
        <v>0</v>
      </c>
      <c r="S848" s="27">
        <f t="shared" si="84"/>
        <v>0</v>
      </c>
      <c r="W848" s="60"/>
      <c r="CC848" s="61"/>
    </row>
    <row r="849" spans="3:81" s="27" customFormat="1" ht="11.25" hidden="1" x14ac:dyDescent="0.2">
      <c r="C849" s="60"/>
      <c r="G849" s="27" t="str">
        <f t="shared" si="83"/>
        <v>TOTAL</v>
      </c>
      <c r="H849" s="27">
        <f t="shared" ref="H849:S849" si="85">SUM(H845:H848)</f>
        <v>0</v>
      </c>
      <c r="I849" s="27">
        <f t="shared" si="85"/>
        <v>0</v>
      </c>
      <c r="J849" s="27">
        <f t="shared" si="85"/>
        <v>0</v>
      </c>
      <c r="K849" s="27">
        <f t="shared" si="85"/>
        <v>0</v>
      </c>
      <c r="L849" s="27">
        <f t="shared" si="85"/>
        <v>0</v>
      </c>
      <c r="M849" s="27">
        <f t="shared" si="85"/>
        <v>0</v>
      </c>
      <c r="N849" s="27">
        <f t="shared" si="85"/>
        <v>0</v>
      </c>
      <c r="O849" s="27">
        <f t="shared" si="85"/>
        <v>0</v>
      </c>
      <c r="P849" s="27">
        <f t="shared" si="85"/>
        <v>0</v>
      </c>
      <c r="Q849" s="27">
        <f t="shared" si="85"/>
        <v>0</v>
      </c>
      <c r="R849" s="27">
        <f t="shared" si="85"/>
        <v>0</v>
      </c>
      <c r="S849" s="27">
        <f t="shared" si="85"/>
        <v>0</v>
      </c>
      <c r="W849" s="60"/>
      <c r="CC849" s="61"/>
    </row>
    <row r="850" spans="3:81" s="27" customFormat="1" ht="11.25" hidden="1" x14ac:dyDescent="0.2">
      <c r="C850" s="60"/>
      <c r="E850" s="27" t="s">
        <v>1289</v>
      </c>
      <c r="G850" s="27" t="str">
        <f t="shared" si="83"/>
        <v>Ventas</v>
      </c>
      <c r="H850" s="27">
        <f t="shared" ref="H850:S853" si="86">SUMIF($G$1011:$G$1019,$G850,H$1011:H$1019)</f>
        <v>0</v>
      </c>
      <c r="I850" s="27">
        <f t="shared" si="86"/>
        <v>0</v>
      </c>
      <c r="J850" s="27">
        <f t="shared" si="86"/>
        <v>0</v>
      </c>
      <c r="K850" s="27">
        <f t="shared" si="86"/>
        <v>0</v>
      </c>
      <c r="L850" s="27">
        <f t="shared" si="86"/>
        <v>0</v>
      </c>
      <c r="M850" s="27">
        <f t="shared" si="86"/>
        <v>0</v>
      </c>
      <c r="N850" s="27">
        <f t="shared" si="86"/>
        <v>0</v>
      </c>
      <c r="O850" s="27">
        <f t="shared" si="86"/>
        <v>0</v>
      </c>
      <c r="P850" s="27">
        <f t="shared" si="86"/>
        <v>0</v>
      </c>
      <c r="Q850" s="27">
        <f t="shared" si="86"/>
        <v>0</v>
      </c>
      <c r="R850" s="27">
        <f t="shared" si="86"/>
        <v>0</v>
      </c>
      <c r="S850" s="27">
        <f t="shared" si="86"/>
        <v>0</v>
      </c>
      <c r="W850" s="60"/>
      <c r="CC850" s="61"/>
    </row>
    <row r="851" spans="3:81" s="27" customFormat="1" ht="11.25" hidden="1" x14ac:dyDescent="0.2">
      <c r="C851" s="60"/>
      <c r="G851" s="27" t="str">
        <f t="shared" si="83"/>
        <v>Marketing</v>
      </c>
      <c r="H851" s="27">
        <f t="shared" si="86"/>
        <v>0</v>
      </c>
      <c r="I851" s="27">
        <f t="shared" si="86"/>
        <v>0</v>
      </c>
      <c r="J851" s="27">
        <f t="shared" si="86"/>
        <v>0</v>
      </c>
      <c r="K851" s="27">
        <f t="shared" si="86"/>
        <v>0</v>
      </c>
      <c r="L851" s="27">
        <f t="shared" si="86"/>
        <v>0</v>
      </c>
      <c r="M851" s="27">
        <f t="shared" si="86"/>
        <v>0</v>
      </c>
      <c r="N851" s="27">
        <f t="shared" si="86"/>
        <v>0</v>
      </c>
      <c r="O851" s="27">
        <f t="shared" si="86"/>
        <v>0</v>
      </c>
      <c r="P851" s="27">
        <f t="shared" si="86"/>
        <v>0</v>
      </c>
      <c r="Q851" s="27">
        <f t="shared" si="86"/>
        <v>0</v>
      </c>
      <c r="R851" s="27">
        <f t="shared" si="86"/>
        <v>0</v>
      </c>
      <c r="S851" s="27">
        <f t="shared" si="86"/>
        <v>0</v>
      </c>
      <c r="W851" s="60"/>
      <c r="CC851" s="61"/>
    </row>
    <row r="852" spans="3:81" s="27" customFormat="1" ht="11.25" hidden="1" x14ac:dyDescent="0.2">
      <c r="C852" s="60"/>
      <c r="G852" s="27" t="str">
        <f t="shared" si="83"/>
        <v>Administración</v>
      </c>
      <c r="H852" s="27">
        <f t="shared" si="86"/>
        <v>0</v>
      </c>
      <c r="I852" s="27">
        <f t="shared" si="86"/>
        <v>0</v>
      </c>
      <c r="J852" s="27">
        <f t="shared" si="86"/>
        <v>0</v>
      </c>
      <c r="K852" s="27">
        <f t="shared" si="86"/>
        <v>0</v>
      </c>
      <c r="L852" s="27">
        <f t="shared" si="86"/>
        <v>0</v>
      </c>
      <c r="M852" s="27">
        <f t="shared" si="86"/>
        <v>0</v>
      </c>
      <c r="N852" s="27">
        <f t="shared" si="86"/>
        <v>0</v>
      </c>
      <c r="O852" s="27">
        <f t="shared" si="86"/>
        <v>0</v>
      </c>
      <c r="P852" s="27">
        <f t="shared" si="86"/>
        <v>0</v>
      </c>
      <c r="Q852" s="27">
        <f t="shared" si="86"/>
        <v>0</v>
      </c>
      <c r="R852" s="27">
        <f t="shared" si="86"/>
        <v>0</v>
      </c>
      <c r="S852" s="27">
        <f t="shared" si="86"/>
        <v>0</v>
      </c>
      <c r="W852" s="60"/>
      <c r="CC852" s="61"/>
    </row>
    <row r="853" spans="3:81" s="27" customFormat="1" ht="11.25" hidden="1" x14ac:dyDescent="0.2">
      <c r="C853" s="60"/>
      <c r="G853" s="27" t="str">
        <f t="shared" si="83"/>
        <v>Prod./Servicio</v>
      </c>
      <c r="H853" s="27">
        <f t="shared" si="86"/>
        <v>0</v>
      </c>
      <c r="I853" s="27">
        <f t="shared" si="86"/>
        <v>0</v>
      </c>
      <c r="J853" s="27">
        <f t="shared" si="86"/>
        <v>0</v>
      </c>
      <c r="K853" s="27">
        <f t="shared" si="86"/>
        <v>0</v>
      </c>
      <c r="L853" s="27">
        <f t="shared" si="86"/>
        <v>0</v>
      </c>
      <c r="M853" s="27">
        <f t="shared" si="86"/>
        <v>0</v>
      </c>
      <c r="N853" s="27">
        <f t="shared" si="86"/>
        <v>0</v>
      </c>
      <c r="O853" s="27">
        <f t="shared" si="86"/>
        <v>0</v>
      </c>
      <c r="P853" s="27">
        <f t="shared" si="86"/>
        <v>0</v>
      </c>
      <c r="Q853" s="27">
        <f t="shared" si="86"/>
        <v>0</v>
      </c>
      <c r="R853" s="27">
        <f t="shared" si="86"/>
        <v>0</v>
      </c>
      <c r="S853" s="27">
        <f t="shared" si="86"/>
        <v>0</v>
      </c>
      <c r="W853" s="60"/>
      <c r="CC853" s="61"/>
    </row>
    <row r="854" spans="3:81" s="27" customFormat="1" ht="11.25" hidden="1" x14ac:dyDescent="0.2">
      <c r="C854" s="60"/>
      <c r="G854" s="27" t="str">
        <f t="shared" si="83"/>
        <v>TOTAL</v>
      </c>
      <c r="H854" s="27">
        <f t="shared" ref="H854:S854" si="87">SUM(H850:H853)</f>
        <v>0</v>
      </c>
      <c r="I854" s="27">
        <f t="shared" si="87"/>
        <v>0</v>
      </c>
      <c r="J854" s="27">
        <f t="shared" si="87"/>
        <v>0</v>
      </c>
      <c r="K854" s="27">
        <f t="shared" si="87"/>
        <v>0</v>
      </c>
      <c r="L854" s="27">
        <f t="shared" si="87"/>
        <v>0</v>
      </c>
      <c r="M854" s="27">
        <f t="shared" si="87"/>
        <v>0</v>
      </c>
      <c r="N854" s="27">
        <f t="shared" si="87"/>
        <v>0</v>
      </c>
      <c r="O854" s="27">
        <f t="shared" si="87"/>
        <v>0</v>
      </c>
      <c r="P854" s="27">
        <f t="shared" si="87"/>
        <v>0</v>
      </c>
      <c r="Q854" s="27">
        <f t="shared" si="87"/>
        <v>0</v>
      </c>
      <c r="R854" s="27">
        <f t="shared" si="87"/>
        <v>0</v>
      </c>
      <c r="S854" s="27">
        <f t="shared" si="87"/>
        <v>0</v>
      </c>
      <c r="W854" s="60"/>
      <c r="CC854" s="61"/>
    </row>
    <row r="855" spans="3:81" s="27" customFormat="1" ht="11.25" hidden="1" x14ac:dyDescent="0.2">
      <c r="C855" s="60"/>
      <c r="G855" s="27" t="s">
        <v>114</v>
      </c>
      <c r="H855" s="27">
        <f t="shared" ref="H855:S855" si="88">+H854+H849</f>
        <v>0</v>
      </c>
      <c r="I855" s="27">
        <f t="shared" si="88"/>
        <v>0</v>
      </c>
      <c r="J855" s="27">
        <f t="shared" si="88"/>
        <v>0</v>
      </c>
      <c r="K855" s="27">
        <f t="shared" si="88"/>
        <v>0</v>
      </c>
      <c r="L855" s="27">
        <f t="shared" si="88"/>
        <v>0</v>
      </c>
      <c r="M855" s="27">
        <f t="shared" si="88"/>
        <v>0</v>
      </c>
      <c r="N855" s="27">
        <f t="shared" si="88"/>
        <v>0</v>
      </c>
      <c r="O855" s="27">
        <f t="shared" si="88"/>
        <v>0</v>
      </c>
      <c r="P855" s="27">
        <f t="shared" si="88"/>
        <v>0</v>
      </c>
      <c r="Q855" s="27">
        <f t="shared" si="88"/>
        <v>0</v>
      </c>
      <c r="R855" s="27">
        <f t="shared" si="88"/>
        <v>0</v>
      </c>
      <c r="S855" s="27">
        <f t="shared" si="88"/>
        <v>0</v>
      </c>
      <c r="T855" s="27">
        <f>SUM(H855:S855)</f>
        <v>0</v>
      </c>
      <c r="W855" s="60"/>
      <c r="CC855" s="61"/>
    </row>
    <row r="856" spans="3:81" s="27" customFormat="1" ht="11.25" hidden="1" x14ac:dyDescent="0.2">
      <c r="C856" s="60"/>
      <c r="G856" s="27">
        <f>IF(T838=0,0,IF(T855=0,"No hay detalle de las comisiones",0))</f>
        <v>0</v>
      </c>
      <c r="W856" s="60"/>
      <c r="CC856" s="61"/>
    </row>
    <row r="857" spans="3:81" s="27" customFormat="1" ht="11.25" hidden="1" x14ac:dyDescent="0.2">
      <c r="C857" s="60"/>
      <c r="W857" s="60"/>
      <c r="CC857" s="61"/>
    </row>
    <row r="858" spans="3:81" s="27" customFormat="1" ht="11.25" hidden="1" x14ac:dyDescent="0.2">
      <c r="C858" s="60" t="s">
        <v>1623</v>
      </c>
      <c r="E858" s="27" t="s">
        <v>1628</v>
      </c>
      <c r="F858" s="27" t="s">
        <v>1628</v>
      </c>
      <c r="G858" s="27" t="s">
        <v>1628</v>
      </c>
      <c r="H858" s="27" t="s">
        <v>1628</v>
      </c>
      <c r="I858" s="27" t="s">
        <v>1628</v>
      </c>
      <c r="J858" s="27" t="s">
        <v>1628</v>
      </c>
      <c r="K858" s="27" t="s">
        <v>1628</v>
      </c>
      <c r="L858" s="27" t="s">
        <v>1628</v>
      </c>
      <c r="M858" s="27" t="s">
        <v>1628</v>
      </c>
      <c r="N858" s="27" t="s">
        <v>1628</v>
      </c>
      <c r="O858" s="27" t="s">
        <v>1628</v>
      </c>
      <c r="P858" s="27" t="s">
        <v>1628</v>
      </c>
      <c r="Q858" s="27" t="s">
        <v>1628</v>
      </c>
      <c r="R858" s="27" t="s">
        <v>1628</v>
      </c>
      <c r="S858" s="27" t="s">
        <v>1628</v>
      </c>
      <c r="T858" s="27" t="s">
        <v>1628</v>
      </c>
      <c r="U858" s="27" t="s">
        <v>1628</v>
      </c>
      <c r="V858" s="27" t="s">
        <v>1628</v>
      </c>
      <c r="W858" s="60" t="s">
        <v>1628</v>
      </c>
      <c r="AD858" s="27" t="s">
        <v>1628</v>
      </c>
      <c r="AE858" s="27" t="s">
        <v>1628</v>
      </c>
      <c r="AF858" s="27" t="s">
        <v>1628</v>
      </c>
      <c r="AG858" s="27" t="s">
        <v>1628</v>
      </c>
      <c r="AH858" s="27" t="s">
        <v>1628</v>
      </c>
      <c r="AI858" s="27" t="s">
        <v>1628</v>
      </c>
      <c r="AJ858" s="27" t="s">
        <v>1628</v>
      </c>
      <c r="AK858" s="27" t="s">
        <v>1628</v>
      </c>
      <c r="AL858" s="27" t="s">
        <v>1628</v>
      </c>
      <c r="AM858" s="27" t="s">
        <v>1628</v>
      </c>
      <c r="AN858" s="27" t="s">
        <v>1628</v>
      </c>
      <c r="AO858" s="27" t="s">
        <v>1628</v>
      </c>
      <c r="AP858" s="27" t="s">
        <v>1628</v>
      </c>
      <c r="AQ858" s="27" t="s">
        <v>1628</v>
      </c>
      <c r="AR858" s="27" t="s">
        <v>1628</v>
      </c>
      <c r="AS858" s="27" t="s">
        <v>1628</v>
      </c>
      <c r="AT858" s="27" t="s">
        <v>1628</v>
      </c>
      <c r="AU858" s="27" t="s">
        <v>1628</v>
      </c>
      <c r="AV858" s="27" t="s">
        <v>1628</v>
      </c>
      <c r="AW858" s="27" t="s">
        <v>1628</v>
      </c>
      <c r="AX858" s="27" t="s">
        <v>1628</v>
      </c>
      <c r="AY858" s="27" t="s">
        <v>1628</v>
      </c>
      <c r="AZ858" s="27" t="s">
        <v>1628</v>
      </c>
      <c r="BA858" s="27" t="s">
        <v>1628</v>
      </c>
      <c r="BB858" s="27" t="s">
        <v>1628</v>
      </c>
      <c r="BC858" s="27" t="s">
        <v>1628</v>
      </c>
      <c r="BD858" s="27" t="s">
        <v>1628</v>
      </c>
      <c r="BE858" s="27" t="s">
        <v>1628</v>
      </c>
      <c r="CC858" s="61"/>
    </row>
    <row r="859" spans="3:81" s="27" customFormat="1" ht="11.25" hidden="1" x14ac:dyDescent="0.2">
      <c r="C859" s="60" t="s">
        <v>711</v>
      </c>
      <c r="W859" s="60"/>
      <c r="AD859" s="27" t="s">
        <v>710</v>
      </c>
      <c r="CC859" s="61"/>
    </row>
    <row r="860" spans="3:81" s="27" customFormat="1" ht="11.25" hidden="1" x14ac:dyDescent="0.2">
      <c r="C860" s="60" t="str">
        <f>$C$254</f>
        <v>Equipo Directivo</v>
      </c>
      <c r="D860" s="27" t="str">
        <f>D251</f>
        <v>Salario</v>
      </c>
      <c r="E860" s="27" t="str">
        <f>E251</f>
        <v xml:space="preserve">% Coste </v>
      </c>
      <c r="F860" s="27" t="str">
        <f>F251</f>
        <v>%  Ret.</v>
      </c>
      <c r="G860" s="27" t="str">
        <f>G251</f>
        <v>Depmto.</v>
      </c>
      <c r="H860" s="27" t="str">
        <f t="shared" ref="H860:S860" si="89">H252</f>
        <v>1</v>
      </c>
      <c r="I860" s="27" t="str">
        <f t="shared" si="89"/>
        <v>2</v>
      </c>
      <c r="J860" s="27" t="str">
        <f t="shared" si="89"/>
        <v>3</v>
      </c>
      <c r="K860" s="27" t="str">
        <f t="shared" si="89"/>
        <v>4</v>
      </c>
      <c r="L860" s="27" t="str">
        <f t="shared" si="89"/>
        <v>5</v>
      </c>
      <c r="M860" s="27" t="str">
        <f t="shared" si="89"/>
        <v>6</v>
      </c>
      <c r="N860" s="27" t="str">
        <f t="shared" si="89"/>
        <v>7</v>
      </c>
      <c r="O860" s="27" t="str">
        <f t="shared" si="89"/>
        <v>8</v>
      </c>
      <c r="P860" s="27" t="str">
        <f t="shared" si="89"/>
        <v>9</v>
      </c>
      <c r="Q860" s="27" t="str">
        <f t="shared" si="89"/>
        <v>10</v>
      </c>
      <c r="R860" s="27" t="str">
        <f t="shared" si="89"/>
        <v>11</v>
      </c>
      <c r="S860" s="27" t="str">
        <f t="shared" si="89"/>
        <v>12</v>
      </c>
      <c r="T860" s="27" t="s">
        <v>1436</v>
      </c>
      <c r="W860" s="60"/>
      <c r="AE860" s="27" t="str">
        <f t="shared" ref="AE860:AP860" si="90">H860</f>
        <v>1</v>
      </c>
      <c r="AF860" s="27" t="str">
        <f t="shared" si="90"/>
        <v>2</v>
      </c>
      <c r="AG860" s="27" t="str">
        <f t="shared" si="90"/>
        <v>3</v>
      </c>
      <c r="AH860" s="27" t="str">
        <f t="shared" si="90"/>
        <v>4</v>
      </c>
      <c r="AI860" s="27" t="str">
        <f t="shared" si="90"/>
        <v>5</v>
      </c>
      <c r="AJ860" s="27" t="str">
        <f t="shared" si="90"/>
        <v>6</v>
      </c>
      <c r="AK860" s="27" t="str">
        <f t="shared" si="90"/>
        <v>7</v>
      </c>
      <c r="AL860" s="27" t="str">
        <f t="shared" si="90"/>
        <v>8</v>
      </c>
      <c r="AM860" s="27" t="str">
        <f t="shared" si="90"/>
        <v>9</v>
      </c>
      <c r="AN860" s="27" t="str">
        <f t="shared" si="90"/>
        <v>10</v>
      </c>
      <c r="AO860" s="27" t="str">
        <f t="shared" si="90"/>
        <v>11</v>
      </c>
      <c r="AP860" s="27" t="str">
        <f t="shared" si="90"/>
        <v>12</v>
      </c>
      <c r="AT860" s="27" t="str">
        <f t="shared" ref="AT860:BE860" si="91">AE860</f>
        <v>1</v>
      </c>
      <c r="AU860" s="27" t="str">
        <f t="shared" si="91"/>
        <v>2</v>
      </c>
      <c r="AV860" s="27" t="str">
        <f t="shared" si="91"/>
        <v>3</v>
      </c>
      <c r="AW860" s="27" t="str">
        <f t="shared" si="91"/>
        <v>4</v>
      </c>
      <c r="AX860" s="27" t="str">
        <f t="shared" si="91"/>
        <v>5</v>
      </c>
      <c r="AY860" s="27" t="str">
        <f t="shared" si="91"/>
        <v>6</v>
      </c>
      <c r="AZ860" s="27" t="str">
        <f t="shared" si="91"/>
        <v>7</v>
      </c>
      <c r="BA860" s="27" t="str">
        <f t="shared" si="91"/>
        <v>8</v>
      </c>
      <c r="BB860" s="27" t="str">
        <f t="shared" si="91"/>
        <v>9</v>
      </c>
      <c r="BC860" s="27" t="str">
        <f t="shared" si="91"/>
        <v>10</v>
      </c>
      <c r="BD860" s="27" t="str">
        <f t="shared" si="91"/>
        <v>11</v>
      </c>
      <c r="BE860" s="27" t="str">
        <f t="shared" si="91"/>
        <v>12</v>
      </c>
      <c r="CC860" s="61"/>
    </row>
    <row r="861" spans="3:81" s="27" customFormat="1" ht="11.25" hidden="1" x14ac:dyDescent="0.2">
      <c r="C861" s="60">
        <f>'4'!E6</f>
        <v>0</v>
      </c>
      <c r="D861" s="27">
        <f>'4'!G6</f>
        <v>0</v>
      </c>
      <c r="E861" s="27">
        <f>'4'!V6</f>
        <v>0</v>
      </c>
      <c r="F861" s="27">
        <f>'4'!W6</f>
        <v>0</v>
      </c>
      <c r="G861" s="27">
        <f>'4'!F6</f>
        <v>0</v>
      </c>
      <c r="H861" s="27">
        <f>+($D861+($D861*$E861))*'4'!I6</f>
        <v>0</v>
      </c>
      <c r="I861" s="27">
        <f>+($D861+($D861*$E861))*'4'!J6</f>
        <v>0</v>
      </c>
      <c r="J861" s="27">
        <f>+($D861+($D861*$E861))*'4'!K6</f>
        <v>0</v>
      </c>
      <c r="K861" s="27">
        <f>+($D861+($D861*$E861))*'4'!L6</f>
        <v>0</v>
      </c>
      <c r="L861" s="27">
        <f>+($D861+($D861*$E861))*'4'!M6</f>
        <v>0</v>
      </c>
      <c r="M861" s="27">
        <f>+($D861+($D861*$E861))*'4'!N6</f>
        <v>0</v>
      </c>
      <c r="N861" s="27">
        <f>+($D861+($D861*$E861))*'4'!O6</f>
        <v>0</v>
      </c>
      <c r="O861" s="27">
        <f>+($D861+($D861*$E861))*'4'!P6</f>
        <v>0</v>
      </c>
      <c r="P861" s="27">
        <f>+($D861+($D861*$E861))*'4'!Q6</f>
        <v>0</v>
      </c>
      <c r="Q861" s="27">
        <f>+($D861+($D861*$E861))*'4'!R6</f>
        <v>0</v>
      </c>
      <c r="R861" s="27">
        <f>+($D861+($D861*$E861))*'4'!S6</f>
        <v>0</v>
      </c>
      <c r="S861" s="27">
        <f>+($D861+($D861*$E861))*'4'!T6</f>
        <v>0</v>
      </c>
      <c r="T861" s="27">
        <f t="shared" ref="T861:T870" si="92">SUM(H861:S861)</f>
        <v>0</v>
      </c>
      <c r="W861" s="60"/>
      <c r="AD861" s="27">
        <f t="shared" ref="AD861:AD892" si="93">C861</f>
        <v>0</v>
      </c>
      <c r="AE861" s="27">
        <f>+'4'!$G6*'4'!I6</f>
        <v>0</v>
      </c>
      <c r="AF861" s="27">
        <f>+'4'!$G6*'4'!J6</f>
        <v>0</v>
      </c>
      <c r="AG861" s="27">
        <f>+'4'!$G6*'4'!K6</f>
        <v>0</v>
      </c>
      <c r="AH861" s="27">
        <f>+'4'!$G6*'4'!L6</f>
        <v>0</v>
      </c>
      <c r="AI861" s="27">
        <f>+'4'!$G6*'4'!M6</f>
        <v>0</v>
      </c>
      <c r="AJ861" s="27">
        <f>+'4'!$G6*'4'!N6</f>
        <v>0</v>
      </c>
      <c r="AK861" s="27">
        <f>+'4'!$G6*'4'!O6</f>
        <v>0</v>
      </c>
      <c r="AL861" s="27">
        <f>+'4'!$G6*'4'!P6</f>
        <v>0</v>
      </c>
      <c r="AM861" s="27">
        <f>+'4'!$G6*'4'!Q6</f>
        <v>0</v>
      </c>
      <c r="AN861" s="27">
        <f>+'4'!$G6*'4'!R6</f>
        <v>0</v>
      </c>
      <c r="AO861" s="27">
        <f>+'4'!$G6*'4'!S6</f>
        <v>0</v>
      </c>
      <c r="AP861" s="27">
        <f>+'4'!$G6*'4'!T6</f>
        <v>0</v>
      </c>
      <c r="AQ861" s="27">
        <f t="shared" ref="AQ861:AQ870" si="94">SUM(AE861:AP861)</f>
        <v>0</v>
      </c>
      <c r="AS861" s="27">
        <f t="shared" ref="AS861:AS892" si="95">AD861</f>
        <v>0</v>
      </c>
      <c r="AT861" s="27">
        <f>+AE861*'4'!$W6</f>
        <v>0</v>
      </c>
      <c r="AU861" s="27">
        <f>+AF861*'4'!$W6</f>
        <v>0</v>
      </c>
      <c r="AV861" s="27">
        <f>+AG861*'4'!$W6</f>
        <v>0</v>
      </c>
      <c r="AW861" s="27">
        <f>+AH861*'4'!$W6</f>
        <v>0</v>
      </c>
      <c r="AX861" s="27">
        <f>+AI861*'4'!$W6</f>
        <v>0</v>
      </c>
      <c r="AY861" s="27">
        <f>+AJ861*'4'!$W6</f>
        <v>0</v>
      </c>
      <c r="AZ861" s="27">
        <f>+AK861*'4'!$W6</f>
        <v>0</v>
      </c>
      <c r="BA861" s="27">
        <f>+AL861*'4'!$W6</f>
        <v>0</v>
      </c>
      <c r="BB861" s="27">
        <f>+AM861*'4'!$W6</f>
        <v>0</v>
      </c>
      <c r="BC861" s="27">
        <f>+AN861*'4'!$W6</f>
        <v>0</v>
      </c>
      <c r="BD861" s="27">
        <f>+AO861*'4'!$W6</f>
        <v>0</v>
      </c>
      <c r="BE861" s="27">
        <f>+AP861*'4'!$W6</f>
        <v>0</v>
      </c>
      <c r="CC861" s="61"/>
    </row>
    <row r="862" spans="3:81" s="27" customFormat="1" ht="11.25" hidden="1" x14ac:dyDescent="0.2">
      <c r="C862" s="60">
        <f>'4'!E7</f>
        <v>0</v>
      </c>
      <c r="D862" s="27">
        <f>'4'!G7</f>
        <v>0</v>
      </c>
      <c r="E862" s="27">
        <f>'4'!V7</f>
        <v>0</v>
      </c>
      <c r="F862" s="27">
        <f>'4'!W7</f>
        <v>0</v>
      </c>
      <c r="G862" s="27">
        <f>'4'!F7</f>
        <v>0</v>
      </c>
      <c r="H862" s="27">
        <f>+($D862+($D862*$E862))*'4'!I7</f>
        <v>0</v>
      </c>
      <c r="I862" s="27">
        <f>+($D862+($D862*$E862))*'4'!J7</f>
        <v>0</v>
      </c>
      <c r="J862" s="27">
        <f>+($D862+($D862*$E862))*'4'!K7</f>
        <v>0</v>
      </c>
      <c r="K862" s="27">
        <f>+($D862+($D862*$E862))*'4'!L7</f>
        <v>0</v>
      </c>
      <c r="L862" s="27">
        <f>+($D862+($D862*$E862))*'4'!M7</f>
        <v>0</v>
      </c>
      <c r="M862" s="27">
        <f>+($D862+($D862*$E862))*'4'!N7</f>
        <v>0</v>
      </c>
      <c r="N862" s="27">
        <f>+($D862+($D862*$E862))*'4'!O7</f>
        <v>0</v>
      </c>
      <c r="O862" s="27">
        <f>+($D862+($D862*$E862))*'4'!P7</f>
        <v>0</v>
      </c>
      <c r="P862" s="27">
        <f>+($D862+($D862*$E862))*'4'!Q7</f>
        <v>0</v>
      </c>
      <c r="Q862" s="27">
        <f>+($D862+($D862*$E862))*'4'!R7</f>
        <v>0</v>
      </c>
      <c r="R862" s="27">
        <f>+($D862+($D862*$E862))*'4'!S7</f>
        <v>0</v>
      </c>
      <c r="S862" s="27">
        <f>+($D862+($D862*$E862))*'4'!T7</f>
        <v>0</v>
      </c>
      <c r="T862" s="27">
        <f t="shared" si="92"/>
        <v>0</v>
      </c>
      <c r="W862" s="60"/>
      <c r="AD862" s="27">
        <f t="shared" si="93"/>
        <v>0</v>
      </c>
      <c r="AE862" s="27">
        <f>+'4'!$G7*'4'!I7</f>
        <v>0</v>
      </c>
      <c r="AF862" s="27">
        <f>+'4'!$G7*'4'!J7</f>
        <v>0</v>
      </c>
      <c r="AG862" s="27">
        <f>+'4'!$G7*'4'!K7</f>
        <v>0</v>
      </c>
      <c r="AH862" s="27">
        <f>+'4'!$G7*'4'!L7</f>
        <v>0</v>
      </c>
      <c r="AI862" s="27">
        <f>+'4'!$G7*'4'!M7</f>
        <v>0</v>
      </c>
      <c r="AJ862" s="27">
        <f>+'4'!$G7*'4'!N7</f>
        <v>0</v>
      </c>
      <c r="AK862" s="27">
        <f>+'4'!$G7*'4'!O7</f>
        <v>0</v>
      </c>
      <c r="AL862" s="27">
        <f>+'4'!$G7*'4'!P7</f>
        <v>0</v>
      </c>
      <c r="AM862" s="27">
        <f>+'4'!$G7*'4'!Q7</f>
        <v>0</v>
      </c>
      <c r="AN862" s="27">
        <f>+'4'!$G7*'4'!R7</f>
        <v>0</v>
      </c>
      <c r="AO862" s="27">
        <f>+'4'!$G7*'4'!S7</f>
        <v>0</v>
      </c>
      <c r="AP862" s="27">
        <f>+'4'!$G7*'4'!T7</f>
        <v>0</v>
      </c>
      <c r="AQ862" s="27">
        <f t="shared" si="94"/>
        <v>0</v>
      </c>
      <c r="AS862" s="27">
        <f t="shared" si="95"/>
        <v>0</v>
      </c>
      <c r="AT862" s="27">
        <f>+AE862*'4'!$W7</f>
        <v>0</v>
      </c>
      <c r="AU862" s="27">
        <f>+AF862*'4'!$W7</f>
        <v>0</v>
      </c>
      <c r="AV862" s="27">
        <f>+AG862*'4'!$W7</f>
        <v>0</v>
      </c>
      <c r="AW862" s="27">
        <f>+AH862*'4'!$W7</f>
        <v>0</v>
      </c>
      <c r="AX862" s="27">
        <f>+AI862*'4'!$W7</f>
        <v>0</v>
      </c>
      <c r="AY862" s="27">
        <f>+AJ862*'4'!$W7</f>
        <v>0</v>
      </c>
      <c r="AZ862" s="27">
        <f>+AK862*'4'!$W7</f>
        <v>0</v>
      </c>
      <c r="BA862" s="27">
        <f>+AL862*'4'!$W7</f>
        <v>0</v>
      </c>
      <c r="BB862" s="27">
        <f>+AM862*'4'!$W7</f>
        <v>0</v>
      </c>
      <c r="BC862" s="27">
        <f>+AN862*'4'!$W7</f>
        <v>0</v>
      </c>
      <c r="BD862" s="27">
        <f>+AO862*'4'!$W7</f>
        <v>0</v>
      </c>
      <c r="BE862" s="27">
        <f>+AP862*'4'!$W7</f>
        <v>0</v>
      </c>
      <c r="CC862" s="61"/>
    </row>
    <row r="863" spans="3:81" s="27" customFormat="1" ht="11.25" hidden="1" x14ac:dyDescent="0.2">
      <c r="C863" s="60">
        <f>'4'!E8</f>
        <v>0</v>
      </c>
      <c r="D863" s="27">
        <f>'4'!G8</f>
        <v>0</v>
      </c>
      <c r="E863" s="27">
        <f>'4'!V8</f>
        <v>0</v>
      </c>
      <c r="F863" s="27">
        <f>'4'!W8</f>
        <v>0</v>
      </c>
      <c r="G863" s="27">
        <f>'4'!F8</f>
        <v>0</v>
      </c>
      <c r="H863" s="27">
        <f>+($D863+($D863*$E863))*'4'!I8</f>
        <v>0</v>
      </c>
      <c r="I863" s="27">
        <f>+($D863+($D863*$E863))*'4'!J8</f>
        <v>0</v>
      </c>
      <c r="J863" s="27">
        <f>+($D863+($D863*$E863))*'4'!K8</f>
        <v>0</v>
      </c>
      <c r="K863" s="27">
        <f>+($D863+($D863*$E863))*'4'!L8</f>
        <v>0</v>
      </c>
      <c r="L863" s="27">
        <f>+($D863+($D863*$E863))*'4'!M8</f>
        <v>0</v>
      </c>
      <c r="M863" s="27">
        <f>+($D863+($D863*$E863))*'4'!N8</f>
        <v>0</v>
      </c>
      <c r="N863" s="27">
        <f>+($D863+($D863*$E863))*'4'!O8</f>
        <v>0</v>
      </c>
      <c r="O863" s="27">
        <f>+($D863+($D863*$E863))*'4'!P8</f>
        <v>0</v>
      </c>
      <c r="P863" s="27">
        <f>+($D863+($D863*$E863))*'4'!Q8</f>
        <v>0</v>
      </c>
      <c r="Q863" s="27">
        <f>+($D863+($D863*$E863))*'4'!R8</f>
        <v>0</v>
      </c>
      <c r="R863" s="27">
        <f>+($D863+($D863*$E863))*'4'!S8</f>
        <v>0</v>
      </c>
      <c r="S863" s="27">
        <f>+($D863+($D863*$E863))*'4'!T8</f>
        <v>0</v>
      </c>
      <c r="T863" s="27">
        <f t="shared" si="92"/>
        <v>0</v>
      </c>
      <c r="W863" s="60"/>
      <c r="AD863" s="27">
        <f t="shared" si="93"/>
        <v>0</v>
      </c>
      <c r="AE863" s="27">
        <f>+'4'!$G8*'4'!I8</f>
        <v>0</v>
      </c>
      <c r="AF863" s="27">
        <f>+'4'!$G8*'4'!J8</f>
        <v>0</v>
      </c>
      <c r="AG863" s="27">
        <f>+'4'!$G8*'4'!K8</f>
        <v>0</v>
      </c>
      <c r="AH863" s="27">
        <f>+'4'!$G8*'4'!L8</f>
        <v>0</v>
      </c>
      <c r="AI863" s="27">
        <f>+'4'!$G8*'4'!M8</f>
        <v>0</v>
      </c>
      <c r="AJ863" s="27">
        <f>+'4'!$G8*'4'!N8</f>
        <v>0</v>
      </c>
      <c r="AK863" s="27">
        <f>+'4'!$G8*'4'!O8</f>
        <v>0</v>
      </c>
      <c r="AL863" s="27">
        <f>+'4'!$G8*'4'!P8</f>
        <v>0</v>
      </c>
      <c r="AM863" s="27">
        <f>+'4'!$G8*'4'!Q8</f>
        <v>0</v>
      </c>
      <c r="AN863" s="27">
        <f>+'4'!$G8*'4'!R8</f>
        <v>0</v>
      </c>
      <c r="AO863" s="27">
        <f>+'4'!$G8*'4'!S8</f>
        <v>0</v>
      </c>
      <c r="AP863" s="27">
        <f>+'4'!$G8*'4'!T8</f>
        <v>0</v>
      </c>
      <c r="AQ863" s="27">
        <f t="shared" si="94"/>
        <v>0</v>
      </c>
      <c r="AS863" s="27">
        <f t="shared" si="95"/>
        <v>0</v>
      </c>
      <c r="AT863" s="27">
        <f>+AE863*'4'!$W8</f>
        <v>0</v>
      </c>
      <c r="AU863" s="27">
        <f>+AF863*'4'!$W8</f>
        <v>0</v>
      </c>
      <c r="AV863" s="27">
        <f>+AG863*'4'!$W8</f>
        <v>0</v>
      </c>
      <c r="AW863" s="27">
        <f>+AH863*'4'!$W8</f>
        <v>0</v>
      </c>
      <c r="AX863" s="27">
        <f>+AI863*'4'!$W8</f>
        <v>0</v>
      </c>
      <c r="AY863" s="27">
        <f>+AJ863*'4'!$W8</f>
        <v>0</v>
      </c>
      <c r="AZ863" s="27">
        <f>+AK863*'4'!$W8</f>
        <v>0</v>
      </c>
      <c r="BA863" s="27">
        <f>+AL863*'4'!$W8</f>
        <v>0</v>
      </c>
      <c r="BB863" s="27">
        <f>+AM863*'4'!$W8</f>
        <v>0</v>
      </c>
      <c r="BC863" s="27">
        <f>+AN863*'4'!$W8</f>
        <v>0</v>
      </c>
      <c r="BD863" s="27">
        <f>+AO863*'4'!$W8</f>
        <v>0</v>
      </c>
      <c r="BE863" s="27">
        <f>+AP863*'4'!$W8</f>
        <v>0</v>
      </c>
      <c r="CC863" s="61"/>
    </row>
    <row r="864" spans="3:81" s="27" customFormat="1" ht="11.25" hidden="1" x14ac:dyDescent="0.2">
      <c r="C864" s="60">
        <f>'4'!E9</f>
        <v>0</v>
      </c>
      <c r="D864" s="27">
        <f>'4'!G9</f>
        <v>0</v>
      </c>
      <c r="E864" s="27">
        <f>'4'!V9</f>
        <v>0</v>
      </c>
      <c r="F864" s="27">
        <f>'4'!W9</f>
        <v>0</v>
      </c>
      <c r="G864" s="27">
        <f>'4'!F9</f>
        <v>0</v>
      </c>
      <c r="H864" s="27">
        <f>+($D864+($D864*$E864))*'4'!I9</f>
        <v>0</v>
      </c>
      <c r="I864" s="27">
        <f>+($D864+($D864*$E864))*'4'!J9</f>
        <v>0</v>
      </c>
      <c r="J864" s="27">
        <f>+($D864+($D864*$E864))*'4'!K9</f>
        <v>0</v>
      </c>
      <c r="K864" s="27">
        <f>+($D864+($D864*$E864))*'4'!L9</f>
        <v>0</v>
      </c>
      <c r="L864" s="27">
        <f>+($D864+($D864*$E864))*'4'!M9</f>
        <v>0</v>
      </c>
      <c r="M864" s="27">
        <f>+($D864+($D864*$E864))*'4'!N9</f>
        <v>0</v>
      </c>
      <c r="N864" s="27">
        <f>+($D864+($D864*$E864))*'4'!O9</f>
        <v>0</v>
      </c>
      <c r="O864" s="27">
        <f>+($D864+($D864*$E864))*'4'!P9</f>
        <v>0</v>
      </c>
      <c r="P864" s="27">
        <f>+($D864+($D864*$E864))*'4'!Q9</f>
        <v>0</v>
      </c>
      <c r="Q864" s="27">
        <f>+($D864+($D864*$E864))*'4'!R9</f>
        <v>0</v>
      </c>
      <c r="R864" s="27">
        <f>+($D864+($D864*$E864))*'4'!S9</f>
        <v>0</v>
      </c>
      <c r="S864" s="27">
        <f>+($D864+($D864*$E864))*'4'!T9</f>
        <v>0</v>
      </c>
      <c r="T864" s="27">
        <f t="shared" si="92"/>
        <v>0</v>
      </c>
      <c r="W864" s="60"/>
      <c r="AD864" s="27">
        <f t="shared" si="93"/>
        <v>0</v>
      </c>
      <c r="AE864" s="27">
        <f>+'4'!$G9*'4'!I9</f>
        <v>0</v>
      </c>
      <c r="AF864" s="27">
        <f>+'4'!$G9*'4'!J9</f>
        <v>0</v>
      </c>
      <c r="AG864" s="27">
        <f>+'4'!$G9*'4'!K9</f>
        <v>0</v>
      </c>
      <c r="AH864" s="27">
        <f>+'4'!$G9*'4'!L9</f>
        <v>0</v>
      </c>
      <c r="AI864" s="27">
        <f>+'4'!$G9*'4'!M9</f>
        <v>0</v>
      </c>
      <c r="AJ864" s="27">
        <f>+'4'!$G9*'4'!N9</f>
        <v>0</v>
      </c>
      <c r="AK864" s="27">
        <f>+'4'!$G9*'4'!O9</f>
        <v>0</v>
      </c>
      <c r="AL864" s="27">
        <f>+'4'!$G9*'4'!P9</f>
        <v>0</v>
      </c>
      <c r="AM864" s="27">
        <f>+'4'!$G9*'4'!Q9</f>
        <v>0</v>
      </c>
      <c r="AN864" s="27">
        <f>+'4'!$G9*'4'!R9</f>
        <v>0</v>
      </c>
      <c r="AO864" s="27">
        <f>+'4'!$G9*'4'!S9</f>
        <v>0</v>
      </c>
      <c r="AP864" s="27">
        <f>+'4'!$G9*'4'!T9</f>
        <v>0</v>
      </c>
      <c r="AQ864" s="27">
        <f t="shared" si="94"/>
        <v>0</v>
      </c>
      <c r="AS864" s="27">
        <f t="shared" si="95"/>
        <v>0</v>
      </c>
      <c r="AT864" s="27">
        <f>+AE864*'4'!$W9</f>
        <v>0</v>
      </c>
      <c r="AU864" s="27">
        <f>+AF864*'4'!$W9</f>
        <v>0</v>
      </c>
      <c r="AV864" s="27">
        <f>+AG864*'4'!$W9</f>
        <v>0</v>
      </c>
      <c r="AW864" s="27">
        <f>+AH864*'4'!$W9</f>
        <v>0</v>
      </c>
      <c r="AX864" s="27">
        <f>+AI864*'4'!$W9</f>
        <v>0</v>
      </c>
      <c r="AY864" s="27">
        <f>+AJ864*'4'!$W9</f>
        <v>0</v>
      </c>
      <c r="AZ864" s="27">
        <f>+AK864*'4'!$W9</f>
        <v>0</v>
      </c>
      <c r="BA864" s="27">
        <f>+AL864*'4'!$W9</f>
        <v>0</v>
      </c>
      <c r="BB864" s="27">
        <f>+AM864*'4'!$W9</f>
        <v>0</v>
      </c>
      <c r="BC864" s="27">
        <f>+AN864*'4'!$W9</f>
        <v>0</v>
      </c>
      <c r="BD864" s="27">
        <f>+AO864*'4'!$W9</f>
        <v>0</v>
      </c>
      <c r="BE864" s="27">
        <f>+AP864*'4'!$W9</f>
        <v>0</v>
      </c>
      <c r="CC864" s="61"/>
    </row>
    <row r="865" spans="3:81" s="27" customFormat="1" ht="11.25" hidden="1" x14ac:dyDescent="0.2">
      <c r="C865" s="60">
        <f t="shared" ref="C865:G870" si="96">C259</f>
        <v>0</v>
      </c>
      <c r="D865" s="27">
        <f t="shared" si="96"/>
        <v>0</v>
      </c>
      <c r="E865" s="27">
        <f t="shared" si="96"/>
        <v>0</v>
      </c>
      <c r="F865" s="27">
        <f t="shared" si="96"/>
        <v>0</v>
      </c>
      <c r="G865" s="27">
        <f t="shared" si="96"/>
        <v>0</v>
      </c>
      <c r="H865" s="27">
        <f t="shared" ref="H865:S865" si="97">+($D865+($D865*$E865))*H259</f>
        <v>0</v>
      </c>
      <c r="I865" s="27">
        <f t="shared" si="97"/>
        <v>0</v>
      </c>
      <c r="J865" s="27">
        <f t="shared" si="97"/>
        <v>0</v>
      </c>
      <c r="K865" s="27">
        <f t="shared" si="97"/>
        <v>0</v>
      </c>
      <c r="L865" s="27">
        <f t="shared" si="97"/>
        <v>0</v>
      </c>
      <c r="M865" s="27">
        <f t="shared" si="97"/>
        <v>0</v>
      </c>
      <c r="N865" s="27">
        <f t="shared" si="97"/>
        <v>0</v>
      </c>
      <c r="O865" s="27">
        <f t="shared" si="97"/>
        <v>0</v>
      </c>
      <c r="P865" s="27">
        <f t="shared" si="97"/>
        <v>0</v>
      </c>
      <c r="Q865" s="27">
        <f t="shared" si="97"/>
        <v>0</v>
      </c>
      <c r="R865" s="27">
        <f t="shared" si="97"/>
        <v>0</v>
      </c>
      <c r="S865" s="27">
        <f t="shared" si="97"/>
        <v>0</v>
      </c>
      <c r="T865" s="27">
        <f t="shared" si="92"/>
        <v>0</v>
      </c>
      <c r="W865" s="60"/>
      <c r="AD865" s="27">
        <f t="shared" si="93"/>
        <v>0</v>
      </c>
      <c r="AE865" s="27">
        <f t="shared" ref="AE865:AP870" si="98">+$D259*H259</f>
        <v>0</v>
      </c>
      <c r="AF865" s="27">
        <f t="shared" si="98"/>
        <v>0</v>
      </c>
      <c r="AG865" s="27">
        <f t="shared" si="98"/>
        <v>0</v>
      </c>
      <c r="AH865" s="27">
        <f t="shared" si="98"/>
        <v>0</v>
      </c>
      <c r="AI865" s="27">
        <f t="shared" si="98"/>
        <v>0</v>
      </c>
      <c r="AJ865" s="27">
        <f t="shared" si="98"/>
        <v>0</v>
      </c>
      <c r="AK865" s="27">
        <f t="shared" si="98"/>
        <v>0</v>
      </c>
      <c r="AL865" s="27">
        <f t="shared" si="98"/>
        <v>0</v>
      </c>
      <c r="AM865" s="27">
        <f t="shared" si="98"/>
        <v>0</v>
      </c>
      <c r="AN865" s="27">
        <f t="shared" si="98"/>
        <v>0</v>
      </c>
      <c r="AO865" s="27">
        <f t="shared" si="98"/>
        <v>0</v>
      </c>
      <c r="AP865" s="27">
        <f t="shared" si="98"/>
        <v>0</v>
      </c>
      <c r="AQ865" s="27">
        <f t="shared" si="94"/>
        <v>0</v>
      </c>
      <c r="AS865" s="27">
        <f t="shared" si="95"/>
        <v>0</v>
      </c>
      <c r="AT865" s="27">
        <f t="shared" ref="AT865:BE870" si="99">+AE865*$F259</f>
        <v>0</v>
      </c>
      <c r="AU865" s="27">
        <f t="shared" si="99"/>
        <v>0</v>
      </c>
      <c r="AV865" s="27">
        <f t="shared" si="99"/>
        <v>0</v>
      </c>
      <c r="AW865" s="27">
        <f t="shared" si="99"/>
        <v>0</v>
      </c>
      <c r="AX865" s="27">
        <f t="shared" si="99"/>
        <v>0</v>
      </c>
      <c r="AY865" s="27">
        <f t="shared" si="99"/>
        <v>0</v>
      </c>
      <c r="AZ865" s="27">
        <f t="shared" si="99"/>
        <v>0</v>
      </c>
      <c r="BA865" s="27">
        <f t="shared" si="99"/>
        <v>0</v>
      </c>
      <c r="BB865" s="27">
        <f t="shared" si="99"/>
        <v>0</v>
      </c>
      <c r="BC865" s="27">
        <f t="shared" si="99"/>
        <v>0</v>
      </c>
      <c r="BD865" s="27">
        <f t="shared" si="99"/>
        <v>0</v>
      </c>
      <c r="BE865" s="27">
        <f t="shared" si="99"/>
        <v>0</v>
      </c>
      <c r="CC865" s="61"/>
    </row>
    <row r="866" spans="3:81" s="27" customFormat="1" ht="11.25" hidden="1" x14ac:dyDescent="0.2">
      <c r="C866" s="60">
        <f t="shared" si="96"/>
        <v>0</v>
      </c>
      <c r="D866" s="27">
        <f t="shared" si="96"/>
        <v>0</v>
      </c>
      <c r="E866" s="27">
        <f t="shared" si="96"/>
        <v>0</v>
      </c>
      <c r="F866" s="27">
        <f t="shared" si="96"/>
        <v>0</v>
      </c>
      <c r="G866" s="27">
        <f t="shared" si="96"/>
        <v>0</v>
      </c>
      <c r="H866" s="27">
        <f t="shared" ref="H866:S866" si="100">+($D866+($D866*$E866))*H260</f>
        <v>0</v>
      </c>
      <c r="I866" s="27">
        <f t="shared" si="100"/>
        <v>0</v>
      </c>
      <c r="J866" s="27">
        <f t="shared" si="100"/>
        <v>0</v>
      </c>
      <c r="K866" s="27">
        <f t="shared" si="100"/>
        <v>0</v>
      </c>
      <c r="L866" s="27">
        <f t="shared" si="100"/>
        <v>0</v>
      </c>
      <c r="M866" s="27">
        <f t="shared" si="100"/>
        <v>0</v>
      </c>
      <c r="N866" s="27">
        <f t="shared" si="100"/>
        <v>0</v>
      </c>
      <c r="O866" s="27">
        <f t="shared" si="100"/>
        <v>0</v>
      </c>
      <c r="P866" s="27">
        <f t="shared" si="100"/>
        <v>0</v>
      </c>
      <c r="Q866" s="27">
        <f t="shared" si="100"/>
        <v>0</v>
      </c>
      <c r="R866" s="27">
        <f t="shared" si="100"/>
        <v>0</v>
      </c>
      <c r="S866" s="27">
        <f t="shared" si="100"/>
        <v>0</v>
      </c>
      <c r="T866" s="27">
        <f t="shared" si="92"/>
        <v>0</v>
      </c>
      <c r="W866" s="60"/>
      <c r="AD866" s="27">
        <f t="shared" si="93"/>
        <v>0</v>
      </c>
      <c r="AE866" s="27">
        <f t="shared" si="98"/>
        <v>0</v>
      </c>
      <c r="AF866" s="27">
        <f t="shared" si="98"/>
        <v>0</v>
      </c>
      <c r="AG866" s="27">
        <f t="shared" si="98"/>
        <v>0</v>
      </c>
      <c r="AH866" s="27">
        <f t="shared" si="98"/>
        <v>0</v>
      </c>
      <c r="AI866" s="27">
        <f t="shared" si="98"/>
        <v>0</v>
      </c>
      <c r="AJ866" s="27">
        <f t="shared" si="98"/>
        <v>0</v>
      </c>
      <c r="AK866" s="27">
        <f t="shared" si="98"/>
        <v>0</v>
      </c>
      <c r="AL866" s="27">
        <f t="shared" si="98"/>
        <v>0</v>
      </c>
      <c r="AM866" s="27">
        <f t="shared" si="98"/>
        <v>0</v>
      </c>
      <c r="AN866" s="27">
        <f t="shared" si="98"/>
        <v>0</v>
      </c>
      <c r="AO866" s="27">
        <f t="shared" si="98"/>
        <v>0</v>
      </c>
      <c r="AP866" s="27">
        <f t="shared" si="98"/>
        <v>0</v>
      </c>
      <c r="AQ866" s="27">
        <f t="shared" si="94"/>
        <v>0</v>
      </c>
      <c r="AS866" s="27">
        <f t="shared" si="95"/>
        <v>0</v>
      </c>
      <c r="AT866" s="27">
        <f t="shared" si="99"/>
        <v>0</v>
      </c>
      <c r="AU866" s="27">
        <f t="shared" si="99"/>
        <v>0</v>
      </c>
      <c r="AV866" s="27">
        <f t="shared" si="99"/>
        <v>0</v>
      </c>
      <c r="AW866" s="27">
        <f t="shared" si="99"/>
        <v>0</v>
      </c>
      <c r="AX866" s="27">
        <f t="shared" si="99"/>
        <v>0</v>
      </c>
      <c r="AY866" s="27">
        <f t="shared" si="99"/>
        <v>0</v>
      </c>
      <c r="AZ866" s="27">
        <f t="shared" si="99"/>
        <v>0</v>
      </c>
      <c r="BA866" s="27">
        <f t="shared" si="99"/>
        <v>0</v>
      </c>
      <c r="BB866" s="27">
        <f t="shared" si="99"/>
        <v>0</v>
      </c>
      <c r="BC866" s="27">
        <f t="shared" si="99"/>
        <v>0</v>
      </c>
      <c r="BD866" s="27">
        <f t="shared" si="99"/>
        <v>0</v>
      </c>
      <c r="BE866" s="27">
        <f t="shared" si="99"/>
        <v>0</v>
      </c>
      <c r="CC866" s="61"/>
    </row>
    <row r="867" spans="3:81" s="27" customFormat="1" ht="11.25" hidden="1" x14ac:dyDescent="0.2">
      <c r="C867" s="60">
        <f t="shared" si="96"/>
        <v>0</v>
      </c>
      <c r="D867" s="27">
        <f t="shared" si="96"/>
        <v>0</v>
      </c>
      <c r="E867" s="27">
        <f t="shared" si="96"/>
        <v>0</v>
      </c>
      <c r="F867" s="27">
        <f t="shared" si="96"/>
        <v>0</v>
      </c>
      <c r="G867" s="27">
        <f t="shared" si="96"/>
        <v>0</v>
      </c>
      <c r="H867" s="27">
        <f t="shared" ref="H867:S867" si="101">+($D867+($D867*$E867))*H261</f>
        <v>0</v>
      </c>
      <c r="I867" s="27">
        <f t="shared" si="101"/>
        <v>0</v>
      </c>
      <c r="J867" s="27">
        <f t="shared" si="101"/>
        <v>0</v>
      </c>
      <c r="K867" s="27">
        <f t="shared" si="101"/>
        <v>0</v>
      </c>
      <c r="L867" s="27">
        <f t="shared" si="101"/>
        <v>0</v>
      </c>
      <c r="M867" s="27">
        <f t="shared" si="101"/>
        <v>0</v>
      </c>
      <c r="N867" s="27">
        <f t="shared" si="101"/>
        <v>0</v>
      </c>
      <c r="O867" s="27">
        <f t="shared" si="101"/>
        <v>0</v>
      </c>
      <c r="P867" s="27">
        <f t="shared" si="101"/>
        <v>0</v>
      </c>
      <c r="Q867" s="27">
        <f t="shared" si="101"/>
        <v>0</v>
      </c>
      <c r="R867" s="27">
        <f t="shared" si="101"/>
        <v>0</v>
      </c>
      <c r="S867" s="27">
        <f t="shared" si="101"/>
        <v>0</v>
      </c>
      <c r="T867" s="27">
        <f t="shared" si="92"/>
        <v>0</v>
      </c>
      <c r="W867" s="60"/>
      <c r="AD867" s="27">
        <f t="shared" si="93"/>
        <v>0</v>
      </c>
      <c r="AE867" s="27">
        <f t="shared" si="98"/>
        <v>0</v>
      </c>
      <c r="AF867" s="27">
        <f t="shared" si="98"/>
        <v>0</v>
      </c>
      <c r="AG867" s="27">
        <f t="shared" si="98"/>
        <v>0</v>
      </c>
      <c r="AH867" s="27">
        <f t="shared" si="98"/>
        <v>0</v>
      </c>
      <c r="AI867" s="27">
        <f t="shared" si="98"/>
        <v>0</v>
      </c>
      <c r="AJ867" s="27">
        <f t="shared" si="98"/>
        <v>0</v>
      </c>
      <c r="AK867" s="27">
        <f t="shared" si="98"/>
        <v>0</v>
      </c>
      <c r="AL867" s="27">
        <f t="shared" si="98"/>
        <v>0</v>
      </c>
      <c r="AM867" s="27">
        <f t="shared" si="98"/>
        <v>0</v>
      </c>
      <c r="AN867" s="27">
        <f t="shared" si="98"/>
        <v>0</v>
      </c>
      <c r="AO867" s="27">
        <f t="shared" si="98"/>
        <v>0</v>
      </c>
      <c r="AP867" s="27">
        <f t="shared" si="98"/>
        <v>0</v>
      </c>
      <c r="AQ867" s="27">
        <f t="shared" si="94"/>
        <v>0</v>
      </c>
      <c r="AS867" s="27">
        <f t="shared" si="95"/>
        <v>0</v>
      </c>
      <c r="AT867" s="27">
        <f t="shared" si="99"/>
        <v>0</v>
      </c>
      <c r="AU867" s="27">
        <f t="shared" si="99"/>
        <v>0</v>
      </c>
      <c r="AV867" s="27">
        <f t="shared" si="99"/>
        <v>0</v>
      </c>
      <c r="AW867" s="27">
        <f t="shared" si="99"/>
        <v>0</v>
      </c>
      <c r="AX867" s="27">
        <f t="shared" si="99"/>
        <v>0</v>
      </c>
      <c r="AY867" s="27">
        <f t="shared" si="99"/>
        <v>0</v>
      </c>
      <c r="AZ867" s="27">
        <f t="shared" si="99"/>
        <v>0</v>
      </c>
      <c r="BA867" s="27">
        <f t="shared" si="99"/>
        <v>0</v>
      </c>
      <c r="BB867" s="27">
        <f t="shared" si="99"/>
        <v>0</v>
      </c>
      <c r="BC867" s="27">
        <f t="shared" si="99"/>
        <v>0</v>
      </c>
      <c r="BD867" s="27">
        <f t="shared" si="99"/>
        <v>0</v>
      </c>
      <c r="BE867" s="27">
        <f t="shared" si="99"/>
        <v>0</v>
      </c>
      <c r="CC867" s="61"/>
    </row>
    <row r="868" spans="3:81" s="27" customFormat="1" ht="11.25" hidden="1" x14ac:dyDescent="0.2">
      <c r="C868" s="60">
        <f t="shared" si="96"/>
        <v>0</v>
      </c>
      <c r="D868" s="27">
        <f t="shared" si="96"/>
        <v>0</v>
      </c>
      <c r="E868" s="27">
        <f t="shared" si="96"/>
        <v>0</v>
      </c>
      <c r="F868" s="27">
        <f t="shared" si="96"/>
        <v>0</v>
      </c>
      <c r="G868" s="27">
        <f t="shared" si="96"/>
        <v>0</v>
      </c>
      <c r="H868" s="27">
        <f t="shared" ref="H868:S868" si="102">+($D868+($D868*$E868))*H262</f>
        <v>0</v>
      </c>
      <c r="I868" s="27">
        <f t="shared" si="102"/>
        <v>0</v>
      </c>
      <c r="J868" s="27">
        <f t="shared" si="102"/>
        <v>0</v>
      </c>
      <c r="K868" s="27">
        <f t="shared" si="102"/>
        <v>0</v>
      </c>
      <c r="L868" s="27">
        <f t="shared" si="102"/>
        <v>0</v>
      </c>
      <c r="M868" s="27">
        <f t="shared" si="102"/>
        <v>0</v>
      </c>
      <c r="N868" s="27">
        <f t="shared" si="102"/>
        <v>0</v>
      </c>
      <c r="O868" s="27">
        <f t="shared" si="102"/>
        <v>0</v>
      </c>
      <c r="P868" s="27">
        <f t="shared" si="102"/>
        <v>0</v>
      </c>
      <c r="Q868" s="27">
        <f t="shared" si="102"/>
        <v>0</v>
      </c>
      <c r="R868" s="27">
        <f t="shared" si="102"/>
        <v>0</v>
      </c>
      <c r="S868" s="27">
        <f t="shared" si="102"/>
        <v>0</v>
      </c>
      <c r="T868" s="27">
        <f t="shared" si="92"/>
        <v>0</v>
      </c>
      <c r="W868" s="60"/>
      <c r="AD868" s="27">
        <f t="shared" si="93"/>
        <v>0</v>
      </c>
      <c r="AE868" s="27">
        <f t="shared" si="98"/>
        <v>0</v>
      </c>
      <c r="AF868" s="27">
        <f t="shared" si="98"/>
        <v>0</v>
      </c>
      <c r="AG868" s="27">
        <f t="shared" si="98"/>
        <v>0</v>
      </c>
      <c r="AH868" s="27">
        <f t="shared" si="98"/>
        <v>0</v>
      </c>
      <c r="AI868" s="27">
        <f t="shared" si="98"/>
        <v>0</v>
      </c>
      <c r="AJ868" s="27">
        <f t="shared" si="98"/>
        <v>0</v>
      </c>
      <c r="AK868" s="27">
        <f t="shared" si="98"/>
        <v>0</v>
      </c>
      <c r="AL868" s="27">
        <f t="shared" si="98"/>
        <v>0</v>
      </c>
      <c r="AM868" s="27">
        <f t="shared" si="98"/>
        <v>0</v>
      </c>
      <c r="AN868" s="27">
        <f t="shared" si="98"/>
        <v>0</v>
      </c>
      <c r="AO868" s="27">
        <f t="shared" si="98"/>
        <v>0</v>
      </c>
      <c r="AP868" s="27">
        <f t="shared" si="98"/>
        <v>0</v>
      </c>
      <c r="AQ868" s="27">
        <f t="shared" si="94"/>
        <v>0</v>
      </c>
      <c r="AS868" s="27">
        <f t="shared" si="95"/>
        <v>0</v>
      </c>
      <c r="AT868" s="27">
        <f t="shared" si="99"/>
        <v>0</v>
      </c>
      <c r="AU868" s="27">
        <f t="shared" si="99"/>
        <v>0</v>
      </c>
      <c r="AV868" s="27">
        <f t="shared" si="99"/>
        <v>0</v>
      </c>
      <c r="AW868" s="27">
        <f t="shared" si="99"/>
        <v>0</v>
      </c>
      <c r="AX868" s="27">
        <f t="shared" si="99"/>
        <v>0</v>
      </c>
      <c r="AY868" s="27">
        <f t="shared" si="99"/>
        <v>0</v>
      </c>
      <c r="AZ868" s="27">
        <f t="shared" si="99"/>
        <v>0</v>
      </c>
      <c r="BA868" s="27">
        <f t="shared" si="99"/>
        <v>0</v>
      </c>
      <c r="BB868" s="27">
        <f t="shared" si="99"/>
        <v>0</v>
      </c>
      <c r="BC868" s="27">
        <f t="shared" si="99"/>
        <v>0</v>
      </c>
      <c r="BD868" s="27">
        <f t="shared" si="99"/>
        <v>0</v>
      </c>
      <c r="BE868" s="27">
        <f t="shared" si="99"/>
        <v>0</v>
      </c>
      <c r="CC868" s="61"/>
    </row>
    <row r="869" spans="3:81" s="27" customFormat="1" ht="11.25" hidden="1" x14ac:dyDescent="0.2">
      <c r="C869" s="60">
        <f t="shared" si="96"/>
        <v>0</v>
      </c>
      <c r="D869" s="27">
        <f t="shared" si="96"/>
        <v>0</v>
      </c>
      <c r="E869" s="27">
        <f t="shared" si="96"/>
        <v>0</v>
      </c>
      <c r="F869" s="27">
        <f t="shared" si="96"/>
        <v>0</v>
      </c>
      <c r="G869" s="27">
        <f t="shared" si="96"/>
        <v>0</v>
      </c>
      <c r="H869" s="27">
        <f t="shared" ref="H869:S869" si="103">+($D869+($D869*$E869))*H263</f>
        <v>0</v>
      </c>
      <c r="I869" s="27">
        <f t="shared" si="103"/>
        <v>0</v>
      </c>
      <c r="J869" s="27">
        <f t="shared" si="103"/>
        <v>0</v>
      </c>
      <c r="K869" s="27">
        <f t="shared" si="103"/>
        <v>0</v>
      </c>
      <c r="L869" s="27">
        <f t="shared" si="103"/>
        <v>0</v>
      </c>
      <c r="M869" s="27">
        <f t="shared" si="103"/>
        <v>0</v>
      </c>
      <c r="N869" s="27">
        <f t="shared" si="103"/>
        <v>0</v>
      </c>
      <c r="O869" s="27">
        <f t="shared" si="103"/>
        <v>0</v>
      </c>
      <c r="P869" s="27">
        <f t="shared" si="103"/>
        <v>0</v>
      </c>
      <c r="Q869" s="27">
        <f t="shared" si="103"/>
        <v>0</v>
      </c>
      <c r="R869" s="27">
        <f t="shared" si="103"/>
        <v>0</v>
      </c>
      <c r="S869" s="27">
        <f t="shared" si="103"/>
        <v>0</v>
      </c>
      <c r="T869" s="27">
        <f t="shared" si="92"/>
        <v>0</v>
      </c>
      <c r="W869" s="60"/>
      <c r="AD869" s="27">
        <f t="shared" si="93"/>
        <v>0</v>
      </c>
      <c r="AE869" s="27">
        <f t="shared" si="98"/>
        <v>0</v>
      </c>
      <c r="AF869" s="27">
        <f t="shared" si="98"/>
        <v>0</v>
      </c>
      <c r="AG869" s="27">
        <f t="shared" si="98"/>
        <v>0</v>
      </c>
      <c r="AH869" s="27">
        <f t="shared" si="98"/>
        <v>0</v>
      </c>
      <c r="AI869" s="27">
        <f t="shared" si="98"/>
        <v>0</v>
      </c>
      <c r="AJ869" s="27">
        <f t="shared" si="98"/>
        <v>0</v>
      </c>
      <c r="AK869" s="27">
        <f t="shared" si="98"/>
        <v>0</v>
      </c>
      <c r="AL869" s="27">
        <f t="shared" si="98"/>
        <v>0</v>
      </c>
      <c r="AM869" s="27">
        <f t="shared" si="98"/>
        <v>0</v>
      </c>
      <c r="AN869" s="27">
        <f t="shared" si="98"/>
        <v>0</v>
      </c>
      <c r="AO869" s="27">
        <f t="shared" si="98"/>
        <v>0</v>
      </c>
      <c r="AP869" s="27">
        <f t="shared" si="98"/>
        <v>0</v>
      </c>
      <c r="AQ869" s="27">
        <f t="shared" si="94"/>
        <v>0</v>
      </c>
      <c r="AS869" s="27">
        <f t="shared" si="95"/>
        <v>0</v>
      </c>
      <c r="AT869" s="27">
        <f t="shared" si="99"/>
        <v>0</v>
      </c>
      <c r="AU869" s="27">
        <f t="shared" si="99"/>
        <v>0</v>
      </c>
      <c r="AV869" s="27">
        <f t="shared" si="99"/>
        <v>0</v>
      </c>
      <c r="AW869" s="27">
        <f t="shared" si="99"/>
        <v>0</v>
      </c>
      <c r="AX869" s="27">
        <f t="shared" si="99"/>
        <v>0</v>
      </c>
      <c r="AY869" s="27">
        <f t="shared" si="99"/>
        <v>0</v>
      </c>
      <c r="AZ869" s="27">
        <f t="shared" si="99"/>
        <v>0</v>
      </c>
      <c r="BA869" s="27">
        <f t="shared" si="99"/>
        <v>0</v>
      </c>
      <c r="BB869" s="27">
        <f t="shared" si="99"/>
        <v>0</v>
      </c>
      <c r="BC869" s="27">
        <f t="shared" si="99"/>
        <v>0</v>
      </c>
      <c r="BD869" s="27">
        <f t="shared" si="99"/>
        <v>0</v>
      </c>
      <c r="BE869" s="27">
        <f t="shared" si="99"/>
        <v>0</v>
      </c>
      <c r="CC869" s="61"/>
    </row>
    <row r="870" spans="3:81" s="27" customFormat="1" ht="11.25" hidden="1" x14ac:dyDescent="0.2">
      <c r="C870" s="60">
        <f t="shared" si="96"/>
        <v>0</v>
      </c>
      <c r="D870" s="27">
        <f t="shared" si="96"/>
        <v>0</v>
      </c>
      <c r="E870" s="27">
        <f t="shared" si="96"/>
        <v>0</v>
      </c>
      <c r="F870" s="27">
        <f t="shared" si="96"/>
        <v>0</v>
      </c>
      <c r="G870" s="27">
        <f t="shared" si="96"/>
        <v>0</v>
      </c>
      <c r="H870" s="27">
        <f t="shared" ref="H870:S870" si="104">+($D870+($D870*$E870))*H264</f>
        <v>0</v>
      </c>
      <c r="I870" s="27">
        <f t="shared" si="104"/>
        <v>0</v>
      </c>
      <c r="J870" s="27">
        <f t="shared" si="104"/>
        <v>0</v>
      </c>
      <c r="K870" s="27">
        <f t="shared" si="104"/>
        <v>0</v>
      </c>
      <c r="L870" s="27">
        <f t="shared" si="104"/>
        <v>0</v>
      </c>
      <c r="M870" s="27">
        <f t="shared" si="104"/>
        <v>0</v>
      </c>
      <c r="N870" s="27">
        <f t="shared" si="104"/>
        <v>0</v>
      </c>
      <c r="O870" s="27">
        <f t="shared" si="104"/>
        <v>0</v>
      </c>
      <c r="P870" s="27">
        <f t="shared" si="104"/>
        <v>0</v>
      </c>
      <c r="Q870" s="27">
        <f t="shared" si="104"/>
        <v>0</v>
      </c>
      <c r="R870" s="27">
        <f t="shared" si="104"/>
        <v>0</v>
      </c>
      <c r="S870" s="27">
        <f t="shared" si="104"/>
        <v>0</v>
      </c>
      <c r="T870" s="27">
        <f t="shared" si="92"/>
        <v>0</v>
      </c>
      <c r="W870" s="60"/>
      <c r="AD870" s="27">
        <f t="shared" si="93"/>
        <v>0</v>
      </c>
      <c r="AE870" s="27">
        <f t="shared" si="98"/>
        <v>0</v>
      </c>
      <c r="AF870" s="27">
        <f t="shared" si="98"/>
        <v>0</v>
      </c>
      <c r="AG870" s="27">
        <f t="shared" si="98"/>
        <v>0</v>
      </c>
      <c r="AH870" s="27">
        <f t="shared" si="98"/>
        <v>0</v>
      </c>
      <c r="AI870" s="27">
        <f t="shared" si="98"/>
        <v>0</v>
      </c>
      <c r="AJ870" s="27">
        <f t="shared" si="98"/>
        <v>0</v>
      </c>
      <c r="AK870" s="27">
        <f t="shared" si="98"/>
        <v>0</v>
      </c>
      <c r="AL870" s="27">
        <f t="shared" si="98"/>
        <v>0</v>
      </c>
      <c r="AM870" s="27">
        <f t="shared" si="98"/>
        <v>0</v>
      </c>
      <c r="AN870" s="27">
        <f t="shared" si="98"/>
        <v>0</v>
      </c>
      <c r="AO870" s="27">
        <f t="shared" si="98"/>
        <v>0</v>
      </c>
      <c r="AP870" s="27">
        <f t="shared" si="98"/>
        <v>0</v>
      </c>
      <c r="AQ870" s="27">
        <f t="shared" si="94"/>
        <v>0</v>
      </c>
      <c r="AS870" s="27">
        <f t="shared" si="95"/>
        <v>0</v>
      </c>
      <c r="AT870" s="27">
        <f t="shared" si="99"/>
        <v>0</v>
      </c>
      <c r="AU870" s="27">
        <f t="shared" si="99"/>
        <v>0</v>
      </c>
      <c r="AV870" s="27">
        <f t="shared" si="99"/>
        <v>0</v>
      </c>
      <c r="AW870" s="27">
        <f t="shared" si="99"/>
        <v>0</v>
      </c>
      <c r="AX870" s="27">
        <f t="shared" si="99"/>
        <v>0</v>
      </c>
      <c r="AY870" s="27">
        <f t="shared" si="99"/>
        <v>0</v>
      </c>
      <c r="AZ870" s="27">
        <f t="shared" si="99"/>
        <v>0</v>
      </c>
      <c r="BA870" s="27">
        <f t="shared" si="99"/>
        <v>0</v>
      </c>
      <c r="BB870" s="27">
        <f t="shared" si="99"/>
        <v>0</v>
      </c>
      <c r="BC870" s="27">
        <f t="shared" si="99"/>
        <v>0</v>
      </c>
      <c r="BD870" s="27">
        <f t="shared" si="99"/>
        <v>0</v>
      </c>
      <c r="BE870" s="27">
        <f t="shared" si="99"/>
        <v>0</v>
      </c>
      <c r="CC870" s="61"/>
    </row>
    <row r="871" spans="3:81" s="27" customFormat="1" ht="11.25" hidden="1" x14ac:dyDescent="0.2">
      <c r="C871" s="60" t="str">
        <f>C265</f>
        <v>Personal FIJO</v>
      </c>
      <c r="W871" s="60"/>
      <c r="AD871" s="27" t="str">
        <f t="shared" si="93"/>
        <v>Personal FIJO</v>
      </c>
      <c r="AS871" s="27" t="str">
        <f t="shared" si="95"/>
        <v>Personal FIJO</v>
      </c>
      <c r="CC871" s="61"/>
    </row>
    <row r="872" spans="3:81" s="27" customFormat="1" ht="11.25" hidden="1" x14ac:dyDescent="0.2">
      <c r="C872" s="60">
        <f>'4'!E12</f>
        <v>0</v>
      </c>
      <c r="D872" s="27">
        <f>'4'!G12</f>
        <v>0</v>
      </c>
      <c r="E872" s="27">
        <f>'4'!V12</f>
        <v>0</v>
      </c>
      <c r="F872" s="27">
        <f>'4'!W12</f>
        <v>0</v>
      </c>
      <c r="G872" s="27">
        <f>'4'!F12</f>
        <v>0</v>
      </c>
      <c r="H872" s="27">
        <f>+($D872+($D872*$E872))*'4'!I12</f>
        <v>0</v>
      </c>
      <c r="I872" s="27">
        <f>+($D872+($D872*$E872))*'4'!J12</f>
        <v>0</v>
      </c>
      <c r="J872" s="27">
        <f>+($D872+($D872*$E872))*'4'!K12</f>
        <v>0</v>
      </c>
      <c r="K872" s="27">
        <f>+($D872+($D872*$E872))*'4'!L12</f>
        <v>0</v>
      </c>
      <c r="L872" s="27">
        <f>+($D872+($D872*$E872))*'4'!M12</f>
        <v>0</v>
      </c>
      <c r="M872" s="27">
        <f>+($D872+($D872*$E872))*'4'!N12</f>
        <v>0</v>
      </c>
      <c r="N872" s="27">
        <f>+($D872+($D872*$E872))*'4'!O12</f>
        <v>0</v>
      </c>
      <c r="O872" s="27">
        <f>+($D872+($D872*$E872))*'4'!P12</f>
        <v>0</v>
      </c>
      <c r="P872" s="27">
        <f>+($D872+($D872*$E872))*'4'!Q12</f>
        <v>0</v>
      </c>
      <c r="Q872" s="27">
        <f>+($D872+($D872*$E872))*'4'!R12</f>
        <v>0</v>
      </c>
      <c r="R872" s="27">
        <f>+($D872+($D872*$E872))*'4'!S12</f>
        <v>0</v>
      </c>
      <c r="S872" s="27">
        <f>+($D872+($D872*$E872))*'4'!T12</f>
        <v>0</v>
      </c>
      <c r="T872" s="27">
        <f t="shared" ref="T872:T902" si="105">SUM(H872:S872)</f>
        <v>0</v>
      </c>
      <c r="W872" s="60"/>
      <c r="AD872" s="27">
        <f t="shared" si="93"/>
        <v>0</v>
      </c>
      <c r="AE872" s="27">
        <f>+'4'!$G12*'4'!I12</f>
        <v>0</v>
      </c>
      <c r="AF872" s="27">
        <f>+'4'!$G12*'4'!J12</f>
        <v>0</v>
      </c>
      <c r="AG872" s="27">
        <f>+'4'!$G12*'4'!K12</f>
        <v>0</v>
      </c>
      <c r="AH872" s="27">
        <f>+'4'!$G12*'4'!L12</f>
        <v>0</v>
      </c>
      <c r="AI872" s="27">
        <f>+'4'!$G12*'4'!M12</f>
        <v>0</v>
      </c>
      <c r="AJ872" s="27">
        <f>+'4'!$G12*'4'!N12</f>
        <v>0</v>
      </c>
      <c r="AK872" s="27">
        <f>+'4'!$G12*'4'!O12</f>
        <v>0</v>
      </c>
      <c r="AL872" s="27">
        <f>+'4'!$G12*'4'!P12</f>
        <v>0</v>
      </c>
      <c r="AM872" s="27">
        <f>+'4'!$G12*'4'!Q12</f>
        <v>0</v>
      </c>
      <c r="AN872" s="27">
        <f>+'4'!$G12*'4'!R12</f>
        <v>0</v>
      </c>
      <c r="AO872" s="27">
        <f>+'4'!$G12*'4'!S12</f>
        <v>0</v>
      </c>
      <c r="AP872" s="27">
        <f>+'4'!$G12*'4'!T12</f>
        <v>0</v>
      </c>
      <c r="AQ872" s="27">
        <f t="shared" ref="AQ872:AQ902" si="106">SUM(AE872:AP872)</f>
        <v>0</v>
      </c>
      <c r="AS872" s="27">
        <f t="shared" si="95"/>
        <v>0</v>
      </c>
      <c r="AT872" s="27">
        <f>+AE872*'4'!$W12</f>
        <v>0</v>
      </c>
      <c r="AU872" s="27">
        <f>+AF872*'4'!$W12</f>
        <v>0</v>
      </c>
      <c r="AV872" s="27">
        <f>+AG872*'4'!$W12</f>
        <v>0</v>
      </c>
      <c r="AW872" s="27">
        <f>+AH872*'4'!$W12</f>
        <v>0</v>
      </c>
      <c r="AX872" s="27">
        <f>+AI872*'4'!$W12</f>
        <v>0</v>
      </c>
      <c r="AY872" s="27">
        <f>+AJ872*'4'!$W12</f>
        <v>0</v>
      </c>
      <c r="AZ872" s="27">
        <f>+AK872*'4'!$W12</f>
        <v>0</v>
      </c>
      <c r="BA872" s="27">
        <f>+AL872*'4'!$W12</f>
        <v>0</v>
      </c>
      <c r="BB872" s="27">
        <f>+AM872*'4'!$W12</f>
        <v>0</v>
      </c>
      <c r="BC872" s="27">
        <f>+AN872*'4'!$W12</f>
        <v>0</v>
      </c>
      <c r="BD872" s="27">
        <f>+AO872*'4'!$W12</f>
        <v>0</v>
      </c>
      <c r="BE872" s="27">
        <f>+AP872*'4'!$W12</f>
        <v>0</v>
      </c>
      <c r="CC872" s="61"/>
    </row>
    <row r="873" spans="3:81" s="27" customFormat="1" ht="11.25" hidden="1" x14ac:dyDescent="0.2">
      <c r="C873" s="60">
        <f>'4'!E13</f>
        <v>0</v>
      </c>
      <c r="D873" s="27">
        <f>'4'!G13</f>
        <v>0</v>
      </c>
      <c r="E873" s="27">
        <f>'4'!V13</f>
        <v>0</v>
      </c>
      <c r="F873" s="27">
        <f>'4'!W13</f>
        <v>0</v>
      </c>
      <c r="G873" s="27">
        <f>'4'!F13</f>
        <v>0</v>
      </c>
      <c r="H873" s="27">
        <f>+($D873+($D873*$E873))*'4'!I13</f>
        <v>0</v>
      </c>
      <c r="I873" s="27">
        <f>+($D873+($D873*$E873))*'4'!J13</f>
        <v>0</v>
      </c>
      <c r="J873" s="27">
        <f>+($D873+($D873*$E873))*'4'!K13</f>
        <v>0</v>
      </c>
      <c r="K873" s="27">
        <f>+($D873+($D873*$E873))*'4'!L13</f>
        <v>0</v>
      </c>
      <c r="L873" s="27">
        <f>+($D873+($D873*$E873))*'4'!M13</f>
        <v>0</v>
      </c>
      <c r="M873" s="27">
        <f>+($D873+($D873*$E873))*'4'!N13</f>
        <v>0</v>
      </c>
      <c r="N873" s="27">
        <f>+($D873+($D873*$E873))*'4'!O13</f>
        <v>0</v>
      </c>
      <c r="O873" s="27">
        <f>+($D873+($D873*$E873))*'4'!P13</f>
        <v>0</v>
      </c>
      <c r="P873" s="27">
        <f>+($D873+($D873*$E873))*'4'!Q13</f>
        <v>0</v>
      </c>
      <c r="Q873" s="27">
        <f>+($D873+($D873*$E873))*'4'!R13</f>
        <v>0</v>
      </c>
      <c r="R873" s="27">
        <f>+($D873+($D873*$E873))*'4'!S13</f>
        <v>0</v>
      </c>
      <c r="S873" s="27">
        <f>+($D873+($D873*$E873))*'4'!T13</f>
        <v>0</v>
      </c>
      <c r="T873" s="27">
        <f t="shared" si="105"/>
        <v>0</v>
      </c>
      <c r="W873" s="60"/>
      <c r="AD873" s="27">
        <f t="shared" si="93"/>
        <v>0</v>
      </c>
      <c r="AE873" s="27">
        <f>+'4'!$G13*'4'!I13</f>
        <v>0</v>
      </c>
      <c r="AF873" s="27">
        <f>+'4'!$G13*'4'!J13</f>
        <v>0</v>
      </c>
      <c r="AG873" s="27">
        <f>+'4'!$G13*'4'!K13</f>
        <v>0</v>
      </c>
      <c r="AH873" s="27">
        <f>+'4'!$G13*'4'!L13</f>
        <v>0</v>
      </c>
      <c r="AI873" s="27">
        <f>+'4'!$G13*'4'!M13</f>
        <v>0</v>
      </c>
      <c r="AJ873" s="27">
        <f>+'4'!$G13*'4'!N13</f>
        <v>0</v>
      </c>
      <c r="AK873" s="27">
        <f>+'4'!$G13*'4'!O13</f>
        <v>0</v>
      </c>
      <c r="AL873" s="27">
        <f>+'4'!$G13*'4'!P13</f>
        <v>0</v>
      </c>
      <c r="AM873" s="27">
        <f>+'4'!$G13*'4'!Q13</f>
        <v>0</v>
      </c>
      <c r="AN873" s="27">
        <f>+'4'!$G13*'4'!R13</f>
        <v>0</v>
      </c>
      <c r="AO873" s="27">
        <f>+'4'!$G13*'4'!S13</f>
        <v>0</v>
      </c>
      <c r="AP873" s="27">
        <f>+'4'!$G13*'4'!T13</f>
        <v>0</v>
      </c>
      <c r="AQ873" s="27">
        <f t="shared" si="106"/>
        <v>0</v>
      </c>
      <c r="AS873" s="27">
        <f t="shared" si="95"/>
        <v>0</v>
      </c>
      <c r="AT873" s="27">
        <f>+AE873*'4'!$W13</f>
        <v>0</v>
      </c>
      <c r="AU873" s="27">
        <f>+AF873*'4'!$W13</f>
        <v>0</v>
      </c>
      <c r="AV873" s="27">
        <f>+AG873*'4'!$W13</f>
        <v>0</v>
      </c>
      <c r="AW873" s="27">
        <f>+AH873*'4'!$W13</f>
        <v>0</v>
      </c>
      <c r="AX873" s="27">
        <f>+AI873*'4'!$W13</f>
        <v>0</v>
      </c>
      <c r="AY873" s="27">
        <f>+AJ873*'4'!$W13</f>
        <v>0</v>
      </c>
      <c r="AZ873" s="27">
        <f>+AK873*'4'!$W13</f>
        <v>0</v>
      </c>
      <c r="BA873" s="27">
        <f>+AL873*'4'!$W13</f>
        <v>0</v>
      </c>
      <c r="BB873" s="27">
        <f>+AM873*'4'!$W13</f>
        <v>0</v>
      </c>
      <c r="BC873" s="27">
        <f>+AN873*'4'!$W13</f>
        <v>0</v>
      </c>
      <c r="BD873" s="27">
        <f>+AO873*'4'!$W13</f>
        <v>0</v>
      </c>
      <c r="BE873" s="27">
        <f>+AP873*'4'!$W13</f>
        <v>0</v>
      </c>
      <c r="CC873" s="61"/>
    </row>
    <row r="874" spans="3:81" s="27" customFormat="1" ht="11.25" hidden="1" x14ac:dyDescent="0.2">
      <c r="C874" s="60">
        <f>'4'!E14</f>
        <v>0</v>
      </c>
      <c r="D874" s="27">
        <f>'4'!G14</f>
        <v>0</v>
      </c>
      <c r="E874" s="27">
        <f>'4'!V14</f>
        <v>0</v>
      </c>
      <c r="F874" s="27">
        <f>'4'!W14</f>
        <v>0</v>
      </c>
      <c r="G874" s="27">
        <f>'4'!F14</f>
        <v>0</v>
      </c>
      <c r="H874" s="27">
        <f>+($D874+($D874*$E874))*'4'!I14</f>
        <v>0</v>
      </c>
      <c r="I874" s="27">
        <f>+($D874+($D874*$E874))*'4'!J14</f>
        <v>0</v>
      </c>
      <c r="J874" s="27">
        <f>+($D874+($D874*$E874))*'4'!K14</f>
        <v>0</v>
      </c>
      <c r="K874" s="27">
        <f>+($D874+($D874*$E874))*'4'!L14</f>
        <v>0</v>
      </c>
      <c r="L874" s="27">
        <f>+($D874+($D874*$E874))*'4'!M14</f>
        <v>0</v>
      </c>
      <c r="M874" s="27">
        <f>+($D874+($D874*$E874))*'4'!N14</f>
        <v>0</v>
      </c>
      <c r="N874" s="27">
        <f>+($D874+($D874*$E874))*'4'!O14</f>
        <v>0</v>
      </c>
      <c r="O874" s="27">
        <f>+($D874+($D874*$E874))*'4'!P14</f>
        <v>0</v>
      </c>
      <c r="P874" s="27">
        <f>+($D874+($D874*$E874))*'4'!Q14</f>
        <v>0</v>
      </c>
      <c r="Q874" s="27">
        <f>+($D874+($D874*$E874))*'4'!R14</f>
        <v>0</v>
      </c>
      <c r="R874" s="27">
        <f>+($D874+($D874*$E874))*'4'!S14</f>
        <v>0</v>
      </c>
      <c r="S874" s="27">
        <f>+($D874+($D874*$E874))*'4'!T14</f>
        <v>0</v>
      </c>
      <c r="T874" s="27">
        <f t="shared" si="105"/>
        <v>0</v>
      </c>
      <c r="W874" s="60"/>
      <c r="AD874" s="27">
        <f t="shared" si="93"/>
        <v>0</v>
      </c>
      <c r="AE874" s="27">
        <f>+'4'!$G14*'4'!I14</f>
        <v>0</v>
      </c>
      <c r="AF874" s="27">
        <f>+'4'!$G14*'4'!J14</f>
        <v>0</v>
      </c>
      <c r="AG874" s="27">
        <f>+'4'!$G14*'4'!K14</f>
        <v>0</v>
      </c>
      <c r="AH874" s="27">
        <f>+'4'!$G14*'4'!L14</f>
        <v>0</v>
      </c>
      <c r="AI874" s="27">
        <f>+'4'!$G14*'4'!M14</f>
        <v>0</v>
      </c>
      <c r="AJ874" s="27">
        <f>+'4'!$G14*'4'!N14</f>
        <v>0</v>
      </c>
      <c r="AK874" s="27">
        <f>+'4'!$G14*'4'!O14</f>
        <v>0</v>
      </c>
      <c r="AL874" s="27">
        <f>+'4'!$G14*'4'!P14</f>
        <v>0</v>
      </c>
      <c r="AM874" s="27">
        <f>+'4'!$G14*'4'!Q14</f>
        <v>0</v>
      </c>
      <c r="AN874" s="27">
        <f>+'4'!$G14*'4'!R14</f>
        <v>0</v>
      </c>
      <c r="AO874" s="27">
        <f>+'4'!$G14*'4'!S14</f>
        <v>0</v>
      </c>
      <c r="AP874" s="27">
        <f>+'4'!$G14*'4'!T14</f>
        <v>0</v>
      </c>
      <c r="AQ874" s="27">
        <f t="shared" si="106"/>
        <v>0</v>
      </c>
      <c r="AS874" s="27">
        <f t="shared" si="95"/>
        <v>0</v>
      </c>
      <c r="AT874" s="27">
        <f>+AE874*'4'!$W14</f>
        <v>0</v>
      </c>
      <c r="AU874" s="27">
        <f>+AF874*'4'!$W14</f>
        <v>0</v>
      </c>
      <c r="AV874" s="27">
        <f>+AG874*'4'!$W14</f>
        <v>0</v>
      </c>
      <c r="AW874" s="27">
        <f>+AH874*'4'!$W14</f>
        <v>0</v>
      </c>
      <c r="AX874" s="27">
        <f>+AI874*'4'!$W14</f>
        <v>0</v>
      </c>
      <c r="AY874" s="27">
        <f>+AJ874*'4'!$W14</f>
        <v>0</v>
      </c>
      <c r="AZ874" s="27">
        <f>+AK874*'4'!$W14</f>
        <v>0</v>
      </c>
      <c r="BA874" s="27">
        <f>+AL874*'4'!$W14</f>
        <v>0</v>
      </c>
      <c r="BB874" s="27">
        <f>+AM874*'4'!$W14</f>
        <v>0</v>
      </c>
      <c r="BC874" s="27">
        <f>+AN874*'4'!$W14</f>
        <v>0</v>
      </c>
      <c r="BD874" s="27">
        <f>+AO874*'4'!$W14</f>
        <v>0</v>
      </c>
      <c r="BE874" s="27">
        <f>+AP874*'4'!$W14</f>
        <v>0</v>
      </c>
      <c r="CC874" s="61"/>
    </row>
    <row r="875" spans="3:81" s="27" customFormat="1" ht="11.25" hidden="1" x14ac:dyDescent="0.2">
      <c r="C875" s="60">
        <f>'4'!E15</f>
        <v>0</v>
      </c>
      <c r="D875" s="27">
        <f>'4'!G15</f>
        <v>0</v>
      </c>
      <c r="E875" s="27">
        <f>'4'!V15</f>
        <v>0</v>
      </c>
      <c r="F875" s="27">
        <f>'4'!W15</f>
        <v>0</v>
      </c>
      <c r="G875" s="27">
        <f>'4'!F15</f>
        <v>0</v>
      </c>
      <c r="H875" s="27">
        <f>+($D875+($D875*$E875))*'4'!I15</f>
        <v>0</v>
      </c>
      <c r="I875" s="27">
        <f>+($D875+($D875*$E875))*'4'!J15</f>
        <v>0</v>
      </c>
      <c r="J875" s="27">
        <f>+($D875+($D875*$E875))*'4'!K15</f>
        <v>0</v>
      </c>
      <c r="K875" s="27">
        <f>+($D875+($D875*$E875))*'4'!L15</f>
        <v>0</v>
      </c>
      <c r="L875" s="27">
        <f>+($D875+($D875*$E875))*'4'!M15</f>
        <v>0</v>
      </c>
      <c r="M875" s="27">
        <f>+($D875+($D875*$E875))*'4'!N15</f>
        <v>0</v>
      </c>
      <c r="N875" s="27">
        <f>+($D875+($D875*$E875))*'4'!O15</f>
        <v>0</v>
      </c>
      <c r="O875" s="27">
        <f>+($D875+($D875*$E875))*'4'!P15</f>
        <v>0</v>
      </c>
      <c r="P875" s="27">
        <f>+($D875+($D875*$E875))*'4'!Q15</f>
        <v>0</v>
      </c>
      <c r="Q875" s="27">
        <f>+($D875+($D875*$E875))*'4'!R15</f>
        <v>0</v>
      </c>
      <c r="R875" s="27">
        <f>+($D875+($D875*$E875))*'4'!S15</f>
        <v>0</v>
      </c>
      <c r="S875" s="27">
        <f>+($D875+($D875*$E875))*'4'!T15</f>
        <v>0</v>
      </c>
      <c r="T875" s="27">
        <f t="shared" si="105"/>
        <v>0</v>
      </c>
      <c r="W875" s="60"/>
      <c r="AD875" s="27">
        <f t="shared" si="93"/>
        <v>0</v>
      </c>
      <c r="AE875" s="27">
        <f>+'4'!$G15*'4'!I15</f>
        <v>0</v>
      </c>
      <c r="AF875" s="27">
        <f>+'4'!$G15*'4'!J15</f>
        <v>0</v>
      </c>
      <c r="AG875" s="27">
        <f>+'4'!$G15*'4'!K15</f>
        <v>0</v>
      </c>
      <c r="AH875" s="27">
        <f>+'4'!$G15*'4'!L15</f>
        <v>0</v>
      </c>
      <c r="AI875" s="27">
        <f>+'4'!$G15*'4'!M15</f>
        <v>0</v>
      </c>
      <c r="AJ875" s="27">
        <f>+'4'!$G15*'4'!N15</f>
        <v>0</v>
      </c>
      <c r="AK875" s="27">
        <f>+'4'!$G15*'4'!O15</f>
        <v>0</v>
      </c>
      <c r="AL875" s="27">
        <f>+'4'!$G15*'4'!P15</f>
        <v>0</v>
      </c>
      <c r="AM875" s="27">
        <f>+'4'!$G15*'4'!Q15</f>
        <v>0</v>
      </c>
      <c r="AN875" s="27">
        <f>+'4'!$G15*'4'!R15</f>
        <v>0</v>
      </c>
      <c r="AO875" s="27">
        <f>+'4'!$G15*'4'!S15</f>
        <v>0</v>
      </c>
      <c r="AP875" s="27">
        <f>+'4'!$G15*'4'!T15</f>
        <v>0</v>
      </c>
      <c r="AQ875" s="27">
        <f t="shared" si="106"/>
        <v>0</v>
      </c>
      <c r="AS875" s="27">
        <f t="shared" si="95"/>
        <v>0</v>
      </c>
      <c r="AT875" s="27">
        <f>+AE875*'4'!$W15</f>
        <v>0</v>
      </c>
      <c r="AU875" s="27">
        <f>+AF875*'4'!$W15</f>
        <v>0</v>
      </c>
      <c r="AV875" s="27">
        <f>+AG875*'4'!$W15</f>
        <v>0</v>
      </c>
      <c r="AW875" s="27">
        <f>+AH875*'4'!$W15</f>
        <v>0</v>
      </c>
      <c r="AX875" s="27">
        <f>+AI875*'4'!$W15</f>
        <v>0</v>
      </c>
      <c r="AY875" s="27">
        <f>+AJ875*'4'!$W15</f>
        <v>0</v>
      </c>
      <c r="AZ875" s="27">
        <f>+AK875*'4'!$W15</f>
        <v>0</v>
      </c>
      <c r="BA875" s="27">
        <f>+AL875*'4'!$W15</f>
        <v>0</v>
      </c>
      <c r="BB875" s="27">
        <f>+AM875*'4'!$W15</f>
        <v>0</v>
      </c>
      <c r="BC875" s="27">
        <f>+AN875*'4'!$W15</f>
        <v>0</v>
      </c>
      <c r="BD875" s="27">
        <f>+AO875*'4'!$W15</f>
        <v>0</v>
      </c>
      <c r="BE875" s="27">
        <f>+AP875*'4'!$W15</f>
        <v>0</v>
      </c>
      <c r="CC875" s="61"/>
    </row>
    <row r="876" spans="3:81" s="27" customFormat="1" ht="11.25" hidden="1" x14ac:dyDescent="0.2">
      <c r="C876" s="60">
        <f>'4'!E16</f>
        <v>0</v>
      </c>
      <c r="D876" s="27">
        <f>'4'!G16</f>
        <v>0</v>
      </c>
      <c r="E876" s="27">
        <f>'4'!V16</f>
        <v>0</v>
      </c>
      <c r="F876" s="27">
        <f>'4'!W16</f>
        <v>0</v>
      </c>
      <c r="G876" s="27">
        <f>'4'!F16</f>
        <v>0</v>
      </c>
      <c r="H876" s="27">
        <f>+($D876+($D876*$E876))*'4'!I16</f>
        <v>0</v>
      </c>
      <c r="I876" s="27">
        <f>+($D876+($D876*$E876))*'4'!J16</f>
        <v>0</v>
      </c>
      <c r="J876" s="27">
        <f>+($D876+($D876*$E876))*'4'!K16</f>
        <v>0</v>
      </c>
      <c r="K876" s="27">
        <f>+($D876+($D876*$E876))*'4'!L16</f>
        <v>0</v>
      </c>
      <c r="L876" s="27">
        <f>+($D876+($D876*$E876))*'4'!M16</f>
        <v>0</v>
      </c>
      <c r="M876" s="27">
        <f>+($D876+($D876*$E876))*'4'!N16</f>
        <v>0</v>
      </c>
      <c r="N876" s="27">
        <f>+($D876+($D876*$E876))*'4'!O16</f>
        <v>0</v>
      </c>
      <c r="O876" s="27">
        <f>+($D876+($D876*$E876))*'4'!P16</f>
        <v>0</v>
      </c>
      <c r="P876" s="27">
        <f>+($D876+($D876*$E876))*'4'!Q16</f>
        <v>0</v>
      </c>
      <c r="Q876" s="27">
        <f>+($D876+($D876*$E876))*'4'!R16</f>
        <v>0</v>
      </c>
      <c r="R876" s="27">
        <f>+($D876+($D876*$E876))*'4'!S16</f>
        <v>0</v>
      </c>
      <c r="S876" s="27">
        <f>+($D876+($D876*$E876))*'4'!T16</f>
        <v>0</v>
      </c>
      <c r="T876" s="27">
        <f t="shared" si="105"/>
        <v>0</v>
      </c>
      <c r="W876" s="60"/>
      <c r="AD876" s="27">
        <f t="shared" si="93"/>
        <v>0</v>
      </c>
      <c r="AE876" s="27">
        <f>+'4'!$G16*'4'!I16</f>
        <v>0</v>
      </c>
      <c r="AF876" s="27">
        <f>+'4'!$G16*'4'!J16</f>
        <v>0</v>
      </c>
      <c r="AG876" s="27">
        <f>+'4'!$G16*'4'!K16</f>
        <v>0</v>
      </c>
      <c r="AH876" s="27">
        <f>+'4'!$G16*'4'!L16</f>
        <v>0</v>
      </c>
      <c r="AI876" s="27">
        <f>+'4'!$G16*'4'!M16</f>
        <v>0</v>
      </c>
      <c r="AJ876" s="27">
        <f>+'4'!$G16*'4'!N16</f>
        <v>0</v>
      </c>
      <c r="AK876" s="27">
        <f>+'4'!$G16*'4'!O16</f>
        <v>0</v>
      </c>
      <c r="AL876" s="27">
        <f>+'4'!$G16*'4'!P16</f>
        <v>0</v>
      </c>
      <c r="AM876" s="27">
        <f>+'4'!$G16*'4'!Q16</f>
        <v>0</v>
      </c>
      <c r="AN876" s="27">
        <f>+'4'!$G16*'4'!R16</f>
        <v>0</v>
      </c>
      <c r="AO876" s="27">
        <f>+'4'!$G16*'4'!S16</f>
        <v>0</v>
      </c>
      <c r="AP876" s="27">
        <f>+'4'!$G16*'4'!T16</f>
        <v>0</v>
      </c>
      <c r="AQ876" s="27">
        <f t="shared" si="106"/>
        <v>0</v>
      </c>
      <c r="AS876" s="27">
        <f t="shared" si="95"/>
        <v>0</v>
      </c>
      <c r="AT876" s="27">
        <f>+AE876*'4'!$W16</f>
        <v>0</v>
      </c>
      <c r="AU876" s="27">
        <f>+AF876*'4'!$W16</f>
        <v>0</v>
      </c>
      <c r="AV876" s="27">
        <f>+AG876*'4'!$W16</f>
        <v>0</v>
      </c>
      <c r="AW876" s="27">
        <f>+AH876*'4'!$W16</f>
        <v>0</v>
      </c>
      <c r="AX876" s="27">
        <f>+AI876*'4'!$W16</f>
        <v>0</v>
      </c>
      <c r="AY876" s="27">
        <f>+AJ876*'4'!$W16</f>
        <v>0</v>
      </c>
      <c r="AZ876" s="27">
        <f>+AK876*'4'!$W16</f>
        <v>0</v>
      </c>
      <c r="BA876" s="27">
        <f>+AL876*'4'!$W16</f>
        <v>0</v>
      </c>
      <c r="BB876" s="27">
        <f>+AM876*'4'!$W16</f>
        <v>0</v>
      </c>
      <c r="BC876" s="27">
        <f>+AN876*'4'!$W16</f>
        <v>0</v>
      </c>
      <c r="BD876" s="27">
        <f>+AO876*'4'!$W16</f>
        <v>0</v>
      </c>
      <c r="BE876" s="27">
        <f>+AP876*'4'!$W16</f>
        <v>0</v>
      </c>
      <c r="CC876" s="61"/>
    </row>
    <row r="877" spans="3:81" s="27" customFormat="1" ht="11.25" hidden="1" x14ac:dyDescent="0.2">
      <c r="C877" s="60">
        <f>'4'!E17</f>
        <v>0</v>
      </c>
      <c r="D877" s="27">
        <f>'4'!G17</f>
        <v>0</v>
      </c>
      <c r="E877" s="27">
        <f>'4'!V17</f>
        <v>0</v>
      </c>
      <c r="F877" s="27">
        <f>'4'!W17</f>
        <v>0</v>
      </c>
      <c r="G877" s="27">
        <f>'4'!F17</f>
        <v>0</v>
      </c>
      <c r="H877" s="27">
        <f>+($D877+($D877*$E877))*'4'!I17</f>
        <v>0</v>
      </c>
      <c r="I877" s="27">
        <f>+($D877+($D877*$E877))*'4'!J17</f>
        <v>0</v>
      </c>
      <c r="J877" s="27">
        <f>+($D877+($D877*$E877))*'4'!K17</f>
        <v>0</v>
      </c>
      <c r="K877" s="27">
        <f>+($D877+($D877*$E877))*'4'!L17</f>
        <v>0</v>
      </c>
      <c r="L877" s="27">
        <f>+($D877+($D877*$E877))*'4'!M17</f>
        <v>0</v>
      </c>
      <c r="M877" s="27">
        <f>+($D877+($D877*$E877))*'4'!N17</f>
        <v>0</v>
      </c>
      <c r="N877" s="27">
        <f>+($D877+($D877*$E877))*'4'!O17</f>
        <v>0</v>
      </c>
      <c r="O877" s="27">
        <f>+($D877+($D877*$E877))*'4'!P17</f>
        <v>0</v>
      </c>
      <c r="P877" s="27">
        <f>+($D877+($D877*$E877))*'4'!Q17</f>
        <v>0</v>
      </c>
      <c r="Q877" s="27">
        <f>+($D877+($D877*$E877))*'4'!R17</f>
        <v>0</v>
      </c>
      <c r="R877" s="27">
        <f>+($D877+($D877*$E877))*'4'!S17</f>
        <v>0</v>
      </c>
      <c r="S877" s="27">
        <f>+($D877+($D877*$E877))*'4'!T17</f>
        <v>0</v>
      </c>
      <c r="T877" s="27">
        <f t="shared" si="105"/>
        <v>0</v>
      </c>
      <c r="W877" s="60"/>
      <c r="AD877" s="27">
        <f t="shared" si="93"/>
        <v>0</v>
      </c>
      <c r="AE877" s="27">
        <f>+'4'!$G17*'4'!I17</f>
        <v>0</v>
      </c>
      <c r="AF877" s="27">
        <f>+'4'!$G17*'4'!J17</f>
        <v>0</v>
      </c>
      <c r="AG877" s="27">
        <f>+'4'!$G17*'4'!K17</f>
        <v>0</v>
      </c>
      <c r="AH877" s="27">
        <f>+'4'!$G17*'4'!L17</f>
        <v>0</v>
      </c>
      <c r="AI877" s="27">
        <f>+'4'!$G17*'4'!M17</f>
        <v>0</v>
      </c>
      <c r="AJ877" s="27">
        <f>+'4'!$G17*'4'!N17</f>
        <v>0</v>
      </c>
      <c r="AK877" s="27">
        <f>+'4'!$G17*'4'!O17</f>
        <v>0</v>
      </c>
      <c r="AL877" s="27">
        <f>+'4'!$G17*'4'!P17</f>
        <v>0</v>
      </c>
      <c r="AM877" s="27">
        <f>+'4'!$G17*'4'!Q17</f>
        <v>0</v>
      </c>
      <c r="AN877" s="27">
        <f>+'4'!$G17*'4'!R17</f>
        <v>0</v>
      </c>
      <c r="AO877" s="27">
        <f>+'4'!$G17*'4'!S17</f>
        <v>0</v>
      </c>
      <c r="AP877" s="27">
        <f>+'4'!$G17*'4'!T17</f>
        <v>0</v>
      </c>
      <c r="AQ877" s="27">
        <f t="shared" si="106"/>
        <v>0</v>
      </c>
      <c r="AS877" s="27">
        <f t="shared" si="95"/>
        <v>0</v>
      </c>
      <c r="AT877" s="27">
        <f>+AE877*'4'!$W17</f>
        <v>0</v>
      </c>
      <c r="AU877" s="27">
        <f>+AF877*'4'!$W17</f>
        <v>0</v>
      </c>
      <c r="AV877" s="27">
        <f>+AG877*'4'!$W17</f>
        <v>0</v>
      </c>
      <c r="AW877" s="27">
        <f>+AH877*'4'!$W17</f>
        <v>0</v>
      </c>
      <c r="AX877" s="27">
        <f>+AI877*'4'!$W17</f>
        <v>0</v>
      </c>
      <c r="AY877" s="27">
        <f>+AJ877*'4'!$W17</f>
        <v>0</v>
      </c>
      <c r="AZ877" s="27">
        <f>+AK877*'4'!$W17</f>
        <v>0</v>
      </c>
      <c r="BA877" s="27">
        <f>+AL877*'4'!$W17</f>
        <v>0</v>
      </c>
      <c r="BB877" s="27">
        <f>+AM877*'4'!$W17</f>
        <v>0</v>
      </c>
      <c r="BC877" s="27">
        <f>+AN877*'4'!$W17</f>
        <v>0</v>
      </c>
      <c r="BD877" s="27">
        <f>+AO877*'4'!$W17</f>
        <v>0</v>
      </c>
      <c r="BE877" s="27">
        <f>+AP877*'4'!$W17</f>
        <v>0</v>
      </c>
      <c r="CC877" s="61"/>
    </row>
    <row r="878" spans="3:81" s="27" customFormat="1" ht="11.25" hidden="1" x14ac:dyDescent="0.2">
      <c r="C878" s="60">
        <f>'4'!E18</f>
        <v>0</v>
      </c>
      <c r="D878" s="27">
        <f>'4'!G18</f>
        <v>0</v>
      </c>
      <c r="E878" s="27">
        <f>'4'!V18</f>
        <v>0</v>
      </c>
      <c r="F878" s="27">
        <f>'4'!W18</f>
        <v>0</v>
      </c>
      <c r="G878" s="27">
        <f>'4'!F18</f>
        <v>0</v>
      </c>
      <c r="H878" s="27">
        <f>+($D878+($D878*$E878))*'4'!I18</f>
        <v>0</v>
      </c>
      <c r="I878" s="27">
        <f>+($D878+($D878*$E878))*'4'!J18</f>
        <v>0</v>
      </c>
      <c r="J878" s="27">
        <f>+($D878+($D878*$E878))*'4'!K18</f>
        <v>0</v>
      </c>
      <c r="K878" s="27">
        <f>+($D878+($D878*$E878))*'4'!L18</f>
        <v>0</v>
      </c>
      <c r="L878" s="27">
        <f>+($D878+($D878*$E878))*'4'!M18</f>
        <v>0</v>
      </c>
      <c r="M878" s="27">
        <f>+($D878+($D878*$E878))*'4'!N18</f>
        <v>0</v>
      </c>
      <c r="N878" s="27">
        <f>+($D878+($D878*$E878))*'4'!O18</f>
        <v>0</v>
      </c>
      <c r="O878" s="27">
        <f>+($D878+($D878*$E878))*'4'!P18</f>
        <v>0</v>
      </c>
      <c r="P878" s="27">
        <f>+($D878+($D878*$E878))*'4'!Q18</f>
        <v>0</v>
      </c>
      <c r="Q878" s="27">
        <f>+($D878+($D878*$E878))*'4'!R18</f>
        <v>0</v>
      </c>
      <c r="R878" s="27">
        <f>+($D878+($D878*$E878))*'4'!S18</f>
        <v>0</v>
      </c>
      <c r="S878" s="27">
        <f>+($D878+($D878*$E878))*'4'!T18</f>
        <v>0</v>
      </c>
      <c r="T878" s="27">
        <f t="shared" si="105"/>
        <v>0</v>
      </c>
      <c r="W878" s="60"/>
      <c r="AD878" s="27">
        <f t="shared" si="93"/>
        <v>0</v>
      </c>
      <c r="AE878" s="27">
        <f>+'4'!$G18*'4'!I18</f>
        <v>0</v>
      </c>
      <c r="AF878" s="27">
        <f>+'4'!$G18*'4'!J18</f>
        <v>0</v>
      </c>
      <c r="AG878" s="27">
        <f>+'4'!$G18*'4'!K18</f>
        <v>0</v>
      </c>
      <c r="AH878" s="27">
        <f>+'4'!$G18*'4'!L18</f>
        <v>0</v>
      </c>
      <c r="AI878" s="27">
        <f>+'4'!$G18*'4'!M18</f>
        <v>0</v>
      </c>
      <c r="AJ878" s="27">
        <f>+'4'!$G18*'4'!N18</f>
        <v>0</v>
      </c>
      <c r="AK878" s="27">
        <f>+'4'!$G18*'4'!O18</f>
        <v>0</v>
      </c>
      <c r="AL878" s="27">
        <f>+'4'!$G18*'4'!P18</f>
        <v>0</v>
      </c>
      <c r="AM878" s="27">
        <f>+'4'!$G18*'4'!Q18</f>
        <v>0</v>
      </c>
      <c r="AN878" s="27">
        <f>+'4'!$G18*'4'!R18</f>
        <v>0</v>
      </c>
      <c r="AO878" s="27">
        <f>+'4'!$G18*'4'!S18</f>
        <v>0</v>
      </c>
      <c r="AP878" s="27">
        <f>+'4'!$G18*'4'!T18</f>
        <v>0</v>
      </c>
      <c r="AQ878" s="27">
        <f t="shared" si="106"/>
        <v>0</v>
      </c>
      <c r="AS878" s="27">
        <f t="shared" si="95"/>
        <v>0</v>
      </c>
      <c r="AT878" s="27">
        <f>+AE878*'4'!$W18</f>
        <v>0</v>
      </c>
      <c r="AU878" s="27">
        <f>+AF878*'4'!$W18</f>
        <v>0</v>
      </c>
      <c r="AV878" s="27">
        <f>+AG878*'4'!$W18</f>
        <v>0</v>
      </c>
      <c r="AW878" s="27">
        <f>+AH878*'4'!$W18</f>
        <v>0</v>
      </c>
      <c r="AX878" s="27">
        <f>+AI878*'4'!$W18</f>
        <v>0</v>
      </c>
      <c r="AY878" s="27">
        <f>+AJ878*'4'!$W18</f>
        <v>0</v>
      </c>
      <c r="AZ878" s="27">
        <f>+AK878*'4'!$W18</f>
        <v>0</v>
      </c>
      <c r="BA878" s="27">
        <f>+AL878*'4'!$W18</f>
        <v>0</v>
      </c>
      <c r="BB878" s="27">
        <f>+AM878*'4'!$W18</f>
        <v>0</v>
      </c>
      <c r="BC878" s="27">
        <f>+AN878*'4'!$W18</f>
        <v>0</v>
      </c>
      <c r="BD878" s="27">
        <f>+AO878*'4'!$W18</f>
        <v>0</v>
      </c>
      <c r="BE878" s="27">
        <f>+AP878*'4'!$W18</f>
        <v>0</v>
      </c>
      <c r="CC878" s="61"/>
    </row>
    <row r="879" spans="3:81" s="27" customFormat="1" ht="11.25" hidden="1" x14ac:dyDescent="0.2">
      <c r="C879" s="60">
        <f>'4'!E19</f>
        <v>0</v>
      </c>
      <c r="D879" s="27">
        <f>'4'!G19</f>
        <v>0</v>
      </c>
      <c r="E879" s="27">
        <f>'4'!V19</f>
        <v>0</v>
      </c>
      <c r="F879" s="27">
        <f>'4'!W19</f>
        <v>0</v>
      </c>
      <c r="G879" s="27">
        <f>'4'!F19</f>
        <v>0</v>
      </c>
      <c r="H879" s="27">
        <f>+($D879+($D879*$E879))*'4'!I19</f>
        <v>0</v>
      </c>
      <c r="I879" s="27">
        <f>+($D879+($D879*$E879))*'4'!J19</f>
        <v>0</v>
      </c>
      <c r="J879" s="27">
        <f>+($D879+($D879*$E879))*'4'!K19</f>
        <v>0</v>
      </c>
      <c r="K879" s="27">
        <f>+($D879+($D879*$E879))*'4'!L19</f>
        <v>0</v>
      </c>
      <c r="L879" s="27">
        <f>+($D879+($D879*$E879))*'4'!M19</f>
        <v>0</v>
      </c>
      <c r="M879" s="27">
        <f>+($D879+($D879*$E879))*'4'!N19</f>
        <v>0</v>
      </c>
      <c r="N879" s="27">
        <f>+($D879+($D879*$E879))*'4'!O19</f>
        <v>0</v>
      </c>
      <c r="O879" s="27">
        <f>+($D879+($D879*$E879))*'4'!P19</f>
        <v>0</v>
      </c>
      <c r="P879" s="27">
        <f>+($D879+($D879*$E879))*'4'!Q19</f>
        <v>0</v>
      </c>
      <c r="Q879" s="27">
        <f>+($D879+($D879*$E879))*'4'!R19</f>
        <v>0</v>
      </c>
      <c r="R879" s="27">
        <f>+($D879+($D879*$E879))*'4'!S19</f>
        <v>0</v>
      </c>
      <c r="S879" s="27">
        <f>+($D879+($D879*$E879))*'4'!T19</f>
        <v>0</v>
      </c>
      <c r="T879" s="27">
        <f t="shared" si="105"/>
        <v>0</v>
      </c>
      <c r="W879" s="60"/>
      <c r="AD879" s="27">
        <f t="shared" si="93"/>
        <v>0</v>
      </c>
      <c r="AE879" s="27">
        <f>+'4'!$G19*'4'!I19</f>
        <v>0</v>
      </c>
      <c r="AF879" s="27">
        <f>+'4'!$G19*'4'!J19</f>
        <v>0</v>
      </c>
      <c r="AG879" s="27">
        <f>+'4'!$G19*'4'!K19</f>
        <v>0</v>
      </c>
      <c r="AH879" s="27">
        <f>+'4'!$G19*'4'!L19</f>
        <v>0</v>
      </c>
      <c r="AI879" s="27">
        <f>+'4'!$G19*'4'!M19</f>
        <v>0</v>
      </c>
      <c r="AJ879" s="27">
        <f>+'4'!$G19*'4'!N19</f>
        <v>0</v>
      </c>
      <c r="AK879" s="27">
        <f>+'4'!$G19*'4'!O19</f>
        <v>0</v>
      </c>
      <c r="AL879" s="27">
        <f>+'4'!$G19*'4'!P19</f>
        <v>0</v>
      </c>
      <c r="AM879" s="27">
        <f>+'4'!$G19*'4'!Q19</f>
        <v>0</v>
      </c>
      <c r="AN879" s="27">
        <f>+'4'!$G19*'4'!R19</f>
        <v>0</v>
      </c>
      <c r="AO879" s="27">
        <f>+'4'!$G19*'4'!S19</f>
        <v>0</v>
      </c>
      <c r="AP879" s="27">
        <f>+'4'!$G19*'4'!T19</f>
        <v>0</v>
      </c>
      <c r="AQ879" s="27">
        <f t="shared" si="106"/>
        <v>0</v>
      </c>
      <c r="AS879" s="27">
        <f t="shared" si="95"/>
        <v>0</v>
      </c>
      <c r="AT879" s="27">
        <f>+AE879*'4'!$W19</f>
        <v>0</v>
      </c>
      <c r="AU879" s="27">
        <f>+AF879*'4'!$W19</f>
        <v>0</v>
      </c>
      <c r="AV879" s="27">
        <f>+AG879*'4'!$W19</f>
        <v>0</v>
      </c>
      <c r="AW879" s="27">
        <f>+AH879*'4'!$W19</f>
        <v>0</v>
      </c>
      <c r="AX879" s="27">
        <f>+AI879*'4'!$W19</f>
        <v>0</v>
      </c>
      <c r="AY879" s="27">
        <f>+AJ879*'4'!$W19</f>
        <v>0</v>
      </c>
      <c r="AZ879" s="27">
        <f>+AK879*'4'!$W19</f>
        <v>0</v>
      </c>
      <c r="BA879" s="27">
        <f>+AL879*'4'!$W19</f>
        <v>0</v>
      </c>
      <c r="BB879" s="27">
        <f>+AM879*'4'!$W19</f>
        <v>0</v>
      </c>
      <c r="BC879" s="27">
        <f>+AN879*'4'!$W19</f>
        <v>0</v>
      </c>
      <c r="BD879" s="27">
        <f>+AO879*'4'!$W19</f>
        <v>0</v>
      </c>
      <c r="BE879" s="27">
        <f>+AP879*'4'!$W19</f>
        <v>0</v>
      </c>
      <c r="CC879" s="61"/>
    </row>
    <row r="880" spans="3:81" s="27" customFormat="1" ht="11.25" hidden="1" x14ac:dyDescent="0.2">
      <c r="C880" s="60">
        <f>'4'!E20</f>
        <v>0</v>
      </c>
      <c r="D880" s="27">
        <f>'4'!G20</f>
        <v>0</v>
      </c>
      <c r="E880" s="27">
        <f>'4'!V20</f>
        <v>0</v>
      </c>
      <c r="F880" s="27">
        <f>'4'!W20</f>
        <v>0</v>
      </c>
      <c r="G880" s="27">
        <f>'4'!F20</f>
        <v>0</v>
      </c>
      <c r="H880" s="27">
        <f>+($D880+($D880*$E880))*'4'!I20</f>
        <v>0</v>
      </c>
      <c r="I880" s="27">
        <f>+($D880+($D880*$E880))*'4'!J20</f>
        <v>0</v>
      </c>
      <c r="J880" s="27">
        <f>+($D880+($D880*$E880))*'4'!K20</f>
        <v>0</v>
      </c>
      <c r="K880" s="27">
        <f>+($D880+($D880*$E880))*'4'!L20</f>
        <v>0</v>
      </c>
      <c r="L880" s="27">
        <f>+($D880+($D880*$E880))*'4'!M20</f>
        <v>0</v>
      </c>
      <c r="M880" s="27">
        <f>+($D880+($D880*$E880))*'4'!N20</f>
        <v>0</v>
      </c>
      <c r="N880" s="27">
        <f>+($D880+($D880*$E880))*'4'!O20</f>
        <v>0</v>
      </c>
      <c r="O880" s="27">
        <f>+($D880+($D880*$E880))*'4'!P20</f>
        <v>0</v>
      </c>
      <c r="P880" s="27">
        <f>+($D880+($D880*$E880))*'4'!Q20</f>
        <v>0</v>
      </c>
      <c r="Q880" s="27">
        <f>+($D880+($D880*$E880))*'4'!R20</f>
        <v>0</v>
      </c>
      <c r="R880" s="27">
        <f>+($D880+($D880*$E880))*'4'!S20</f>
        <v>0</v>
      </c>
      <c r="S880" s="27">
        <f>+($D880+($D880*$E880))*'4'!T20</f>
        <v>0</v>
      </c>
      <c r="T880" s="27">
        <f t="shared" si="105"/>
        <v>0</v>
      </c>
      <c r="W880" s="60"/>
      <c r="AD880" s="27">
        <f t="shared" si="93"/>
        <v>0</v>
      </c>
      <c r="AE880" s="27">
        <f>+'4'!$G20*'4'!I20</f>
        <v>0</v>
      </c>
      <c r="AF880" s="27">
        <f>+'4'!$G20*'4'!J20</f>
        <v>0</v>
      </c>
      <c r="AG880" s="27">
        <f>+'4'!$G20*'4'!K20</f>
        <v>0</v>
      </c>
      <c r="AH880" s="27">
        <f>+'4'!$G20*'4'!L20</f>
        <v>0</v>
      </c>
      <c r="AI880" s="27">
        <f>+'4'!$G20*'4'!M20</f>
        <v>0</v>
      </c>
      <c r="AJ880" s="27">
        <f>+'4'!$G20*'4'!N20</f>
        <v>0</v>
      </c>
      <c r="AK880" s="27">
        <f>+'4'!$G20*'4'!O20</f>
        <v>0</v>
      </c>
      <c r="AL880" s="27">
        <f>+'4'!$G20*'4'!P20</f>
        <v>0</v>
      </c>
      <c r="AM880" s="27">
        <f>+'4'!$G20*'4'!Q20</f>
        <v>0</v>
      </c>
      <c r="AN880" s="27">
        <f>+'4'!$G20*'4'!R20</f>
        <v>0</v>
      </c>
      <c r="AO880" s="27">
        <f>+'4'!$G20*'4'!S20</f>
        <v>0</v>
      </c>
      <c r="AP880" s="27">
        <f>+'4'!$G20*'4'!T20</f>
        <v>0</v>
      </c>
      <c r="AQ880" s="27">
        <f t="shared" si="106"/>
        <v>0</v>
      </c>
      <c r="AS880" s="27">
        <f t="shared" si="95"/>
        <v>0</v>
      </c>
      <c r="AT880" s="27">
        <f>+AE880*'4'!$W20</f>
        <v>0</v>
      </c>
      <c r="AU880" s="27">
        <f>+AF880*'4'!$W20</f>
        <v>0</v>
      </c>
      <c r="AV880" s="27">
        <f>+AG880*'4'!$W20</f>
        <v>0</v>
      </c>
      <c r="AW880" s="27">
        <f>+AH880*'4'!$W20</f>
        <v>0</v>
      </c>
      <c r="AX880" s="27">
        <f>+AI880*'4'!$W20</f>
        <v>0</v>
      </c>
      <c r="AY880" s="27">
        <f>+AJ880*'4'!$W20</f>
        <v>0</v>
      </c>
      <c r="AZ880" s="27">
        <f>+AK880*'4'!$W20</f>
        <v>0</v>
      </c>
      <c r="BA880" s="27">
        <f>+AL880*'4'!$W20</f>
        <v>0</v>
      </c>
      <c r="BB880" s="27">
        <f>+AM880*'4'!$W20</f>
        <v>0</v>
      </c>
      <c r="BC880" s="27">
        <f>+AN880*'4'!$W20</f>
        <v>0</v>
      </c>
      <c r="BD880" s="27">
        <f>+AO880*'4'!$W20</f>
        <v>0</v>
      </c>
      <c r="BE880" s="27">
        <f>+AP880*'4'!$W20</f>
        <v>0</v>
      </c>
      <c r="CC880" s="61"/>
    </row>
    <row r="881" spans="3:81" s="27" customFormat="1" ht="11.25" hidden="1" x14ac:dyDescent="0.2">
      <c r="C881" s="60">
        <f>'4'!E21</f>
        <v>0</v>
      </c>
      <c r="D881" s="27">
        <f>'4'!G21</f>
        <v>0</v>
      </c>
      <c r="E881" s="27">
        <f>'4'!V21</f>
        <v>0</v>
      </c>
      <c r="F881" s="27">
        <f>'4'!W21</f>
        <v>0</v>
      </c>
      <c r="G881" s="27">
        <f>'4'!F21</f>
        <v>0</v>
      </c>
      <c r="H881" s="27">
        <f>+($D881+($D881*$E881))*'4'!I21</f>
        <v>0</v>
      </c>
      <c r="I881" s="27">
        <f>+($D881+($D881*$E881))*'4'!J21</f>
        <v>0</v>
      </c>
      <c r="J881" s="27">
        <f>+($D881+($D881*$E881))*'4'!K21</f>
        <v>0</v>
      </c>
      <c r="K881" s="27">
        <f>+($D881+($D881*$E881))*'4'!L21</f>
        <v>0</v>
      </c>
      <c r="L881" s="27">
        <f>+($D881+($D881*$E881))*'4'!M21</f>
        <v>0</v>
      </c>
      <c r="M881" s="27">
        <f>+($D881+($D881*$E881))*'4'!N21</f>
        <v>0</v>
      </c>
      <c r="N881" s="27">
        <f>+($D881+($D881*$E881))*'4'!O21</f>
        <v>0</v>
      </c>
      <c r="O881" s="27">
        <f>+($D881+($D881*$E881))*'4'!P21</f>
        <v>0</v>
      </c>
      <c r="P881" s="27">
        <f>+($D881+($D881*$E881))*'4'!Q21</f>
        <v>0</v>
      </c>
      <c r="Q881" s="27">
        <f>+($D881+($D881*$E881))*'4'!R21</f>
        <v>0</v>
      </c>
      <c r="R881" s="27">
        <f>+($D881+($D881*$E881))*'4'!S21</f>
        <v>0</v>
      </c>
      <c r="S881" s="27">
        <f>+($D881+($D881*$E881))*'4'!T21</f>
        <v>0</v>
      </c>
      <c r="T881" s="27">
        <f t="shared" si="105"/>
        <v>0</v>
      </c>
      <c r="W881" s="60"/>
      <c r="AD881" s="27">
        <f t="shared" si="93"/>
        <v>0</v>
      </c>
      <c r="AE881" s="27">
        <f>+'4'!$G21*'4'!I21</f>
        <v>0</v>
      </c>
      <c r="AF881" s="27">
        <f>+'4'!$G21*'4'!J21</f>
        <v>0</v>
      </c>
      <c r="AG881" s="27">
        <f>+'4'!$G21*'4'!K21</f>
        <v>0</v>
      </c>
      <c r="AH881" s="27">
        <f>+'4'!$G21*'4'!L21</f>
        <v>0</v>
      </c>
      <c r="AI881" s="27">
        <f>+'4'!$G21*'4'!M21</f>
        <v>0</v>
      </c>
      <c r="AJ881" s="27">
        <f>+'4'!$G21*'4'!N21</f>
        <v>0</v>
      </c>
      <c r="AK881" s="27">
        <f>+'4'!$G21*'4'!O21</f>
        <v>0</v>
      </c>
      <c r="AL881" s="27">
        <f>+'4'!$G21*'4'!P21</f>
        <v>0</v>
      </c>
      <c r="AM881" s="27">
        <f>+'4'!$G21*'4'!Q21</f>
        <v>0</v>
      </c>
      <c r="AN881" s="27">
        <f>+'4'!$G21*'4'!R21</f>
        <v>0</v>
      </c>
      <c r="AO881" s="27">
        <f>+'4'!$G21*'4'!S21</f>
        <v>0</v>
      </c>
      <c r="AP881" s="27">
        <f>+'4'!$G21*'4'!T21</f>
        <v>0</v>
      </c>
      <c r="AQ881" s="27">
        <f t="shared" si="106"/>
        <v>0</v>
      </c>
      <c r="AS881" s="27">
        <f t="shared" si="95"/>
        <v>0</v>
      </c>
      <c r="AT881" s="27">
        <f>+AE881*'4'!$W21</f>
        <v>0</v>
      </c>
      <c r="AU881" s="27">
        <f>+AF881*'4'!$W21</f>
        <v>0</v>
      </c>
      <c r="AV881" s="27">
        <f>+AG881*'4'!$W21</f>
        <v>0</v>
      </c>
      <c r="AW881" s="27">
        <f>+AH881*'4'!$W21</f>
        <v>0</v>
      </c>
      <c r="AX881" s="27">
        <f>+AI881*'4'!$W21</f>
        <v>0</v>
      </c>
      <c r="AY881" s="27">
        <f>+AJ881*'4'!$W21</f>
        <v>0</v>
      </c>
      <c r="AZ881" s="27">
        <f>+AK881*'4'!$W21</f>
        <v>0</v>
      </c>
      <c r="BA881" s="27">
        <f>+AL881*'4'!$W21</f>
        <v>0</v>
      </c>
      <c r="BB881" s="27">
        <f>+AM881*'4'!$W21</f>
        <v>0</v>
      </c>
      <c r="BC881" s="27">
        <f>+AN881*'4'!$W21</f>
        <v>0</v>
      </c>
      <c r="BD881" s="27">
        <f>+AO881*'4'!$W21</f>
        <v>0</v>
      </c>
      <c r="BE881" s="27">
        <f>+AP881*'4'!$W21</f>
        <v>0</v>
      </c>
      <c r="CC881" s="61"/>
    </row>
    <row r="882" spans="3:81" s="27" customFormat="1" ht="11.25" hidden="1" x14ac:dyDescent="0.2">
      <c r="C882" s="60">
        <f t="shared" ref="C882:G891" si="107">C276</f>
        <v>0</v>
      </c>
      <c r="D882" s="27">
        <f t="shared" si="107"/>
        <v>0</v>
      </c>
      <c r="E882" s="27">
        <f t="shared" si="107"/>
        <v>0</v>
      </c>
      <c r="F882" s="27">
        <f t="shared" si="107"/>
        <v>0</v>
      </c>
      <c r="G882" s="27">
        <f t="shared" si="107"/>
        <v>0</v>
      </c>
      <c r="H882" s="27">
        <f t="shared" ref="H882:S882" si="108">+($D882+($D882*$E882))*H276</f>
        <v>0</v>
      </c>
      <c r="I882" s="27">
        <f t="shared" si="108"/>
        <v>0</v>
      </c>
      <c r="J882" s="27">
        <f t="shared" si="108"/>
        <v>0</v>
      </c>
      <c r="K882" s="27">
        <f t="shared" si="108"/>
        <v>0</v>
      </c>
      <c r="L882" s="27">
        <f t="shared" si="108"/>
        <v>0</v>
      </c>
      <c r="M882" s="27">
        <f t="shared" si="108"/>
        <v>0</v>
      </c>
      <c r="N882" s="27">
        <f t="shared" si="108"/>
        <v>0</v>
      </c>
      <c r="O882" s="27">
        <f t="shared" si="108"/>
        <v>0</v>
      </c>
      <c r="P882" s="27">
        <f t="shared" si="108"/>
        <v>0</v>
      </c>
      <c r="Q882" s="27">
        <f t="shared" si="108"/>
        <v>0</v>
      </c>
      <c r="R882" s="27">
        <f t="shared" si="108"/>
        <v>0</v>
      </c>
      <c r="S882" s="27">
        <f t="shared" si="108"/>
        <v>0</v>
      </c>
      <c r="T882" s="27">
        <f t="shared" si="105"/>
        <v>0</v>
      </c>
      <c r="W882" s="60"/>
      <c r="AD882" s="27">
        <f t="shared" si="93"/>
        <v>0</v>
      </c>
      <c r="AE882" s="27">
        <f t="shared" ref="AE882:AE902" si="109">+$D276*H276</f>
        <v>0</v>
      </c>
      <c r="AF882" s="27">
        <f t="shared" ref="AF882:AF902" si="110">+$D276*I276</f>
        <v>0</v>
      </c>
      <c r="AG882" s="27">
        <f t="shared" ref="AG882:AG902" si="111">+$D276*J276</f>
        <v>0</v>
      </c>
      <c r="AH882" s="27">
        <f t="shared" ref="AH882:AH902" si="112">+$D276*K276</f>
        <v>0</v>
      </c>
      <c r="AI882" s="27">
        <f t="shared" ref="AI882:AI902" si="113">+$D276*L276</f>
        <v>0</v>
      </c>
      <c r="AJ882" s="27">
        <f t="shared" ref="AJ882:AJ902" si="114">+$D276*M276</f>
        <v>0</v>
      </c>
      <c r="AK882" s="27">
        <f t="shared" ref="AK882:AK902" si="115">+$D276*N276</f>
        <v>0</v>
      </c>
      <c r="AL882" s="27">
        <f t="shared" ref="AL882:AL902" si="116">+$D276*O276</f>
        <v>0</v>
      </c>
      <c r="AM882" s="27">
        <f t="shared" ref="AM882:AM902" si="117">+$D276*P276</f>
        <v>0</v>
      </c>
      <c r="AN882" s="27">
        <f t="shared" ref="AN882:AN902" si="118">+$D276*Q276</f>
        <v>0</v>
      </c>
      <c r="AO882" s="27">
        <f t="shared" ref="AO882:AO902" si="119">+$D276*R276</f>
        <v>0</v>
      </c>
      <c r="AP882" s="27">
        <f t="shared" ref="AP882:AP902" si="120">+$D276*S276</f>
        <v>0</v>
      </c>
      <c r="AQ882" s="27">
        <f t="shared" si="106"/>
        <v>0</v>
      </c>
      <c r="AS882" s="27">
        <f t="shared" si="95"/>
        <v>0</v>
      </c>
      <c r="AT882" s="27">
        <f t="shared" ref="AT882:AT902" si="121">+AE882*$F276</f>
        <v>0</v>
      </c>
      <c r="AU882" s="27">
        <f t="shared" ref="AU882:AU902" si="122">+AF882*$F276</f>
        <v>0</v>
      </c>
      <c r="AV882" s="27">
        <f t="shared" ref="AV882:AV902" si="123">+AG882*$F276</f>
        <v>0</v>
      </c>
      <c r="AW882" s="27">
        <f t="shared" ref="AW882:AW902" si="124">+AH882*$F276</f>
        <v>0</v>
      </c>
      <c r="AX882" s="27">
        <f t="shared" ref="AX882:AX902" si="125">+AI882*$F276</f>
        <v>0</v>
      </c>
      <c r="AY882" s="27">
        <f t="shared" ref="AY882:AY902" si="126">+AJ882*$F276</f>
        <v>0</v>
      </c>
      <c r="AZ882" s="27">
        <f t="shared" ref="AZ882:AZ902" si="127">+AK882*$F276</f>
        <v>0</v>
      </c>
      <c r="BA882" s="27">
        <f t="shared" ref="BA882:BA902" si="128">+AL882*$F276</f>
        <v>0</v>
      </c>
      <c r="BB882" s="27">
        <f t="shared" ref="BB882:BB902" si="129">+AM882*$F276</f>
        <v>0</v>
      </c>
      <c r="BC882" s="27">
        <f t="shared" ref="BC882:BC902" si="130">+AN882*$F276</f>
        <v>0</v>
      </c>
      <c r="BD882" s="27">
        <f t="shared" ref="BD882:BD902" si="131">+AO882*$F276</f>
        <v>0</v>
      </c>
      <c r="BE882" s="27">
        <f t="shared" ref="BE882:BE902" si="132">+AP882*$F276</f>
        <v>0</v>
      </c>
      <c r="CC882" s="61"/>
    </row>
    <row r="883" spans="3:81" s="27" customFormat="1" ht="11.25" hidden="1" x14ac:dyDescent="0.2">
      <c r="C883" s="60">
        <f t="shared" si="107"/>
        <v>0</v>
      </c>
      <c r="D883" s="27">
        <f t="shared" si="107"/>
        <v>0</v>
      </c>
      <c r="E883" s="27">
        <f t="shared" si="107"/>
        <v>0</v>
      </c>
      <c r="F883" s="27">
        <f t="shared" si="107"/>
        <v>0</v>
      </c>
      <c r="G883" s="27">
        <f t="shared" si="107"/>
        <v>0</v>
      </c>
      <c r="H883" s="27">
        <f t="shared" ref="H883:S883" si="133">+($D883+($D883*$E883))*H277</f>
        <v>0</v>
      </c>
      <c r="I883" s="27">
        <f t="shared" si="133"/>
        <v>0</v>
      </c>
      <c r="J883" s="27">
        <f t="shared" si="133"/>
        <v>0</v>
      </c>
      <c r="K883" s="27">
        <f t="shared" si="133"/>
        <v>0</v>
      </c>
      <c r="L883" s="27">
        <f t="shared" si="133"/>
        <v>0</v>
      </c>
      <c r="M883" s="27">
        <f t="shared" si="133"/>
        <v>0</v>
      </c>
      <c r="N883" s="27">
        <f t="shared" si="133"/>
        <v>0</v>
      </c>
      <c r="O883" s="27">
        <f t="shared" si="133"/>
        <v>0</v>
      </c>
      <c r="P883" s="27">
        <f t="shared" si="133"/>
        <v>0</v>
      </c>
      <c r="Q883" s="27">
        <f t="shared" si="133"/>
        <v>0</v>
      </c>
      <c r="R883" s="27">
        <f t="shared" si="133"/>
        <v>0</v>
      </c>
      <c r="S883" s="27">
        <f t="shared" si="133"/>
        <v>0</v>
      </c>
      <c r="T883" s="27">
        <f t="shared" si="105"/>
        <v>0</v>
      </c>
      <c r="W883" s="60"/>
      <c r="AD883" s="27">
        <f t="shared" si="93"/>
        <v>0</v>
      </c>
      <c r="AE883" s="27">
        <f t="shared" si="109"/>
        <v>0</v>
      </c>
      <c r="AF883" s="27">
        <f t="shared" si="110"/>
        <v>0</v>
      </c>
      <c r="AG883" s="27">
        <f t="shared" si="111"/>
        <v>0</v>
      </c>
      <c r="AH883" s="27">
        <f t="shared" si="112"/>
        <v>0</v>
      </c>
      <c r="AI883" s="27">
        <f t="shared" si="113"/>
        <v>0</v>
      </c>
      <c r="AJ883" s="27">
        <f t="shared" si="114"/>
        <v>0</v>
      </c>
      <c r="AK883" s="27">
        <f t="shared" si="115"/>
        <v>0</v>
      </c>
      <c r="AL883" s="27">
        <f t="shared" si="116"/>
        <v>0</v>
      </c>
      <c r="AM883" s="27">
        <f t="shared" si="117"/>
        <v>0</v>
      </c>
      <c r="AN883" s="27">
        <f t="shared" si="118"/>
        <v>0</v>
      </c>
      <c r="AO883" s="27">
        <f t="shared" si="119"/>
        <v>0</v>
      </c>
      <c r="AP883" s="27">
        <f t="shared" si="120"/>
        <v>0</v>
      </c>
      <c r="AQ883" s="27">
        <f t="shared" si="106"/>
        <v>0</v>
      </c>
      <c r="AS883" s="27">
        <f t="shared" si="95"/>
        <v>0</v>
      </c>
      <c r="AT883" s="27">
        <f t="shared" si="121"/>
        <v>0</v>
      </c>
      <c r="AU883" s="27">
        <f t="shared" si="122"/>
        <v>0</v>
      </c>
      <c r="AV883" s="27">
        <f t="shared" si="123"/>
        <v>0</v>
      </c>
      <c r="AW883" s="27">
        <f t="shared" si="124"/>
        <v>0</v>
      </c>
      <c r="AX883" s="27">
        <f t="shared" si="125"/>
        <v>0</v>
      </c>
      <c r="AY883" s="27">
        <f t="shared" si="126"/>
        <v>0</v>
      </c>
      <c r="AZ883" s="27">
        <f t="shared" si="127"/>
        <v>0</v>
      </c>
      <c r="BA883" s="27">
        <f t="shared" si="128"/>
        <v>0</v>
      </c>
      <c r="BB883" s="27">
        <f t="shared" si="129"/>
        <v>0</v>
      </c>
      <c r="BC883" s="27">
        <f t="shared" si="130"/>
        <v>0</v>
      </c>
      <c r="BD883" s="27">
        <f t="shared" si="131"/>
        <v>0</v>
      </c>
      <c r="BE883" s="27">
        <f t="shared" si="132"/>
        <v>0</v>
      </c>
      <c r="CC883" s="61"/>
    </row>
    <row r="884" spans="3:81" s="27" customFormat="1" ht="11.25" hidden="1" x14ac:dyDescent="0.2">
      <c r="C884" s="60">
        <f t="shared" si="107"/>
        <v>0</v>
      </c>
      <c r="D884" s="27">
        <f t="shared" si="107"/>
        <v>0</v>
      </c>
      <c r="E884" s="27">
        <f t="shared" si="107"/>
        <v>0</v>
      </c>
      <c r="F884" s="27">
        <f t="shared" si="107"/>
        <v>0</v>
      </c>
      <c r="G884" s="27">
        <f t="shared" si="107"/>
        <v>0</v>
      </c>
      <c r="H884" s="27">
        <f t="shared" ref="H884:S884" si="134">+($D884+($D884*$E884))*H278</f>
        <v>0</v>
      </c>
      <c r="I884" s="27">
        <f t="shared" si="134"/>
        <v>0</v>
      </c>
      <c r="J884" s="27">
        <f t="shared" si="134"/>
        <v>0</v>
      </c>
      <c r="K884" s="27">
        <f t="shared" si="134"/>
        <v>0</v>
      </c>
      <c r="L884" s="27">
        <f t="shared" si="134"/>
        <v>0</v>
      </c>
      <c r="M884" s="27">
        <f t="shared" si="134"/>
        <v>0</v>
      </c>
      <c r="N884" s="27">
        <f t="shared" si="134"/>
        <v>0</v>
      </c>
      <c r="O884" s="27">
        <f t="shared" si="134"/>
        <v>0</v>
      </c>
      <c r="P884" s="27">
        <f t="shared" si="134"/>
        <v>0</v>
      </c>
      <c r="Q884" s="27">
        <f t="shared" si="134"/>
        <v>0</v>
      </c>
      <c r="R884" s="27">
        <f t="shared" si="134"/>
        <v>0</v>
      </c>
      <c r="S884" s="27">
        <f t="shared" si="134"/>
        <v>0</v>
      </c>
      <c r="T884" s="27">
        <f t="shared" si="105"/>
        <v>0</v>
      </c>
      <c r="W884" s="60"/>
      <c r="AD884" s="27">
        <f t="shared" si="93"/>
        <v>0</v>
      </c>
      <c r="AE884" s="27">
        <f t="shared" si="109"/>
        <v>0</v>
      </c>
      <c r="AF884" s="27">
        <f t="shared" si="110"/>
        <v>0</v>
      </c>
      <c r="AG884" s="27">
        <f t="shared" si="111"/>
        <v>0</v>
      </c>
      <c r="AH884" s="27">
        <f t="shared" si="112"/>
        <v>0</v>
      </c>
      <c r="AI884" s="27">
        <f t="shared" si="113"/>
        <v>0</v>
      </c>
      <c r="AJ884" s="27">
        <f t="shared" si="114"/>
        <v>0</v>
      </c>
      <c r="AK884" s="27">
        <f t="shared" si="115"/>
        <v>0</v>
      </c>
      <c r="AL884" s="27">
        <f t="shared" si="116"/>
        <v>0</v>
      </c>
      <c r="AM884" s="27">
        <f t="shared" si="117"/>
        <v>0</v>
      </c>
      <c r="AN884" s="27">
        <f t="shared" si="118"/>
        <v>0</v>
      </c>
      <c r="AO884" s="27">
        <f t="shared" si="119"/>
        <v>0</v>
      </c>
      <c r="AP884" s="27">
        <f t="shared" si="120"/>
        <v>0</v>
      </c>
      <c r="AQ884" s="27">
        <f t="shared" si="106"/>
        <v>0</v>
      </c>
      <c r="AS884" s="27">
        <f t="shared" si="95"/>
        <v>0</v>
      </c>
      <c r="AT884" s="27">
        <f t="shared" si="121"/>
        <v>0</v>
      </c>
      <c r="AU884" s="27">
        <f t="shared" si="122"/>
        <v>0</v>
      </c>
      <c r="AV884" s="27">
        <f t="shared" si="123"/>
        <v>0</v>
      </c>
      <c r="AW884" s="27">
        <f t="shared" si="124"/>
        <v>0</v>
      </c>
      <c r="AX884" s="27">
        <f t="shared" si="125"/>
        <v>0</v>
      </c>
      <c r="AY884" s="27">
        <f t="shared" si="126"/>
        <v>0</v>
      </c>
      <c r="AZ884" s="27">
        <f t="shared" si="127"/>
        <v>0</v>
      </c>
      <c r="BA884" s="27">
        <f t="shared" si="128"/>
        <v>0</v>
      </c>
      <c r="BB884" s="27">
        <f t="shared" si="129"/>
        <v>0</v>
      </c>
      <c r="BC884" s="27">
        <f t="shared" si="130"/>
        <v>0</v>
      </c>
      <c r="BD884" s="27">
        <f t="shared" si="131"/>
        <v>0</v>
      </c>
      <c r="BE884" s="27">
        <f t="shared" si="132"/>
        <v>0</v>
      </c>
      <c r="CC884" s="61"/>
    </row>
    <row r="885" spans="3:81" s="27" customFormat="1" ht="11.25" hidden="1" x14ac:dyDescent="0.2">
      <c r="C885" s="60">
        <f t="shared" si="107"/>
        <v>0</v>
      </c>
      <c r="D885" s="27">
        <f t="shared" si="107"/>
        <v>0</v>
      </c>
      <c r="E885" s="27">
        <f t="shared" si="107"/>
        <v>0</v>
      </c>
      <c r="F885" s="27">
        <f t="shared" si="107"/>
        <v>0</v>
      </c>
      <c r="G885" s="27">
        <f t="shared" si="107"/>
        <v>0</v>
      </c>
      <c r="H885" s="27">
        <f t="shared" ref="H885:S885" si="135">+($D885+($D885*$E885))*H279</f>
        <v>0</v>
      </c>
      <c r="I885" s="27">
        <f t="shared" si="135"/>
        <v>0</v>
      </c>
      <c r="J885" s="27">
        <f t="shared" si="135"/>
        <v>0</v>
      </c>
      <c r="K885" s="27">
        <f t="shared" si="135"/>
        <v>0</v>
      </c>
      <c r="L885" s="27">
        <f t="shared" si="135"/>
        <v>0</v>
      </c>
      <c r="M885" s="27">
        <f t="shared" si="135"/>
        <v>0</v>
      </c>
      <c r="N885" s="27">
        <f t="shared" si="135"/>
        <v>0</v>
      </c>
      <c r="O885" s="27">
        <f t="shared" si="135"/>
        <v>0</v>
      </c>
      <c r="P885" s="27">
        <f t="shared" si="135"/>
        <v>0</v>
      </c>
      <c r="Q885" s="27">
        <f t="shared" si="135"/>
        <v>0</v>
      </c>
      <c r="R885" s="27">
        <f t="shared" si="135"/>
        <v>0</v>
      </c>
      <c r="S885" s="27">
        <f t="shared" si="135"/>
        <v>0</v>
      </c>
      <c r="T885" s="27">
        <f t="shared" si="105"/>
        <v>0</v>
      </c>
      <c r="W885" s="60"/>
      <c r="AD885" s="27">
        <f t="shared" si="93"/>
        <v>0</v>
      </c>
      <c r="AE885" s="27">
        <f t="shared" si="109"/>
        <v>0</v>
      </c>
      <c r="AF885" s="27">
        <f t="shared" si="110"/>
        <v>0</v>
      </c>
      <c r="AG885" s="27">
        <f t="shared" si="111"/>
        <v>0</v>
      </c>
      <c r="AH885" s="27">
        <f t="shared" si="112"/>
        <v>0</v>
      </c>
      <c r="AI885" s="27">
        <f t="shared" si="113"/>
        <v>0</v>
      </c>
      <c r="AJ885" s="27">
        <f t="shared" si="114"/>
        <v>0</v>
      </c>
      <c r="AK885" s="27">
        <f t="shared" si="115"/>
        <v>0</v>
      </c>
      <c r="AL885" s="27">
        <f t="shared" si="116"/>
        <v>0</v>
      </c>
      <c r="AM885" s="27">
        <f t="shared" si="117"/>
        <v>0</v>
      </c>
      <c r="AN885" s="27">
        <f t="shared" si="118"/>
        <v>0</v>
      </c>
      <c r="AO885" s="27">
        <f t="shared" si="119"/>
        <v>0</v>
      </c>
      <c r="AP885" s="27">
        <f t="shared" si="120"/>
        <v>0</v>
      </c>
      <c r="AQ885" s="27">
        <f t="shared" si="106"/>
        <v>0</v>
      </c>
      <c r="AS885" s="27">
        <f t="shared" si="95"/>
        <v>0</v>
      </c>
      <c r="AT885" s="27">
        <f t="shared" si="121"/>
        <v>0</v>
      </c>
      <c r="AU885" s="27">
        <f t="shared" si="122"/>
        <v>0</v>
      </c>
      <c r="AV885" s="27">
        <f t="shared" si="123"/>
        <v>0</v>
      </c>
      <c r="AW885" s="27">
        <f t="shared" si="124"/>
        <v>0</v>
      </c>
      <c r="AX885" s="27">
        <f t="shared" si="125"/>
        <v>0</v>
      </c>
      <c r="AY885" s="27">
        <f t="shared" si="126"/>
        <v>0</v>
      </c>
      <c r="AZ885" s="27">
        <f t="shared" si="127"/>
        <v>0</v>
      </c>
      <c r="BA885" s="27">
        <f t="shared" si="128"/>
        <v>0</v>
      </c>
      <c r="BB885" s="27">
        <f t="shared" si="129"/>
        <v>0</v>
      </c>
      <c r="BC885" s="27">
        <f t="shared" si="130"/>
        <v>0</v>
      </c>
      <c r="BD885" s="27">
        <f t="shared" si="131"/>
        <v>0</v>
      </c>
      <c r="BE885" s="27">
        <f t="shared" si="132"/>
        <v>0</v>
      </c>
      <c r="CC885" s="61"/>
    </row>
    <row r="886" spans="3:81" s="27" customFormat="1" ht="11.25" hidden="1" x14ac:dyDescent="0.2">
      <c r="C886" s="60">
        <f t="shared" si="107"/>
        <v>0</v>
      </c>
      <c r="D886" s="27">
        <f t="shared" si="107"/>
        <v>0</v>
      </c>
      <c r="E886" s="27">
        <f t="shared" si="107"/>
        <v>0</v>
      </c>
      <c r="F886" s="27">
        <f t="shared" si="107"/>
        <v>0</v>
      </c>
      <c r="G886" s="27">
        <f t="shared" si="107"/>
        <v>0</v>
      </c>
      <c r="H886" s="27">
        <f t="shared" ref="H886:S886" si="136">+($D886+($D886*$E886))*H280</f>
        <v>0</v>
      </c>
      <c r="I886" s="27">
        <f t="shared" si="136"/>
        <v>0</v>
      </c>
      <c r="J886" s="27">
        <f t="shared" si="136"/>
        <v>0</v>
      </c>
      <c r="K886" s="27">
        <f t="shared" si="136"/>
        <v>0</v>
      </c>
      <c r="L886" s="27">
        <f t="shared" si="136"/>
        <v>0</v>
      </c>
      <c r="M886" s="27">
        <f t="shared" si="136"/>
        <v>0</v>
      </c>
      <c r="N886" s="27">
        <f t="shared" si="136"/>
        <v>0</v>
      </c>
      <c r="O886" s="27">
        <f t="shared" si="136"/>
        <v>0</v>
      </c>
      <c r="P886" s="27">
        <f t="shared" si="136"/>
        <v>0</v>
      </c>
      <c r="Q886" s="27">
        <f t="shared" si="136"/>
        <v>0</v>
      </c>
      <c r="R886" s="27">
        <f t="shared" si="136"/>
        <v>0</v>
      </c>
      <c r="S886" s="27">
        <f t="shared" si="136"/>
        <v>0</v>
      </c>
      <c r="T886" s="27">
        <f t="shared" si="105"/>
        <v>0</v>
      </c>
      <c r="W886" s="60"/>
      <c r="AD886" s="27">
        <f t="shared" si="93"/>
        <v>0</v>
      </c>
      <c r="AE886" s="27">
        <f t="shared" si="109"/>
        <v>0</v>
      </c>
      <c r="AF886" s="27">
        <f t="shared" si="110"/>
        <v>0</v>
      </c>
      <c r="AG886" s="27">
        <f t="shared" si="111"/>
        <v>0</v>
      </c>
      <c r="AH886" s="27">
        <f t="shared" si="112"/>
        <v>0</v>
      </c>
      <c r="AI886" s="27">
        <f t="shared" si="113"/>
        <v>0</v>
      </c>
      <c r="AJ886" s="27">
        <f t="shared" si="114"/>
        <v>0</v>
      </c>
      <c r="AK886" s="27">
        <f t="shared" si="115"/>
        <v>0</v>
      </c>
      <c r="AL886" s="27">
        <f t="shared" si="116"/>
        <v>0</v>
      </c>
      <c r="AM886" s="27">
        <f t="shared" si="117"/>
        <v>0</v>
      </c>
      <c r="AN886" s="27">
        <f t="shared" si="118"/>
        <v>0</v>
      </c>
      <c r="AO886" s="27">
        <f t="shared" si="119"/>
        <v>0</v>
      </c>
      <c r="AP886" s="27">
        <f t="shared" si="120"/>
        <v>0</v>
      </c>
      <c r="AQ886" s="27">
        <f t="shared" si="106"/>
        <v>0</v>
      </c>
      <c r="AS886" s="27">
        <f t="shared" si="95"/>
        <v>0</v>
      </c>
      <c r="AT886" s="27">
        <f t="shared" si="121"/>
        <v>0</v>
      </c>
      <c r="AU886" s="27">
        <f t="shared" si="122"/>
        <v>0</v>
      </c>
      <c r="AV886" s="27">
        <f t="shared" si="123"/>
        <v>0</v>
      </c>
      <c r="AW886" s="27">
        <f t="shared" si="124"/>
        <v>0</v>
      </c>
      <c r="AX886" s="27">
        <f t="shared" si="125"/>
        <v>0</v>
      </c>
      <c r="AY886" s="27">
        <f t="shared" si="126"/>
        <v>0</v>
      </c>
      <c r="AZ886" s="27">
        <f t="shared" si="127"/>
        <v>0</v>
      </c>
      <c r="BA886" s="27">
        <f t="shared" si="128"/>
        <v>0</v>
      </c>
      <c r="BB886" s="27">
        <f t="shared" si="129"/>
        <v>0</v>
      </c>
      <c r="BC886" s="27">
        <f t="shared" si="130"/>
        <v>0</v>
      </c>
      <c r="BD886" s="27">
        <f t="shared" si="131"/>
        <v>0</v>
      </c>
      <c r="BE886" s="27">
        <f t="shared" si="132"/>
        <v>0</v>
      </c>
      <c r="CC886" s="61"/>
    </row>
    <row r="887" spans="3:81" s="27" customFormat="1" ht="11.25" hidden="1" x14ac:dyDescent="0.2">
      <c r="C887" s="60">
        <f t="shared" si="107"/>
        <v>0</v>
      </c>
      <c r="D887" s="27">
        <f t="shared" si="107"/>
        <v>0</v>
      </c>
      <c r="E887" s="27">
        <f t="shared" si="107"/>
        <v>0</v>
      </c>
      <c r="F887" s="27">
        <f t="shared" si="107"/>
        <v>0</v>
      </c>
      <c r="G887" s="27">
        <f t="shared" si="107"/>
        <v>0</v>
      </c>
      <c r="H887" s="27">
        <f t="shared" ref="H887:S887" si="137">+($D887+($D887*$E887))*H281</f>
        <v>0</v>
      </c>
      <c r="I887" s="27">
        <f t="shared" si="137"/>
        <v>0</v>
      </c>
      <c r="J887" s="27">
        <f t="shared" si="137"/>
        <v>0</v>
      </c>
      <c r="K887" s="27">
        <f t="shared" si="137"/>
        <v>0</v>
      </c>
      <c r="L887" s="27">
        <f t="shared" si="137"/>
        <v>0</v>
      </c>
      <c r="M887" s="27">
        <f t="shared" si="137"/>
        <v>0</v>
      </c>
      <c r="N887" s="27">
        <f t="shared" si="137"/>
        <v>0</v>
      </c>
      <c r="O887" s="27">
        <f t="shared" si="137"/>
        <v>0</v>
      </c>
      <c r="P887" s="27">
        <f t="shared" si="137"/>
        <v>0</v>
      </c>
      <c r="Q887" s="27">
        <f t="shared" si="137"/>
        <v>0</v>
      </c>
      <c r="R887" s="27">
        <f t="shared" si="137"/>
        <v>0</v>
      </c>
      <c r="S887" s="27">
        <f t="shared" si="137"/>
        <v>0</v>
      </c>
      <c r="T887" s="27">
        <f t="shared" si="105"/>
        <v>0</v>
      </c>
      <c r="W887" s="60"/>
      <c r="AD887" s="27">
        <f t="shared" si="93"/>
        <v>0</v>
      </c>
      <c r="AE887" s="27">
        <f t="shared" si="109"/>
        <v>0</v>
      </c>
      <c r="AF887" s="27">
        <f t="shared" si="110"/>
        <v>0</v>
      </c>
      <c r="AG887" s="27">
        <f t="shared" si="111"/>
        <v>0</v>
      </c>
      <c r="AH887" s="27">
        <f t="shared" si="112"/>
        <v>0</v>
      </c>
      <c r="AI887" s="27">
        <f t="shared" si="113"/>
        <v>0</v>
      </c>
      <c r="AJ887" s="27">
        <f t="shared" si="114"/>
        <v>0</v>
      </c>
      <c r="AK887" s="27">
        <f t="shared" si="115"/>
        <v>0</v>
      </c>
      <c r="AL887" s="27">
        <f t="shared" si="116"/>
        <v>0</v>
      </c>
      <c r="AM887" s="27">
        <f t="shared" si="117"/>
        <v>0</v>
      </c>
      <c r="AN887" s="27">
        <f t="shared" si="118"/>
        <v>0</v>
      </c>
      <c r="AO887" s="27">
        <f t="shared" si="119"/>
        <v>0</v>
      </c>
      <c r="AP887" s="27">
        <f t="shared" si="120"/>
        <v>0</v>
      </c>
      <c r="AQ887" s="27">
        <f t="shared" si="106"/>
        <v>0</v>
      </c>
      <c r="AS887" s="27">
        <f t="shared" si="95"/>
        <v>0</v>
      </c>
      <c r="AT887" s="27">
        <f t="shared" si="121"/>
        <v>0</v>
      </c>
      <c r="AU887" s="27">
        <f t="shared" si="122"/>
        <v>0</v>
      </c>
      <c r="AV887" s="27">
        <f t="shared" si="123"/>
        <v>0</v>
      </c>
      <c r="AW887" s="27">
        <f t="shared" si="124"/>
        <v>0</v>
      </c>
      <c r="AX887" s="27">
        <f t="shared" si="125"/>
        <v>0</v>
      </c>
      <c r="AY887" s="27">
        <f t="shared" si="126"/>
        <v>0</v>
      </c>
      <c r="AZ887" s="27">
        <f t="shared" si="127"/>
        <v>0</v>
      </c>
      <c r="BA887" s="27">
        <f t="shared" si="128"/>
        <v>0</v>
      </c>
      <c r="BB887" s="27">
        <f t="shared" si="129"/>
        <v>0</v>
      </c>
      <c r="BC887" s="27">
        <f t="shared" si="130"/>
        <v>0</v>
      </c>
      <c r="BD887" s="27">
        <f t="shared" si="131"/>
        <v>0</v>
      </c>
      <c r="BE887" s="27">
        <f t="shared" si="132"/>
        <v>0</v>
      </c>
      <c r="CC887" s="61"/>
    </row>
    <row r="888" spans="3:81" s="27" customFormat="1" ht="11.25" hidden="1" x14ac:dyDescent="0.2">
      <c r="C888" s="60">
        <f t="shared" si="107"/>
        <v>0</v>
      </c>
      <c r="D888" s="27">
        <f t="shared" si="107"/>
        <v>0</v>
      </c>
      <c r="E888" s="27">
        <f t="shared" si="107"/>
        <v>0</v>
      </c>
      <c r="F888" s="27">
        <f t="shared" si="107"/>
        <v>0</v>
      </c>
      <c r="G888" s="27">
        <f t="shared" si="107"/>
        <v>0</v>
      </c>
      <c r="H888" s="27">
        <f t="shared" ref="H888:S888" si="138">+($D888+($D888*$E888))*H282</f>
        <v>0</v>
      </c>
      <c r="I888" s="27">
        <f t="shared" si="138"/>
        <v>0</v>
      </c>
      <c r="J888" s="27">
        <f t="shared" si="138"/>
        <v>0</v>
      </c>
      <c r="K888" s="27">
        <f t="shared" si="138"/>
        <v>0</v>
      </c>
      <c r="L888" s="27">
        <f t="shared" si="138"/>
        <v>0</v>
      </c>
      <c r="M888" s="27">
        <f t="shared" si="138"/>
        <v>0</v>
      </c>
      <c r="N888" s="27">
        <f t="shared" si="138"/>
        <v>0</v>
      </c>
      <c r="O888" s="27">
        <f t="shared" si="138"/>
        <v>0</v>
      </c>
      <c r="P888" s="27">
        <f t="shared" si="138"/>
        <v>0</v>
      </c>
      <c r="Q888" s="27">
        <f t="shared" si="138"/>
        <v>0</v>
      </c>
      <c r="R888" s="27">
        <f t="shared" si="138"/>
        <v>0</v>
      </c>
      <c r="S888" s="27">
        <f t="shared" si="138"/>
        <v>0</v>
      </c>
      <c r="T888" s="27">
        <f t="shared" si="105"/>
        <v>0</v>
      </c>
      <c r="W888" s="60"/>
      <c r="AD888" s="27">
        <f t="shared" si="93"/>
        <v>0</v>
      </c>
      <c r="AE888" s="27">
        <f t="shared" si="109"/>
        <v>0</v>
      </c>
      <c r="AF888" s="27">
        <f t="shared" si="110"/>
        <v>0</v>
      </c>
      <c r="AG888" s="27">
        <f t="shared" si="111"/>
        <v>0</v>
      </c>
      <c r="AH888" s="27">
        <f t="shared" si="112"/>
        <v>0</v>
      </c>
      <c r="AI888" s="27">
        <f t="shared" si="113"/>
        <v>0</v>
      </c>
      <c r="AJ888" s="27">
        <f t="shared" si="114"/>
        <v>0</v>
      </c>
      <c r="AK888" s="27">
        <f t="shared" si="115"/>
        <v>0</v>
      </c>
      <c r="AL888" s="27">
        <f t="shared" si="116"/>
        <v>0</v>
      </c>
      <c r="AM888" s="27">
        <f t="shared" si="117"/>
        <v>0</v>
      </c>
      <c r="AN888" s="27">
        <f t="shared" si="118"/>
        <v>0</v>
      </c>
      <c r="AO888" s="27">
        <f t="shared" si="119"/>
        <v>0</v>
      </c>
      <c r="AP888" s="27">
        <f t="shared" si="120"/>
        <v>0</v>
      </c>
      <c r="AQ888" s="27">
        <f t="shared" si="106"/>
        <v>0</v>
      </c>
      <c r="AS888" s="27">
        <f t="shared" si="95"/>
        <v>0</v>
      </c>
      <c r="AT888" s="27">
        <f t="shared" si="121"/>
        <v>0</v>
      </c>
      <c r="AU888" s="27">
        <f t="shared" si="122"/>
        <v>0</v>
      </c>
      <c r="AV888" s="27">
        <f t="shared" si="123"/>
        <v>0</v>
      </c>
      <c r="AW888" s="27">
        <f t="shared" si="124"/>
        <v>0</v>
      </c>
      <c r="AX888" s="27">
        <f t="shared" si="125"/>
        <v>0</v>
      </c>
      <c r="AY888" s="27">
        <f t="shared" si="126"/>
        <v>0</v>
      </c>
      <c r="AZ888" s="27">
        <f t="shared" si="127"/>
        <v>0</v>
      </c>
      <c r="BA888" s="27">
        <f t="shared" si="128"/>
        <v>0</v>
      </c>
      <c r="BB888" s="27">
        <f t="shared" si="129"/>
        <v>0</v>
      </c>
      <c r="BC888" s="27">
        <f t="shared" si="130"/>
        <v>0</v>
      </c>
      <c r="BD888" s="27">
        <f t="shared" si="131"/>
        <v>0</v>
      </c>
      <c r="BE888" s="27">
        <f t="shared" si="132"/>
        <v>0</v>
      </c>
      <c r="CC888" s="61"/>
    </row>
    <row r="889" spans="3:81" s="27" customFormat="1" ht="11.25" hidden="1" x14ac:dyDescent="0.2">
      <c r="C889" s="60">
        <f t="shared" si="107"/>
        <v>0</v>
      </c>
      <c r="D889" s="27">
        <f t="shared" si="107"/>
        <v>0</v>
      </c>
      <c r="E889" s="27">
        <f t="shared" si="107"/>
        <v>0</v>
      </c>
      <c r="F889" s="27">
        <f t="shared" si="107"/>
        <v>0</v>
      </c>
      <c r="G889" s="27">
        <f t="shared" si="107"/>
        <v>0</v>
      </c>
      <c r="H889" s="27">
        <f t="shared" ref="H889:S889" si="139">+($D889+($D889*$E889))*H283</f>
        <v>0</v>
      </c>
      <c r="I889" s="27">
        <f t="shared" si="139"/>
        <v>0</v>
      </c>
      <c r="J889" s="27">
        <f t="shared" si="139"/>
        <v>0</v>
      </c>
      <c r="K889" s="27">
        <f t="shared" si="139"/>
        <v>0</v>
      </c>
      <c r="L889" s="27">
        <f t="shared" si="139"/>
        <v>0</v>
      </c>
      <c r="M889" s="27">
        <f t="shared" si="139"/>
        <v>0</v>
      </c>
      <c r="N889" s="27">
        <f t="shared" si="139"/>
        <v>0</v>
      </c>
      <c r="O889" s="27">
        <f t="shared" si="139"/>
        <v>0</v>
      </c>
      <c r="P889" s="27">
        <f t="shared" si="139"/>
        <v>0</v>
      </c>
      <c r="Q889" s="27">
        <f t="shared" si="139"/>
        <v>0</v>
      </c>
      <c r="R889" s="27">
        <f t="shared" si="139"/>
        <v>0</v>
      </c>
      <c r="S889" s="27">
        <f t="shared" si="139"/>
        <v>0</v>
      </c>
      <c r="T889" s="27">
        <f t="shared" si="105"/>
        <v>0</v>
      </c>
      <c r="W889" s="60"/>
      <c r="AD889" s="27">
        <f t="shared" si="93"/>
        <v>0</v>
      </c>
      <c r="AE889" s="27">
        <f t="shared" si="109"/>
        <v>0</v>
      </c>
      <c r="AF889" s="27">
        <f t="shared" si="110"/>
        <v>0</v>
      </c>
      <c r="AG889" s="27">
        <f t="shared" si="111"/>
        <v>0</v>
      </c>
      <c r="AH889" s="27">
        <f t="shared" si="112"/>
        <v>0</v>
      </c>
      <c r="AI889" s="27">
        <f t="shared" si="113"/>
        <v>0</v>
      </c>
      <c r="AJ889" s="27">
        <f t="shared" si="114"/>
        <v>0</v>
      </c>
      <c r="AK889" s="27">
        <f t="shared" si="115"/>
        <v>0</v>
      </c>
      <c r="AL889" s="27">
        <f t="shared" si="116"/>
        <v>0</v>
      </c>
      <c r="AM889" s="27">
        <f t="shared" si="117"/>
        <v>0</v>
      </c>
      <c r="AN889" s="27">
        <f t="shared" si="118"/>
        <v>0</v>
      </c>
      <c r="AO889" s="27">
        <f t="shared" si="119"/>
        <v>0</v>
      </c>
      <c r="AP889" s="27">
        <f t="shared" si="120"/>
        <v>0</v>
      </c>
      <c r="AQ889" s="27">
        <f t="shared" si="106"/>
        <v>0</v>
      </c>
      <c r="AS889" s="27">
        <f t="shared" si="95"/>
        <v>0</v>
      </c>
      <c r="AT889" s="27">
        <f t="shared" si="121"/>
        <v>0</v>
      </c>
      <c r="AU889" s="27">
        <f t="shared" si="122"/>
        <v>0</v>
      </c>
      <c r="AV889" s="27">
        <f t="shared" si="123"/>
        <v>0</v>
      </c>
      <c r="AW889" s="27">
        <f t="shared" si="124"/>
        <v>0</v>
      </c>
      <c r="AX889" s="27">
        <f t="shared" si="125"/>
        <v>0</v>
      </c>
      <c r="AY889" s="27">
        <f t="shared" si="126"/>
        <v>0</v>
      </c>
      <c r="AZ889" s="27">
        <f t="shared" si="127"/>
        <v>0</v>
      </c>
      <c r="BA889" s="27">
        <f t="shared" si="128"/>
        <v>0</v>
      </c>
      <c r="BB889" s="27">
        <f t="shared" si="129"/>
        <v>0</v>
      </c>
      <c r="BC889" s="27">
        <f t="shared" si="130"/>
        <v>0</v>
      </c>
      <c r="BD889" s="27">
        <f t="shared" si="131"/>
        <v>0</v>
      </c>
      <c r="BE889" s="27">
        <f t="shared" si="132"/>
        <v>0</v>
      </c>
      <c r="CC889" s="61"/>
    </row>
    <row r="890" spans="3:81" s="27" customFormat="1" ht="11.25" hidden="1" x14ac:dyDescent="0.2">
      <c r="C890" s="60">
        <f t="shared" si="107"/>
        <v>0</v>
      </c>
      <c r="D890" s="27">
        <f t="shared" si="107"/>
        <v>0</v>
      </c>
      <c r="E890" s="27">
        <f t="shared" si="107"/>
        <v>0</v>
      </c>
      <c r="F890" s="27">
        <f t="shared" si="107"/>
        <v>0</v>
      </c>
      <c r="G890" s="27">
        <f t="shared" si="107"/>
        <v>0</v>
      </c>
      <c r="H890" s="27">
        <f t="shared" ref="H890:S890" si="140">+($D890+($D890*$E890))*H284</f>
        <v>0</v>
      </c>
      <c r="I890" s="27">
        <f t="shared" si="140"/>
        <v>0</v>
      </c>
      <c r="J890" s="27">
        <f t="shared" si="140"/>
        <v>0</v>
      </c>
      <c r="K890" s="27">
        <f t="shared" si="140"/>
        <v>0</v>
      </c>
      <c r="L890" s="27">
        <f t="shared" si="140"/>
        <v>0</v>
      </c>
      <c r="M890" s="27">
        <f t="shared" si="140"/>
        <v>0</v>
      </c>
      <c r="N890" s="27">
        <f t="shared" si="140"/>
        <v>0</v>
      </c>
      <c r="O890" s="27">
        <f t="shared" si="140"/>
        <v>0</v>
      </c>
      <c r="P890" s="27">
        <f t="shared" si="140"/>
        <v>0</v>
      </c>
      <c r="Q890" s="27">
        <f t="shared" si="140"/>
        <v>0</v>
      </c>
      <c r="R890" s="27">
        <f t="shared" si="140"/>
        <v>0</v>
      </c>
      <c r="S890" s="27">
        <f t="shared" si="140"/>
        <v>0</v>
      </c>
      <c r="T890" s="27">
        <f t="shared" si="105"/>
        <v>0</v>
      </c>
      <c r="W890" s="60"/>
      <c r="AD890" s="27">
        <f t="shared" si="93"/>
        <v>0</v>
      </c>
      <c r="AE890" s="27">
        <f t="shared" si="109"/>
        <v>0</v>
      </c>
      <c r="AF890" s="27">
        <f t="shared" si="110"/>
        <v>0</v>
      </c>
      <c r="AG890" s="27">
        <f t="shared" si="111"/>
        <v>0</v>
      </c>
      <c r="AH890" s="27">
        <f t="shared" si="112"/>
        <v>0</v>
      </c>
      <c r="AI890" s="27">
        <f t="shared" si="113"/>
        <v>0</v>
      </c>
      <c r="AJ890" s="27">
        <f t="shared" si="114"/>
        <v>0</v>
      </c>
      <c r="AK890" s="27">
        <f t="shared" si="115"/>
        <v>0</v>
      </c>
      <c r="AL890" s="27">
        <f t="shared" si="116"/>
        <v>0</v>
      </c>
      <c r="AM890" s="27">
        <f t="shared" si="117"/>
        <v>0</v>
      </c>
      <c r="AN890" s="27">
        <f t="shared" si="118"/>
        <v>0</v>
      </c>
      <c r="AO890" s="27">
        <f t="shared" si="119"/>
        <v>0</v>
      </c>
      <c r="AP890" s="27">
        <f t="shared" si="120"/>
        <v>0</v>
      </c>
      <c r="AQ890" s="27">
        <f t="shared" si="106"/>
        <v>0</v>
      </c>
      <c r="AS890" s="27">
        <f t="shared" si="95"/>
        <v>0</v>
      </c>
      <c r="AT890" s="27">
        <f t="shared" si="121"/>
        <v>0</v>
      </c>
      <c r="AU890" s="27">
        <f t="shared" si="122"/>
        <v>0</v>
      </c>
      <c r="AV890" s="27">
        <f t="shared" si="123"/>
        <v>0</v>
      </c>
      <c r="AW890" s="27">
        <f t="shared" si="124"/>
        <v>0</v>
      </c>
      <c r="AX890" s="27">
        <f t="shared" si="125"/>
        <v>0</v>
      </c>
      <c r="AY890" s="27">
        <f t="shared" si="126"/>
        <v>0</v>
      </c>
      <c r="AZ890" s="27">
        <f t="shared" si="127"/>
        <v>0</v>
      </c>
      <c r="BA890" s="27">
        <f t="shared" si="128"/>
        <v>0</v>
      </c>
      <c r="BB890" s="27">
        <f t="shared" si="129"/>
        <v>0</v>
      </c>
      <c r="BC890" s="27">
        <f t="shared" si="130"/>
        <v>0</v>
      </c>
      <c r="BD890" s="27">
        <f t="shared" si="131"/>
        <v>0</v>
      </c>
      <c r="BE890" s="27">
        <f t="shared" si="132"/>
        <v>0</v>
      </c>
      <c r="CC890" s="61"/>
    </row>
    <row r="891" spans="3:81" s="27" customFormat="1" ht="11.25" hidden="1" x14ac:dyDescent="0.2">
      <c r="C891" s="60">
        <f t="shared" si="107"/>
        <v>0</v>
      </c>
      <c r="D891" s="27">
        <f t="shared" si="107"/>
        <v>0</v>
      </c>
      <c r="E891" s="27">
        <f t="shared" si="107"/>
        <v>0</v>
      </c>
      <c r="F891" s="27">
        <f t="shared" si="107"/>
        <v>0</v>
      </c>
      <c r="G891" s="27">
        <f t="shared" si="107"/>
        <v>0</v>
      </c>
      <c r="H891" s="27">
        <f t="shared" ref="H891:S891" si="141">+($D891+($D891*$E891))*H285</f>
        <v>0</v>
      </c>
      <c r="I891" s="27">
        <f t="shared" si="141"/>
        <v>0</v>
      </c>
      <c r="J891" s="27">
        <f t="shared" si="141"/>
        <v>0</v>
      </c>
      <c r="K891" s="27">
        <f t="shared" si="141"/>
        <v>0</v>
      </c>
      <c r="L891" s="27">
        <f t="shared" si="141"/>
        <v>0</v>
      </c>
      <c r="M891" s="27">
        <f t="shared" si="141"/>
        <v>0</v>
      </c>
      <c r="N891" s="27">
        <f t="shared" si="141"/>
        <v>0</v>
      </c>
      <c r="O891" s="27">
        <f t="shared" si="141"/>
        <v>0</v>
      </c>
      <c r="P891" s="27">
        <f t="shared" si="141"/>
        <v>0</v>
      </c>
      <c r="Q891" s="27">
        <f t="shared" si="141"/>
        <v>0</v>
      </c>
      <c r="R891" s="27">
        <f t="shared" si="141"/>
        <v>0</v>
      </c>
      <c r="S891" s="27">
        <f t="shared" si="141"/>
        <v>0</v>
      </c>
      <c r="T891" s="27">
        <f t="shared" si="105"/>
        <v>0</v>
      </c>
      <c r="W891" s="60"/>
      <c r="AD891" s="27">
        <f t="shared" si="93"/>
        <v>0</v>
      </c>
      <c r="AE891" s="27">
        <f t="shared" si="109"/>
        <v>0</v>
      </c>
      <c r="AF891" s="27">
        <f t="shared" si="110"/>
        <v>0</v>
      </c>
      <c r="AG891" s="27">
        <f t="shared" si="111"/>
        <v>0</v>
      </c>
      <c r="AH891" s="27">
        <f t="shared" si="112"/>
        <v>0</v>
      </c>
      <c r="AI891" s="27">
        <f t="shared" si="113"/>
        <v>0</v>
      </c>
      <c r="AJ891" s="27">
        <f t="shared" si="114"/>
        <v>0</v>
      </c>
      <c r="AK891" s="27">
        <f t="shared" si="115"/>
        <v>0</v>
      </c>
      <c r="AL891" s="27">
        <f t="shared" si="116"/>
        <v>0</v>
      </c>
      <c r="AM891" s="27">
        <f t="shared" si="117"/>
        <v>0</v>
      </c>
      <c r="AN891" s="27">
        <f t="shared" si="118"/>
        <v>0</v>
      </c>
      <c r="AO891" s="27">
        <f t="shared" si="119"/>
        <v>0</v>
      </c>
      <c r="AP891" s="27">
        <f t="shared" si="120"/>
        <v>0</v>
      </c>
      <c r="AQ891" s="27">
        <f t="shared" si="106"/>
        <v>0</v>
      </c>
      <c r="AS891" s="27">
        <f t="shared" si="95"/>
        <v>0</v>
      </c>
      <c r="AT891" s="27">
        <f t="shared" si="121"/>
        <v>0</v>
      </c>
      <c r="AU891" s="27">
        <f t="shared" si="122"/>
        <v>0</v>
      </c>
      <c r="AV891" s="27">
        <f t="shared" si="123"/>
        <v>0</v>
      </c>
      <c r="AW891" s="27">
        <f t="shared" si="124"/>
        <v>0</v>
      </c>
      <c r="AX891" s="27">
        <f t="shared" si="125"/>
        <v>0</v>
      </c>
      <c r="AY891" s="27">
        <f t="shared" si="126"/>
        <v>0</v>
      </c>
      <c r="AZ891" s="27">
        <f t="shared" si="127"/>
        <v>0</v>
      </c>
      <c r="BA891" s="27">
        <f t="shared" si="128"/>
        <v>0</v>
      </c>
      <c r="BB891" s="27">
        <f t="shared" si="129"/>
        <v>0</v>
      </c>
      <c r="BC891" s="27">
        <f t="shared" si="130"/>
        <v>0</v>
      </c>
      <c r="BD891" s="27">
        <f t="shared" si="131"/>
        <v>0</v>
      </c>
      <c r="BE891" s="27">
        <f t="shared" si="132"/>
        <v>0</v>
      </c>
      <c r="CC891" s="61"/>
    </row>
    <row r="892" spans="3:81" s="27" customFormat="1" ht="11.25" hidden="1" x14ac:dyDescent="0.2">
      <c r="C892" s="60">
        <f t="shared" ref="C892:G901" si="142">C286</f>
        <v>0</v>
      </c>
      <c r="D892" s="27">
        <f t="shared" si="142"/>
        <v>0</v>
      </c>
      <c r="E892" s="27">
        <f t="shared" si="142"/>
        <v>0</v>
      </c>
      <c r="F892" s="27">
        <f t="shared" si="142"/>
        <v>0</v>
      </c>
      <c r="G892" s="27">
        <f t="shared" si="142"/>
        <v>0</v>
      </c>
      <c r="H892" s="27">
        <f t="shared" ref="H892:S892" si="143">+($D892+($D892*$E892))*H286</f>
        <v>0</v>
      </c>
      <c r="I892" s="27">
        <f t="shared" si="143"/>
        <v>0</v>
      </c>
      <c r="J892" s="27">
        <f t="shared" si="143"/>
        <v>0</v>
      </c>
      <c r="K892" s="27">
        <f t="shared" si="143"/>
        <v>0</v>
      </c>
      <c r="L892" s="27">
        <f t="shared" si="143"/>
        <v>0</v>
      </c>
      <c r="M892" s="27">
        <f t="shared" si="143"/>
        <v>0</v>
      </c>
      <c r="N892" s="27">
        <f t="shared" si="143"/>
        <v>0</v>
      </c>
      <c r="O892" s="27">
        <f t="shared" si="143"/>
        <v>0</v>
      </c>
      <c r="P892" s="27">
        <f t="shared" si="143"/>
        <v>0</v>
      </c>
      <c r="Q892" s="27">
        <f t="shared" si="143"/>
        <v>0</v>
      </c>
      <c r="R892" s="27">
        <f t="shared" si="143"/>
        <v>0</v>
      </c>
      <c r="S892" s="27">
        <f t="shared" si="143"/>
        <v>0</v>
      </c>
      <c r="T892" s="27">
        <f t="shared" si="105"/>
        <v>0</v>
      </c>
      <c r="W892" s="60"/>
      <c r="AD892" s="27">
        <f t="shared" si="93"/>
        <v>0</v>
      </c>
      <c r="AE892" s="27">
        <f t="shared" si="109"/>
        <v>0</v>
      </c>
      <c r="AF892" s="27">
        <f t="shared" si="110"/>
        <v>0</v>
      </c>
      <c r="AG892" s="27">
        <f t="shared" si="111"/>
        <v>0</v>
      </c>
      <c r="AH892" s="27">
        <f t="shared" si="112"/>
        <v>0</v>
      </c>
      <c r="AI892" s="27">
        <f t="shared" si="113"/>
        <v>0</v>
      </c>
      <c r="AJ892" s="27">
        <f t="shared" si="114"/>
        <v>0</v>
      </c>
      <c r="AK892" s="27">
        <f t="shared" si="115"/>
        <v>0</v>
      </c>
      <c r="AL892" s="27">
        <f t="shared" si="116"/>
        <v>0</v>
      </c>
      <c r="AM892" s="27">
        <f t="shared" si="117"/>
        <v>0</v>
      </c>
      <c r="AN892" s="27">
        <f t="shared" si="118"/>
        <v>0</v>
      </c>
      <c r="AO892" s="27">
        <f t="shared" si="119"/>
        <v>0</v>
      </c>
      <c r="AP892" s="27">
        <f t="shared" si="120"/>
        <v>0</v>
      </c>
      <c r="AQ892" s="27">
        <f t="shared" si="106"/>
        <v>0</v>
      </c>
      <c r="AS892" s="27">
        <f t="shared" si="95"/>
        <v>0</v>
      </c>
      <c r="AT892" s="27">
        <f t="shared" si="121"/>
        <v>0</v>
      </c>
      <c r="AU892" s="27">
        <f t="shared" si="122"/>
        <v>0</v>
      </c>
      <c r="AV892" s="27">
        <f t="shared" si="123"/>
        <v>0</v>
      </c>
      <c r="AW892" s="27">
        <f t="shared" si="124"/>
        <v>0</v>
      </c>
      <c r="AX892" s="27">
        <f t="shared" si="125"/>
        <v>0</v>
      </c>
      <c r="AY892" s="27">
        <f t="shared" si="126"/>
        <v>0</v>
      </c>
      <c r="AZ892" s="27">
        <f t="shared" si="127"/>
        <v>0</v>
      </c>
      <c r="BA892" s="27">
        <f t="shared" si="128"/>
        <v>0</v>
      </c>
      <c r="BB892" s="27">
        <f t="shared" si="129"/>
        <v>0</v>
      </c>
      <c r="BC892" s="27">
        <f t="shared" si="130"/>
        <v>0</v>
      </c>
      <c r="BD892" s="27">
        <f t="shared" si="131"/>
        <v>0</v>
      </c>
      <c r="BE892" s="27">
        <f t="shared" si="132"/>
        <v>0</v>
      </c>
      <c r="CC892" s="61"/>
    </row>
    <row r="893" spans="3:81" s="27" customFormat="1" ht="11.25" hidden="1" x14ac:dyDescent="0.2">
      <c r="C893" s="60">
        <f t="shared" si="142"/>
        <v>0</v>
      </c>
      <c r="D893" s="27">
        <f t="shared" si="142"/>
        <v>0</v>
      </c>
      <c r="E893" s="27">
        <f t="shared" si="142"/>
        <v>0</v>
      </c>
      <c r="F893" s="27">
        <f t="shared" si="142"/>
        <v>0</v>
      </c>
      <c r="G893" s="27">
        <f t="shared" si="142"/>
        <v>0</v>
      </c>
      <c r="H893" s="27">
        <f t="shared" ref="H893:S893" si="144">+($D893+($D893*$E893))*H287</f>
        <v>0</v>
      </c>
      <c r="I893" s="27">
        <f t="shared" si="144"/>
        <v>0</v>
      </c>
      <c r="J893" s="27">
        <f t="shared" si="144"/>
        <v>0</v>
      </c>
      <c r="K893" s="27">
        <f t="shared" si="144"/>
        <v>0</v>
      </c>
      <c r="L893" s="27">
        <f t="shared" si="144"/>
        <v>0</v>
      </c>
      <c r="M893" s="27">
        <f t="shared" si="144"/>
        <v>0</v>
      </c>
      <c r="N893" s="27">
        <f t="shared" si="144"/>
        <v>0</v>
      </c>
      <c r="O893" s="27">
        <f t="shared" si="144"/>
        <v>0</v>
      </c>
      <c r="P893" s="27">
        <f t="shared" si="144"/>
        <v>0</v>
      </c>
      <c r="Q893" s="27">
        <f t="shared" si="144"/>
        <v>0</v>
      </c>
      <c r="R893" s="27">
        <f t="shared" si="144"/>
        <v>0</v>
      </c>
      <c r="S893" s="27">
        <f t="shared" si="144"/>
        <v>0</v>
      </c>
      <c r="T893" s="27">
        <f t="shared" si="105"/>
        <v>0</v>
      </c>
      <c r="W893" s="60"/>
      <c r="AD893" s="27">
        <f t="shared" ref="AD893:AD919" si="145">C893</f>
        <v>0</v>
      </c>
      <c r="AE893" s="27">
        <f t="shared" si="109"/>
        <v>0</v>
      </c>
      <c r="AF893" s="27">
        <f t="shared" si="110"/>
        <v>0</v>
      </c>
      <c r="AG893" s="27">
        <f t="shared" si="111"/>
        <v>0</v>
      </c>
      <c r="AH893" s="27">
        <f t="shared" si="112"/>
        <v>0</v>
      </c>
      <c r="AI893" s="27">
        <f t="shared" si="113"/>
        <v>0</v>
      </c>
      <c r="AJ893" s="27">
        <f t="shared" si="114"/>
        <v>0</v>
      </c>
      <c r="AK893" s="27">
        <f t="shared" si="115"/>
        <v>0</v>
      </c>
      <c r="AL893" s="27">
        <f t="shared" si="116"/>
        <v>0</v>
      </c>
      <c r="AM893" s="27">
        <f t="shared" si="117"/>
        <v>0</v>
      </c>
      <c r="AN893" s="27">
        <f t="shared" si="118"/>
        <v>0</v>
      </c>
      <c r="AO893" s="27">
        <f t="shared" si="119"/>
        <v>0</v>
      </c>
      <c r="AP893" s="27">
        <f t="shared" si="120"/>
        <v>0</v>
      </c>
      <c r="AQ893" s="27">
        <f t="shared" si="106"/>
        <v>0</v>
      </c>
      <c r="AS893" s="27">
        <f t="shared" ref="AS893:AS919" si="146">AD893</f>
        <v>0</v>
      </c>
      <c r="AT893" s="27">
        <f t="shared" si="121"/>
        <v>0</v>
      </c>
      <c r="AU893" s="27">
        <f t="shared" si="122"/>
        <v>0</v>
      </c>
      <c r="AV893" s="27">
        <f t="shared" si="123"/>
        <v>0</v>
      </c>
      <c r="AW893" s="27">
        <f t="shared" si="124"/>
        <v>0</v>
      </c>
      <c r="AX893" s="27">
        <f t="shared" si="125"/>
        <v>0</v>
      </c>
      <c r="AY893" s="27">
        <f t="shared" si="126"/>
        <v>0</v>
      </c>
      <c r="AZ893" s="27">
        <f t="shared" si="127"/>
        <v>0</v>
      </c>
      <c r="BA893" s="27">
        <f t="shared" si="128"/>
        <v>0</v>
      </c>
      <c r="BB893" s="27">
        <f t="shared" si="129"/>
        <v>0</v>
      </c>
      <c r="BC893" s="27">
        <f t="shared" si="130"/>
        <v>0</v>
      </c>
      <c r="BD893" s="27">
        <f t="shared" si="131"/>
        <v>0</v>
      </c>
      <c r="BE893" s="27">
        <f t="shared" si="132"/>
        <v>0</v>
      </c>
      <c r="CC893" s="61"/>
    </row>
    <row r="894" spans="3:81" s="27" customFormat="1" ht="11.25" hidden="1" x14ac:dyDescent="0.2">
      <c r="C894" s="60">
        <f t="shared" si="142"/>
        <v>0</v>
      </c>
      <c r="D894" s="27">
        <f t="shared" si="142"/>
        <v>0</v>
      </c>
      <c r="E894" s="27">
        <f t="shared" si="142"/>
        <v>0</v>
      </c>
      <c r="F894" s="27">
        <f t="shared" si="142"/>
        <v>0</v>
      </c>
      <c r="G894" s="27">
        <f t="shared" si="142"/>
        <v>0</v>
      </c>
      <c r="H894" s="27">
        <f t="shared" ref="H894:S894" si="147">+($D894+($D894*$E894))*H288</f>
        <v>0</v>
      </c>
      <c r="I894" s="27">
        <f t="shared" si="147"/>
        <v>0</v>
      </c>
      <c r="J894" s="27">
        <f t="shared" si="147"/>
        <v>0</v>
      </c>
      <c r="K894" s="27">
        <f t="shared" si="147"/>
        <v>0</v>
      </c>
      <c r="L894" s="27">
        <f t="shared" si="147"/>
        <v>0</v>
      </c>
      <c r="M894" s="27">
        <f t="shared" si="147"/>
        <v>0</v>
      </c>
      <c r="N894" s="27">
        <f t="shared" si="147"/>
        <v>0</v>
      </c>
      <c r="O894" s="27">
        <f t="shared" si="147"/>
        <v>0</v>
      </c>
      <c r="P894" s="27">
        <f t="shared" si="147"/>
        <v>0</v>
      </c>
      <c r="Q894" s="27">
        <f t="shared" si="147"/>
        <v>0</v>
      </c>
      <c r="R894" s="27">
        <f t="shared" si="147"/>
        <v>0</v>
      </c>
      <c r="S894" s="27">
        <f t="shared" si="147"/>
        <v>0</v>
      </c>
      <c r="T894" s="27">
        <f t="shared" si="105"/>
        <v>0</v>
      </c>
      <c r="W894" s="60"/>
      <c r="AD894" s="27">
        <f t="shared" si="145"/>
        <v>0</v>
      </c>
      <c r="AE894" s="27">
        <f t="shared" si="109"/>
        <v>0</v>
      </c>
      <c r="AF894" s="27">
        <f t="shared" si="110"/>
        <v>0</v>
      </c>
      <c r="AG894" s="27">
        <f t="shared" si="111"/>
        <v>0</v>
      </c>
      <c r="AH894" s="27">
        <f t="shared" si="112"/>
        <v>0</v>
      </c>
      <c r="AI894" s="27">
        <f t="shared" si="113"/>
        <v>0</v>
      </c>
      <c r="AJ894" s="27">
        <f t="shared" si="114"/>
        <v>0</v>
      </c>
      <c r="AK894" s="27">
        <f t="shared" si="115"/>
        <v>0</v>
      </c>
      <c r="AL894" s="27">
        <f t="shared" si="116"/>
        <v>0</v>
      </c>
      <c r="AM894" s="27">
        <f t="shared" si="117"/>
        <v>0</v>
      </c>
      <c r="AN894" s="27">
        <f t="shared" si="118"/>
        <v>0</v>
      </c>
      <c r="AO894" s="27">
        <f t="shared" si="119"/>
        <v>0</v>
      </c>
      <c r="AP894" s="27">
        <f t="shared" si="120"/>
        <v>0</v>
      </c>
      <c r="AQ894" s="27">
        <f t="shared" si="106"/>
        <v>0</v>
      </c>
      <c r="AS894" s="27">
        <f t="shared" si="146"/>
        <v>0</v>
      </c>
      <c r="AT894" s="27">
        <f t="shared" si="121"/>
        <v>0</v>
      </c>
      <c r="AU894" s="27">
        <f t="shared" si="122"/>
        <v>0</v>
      </c>
      <c r="AV894" s="27">
        <f t="shared" si="123"/>
        <v>0</v>
      </c>
      <c r="AW894" s="27">
        <f t="shared" si="124"/>
        <v>0</v>
      </c>
      <c r="AX894" s="27">
        <f t="shared" si="125"/>
        <v>0</v>
      </c>
      <c r="AY894" s="27">
        <f t="shared" si="126"/>
        <v>0</v>
      </c>
      <c r="AZ894" s="27">
        <f t="shared" si="127"/>
        <v>0</v>
      </c>
      <c r="BA894" s="27">
        <f t="shared" si="128"/>
        <v>0</v>
      </c>
      <c r="BB894" s="27">
        <f t="shared" si="129"/>
        <v>0</v>
      </c>
      <c r="BC894" s="27">
        <f t="shared" si="130"/>
        <v>0</v>
      </c>
      <c r="BD894" s="27">
        <f t="shared" si="131"/>
        <v>0</v>
      </c>
      <c r="BE894" s="27">
        <f t="shared" si="132"/>
        <v>0</v>
      </c>
      <c r="CC894" s="61"/>
    </row>
    <row r="895" spans="3:81" s="27" customFormat="1" ht="11.25" hidden="1" x14ac:dyDescent="0.2">
      <c r="C895" s="60">
        <f t="shared" si="142"/>
        <v>0</v>
      </c>
      <c r="D895" s="27">
        <f t="shared" si="142"/>
        <v>0</v>
      </c>
      <c r="E895" s="27">
        <f t="shared" si="142"/>
        <v>0</v>
      </c>
      <c r="F895" s="27">
        <f t="shared" si="142"/>
        <v>0</v>
      </c>
      <c r="G895" s="27">
        <f t="shared" si="142"/>
        <v>0</v>
      </c>
      <c r="H895" s="27">
        <f t="shared" ref="H895:S895" si="148">+($D895+($D895*$E895))*H289</f>
        <v>0</v>
      </c>
      <c r="I895" s="27">
        <f t="shared" si="148"/>
        <v>0</v>
      </c>
      <c r="J895" s="27">
        <f t="shared" si="148"/>
        <v>0</v>
      </c>
      <c r="K895" s="27">
        <f t="shared" si="148"/>
        <v>0</v>
      </c>
      <c r="L895" s="27">
        <f t="shared" si="148"/>
        <v>0</v>
      </c>
      <c r="M895" s="27">
        <f t="shared" si="148"/>
        <v>0</v>
      </c>
      <c r="N895" s="27">
        <f t="shared" si="148"/>
        <v>0</v>
      </c>
      <c r="O895" s="27">
        <f t="shared" si="148"/>
        <v>0</v>
      </c>
      <c r="P895" s="27">
        <f t="shared" si="148"/>
        <v>0</v>
      </c>
      <c r="Q895" s="27">
        <f t="shared" si="148"/>
        <v>0</v>
      </c>
      <c r="R895" s="27">
        <f t="shared" si="148"/>
        <v>0</v>
      </c>
      <c r="S895" s="27">
        <f t="shared" si="148"/>
        <v>0</v>
      </c>
      <c r="T895" s="27">
        <f t="shared" si="105"/>
        <v>0</v>
      </c>
      <c r="W895" s="60"/>
      <c r="AD895" s="27">
        <f t="shared" si="145"/>
        <v>0</v>
      </c>
      <c r="AE895" s="27">
        <f t="shared" si="109"/>
        <v>0</v>
      </c>
      <c r="AF895" s="27">
        <f t="shared" si="110"/>
        <v>0</v>
      </c>
      <c r="AG895" s="27">
        <f t="shared" si="111"/>
        <v>0</v>
      </c>
      <c r="AH895" s="27">
        <f t="shared" si="112"/>
        <v>0</v>
      </c>
      <c r="AI895" s="27">
        <f t="shared" si="113"/>
        <v>0</v>
      </c>
      <c r="AJ895" s="27">
        <f t="shared" si="114"/>
        <v>0</v>
      </c>
      <c r="AK895" s="27">
        <f t="shared" si="115"/>
        <v>0</v>
      </c>
      <c r="AL895" s="27">
        <f t="shared" si="116"/>
        <v>0</v>
      </c>
      <c r="AM895" s="27">
        <f t="shared" si="117"/>
        <v>0</v>
      </c>
      <c r="AN895" s="27">
        <f t="shared" si="118"/>
        <v>0</v>
      </c>
      <c r="AO895" s="27">
        <f t="shared" si="119"/>
        <v>0</v>
      </c>
      <c r="AP895" s="27">
        <f t="shared" si="120"/>
        <v>0</v>
      </c>
      <c r="AQ895" s="27">
        <f t="shared" si="106"/>
        <v>0</v>
      </c>
      <c r="AS895" s="27">
        <f t="shared" si="146"/>
        <v>0</v>
      </c>
      <c r="AT895" s="27">
        <f t="shared" si="121"/>
        <v>0</v>
      </c>
      <c r="AU895" s="27">
        <f t="shared" si="122"/>
        <v>0</v>
      </c>
      <c r="AV895" s="27">
        <f t="shared" si="123"/>
        <v>0</v>
      </c>
      <c r="AW895" s="27">
        <f t="shared" si="124"/>
        <v>0</v>
      </c>
      <c r="AX895" s="27">
        <f t="shared" si="125"/>
        <v>0</v>
      </c>
      <c r="AY895" s="27">
        <f t="shared" si="126"/>
        <v>0</v>
      </c>
      <c r="AZ895" s="27">
        <f t="shared" si="127"/>
        <v>0</v>
      </c>
      <c r="BA895" s="27">
        <f t="shared" si="128"/>
        <v>0</v>
      </c>
      <c r="BB895" s="27">
        <f t="shared" si="129"/>
        <v>0</v>
      </c>
      <c r="BC895" s="27">
        <f t="shared" si="130"/>
        <v>0</v>
      </c>
      <c r="BD895" s="27">
        <f t="shared" si="131"/>
        <v>0</v>
      </c>
      <c r="BE895" s="27">
        <f t="shared" si="132"/>
        <v>0</v>
      </c>
      <c r="CC895" s="61"/>
    </row>
    <row r="896" spans="3:81" s="27" customFormat="1" ht="11.25" hidden="1" x14ac:dyDescent="0.2">
      <c r="C896" s="60">
        <f t="shared" si="142"/>
        <v>0</v>
      </c>
      <c r="D896" s="27">
        <f t="shared" si="142"/>
        <v>0</v>
      </c>
      <c r="E896" s="27">
        <f t="shared" si="142"/>
        <v>0</v>
      </c>
      <c r="F896" s="27">
        <f t="shared" si="142"/>
        <v>0</v>
      </c>
      <c r="G896" s="27">
        <f t="shared" si="142"/>
        <v>0</v>
      </c>
      <c r="H896" s="27">
        <f t="shared" ref="H896:S896" si="149">+($D896+($D896*$E896))*H290</f>
        <v>0</v>
      </c>
      <c r="I896" s="27">
        <f t="shared" si="149"/>
        <v>0</v>
      </c>
      <c r="J896" s="27">
        <f t="shared" si="149"/>
        <v>0</v>
      </c>
      <c r="K896" s="27">
        <f t="shared" si="149"/>
        <v>0</v>
      </c>
      <c r="L896" s="27">
        <f t="shared" si="149"/>
        <v>0</v>
      </c>
      <c r="M896" s="27">
        <f t="shared" si="149"/>
        <v>0</v>
      </c>
      <c r="N896" s="27">
        <f t="shared" si="149"/>
        <v>0</v>
      </c>
      <c r="O896" s="27">
        <f t="shared" si="149"/>
        <v>0</v>
      </c>
      <c r="P896" s="27">
        <f t="shared" si="149"/>
        <v>0</v>
      </c>
      <c r="Q896" s="27">
        <f t="shared" si="149"/>
        <v>0</v>
      </c>
      <c r="R896" s="27">
        <f t="shared" si="149"/>
        <v>0</v>
      </c>
      <c r="S896" s="27">
        <f t="shared" si="149"/>
        <v>0</v>
      </c>
      <c r="T896" s="27">
        <f t="shared" si="105"/>
        <v>0</v>
      </c>
      <c r="W896" s="60"/>
      <c r="AD896" s="27">
        <f t="shared" si="145"/>
        <v>0</v>
      </c>
      <c r="AE896" s="27">
        <f t="shared" si="109"/>
        <v>0</v>
      </c>
      <c r="AF896" s="27">
        <f t="shared" si="110"/>
        <v>0</v>
      </c>
      <c r="AG896" s="27">
        <f t="shared" si="111"/>
        <v>0</v>
      </c>
      <c r="AH896" s="27">
        <f t="shared" si="112"/>
        <v>0</v>
      </c>
      <c r="AI896" s="27">
        <f t="shared" si="113"/>
        <v>0</v>
      </c>
      <c r="AJ896" s="27">
        <f t="shared" si="114"/>
        <v>0</v>
      </c>
      <c r="AK896" s="27">
        <f t="shared" si="115"/>
        <v>0</v>
      </c>
      <c r="AL896" s="27">
        <f t="shared" si="116"/>
        <v>0</v>
      </c>
      <c r="AM896" s="27">
        <f t="shared" si="117"/>
        <v>0</v>
      </c>
      <c r="AN896" s="27">
        <f t="shared" si="118"/>
        <v>0</v>
      </c>
      <c r="AO896" s="27">
        <f t="shared" si="119"/>
        <v>0</v>
      </c>
      <c r="AP896" s="27">
        <f t="shared" si="120"/>
        <v>0</v>
      </c>
      <c r="AQ896" s="27">
        <f t="shared" si="106"/>
        <v>0</v>
      </c>
      <c r="AS896" s="27">
        <f t="shared" si="146"/>
        <v>0</v>
      </c>
      <c r="AT896" s="27">
        <f t="shared" si="121"/>
        <v>0</v>
      </c>
      <c r="AU896" s="27">
        <f t="shared" si="122"/>
        <v>0</v>
      </c>
      <c r="AV896" s="27">
        <f t="shared" si="123"/>
        <v>0</v>
      </c>
      <c r="AW896" s="27">
        <f t="shared" si="124"/>
        <v>0</v>
      </c>
      <c r="AX896" s="27">
        <f t="shared" si="125"/>
        <v>0</v>
      </c>
      <c r="AY896" s="27">
        <f t="shared" si="126"/>
        <v>0</v>
      </c>
      <c r="AZ896" s="27">
        <f t="shared" si="127"/>
        <v>0</v>
      </c>
      <c r="BA896" s="27">
        <f t="shared" si="128"/>
        <v>0</v>
      </c>
      <c r="BB896" s="27">
        <f t="shared" si="129"/>
        <v>0</v>
      </c>
      <c r="BC896" s="27">
        <f t="shared" si="130"/>
        <v>0</v>
      </c>
      <c r="BD896" s="27">
        <f t="shared" si="131"/>
        <v>0</v>
      </c>
      <c r="BE896" s="27">
        <f t="shared" si="132"/>
        <v>0</v>
      </c>
      <c r="CC896" s="61"/>
    </row>
    <row r="897" spans="3:81" s="27" customFormat="1" ht="11.25" hidden="1" x14ac:dyDescent="0.2">
      <c r="C897" s="60">
        <f t="shared" si="142"/>
        <v>0</v>
      </c>
      <c r="D897" s="27">
        <f t="shared" si="142"/>
        <v>0</v>
      </c>
      <c r="E897" s="27">
        <f t="shared" si="142"/>
        <v>0</v>
      </c>
      <c r="F897" s="27">
        <f t="shared" si="142"/>
        <v>0</v>
      </c>
      <c r="G897" s="27">
        <f t="shared" si="142"/>
        <v>0</v>
      </c>
      <c r="H897" s="27">
        <f t="shared" ref="H897:S897" si="150">+($D897+($D897*$E897))*H291</f>
        <v>0</v>
      </c>
      <c r="I897" s="27">
        <f t="shared" si="150"/>
        <v>0</v>
      </c>
      <c r="J897" s="27">
        <f t="shared" si="150"/>
        <v>0</v>
      </c>
      <c r="K897" s="27">
        <f t="shared" si="150"/>
        <v>0</v>
      </c>
      <c r="L897" s="27">
        <f t="shared" si="150"/>
        <v>0</v>
      </c>
      <c r="M897" s="27">
        <f t="shared" si="150"/>
        <v>0</v>
      </c>
      <c r="N897" s="27">
        <f t="shared" si="150"/>
        <v>0</v>
      </c>
      <c r="O897" s="27">
        <f t="shared" si="150"/>
        <v>0</v>
      </c>
      <c r="P897" s="27">
        <f t="shared" si="150"/>
        <v>0</v>
      </c>
      <c r="Q897" s="27">
        <f t="shared" si="150"/>
        <v>0</v>
      </c>
      <c r="R897" s="27">
        <f t="shared" si="150"/>
        <v>0</v>
      </c>
      <c r="S897" s="27">
        <f t="shared" si="150"/>
        <v>0</v>
      </c>
      <c r="T897" s="27">
        <f t="shared" si="105"/>
        <v>0</v>
      </c>
      <c r="W897" s="60"/>
      <c r="AD897" s="27">
        <f t="shared" si="145"/>
        <v>0</v>
      </c>
      <c r="AE897" s="27">
        <f t="shared" si="109"/>
        <v>0</v>
      </c>
      <c r="AF897" s="27">
        <f t="shared" si="110"/>
        <v>0</v>
      </c>
      <c r="AG897" s="27">
        <f t="shared" si="111"/>
        <v>0</v>
      </c>
      <c r="AH897" s="27">
        <f t="shared" si="112"/>
        <v>0</v>
      </c>
      <c r="AI897" s="27">
        <f t="shared" si="113"/>
        <v>0</v>
      </c>
      <c r="AJ897" s="27">
        <f t="shared" si="114"/>
        <v>0</v>
      </c>
      <c r="AK897" s="27">
        <f t="shared" si="115"/>
        <v>0</v>
      </c>
      <c r="AL897" s="27">
        <f t="shared" si="116"/>
        <v>0</v>
      </c>
      <c r="AM897" s="27">
        <f t="shared" si="117"/>
        <v>0</v>
      </c>
      <c r="AN897" s="27">
        <f t="shared" si="118"/>
        <v>0</v>
      </c>
      <c r="AO897" s="27">
        <f t="shared" si="119"/>
        <v>0</v>
      </c>
      <c r="AP897" s="27">
        <f t="shared" si="120"/>
        <v>0</v>
      </c>
      <c r="AQ897" s="27">
        <f t="shared" si="106"/>
        <v>0</v>
      </c>
      <c r="AS897" s="27">
        <f t="shared" si="146"/>
        <v>0</v>
      </c>
      <c r="AT897" s="27">
        <f t="shared" si="121"/>
        <v>0</v>
      </c>
      <c r="AU897" s="27">
        <f t="shared" si="122"/>
        <v>0</v>
      </c>
      <c r="AV897" s="27">
        <f t="shared" si="123"/>
        <v>0</v>
      </c>
      <c r="AW897" s="27">
        <f t="shared" si="124"/>
        <v>0</v>
      </c>
      <c r="AX897" s="27">
        <f t="shared" si="125"/>
        <v>0</v>
      </c>
      <c r="AY897" s="27">
        <f t="shared" si="126"/>
        <v>0</v>
      </c>
      <c r="AZ897" s="27">
        <f t="shared" si="127"/>
        <v>0</v>
      </c>
      <c r="BA897" s="27">
        <f t="shared" si="128"/>
        <v>0</v>
      </c>
      <c r="BB897" s="27">
        <f t="shared" si="129"/>
        <v>0</v>
      </c>
      <c r="BC897" s="27">
        <f t="shared" si="130"/>
        <v>0</v>
      </c>
      <c r="BD897" s="27">
        <f t="shared" si="131"/>
        <v>0</v>
      </c>
      <c r="BE897" s="27">
        <f t="shared" si="132"/>
        <v>0</v>
      </c>
      <c r="CC897" s="61"/>
    </row>
    <row r="898" spans="3:81" s="27" customFormat="1" ht="11.25" hidden="1" x14ac:dyDescent="0.2">
      <c r="C898" s="60">
        <f t="shared" si="142"/>
        <v>0</v>
      </c>
      <c r="D898" s="27">
        <f t="shared" si="142"/>
        <v>0</v>
      </c>
      <c r="E898" s="27">
        <f t="shared" si="142"/>
        <v>0</v>
      </c>
      <c r="F898" s="27">
        <f t="shared" si="142"/>
        <v>0</v>
      </c>
      <c r="G898" s="27">
        <f t="shared" si="142"/>
        <v>0</v>
      </c>
      <c r="H898" s="27">
        <f t="shared" ref="H898:S898" si="151">+($D898+($D898*$E898))*H292</f>
        <v>0</v>
      </c>
      <c r="I898" s="27">
        <f t="shared" si="151"/>
        <v>0</v>
      </c>
      <c r="J898" s="27">
        <f t="shared" si="151"/>
        <v>0</v>
      </c>
      <c r="K898" s="27">
        <f t="shared" si="151"/>
        <v>0</v>
      </c>
      <c r="L898" s="27">
        <f t="shared" si="151"/>
        <v>0</v>
      </c>
      <c r="M898" s="27">
        <f t="shared" si="151"/>
        <v>0</v>
      </c>
      <c r="N898" s="27">
        <f t="shared" si="151"/>
        <v>0</v>
      </c>
      <c r="O898" s="27">
        <f t="shared" si="151"/>
        <v>0</v>
      </c>
      <c r="P898" s="27">
        <f t="shared" si="151"/>
        <v>0</v>
      </c>
      <c r="Q898" s="27">
        <f t="shared" si="151"/>
        <v>0</v>
      </c>
      <c r="R898" s="27">
        <f t="shared" si="151"/>
        <v>0</v>
      </c>
      <c r="S898" s="27">
        <f t="shared" si="151"/>
        <v>0</v>
      </c>
      <c r="T898" s="27">
        <f t="shared" si="105"/>
        <v>0</v>
      </c>
      <c r="W898" s="60"/>
      <c r="AD898" s="27">
        <f t="shared" si="145"/>
        <v>0</v>
      </c>
      <c r="AE898" s="27">
        <f t="shared" si="109"/>
        <v>0</v>
      </c>
      <c r="AF898" s="27">
        <f t="shared" si="110"/>
        <v>0</v>
      </c>
      <c r="AG898" s="27">
        <f t="shared" si="111"/>
        <v>0</v>
      </c>
      <c r="AH898" s="27">
        <f t="shared" si="112"/>
        <v>0</v>
      </c>
      <c r="AI898" s="27">
        <f t="shared" si="113"/>
        <v>0</v>
      </c>
      <c r="AJ898" s="27">
        <f t="shared" si="114"/>
        <v>0</v>
      </c>
      <c r="AK898" s="27">
        <f t="shared" si="115"/>
        <v>0</v>
      </c>
      <c r="AL898" s="27">
        <f t="shared" si="116"/>
        <v>0</v>
      </c>
      <c r="AM898" s="27">
        <f t="shared" si="117"/>
        <v>0</v>
      </c>
      <c r="AN898" s="27">
        <f t="shared" si="118"/>
        <v>0</v>
      </c>
      <c r="AO898" s="27">
        <f t="shared" si="119"/>
        <v>0</v>
      </c>
      <c r="AP898" s="27">
        <f t="shared" si="120"/>
        <v>0</v>
      </c>
      <c r="AQ898" s="27">
        <f t="shared" si="106"/>
        <v>0</v>
      </c>
      <c r="AS898" s="27">
        <f t="shared" si="146"/>
        <v>0</v>
      </c>
      <c r="AT898" s="27">
        <f t="shared" si="121"/>
        <v>0</v>
      </c>
      <c r="AU898" s="27">
        <f t="shared" si="122"/>
        <v>0</v>
      </c>
      <c r="AV898" s="27">
        <f t="shared" si="123"/>
        <v>0</v>
      </c>
      <c r="AW898" s="27">
        <f t="shared" si="124"/>
        <v>0</v>
      </c>
      <c r="AX898" s="27">
        <f t="shared" si="125"/>
        <v>0</v>
      </c>
      <c r="AY898" s="27">
        <f t="shared" si="126"/>
        <v>0</v>
      </c>
      <c r="AZ898" s="27">
        <f t="shared" si="127"/>
        <v>0</v>
      </c>
      <c r="BA898" s="27">
        <f t="shared" si="128"/>
        <v>0</v>
      </c>
      <c r="BB898" s="27">
        <f t="shared" si="129"/>
        <v>0</v>
      </c>
      <c r="BC898" s="27">
        <f t="shared" si="130"/>
        <v>0</v>
      </c>
      <c r="BD898" s="27">
        <f t="shared" si="131"/>
        <v>0</v>
      </c>
      <c r="BE898" s="27">
        <f t="shared" si="132"/>
        <v>0</v>
      </c>
      <c r="CC898" s="61"/>
    </row>
    <row r="899" spans="3:81" s="27" customFormat="1" ht="11.25" hidden="1" x14ac:dyDescent="0.2">
      <c r="C899" s="60">
        <f t="shared" si="142"/>
        <v>0</v>
      </c>
      <c r="D899" s="27">
        <f t="shared" si="142"/>
        <v>0</v>
      </c>
      <c r="E899" s="27">
        <f t="shared" si="142"/>
        <v>0</v>
      </c>
      <c r="F899" s="27">
        <f t="shared" si="142"/>
        <v>0</v>
      </c>
      <c r="G899" s="27">
        <f t="shared" si="142"/>
        <v>0</v>
      </c>
      <c r="H899" s="27">
        <f t="shared" ref="H899:S899" si="152">+($D899+($D899*$E899))*H293</f>
        <v>0</v>
      </c>
      <c r="I899" s="27">
        <f t="shared" si="152"/>
        <v>0</v>
      </c>
      <c r="J899" s="27">
        <f t="shared" si="152"/>
        <v>0</v>
      </c>
      <c r="K899" s="27">
        <f t="shared" si="152"/>
        <v>0</v>
      </c>
      <c r="L899" s="27">
        <f t="shared" si="152"/>
        <v>0</v>
      </c>
      <c r="M899" s="27">
        <f t="shared" si="152"/>
        <v>0</v>
      </c>
      <c r="N899" s="27">
        <f t="shared" si="152"/>
        <v>0</v>
      </c>
      <c r="O899" s="27">
        <f t="shared" si="152"/>
        <v>0</v>
      </c>
      <c r="P899" s="27">
        <f t="shared" si="152"/>
        <v>0</v>
      </c>
      <c r="Q899" s="27">
        <f t="shared" si="152"/>
        <v>0</v>
      </c>
      <c r="R899" s="27">
        <f t="shared" si="152"/>
        <v>0</v>
      </c>
      <c r="S899" s="27">
        <f t="shared" si="152"/>
        <v>0</v>
      </c>
      <c r="T899" s="27">
        <f t="shared" si="105"/>
        <v>0</v>
      </c>
      <c r="W899" s="60"/>
      <c r="AD899" s="27">
        <f t="shared" si="145"/>
        <v>0</v>
      </c>
      <c r="AE899" s="27">
        <f t="shared" si="109"/>
        <v>0</v>
      </c>
      <c r="AF899" s="27">
        <f t="shared" si="110"/>
        <v>0</v>
      </c>
      <c r="AG899" s="27">
        <f t="shared" si="111"/>
        <v>0</v>
      </c>
      <c r="AH899" s="27">
        <f t="shared" si="112"/>
        <v>0</v>
      </c>
      <c r="AI899" s="27">
        <f t="shared" si="113"/>
        <v>0</v>
      </c>
      <c r="AJ899" s="27">
        <f t="shared" si="114"/>
        <v>0</v>
      </c>
      <c r="AK899" s="27">
        <f t="shared" si="115"/>
        <v>0</v>
      </c>
      <c r="AL899" s="27">
        <f t="shared" si="116"/>
        <v>0</v>
      </c>
      <c r="AM899" s="27">
        <f t="shared" si="117"/>
        <v>0</v>
      </c>
      <c r="AN899" s="27">
        <f t="shared" si="118"/>
        <v>0</v>
      </c>
      <c r="AO899" s="27">
        <f t="shared" si="119"/>
        <v>0</v>
      </c>
      <c r="AP899" s="27">
        <f t="shared" si="120"/>
        <v>0</v>
      </c>
      <c r="AQ899" s="27">
        <f t="shared" si="106"/>
        <v>0</v>
      </c>
      <c r="AS899" s="27">
        <f t="shared" si="146"/>
        <v>0</v>
      </c>
      <c r="AT899" s="27">
        <f t="shared" si="121"/>
        <v>0</v>
      </c>
      <c r="AU899" s="27">
        <f t="shared" si="122"/>
        <v>0</v>
      </c>
      <c r="AV899" s="27">
        <f t="shared" si="123"/>
        <v>0</v>
      </c>
      <c r="AW899" s="27">
        <f t="shared" si="124"/>
        <v>0</v>
      </c>
      <c r="AX899" s="27">
        <f t="shared" si="125"/>
        <v>0</v>
      </c>
      <c r="AY899" s="27">
        <f t="shared" si="126"/>
        <v>0</v>
      </c>
      <c r="AZ899" s="27">
        <f t="shared" si="127"/>
        <v>0</v>
      </c>
      <c r="BA899" s="27">
        <f t="shared" si="128"/>
        <v>0</v>
      </c>
      <c r="BB899" s="27">
        <f t="shared" si="129"/>
        <v>0</v>
      </c>
      <c r="BC899" s="27">
        <f t="shared" si="130"/>
        <v>0</v>
      </c>
      <c r="BD899" s="27">
        <f t="shared" si="131"/>
        <v>0</v>
      </c>
      <c r="BE899" s="27">
        <f t="shared" si="132"/>
        <v>0</v>
      </c>
      <c r="CC899" s="61"/>
    </row>
    <row r="900" spans="3:81" s="27" customFormat="1" ht="11.25" hidden="1" x14ac:dyDescent="0.2">
      <c r="C900" s="60">
        <f t="shared" si="142"/>
        <v>0</v>
      </c>
      <c r="D900" s="27">
        <f t="shared" si="142"/>
        <v>0</v>
      </c>
      <c r="E900" s="27">
        <f t="shared" si="142"/>
        <v>0</v>
      </c>
      <c r="F900" s="27">
        <f t="shared" si="142"/>
        <v>0</v>
      </c>
      <c r="G900" s="27">
        <f t="shared" si="142"/>
        <v>0</v>
      </c>
      <c r="H900" s="27">
        <f t="shared" ref="H900:S900" si="153">+($D900+($D900*$E900))*H294</f>
        <v>0</v>
      </c>
      <c r="I900" s="27">
        <f t="shared" si="153"/>
        <v>0</v>
      </c>
      <c r="J900" s="27">
        <f t="shared" si="153"/>
        <v>0</v>
      </c>
      <c r="K900" s="27">
        <f t="shared" si="153"/>
        <v>0</v>
      </c>
      <c r="L900" s="27">
        <f t="shared" si="153"/>
        <v>0</v>
      </c>
      <c r="M900" s="27">
        <f t="shared" si="153"/>
        <v>0</v>
      </c>
      <c r="N900" s="27">
        <f t="shared" si="153"/>
        <v>0</v>
      </c>
      <c r="O900" s="27">
        <f t="shared" si="153"/>
        <v>0</v>
      </c>
      <c r="P900" s="27">
        <f t="shared" si="153"/>
        <v>0</v>
      </c>
      <c r="Q900" s="27">
        <f t="shared" si="153"/>
        <v>0</v>
      </c>
      <c r="R900" s="27">
        <f t="shared" si="153"/>
        <v>0</v>
      </c>
      <c r="S900" s="27">
        <f t="shared" si="153"/>
        <v>0</v>
      </c>
      <c r="T900" s="27">
        <f t="shared" si="105"/>
        <v>0</v>
      </c>
      <c r="W900" s="60"/>
      <c r="AD900" s="27">
        <f t="shared" si="145"/>
        <v>0</v>
      </c>
      <c r="AE900" s="27">
        <f t="shared" si="109"/>
        <v>0</v>
      </c>
      <c r="AF900" s="27">
        <f t="shared" si="110"/>
        <v>0</v>
      </c>
      <c r="AG900" s="27">
        <f t="shared" si="111"/>
        <v>0</v>
      </c>
      <c r="AH900" s="27">
        <f t="shared" si="112"/>
        <v>0</v>
      </c>
      <c r="AI900" s="27">
        <f t="shared" si="113"/>
        <v>0</v>
      </c>
      <c r="AJ900" s="27">
        <f t="shared" si="114"/>
        <v>0</v>
      </c>
      <c r="AK900" s="27">
        <f t="shared" si="115"/>
        <v>0</v>
      </c>
      <c r="AL900" s="27">
        <f t="shared" si="116"/>
        <v>0</v>
      </c>
      <c r="AM900" s="27">
        <f t="shared" si="117"/>
        <v>0</v>
      </c>
      <c r="AN900" s="27">
        <f t="shared" si="118"/>
        <v>0</v>
      </c>
      <c r="AO900" s="27">
        <f t="shared" si="119"/>
        <v>0</v>
      </c>
      <c r="AP900" s="27">
        <f t="shared" si="120"/>
        <v>0</v>
      </c>
      <c r="AQ900" s="27">
        <f t="shared" si="106"/>
        <v>0</v>
      </c>
      <c r="AS900" s="27">
        <f t="shared" si="146"/>
        <v>0</v>
      </c>
      <c r="AT900" s="27">
        <f t="shared" si="121"/>
        <v>0</v>
      </c>
      <c r="AU900" s="27">
        <f t="shared" si="122"/>
        <v>0</v>
      </c>
      <c r="AV900" s="27">
        <f t="shared" si="123"/>
        <v>0</v>
      </c>
      <c r="AW900" s="27">
        <f t="shared" si="124"/>
        <v>0</v>
      </c>
      <c r="AX900" s="27">
        <f t="shared" si="125"/>
        <v>0</v>
      </c>
      <c r="AY900" s="27">
        <f t="shared" si="126"/>
        <v>0</v>
      </c>
      <c r="AZ900" s="27">
        <f t="shared" si="127"/>
        <v>0</v>
      </c>
      <c r="BA900" s="27">
        <f t="shared" si="128"/>
        <v>0</v>
      </c>
      <c r="BB900" s="27">
        <f t="shared" si="129"/>
        <v>0</v>
      </c>
      <c r="BC900" s="27">
        <f t="shared" si="130"/>
        <v>0</v>
      </c>
      <c r="BD900" s="27">
        <f t="shared" si="131"/>
        <v>0</v>
      </c>
      <c r="BE900" s="27">
        <f t="shared" si="132"/>
        <v>0</v>
      </c>
      <c r="CC900" s="61"/>
    </row>
    <row r="901" spans="3:81" s="27" customFormat="1" ht="11.25" hidden="1" x14ac:dyDescent="0.2">
      <c r="C901" s="60">
        <f t="shared" si="142"/>
        <v>0</v>
      </c>
      <c r="D901" s="27">
        <f t="shared" si="142"/>
        <v>0</v>
      </c>
      <c r="E901" s="27">
        <f t="shared" si="142"/>
        <v>0</v>
      </c>
      <c r="F901" s="27">
        <f t="shared" si="142"/>
        <v>0</v>
      </c>
      <c r="G901" s="27">
        <f t="shared" si="142"/>
        <v>0</v>
      </c>
      <c r="H901" s="27">
        <f t="shared" ref="H901:S901" si="154">+($D901+($D901*$E901))*H295</f>
        <v>0</v>
      </c>
      <c r="I901" s="27">
        <f t="shared" si="154"/>
        <v>0</v>
      </c>
      <c r="J901" s="27">
        <f t="shared" si="154"/>
        <v>0</v>
      </c>
      <c r="K901" s="27">
        <f t="shared" si="154"/>
        <v>0</v>
      </c>
      <c r="L901" s="27">
        <f t="shared" si="154"/>
        <v>0</v>
      </c>
      <c r="M901" s="27">
        <f t="shared" si="154"/>
        <v>0</v>
      </c>
      <c r="N901" s="27">
        <f t="shared" si="154"/>
        <v>0</v>
      </c>
      <c r="O901" s="27">
        <f t="shared" si="154"/>
        <v>0</v>
      </c>
      <c r="P901" s="27">
        <f t="shared" si="154"/>
        <v>0</v>
      </c>
      <c r="Q901" s="27">
        <f t="shared" si="154"/>
        <v>0</v>
      </c>
      <c r="R901" s="27">
        <f t="shared" si="154"/>
        <v>0</v>
      </c>
      <c r="S901" s="27">
        <f t="shared" si="154"/>
        <v>0</v>
      </c>
      <c r="T901" s="27">
        <f t="shared" si="105"/>
        <v>0</v>
      </c>
      <c r="W901" s="60"/>
      <c r="AD901" s="27">
        <f t="shared" si="145"/>
        <v>0</v>
      </c>
      <c r="AE901" s="27">
        <f t="shared" si="109"/>
        <v>0</v>
      </c>
      <c r="AF901" s="27">
        <f t="shared" si="110"/>
        <v>0</v>
      </c>
      <c r="AG901" s="27">
        <f t="shared" si="111"/>
        <v>0</v>
      </c>
      <c r="AH901" s="27">
        <f t="shared" si="112"/>
        <v>0</v>
      </c>
      <c r="AI901" s="27">
        <f t="shared" si="113"/>
        <v>0</v>
      </c>
      <c r="AJ901" s="27">
        <f t="shared" si="114"/>
        <v>0</v>
      </c>
      <c r="AK901" s="27">
        <f t="shared" si="115"/>
        <v>0</v>
      </c>
      <c r="AL901" s="27">
        <f t="shared" si="116"/>
        <v>0</v>
      </c>
      <c r="AM901" s="27">
        <f t="shared" si="117"/>
        <v>0</v>
      </c>
      <c r="AN901" s="27">
        <f t="shared" si="118"/>
        <v>0</v>
      </c>
      <c r="AO901" s="27">
        <f t="shared" si="119"/>
        <v>0</v>
      </c>
      <c r="AP901" s="27">
        <f t="shared" si="120"/>
        <v>0</v>
      </c>
      <c r="AQ901" s="27">
        <f t="shared" si="106"/>
        <v>0</v>
      </c>
      <c r="AS901" s="27">
        <f t="shared" si="146"/>
        <v>0</v>
      </c>
      <c r="AT901" s="27">
        <f t="shared" si="121"/>
        <v>0</v>
      </c>
      <c r="AU901" s="27">
        <f t="shared" si="122"/>
        <v>0</v>
      </c>
      <c r="AV901" s="27">
        <f t="shared" si="123"/>
        <v>0</v>
      </c>
      <c r="AW901" s="27">
        <f t="shared" si="124"/>
        <v>0</v>
      </c>
      <c r="AX901" s="27">
        <f t="shared" si="125"/>
        <v>0</v>
      </c>
      <c r="AY901" s="27">
        <f t="shared" si="126"/>
        <v>0</v>
      </c>
      <c r="AZ901" s="27">
        <f t="shared" si="127"/>
        <v>0</v>
      </c>
      <c r="BA901" s="27">
        <f t="shared" si="128"/>
        <v>0</v>
      </c>
      <c r="BB901" s="27">
        <f t="shared" si="129"/>
        <v>0</v>
      </c>
      <c r="BC901" s="27">
        <f t="shared" si="130"/>
        <v>0</v>
      </c>
      <c r="BD901" s="27">
        <f t="shared" si="131"/>
        <v>0</v>
      </c>
      <c r="BE901" s="27">
        <f t="shared" si="132"/>
        <v>0</v>
      </c>
      <c r="CC901" s="61"/>
    </row>
    <row r="902" spans="3:81" s="27" customFormat="1" ht="11.25" hidden="1" x14ac:dyDescent="0.2">
      <c r="C902" s="60">
        <f>C296</f>
        <v>0</v>
      </c>
      <c r="D902" s="27">
        <f>D296</f>
        <v>0</v>
      </c>
      <c r="E902" s="27">
        <f>E296</f>
        <v>0</v>
      </c>
      <c r="F902" s="27">
        <f>F296</f>
        <v>0</v>
      </c>
      <c r="G902" s="27">
        <f>G296</f>
        <v>0</v>
      </c>
      <c r="H902" s="27">
        <f t="shared" ref="H902:S902" si="155">+($D902+($D902*$E902))*H296</f>
        <v>0</v>
      </c>
      <c r="I902" s="27">
        <f t="shared" si="155"/>
        <v>0</v>
      </c>
      <c r="J902" s="27">
        <f t="shared" si="155"/>
        <v>0</v>
      </c>
      <c r="K902" s="27">
        <f t="shared" si="155"/>
        <v>0</v>
      </c>
      <c r="L902" s="27">
        <f t="shared" si="155"/>
        <v>0</v>
      </c>
      <c r="M902" s="27">
        <f t="shared" si="155"/>
        <v>0</v>
      </c>
      <c r="N902" s="27">
        <f t="shared" si="155"/>
        <v>0</v>
      </c>
      <c r="O902" s="27">
        <f t="shared" si="155"/>
        <v>0</v>
      </c>
      <c r="P902" s="27">
        <f t="shared" si="155"/>
        <v>0</v>
      </c>
      <c r="Q902" s="27">
        <f t="shared" si="155"/>
        <v>0</v>
      </c>
      <c r="R902" s="27">
        <f t="shared" si="155"/>
        <v>0</v>
      </c>
      <c r="S902" s="27">
        <f t="shared" si="155"/>
        <v>0</v>
      </c>
      <c r="T902" s="27">
        <f t="shared" si="105"/>
        <v>0</v>
      </c>
      <c r="W902" s="60"/>
      <c r="AD902" s="27">
        <f t="shared" si="145"/>
        <v>0</v>
      </c>
      <c r="AE902" s="27">
        <f t="shared" si="109"/>
        <v>0</v>
      </c>
      <c r="AF902" s="27">
        <f t="shared" si="110"/>
        <v>0</v>
      </c>
      <c r="AG902" s="27">
        <f t="shared" si="111"/>
        <v>0</v>
      </c>
      <c r="AH902" s="27">
        <f t="shared" si="112"/>
        <v>0</v>
      </c>
      <c r="AI902" s="27">
        <f t="shared" si="113"/>
        <v>0</v>
      </c>
      <c r="AJ902" s="27">
        <f t="shared" si="114"/>
        <v>0</v>
      </c>
      <c r="AK902" s="27">
        <f t="shared" si="115"/>
        <v>0</v>
      </c>
      <c r="AL902" s="27">
        <f t="shared" si="116"/>
        <v>0</v>
      </c>
      <c r="AM902" s="27">
        <f t="shared" si="117"/>
        <v>0</v>
      </c>
      <c r="AN902" s="27">
        <f t="shared" si="118"/>
        <v>0</v>
      </c>
      <c r="AO902" s="27">
        <f t="shared" si="119"/>
        <v>0</v>
      </c>
      <c r="AP902" s="27">
        <f t="shared" si="120"/>
        <v>0</v>
      </c>
      <c r="AQ902" s="27">
        <f t="shared" si="106"/>
        <v>0</v>
      </c>
      <c r="AS902" s="27">
        <f t="shared" si="146"/>
        <v>0</v>
      </c>
      <c r="AT902" s="27">
        <f t="shared" si="121"/>
        <v>0</v>
      </c>
      <c r="AU902" s="27">
        <f t="shared" si="122"/>
        <v>0</v>
      </c>
      <c r="AV902" s="27">
        <f t="shared" si="123"/>
        <v>0</v>
      </c>
      <c r="AW902" s="27">
        <f t="shared" si="124"/>
        <v>0</v>
      </c>
      <c r="AX902" s="27">
        <f t="shared" si="125"/>
        <v>0</v>
      </c>
      <c r="AY902" s="27">
        <f t="shared" si="126"/>
        <v>0</v>
      </c>
      <c r="AZ902" s="27">
        <f t="shared" si="127"/>
        <v>0</v>
      </c>
      <c r="BA902" s="27">
        <f t="shared" si="128"/>
        <v>0</v>
      </c>
      <c r="BB902" s="27">
        <f t="shared" si="129"/>
        <v>0</v>
      </c>
      <c r="BC902" s="27">
        <f t="shared" si="130"/>
        <v>0</v>
      </c>
      <c r="BD902" s="27">
        <f t="shared" si="131"/>
        <v>0</v>
      </c>
      <c r="BE902" s="27">
        <f t="shared" si="132"/>
        <v>0</v>
      </c>
      <c r="CC902" s="61"/>
    </row>
    <row r="903" spans="3:81" s="27" customFormat="1" ht="11.25" hidden="1" x14ac:dyDescent="0.2">
      <c r="C903" s="60" t="str">
        <f t="shared" ref="C903:C919" si="156">C297</f>
        <v>Pers. EVENTUAL</v>
      </c>
      <c r="W903" s="60"/>
      <c r="AD903" s="27" t="str">
        <f t="shared" si="145"/>
        <v>Pers. EVENTUAL</v>
      </c>
      <c r="AS903" s="27" t="str">
        <f t="shared" si="146"/>
        <v>Pers. EVENTUAL</v>
      </c>
      <c r="CC903" s="61"/>
    </row>
    <row r="904" spans="3:81" s="27" customFormat="1" ht="11.25" hidden="1" x14ac:dyDescent="0.2">
      <c r="C904" s="60">
        <f t="shared" si="156"/>
        <v>0</v>
      </c>
      <c r="D904" s="27">
        <f t="shared" ref="D904:G919" si="157">D298</f>
        <v>0</v>
      </c>
      <c r="E904" s="27">
        <f t="shared" si="157"/>
        <v>0</v>
      </c>
      <c r="F904" s="27">
        <f t="shared" si="157"/>
        <v>0</v>
      </c>
      <c r="G904" s="27">
        <f t="shared" si="157"/>
        <v>0</v>
      </c>
      <c r="H904" s="27">
        <f t="shared" ref="H904:S904" si="158">+($D904+($D904*$E904))*H298</f>
        <v>0</v>
      </c>
      <c r="I904" s="27">
        <f t="shared" si="158"/>
        <v>0</v>
      </c>
      <c r="J904" s="27">
        <f t="shared" si="158"/>
        <v>0</v>
      </c>
      <c r="K904" s="27">
        <f t="shared" si="158"/>
        <v>0</v>
      </c>
      <c r="L904" s="27">
        <f t="shared" si="158"/>
        <v>0</v>
      </c>
      <c r="M904" s="27">
        <f t="shared" si="158"/>
        <v>0</v>
      </c>
      <c r="N904" s="27">
        <f t="shared" si="158"/>
        <v>0</v>
      </c>
      <c r="O904" s="27">
        <f t="shared" si="158"/>
        <v>0</v>
      </c>
      <c r="P904" s="27">
        <f t="shared" si="158"/>
        <v>0</v>
      </c>
      <c r="Q904" s="27">
        <f t="shared" si="158"/>
        <v>0</v>
      </c>
      <c r="R904" s="27">
        <f t="shared" si="158"/>
        <v>0</v>
      </c>
      <c r="S904" s="27">
        <f t="shared" si="158"/>
        <v>0</v>
      </c>
      <c r="T904" s="27">
        <f t="shared" ref="T904:T919" si="159">SUM(H904:S904)</f>
        <v>0</v>
      </c>
      <c r="W904" s="60"/>
      <c r="AD904" s="27">
        <f t="shared" si="145"/>
        <v>0</v>
      </c>
      <c r="AE904" s="27">
        <f t="shared" ref="AE904:AE919" si="160">+$D298*H298</f>
        <v>0</v>
      </c>
      <c r="AF904" s="27">
        <f t="shared" ref="AF904:AF919" si="161">+$D298*I298</f>
        <v>0</v>
      </c>
      <c r="AG904" s="27">
        <f t="shared" ref="AG904:AG919" si="162">+$D298*J298</f>
        <v>0</v>
      </c>
      <c r="AH904" s="27">
        <f t="shared" ref="AH904:AH919" si="163">+$D298*K298</f>
        <v>0</v>
      </c>
      <c r="AI904" s="27">
        <f t="shared" ref="AI904:AI919" si="164">+$D298*L298</f>
        <v>0</v>
      </c>
      <c r="AJ904" s="27">
        <f t="shared" ref="AJ904:AJ919" si="165">+$D298*M298</f>
        <v>0</v>
      </c>
      <c r="AK904" s="27">
        <f t="shared" ref="AK904:AK919" si="166">+$D298*N298</f>
        <v>0</v>
      </c>
      <c r="AL904" s="27">
        <f t="shared" ref="AL904:AL919" si="167">+$D298*O298</f>
        <v>0</v>
      </c>
      <c r="AM904" s="27">
        <f t="shared" ref="AM904:AM919" si="168">+$D298*P298</f>
        <v>0</v>
      </c>
      <c r="AN904" s="27">
        <f t="shared" ref="AN904:AN919" si="169">+$D298*Q298</f>
        <v>0</v>
      </c>
      <c r="AO904" s="27">
        <f t="shared" ref="AO904:AO919" si="170">+$D298*R298</f>
        <v>0</v>
      </c>
      <c r="AP904" s="27">
        <f t="shared" ref="AP904:AP919" si="171">+$D298*S298</f>
        <v>0</v>
      </c>
      <c r="AQ904" s="27">
        <f t="shared" ref="AQ904:AQ919" si="172">SUM(AE904:AP904)</f>
        <v>0</v>
      </c>
      <c r="AS904" s="27">
        <f t="shared" si="146"/>
        <v>0</v>
      </c>
      <c r="AT904" s="27">
        <f t="shared" ref="AT904:AT919" si="173">+AE904*$F298</f>
        <v>0</v>
      </c>
      <c r="AU904" s="27">
        <f t="shared" ref="AU904:AU919" si="174">+AF904*$F298</f>
        <v>0</v>
      </c>
      <c r="AV904" s="27">
        <f t="shared" ref="AV904:AV919" si="175">+AG904*$F298</f>
        <v>0</v>
      </c>
      <c r="AW904" s="27">
        <f t="shared" ref="AW904:AW919" si="176">+AH904*$F298</f>
        <v>0</v>
      </c>
      <c r="AX904" s="27">
        <f t="shared" ref="AX904:AX919" si="177">+AI904*$F298</f>
        <v>0</v>
      </c>
      <c r="AY904" s="27">
        <f t="shared" ref="AY904:AY919" si="178">+AJ904*$F298</f>
        <v>0</v>
      </c>
      <c r="AZ904" s="27">
        <f t="shared" ref="AZ904:AZ919" si="179">+AK904*$F298</f>
        <v>0</v>
      </c>
      <c r="BA904" s="27">
        <f t="shared" ref="BA904:BA919" si="180">+AL904*$F298</f>
        <v>0</v>
      </c>
      <c r="BB904" s="27">
        <f t="shared" ref="BB904:BB919" si="181">+AM904*$F298</f>
        <v>0</v>
      </c>
      <c r="BC904" s="27">
        <f t="shared" ref="BC904:BC919" si="182">+AN904*$F298</f>
        <v>0</v>
      </c>
      <c r="BD904" s="27">
        <f t="shared" ref="BD904:BD919" si="183">+AO904*$F298</f>
        <v>0</v>
      </c>
      <c r="BE904" s="27">
        <f t="shared" ref="BE904:BE919" si="184">+AP904*$F298</f>
        <v>0</v>
      </c>
      <c r="CC904" s="61"/>
    </row>
    <row r="905" spans="3:81" s="27" customFormat="1" ht="11.25" hidden="1" x14ac:dyDescent="0.2">
      <c r="C905" s="60">
        <f t="shared" si="156"/>
        <v>0</v>
      </c>
      <c r="D905" s="27">
        <f t="shared" si="157"/>
        <v>0</v>
      </c>
      <c r="E905" s="27">
        <f t="shared" si="157"/>
        <v>0</v>
      </c>
      <c r="F905" s="27">
        <f t="shared" si="157"/>
        <v>0</v>
      </c>
      <c r="G905" s="27">
        <f t="shared" si="157"/>
        <v>0</v>
      </c>
      <c r="H905" s="27">
        <f t="shared" ref="H905:S905" si="185">+($D905+($D905*$E905))*H299</f>
        <v>0</v>
      </c>
      <c r="I905" s="27">
        <f t="shared" si="185"/>
        <v>0</v>
      </c>
      <c r="J905" s="27">
        <f t="shared" si="185"/>
        <v>0</v>
      </c>
      <c r="K905" s="27">
        <f t="shared" si="185"/>
        <v>0</v>
      </c>
      <c r="L905" s="27">
        <f t="shared" si="185"/>
        <v>0</v>
      </c>
      <c r="M905" s="27">
        <f t="shared" si="185"/>
        <v>0</v>
      </c>
      <c r="N905" s="27">
        <f t="shared" si="185"/>
        <v>0</v>
      </c>
      <c r="O905" s="27">
        <f t="shared" si="185"/>
        <v>0</v>
      </c>
      <c r="P905" s="27">
        <f t="shared" si="185"/>
        <v>0</v>
      </c>
      <c r="Q905" s="27">
        <f t="shared" si="185"/>
        <v>0</v>
      </c>
      <c r="R905" s="27">
        <f t="shared" si="185"/>
        <v>0</v>
      </c>
      <c r="S905" s="27">
        <f t="shared" si="185"/>
        <v>0</v>
      </c>
      <c r="T905" s="27">
        <f t="shared" si="159"/>
        <v>0</v>
      </c>
      <c r="W905" s="60"/>
      <c r="AD905" s="27">
        <f t="shared" si="145"/>
        <v>0</v>
      </c>
      <c r="AE905" s="27">
        <f t="shared" si="160"/>
        <v>0</v>
      </c>
      <c r="AF905" s="27">
        <f t="shared" si="161"/>
        <v>0</v>
      </c>
      <c r="AG905" s="27">
        <f t="shared" si="162"/>
        <v>0</v>
      </c>
      <c r="AH905" s="27">
        <f t="shared" si="163"/>
        <v>0</v>
      </c>
      <c r="AI905" s="27">
        <f t="shared" si="164"/>
        <v>0</v>
      </c>
      <c r="AJ905" s="27">
        <f t="shared" si="165"/>
        <v>0</v>
      </c>
      <c r="AK905" s="27">
        <f t="shared" si="166"/>
        <v>0</v>
      </c>
      <c r="AL905" s="27">
        <f t="shared" si="167"/>
        <v>0</v>
      </c>
      <c r="AM905" s="27">
        <f t="shared" si="168"/>
        <v>0</v>
      </c>
      <c r="AN905" s="27">
        <f t="shared" si="169"/>
        <v>0</v>
      </c>
      <c r="AO905" s="27">
        <f t="shared" si="170"/>
        <v>0</v>
      </c>
      <c r="AP905" s="27">
        <f t="shared" si="171"/>
        <v>0</v>
      </c>
      <c r="AQ905" s="27">
        <f t="shared" si="172"/>
        <v>0</v>
      </c>
      <c r="AS905" s="27">
        <f t="shared" si="146"/>
        <v>0</v>
      </c>
      <c r="AT905" s="27">
        <f t="shared" si="173"/>
        <v>0</v>
      </c>
      <c r="AU905" s="27">
        <f t="shared" si="174"/>
        <v>0</v>
      </c>
      <c r="AV905" s="27">
        <f t="shared" si="175"/>
        <v>0</v>
      </c>
      <c r="AW905" s="27">
        <f t="shared" si="176"/>
        <v>0</v>
      </c>
      <c r="AX905" s="27">
        <f t="shared" si="177"/>
        <v>0</v>
      </c>
      <c r="AY905" s="27">
        <f t="shared" si="178"/>
        <v>0</v>
      </c>
      <c r="AZ905" s="27">
        <f t="shared" si="179"/>
        <v>0</v>
      </c>
      <c r="BA905" s="27">
        <f t="shared" si="180"/>
        <v>0</v>
      </c>
      <c r="BB905" s="27">
        <f t="shared" si="181"/>
        <v>0</v>
      </c>
      <c r="BC905" s="27">
        <f t="shared" si="182"/>
        <v>0</v>
      </c>
      <c r="BD905" s="27">
        <f t="shared" si="183"/>
        <v>0</v>
      </c>
      <c r="BE905" s="27">
        <f t="shared" si="184"/>
        <v>0</v>
      </c>
      <c r="CC905" s="61"/>
    </row>
    <row r="906" spans="3:81" s="27" customFormat="1" ht="11.25" hidden="1" x14ac:dyDescent="0.2">
      <c r="C906" s="60">
        <f t="shared" si="156"/>
        <v>0</v>
      </c>
      <c r="D906" s="27">
        <f t="shared" si="157"/>
        <v>0</v>
      </c>
      <c r="E906" s="27">
        <f t="shared" si="157"/>
        <v>0</v>
      </c>
      <c r="F906" s="27">
        <f t="shared" si="157"/>
        <v>0</v>
      </c>
      <c r="G906" s="27">
        <f t="shared" si="157"/>
        <v>0</v>
      </c>
      <c r="H906" s="27">
        <f t="shared" ref="H906:S906" si="186">+($D906+($D906*$E906))*H300</f>
        <v>0</v>
      </c>
      <c r="I906" s="27">
        <f t="shared" si="186"/>
        <v>0</v>
      </c>
      <c r="J906" s="27">
        <f t="shared" si="186"/>
        <v>0</v>
      </c>
      <c r="K906" s="27">
        <f t="shared" si="186"/>
        <v>0</v>
      </c>
      <c r="L906" s="27">
        <f t="shared" si="186"/>
        <v>0</v>
      </c>
      <c r="M906" s="27">
        <f t="shared" si="186"/>
        <v>0</v>
      </c>
      <c r="N906" s="27">
        <f t="shared" si="186"/>
        <v>0</v>
      </c>
      <c r="O906" s="27">
        <f t="shared" si="186"/>
        <v>0</v>
      </c>
      <c r="P906" s="27">
        <f t="shared" si="186"/>
        <v>0</v>
      </c>
      <c r="Q906" s="27">
        <f t="shared" si="186"/>
        <v>0</v>
      </c>
      <c r="R906" s="27">
        <f t="shared" si="186"/>
        <v>0</v>
      </c>
      <c r="S906" s="27">
        <f t="shared" si="186"/>
        <v>0</v>
      </c>
      <c r="T906" s="27">
        <f t="shared" si="159"/>
        <v>0</v>
      </c>
      <c r="W906" s="60"/>
      <c r="AD906" s="27">
        <f t="shared" si="145"/>
        <v>0</v>
      </c>
      <c r="AE906" s="27">
        <f t="shared" si="160"/>
        <v>0</v>
      </c>
      <c r="AF906" s="27">
        <f t="shared" si="161"/>
        <v>0</v>
      </c>
      <c r="AG906" s="27">
        <f t="shared" si="162"/>
        <v>0</v>
      </c>
      <c r="AH906" s="27">
        <f t="shared" si="163"/>
        <v>0</v>
      </c>
      <c r="AI906" s="27">
        <f t="shared" si="164"/>
        <v>0</v>
      </c>
      <c r="AJ906" s="27">
        <f t="shared" si="165"/>
        <v>0</v>
      </c>
      <c r="AK906" s="27">
        <f t="shared" si="166"/>
        <v>0</v>
      </c>
      <c r="AL906" s="27">
        <f t="shared" si="167"/>
        <v>0</v>
      </c>
      <c r="AM906" s="27">
        <f t="shared" si="168"/>
        <v>0</v>
      </c>
      <c r="AN906" s="27">
        <f t="shared" si="169"/>
        <v>0</v>
      </c>
      <c r="AO906" s="27">
        <f t="shared" si="170"/>
        <v>0</v>
      </c>
      <c r="AP906" s="27">
        <f t="shared" si="171"/>
        <v>0</v>
      </c>
      <c r="AQ906" s="27">
        <f t="shared" si="172"/>
        <v>0</v>
      </c>
      <c r="AS906" s="27">
        <f t="shared" si="146"/>
        <v>0</v>
      </c>
      <c r="AT906" s="27">
        <f t="shared" si="173"/>
        <v>0</v>
      </c>
      <c r="AU906" s="27">
        <f t="shared" si="174"/>
        <v>0</v>
      </c>
      <c r="AV906" s="27">
        <f t="shared" si="175"/>
        <v>0</v>
      </c>
      <c r="AW906" s="27">
        <f t="shared" si="176"/>
        <v>0</v>
      </c>
      <c r="AX906" s="27">
        <f t="shared" si="177"/>
        <v>0</v>
      </c>
      <c r="AY906" s="27">
        <f t="shared" si="178"/>
        <v>0</v>
      </c>
      <c r="AZ906" s="27">
        <f t="shared" si="179"/>
        <v>0</v>
      </c>
      <c r="BA906" s="27">
        <f t="shared" si="180"/>
        <v>0</v>
      </c>
      <c r="BB906" s="27">
        <f t="shared" si="181"/>
        <v>0</v>
      </c>
      <c r="BC906" s="27">
        <f t="shared" si="182"/>
        <v>0</v>
      </c>
      <c r="BD906" s="27">
        <f t="shared" si="183"/>
        <v>0</v>
      </c>
      <c r="BE906" s="27">
        <f t="shared" si="184"/>
        <v>0</v>
      </c>
      <c r="CC906" s="61"/>
    </row>
    <row r="907" spans="3:81" s="27" customFormat="1" ht="11.25" hidden="1" x14ac:dyDescent="0.2">
      <c r="C907" s="60">
        <f t="shared" si="156"/>
        <v>0</v>
      </c>
      <c r="D907" s="27">
        <f t="shared" si="157"/>
        <v>0</v>
      </c>
      <c r="E907" s="27">
        <f t="shared" si="157"/>
        <v>0</v>
      </c>
      <c r="F907" s="27">
        <f t="shared" si="157"/>
        <v>0</v>
      </c>
      <c r="G907" s="27">
        <f t="shared" si="157"/>
        <v>0</v>
      </c>
      <c r="H907" s="27">
        <f t="shared" ref="H907:S907" si="187">+($D907+($D907*$E907))*H301</f>
        <v>0</v>
      </c>
      <c r="I907" s="27">
        <f t="shared" si="187"/>
        <v>0</v>
      </c>
      <c r="J907" s="27">
        <f t="shared" si="187"/>
        <v>0</v>
      </c>
      <c r="K907" s="27">
        <f t="shared" si="187"/>
        <v>0</v>
      </c>
      <c r="L907" s="27">
        <f t="shared" si="187"/>
        <v>0</v>
      </c>
      <c r="M907" s="27">
        <f t="shared" si="187"/>
        <v>0</v>
      </c>
      <c r="N907" s="27">
        <f t="shared" si="187"/>
        <v>0</v>
      </c>
      <c r="O907" s="27">
        <f t="shared" si="187"/>
        <v>0</v>
      </c>
      <c r="P907" s="27">
        <f t="shared" si="187"/>
        <v>0</v>
      </c>
      <c r="Q907" s="27">
        <f t="shared" si="187"/>
        <v>0</v>
      </c>
      <c r="R907" s="27">
        <f t="shared" si="187"/>
        <v>0</v>
      </c>
      <c r="S907" s="27">
        <f t="shared" si="187"/>
        <v>0</v>
      </c>
      <c r="T907" s="27">
        <f t="shared" si="159"/>
        <v>0</v>
      </c>
      <c r="W907" s="60"/>
      <c r="AD907" s="27">
        <f t="shared" si="145"/>
        <v>0</v>
      </c>
      <c r="AE907" s="27">
        <f t="shared" si="160"/>
        <v>0</v>
      </c>
      <c r="AF907" s="27">
        <f t="shared" si="161"/>
        <v>0</v>
      </c>
      <c r="AG907" s="27">
        <f t="shared" si="162"/>
        <v>0</v>
      </c>
      <c r="AH907" s="27">
        <f t="shared" si="163"/>
        <v>0</v>
      </c>
      <c r="AI907" s="27">
        <f t="shared" si="164"/>
        <v>0</v>
      </c>
      <c r="AJ907" s="27">
        <f t="shared" si="165"/>
        <v>0</v>
      </c>
      <c r="AK907" s="27">
        <f t="shared" si="166"/>
        <v>0</v>
      </c>
      <c r="AL907" s="27">
        <f t="shared" si="167"/>
        <v>0</v>
      </c>
      <c r="AM907" s="27">
        <f t="shared" si="168"/>
        <v>0</v>
      </c>
      <c r="AN907" s="27">
        <f t="shared" si="169"/>
        <v>0</v>
      </c>
      <c r="AO907" s="27">
        <f t="shared" si="170"/>
        <v>0</v>
      </c>
      <c r="AP907" s="27">
        <f t="shared" si="171"/>
        <v>0</v>
      </c>
      <c r="AQ907" s="27">
        <f t="shared" si="172"/>
        <v>0</v>
      </c>
      <c r="AS907" s="27">
        <f t="shared" si="146"/>
        <v>0</v>
      </c>
      <c r="AT907" s="27">
        <f t="shared" si="173"/>
        <v>0</v>
      </c>
      <c r="AU907" s="27">
        <f t="shared" si="174"/>
        <v>0</v>
      </c>
      <c r="AV907" s="27">
        <f t="shared" si="175"/>
        <v>0</v>
      </c>
      <c r="AW907" s="27">
        <f t="shared" si="176"/>
        <v>0</v>
      </c>
      <c r="AX907" s="27">
        <f t="shared" si="177"/>
        <v>0</v>
      </c>
      <c r="AY907" s="27">
        <f t="shared" si="178"/>
        <v>0</v>
      </c>
      <c r="AZ907" s="27">
        <f t="shared" si="179"/>
        <v>0</v>
      </c>
      <c r="BA907" s="27">
        <f t="shared" si="180"/>
        <v>0</v>
      </c>
      <c r="BB907" s="27">
        <f t="shared" si="181"/>
        <v>0</v>
      </c>
      <c r="BC907" s="27">
        <f t="shared" si="182"/>
        <v>0</v>
      </c>
      <c r="BD907" s="27">
        <f t="shared" si="183"/>
        <v>0</v>
      </c>
      <c r="BE907" s="27">
        <f t="shared" si="184"/>
        <v>0</v>
      </c>
      <c r="CC907" s="61"/>
    </row>
    <row r="908" spans="3:81" s="27" customFormat="1" ht="11.25" hidden="1" x14ac:dyDescent="0.2">
      <c r="C908" s="60">
        <f t="shared" si="156"/>
        <v>0</v>
      </c>
      <c r="D908" s="27">
        <f t="shared" si="157"/>
        <v>0</v>
      </c>
      <c r="E908" s="27">
        <f t="shared" si="157"/>
        <v>0</v>
      </c>
      <c r="F908" s="27">
        <f t="shared" si="157"/>
        <v>0</v>
      </c>
      <c r="G908" s="27">
        <f t="shared" si="157"/>
        <v>0</v>
      </c>
      <c r="H908" s="27">
        <f t="shared" ref="H908:S908" si="188">+($D908+($D908*$E908))*H302</f>
        <v>0</v>
      </c>
      <c r="I908" s="27">
        <f t="shared" si="188"/>
        <v>0</v>
      </c>
      <c r="J908" s="27">
        <f t="shared" si="188"/>
        <v>0</v>
      </c>
      <c r="K908" s="27">
        <f t="shared" si="188"/>
        <v>0</v>
      </c>
      <c r="L908" s="27">
        <f t="shared" si="188"/>
        <v>0</v>
      </c>
      <c r="M908" s="27">
        <f t="shared" si="188"/>
        <v>0</v>
      </c>
      <c r="N908" s="27">
        <f t="shared" si="188"/>
        <v>0</v>
      </c>
      <c r="O908" s="27">
        <f t="shared" si="188"/>
        <v>0</v>
      </c>
      <c r="P908" s="27">
        <f t="shared" si="188"/>
        <v>0</v>
      </c>
      <c r="Q908" s="27">
        <f t="shared" si="188"/>
        <v>0</v>
      </c>
      <c r="R908" s="27">
        <f t="shared" si="188"/>
        <v>0</v>
      </c>
      <c r="S908" s="27">
        <f t="shared" si="188"/>
        <v>0</v>
      </c>
      <c r="T908" s="27">
        <f t="shared" si="159"/>
        <v>0</v>
      </c>
      <c r="W908" s="60"/>
      <c r="AD908" s="27">
        <f t="shared" si="145"/>
        <v>0</v>
      </c>
      <c r="AE908" s="27">
        <f t="shared" si="160"/>
        <v>0</v>
      </c>
      <c r="AF908" s="27">
        <f t="shared" si="161"/>
        <v>0</v>
      </c>
      <c r="AG908" s="27">
        <f t="shared" si="162"/>
        <v>0</v>
      </c>
      <c r="AH908" s="27">
        <f t="shared" si="163"/>
        <v>0</v>
      </c>
      <c r="AI908" s="27">
        <f t="shared" si="164"/>
        <v>0</v>
      </c>
      <c r="AJ908" s="27">
        <f t="shared" si="165"/>
        <v>0</v>
      </c>
      <c r="AK908" s="27">
        <f t="shared" si="166"/>
        <v>0</v>
      </c>
      <c r="AL908" s="27">
        <f t="shared" si="167"/>
        <v>0</v>
      </c>
      <c r="AM908" s="27">
        <f t="shared" si="168"/>
        <v>0</v>
      </c>
      <c r="AN908" s="27">
        <f t="shared" si="169"/>
        <v>0</v>
      </c>
      <c r="AO908" s="27">
        <f t="shared" si="170"/>
        <v>0</v>
      </c>
      <c r="AP908" s="27">
        <f t="shared" si="171"/>
        <v>0</v>
      </c>
      <c r="AQ908" s="27">
        <f t="shared" si="172"/>
        <v>0</v>
      </c>
      <c r="AS908" s="27">
        <f t="shared" si="146"/>
        <v>0</v>
      </c>
      <c r="AT908" s="27">
        <f t="shared" si="173"/>
        <v>0</v>
      </c>
      <c r="AU908" s="27">
        <f t="shared" si="174"/>
        <v>0</v>
      </c>
      <c r="AV908" s="27">
        <f t="shared" si="175"/>
        <v>0</v>
      </c>
      <c r="AW908" s="27">
        <f t="shared" si="176"/>
        <v>0</v>
      </c>
      <c r="AX908" s="27">
        <f t="shared" si="177"/>
        <v>0</v>
      </c>
      <c r="AY908" s="27">
        <f t="shared" si="178"/>
        <v>0</v>
      </c>
      <c r="AZ908" s="27">
        <f t="shared" si="179"/>
        <v>0</v>
      </c>
      <c r="BA908" s="27">
        <f t="shared" si="180"/>
        <v>0</v>
      </c>
      <c r="BB908" s="27">
        <f t="shared" si="181"/>
        <v>0</v>
      </c>
      <c r="BC908" s="27">
        <f t="shared" si="182"/>
        <v>0</v>
      </c>
      <c r="BD908" s="27">
        <f t="shared" si="183"/>
        <v>0</v>
      </c>
      <c r="BE908" s="27">
        <f t="shared" si="184"/>
        <v>0</v>
      </c>
      <c r="CC908" s="61"/>
    </row>
    <row r="909" spans="3:81" s="27" customFormat="1" ht="11.25" hidden="1" x14ac:dyDescent="0.2">
      <c r="C909" s="60">
        <f t="shared" si="156"/>
        <v>0</v>
      </c>
      <c r="D909" s="27">
        <f t="shared" si="157"/>
        <v>0</v>
      </c>
      <c r="E909" s="27">
        <f t="shared" si="157"/>
        <v>0</v>
      </c>
      <c r="F909" s="27">
        <f t="shared" si="157"/>
        <v>0</v>
      </c>
      <c r="G909" s="27">
        <f t="shared" si="157"/>
        <v>0</v>
      </c>
      <c r="H909" s="27">
        <f t="shared" ref="H909:S909" si="189">+($D909+($D909*$E909))*H303</f>
        <v>0</v>
      </c>
      <c r="I909" s="27">
        <f t="shared" si="189"/>
        <v>0</v>
      </c>
      <c r="J909" s="27">
        <f t="shared" si="189"/>
        <v>0</v>
      </c>
      <c r="K909" s="27">
        <f t="shared" si="189"/>
        <v>0</v>
      </c>
      <c r="L909" s="27">
        <f t="shared" si="189"/>
        <v>0</v>
      </c>
      <c r="M909" s="27">
        <f t="shared" si="189"/>
        <v>0</v>
      </c>
      <c r="N909" s="27">
        <f t="shared" si="189"/>
        <v>0</v>
      </c>
      <c r="O909" s="27">
        <f t="shared" si="189"/>
        <v>0</v>
      </c>
      <c r="P909" s="27">
        <f t="shared" si="189"/>
        <v>0</v>
      </c>
      <c r="Q909" s="27">
        <f t="shared" si="189"/>
        <v>0</v>
      </c>
      <c r="R909" s="27">
        <f t="shared" si="189"/>
        <v>0</v>
      </c>
      <c r="S909" s="27">
        <f t="shared" si="189"/>
        <v>0</v>
      </c>
      <c r="T909" s="27">
        <f t="shared" si="159"/>
        <v>0</v>
      </c>
      <c r="W909" s="60"/>
      <c r="AD909" s="27">
        <f t="shared" si="145"/>
        <v>0</v>
      </c>
      <c r="AE909" s="27">
        <f t="shared" si="160"/>
        <v>0</v>
      </c>
      <c r="AF909" s="27">
        <f t="shared" si="161"/>
        <v>0</v>
      </c>
      <c r="AG909" s="27">
        <f t="shared" si="162"/>
        <v>0</v>
      </c>
      <c r="AH909" s="27">
        <f t="shared" si="163"/>
        <v>0</v>
      </c>
      <c r="AI909" s="27">
        <f t="shared" si="164"/>
        <v>0</v>
      </c>
      <c r="AJ909" s="27">
        <f t="shared" si="165"/>
        <v>0</v>
      </c>
      <c r="AK909" s="27">
        <f t="shared" si="166"/>
        <v>0</v>
      </c>
      <c r="AL909" s="27">
        <f t="shared" si="167"/>
        <v>0</v>
      </c>
      <c r="AM909" s="27">
        <f t="shared" si="168"/>
        <v>0</v>
      </c>
      <c r="AN909" s="27">
        <f t="shared" si="169"/>
        <v>0</v>
      </c>
      <c r="AO909" s="27">
        <f t="shared" si="170"/>
        <v>0</v>
      </c>
      <c r="AP909" s="27">
        <f t="shared" si="171"/>
        <v>0</v>
      </c>
      <c r="AQ909" s="27">
        <f t="shared" si="172"/>
        <v>0</v>
      </c>
      <c r="AS909" s="27">
        <f t="shared" si="146"/>
        <v>0</v>
      </c>
      <c r="AT909" s="27">
        <f t="shared" si="173"/>
        <v>0</v>
      </c>
      <c r="AU909" s="27">
        <f t="shared" si="174"/>
        <v>0</v>
      </c>
      <c r="AV909" s="27">
        <f t="shared" si="175"/>
        <v>0</v>
      </c>
      <c r="AW909" s="27">
        <f t="shared" si="176"/>
        <v>0</v>
      </c>
      <c r="AX909" s="27">
        <f t="shared" si="177"/>
        <v>0</v>
      </c>
      <c r="AY909" s="27">
        <f t="shared" si="178"/>
        <v>0</v>
      </c>
      <c r="AZ909" s="27">
        <f t="shared" si="179"/>
        <v>0</v>
      </c>
      <c r="BA909" s="27">
        <f t="shared" si="180"/>
        <v>0</v>
      </c>
      <c r="BB909" s="27">
        <f t="shared" si="181"/>
        <v>0</v>
      </c>
      <c r="BC909" s="27">
        <f t="shared" si="182"/>
        <v>0</v>
      </c>
      <c r="BD909" s="27">
        <f t="shared" si="183"/>
        <v>0</v>
      </c>
      <c r="BE909" s="27">
        <f t="shared" si="184"/>
        <v>0</v>
      </c>
      <c r="CC909" s="61"/>
    </row>
    <row r="910" spans="3:81" s="27" customFormat="1" ht="11.25" hidden="1" x14ac:dyDescent="0.2">
      <c r="C910" s="60">
        <f t="shared" si="156"/>
        <v>0</v>
      </c>
      <c r="D910" s="27">
        <f t="shared" si="157"/>
        <v>0</v>
      </c>
      <c r="E910" s="27">
        <f t="shared" si="157"/>
        <v>0</v>
      </c>
      <c r="F910" s="27">
        <f t="shared" si="157"/>
        <v>0</v>
      </c>
      <c r="G910" s="27">
        <f t="shared" si="157"/>
        <v>0</v>
      </c>
      <c r="H910" s="27">
        <f t="shared" ref="H910:S910" si="190">+($D910+($D910*$E910))*H304</f>
        <v>0</v>
      </c>
      <c r="I910" s="27">
        <f t="shared" si="190"/>
        <v>0</v>
      </c>
      <c r="J910" s="27">
        <f t="shared" si="190"/>
        <v>0</v>
      </c>
      <c r="K910" s="27">
        <f t="shared" si="190"/>
        <v>0</v>
      </c>
      <c r="L910" s="27">
        <f t="shared" si="190"/>
        <v>0</v>
      </c>
      <c r="M910" s="27">
        <f t="shared" si="190"/>
        <v>0</v>
      </c>
      <c r="N910" s="27">
        <f t="shared" si="190"/>
        <v>0</v>
      </c>
      <c r="O910" s="27">
        <f t="shared" si="190"/>
        <v>0</v>
      </c>
      <c r="P910" s="27">
        <f t="shared" si="190"/>
        <v>0</v>
      </c>
      <c r="Q910" s="27">
        <f t="shared" si="190"/>
        <v>0</v>
      </c>
      <c r="R910" s="27">
        <f t="shared" si="190"/>
        <v>0</v>
      </c>
      <c r="S910" s="27">
        <f t="shared" si="190"/>
        <v>0</v>
      </c>
      <c r="T910" s="27">
        <f t="shared" si="159"/>
        <v>0</v>
      </c>
      <c r="W910" s="60"/>
      <c r="AD910" s="27">
        <f t="shared" si="145"/>
        <v>0</v>
      </c>
      <c r="AE910" s="27">
        <f t="shared" si="160"/>
        <v>0</v>
      </c>
      <c r="AF910" s="27">
        <f t="shared" si="161"/>
        <v>0</v>
      </c>
      <c r="AG910" s="27">
        <f t="shared" si="162"/>
        <v>0</v>
      </c>
      <c r="AH910" s="27">
        <f t="shared" si="163"/>
        <v>0</v>
      </c>
      <c r="AI910" s="27">
        <f t="shared" si="164"/>
        <v>0</v>
      </c>
      <c r="AJ910" s="27">
        <f t="shared" si="165"/>
        <v>0</v>
      </c>
      <c r="AK910" s="27">
        <f t="shared" si="166"/>
        <v>0</v>
      </c>
      <c r="AL910" s="27">
        <f t="shared" si="167"/>
        <v>0</v>
      </c>
      <c r="AM910" s="27">
        <f t="shared" si="168"/>
        <v>0</v>
      </c>
      <c r="AN910" s="27">
        <f t="shared" si="169"/>
        <v>0</v>
      </c>
      <c r="AO910" s="27">
        <f t="shared" si="170"/>
        <v>0</v>
      </c>
      <c r="AP910" s="27">
        <f t="shared" si="171"/>
        <v>0</v>
      </c>
      <c r="AQ910" s="27">
        <f t="shared" si="172"/>
        <v>0</v>
      </c>
      <c r="AS910" s="27">
        <f t="shared" si="146"/>
        <v>0</v>
      </c>
      <c r="AT910" s="27">
        <f t="shared" si="173"/>
        <v>0</v>
      </c>
      <c r="AU910" s="27">
        <f t="shared" si="174"/>
        <v>0</v>
      </c>
      <c r="AV910" s="27">
        <f t="shared" si="175"/>
        <v>0</v>
      </c>
      <c r="AW910" s="27">
        <f t="shared" si="176"/>
        <v>0</v>
      </c>
      <c r="AX910" s="27">
        <f t="shared" si="177"/>
        <v>0</v>
      </c>
      <c r="AY910" s="27">
        <f t="shared" si="178"/>
        <v>0</v>
      </c>
      <c r="AZ910" s="27">
        <f t="shared" si="179"/>
        <v>0</v>
      </c>
      <c r="BA910" s="27">
        <f t="shared" si="180"/>
        <v>0</v>
      </c>
      <c r="BB910" s="27">
        <f t="shared" si="181"/>
        <v>0</v>
      </c>
      <c r="BC910" s="27">
        <f t="shared" si="182"/>
        <v>0</v>
      </c>
      <c r="BD910" s="27">
        <f t="shared" si="183"/>
        <v>0</v>
      </c>
      <c r="BE910" s="27">
        <f t="shared" si="184"/>
        <v>0</v>
      </c>
      <c r="CC910" s="61"/>
    </row>
    <row r="911" spans="3:81" s="27" customFormat="1" ht="11.25" hidden="1" x14ac:dyDescent="0.2">
      <c r="C911" s="60">
        <f t="shared" si="156"/>
        <v>0</v>
      </c>
      <c r="D911" s="27">
        <f t="shared" si="157"/>
        <v>0</v>
      </c>
      <c r="E911" s="27">
        <f t="shared" si="157"/>
        <v>0</v>
      </c>
      <c r="F911" s="27">
        <f t="shared" si="157"/>
        <v>0</v>
      </c>
      <c r="G911" s="27">
        <f t="shared" si="157"/>
        <v>0</v>
      </c>
      <c r="H911" s="27">
        <f t="shared" ref="H911:S911" si="191">+($D911+($D911*$E911))*H305</f>
        <v>0</v>
      </c>
      <c r="I911" s="27">
        <f t="shared" si="191"/>
        <v>0</v>
      </c>
      <c r="J911" s="27">
        <f t="shared" si="191"/>
        <v>0</v>
      </c>
      <c r="K911" s="27">
        <f t="shared" si="191"/>
        <v>0</v>
      </c>
      <c r="L911" s="27">
        <f t="shared" si="191"/>
        <v>0</v>
      </c>
      <c r="M911" s="27">
        <f t="shared" si="191"/>
        <v>0</v>
      </c>
      <c r="N911" s="27">
        <f t="shared" si="191"/>
        <v>0</v>
      </c>
      <c r="O911" s="27">
        <f t="shared" si="191"/>
        <v>0</v>
      </c>
      <c r="P911" s="27">
        <f t="shared" si="191"/>
        <v>0</v>
      </c>
      <c r="Q911" s="27">
        <f t="shared" si="191"/>
        <v>0</v>
      </c>
      <c r="R911" s="27">
        <f t="shared" si="191"/>
        <v>0</v>
      </c>
      <c r="S911" s="27">
        <f t="shared" si="191"/>
        <v>0</v>
      </c>
      <c r="T911" s="27">
        <f t="shared" si="159"/>
        <v>0</v>
      </c>
      <c r="W911" s="60"/>
      <c r="AD911" s="27">
        <f t="shared" si="145"/>
        <v>0</v>
      </c>
      <c r="AE911" s="27">
        <f t="shared" si="160"/>
        <v>0</v>
      </c>
      <c r="AF911" s="27">
        <f t="shared" si="161"/>
        <v>0</v>
      </c>
      <c r="AG911" s="27">
        <f t="shared" si="162"/>
        <v>0</v>
      </c>
      <c r="AH911" s="27">
        <f t="shared" si="163"/>
        <v>0</v>
      </c>
      <c r="AI911" s="27">
        <f t="shared" si="164"/>
        <v>0</v>
      </c>
      <c r="AJ911" s="27">
        <f t="shared" si="165"/>
        <v>0</v>
      </c>
      <c r="AK911" s="27">
        <f t="shared" si="166"/>
        <v>0</v>
      </c>
      <c r="AL911" s="27">
        <f t="shared" si="167"/>
        <v>0</v>
      </c>
      <c r="AM911" s="27">
        <f t="shared" si="168"/>
        <v>0</v>
      </c>
      <c r="AN911" s="27">
        <f t="shared" si="169"/>
        <v>0</v>
      </c>
      <c r="AO911" s="27">
        <f t="shared" si="170"/>
        <v>0</v>
      </c>
      <c r="AP911" s="27">
        <f t="shared" si="171"/>
        <v>0</v>
      </c>
      <c r="AQ911" s="27">
        <f t="shared" si="172"/>
        <v>0</v>
      </c>
      <c r="AS911" s="27">
        <f t="shared" si="146"/>
        <v>0</v>
      </c>
      <c r="AT911" s="27">
        <f t="shared" si="173"/>
        <v>0</v>
      </c>
      <c r="AU911" s="27">
        <f t="shared" si="174"/>
        <v>0</v>
      </c>
      <c r="AV911" s="27">
        <f t="shared" si="175"/>
        <v>0</v>
      </c>
      <c r="AW911" s="27">
        <f t="shared" si="176"/>
        <v>0</v>
      </c>
      <c r="AX911" s="27">
        <f t="shared" si="177"/>
        <v>0</v>
      </c>
      <c r="AY911" s="27">
        <f t="shared" si="178"/>
        <v>0</v>
      </c>
      <c r="AZ911" s="27">
        <f t="shared" si="179"/>
        <v>0</v>
      </c>
      <c r="BA911" s="27">
        <f t="shared" si="180"/>
        <v>0</v>
      </c>
      <c r="BB911" s="27">
        <f t="shared" si="181"/>
        <v>0</v>
      </c>
      <c r="BC911" s="27">
        <f t="shared" si="182"/>
        <v>0</v>
      </c>
      <c r="BD911" s="27">
        <f t="shared" si="183"/>
        <v>0</v>
      </c>
      <c r="BE911" s="27">
        <f t="shared" si="184"/>
        <v>0</v>
      </c>
      <c r="CC911" s="61"/>
    </row>
    <row r="912" spans="3:81" s="27" customFormat="1" ht="11.25" hidden="1" x14ac:dyDescent="0.2">
      <c r="C912" s="60">
        <f t="shared" si="156"/>
        <v>0</v>
      </c>
      <c r="D912" s="27">
        <f t="shared" si="157"/>
        <v>0</v>
      </c>
      <c r="E912" s="27">
        <f t="shared" si="157"/>
        <v>0</v>
      </c>
      <c r="F912" s="27">
        <f t="shared" si="157"/>
        <v>0</v>
      </c>
      <c r="G912" s="27">
        <f t="shared" si="157"/>
        <v>0</v>
      </c>
      <c r="H912" s="27">
        <f t="shared" ref="H912:S912" si="192">+($D912+($D912*$E912))*H306</f>
        <v>0</v>
      </c>
      <c r="I912" s="27">
        <f t="shared" si="192"/>
        <v>0</v>
      </c>
      <c r="J912" s="27">
        <f t="shared" si="192"/>
        <v>0</v>
      </c>
      <c r="K912" s="27">
        <f t="shared" si="192"/>
        <v>0</v>
      </c>
      <c r="L912" s="27">
        <f t="shared" si="192"/>
        <v>0</v>
      </c>
      <c r="M912" s="27">
        <f t="shared" si="192"/>
        <v>0</v>
      </c>
      <c r="N912" s="27">
        <f t="shared" si="192"/>
        <v>0</v>
      </c>
      <c r="O912" s="27">
        <f t="shared" si="192"/>
        <v>0</v>
      </c>
      <c r="P912" s="27">
        <f t="shared" si="192"/>
        <v>0</v>
      </c>
      <c r="Q912" s="27">
        <f t="shared" si="192"/>
        <v>0</v>
      </c>
      <c r="R912" s="27">
        <f t="shared" si="192"/>
        <v>0</v>
      </c>
      <c r="S912" s="27">
        <f t="shared" si="192"/>
        <v>0</v>
      </c>
      <c r="T912" s="27">
        <f t="shared" si="159"/>
        <v>0</v>
      </c>
      <c r="W912" s="60"/>
      <c r="AD912" s="27">
        <f t="shared" si="145"/>
        <v>0</v>
      </c>
      <c r="AE912" s="27">
        <f t="shared" si="160"/>
        <v>0</v>
      </c>
      <c r="AF912" s="27">
        <f t="shared" si="161"/>
        <v>0</v>
      </c>
      <c r="AG912" s="27">
        <f t="shared" si="162"/>
        <v>0</v>
      </c>
      <c r="AH912" s="27">
        <f t="shared" si="163"/>
        <v>0</v>
      </c>
      <c r="AI912" s="27">
        <f t="shared" si="164"/>
        <v>0</v>
      </c>
      <c r="AJ912" s="27">
        <f t="shared" si="165"/>
        <v>0</v>
      </c>
      <c r="AK912" s="27">
        <f t="shared" si="166"/>
        <v>0</v>
      </c>
      <c r="AL912" s="27">
        <f t="shared" si="167"/>
        <v>0</v>
      </c>
      <c r="AM912" s="27">
        <f t="shared" si="168"/>
        <v>0</v>
      </c>
      <c r="AN912" s="27">
        <f t="shared" si="169"/>
        <v>0</v>
      </c>
      <c r="AO912" s="27">
        <f t="shared" si="170"/>
        <v>0</v>
      </c>
      <c r="AP912" s="27">
        <f t="shared" si="171"/>
        <v>0</v>
      </c>
      <c r="AQ912" s="27">
        <f t="shared" si="172"/>
        <v>0</v>
      </c>
      <c r="AS912" s="27">
        <f t="shared" si="146"/>
        <v>0</v>
      </c>
      <c r="AT912" s="27">
        <f t="shared" si="173"/>
        <v>0</v>
      </c>
      <c r="AU912" s="27">
        <f t="shared" si="174"/>
        <v>0</v>
      </c>
      <c r="AV912" s="27">
        <f t="shared" si="175"/>
        <v>0</v>
      </c>
      <c r="AW912" s="27">
        <f t="shared" si="176"/>
        <v>0</v>
      </c>
      <c r="AX912" s="27">
        <f t="shared" si="177"/>
        <v>0</v>
      </c>
      <c r="AY912" s="27">
        <f t="shared" si="178"/>
        <v>0</v>
      </c>
      <c r="AZ912" s="27">
        <f t="shared" si="179"/>
        <v>0</v>
      </c>
      <c r="BA912" s="27">
        <f t="shared" si="180"/>
        <v>0</v>
      </c>
      <c r="BB912" s="27">
        <f t="shared" si="181"/>
        <v>0</v>
      </c>
      <c r="BC912" s="27">
        <f t="shared" si="182"/>
        <v>0</v>
      </c>
      <c r="BD912" s="27">
        <f t="shared" si="183"/>
        <v>0</v>
      </c>
      <c r="BE912" s="27">
        <f t="shared" si="184"/>
        <v>0</v>
      </c>
      <c r="CC912" s="61"/>
    </row>
    <row r="913" spans="3:81" s="27" customFormat="1" ht="11.25" hidden="1" x14ac:dyDescent="0.2">
      <c r="C913" s="60">
        <f t="shared" si="156"/>
        <v>0</v>
      </c>
      <c r="D913" s="27">
        <f t="shared" si="157"/>
        <v>0</v>
      </c>
      <c r="E913" s="27">
        <f t="shared" si="157"/>
        <v>0</v>
      </c>
      <c r="F913" s="27">
        <f t="shared" si="157"/>
        <v>0</v>
      </c>
      <c r="G913" s="27">
        <f t="shared" si="157"/>
        <v>0</v>
      </c>
      <c r="H913" s="27">
        <f t="shared" ref="H913:S913" si="193">+($D913+($D913*$E913))*H307</f>
        <v>0</v>
      </c>
      <c r="I913" s="27">
        <f t="shared" si="193"/>
        <v>0</v>
      </c>
      <c r="J913" s="27">
        <f t="shared" si="193"/>
        <v>0</v>
      </c>
      <c r="K913" s="27">
        <f t="shared" si="193"/>
        <v>0</v>
      </c>
      <c r="L913" s="27">
        <f t="shared" si="193"/>
        <v>0</v>
      </c>
      <c r="M913" s="27">
        <f t="shared" si="193"/>
        <v>0</v>
      </c>
      <c r="N913" s="27">
        <f t="shared" si="193"/>
        <v>0</v>
      </c>
      <c r="O913" s="27">
        <f t="shared" si="193"/>
        <v>0</v>
      </c>
      <c r="P913" s="27">
        <f t="shared" si="193"/>
        <v>0</v>
      </c>
      <c r="Q913" s="27">
        <f t="shared" si="193"/>
        <v>0</v>
      </c>
      <c r="R913" s="27">
        <f t="shared" si="193"/>
        <v>0</v>
      </c>
      <c r="S913" s="27">
        <f t="shared" si="193"/>
        <v>0</v>
      </c>
      <c r="T913" s="27">
        <f t="shared" si="159"/>
        <v>0</v>
      </c>
      <c r="W913" s="60"/>
      <c r="AD913" s="27">
        <f t="shared" si="145"/>
        <v>0</v>
      </c>
      <c r="AE913" s="27">
        <f t="shared" si="160"/>
        <v>0</v>
      </c>
      <c r="AF913" s="27">
        <f t="shared" si="161"/>
        <v>0</v>
      </c>
      <c r="AG913" s="27">
        <f t="shared" si="162"/>
        <v>0</v>
      </c>
      <c r="AH913" s="27">
        <f t="shared" si="163"/>
        <v>0</v>
      </c>
      <c r="AI913" s="27">
        <f t="shared" si="164"/>
        <v>0</v>
      </c>
      <c r="AJ913" s="27">
        <f t="shared" si="165"/>
        <v>0</v>
      </c>
      <c r="AK913" s="27">
        <f t="shared" si="166"/>
        <v>0</v>
      </c>
      <c r="AL913" s="27">
        <f t="shared" si="167"/>
        <v>0</v>
      </c>
      <c r="AM913" s="27">
        <f t="shared" si="168"/>
        <v>0</v>
      </c>
      <c r="AN913" s="27">
        <f t="shared" si="169"/>
        <v>0</v>
      </c>
      <c r="AO913" s="27">
        <f t="shared" si="170"/>
        <v>0</v>
      </c>
      <c r="AP913" s="27">
        <f t="shared" si="171"/>
        <v>0</v>
      </c>
      <c r="AQ913" s="27">
        <f t="shared" si="172"/>
        <v>0</v>
      </c>
      <c r="AS913" s="27">
        <f t="shared" si="146"/>
        <v>0</v>
      </c>
      <c r="AT913" s="27">
        <f t="shared" si="173"/>
        <v>0</v>
      </c>
      <c r="AU913" s="27">
        <f t="shared" si="174"/>
        <v>0</v>
      </c>
      <c r="AV913" s="27">
        <f t="shared" si="175"/>
        <v>0</v>
      </c>
      <c r="AW913" s="27">
        <f t="shared" si="176"/>
        <v>0</v>
      </c>
      <c r="AX913" s="27">
        <f t="shared" si="177"/>
        <v>0</v>
      </c>
      <c r="AY913" s="27">
        <f t="shared" si="178"/>
        <v>0</v>
      </c>
      <c r="AZ913" s="27">
        <f t="shared" si="179"/>
        <v>0</v>
      </c>
      <c r="BA913" s="27">
        <f t="shared" si="180"/>
        <v>0</v>
      </c>
      <c r="BB913" s="27">
        <f t="shared" si="181"/>
        <v>0</v>
      </c>
      <c r="BC913" s="27">
        <f t="shared" si="182"/>
        <v>0</v>
      </c>
      <c r="BD913" s="27">
        <f t="shared" si="183"/>
        <v>0</v>
      </c>
      <c r="BE913" s="27">
        <f t="shared" si="184"/>
        <v>0</v>
      </c>
      <c r="CC913" s="61"/>
    </row>
    <row r="914" spans="3:81" s="27" customFormat="1" ht="11.25" hidden="1" x14ac:dyDescent="0.2">
      <c r="C914" s="60">
        <f t="shared" si="156"/>
        <v>0</v>
      </c>
      <c r="D914" s="27">
        <f t="shared" si="157"/>
        <v>0</v>
      </c>
      <c r="E914" s="27">
        <f t="shared" si="157"/>
        <v>0</v>
      </c>
      <c r="F914" s="27">
        <f t="shared" si="157"/>
        <v>0</v>
      </c>
      <c r="G914" s="27">
        <f t="shared" si="157"/>
        <v>0</v>
      </c>
      <c r="H914" s="27">
        <f t="shared" ref="H914:S914" si="194">+($D914+($D914*$E914))*H308</f>
        <v>0</v>
      </c>
      <c r="I914" s="27">
        <f t="shared" si="194"/>
        <v>0</v>
      </c>
      <c r="J914" s="27">
        <f t="shared" si="194"/>
        <v>0</v>
      </c>
      <c r="K914" s="27">
        <f t="shared" si="194"/>
        <v>0</v>
      </c>
      <c r="L914" s="27">
        <f t="shared" si="194"/>
        <v>0</v>
      </c>
      <c r="M914" s="27">
        <f t="shared" si="194"/>
        <v>0</v>
      </c>
      <c r="N914" s="27">
        <f t="shared" si="194"/>
        <v>0</v>
      </c>
      <c r="O914" s="27">
        <f t="shared" si="194"/>
        <v>0</v>
      </c>
      <c r="P914" s="27">
        <f t="shared" si="194"/>
        <v>0</v>
      </c>
      <c r="Q914" s="27">
        <f t="shared" si="194"/>
        <v>0</v>
      </c>
      <c r="R914" s="27">
        <f t="shared" si="194"/>
        <v>0</v>
      </c>
      <c r="S914" s="27">
        <f t="shared" si="194"/>
        <v>0</v>
      </c>
      <c r="T914" s="27">
        <f t="shared" si="159"/>
        <v>0</v>
      </c>
      <c r="W914" s="60"/>
      <c r="AD914" s="27">
        <f t="shared" si="145"/>
        <v>0</v>
      </c>
      <c r="AE914" s="27">
        <f t="shared" si="160"/>
        <v>0</v>
      </c>
      <c r="AF914" s="27">
        <f t="shared" si="161"/>
        <v>0</v>
      </c>
      <c r="AG914" s="27">
        <f t="shared" si="162"/>
        <v>0</v>
      </c>
      <c r="AH914" s="27">
        <f t="shared" si="163"/>
        <v>0</v>
      </c>
      <c r="AI914" s="27">
        <f t="shared" si="164"/>
        <v>0</v>
      </c>
      <c r="AJ914" s="27">
        <f t="shared" si="165"/>
        <v>0</v>
      </c>
      <c r="AK914" s="27">
        <f t="shared" si="166"/>
        <v>0</v>
      </c>
      <c r="AL914" s="27">
        <f t="shared" si="167"/>
        <v>0</v>
      </c>
      <c r="AM914" s="27">
        <f t="shared" si="168"/>
        <v>0</v>
      </c>
      <c r="AN914" s="27">
        <f t="shared" si="169"/>
        <v>0</v>
      </c>
      <c r="AO914" s="27">
        <f t="shared" si="170"/>
        <v>0</v>
      </c>
      <c r="AP914" s="27">
        <f t="shared" si="171"/>
        <v>0</v>
      </c>
      <c r="AQ914" s="27">
        <f t="shared" si="172"/>
        <v>0</v>
      </c>
      <c r="AS914" s="27">
        <f t="shared" si="146"/>
        <v>0</v>
      </c>
      <c r="AT914" s="27">
        <f t="shared" si="173"/>
        <v>0</v>
      </c>
      <c r="AU914" s="27">
        <f t="shared" si="174"/>
        <v>0</v>
      </c>
      <c r="AV914" s="27">
        <f t="shared" si="175"/>
        <v>0</v>
      </c>
      <c r="AW914" s="27">
        <f t="shared" si="176"/>
        <v>0</v>
      </c>
      <c r="AX914" s="27">
        <f t="shared" si="177"/>
        <v>0</v>
      </c>
      <c r="AY914" s="27">
        <f t="shared" si="178"/>
        <v>0</v>
      </c>
      <c r="AZ914" s="27">
        <f t="shared" si="179"/>
        <v>0</v>
      </c>
      <c r="BA914" s="27">
        <f t="shared" si="180"/>
        <v>0</v>
      </c>
      <c r="BB914" s="27">
        <f t="shared" si="181"/>
        <v>0</v>
      </c>
      <c r="BC914" s="27">
        <f t="shared" si="182"/>
        <v>0</v>
      </c>
      <c r="BD914" s="27">
        <f t="shared" si="183"/>
        <v>0</v>
      </c>
      <c r="BE914" s="27">
        <f t="shared" si="184"/>
        <v>0</v>
      </c>
      <c r="CC914" s="61"/>
    </row>
    <row r="915" spans="3:81" s="27" customFormat="1" ht="11.25" hidden="1" x14ac:dyDescent="0.2">
      <c r="C915" s="60">
        <f t="shared" si="156"/>
        <v>0</v>
      </c>
      <c r="D915" s="27">
        <f t="shared" si="157"/>
        <v>0</v>
      </c>
      <c r="E915" s="27">
        <f t="shared" si="157"/>
        <v>0</v>
      </c>
      <c r="F915" s="27">
        <f t="shared" si="157"/>
        <v>0</v>
      </c>
      <c r="G915" s="27">
        <f t="shared" si="157"/>
        <v>0</v>
      </c>
      <c r="H915" s="27">
        <f t="shared" ref="H915:S915" si="195">+($D915+($D915*$E915))*H309</f>
        <v>0</v>
      </c>
      <c r="I915" s="27">
        <f t="shared" si="195"/>
        <v>0</v>
      </c>
      <c r="J915" s="27">
        <f t="shared" si="195"/>
        <v>0</v>
      </c>
      <c r="K915" s="27">
        <f t="shared" si="195"/>
        <v>0</v>
      </c>
      <c r="L915" s="27">
        <f t="shared" si="195"/>
        <v>0</v>
      </c>
      <c r="M915" s="27">
        <f t="shared" si="195"/>
        <v>0</v>
      </c>
      <c r="N915" s="27">
        <f t="shared" si="195"/>
        <v>0</v>
      </c>
      <c r="O915" s="27">
        <f t="shared" si="195"/>
        <v>0</v>
      </c>
      <c r="P915" s="27">
        <f t="shared" si="195"/>
        <v>0</v>
      </c>
      <c r="Q915" s="27">
        <f t="shared" si="195"/>
        <v>0</v>
      </c>
      <c r="R915" s="27">
        <f t="shared" si="195"/>
        <v>0</v>
      </c>
      <c r="S915" s="27">
        <f t="shared" si="195"/>
        <v>0</v>
      </c>
      <c r="T915" s="27">
        <f t="shared" si="159"/>
        <v>0</v>
      </c>
      <c r="W915" s="60"/>
      <c r="AD915" s="27">
        <f t="shared" si="145"/>
        <v>0</v>
      </c>
      <c r="AE915" s="27">
        <f t="shared" si="160"/>
        <v>0</v>
      </c>
      <c r="AF915" s="27">
        <f t="shared" si="161"/>
        <v>0</v>
      </c>
      <c r="AG915" s="27">
        <f t="shared" si="162"/>
        <v>0</v>
      </c>
      <c r="AH915" s="27">
        <f t="shared" si="163"/>
        <v>0</v>
      </c>
      <c r="AI915" s="27">
        <f t="shared" si="164"/>
        <v>0</v>
      </c>
      <c r="AJ915" s="27">
        <f t="shared" si="165"/>
        <v>0</v>
      </c>
      <c r="AK915" s="27">
        <f t="shared" si="166"/>
        <v>0</v>
      </c>
      <c r="AL915" s="27">
        <f t="shared" si="167"/>
        <v>0</v>
      </c>
      <c r="AM915" s="27">
        <f t="shared" si="168"/>
        <v>0</v>
      </c>
      <c r="AN915" s="27">
        <f t="shared" si="169"/>
        <v>0</v>
      </c>
      <c r="AO915" s="27">
        <f t="shared" si="170"/>
        <v>0</v>
      </c>
      <c r="AP915" s="27">
        <f t="shared" si="171"/>
        <v>0</v>
      </c>
      <c r="AQ915" s="27">
        <f t="shared" si="172"/>
        <v>0</v>
      </c>
      <c r="AS915" s="27">
        <f t="shared" si="146"/>
        <v>0</v>
      </c>
      <c r="AT915" s="27">
        <f t="shared" si="173"/>
        <v>0</v>
      </c>
      <c r="AU915" s="27">
        <f t="shared" si="174"/>
        <v>0</v>
      </c>
      <c r="AV915" s="27">
        <f t="shared" si="175"/>
        <v>0</v>
      </c>
      <c r="AW915" s="27">
        <f t="shared" si="176"/>
        <v>0</v>
      </c>
      <c r="AX915" s="27">
        <f t="shared" si="177"/>
        <v>0</v>
      </c>
      <c r="AY915" s="27">
        <f t="shared" si="178"/>
        <v>0</v>
      </c>
      <c r="AZ915" s="27">
        <f t="shared" si="179"/>
        <v>0</v>
      </c>
      <c r="BA915" s="27">
        <f t="shared" si="180"/>
        <v>0</v>
      </c>
      <c r="BB915" s="27">
        <f t="shared" si="181"/>
        <v>0</v>
      </c>
      <c r="BC915" s="27">
        <f t="shared" si="182"/>
        <v>0</v>
      </c>
      <c r="BD915" s="27">
        <f t="shared" si="183"/>
        <v>0</v>
      </c>
      <c r="BE915" s="27">
        <f t="shared" si="184"/>
        <v>0</v>
      </c>
      <c r="CC915" s="61"/>
    </row>
    <row r="916" spans="3:81" s="27" customFormat="1" ht="11.25" hidden="1" x14ac:dyDescent="0.2">
      <c r="C916" s="60">
        <f t="shared" si="156"/>
        <v>0</v>
      </c>
      <c r="D916" s="27">
        <f t="shared" si="157"/>
        <v>0</v>
      </c>
      <c r="E916" s="27">
        <f t="shared" si="157"/>
        <v>0</v>
      </c>
      <c r="F916" s="27">
        <f t="shared" si="157"/>
        <v>0</v>
      </c>
      <c r="G916" s="27">
        <f t="shared" si="157"/>
        <v>0</v>
      </c>
      <c r="H916" s="27">
        <f t="shared" ref="H916:S916" si="196">+($D916+($D916*$E916))*H310</f>
        <v>0</v>
      </c>
      <c r="I916" s="27">
        <f t="shared" si="196"/>
        <v>0</v>
      </c>
      <c r="J916" s="27">
        <f t="shared" si="196"/>
        <v>0</v>
      </c>
      <c r="K916" s="27">
        <f t="shared" si="196"/>
        <v>0</v>
      </c>
      <c r="L916" s="27">
        <f t="shared" si="196"/>
        <v>0</v>
      </c>
      <c r="M916" s="27">
        <f t="shared" si="196"/>
        <v>0</v>
      </c>
      <c r="N916" s="27">
        <f t="shared" si="196"/>
        <v>0</v>
      </c>
      <c r="O916" s="27">
        <f t="shared" si="196"/>
        <v>0</v>
      </c>
      <c r="P916" s="27">
        <f t="shared" si="196"/>
        <v>0</v>
      </c>
      <c r="Q916" s="27">
        <f t="shared" si="196"/>
        <v>0</v>
      </c>
      <c r="R916" s="27">
        <f t="shared" si="196"/>
        <v>0</v>
      </c>
      <c r="S916" s="27">
        <f t="shared" si="196"/>
        <v>0</v>
      </c>
      <c r="T916" s="27">
        <f t="shared" si="159"/>
        <v>0</v>
      </c>
      <c r="W916" s="60"/>
      <c r="AD916" s="27">
        <f t="shared" si="145"/>
        <v>0</v>
      </c>
      <c r="AE916" s="27">
        <f t="shared" si="160"/>
        <v>0</v>
      </c>
      <c r="AF916" s="27">
        <f t="shared" si="161"/>
        <v>0</v>
      </c>
      <c r="AG916" s="27">
        <f t="shared" si="162"/>
        <v>0</v>
      </c>
      <c r="AH916" s="27">
        <f t="shared" si="163"/>
        <v>0</v>
      </c>
      <c r="AI916" s="27">
        <f t="shared" si="164"/>
        <v>0</v>
      </c>
      <c r="AJ916" s="27">
        <f t="shared" si="165"/>
        <v>0</v>
      </c>
      <c r="AK916" s="27">
        <f t="shared" si="166"/>
        <v>0</v>
      </c>
      <c r="AL916" s="27">
        <f t="shared" si="167"/>
        <v>0</v>
      </c>
      <c r="AM916" s="27">
        <f t="shared" si="168"/>
        <v>0</v>
      </c>
      <c r="AN916" s="27">
        <f t="shared" si="169"/>
        <v>0</v>
      </c>
      <c r="AO916" s="27">
        <f t="shared" si="170"/>
        <v>0</v>
      </c>
      <c r="AP916" s="27">
        <f t="shared" si="171"/>
        <v>0</v>
      </c>
      <c r="AQ916" s="27">
        <f t="shared" si="172"/>
        <v>0</v>
      </c>
      <c r="AS916" s="27">
        <f t="shared" si="146"/>
        <v>0</v>
      </c>
      <c r="AT916" s="27">
        <f t="shared" si="173"/>
        <v>0</v>
      </c>
      <c r="AU916" s="27">
        <f t="shared" si="174"/>
        <v>0</v>
      </c>
      <c r="AV916" s="27">
        <f t="shared" si="175"/>
        <v>0</v>
      </c>
      <c r="AW916" s="27">
        <f t="shared" si="176"/>
        <v>0</v>
      </c>
      <c r="AX916" s="27">
        <f t="shared" si="177"/>
        <v>0</v>
      </c>
      <c r="AY916" s="27">
        <f t="shared" si="178"/>
        <v>0</v>
      </c>
      <c r="AZ916" s="27">
        <f t="shared" si="179"/>
        <v>0</v>
      </c>
      <c r="BA916" s="27">
        <f t="shared" si="180"/>
        <v>0</v>
      </c>
      <c r="BB916" s="27">
        <f t="shared" si="181"/>
        <v>0</v>
      </c>
      <c r="BC916" s="27">
        <f t="shared" si="182"/>
        <v>0</v>
      </c>
      <c r="BD916" s="27">
        <f t="shared" si="183"/>
        <v>0</v>
      </c>
      <c r="BE916" s="27">
        <f t="shared" si="184"/>
        <v>0</v>
      </c>
      <c r="CC916" s="61"/>
    </row>
    <row r="917" spans="3:81" s="27" customFormat="1" ht="11.25" hidden="1" x14ac:dyDescent="0.2">
      <c r="C917" s="60">
        <f t="shared" si="156"/>
        <v>0</v>
      </c>
      <c r="D917" s="27">
        <f t="shared" si="157"/>
        <v>0</v>
      </c>
      <c r="E917" s="27">
        <f t="shared" si="157"/>
        <v>0</v>
      </c>
      <c r="F917" s="27">
        <f t="shared" si="157"/>
        <v>0</v>
      </c>
      <c r="G917" s="27">
        <f t="shared" si="157"/>
        <v>0</v>
      </c>
      <c r="H917" s="27">
        <f t="shared" ref="H917:S917" si="197">+($D917+($D917*$E917))*H311</f>
        <v>0</v>
      </c>
      <c r="I917" s="27">
        <f t="shared" si="197"/>
        <v>0</v>
      </c>
      <c r="J917" s="27">
        <f t="shared" si="197"/>
        <v>0</v>
      </c>
      <c r="K917" s="27">
        <f t="shared" si="197"/>
        <v>0</v>
      </c>
      <c r="L917" s="27">
        <f t="shared" si="197"/>
        <v>0</v>
      </c>
      <c r="M917" s="27">
        <f t="shared" si="197"/>
        <v>0</v>
      </c>
      <c r="N917" s="27">
        <f t="shared" si="197"/>
        <v>0</v>
      </c>
      <c r="O917" s="27">
        <f t="shared" si="197"/>
        <v>0</v>
      </c>
      <c r="P917" s="27">
        <f t="shared" si="197"/>
        <v>0</v>
      </c>
      <c r="Q917" s="27">
        <f t="shared" si="197"/>
        <v>0</v>
      </c>
      <c r="R917" s="27">
        <f t="shared" si="197"/>
        <v>0</v>
      </c>
      <c r="S917" s="27">
        <f t="shared" si="197"/>
        <v>0</v>
      </c>
      <c r="T917" s="27">
        <f t="shared" si="159"/>
        <v>0</v>
      </c>
      <c r="W917" s="60"/>
      <c r="AD917" s="27">
        <f t="shared" si="145"/>
        <v>0</v>
      </c>
      <c r="AE917" s="27">
        <f t="shared" si="160"/>
        <v>0</v>
      </c>
      <c r="AF917" s="27">
        <f t="shared" si="161"/>
        <v>0</v>
      </c>
      <c r="AG917" s="27">
        <f t="shared" si="162"/>
        <v>0</v>
      </c>
      <c r="AH917" s="27">
        <f t="shared" si="163"/>
        <v>0</v>
      </c>
      <c r="AI917" s="27">
        <f t="shared" si="164"/>
        <v>0</v>
      </c>
      <c r="AJ917" s="27">
        <f t="shared" si="165"/>
        <v>0</v>
      </c>
      <c r="AK917" s="27">
        <f t="shared" si="166"/>
        <v>0</v>
      </c>
      <c r="AL917" s="27">
        <f t="shared" si="167"/>
        <v>0</v>
      </c>
      <c r="AM917" s="27">
        <f t="shared" si="168"/>
        <v>0</v>
      </c>
      <c r="AN917" s="27">
        <f t="shared" si="169"/>
        <v>0</v>
      </c>
      <c r="AO917" s="27">
        <f t="shared" si="170"/>
        <v>0</v>
      </c>
      <c r="AP917" s="27">
        <f t="shared" si="171"/>
        <v>0</v>
      </c>
      <c r="AQ917" s="27">
        <f t="shared" si="172"/>
        <v>0</v>
      </c>
      <c r="AS917" s="27">
        <f t="shared" si="146"/>
        <v>0</v>
      </c>
      <c r="AT917" s="27">
        <f t="shared" si="173"/>
        <v>0</v>
      </c>
      <c r="AU917" s="27">
        <f t="shared" si="174"/>
        <v>0</v>
      </c>
      <c r="AV917" s="27">
        <f t="shared" si="175"/>
        <v>0</v>
      </c>
      <c r="AW917" s="27">
        <f t="shared" si="176"/>
        <v>0</v>
      </c>
      <c r="AX917" s="27">
        <f t="shared" si="177"/>
        <v>0</v>
      </c>
      <c r="AY917" s="27">
        <f t="shared" si="178"/>
        <v>0</v>
      </c>
      <c r="AZ917" s="27">
        <f t="shared" si="179"/>
        <v>0</v>
      </c>
      <c r="BA917" s="27">
        <f t="shared" si="180"/>
        <v>0</v>
      </c>
      <c r="BB917" s="27">
        <f t="shared" si="181"/>
        <v>0</v>
      </c>
      <c r="BC917" s="27">
        <f t="shared" si="182"/>
        <v>0</v>
      </c>
      <c r="BD917" s="27">
        <f t="shared" si="183"/>
        <v>0</v>
      </c>
      <c r="BE917" s="27">
        <f t="shared" si="184"/>
        <v>0</v>
      </c>
      <c r="CC917" s="61"/>
    </row>
    <row r="918" spans="3:81" s="27" customFormat="1" ht="11.25" hidden="1" x14ac:dyDescent="0.2">
      <c r="C918" s="60">
        <f t="shared" si="156"/>
        <v>0</v>
      </c>
      <c r="D918" s="27">
        <f t="shared" si="157"/>
        <v>0</v>
      </c>
      <c r="E918" s="27">
        <f t="shared" si="157"/>
        <v>0</v>
      </c>
      <c r="F918" s="27">
        <f t="shared" si="157"/>
        <v>0</v>
      </c>
      <c r="G918" s="27">
        <f t="shared" si="157"/>
        <v>0</v>
      </c>
      <c r="H918" s="27">
        <f t="shared" ref="H918:S918" si="198">+($D918+($D918*$E918))*H312</f>
        <v>0</v>
      </c>
      <c r="I918" s="27">
        <f t="shared" si="198"/>
        <v>0</v>
      </c>
      <c r="J918" s="27">
        <f t="shared" si="198"/>
        <v>0</v>
      </c>
      <c r="K918" s="27">
        <f t="shared" si="198"/>
        <v>0</v>
      </c>
      <c r="L918" s="27">
        <f t="shared" si="198"/>
        <v>0</v>
      </c>
      <c r="M918" s="27">
        <f t="shared" si="198"/>
        <v>0</v>
      </c>
      <c r="N918" s="27">
        <f t="shared" si="198"/>
        <v>0</v>
      </c>
      <c r="O918" s="27">
        <f t="shared" si="198"/>
        <v>0</v>
      </c>
      <c r="P918" s="27">
        <f t="shared" si="198"/>
        <v>0</v>
      </c>
      <c r="Q918" s="27">
        <f t="shared" si="198"/>
        <v>0</v>
      </c>
      <c r="R918" s="27">
        <f t="shared" si="198"/>
        <v>0</v>
      </c>
      <c r="S918" s="27">
        <f t="shared" si="198"/>
        <v>0</v>
      </c>
      <c r="T918" s="27">
        <f t="shared" si="159"/>
        <v>0</v>
      </c>
      <c r="W918" s="60"/>
      <c r="AD918" s="27">
        <f t="shared" si="145"/>
        <v>0</v>
      </c>
      <c r="AE918" s="27">
        <f t="shared" si="160"/>
        <v>0</v>
      </c>
      <c r="AF918" s="27">
        <f t="shared" si="161"/>
        <v>0</v>
      </c>
      <c r="AG918" s="27">
        <f t="shared" si="162"/>
        <v>0</v>
      </c>
      <c r="AH918" s="27">
        <f t="shared" si="163"/>
        <v>0</v>
      </c>
      <c r="AI918" s="27">
        <f t="shared" si="164"/>
        <v>0</v>
      </c>
      <c r="AJ918" s="27">
        <f t="shared" si="165"/>
        <v>0</v>
      </c>
      <c r="AK918" s="27">
        <f t="shared" si="166"/>
        <v>0</v>
      </c>
      <c r="AL918" s="27">
        <f t="shared" si="167"/>
        <v>0</v>
      </c>
      <c r="AM918" s="27">
        <f t="shared" si="168"/>
        <v>0</v>
      </c>
      <c r="AN918" s="27">
        <f t="shared" si="169"/>
        <v>0</v>
      </c>
      <c r="AO918" s="27">
        <f t="shared" si="170"/>
        <v>0</v>
      </c>
      <c r="AP918" s="27">
        <f t="shared" si="171"/>
        <v>0</v>
      </c>
      <c r="AQ918" s="27">
        <f t="shared" si="172"/>
        <v>0</v>
      </c>
      <c r="AS918" s="27">
        <f t="shared" si="146"/>
        <v>0</v>
      </c>
      <c r="AT918" s="27">
        <f t="shared" si="173"/>
        <v>0</v>
      </c>
      <c r="AU918" s="27">
        <f t="shared" si="174"/>
        <v>0</v>
      </c>
      <c r="AV918" s="27">
        <f t="shared" si="175"/>
        <v>0</v>
      </c>
      <c r="AW918" s="27">
        <f t="shared" si="176"/>
        <v>0</v>
      </c>
      <c r="AX918" s="27">
        <f t="shared" si="177"/>
        <v>0</v>
      </c>
      <c r="AY918" s="27">
        <f t="shared" si="178"/>
        <v>0</v>
      </c>
      <c r="AZ918" s="27">
        <f t="shared" si="179"/>
        <v>0</v>
      </c>
      <c r="BA918" s="27">
        <f t="shared" si="180"/>
        <v>0</v>
      </c>
      <c r="BB918" s="27">
        <f t="shared" si="181"/>
        <v>0</v>
      </c>
      <c r="BC918" s="27">
        <f t="shared" si="182"/>
        <v>0</v>
      </c>
      <c r="BD918" s="27">
        <f t="shared" si="183"/>
        <v>0</v>
      </c>
      <c r="BE918" s="27">
        <f t="shared" si="184"/>
        <v>0</v>
      </c>
      <c r="CC918" s="61"/>
    </row>
    <row r="919" spans="3:81" s="27" customFormat="1" ht="11.25" hidden="1" x14ac:dyDescent="0.2">
      <c r="C919" s="60">
        <f t="shared" si="156"/>
        <v>0</v>
      </c>
      <c r="D919" s="27">
        <f t="shared" si="157"/>
        <v>0</v>
      </c>
      <c r="E919" s="27">
        <f t="shared" si="157"/>
        <v>0</v>
      </c>
      <c r="F919" s="27">
        <f t="shared" si="157"/>
        <v>0</v>
      </c>
      <c r="G919" s="27">
        <f t="shared" si="157"/>
        <v>0</v>
      </c>
      <c r="H919" s="27">
        <f t="shared" ref="H919:S919" si="199">+($D919+($D919*$E919))*H313</f>
        <v>0</v>
      </c>
      <c r="I919" s="27">
        <f t="shared" si="199"/>
        <v>0</v>
      </c>
      <c r="J919" s="27">
        <f t="shared" si="199"/>
        <v>0</v>
      </c>
      <c r="K919" s="27">
        <f t="shared" si="199"/>
        <v>0</v>
      </c>
      <c r="L919" s="27">
        <f t="shared" si="199"/>
        <v>0</v>
      </c>
      <c r="M919" s="27">
        <f t="shared" si="199"/>
        <v>0</v>
      </c>
      <c r="N919" s="27">
        <f t="shared" si="199"/>
        <v>0</v>
      </c>
      <c r="O919" s="27">
        <f t="shared" si="199"/>
        <v>0</v>
      </c>
      <c r="P919" s="27">
        <f t="shared" si="199"/>
        <v>0</v>
      </c>
      <c r="Q919" s="27">
        <f t="shared" si="199"/>
        <v>0</v>
      </c>
      <c r="R919" s="27">
        <f t="shared" si="199"/>
        <v>0</v>
      </c>
      <c r="S919" s="27">
        <f t="shared" si="199"/>
        <v>0</v>
      </c>
      <c r="T919" s="27">
        <f t="shared" si="159"/>
        <v>0</v>
      </c>
      <c r="W919" s="60"/>
      <c r="AD919" s="27">
        <f t="shared" si="145"/>
        <v>0</v>
      </c>
      <c r="AE919" s="27">
        <f t="shared" si="160"/>
        <v>0</v>
      </c>
      <c r="AF919" s="27">
        <f t="shared" si="161"/>
        <v>0</v>
      </c>
      <c r="AG919" s="27">
        <f t="shared" si="162"/>
        <v>0</v>
      </c>
      <c r="AH919" s="27">
        <f t="shared" si="163"/>
        <v>0</v>
      </c>
      <c r="AI919" s="27">
        <f t="shared" si="164"/>
        <v>0</v>
      </c>
      <c r="AJ919" s="27">
        <f t="shared" si="165"/>
        <v>0</v>
      </c>
      <c r="AK919" s="27">
        <f t="shared" si="166"/>
        <v>0</v>
      </c>
      <c r="AL919" s="27">
        <f t="shared" si="167"/>
        <v>0</v>
      </c>
      <c r="AM919" s="27">
        <f t="shared" si="168"/>
        <v>0</v>
      </c>
      <c r="AN919" s="27">
        <f t="shared" si="169"/>
        <v>0</v>
      </c>
      <c r="AO919" s="27">
        <f t="shared" si="170"/>
        <v>0</v>
      </c>
      <c r="AP919" s="27">
        <f t="shared" si="171"/>
        <v>0</v>
      </c>
      <c r="AQ919" s="27">
        <f t="shared" si="172"/>
        <v>0</v>
      </c>
      <c r="AS919" s="27">
        <f t="shared" si="146"/>
        <v>0</v>
      </c>
      <c r="AT919" s="27">
        <f t="shared" si="173"/>
        <v>0</v>
      </c>
      <c r="AU919" s="27">
        <f t="shared" si="174"/>
        <v>0</v>
      </c>
      <c r="AV919" s="27">
        <f t="shared" si="175"/>
        <v>0</v>
      </c>
      <c r="AW919" s="27">
        <f t="shared" si="176"/>
        <v>0</v>
      </c>
      <c r="AX919" s="27">
        <f t="shared" si="177"/>
        <v>0</v>
      </c>
      <c r="AY919" s="27">
        <f t="shared" si="178"/>
        <v>0</v>
      </c>
      <c r="AZ919" s="27">
        <f t="shared" si="179"/>
        <v>0</v>
      </c>
      <c r="BA919" s="27">
        <f t="shared" si="180"/>
        <v>0</v>
      </c>
      <c r="BB919" s="27">
        <f t="shared" si="181"/>
        <v>0</v>
      </c>
      <c r="BC919" s="27">
        <f t="shared" si="182"/>
        <v>0</v>
      </c>
      <c r="BD919" s="27">
        <f t="shared" si="183"/>
        <v>0</v>
      </c>
      <c r="BE919" s="27">
        <f t="shared" si="184"/>
        <v>0</v>
      </c>
      <c r="CC919" s="61"/>
    </row>
    <row r="920" spans="3:81" s="27" customFormat="1" ht="11.25" hidden="1" x14ac:dyDescent="0.2">
      <c r="C920" s="60"/>
      <c r="W920" s="60"/>
      <c r="CC920" s="61"/>
    </row>
    <row r="921" spans="3:81" s="27" customFormat="1" ht="11.25" hidden="1" x14ac:dyDescent="0.2">
      <c r="C921" s="60"/>
      <c r="W921" s="60"/>
      <c r="AD921" s="27" t="s">
        <v>1279</v>
      </c>
      <c r="AS921" s="27" t="s">
        <v>1283</v>
      </c>
      <c r="CC921" s="61"/>
    </row>
    <row r="922" spans="3:81" s="27" customFormat="1" ht="11.25" hidden="1" x14ac:dyDescent="0.2">
      <c r="C922" s="60"/>
      <c r="E922" s="27">
        <f>COUNTIF(F861:F919,"&gt;0")</f>
        <v>0</v>
      </c>
      <c r="F922" s="27">
        <f>SUM(F861:F919)</f>
        <v>0</v>
      </c>
      <c r="G922" s="27" t="s">
        <v>127</v>
      </c>
      <c r="H922" s="27">
        <f>IF(E922=0,0,F922/E922)</f>
        <v>0</v>
      </c>
      <c r="W922" s="60"/>
      <c r="AD922" s="27" t="s">
        <v>1277</v>
      </c>
      <c r="AE922" s="27">
        <f t="shared" ref="AE922:AP922" si="200">SUM(AE861:AE870)</f>
        <v>0</v>
      </c>
      <c r="AF922" s="27">
        <f t="shared" si="200"/>
        <v>0</v>
      </c>
      <c r="AG922" s="27">
        <f t="shared" si="200"/>
        <v>0</v>
      </c>
      <c r="AH922" s="27">
        <f t="shared" si="200"/>
        <v>0</v>
      </c>
      <c r="AI922" s="27">
        <f t="shared" si="200"/>
        <v>0</v>
      </c>
      <c r="AJ922" s="27">
        <f t="shared" si="200"/>
        <v>0</v>
      </c>
      <c r="AK922" s="27">
        <f t="shared" si="200"/>
        <v>0</v>
      </c>
      <c r="AL922" s="27">
        <f t="shared" si="200"/>
        <v>0</v>
      </c>
      <c r="AM922" s="27">
        <f t="shared" si="200"/>
        <v>0</v>
      </c>
      <c r="AN922" s="27">
        <f t="shared" si="200"/>
        <v>0</v>
      </c>
      <c r="AO922" s="27">
        <f t="shared" si="200"/>
        <v>0</v>
      </c>
      <c r="AP922" s="27">
        <f t="shared" si="200"/>
        <v>0</v>
      </c>
      <c r="AS922" s="27" t="str">
        <f>AD922</f>
        <v>Personal Directivo</v>
      </c>
      <c r="AT922" s="27">
        <f t="shared" ref="AT922:BE922" si="201">SUM(AT861:AT870)</f>
        <v>0</v>
      </c>
      <c r="AU922" s="27">
        <f t="shared" si="201"/>
        <v>0</v>
      </c>
      <c r="AV922" s="27">
        <f t="shared" si="201"/>
        <v>0</v>
      </c>
      <c r="AW922" s="27">
        <f t="shared" si="201"/>
        <v>0</v>
      </c>
      <c r="AX922" s="27">
        <f t="shared" si="201"/>
        <v>0</v>
      </c>
      <c r="AY922" s="27">
        <f t="shared" si="201"/>
        <v>0</v>
      </c>
      <c r="AZ922" s="27">
        <f t="shared" si="201"/>
        <v>0</v>
      </c>
      <c r="BA922" s="27">
        <f t="shared" si="201"/>
        <v>0</v>
      </c>
      <c r="BB922" s="27">
        <f t="shared" si="201"/>
        <v>0</v>
      </c>
      <c r="BC922" s="27">
        <f t="shared" si="201"/>
        <v>0</v>
      </c>
      <c r="BD922" s="27">
        <f t="shared" si="201"/>
        <v>0</v>
      </c>
      <c r="BE922" s="27">
        <f t="shared" si="201"/>
        <v>0</v>
      </c>
      <c r="CC922" s="61"/>
    </row>
    <row r="923" spans="3:81" s="27" customFormat="1" ht="11.25" hidden="1" x14ac:dyDescent="0.2">
      <c r="C923" s="60"/>
      <c r="W923" s="60"/>
      <c r="AD923" s="27" t="s">
        <v>806</v>
      </c>
      <c r="AE923" s="27">
        <f t="shared" ref="AE923:AP923" si="202">SUM(AE872:AE902)</f>
        <v>0</v>
      </c>
      <c r="AF923" s="27">
        <f t="shared" si="202"/>
        <v>0</v>
      </c>
      <c r="AG923" s="27">
        <f t="shared" si="202"/>
        <v>0</v>
      </c>
      <c r="AH923" s="27">
        <f t="shared" si="202"/>
        <v>0</v>
      </c>
      <c r="AI923" s="27">
        <f t="shared" si="202"/>
        <v>0</v>
      </c>
      <c r="AJ923" s="27">
        <f t="shared" si="202"/>
        <v>0</v>
      </c>
      <c r="AK923" s="27">
        <f t="shared" si="202"/>
        <v>0</v>
      </c>
      <c r="AL923" s="27">
        <f t="shared" si="202"/>
        <v>0</v>
      </c>
      <c r="AM923" s="27">
        <f t="shared" si="202"/>
        <v>0</v>
      </c>
      <c r="AN923" s="27">
        <f t="shared" si="202"/>
        <v>0</v>
      </c>
      <c r="AO923" s="27">
        <f t="shared" si="202"/>
        <v>0</v>
      </c>
      <c r="AP923" s="27">
        <f t="shared" si="202"/>
        <v>0</v>
      </c>
      <c r="AS923" s="27" t="str">
        <f>AD923</f>
        <v>Personal FIJO</v>
      </c>
      <c r="AT923" s="27">
        <f t="shared" ref="AT923:BE923" si="203">SUM(AT872:AT902)</f>
        <v>0</v>
      </c>
      <c r="AU923" s="27">
        <f t="shared" si="203"/>
        <v>0</v>
      </c>
      <c r="AV923" s="27">
        <f t="shared" si="203"/>
        <v>0</v>
      </c>
      <c r="AW923" s="27">
        <f t="shared" si="203"/>
        <v>0</v>
      </c>
      <c r="AX923" s="27">
        <f t="shared" si="203"/>
        <v>0</v>
      </c>
      <c r="AY923" s="27">
        <f t="shared" si="203"/>
        <v>0</v>
      </c>
      <c r="AZ923" s="27">
        <f t="shared" si="203"/>
        <v>0</v>
      </c>
      <c r="BA923" s="27">
        <f t="shared" si="203"/>
        <v>0</v>
      </c>
      <c r="BB923" s="27">
        <f t="shared" si="203"/>
        <v>0</v>
      </c>
      <c r="BC923" s="27">
        <f t="shared" si="203"/>
        <v>0</v>
      </c>
      <c r="BD923" s="27">
        <f t="shared" si="203"/>
        <v>0</v>
      </c>
      <c r="BE923" s="27">
        <f t="shared" si="203"/>
        <v>0</v>
      </c>
      <c r="CC923" s="61"/>
    </row>
    <row r="924" spans="3:81" s="27" customFormat="1" ht="11.25" hidden="1" x14ac:dyDescent="0.2">
      <c r="C924" s="60"/>
      <c r="W924" s="60"/>
      <c r="AD924" s="27" t="s">
        <v>1278</v>
      </c>
      <c r="AE924" s="27">
        <f t="shared" ref="AE924:AP924" si="204">SUM(AE904:AE919)</f>
        <v>0</v>
      </c>
      <c r="AF924" s="27">
        <f t="shared" si="204"/>
        <v>0</v>
      </c>
      <c r="AG924" s="27">
        <f t="shared" si="204"/>
        <v>0</v>
      </c>
      <c r="AH924" s="27">
        <f t="shared" si="204"/>
        <v>0</v>
      </c>
      <c r="AI924" s="27">
        <f t="shared" si="204"/>
        <v>0</v>
      </c>
      <c r="AJ924" s="27">
        <f t="shared" si="204"/>
        <v>0</v>
      </c>
      <c r="AK924" s="27">
        <f t="shared" si="204"/>
        <v>0</v>
      </c>
      <c r="AL924" s="27">
        <f t="shared" si="204"/>
        <v>0</v>
      </c>
      <c r="AM924" s="27">
        <f t="shared" si="204"/>
        <v>0</v>
      </c>
      <c r="AN924" s="27">
        <f t="shared" si="204"/>
        <v>0</v>
      </c>
      <c r="AO924" s="27">
        <f t="shared" si="204"/>
        <v>0</v>
      </c>
      <c r="AP924" s="27">
        <f t="shared" si="204"/>
        <v>0</v>
      </c>
      <c r="AS924" s="27" t="str">
        <f>AD924</f>
        <v>Personal EVENTUAL</v>
      </c>
      <c r="AT924" s="27">
        <f t="shared" ref="AT924:BE924" si="205">SUM(AT904:AT919)</f>
        <v>0</v>
      </c>
      <c r="AU924" s="27">
        <f t="shared" si="205"/>
        <v>0</v>
      </c>
      <c r="AV924" s="27">
        <f t="shared" si="205"/>
        <v>0</v>
      </c>
      <c r="AW924" s="27">
        <f t="shared" si="205"/>
        <v>0</v>
      </c>
      <c r="AX924" s="27">
        <f t="shared" si="205"/>
        <v>0</v>
      </c>
      <c r="AY924" s="27">
        <f t="shared" si="205"/>
        <v>0</v>
      </c>
      <c r="AZ924" s="27">
        <f t="shared" si="205"/>
        <v>0</v>
      </c>
      <c r="BA924" s="27">
        <f t="shared" si="205"/>
        <v>0</v>
      </c>
      <c r="BB924" s="27">
        <f t="shared" si="205"/>
        <v>0</v>
      </c>
      <c r="BC924" s="27">
        <f t="shared" si="205"/>
        <v>0</v>
      </c>
      <c r="BD924" s="27">
        <f t="shared" si="205"/>
        <v>0</v>
      </c>
      <c r="BE924" s="27">
        <f t="shared" si="205"/>
        <v>0</v>
      </c>
      <c r="CC924" s="61"/>
    </row>
    <row r="925" spans="3:81" s="27" customFormat="1" ht="11.25" hidden="1" x14ac:dyDescent="0.2">
      <c r="C925" s="60"/>
      <c r="W925" s="60"/>
      <c r="AD925" s="27" t="s">
        <v>1280</v>
      </c>
      <c r="AE925" s="27">
        <f t="shared" ref="AE925:AP925" si="206">SUM(AE922:AE924)</f>
        <v>0</v>
      </c>
      <c r="AF925" s="27">
        <f t="shared" si="206"/>
        <v>0</v>
      </c>
      <c r="AG925" s="27">
        <f t="shared" si="206"/>
        <v>0</v>
      </c>
      <c r="AH925" s="27">
        <f t="shared" si="206"/>
        <v>0</v>
      </c>
      <c r="AI925" s="27">
        <f t="shared" si="206"/>
        <v>0</v>
      </c>
      <c r="AJ925" s="27">
        <f t="shared" si="206"/>
        <v>0</v>
      </c>
      <c r="AK925" s="27">
        <f t="shared" si="206"/>
        <v>0</v>
      </c>
      <c r="AL925" s="27">
        <f t="shared" si="206"/>
        <v>0</v>
      </c>
      <c r="AM925" s="27">
        <f t="shared" si="206"/>
        <v>0</v>
      </c>
      <c r="AN925" s="27">
        <f t="shared" si="206"/>
        <v>0</v>
      </c>
      <c r="AO925" s="27">
        <f t="shared" si="206"/>
        <v>0</v>
      </c>
      <c r="AP925" s="27">
        <f t="shared" si="206"/>
        <v>0</v>
      </c>
      <c r="AS925" s="27" t="str">
        <f>AD925</f>
        <v xml:space="preserve"> TOTAL</v>
      </c>
      <c r="AT925" s="27">
        <f t="shared" ref="AT925:BE925" si="207">SUM(AT922:AT924)</f>
        <v>0</v>
      </c>
      <c r="AU925" s="27">
        <f t="shared" si="207"/>
        <v>0</v>
      </c>
      <c r="AV925" s="27">
        <f t="shared" si="207"/>
        <v>0</v>
      </c>
      <c r="AW925" s="27">
        <f t="shared" si="207"/>
        <v>0</v>
      </c>
      <c r="AX925" s="27">
        <f t="shared" si="207"/>
        <v>0</v>
      </c>
      <c r="AY925" s="27">
        <f t="shared" si="207"/>
        <v>0</v>
      </c>
      <c r="AZ925" s="27">
        <f t="shared" si="207"/>
        <v>0</v>
      </c>
      <c r="BA925" s="27">
        <f t="shared" si="207"/>
        <v>0</v>
      </c>
      <c r="BB925" s="27">
        <f t="shared" si="207"/>
        <v>0</v>
      </c>
      <c r="BC925" s="27">
        <f t="shared" si="207"/>
        <v>0</v>
      </c>
      <c r="BD925" s="27">
        <f t="shared" si="207"/>
        <v>0</v>
      </c>
      <c r="BE925" s="27">
        <f t="shared" si="207"/>
        <v>0</v>
      </c>
      <c r="CC925" s="61"/>
    </row>
    <row r="926" spans="3:81" s="27" customFormat="1" ht="11.25" hidden="1" x14ac:dyDescent="0.2">
      <c r="C926" s="60"/>
      <c r="W926" s="60"/>
      <c r="CC926" s="61"/>
    </row>
    <row r="927" spans="3:81" s="27" customFormat="1" ht="11.25" hidden="1" x14ac:dyDescent="0.2">
      <c r="C927" s="60"/>
      <c r="W927" s="60"/>
      <c r="AD927" s="27" t="s">
        <v>1281</v>
      </c>
      <c r="AS927" s="27" t="s">
        <v>1284</v>
      </c>
      <c r="CC927" s="61"/>
    </row>
    <row r="928" spans="3:81" s="27" customFormat="1" ht="11.25" hidden="1" x14ac:dyDescent="0.2">
      <c r="C928" s="60"/>
      <c r="W928" s="60"/>
      <c r="AD928" s="27" t="s">
        <v>1277</v>
      </c>
      <c r="AE928" s="27">
        <f t="shared" ref="AE928:AP928" si="208">+H800-AE922</f>
        <v>0</v>
      </c>
      <c r="AF928" s="27">
        <f t="shared" si="208"/>
        <v>0</v>
      </c>
      <c r="AG928" s="27">
        <f t="shared" si="208"/>
        <v>0</v>
      </c>
      <c r="AH928" s="27">
        <f t="shared" si="208"/>
        <v>0</v>
      </c>
      <c r="AI928" s="27">
        <f t="shared" si="208"/>
        <v>0</v>
      </c>
      <c r="AJ928" s="27">
        <f t="shared" si="208"/>
        <v>0</v>
      </c>
      <c r="AK928" s="27">
        <f t="shared" si="208"/>
        <v>0</v>
      </c>
      <c r="AL928" s="27">
        <f t="shared" si="208"/>
        <v>0</v>
      </c>
      <c r="AM928" s="27">
        <f t="shared" si="208"/>
        <v>0</v>
      </c>
      <c r="AN928" s="27">
        <f t="shared" si="208"/>
        <v>0</v>
      </c>
      <c r="AO928" s="27">
        <f t="shared" si="208"/>
        <v>0</v>
      </c>
      <c r="AP928" s="27">
        <f t="shared" si="208"/>
        <v>0</v>
      </c>
      <c r="AS928" s="27" t="str">
        <f>AD928</f>
        <v>Personal Directivo</v>
      </c>
      <c r="AT928" s="27">
        <f t="shared" ref="AT928:BE930" si="209">+AE922-AT922</f>
        <v>0</v>
      </c>
      <c r="AU928" s="27">
        <f t="shared" si="209"/>
        <v>0</v>
      </c>
      <c r="AV928" s="27">
        <f t="shared" si="209"/>
        <v>0</v>
      </c>
      <c r="AW928" s="27">
        <f t="shared" si="209"/>
        <v>0</v>
      </c>
      <c r="AX928" s="27">
        <f t="shared" si="209"/>
        <v>0</v>
      </c>
      <c r="AY928" s="27">
        <f t="shared" si="209"/>
        <v>0</v>
      </c>
      <c r="AZ928" s="27">
        <f t="shared" si="209"/>
        <v>0</v>
      </c>
      <c r="BA928" s="27">
        <f t="shared" si="209"/>
        <v>0</v>
      </c>
      <c r="BB928" s="27">
        <f t="shared" si="209"/>
        <v>0</v>
      </c>
      <c r="BC928" s="27">
        <f t="shared" si="209"/>
        <v>0</v>
      </c>
      <c r="BD928" s="27">
        <f t="shared" si="209"/>
        <v>0</v>
      </c>
      <c r="BE928" s="27">
        <f t="shared" si="209"/>
        <v>0</v>
      </c>
      <c r="CC928" s="61"/>
    </row>
    <row r="929" spans="3:81" s="27" customFormat="1" ht="11.25" hidden="1" x14ac:dyDescent="0.2">
      <c r="C929" s="60"/>
      <c r="W929" s="60"/>
      <c r="AD929" s="27" t="s">
        <v>806</v>
      </c>
      <c r="AE929" s="27">
        <f t="shared" ref="AE929:AP929" si="210">+H805-AE923</f>
        <v>0</v>
      </c>
      <c r="AF929" s="27">
        <f t="shared" si="210"/>
        <v>0</v>
      </c>
      <c r="AG929" s="27">
        <f t="shared" si="210"/>
        <v>0</v>
      </c>
      <c r="AH929" s="27">
        <f t="shared" si="210"/>
        <v>0</v>
      </c>
      <c r="AI929" s="27">
        <f t="shared" si="210"/>
        <v>0</v>
      </c>
      <c r="AJ929" s="27">
        <f t="shared" si="210"/>
        <v>0</v>
      </c>
      <c r="AK929" s="27">
        <f t="shared" si="210"/>
        <v>0</v>
      </c>
      <c r="AL929" s="27">
        <f t="shared" si="210"/>
        <v>0</v>
      </c>
      <c r="AM929" s="27">
        <f t="shared" si="210"/>
        <v>0</v>
      </c>
      <c r="AN929" s="27">
        <f t="shared" si="210"/>
        <v>0</v>
      </c>
      <c r="AO929" s="27">
        <f t="shared" si="210"/>
        <v>0</v>
      </c>
      <c r="AP929" s="27">
        <f t="shared" si="210"/>
        <v>0</v>
      </c>
      <c r="AS929" s="27" t="str">
        <f>AD929</f>
        <v>Personal FIJO</v>
      </c>
      <c r="AT929" s="27">
        <f t="shared" si="209"/>
        <v>0</v>
      </c>
      <c r="AU929" s="27">
        <f t="shared" si="209"/>
        <v>0</v>
      </c>
      <c r="AV929" s="27">
        <f t="shared" si="209"/>
        <v>0</v>
      </c>
      <c r="AW929" s="27">
        <f t="shared" si="209"/>
        <v>0</v>
      </c>
      <c r="AX929" s="27">
        <f t="shared" si="209"/>
        <v>0</v>
      </c>
      <c r="AY929" s="27">
        <f t="shared" si="209"/>
        <v>0</v>
      </c>
      <c r="AZ929" s="27">
        <f t="shared" si="209"/>
        <v>0</v>
      </c>
      <c r="BA929" s="27">
        <f t="shared" si="209"/>
        <v>0</v>
      </c>
      <c r="BB929" s="27">
        <f t="shared" si="209"/>
        <v>0</v>
      </c>
      <c r="BC929" s="27">
        <f t="shared" si="209"/>
        <v>0</v>
      </c>
      <c r="BD929" s="27">
        <f t="shared" si="209"/>
        <v>0</v>
      </c>
      <c r="BE929" s="27">
        <f t="shared" si="209"/>
        <v>0</v>
      </c>
      <c r="CC929" s="61"/>
    </row>
    <row r="930" spans="3:81" s="27" customFormat="1" ht="11.25" hidden="1" x14ac:dyDescent="0.2">
      <c r="C930" s="60"/>
      <c r="W930" s="60"/>
      <c r="AD930" s="27" t="s">
        <v>1278</v>
      </c>
      <c r="AE930" s="27">
        <f t="shared" ref="AE930:AP930" si="211">+H810-AE924</f>
        <v>0</v>
      </c>
      <c r="AF930" s="27">
        <f t="shared" si="211"/>
        <v>0</v>
      </c>
      <c r="AG930" s="27">
        <f t="shared" si="211"/>
        <v>0</v>
      </c>
      <c r="AH930" s="27">
        <f t="shared" si="211"/>
        <v>0</v>
      </c>
      <c r="AI930" s="27">
        <f t="shared" si="211"/>
        <v>0</v>
      </c>
      <c r="AJ930" s="27">
        <f t="shared" si="211"/>
        <v>0</v>
      </c>
      <c r="AK930" s="27">
        <f t="shared" si="211"/>
        <v>0</v>
      </c>
      <c r="AL930" s="27">
        <f t="shared" si="211"/>
        <v>0</v>
      </c>
      <c r="AM930" s="27">
        <f t="shared" si="211"/>
        <v>0</v>
      </c>
      <c r="AN930" s="27">
        <f t="shared" si="211"/>
        <v>0</v>
      </c>
      <c r="AO930" s="27">
        <f t="shared" si="211"/>
        <v>0</v>
      </c>
      <c r="AP930" s="27">
        <f t="shared" si="211"/>
        <v>0</v>
      </c>
      <c r="AS930" s="27" t="str">
        <f>AD930</f>
        <v>Personal EVENTUAL</v>
      </c>
      <c r="AT930" s="27">
        <f t="shared" si="209"/>
        <v>0</v>
      </c>
      <c r="AU930" s="27">
        <f t="shared" si="209"/>
        <v>0</v>
      </c>
      <c r="AV930" s="27">
        <f t="shared" si="209"/>
        <v>0</v>
      </c>
      <c r="AW930" s="27">
        <f t="shared" si="209"/>
        <v>0</v>
      </c>
      <c r="AX930" s="27">
        <f t="shared" si="209"/>
        <v>0</v>
      </c>
      <c r="AY930" s="27">
        <f t="shared" si="209"/>
        <v>0</v>
      </c>
      <c r="AZ930" s="27">
        <f t="shared" si="209"/>
        <v>0</v>
      </c>
      <c r="BA930" s="27">
        <f t="shared" si="209"/>
        <v>0</v>
      </c>
      <c r="BB930" s="27">
        <f t="shared" si="209"/>
        <v>0</v>
      </c>
      <c r="BC930" s="27">
        <f t="shared" si="209"/>
        <v>0</v>
      </c>
      <c r="BD930" s="27">
        <f t="shared" si="209"/>
        <v>0</v>
      </c>
      <c r="BE930" s="27">
        <f t="shared" si="209"/>
        <v>0</v>
      </c>
      <c r="CC930" s="61"/>
    </row>
    <row r="931" spans="3:81" s="27" customFormat="1" ht="11.25" hidden="1" x14ac:dyDescent="0.2">
      <c r="C931" s="60"/>
      <c r="W931" s="60"/>
      <c r="AD931" s="27" t="s">
        <v>1280</v>
      </c>
      <c r="AE931" s="27">
        <f t="shared" ref="AE931:AP931" si="212">SUM(AE928:AE930)</f>
        <v>0</v>
      </c>
      <c r="AF931" s="27">
        <f t="shared" si="212"/>
        <v>0</v>
      </c>
      <c r="AG931" s="27">
        <f t="shared" si="212"/>
        <v>0</v>
      </c>
      <c r="AH931" s="27">
        <f t="shared" si="212"/>
        <v>0</v>
      </c>
      <c r="AI931" s="27">
        <f t="shared" si="212"/>
        <v>0</v>
      </c>
      <c r="AJ931" s="27">
        <f t="shared" si="212"/>
        <v>0</v>
      </c>
      <c r="AK931" s="27">
        <f t="shared" si="212"/>
        <v>0</v>
      </c>
      <c r="AL931" s="27">
        <f t="shared" si="212"/>
        <v>0</v>
      </c>
      <c r="AM931" s="27">
        <f t="shared" si="212"/>
        <v>0</v>
      </c>
      <c r="AN931" s="27">
        <f t="shared" si="212"/>
        <v>0</v>
      </c>
      <c r="AO931" s="27">
        <f t="shared" si="212"/>
        <v>0</v>
      </c>
      <c r="AP931" s="27">
        <f t="shared" si="212"/>
        <v>0</v>
      </c>
      <c r="AS931" s="27" t="str">
        <f>AD931</f>
        <v xml:space="preserve"> TOTAL</v>
      </c>
      <c r="AT931" s="27">
        <f t="shared" ref="AT931:BE931" si="213">SUM(AT928:AT930)</f>
        <v>0</v>
      </c>
      <c r="AU931" s="27">
        <f t="shared" si="213"/>
        <v>0</v>
      </c>
      <c r="AV931" s="27">
        <f t="shared" si="213"/>
        <v>0</v>
      </c>
      <c r="AW931" s="27">
        <f t="shared" si="213"/>
        <v>0</v>
      </c>
      <c r="AX931" s="27">
        <f t="shared" si="213"/>
        <v>0</v>
      </c>
      <c r="AY931" s="27">
        <f t="shared" si="213"/>
        <v>0</v>
      </c>
      <c r="AZ931" s="27">
        <f t="shared" si="213"/>
        <v>0</v>
      </c>
      <c r="BA931" s="27">
        <f t="shared" si="213"/>
        <v>0</v>
      </c>
      <c r="BB931" s="27">
        <f t="shared" si="213"/>
        <v>0</v>
      </c>
      <c r="BC931" s="27">
        <f t="shared" si="213"/>
        <v>0</v>
      </c>
      <c r="BD931" s="27">
        <f t="shared" si="213"/>
        <v>0</v>
      </c>
      <c r="BE931" s="27">
        <f t="shared" si="213"/>
        <v>0</v>
      </c>
      <c r="CC931" s="61"/>
    </row>
    <row r="932" spans="3:81" s="27" customFormat="1" ht="11.25" hidden="1" x14ac:dyDescent="0.2">
      <c r="C932" s="60"/>
      <c r="W932" s="60"/>
      <c r="CC932" s="61"/>
    </row>
    <row r="933" spans="3:81" s="27" customFormat="1" ht="11.25" hidden="1" x14ac:dyDescent="0.2">
      <c r="C933" s="60" t="s">
        <v>1627</v>
      </c>
      <c r="F933" s="27" t="s">
        <v>1628</v>
      </c>
      <c r="G933" s="27" t="s">
        <v>1628</v>
      </c>
      <c r="H933" s="27" t="s">
        <v>1628</v>
      </c>
      <c r="I933" s="27" t="s">
        <v>1628</v>
      </c>
      <c r="J933" s="27" t="s">
        <v>1628</v>
      </c>
      <c r="K933" s="27" t="s">
        <v>1628</v>
      </c>
      <c r="L933" s="27" t="s">
        <v>1628</v>
      </c>
      <c r="M933" s="27" t="s">
        <v>1628</v>
      </c>
      <c r="N933" s="27" t="s">
        <v>1628</v>
      </c>
      <c r="O933" s="27" t="s">
        <v>1628</v>
      </c>
      <c r="P933" s="27" t="s">
        <v>1628</v>
      </c>
      <c r="Q933" s="27" t="s">
        <v>1628</v>
      </c>
      <c r="R933" s="27" t="s">
        <v>1628</v>
      </c>
      <c r="S933" s="27" t="s">
        <v>1628</v>
      </c>
      <c r="T933" s="27" t="s">
        <v>1628</v>
      </c>
      <c r="U933" s="27" t="s">
        <v>1628</v>
      </c>
      <c r="V933" s="27" t="s">
        <v>1628</v>
      </c>
      <c r="W933" s="60" t="s">
        <v>1628</v>
      </c>
      <c r="AD933" s="27" t="s">
        <v>1628</v>
      </c>
      <c r="AE933" s="27" t="s">
        <v>1628</v>
      </c>
      <c r="AF933" s="27" t="s">
        <v>1628</v>
      </c>
      <c r="AG933" s="27" t="s">
        <v>1628</v>
      </c>
      <c r="AH933" s="27" t="s">
        <v>1628</v>
      </c>
      <c r="AI933" s="27" t="s">
        <v>1628</v>
      </c>
      <c r="AJ933" s="27" t="s">
        <v>1628</v>
      </c>
      <c r="AK933" s="27" t="s">
        <v>1628</v>
      </c>
      <c r="AL933" s="27" t="s">
        <v>1628</v>
      </c>
      <c r="AM933" s="27" t="s">
        <v>1628</v>
      </c>
      <c r="AN933" s="27" t="s">
        <v>1628</v>
      </c>
      <c r="AO933" s="27" t="s">
        <v>1628</v>
      </c>
      <c r="AP933" s="27" t="s">
        <v>1628</v>
      </c>
      <c r="CC933" s="61"/>
    </row>
    <row r="934" spans="3:81" s="27" customFormat="1" ht="11.25" hidden="1" x14ac:dyDescent="0.2">
      <c r="C934" s="60"/>
      <c r="W934" s="60"/>
      <c r="CC934" s="61"/>
    </row>
    <row r="935" spans="3:81" s="27" customFormat="1" ht="11.25" hidden="1" x14ac:dyDescent="0.2">
      <c r="C935" s="60" t="s">
        <v>1291</v>
      </c>
      <c r="W935" s="60"/>
      <c r="AD935" s="27" t="s">
        <v>1282</v>
      </c>
      <c r="AE935" s="27" t="str">
        <f t="shared" ref="AE935:AP935" si="214">AE860</f>
        <v>1</v>
      </c>
      <c r="AF935" s="27" t="str">
        <f t="shared" si="214"/>
        <v>2</v>
      </c>
      <c r="AG935" s="27" t="str">
        <f t="shared" si="214"/>
        <v>3</v>
      </c>
      <c r="AH935" s="27" t="str">
        <f t="shared" si="214"/>
        <v>4</v>
      </c>
      <c r="AI935" s="27" t="str">
        <f t="shared" si="214"/>
        <v>5</v>
      </c>
      <c r="AJ935" s="27" t="str">
        <f t="shared" si="214"/>
        <v>6</v>
      </c>
      <c r="AK935" s="27" t="str">
        <f t="shared" si="214"/>
        <v>7</v>
      </c>
      <c r="AL935" s="27" t="str">
        <f t="shared" si="214"/>
        <v>8</v>
      </c>
      <c r="AM935" s="27" t="str">
        <f t="shared" si="214"/>
        <v>9</v>
      </c>
      <c r="AN935" s="27" t="str">
        <f t="shared" si="214"/>
        <v>10</v>
      </c>
      <c r="AO935" s="27" t="str">
        <f t="shared" si="214"/>
        <v>11</v>
      </c>
      <c r="AP935" s="27" t="str">
        <f t="shared" si="214"/>
        <v>12</v>
      </c>
      <c r="CC935" s="61"/>
    </row>
    <row r="936" spans="3:81" s="27" customFormat="1" ht="11.25" hidden="1" x14ac:dyDescent="0.2">
      <c r="C936" s="60" t="str">
        <f>C318</f>
        <v>Equipo Directivo</v>
      </c>
      <c r="E936" s="27" t="str">
        <f t="shared" ref="E936:S936" si="215">E860</f>
        <v xml:space="preserve">% Coste </v>
      </c>
      <c r="F936" s="27" t="str">
        <f t="shared" si="215"/>
        <v>%  Ret.</v>
      </c>
      <c r="G936" s="27" t="str">
        <f t="shared" si="215"/>
        <v>Depmto.</v>
      </c>
      <c r="H936" s="27" t="str">
        <f t="shared" si="215"/>
        <v>1</v>
      </c>
      <c r="I936" s="27" t="str">
        <f t="shared" si="215"/>
        <v>2</v>
      </c>
      <c r="J936" s="27" t="str">
        <f t="shared" si="215"/>
        <v>3</v>
      </c>
      <c r="K936" s="27" t="str">
        <f t="shared" si="215"/>
        <v>4</v>
      </c>
      <c r="L936" s="27" t="str">
        <f t="shared" si="215"/>
        <v>5</v>
      </c>
      <c r="M936" s="27" t="str">
        <f t="shared" si="215"/>
        <v>6</v>
      </c>
      <c r="N936" s="27" t="str">
        <f t="shared" si="215"/>
        <v>7</v>
      </c>
      <c r="O936" s="27" t="str">
        <f t="shared" si="215"/>
        <v>8</v>
      </c>
      <c r="P936" s="27" t="str">
        <f t="shared" si="215"/>
        <v>9</v>
      </c>
      <c r="Q936" s="27" t="str">
        <f t="shared" si="215"/>
        <v>10</v>
      </c>
      <c r="R936" s="27" t="str">
        <f t="shared" si="215"/>
        <v>11</v>
      </c>
      <c r="S936" s="27" t="str">
        <f t="shared" si="215"/>
        <v>12</v>
      </c>
      <c r="W936" s="60"/>
      <c r="AD936" s="27" t="str">
        <f t="shared" ref="AD936:AD968" si="216">C936</f>
        <v>Equipo Directivo</v>
      </c>
      <c r="CC936" s="61"/>
    </row>
    <row r="937" spans="3:81" s="27" customFormat="1" ht="11.25" hidden="1" x14ac:dyDescent="0.2">
      <c r="C937" s="60" t="str">
        <f>'4'!E24</f>
        <v>Directivos</v>
      </c>
      <c r="E937" s="27">
        <f>'4'!V24</f>
        <v>0</v>
      </c>
      <c r="F937" s="27">
        <f>'4'!W24</f>
        <v>0</v>
      </c>
      <c r="G937" s="27" t="str">
        <f>'4'!F24</f>
        <v>Marketing</v>
      </c>
      <c r="H937" s="27">
        <f>+'4'!I24+('4'!I24*$E937)</f>
        <v>0</v>
      </c>
      <c r="I937" s="27">
        <f>+'4'!J24+('4'!J24*$E937)</f>
        <v>0</v>
      </c>
      <c r="J937" s="27">
        <f>+'4'!K24+('4'!K24*$E937)</f>
        <v>0</v>
      </c>
      <c r="K937" s="27">
        <f>+'4'!L24+('4'!L24*$E937)</f>
        <v>0</v>
      </c>
      <c r="L937" s="27">
        <f>+'4'!M24+('4'!M24*$E937)</f>
        <v>0</v>
      </c>
      <c r="M937" s="27">
        <f>+'4'!N24+('4'!N24*$E937)</f>
        <v>0</v>
      </c>
      <c r="N937" s="27">
        <f>+'4'!O24+('4'!O24*$E937)</f>
        <v>0</v>
      </c>
      <c r="O937" s="27">
        <f>+'4'!P24+('4'!P24*$E937)</f>
        <v>0</v>
      </c>
      <c r="P937" s="27">
        <f>+'4'!Q24+('4'!Q24*$E937)</f>
        <v>0</v>
      </c>
      <c r="Q937" s="27">
        <f>+'4'!R24+('4'!R24*$E937)</f>
        <v>0</v>
      </c>
      <c r="R937" s="27">
        <f>+'4'!S24+('4'!S24*$E937)</f>
        <v>0</v>
      </c>
      <c r="S937" s="27">
        <f>+'4'!T24+('4'!T24*$E937)</f>
        <v>0</v>
      </c>
      <c r="W937" s="60"/>
      <c r="AD937" s="27" t="str">
        <f t="shared" si="216"/>
        <v>Directivos</v>
      </c>
      <c r="AE937" s="27">
        <f>+'4'!I24*$F937</f>
        <v>0</v>
      </c>
      <c r="AF937" s="27">
        <f>+'4'!J24*$F937</f>
        <v>0</v>
      </c>
      <c r="AG937" s="27">
        <f>+'4'!K24*$F937</f>
        <v>0</v>
      </c>
      <c r="AH937" s="27">
        <f>+'4'!L24*$F937</f>
        <v>0</v>
      </c>
      <c r="AI937" s="27">
        <f>+'4'!M24*$F937</f>
        <v>0</v>
      </c>
      <c r="AJ937" s="27">
        <f>+'4'!N24*$F937</f>
        <v>0</v>
      </c>
      <c r="AK937" s="27">
        <f>+'4'!O24*$F937</f>
        <v>0</v>
      </c>
      <c r="AL937" s="27">
        <f>+'4'!P24*$F937</f>
        <v>0</v>
      </c>
      <c r="AM937" s="27">
        <f>+'4'!Q24*$F937</f>
        <v>0</v>
      </c>
      <c r="AN937" s="27">
        <f>+'4'!R24*$F937</f>
        <v>0</v>
      </c>
      <c r="AO937" s="27">
        <f>+'4'!S24*$F937</f>
        <v>0</v>
      </c>
      <c r="AP937" s="27">
        <f>+'4'!T24*$F937</f>
        <v>0</v>
      </c>
      <c r="CC937" s="61"/>
    </row>
    <row r="938" spans="3:81" s="27" customFormat="1" ht="11.25" hidden="1" x14ac:dyDescent="0.2">
      <c r="C938" s="60">
        <f t="shared" ref="C938:C947" si="217">C320</f>
        <v>0</v>
      </c>
      <c r="E938" s="27">
        <f t="shared" ref="E938:G946" si="218">E320</f>
        <v>0</v>
      </c>
      <c r="F938" s="27">
        <f t="shared" si="218"/>
        <v>0</v>
      </c>
      <c r="G938" s="27">
        <f t="shared" si="218"/>
        <v>0</v>
      </c>
      <c r="H938" s="27">
        <f t="shared" ref="H938:S938" si="219">+H320+(H320*$E938)</f>
        <v>0</v>
      </c>
      <c r="I938" s="27">
        <f t="shared" si="219"/>
        <v>0</v>
      </c>
      <c r="J938" s="27">
        <f t="shared" si="219"/>
        <v>0</v>
      </c>
      <c r="K938" s="27">
        <f t="shared" si="219"/>
        <v>0</v>
      </c>
      <c r="L938" s="27">
        <f t="shared" si="219"/>
        <v>0</v>
      </c>
      <c r="M938" s="27">
        <f t="shared" si="219"/>
        <v>0</v>
      </c>
      <c r="N938" s="27">
        <f t="shared" si="219"/>
        <v>0</v>
      </c>
      <c r="O938" s="27">
        <f t="shared" si="219"/>
        <v>0</v>
      </c>
      <c r="P938" s="27">
        <f t="shared" si="219"/>
        <v>0</v>
      </c>
      <c r="Q938" s="27">
        <f t="shared" si="219"/>
        <v>0</v>
      </c>
      <c r="R938" s="27">
        <f t="shared" si="219"/>
        <v>0</v>
      </c>
      <c r="S938" s="27">
        <f t="shared" si="219"/>
        <v>0</v>
      </c>
      <c r="W938" s="60"/>
      <c r="AD938" s="27">
        <f t="shared" si="216"/>
        <v>0</v>
      </c>
      <c r="AE938" s="27">
        <f t="shared" ref="AE938:AE946" si="220">+H320*$F938</f>
        <v>0</v>
      </c>
      <c r="AF938" s="27">
        <f t="shared" ref="AF938:AF946" si="221">+I320*$F938</f>
        <v>0</v>
      </c>
      <c r="AG938" s="27">
        <f t="shared" ref="AG938:AG946" si="222">+J320*$F938</f>
        <v>0</v>
      </c>
      <c r="AH938" s="27">
        <f t="shared" ref="AH938:AH946" si="223">+K320*$F938</f>
        <v>0</v>
      </c>
      <c r="AI938" s="27">
        <f t="shared" ref="AI938:AI946" si="224">+L320*$F938</f>
        <v>0</v>
      </c>
      <c r="AJ938" s="27">
        <f t="shared" ref="AJ938:AJ946" si="225">+M320*$F938</f>
        <v>0</v>
      </c>
      <c r="AK938" s="27">
        <f t="shared" ref="AK938:AK946" si="226">+N320*$F938</f>
        <v>0</v>
      </c>
      <c r="AL938" s="27">
        <f t="shared" ref="AL938:AL946" si="227">+O320*$F938</f>
        <v>0</v>
      </c>
      <c r="AM938" s="27">
        <f t="shared" ref="AM938:AM946" si="228">+P320*$F938</f>
        <v>0</v>
      </c>
      <c r="AN938" s="27">
        <f t="shared" ref="AN938:AN946" si="229">+Q320*$F938</f>
        <v>0</v>
      </c>
      <c r="AO938" s="27">
        <f t="shared" ref="AO938:AO946" si="230">+R320*$F938</f>
        <v>0</v>
      </c>
      <c r="AP938" s="27">
        <f t="shared" ref="AP938:AP946" si="231">+S320*$F938</f>
        <v>0</v>
      </c>
      <c r="CC938" s="61"/>
    </row>
    <row r="939" spans="3:81" s="27" customFormat="1" ht="11.25" hidden="1" x14ac:dyDescent="0.2">
      <c r="C939" s="60">
        <f t="shared" si="217"/>
        <v>0</v>
      </c>
      <c r="E939" s="27">
        <f t="shared" si="218"/>
        <v>0</v>
      </c>
      <c r="F939" s="27">
        <f t="shared" si="218"/>
        <v>0</v>
      </c>
      <c r="G939" s="27">
        <f t="shared" si="218"/>
        <v>0</v>
      </c>
      <c r="H939" s="27">
        <f t="shared" ref="H939:S939" si="232">+H321+(H321*$E939)</f>
        <v>0</v>
      </c>
      <c r="I939" s="27">
        <f t="shared" si="232"/>
        <v>0</v>
      </c>
      <c r="J939" s="27">
        <f t="shared" si="232"/>
        <v>0</v>
      </c>
      <c r="K939" s="27">
        <f t="shared" si="232"/>
        <v>0</v>
      </c>
      <c r="L939" s="27">
        <f t="shared" si="232"/>
        <v>0</v>
      </c>
      <c r="M939" s="27">
        <f t="shared" si="232"/>
        <v>0</v>
      </c>
      <c r="N939" s="27">
        <f t="shared" si="232"/>
        <v>0</v>
      </c>
      <c r="O939" s="27">
        <f t="shared" si="232"/>
        <v>0</v>
      </c>
      <c r="P939" s="27">
        <f t="shared" si="232"/>
        <v>0</v>
      </c>
      <c r="Q939" s="27">
        <f t="shared" si="232"/>
        <v>0</v>
      </c>
      <c r="R939" s="27">
        <f t="shared" si="232"/>
        <v>0</v>
      </c>
      <c r="S939" s="27">
        <f t="shared" si="232"/>
        <v>0</v>
      </c>
      <c r="W939" s="60"/>
      <c r="AD939" s="27">
        <f t="shared" si="216"/>
        <v>0</v>
      </c>
      <c r="AE939" s="27">
        <f t="shared" si="220"/>
        <v>0</v>
      </c>
      <c r="AF939" s="27">
        <f t="shared" si="221"/>
        <v>0</v>
      </c>
      <c r="AG939" s="27">
        <f t="shared" si="222"/>
        <v>0</v>
      </c>
      <c r="AH939" s="27">
        <f t="shared" si="223"/>
        <v>0</v>
      </c>
      <c r="AI939" s="27">
        <f t="shared" si="224"/>
        <v>0</v>
      </c>
      <c r="AJ939" s="27">
        <f t="shared" si="225"/>
        <v>0</v>
      </c>
      <c r="AK939" s="27">
        <f t="shared" si="226"/>
        <v>0</v>
      </c>
      <c r="AL939" s="27">
        <f t="shared" si="227"/>
        <v>0</v>
      </c>
      <c r="AM939" s="27">
        <f t="shared" si="228"/>
        <v>0</v>
      </c>
      <c r="AN939" s="27">
        <f t="shared" si="229"/>
        <v>0</v>
      </c>
      <c r="AO939" s="27">
        <f t="shared" si="230"/>
        <v>0</v>
      </c>
      <c r="AP939" s="27">
        <f t="shared" si="231"/>
        <v>0</v>
      </c>
      <c r="CC939" s="61"/>
    </row>
    <row r="940" spans="3:81" s="27" customFormat="1" ht="11.25" hidden="1" x14ac:dyDescent="0.2">
      <c r="C940" s="60">
        <f t="shared" si="217"/>
        <v>0</v>
      </c>
      <c r="E940" s="27">
        <f t="shared" si="218"/>
        <v>0</v>
      </c>
      <c r="F940" s="27">
        <f t="shared" si="218"/>
        <v>0</v>
      </c>
      <c r="G940" s="27">
        <f t="shared" si="218"/>
        <v>0</v>
      </c>
      <c r="H940" s="27">
        <f t="shared" ref="H940:S940" si="233">+H322+(H322*$E940)</f>
        <v>0</v>
      </c>
      <c r="I940" s="27">
        <f t="shared" si="233"/>
        <v>0</v>
      </c>
      <c r="J940" s="27">
        <f t="shared" si="233"/>
        <v>0</v>
      </c>
      <c r="K940" s="27">
        <f t="shared" si="233"/>
        <v>0</v>
      </c>
      <c r="L940" s="27">
        <f t="shared" si="233"/>
        <v>0</v>
      </c>
      <c r="M940" s="27">
        <f t="shared" si="233"/>
        <v>0</v>
      </c>
      <c r="N940" s="27">
        <f t="shared" si="233"/>
        <v>0</v>
      </c>
      <c r="O940" s="27">
        <f t="shared" si="233"/>
        <v>0</v>
      </c>
      <c r="P940" s="27">
        <f t="shared" si="233"/>
        <v>0</v>
      </c>
      <c r="Q940" s="27">
        <f t="shared" si="233"/>
        <v>0</v>
      </c>
      <c r="R940" s="27">
        <f t="shared" si="233"/>
        <v>0</v>
      </c>
      <c r="S940" s="27">
        <f t="shared" si="233"/>
        <v>0</v>
      </c>
      <c r="W940" s="60"/>
      <c r="AD940" s="27">
        <f t="shared" si="216"/>
        <v>0</v>
      </c>
      <c r="AE940" s="27">
        <f t="shared" si="220"/>
        <v>0</v>
      </c>
      <c r="AF940" s="27">
        <f t="shared" si="221"/>
        <v>0</v>
      </c>
      <c r="AG940" s="27">
        <f t="shared" si="222"/>
        <v>0</v>
      </c>
      <c r="AH940" s="27">
        <f t="shared" si="223"/>
        <v>0</v>
      </c>
      <c r="AI940" s="27">
        <f t="shared" si="224"/>
        <v>0</v>
      </c>
      <c r="AJ940" s="27">
        <f t="shared" si="225"/>
        <v>0</v>
      </c>
      <c r="AK940" s="27">
        <f t="shared" si="226"/>
        <v>0</v>
      </c>
      <c r="AL940" s="27">
        <f t="shared" si="227"/>
        <v>0</v>
      </c>
      <c r="AM940" s="27">
        <f t="shared" si="228"/>
        <v>0</v>
      </c>
      <c r="AN940" s="27">
        <f t="shared" si="229"/>
        <v>0</v>
      </c>
      <c r="AO940" s="27">
        <f t="shared" si="230"/>
        <v>0</v>
      </c>
      <c r="AP940" s="27">
        <f t="shared" si="231"/>
        <v>0</v>
      </c>
      <c r="CC940" s="61"/>
    </row>
    <row r="941" spans="3:81" s="27" customFormat="1" ht="11.25" hidden="1" x14ac:dyDescent="0.2">
      <c r="C941" s="60">
        <f t="shared" si="217"/>
        <v>0</v>
      </c>
      <c r="E941" s="27">
        <f t="shared" si="218"/>
        <v>0</v>
      </c>
      <c r="F941" s="27">
        <f t="shared" si="218"/>
        <v>0</v>
      </c>
      <c r="G941" s="27">
        <f t="shared" si="218"/>
        <v>0</v>
      </c>
      <c r="H941" s="27">
        <f t="shared" ref="H941:S941" si="234">+H323+(H323*$E941)</f>
        <v>0</v>
      </c>
      <c r="I941" s="27">
        <f t="shared" si="234"/>
        <v>0</v>
      </c>
      <c r="J941" s="27">
        <f t="shared" si="234"/>
        <v>0</v>
      </c>
      <c r="K941" s="27">
        <f t="shared" si="234"/>
        <v>0</v>
      </c>
      <c r="L941" s="27">
        <f t="shared" si="234"/>
        <v>0</v>
      </c>
      <c r="M941" s="27">
        <f t="shared" si="234"/>
        <v>0</v>
      </c>
      <c r="N941" s="27">
        <f t="shared" si="234"/>
        <v>0</v>
      </c>
      <c r="O941" s="27">
        <f t="shared" si="234"/>
        <v>0</v>
      </c>
      <c r="P941" s="27">
        <f t="shared" si="234"/>
        <v>0</v>
      </c>
      <c r="Q941" s="27">
        <f t="shared" si="234"/>
        <v>0</v>
      </c>
      <c r="R941" s="27">
        <f t="shared" si="234"/>
        <v>0</v>
      </c>
      <c r="S941" s="27">
        <f t="shared" si="234"/>
        <v>0</v>
      </c>
      <c r="W941" s="60"/>
      <c r="AD941" s="27">
        <f t="shared" si="216"/>
        <v>0</v>
      </c>
      <c r="AE941" s="27">
        <f t="shared" si="220"/>
        <v>0</v>
      </c>
      <c r="AF941" s="27">
        <f t="shared" si="221"/>
        <v>0</v>
      </c>
      <c r="AG941" s="27">
        <f t="shared" si="222"/>
        <v>0</v>
      </c>
      <c r="AH941" s="27">
        <f t="shared" si="223"/>
        <v>0</v>
      </c>
      <c r="AI941" s="27">
        <f t="shared" si="224"/>
        <v>0</v>
      </c>
      <c r="AJ941" s="27">
        <f t="shared" si="225"/>
        <v>0</v>
      </c>
      <c r="AK941" s="27">
        <f t="shared" si="226"/>
        <v>0</v>
      </c>
      <c r="AL941" s="27">
        <f t="shared" si="227"/>
        <v>0</v>
      </c>
      <c r="AM941" s="27">
        <f t="shared" si="228"/>
        <v>0</v>
      </c>
      <c r="AN941" s="27">
        <f t="shared" si="229"/>
        <v>0</v>
      </c>
      <c r="AO941" s="27">
        <f t="shared" si="230"/>
        <v>0</v>
      </c>
      <c r="AP941" s="27">
        <f t="shared" si="231"/>
        <v>0</v>
      </c>
      <c r="CC941" s="61"/>
    </row>
    <row r="942" spans="3:81" s="27" customFormat="1" ht="11.25" hidden="1" x14ac:dyDescent="0.2">
      <c r="C942" s="60">
        <f t="shared" si="217"/>
        <v>0</v>
      </c>
      <c r="E942" s="27">
        <f t="shared" si="218"/>
        <v>0</v>
      </c>
      <c r="F942" s="27">
        <f t="shared" si="218"/>
        <v>0</v>
      </c>
      <c r="G942" s="27">
        <f t="shared" si="218"/>
        <v>0</v>
      </c>
      <c r="H942" s="27">
        <f t="shared" ref="H942:S942" si="235">+H324+(H324*$E942)</f>
        <v>0</v>
      </c>
      <c r="I942" s="27">
        <f t="shared" si="235"/>
        <v>0</v>
      </c>
      <c r="J942" s="27">
        <f t="shared" si="235"/>
        <v>0</v>
      </c>
      <c r="K942" s="27">
        <f t="shared" si="235"/>
        <v>0</v>
      </c>
      <c r="L942" s="27">
        <f t="shared" si="235"/>
        <v>0</v>
      </c>
      <c r="M942" s="27">
        <f t="shared" si="235"/>
        <v>0</v>
      </c>
      <c r="N942" s="27">
        <f t="shared" si="235"/>
        <v>0</v>
      </c>
      <c r="O942" s="27">
        <f t="shared" si="235"/>
        <v>0</v>
      </c>
      <c r="P942" s="27">
        <f t="shared" si="235"/>
        <v>0</v>
      </c>
      <c r="Q942" s="27">
        <f t="shared" si="235"/>
        <v>0</v>
      </c>
      <c r="R942" s="27">
        <f t="shared" si="235"/>
        <v>0</v>
      </c>
      <c r="S942" s="27">
        <f t="shared" si="235"/>
        <v>0</v>
      </c>
      <c r="W942" s="60"/>
      <c r="AD942" s="27">
        <f t="shared" si="216"/>
        <v>0</v>
      </c>
      <c r="AE942" s="27">
        <f t="shared" si="220"/>
        <v>0</v>
      </c>
      <c r="AF942" s="27">
        <f t="shared" si="221"/>
        <v>0</v>
      </c>
      <c r="AG942" s="27">
        <f t="shared" si="222"/>
        <v>0</v>
      </c>
      <c r="AH942" s="27">
        <f t="shared" si="223"/>
        <v>0</v>
      </c>
      <c r="AI942" s="27">
        <f t="shared" si="224"/>
        <v>0</v>
      </c>
      <c r="AJ942" s="27">
        <f t="shared" si="225"/>
        <v>0</v>
      </c>
      <c r="AK942" s="27">
        <f t="shared" si="226"/>
        <v>0</v>
      </c>
      <c r="AL942" s="27">
        <f t="shared" si="227"/>
        <v>0</v>
      </c>
      <c r="AM942" s="27">
        <f t="shared" si="228"/>
        <v>0</v>
      </c>
      <c r="AN942" s="27">
        <f t="shared" si="229"/>
        <v>0</v>
      </c>
      <c r="AO942" s="27">
        <f t="shared" si="230"/>
        <v>0</v>
      </c>
      <c r="AP942" s="27">
        <f t="shared" si="231"/>
        <v>0</v>
      </c>
      <c r="CC942" s="61"/>
    </row>
    <row r="943" spans="3:81" s="27" customFormat="1" ht="11.25" hidden="1" x14ac:dyDescent="0.2">
      <c r="C943" s="60">
        <f t="shared" si="217"/>
        <v>0</v>
      </c>
      <c r="E943" s="27">
        <f t="shared" si="218"/>
        <v>0</v>
      </c>
      <c r="F943" s="27">
        <f t="shared" si="218"/>
        <v>0</v>
      </c>
      <c r="G943" s="27">
        <f t="shared" si="218"/>
        <v>0</v>
      </c>
      <c r="H943" s="27">
        <f t="shared" ref="H943:S943" si="236">+H325+(H325*$E943)</f>
        <v>0</v>
      </c>
      <c r="I943" s="27">
        <f t="shared" si="236"/>
        <v>0</v>
      </c>
      <c r="J943" s="27">
        <f t="shared" si="236"/>
        <v>0</v>
      </c>
      <c r="K943" s="27">
        <f t="shared" si="236"/>
        <v>0</v>
      </c>
      <c r="L943" s="27">
        <f t="shared" si="236"/>
        <v>0</v>
      </c>
      <c r="M943" s="27">
        <f t="shared" si="236"/>
        <v>0</v>
      </c>
      <c r="N943" s="27">
        <f t="shared" si="236"/>
        <v>0</v>
      </c>
      <c r="O943" s="27">
        <f t="shared" si="236"/>
        <v>0</v>
      </c>
      <c r="P943" s="27">
        <f t="shared" si="236"/>
        <v>0</v>
      </c>
      <c r="Q943" s="27">
        <f t="shared" si="236"/>
        <v>0</v>
      </c>
      <c r="R943" s="27">
        <f t="shared" si="236"/>
        <v>0</v>
      </c>
      <c r="S943" s="27">
        <f t="shared" si="236"/>
        <v>0</v>
      </c>
      <c r="W943" s="60"/>
      <c r="AD943" s="27">
        <f t="shared" si="216"/>
        <v>0</v>
      </c>
      <c r="AE943" s="27">
        <f t="shared" si="220"/>
        <v>0</v>
      </c>
      <c r="AF943" s="27">
        <f t="shared" si="221"/>
        <v>0</v>
      </c>
      <c r="AG943" s="27">
        <f t="shared" si="222"/>
        <v>0</v>
      </c>
      <c r="AH943" s="27">
        <f t="shared" si="223"/>
        <v>0</v>
      </c>
      <c r="AI943" s="27">
        <f t="shared" si="224"/>
        <v>0</v>
      </c>
      <c r="AJ943" s="27">
        <f t="shared" si="225"/>
        <v>0</v>
      </c>
      <c r="AK943" s="27">
        <f t="shared" si="226"/>
        <v>0</v>
      </c>
      <c r="AL943" s="27">
        <f t="shared" si="227"/>
        <v>0</v>
      </c>
      <c r="AM943" s="27">
        <f t="shared" si="228"/>
        <v>0</v>
      </c>
      <c r="AN943" s="27">
        <f t="shared" si="229"/>
        <v>0</v>
      </c>
      <c r="AO943" s="27">
        <f t="shared" si="230"/>
        <v>0</v>
      </c>
      <c r="AP943" s="27">
        <f t="shared" si="231"/>
        <v>0</v>
      </c>
      <c r="CC943" s="61"/>
    </row>
    <row r="944" spans="3:81" s="27" customFormat="1" ht="11.25" hidden="1" x14ac:dyDescent="0.2">
      <c r="C944" s="60">
        <f t="shared" si="217"/>
        <v>0</v>
      </c>
      <c r="E944" s="27">
        <f t="shared" si="218"/>
        <v>0</v>
      </c>
      <c r="F944" s="27">
        <f t="shared" si="218"/>
        <v>0</v>
      </c>
      <c r="G944" s="27">
        <f t="shared" si="218"/>
        <v>0</v>
      </c>
      <c r="H944" s="27">
        <f t="shared" ref="H944:S944" si="237">+H326+(H326*$E944)</f>
        <v>0</v>
      </c>
      <c r="I944" s="27">
        <f t="shared" si="237"/>
        <v>0</v>
      </c>
      <c r="J944" s="27">
        <f t="shared" si="237"/>
        <v>0</v>
      </c>
      <c r="K944" s="27">
        <f t="shared" si="237"/>
        <v>0</v>
      </c>
      <c r="L944" s="27">
        <f t="shared" si="237"/>
        <v>0</v>
      </c>
      <c r="M944" s="27">
        <f t="shared" si="237"/>
        <v>0</v>
      </c>
      <c r="N944" s="27">
        <f t="shared" si="237"/>
        <v>0</v>
      </c>
      <c r="O944" s="27">
        <f t="shared" si="237"/>
        <v>0</v>
      </c>
      <c r="P944" s="27">
        <f t="shared" si="237"/>
        <v>0</v>
      </c>
      <c r="Q944" s="27">
        <f t="shared" si="237"/>
        <v>0</v>
      </c>
      <c r="R944" s="27">
        <f t="shared" si="237"/>
        <v>0</v>
      </c>
      <c r="S944" s="27">
        <f t="shared" si="237"/>
        <v>0</v>
      </c>
      <c r="W944" s="60"/>
      <c r="AD944" s="27">
        <f t="shared" si="216"/>
        <v>0</v>
      </c>
      <c r="AE944" s="27">
        <f t="shared" si="220"/>
        <v>0</v>
      </c>
      <c r="AF944" s="27">
        <f t="shared" si="221"/>
        <v>0</v>
      </c>
      <c r="AG944" s="27">
        <f t="shared" si="222"/>
        <v>0</v>
      </c>
      <c r="AH944" s="27">
        <f t="shared" si="223"/>
        <v>0</v>
      </c>
      <c r="AI944" s="27">
        <f t="shared" si="224"/>
        <v>0</v>
      </c>
      <c r="AJ944" s="27">
        <f t="shared" si="225"/>
        <v>0</v>
      </c>
      <c r="AK944" s="27">
        <f t="shared" si="226"/>
        <v>0</v>
      </c>
      <c r="AL944" s="27">
        <f t="shared" si="227"/>
        <v>0</v>
      </c>
      <c r="AM944" s="27">
        <f t="shared" si="228"/>
        <v>0</v>
      </c>
      <c r="AN944" s="27">
        <f t="shared" si="229"/>
        <v>0</v>
      </c>
      <c r="AO944" s="27">
        <f t="shared" si="230"/>
        <v>0</v>
      </c>
      <c r="AP944" s="27">
        <f t="shared" si="231"/>
        <v>0</v>
      </c>
      <c r="CC944" s="61"/>
    </row>
    <row r="945" spans="3:81" s="27" customFormat="1" ht="11.25" hidden="1" x14ac:dyDescent="0.2">
      <c r="C945" s="60">
        <f t="shared" si="217"/>
        <v>0</v>
      </c>
      <c r="E945" s="27">
        <f t="shared" si="218"/>
        <v>0</v>
      </c>
      <c r="F945" s="27">
        <f t="shared" si="218"/>
        <v>0</v>
      </c>
      <c r="G945" s="27">
        <f t="shared" si="218"/>
        <v>0</v>
      </c>
      <c r="H945" s="27">
        <f t="shared" ref="H945:S945" si="238">+H327+(H327*$E945)</f>
        <v>0</v>
      </c>
      <c r="I945" s="27">
        <f t="shared" si="238"/>
        <v>0</v>
      </c>
      <c r="J945" s="27">
        <f t="shared" si="238"/>
        <v>0</v>
      </c>
      <c r="K945" s="27">
        <f t="shared" si="238"/>
        <v>0</v>
      </c>
      <c r="L945" s="27">
        <f t="shared" si="238"/>
        <v>0</v>
      </c>
      <c r="M945" s="27">
        <f t="shared" si="238"/>
        <v>0</v>
      </c>
      <c r="N945" s="27">
        <f t="shared" si="238"/>
        <v>0</v>
      </c>
      <c r="O945" s="27">
        <f t="shared" si="238"/>
        <v>0</v>
      </c>
      <c r="P945" s="27">
        <f t="shared" si="238"/>
        <v>0</v>
      </c>
      <c r="Q945" s="27">
        <f t="shared" si="238"/>
        <v>0</v>
      </c>
      <c r="R945" s="27">
        <f t="shared" si="238"/>
        <v>0</v>
      </c>
      <c r="S945" s="27">
        <f t="shared" si="238"/>
        <v>0</v>
      </c>
      <c r="W945" s="60"/>
      <c r="AD945" s="27">
        <f t="shared" si="216"/>
        <v>0</v>
      </c>
      <c r="AE945" s="27">
        <f t="shared" si="220"/>
        <v>0</v>
      </c>
      <c r="AF945" s="27">
        <f t="shared" si="221"/>
        <v>0</v>
      </c>
      <c r="AG945" s="27">
        <f t="shared" si="222"/>
        <v>0</v>
      </c>
      <c r="AH945" s="27">
        <f t="shared" si="223"/>
        <v>0</v>
      </c>
      <c r="AI945" s="27">
        <f t="shared" si="224"/>
        <v>0</v>
      </c>
      <c r="AJ945" s="27">
        <f t="shared" si="225"/>
        <v>0</v>
      </c>
      <c r="AK945" s="27">
        <f t="shared" si="226"/>
        <v>0</v>
      </c>
      <c r="AL945" s="27">
        <f t="shared" si="227"/>
        <v>0</v>
      </c>
      <c r="AM945" s="27">
        <f t="shared" si="228"/>
        <v>0</v>
      </c>
      <c r="AN945" s="27">
        <f t="shared" si="229"/>
        <v>0</v>
      </c>
      <c r="AO945" s="27">
        <f t="shared" si="230"/>
        <v>0</v>
      </c>
      <c r="AP945" s="27">
        <f t="shared" si="231"/>
        <v>0</v>
      </c>
      <c r="CC945" s="61"/>
    </row>
    <row r="946" spans="3:81" s="27" customFormat="1" ht="11.25" hidden="1" x14ac:dyDescent="0.2">
      <c r="C946" s="60">
        <f t="shared" si="217"/>
        <v>0</v>
      </c>
      <c r="E946" s="27">
        <f t="shared" si="218"/>
        <v>0</v>
      </c>
      <c r="F946" s="27">
        <f t="shared" si="218"/>
        <v>0</v>
      </c>
      <c r="G946" s="27">
        <f t="shared" si="218"/>
        <v>0</v>
      </c>
      <c r="H946" s="27">
        <f t="shared" ref="H946:S946" si="239">+H328+(H328*$E946)</f>
        <v>0</v>
      </c>
      <c r="I946" s="27">
        <f t="shared" si="239"/>
        <v>0</v>
      </c>
      <c r="J946" s="27">
        <f t="shared" si="239"/>
        <v>0</v>
      </c>
      <c r="K946" s="27">
        <f t="shared" si="239"/>
        <v>0</v>
      </c>
      <c r="L946" s="27">
        <f t="shared" si="239"/>
        <v>0</v>
      </c>
      <c r="M946" s="27">
        <f t="shared" si="239"/>
        <v>0</v>
      </c>
      <c r="N946" s="27">
        <f t="shared" si="239"/>
        <v>0</v>
      </c>
      <c r="O946" s="27">
        <f t="shared" si="239"/>
        <v>0</v>
      </c>
      <c r="P946" s="27">
        <f t="shared" si="239"/>
        <v>0</v>
      </c>
      <c r="Q946" s="27">
        <f t="shared" si="239"/>
        <v>0</v>
      </c>
      <c r="R946" s="27">
        <f t="shared" si="239"/>
        <v>0</v>
      </c>
      <c r="S946" s="27">
        <f t="shared" si="239"/>
        <v>0</v>
      </c>
      <c r="W946" s="60"/>
      <c r="AD946" s="27">
        <f t="shared" si="216"/>
        <v>0</v>
      </c>
      <c r="AE946" s="27">
        <f t="shared" si="220"/>
        <v>0</v>
      </c>
      <c r="AF946" s="27">
        <f t="shared" si="221"/>
        <v>0</v>
      </c>
      <c r="AG946" s="27">
        <f t="shared" si="222"/>
        <v>0</v>
      </c>
      <c r="AH946" s="27">
        <f t="shared" si="223"/>
        <v>0</v>
      </c>
      <c r="AI946" s="27">
        <f t="shared" si="224"/>
        <v>0</v>
      </c>
      <c r="AJ946" s="27">
        <f t="shared" si="225"/>
        <v>0</v>
      </c>
      <c r="AK946" s="27">
        <f t="shared" si="226"/>
        <v>0</v>
      </c>
      <c r="AL946" s="27">
        <f t="shared" si="227"/>
        <v>0</v>
      </c>
      <c r="AM946" s="27">
        <f t="shared" si="228"/>
        <v>0</v>
      </c>
      <c r="AN946" s="27">
        <f t="shared" si="229"/>
        <v>0</v>
      </c>
      <c r="AO946" s="27">
        <f t="shared" si="230"/>
        <v>0</v>
      </c>
      <c r="AP946" s="27">
        <f t="shared" si="231"/>
        <v>0</v>
      </c>
      <c r="CC946" s="61"/>
    </row>
    <row r="947" spans="3:81" s="27" customFormat="1" ht="11.25" hidden="1" x14ac:dyDescent="0.2">
      <c r="C947" s="60" t="str">
        <f t="shared" si="217"/>
        <v>Personal FIJO</v>
      </c>
      <c r="W947" s="60"/>
      <c r="AD947" s="27" t="str">
        <f t="shared" si="216"/>
        <v>Personal FIJO</v>
      </c>
      <c r="CC947" s="61"/>
    </row>
    <row r="948" spans="3:81" s="27" customFormat="1" ht="11.25" hidden="1" x14ac:dyDescent="0.2">
      <c r="C948" s="60">
        <f>'4'!E25</f>
        <v>0</v>
      </c>
      <c r="E948" s="27">
        <f>'4'!V25</f>
        <v>0</v>
      </c>
      <c r="F948" s="27">
        <f>'4'!W25</f>
        <v>0</v>
      </c>
      <c r="G948" s="27" t="str">
        <f>'4'!F25</f>
        <v>Marketing</v>
      </c>
      <c r="H948" s="27">
        <f>+'4'!I25+('4'!I25*$E948)</f>
        <v>0</v>
      </c>
      <c r="I948" s="27">
        <f>+'4'!J25+('4'!J25*$E948)</f>
        <v>0</v>
      </c>
      <c r="J948" s="27">
        <f>+'4'!K25+('4'!K25*$E948)</f>
        <v>0</v>
      </c>
      <c r="K948" s="27">
        <f>+'4'!L25+('4'!L25*$E948)</f>
        <v>0</v>
      </c>
      <c r="L948" s="27">
        <f>+'4'!M25+('4'!M25*$E948)</f>
        <v>0</v>
      </c>
      <c r="M948" s="27">
        <f>+'4'!N25+('4'!N25*$E948)</f>
        <v>0</v>
      </c>
      <c r="N948" s="27">
        <f>+'4'!O25+('4'!O25*$E948)</f>
        <v>0</v>
      </c>
      <c r="O948" s="27">
        <f>+'4'!P25+('4'!P25*$E948)</f>
        <v>0</v>
      </c>
      <c r="P948" s="27">
        <f>+'4'!Q25+('4'!Q25*$E948)</f>
        <v>0</v>
      </c>
      <c r="Q948" s="27">
        <f>+'4'!R25+('4'!R25*$E948)</f>
        <v>0</v>
      </c>
      <c r="R948" s="27">
        <f>+'4'!S25+('4'!S25*$E948)</f>
        <v>0</v>
      </c>
      <c r="S948" s="27">
        <f>+'4'!T25+('4'!T25*$E948)</f>
        <v>0</v>
      </c>
      <c r="W948" s="60"/>
      <c r="AD948" s="27">
        <f t="shared" si="216"/>
        <v>0</v>
      </c>
      <c r="AE948" s="27">
        <f>+'4'!I25*$F948</f>
        <v>0</v>
      </c>
      <c r="AF948" s="27">
        <f>+'4'!J25*$F948</f>
        <v>0</v>
      </c>
      <c r="AG948" s="27">
        <f>+'4'!K25*$F948</f>
        <v>0</v>
      </c>
      <c r="AH948" s="27">
        <f>+'4'!L25*$F948</f>
        <v>0</v>
      </c>
      <c r="AI948" s="27">
        <f>+'4'!M25*$F948</f>
        <v>0</v>
      </c>
      <c r="AJ948" s="27">
        <f>+'4'!N25*$F948</f>
        <v>0</v>
      </c>
      <c r="AK948" s="27">
        <f>+'4'!O25*$F948</f>
        <v>0</v>
      </c>
      <c r="AL948" s="27">
        <f>+'4'!P25*$F948</f>
        <v>0</v>
      </c>
      <c r="AM948" s="27">
        <f>+'4'!Q25*$F948</f>
        <v>0</v>
      </c>
      <c r="AN948" s="27">
        <f>+'4'!R25*$F948</f>
        <v>0</v>
      </c>
      <c r="AO948" s="27">
        <f>+'4'!S25*$F948</f>
        <v>0</v>
      </c>
      <c r="AP948" s="27">
        <f>+'4'!T25*$F948</f>
        <v>0</v>
      </c>
      <c r="CC948" s="61"/>
    </row>
    <row r="949" spans="3:81" s="27" customFormat="1" ht="11.25" hidden="1" x14ac:dyDescent="0.2">
      <c r="C949" s="60">
        <f>'4'!E26</f>
        <v>0</v>
      </c>
      <c r="E949" s="27">
        <f>'4'!V26</f>
        <v>0</v>
      </c>
      <c r="F949" s="27">
        <f>'4'!W26</f>
        <v>0</v>
      </c>
      <c r="G949" s="27">
        <f>'4'!F26</f>
        <v>0</v>
      </c>
      <c r="H949" s="27">
        <f>+'4'!I26+('4'!I26*$E949)</f>
        <v>0</v>
      </c>
      <c r="I949" s="27">
        <f>+'4'!J26+('4'!J26*$E949)</f>
        <v>0</v>
      </c>
      <c r="J949" s="27">
        <f>+'4'!K26+('4'!K26*$E949)</f>
        <v>0</v>
      </c>
      <c r="K949" s="27">
        <f>+'4'!L26+('4'!L26*$E949)</f>
        <v>0</v>
      </c>
      <c r="L949" s="27">
        <f>+'4'!M26+('4'!M26*$E949)</f>
        <v>0</v>
      </c>
      <c r="M949" s="27">
        <f>+'4'!N26+('4'!N26*$E949)</f>
        <v>0</v>
      </c>
      <c r="N949" s="27">
        <f>+'4'!O26+('4'!O26*$E949)</f>
        <v>0</v>
      </c>
      <c r="O949" s="27">
        <f>+'4'!P26+('4'!P26*$E949)</f>
        <v>0</v>
      </c>
      <c r="P949" s="27">
        <f>+'4'!Q26+('4'!Q26*$E949)</f>
        <v>0</v>
      </c>
      <c r="Q949" s="27">
        <f>+'4'!R26+('4'!R26*$E949)</f>
        <v>0</v>
      </c>
      <c r="R949" s="27">
        <f>+'4'!S26+('4'!S26*$E949)</f>
        <v>0</v>
      </c>
      <c r="S949" s="27">
        <f>+'4'!T26+('4'!T26*$E949)</f>
        <v>0</v>
      </c>
      <c r="W949" s="60"/>
      <c r="AD949" s="27">
        <f t="shared" si="216"/>
        <v>0</v>
      </c>
      <c r="AE949" s="27">
        <f>+'4'!I26*$F949</f>
        <v>0</v>
      </c>
      <c r="AF949" s="27">
        <f>+'4'!J26*$F949</f>
        <v>0</v>
      </c>
      <c r="AG949" s="27">
        <f>+'4'!K26*$F949</f>
        <v>0</v>
      </c>
      <c r="AH949" s="27">
        <f>+'4'!L26*$F949</f>
        <v>0</v>
      </c>
      <c r="AI949" s="27">
        <f>+'4'!M26*$F949</f>
        <v>0</v>
      </c>
      <c r="AJ949" s="27">
        <f>+'4'!N26*$F949</f>
        <v>0</v>
      </c>
      <c r="AK949" s="27">
        <f>+'4'!O26*$F949</f>
        <v>0</v>
      </c>
      <c r="AL949" s="27">
        <f>+'4'!P26*$F949</f>
        <v>0</v>
      </c>
      <c r="AM949" s="27">
        <f>+'4'!Q26*$F949</f>
        <v>0</v>
      </c>
      <c r="AN949" s="27">
        <f>+'4'!R26*$F949</f>
        <v>0</v>
      </c>
      <c r="AO949" s="27">
        <f>+'4'!S26*$F949</f>
        <v>0</v>
      </c>
      <c r="AP949" s="27">
        <f>+'4'!T26*$F949</f>
        <v>0</v>
      </c>
      <c r="CC949" s="61"/>
    </row>
    <row r="950" spans="3:81" s="27" customFormat="1" ht="11.25" hidden="1" x14ac:dyDescent="0.2">
      <c r="C950" s="60">
        <f t="shared" ref="C950:C968" si="240">C332</f>
        <v>0</v>
      </c>
      <c r="E950" s="27">
        <f t="shared" ref="E950:G957" si="241">E332</f>
        <v>0</v>
      </c>
      <c r="F950" s="27">
        <f t="shared" si="241"/>
        <v>0</v>
      </c>
      <c r="G950" s="27">
        <f t="shared" si="241"/>
        <v>0</v>
      </c>
      <c r="H950" s="27">
        <f t="shared" ref="H950:S950" si="242">+H332+(H332*$E950)</f>
        <v>0</v>
      </c>
      <c r="I950" s="27">
        <f t="shared" si="242"/>
        <v>0</v>
      </c>
      <c r="J950" s="27">
        <f t="shared" si="242"/>
        <v>0</v>
      </c>
      <c r="K950" s="27">
        <f t="shared" si="242"/>
        <v>0</v>
      </c>
      <c r="L950" s="27">
        <f t="shared" si="242"/>
        <v>0</v>
      </c>
      <c r="M950" s="27">
        <f t="shared" si="242"/>
        <v>0</v>
      </c>
      <c r="N950" s="27">
        <f t="shared" si="242"/>
        <v>0</v>
      </c>
      <c r="O950" s="27">
        <f t="shared" si="242"/>
        <v>0</v>
      </c>
      <c r="P950" s="27">
        <f t="shared" si="242"/>
        <v>0</v>
      </c>
      <c r="Q950" s="27">
        <f t="shared" si="242"/>
        <v>0</v>
      </c>
      <c r="R950" s="27">
        <f t="shared" si="242"/>
        <v>0</v>
      </c>
      <c r="S950" s="27">
        <f t="shared" si="242"/>
        <v>0</v>
      </c>
      <c r="W950" s="60"/>
      <c r="AD950" s="27">
        <f t="shared" si="216"/>
        <v>0</v>
      </c>
      <c r="AE950" s="27">
        <f t="shared" ref="AE950:AP957" si="243">+H332*$F950</f>
        <v>0</v>
      </c>
      <c r="AF950" s="27">
        <f t="shared" si="243"/>
        <v>0</v>
      </c>
      <c r="AG950" s="27">
        <f t="shared" si="243"/>
        <v>0</v>
      </c>
      <c r="AH950" s="27">
        <f t="shared" si="243"/>
        <v>0</v>
      </c>
      <c r="AI950" s="27">
        <f t="shared" si="243"/>
        <v>0</v>
      </c>
      <c r="AJ950" s="27">
        <f t="shared" si="243"/>
        <v>0</v>
      </c>
      <c r="AK950" s="27">
        <f t="shared" si="243"/>
        <v>0</v>
      </c>
      <c r="AL950" s="27">
        <f t="shared" si="243"/>
        <v>0</v>
      </c>
      <c r="AM950" s="27">
        <f t="shared" si="243"/>
        <v>0</v>
      </c>
      <c r="AN950" s="27">
        <f t="shared" si="243"/>
        <v>0</v>
      </c>
      <c r="AO950" s="27">
        <f t="shared" si="243"/>
        <v>0</v>
      </c>
      <c r="AP950" s="27">
        <f t="shared" si="243"/>
        <v>0</v>
      </c>
      <c r="CC950" s="61"/>
    </row>
    <row r="951" spans="3:81" s="27" customFormat="1" ht="11.25" hidden="1" x14ac:dyDescent="0.2">
      <c r="C951" s="60">
        <f t="shared" si="240"/>
        <v>0</v>
      </c>
      <c r="E951" s="27">
        <f t="shared" si="241"/>
        <v>0</v>
      </c>
      <c r="F951" s="27">
        <f t="shared" si="241"/>
        <v>0</v>
      </c>
      <c r="G951" s="27">
        <f t="shared" si="241"/>
        <v>0</v>
      </c>
      <c r="H951" s="27">
        <f t="shared" ref="H951:S951" si="244">+H333+(H333*$E951)</f>
        <v>0</v>
      </c>
      <c r="I951" s="27">
        <f t="shared" si="244"/>
        <v>0</v>
      </c>
      <c r="J951" s="27">
        <f t="shared" si="244"/>
        <v>0</v>
      </c>
      <c r="K951" s="27">
        <f t="shared" si="244"/>
        <v>0</v>
      </c>
      <c r="L951" s="27">
        <f t="shared" si="244"/>
        <v>0</v>
      </c>
      <c r="M951" s="27">
        <f t="shared" si="244"/>
        <v>0</v>
      </c>
      <c r="N951" s="27">
        <f t="shared" si="244"/>
        <v>0</v>
      </c>
      <c r="O951" s="27">
        <f t="shared" si="244"/>
        <v>0</v>
      </c>
      <c r="P951" s="27">
        <f t="shared" si="244"/>
        <v>0</v>
      </c>
      <c r="Q951" s="27">
        <f t="shared" si="244"/>
        <v>0</v>
      </c>
      <c r="R951" s="27">
        <f t="shared" si="244"/>
        <v>0</v>
      </c>
      <c r="S951" s="27">
        <f t="shared" si="244"/>
        <v>0</v>
      </c>
      <c r="W951" s="60"/>
      <c r="AD951" s="27">
        <f t="shared" si="216"/>
        <v>0</v>
      </c>
      <c r="AE951" s="27">
        <f t="shared" si="243"/>
        <v>0</v>
      </c>
      <c r="AF951" s="27">
        <f t="shared" si="243"/>
        <v>0</v>
      </c>
      <c r="AG951" s="27">
        <f t="shared" si="243"/>
        <v>0</v>
      </c>
      <c r="AH951" s="27">
        <f t="shared" si="243"/>
        <v>0</v>
      </c>
      <c r="AI951" s="27">
        <f t="shared" si="243"/>
        <v>0</v>
      </c>
      <c r="AJ951" s="27">
        <f t="shared" si="243"/>
        <v>0</v>
      </c>
      <c r="AK951" s="27">
        <f t="shared" si="243"/>
        <v>0</v>
      </c>
      <c r="AL951" s="27">
        <f t="shared" si="243"/>
        <v>0</v>
      </c>
      <c r="AM951" s="27">
        <f t="shared" si="243"/>
        <v>0</v>
      </c>
      <c r="AN951" s="27">
        <f t="shared" si="243"/>
        <v>0</v>
      </c>
      <c r="AO951" s="27">
        <f t="shared" si="243"/>
        <v>0</v>
      </c>
      <c r="AP951" s="27">
        <f t="shared" si="243"/>
        <v>0</v>
      </c>
      <c r="CC951" s="61"/>
    </row>
    <row r="952" spans="3:81" s="27" customFormat="1" ht="11.25" hidden="1" x14ac:dyDescent="0.2">
      <c r="C952" s="60">
        <f t="shared" si="240"/>
        <v>0</v>
      </c>
      <c r="E952" s="27">
        <f t="shared" si="241"/>
        <v>0</v>
      </c>
      <c r="F952" s="27">
        <f t="shared" si="241"/>
        <v>0</v>
      </c>
      <c r="G952" s="27">
        <f t="shared" si="241"/>
        <v>0</v>
      </c>
      <c r="H952" s="27">
        <f t="shared" ref="H952:S952" si="245">+H334+(H334*$E952)</f>
        <v>0</v>
      </c>
      <c r="I952" s="27">
        <f t="shared" si="245"/>
        <v>0</v>
      </c>
      <c r="J952" s="27">
        <f t="shared" si="245"/>
        <v>0</v>
      </c>
      <c r="K952" s="27">
        <f t="shared" si="245"/>
        <v>0</v>
      </c>
      <c r="L952" s="27">
        <f t="shared" si="245"/>
        <v>0</v>
      </c>
      <c r="M952" s="27">
        <f t="shared" si="245"/>
        <v>0</v>
      </c>
      <c r="N952" s="27">
        <f t="shared" si="245"/>
        <v>0</v>
      </c>
      <c r="O952" s="27">
        <f t="shared" si="245"/>
        <v>0</v>
      </c>
      <c r="P952" s="27">
        <f t="shared" si="245"/>
        <v>0</v>
      </c>
      <c r="Q952" s="27">
        <f t="shared" si="245"/>
        <v>0</v>
      </c>
      <c r="R952" s="27">
        <f t="shared" si="245"/>
        <v>0</v>
      </c>
      <c r="S952" s="27">
        <f t="shared" si="245"/>
        <v>0</v>
      </c>
      <c r="W952" s="60"/>
      <c r="AD952" s="27">
        <f t="shared" si="216"/>
        <v>0</v>
      </c>
      <c r="AE952" s="27">
        <f t="shared" si="243"/>
        <v>0</v>
      </c>
      <c r="AF952" s="27">
        <f t="shared" si="243"/>
        <v>0</v>
      </c>
      <c r="AG952" s="27">
        <f t="shared" si="243"/>
        <v>0</v>
      </c>
      <c r="AH952" s="27">
        <f t="shared" si="243"/>
        <v>0</v>
      </c>
      <c r="AI952" s="27">
        <f t="shared" si="243"/>
        <v>0</v>
      </c>
      <c r="AJ952" s="27">
        <f t="shared" si="243"/>
        <v>0</v>
      </c>
      <c r="AK952" s="27">
        <f t="shared" si="243"/>
        <v>0</v>
      </c>
      <c r="AL952" s="27">
        <f t="shared" si="243"/>
        <v>0</v>
      </c>
      <c r="AM952" s="27">
        <f t="shared" si="243"/>
        <v>0</v>
      </c>
      <c r="AN952" s="27">
        <f t="shared" si="243"/>
        <v>0</v>
      </c>
      <c r="AO952" s="27">
        <f t="shared" si="243"/>
        <v>0</v>
      </c>
      <c r="AP952" s="27">
        <f t="shared" si="243"/>
        <v>0</v>
      </c>
      <c r="CC952" s="61"/>
    </row>
    <row r="953" spans="3:81" s="27" customFormat="1" ht="11.25" hidden="1" x14ac:dyDescent="0.2">
      <c r="C953" s="60">
        <f t="shared" si="240"/>
        <v>0</v>
      </c>
      <c r="E953" s="27">
        <f t="shared" si="241"/>
        <v>0</v>
      </c>
      <c r="F953" s="27">
        <f t="shared" si="241"/>
        <v>0</v>
      </c>
      <c r="G953" s="27">
        <f t="shared" si="241"/>
        <v>0</v>
      </c>
      <c r="H953" s="27">
        <f t="shared" ref="H953:S953" si="246">+H335+(H335*$E953)</f>
        <v>0</v>
      </c>
      <c r="I953" s="27">
        <f t="shared" si="246"/>
        <v>0</v>
      </c>
      <c r="J953" s="27">
        <f t="shared" si="246"/>
        <v>0</v>
      </c>
      <c r="K953" s="27">
        <f t="shared" si="246"/>
        <v>0</v>
      </c>
      <c r="L953" s="27">
        <f t="shared" si="246"/>
        <v>0</v>
      </c>
      <c r="M953" s="27">
        <f t="shared" si="246"/>
        <v>0</v>
      </c>
      <c r="N953" s="27">
        <f t="shared" si="246"/>
        <v>0</v>
      </c>
      <c r="O953" s="27">
        <f t="shared" si="246"/>
        <v>0</v>
      </c>
      <c r="P953" s="27">
        <f t="shared" si="246"/>
        <v>0</v>
      </c>
      <c r="Q953" s="27">
        <f t="shared" si="246"/>
        <v>0</v>
      </c>
      <c r="R953" s="27">
        <f t="shared" si="246"/>
        <v>0</v>
      </c>
      <c r="S953" s="27">
        <f t="shared" si="246"/>
        <v>0</v>
      </c>
      <c r="W953" s="60"/>
      <c r="AD953" s="27">
        <f t="shared" si="216"/>
        <v>0</v>
      </c>
      <c r="AE953" s="27">
        <f t="shared" si="243"/>
        <v>0</v>
      </c>
      <c r="AF953" s="27">
        <f t="shared" si="243"/>
        <v>0</v>
      </c>
      <c r="AG953" s="27">
        <f t="shared" si="243"/>
        <v>0</v>
      </c>
      <c r="AH953" s="27">
        <f t="shared" si="243"/>
        <v>0</v>
      </c>
      <c r="AI953" s="27">
        <f t="shared" si="243"/>
        <v>0</v>
      </c>
      <c r="AJ953" s="27">
        <f t="shared" si="243"/>
        <v>0</v>
      </c>
      <c r="AK953" s="27">
        <f t="shared" si="243"/>
        <v>0</v>
      </c>
      <c r="AL953" s="27">
        <f t="shared" si="243"/>
        <v>0</v>
      </c>
      <c r="AM953" s="27">
        <f t="shared" si="243"/>
        <v>0</v>
      </c>
      <c r="AN953" s="27">
        <f t="shared" si="243"/>
        <v>0</v>
      </c>
      <c r="AO953" s="27">
        <f t="shared" si="243"/>
        <v>0</v>
      </c>
      <c r="AP953" s="27">
        <f t="shared" si="243"/>
        <v>0</v>
      </c>
      <c r="CC953" s="61"/>
    </row>
    <row r="954" spans="3:81" s="27" customFormat="1" ht="11.25" hidden="1" x14ac:dyDescent="0.2">
      <c r="C954" s="60">
        <f t="shared" si="240"/>
        <v>0</v>
      </c>
      <c r="E954" s="27">
        <f t="shared" si="241"/>
        <v>0</v>
      </c>
      <c r="F954" s="27">
        <f t="shared" si="241"/>
        <v>0</v>
      </c>
      <c r="G954" s="27">
        <f t="shared" si="241"/>
        <v>0</v>
      </c>
      <c r="H954" s="27">
        <f t="shared" ref="H954:S954" si="247">+H336+(H336*$E954)</f>
        <v>0</v>
      </c>
      <c r="I954" s="27">
        <f t="shared" si="247"/>
        <v>0</v>
      </c>
      <c r="J954" s="27">
        <f t="shared" si="247"/>
        <v>0</v>
      </c>
      <c r="K954" s="27">
        <f t="shared" si="247"/>
        <v>0</v>
      </c>
      <c r="L954" s="27">
        <f t="shared" si="247"/>
        <v>0</v>
      </c>
      <c r="M954" s="27">
        <f t="shared" si="247"/>
        <v>0</v>
      </c>
      <c r="N954" s="27">
        <f t="shared" si="247"/>
        <v>0</v>
      </c>
      <c r="O954" s="27">
        <f t="shared" si="247"/>
        <v>0</v>
      </c>
      <c r="P954" s="27">
        <f t="shared" si="247"/>
        <v>0</v>
      </c>
      <c r="Q954" s="27">
        <f t="shared" si="247"/>
        <v>0</v>
      </c>
      <c r="R954" s="27">
        <f t="shared" si="247"/>
        <v>0</v>
      </c>
      <c r="S954" s="27">
        <f t="shared" si="247"/>
        <v>0</v>
      </c>
      <c r="W954" s="60"/>
      <c r="AD954" s="27">
        <f t="shared" si="216"/>
        <v>0</v>
      </c>
      <c r="AE954" s="27">
        <f t="shared" si="243"/>
        <v>0</v>
      </c>
      <c r="AF954" s="27">
        <f t="shared" si="243"/>
        <v>0</v>
      </c>
      <c r="AG954" s="27">
        <f t="shared" si="243"/>
        <v>0</v>
      </c>
      <c r="AH954" s="27">
        <f t="shared" si="243"/>
        <v>0</v>
      </c>
      <c r="AI954" s="27">
        <f t="shared" si="243"/>
        <v>0</v>
      </c>
      <c r="AJ954" s="27">
        <f t="shared" si="243"/>
        <v>0</v>
      </c>
      <c r="AK954" s="27">
        <f t="shared" si="243"/>
        <v>0</v>
      </c>
      <c r="AL954" s="27">
        <f t="shared" si="243"/>
        <v>0</v>
      </c>
      <c r="AM954" s="27">
        <f t="shared" si="243"/>
        <v>0</v>
      </c>
      <c r="AN954" s="27">
        <f t="shared" si="243"/>
        <v>0</v>
      </c>
      <c r="AO954" s="27">
        <f t="shared" si="243"/>
        <v>0</v>
      </c>
      <c r="AP954" s="27">
        <f t="shared" si="243"/>
        <v>0</v>
      </c>
      <c r="CC954" s="61"/>
    </row>
    <row r="955" spans="3:81" s="27" customFormat="1" ht="11.25" hidden="1" x14ac:dyDescent="0.2">
      <c r="C955" s="60">
        <f t="shared" si="240"/>
        <v>0</v>
      </c>
      <c r="E955" s="27">
        <f t="shared" si="241"/>
        <v>0</v>
      </c>
      <c r="F955" s="27">
        <f t="shared" si="241"/>
        <v>0</v>
      </c>
      <c r="G955" s="27">
        <f t="shared" si="241"/>
        <v>0</v>
      </c>
      <c r="H955" s="27">
        <f t="shared" ref="H955:S955" si="248">+H337+(H337*$E955)</f>
        <v>0</v>
      </c>
      <c r="I955" s="27">
        <f t="shared" si="248"/>
        <v>0</v>
      </c>
      <c r="J955" s="27">
        <f t="shared" si="248"/>
        <v>0</v>
      </c>
      <c r="K955" s="27">
        <f t="shared" si="248"/>
        <v>0</v>
      </c>
      <c r="L955" s="27">
        <f t="shared" si="248"/>
        <v>0</v>
      </c>
      <c r="M955" s="27">
        <f t="shared" si="248"/>
        <v>0</v>
      </c>
      <c r="N955" s="27">
        <f t="shared" si="248"/>
        <v>0</v>
      </c>
      <c r="O955" s="27">
        <f t="shared" si="248"/>
        <v>0</v>
      </c>
      <c r="P955" s="27">
        <f t="shared" si="248"/>
        <v>0</v>
      </c>
      <c r="Q955" s="27">
        <f t="shared" si="248"/>
        <v>0</v>
      </c>
      <c r="R955" s="27">
        <f t="shared" si="248"/>
        <v>0</v>
      </c>
      <c r="S955" s="27">
        <f t="shared" si="248"/>
        <v>0</v>
      </c>
      <c r="W955" s="60"/>
      <c r="AD955" s="27">
        <f t="shared" si="216"/>
        <v>0</v>
      </c>
      <c r="AE955" s="27">
        <f t="shared" si="243"/>
        <v>0</v>
      </c>
      <c r="AF955" s="27">
        <f t="shared" si="243"/>
        <v>0</v>
      </c>
      <c r="AG955" s="27">
        <f t="shared" si="243"/>
        <v>0</v>
      </c>
      <c r="AH955" s="27">
        <f t="shared" si="243"/>
        <v>0</v>
      </c>
      <c r="AI955" s="27">
        <f t="shared" si="243"/>
        <v>0</v>
      </c>
      <c r="AJ955" s="27">
        <f t="shared" si="243"/>
        <v>0</v>
      </c>
      <c r="AK955" s="27">
        <f t="shared" si="243"/>
        <v>0</v>
      </c>
      <c r="AL955" s="27">
        <f t="shared" si="243"/>
        <v>0</v>
      </c>
      <c r="AM955" s="27">
        <f t="shared" si="243"/>
        <v>0</v>
      </c>
      <c r="AN955" s="27">
        <f t="shared" si="243"/>
        <v>0</v>
      </c>
      <c r="AO955" s="27">
        <f t="shared" si="243"/>
        <v>0</v>
      </c>
      <c r="AP955" s="27">
        <f t="shared" si="243"/>
        <v>0</v>
      </c>
      <c r="CC955" s="61"/>
    </row>
    <row r="956" spans="3:81" s="27" customFormat="1" ht="11.25" hidden="1" x14ac:dyDescent="0.2">
      <c r="C956" s="60">
        <f t="shared" si="240"/>
        <v>0</v>
      </c>
      <c r="E956" s="27">
        <f t="shared" si="241"/>
        <v>0</v>
      </c>
      <c r="F956" s="27">
        <f t="shared" si="241"/>
        <v>0</v>
      </c>
      <c r="G956" s="27">
        <f t="shared" si="241"/>
        <v>0</v>
      </c>
      <c r="H956" s="27">
        <f t="shared" ref="H956:S956" si="249">+H338+(H338*$E956)</f>
        <v>0</v>
      </c>
      <c r="I956" s="27">
        <f t="shared" si="249"/>
        <v>0</v>
      </c>
      <c r="J956" s="27">
        <f t="shared" si="249"/>
        <v>0</v>
      </c>
      <c r="K956" s="27">
        <f t="shared" si="249"/>
        <v>0</v>
      </c>
      <c r="L956" s="27">
        <f t="shared" si="249"/>
        <v>0</v>
      </c>
      <c r="M956" s="27">
        <f t="shared" si="249"/>
        <v>0</v>
      </c>
      <c r="N956" s="27">
        <f t="shared" si="249"/>
        <v>0</v>
      </c>
      <c r="O956" s="27">
        <f t="shared" si="249"/>
        <v>0</v>
      </c>
      <c r="P956" s="27">
        <f t="shared" si="249"/>
        <v>0</v>
      </c>
      <c r="Q956" s="27">
        <f t="shared" si="249"/>
        <v>0</v>
      </c>
      <c r="R956" s="27">
        <f t="shared" si="249"/>
        <v>0</v>
      </c>
      <c r="S956" s="27">
        <f t="shared" si="249"/>
        <v>0</v>
      </c>
      <c r="W956" s="60"/>
      <c r="AD956" s="27">
        <f t="shared" si="216"/>
        <v>0</v>
      </c>
      <c r="AE956" s="27">
        <f t="shared" si="243"/>
        <v>0</v>
      </c>
      <c r="AF956" s="27">
        <f t="shared" si="243"/>
        <v>0</v>
      </c>
      <c r="AG956" s="27">
        <f t="shared" si="243"/>
        <v>0</v>
      </c>
      <c r="AH956" s="27">
        <f t="shared" si="243"/>
        <v>0</v>
      </c>
      <c r="AI956" s="27">
        <f t="shared" si="243"/>
        <v>0</v>
      </c>
      <c r="AJ956" s="27">
        <f t="shared" si="243"/>
        <v>0</v>
      </c>
      <c r="AK956" s="27">
        <f t="shared" si="243"/>
        <v>0</v>
      </c>
      <c r="AL956" s="27">
        <f t="shared" si="243"/>
        <v>0</v>
      </c>
      <c r="AM956" s="27">
        <f t="shared" si="243"/>
        <v>0</v>
      </c>
      <c r="AN956" s="27">
        <f t="shared" si="243"/>
        <v>0</v>
      </c>
      <c r="AO956" s="27">
        <f t="shared" si="243"/>
        <v>0</v>
      </c>
      <c r="AP956" s="27">
        <f t="shared" si="243"/>
        <v>0</v>
      </c>
      <c r="CC956" s="61"/>
    </row>
    <row r="957" spans="3:81" s="27" customFormat="1" ht="11.25" hidden="1" x14ac:dyDescent="0.2">
      <c r="C957" s="60">
        <f t="shared" si="240"/>
        <v>0</v>
      </c>
      <c r="E957" s="27">
        <f t="shared" si="241"/>
        <v>0</v>
      </c>
      <c r="F957" s="27">
        <f t="shared" si="241"/>
        <v>0</v>
      </c>
      <c r="G957" s="27">
        <f t="shared" si="241"/>
        <v>0</v>
      </c>
      <c r="H957" s="27">
        <f t="shared" ref="H957:S957" si="250">+H339+(H339*$E957)</f>
        <v>0</v>
      </c>
      <c r="I957" s="27">
        <f t="shared" si="250"/>
        <v>0</v>
      </c>
      <c r="J957" s="27">
        <f t="shared" si="250"/>
        <v>0</v>
      </c>
      <c r="K957" s="27">
        <f t="shared" si="250"/>
        <v>0</v>
      </c>
      <c r="L957" s="27">
        <f t="shared" si="250"/>
        <v>0</v>
      </c>
      <c r="M957" s="27">
        <f t="shared" si="250"/>
        <v>0</v>
      </c>
      <c r="N957" s="27">
        <f t="shared" si="250"/>
        <v>0</v>
      </c>
      <c r="O957" s="27">
        <f t="shared" si="250"/>
        <v>0</v>
      </c>
      <c r="P957" s="27">
        <f t="shared" si="250"/>
        <v>0</v>
      </c>
      <c r="Q957" s="27">
        <f t="shared" si="250"/>
        <v>0</v>
      </c>
      <c r="R957" s="27">
        <f t="shared" si="250"/>
        <v>0</v>
      </c>
      <c r="S957" s="27">
        <f t="shared" si="250"/>
        <v>0</v>
      </c>
      <c r="W957" s="60"/>
      <c r="AD957" s="27">
        <f t="shared" si="216"/>
        <v>0</v>
      </c>
      <c r="AE957" s="27">
        <f t="shared" si="243"/>
        <v>0</v>
      </c>
      <c r="AF957" s="27">
        <f t="shared" si="243"/>
        <v>0</v>
      </c>
      <c r="AG957" s="27">
        <f t="shared" si="243"/>
        <v>0</v>
      </c>
      <c r="AH957" s="27">
        <f t="shared" si="243"/>
        <v>0</v>
      </c>
      <c r="AI957" s="27">
        <f t="shared" si="243"/>
        <v>0</v>
      </c>
      <c r="AJ957" s="27">
        <f t="shared" si="243"/>
        <v>0</v>
      </c>
      <c r="AK957" s="27">
        <f t="shared" si="243"/>
        <v>0</v>
      </c>
      <c r="AL957" s="27">
        <f t="shared" si="243"/>
        <v>0</v>
      </c>
      <c r="AM957" s="27">
        <f t="shared" si="243"/>
        <v>0</v>
      </c>
      <c r="AN957" s="27">
        <f t="shared" si="243"/>
        <v>0</v>
      </c>
      <c r="AO957" s="27">
        <f t="shared" si="243"/>
        <v>0</v>
      </c>
      <c r="AP957" s="27">
        <f t="shared" si="243"/>
        <v>0</v>
      </c>
      <c r="CC957" s="61"/>
    </row>
    <row r="958" spans="3:81" s="27" customFormat="1" ht="11.25" hidden="1" x14ac:dyDescent="0.2">
      <c r="C958" s="60" t="str">
        <f t="shared" si="240"/>
        <v>Pers. EVENTUAL</v>
      </c>
      <c r="W958" s="60"/>
      <c r="AD958" s="27" t="str">
        <f t="shared" si="216"/>
        <v>Pers. EVENTUAL</v>
      </c>
      <c r="CC958" s="61"/>
    </row>
    <row r="959" spans="3:81" s="27" customFormat="1" ht="11.25" hidden="1" x14ac:dyDescent="0.2">
      <c r="C959" s="60">
        <f t="shared" si="240"/>
        <v>0</v>
      </c>
      <c r="E959" s="27">
        <f t="shared" ref="E959:G968" si="251">E341</f>
        <v>0</v>
      </c>
      <c r="F959" s="27">
        <f t="shared" si="251"/>
        <v>0</v>
      </c>
      <c r="G959" s="27">
        <f t="shared" si="251"/>
        <v>0</v>
      </c>
      <c r="H959" s="27">
        <f t="shared" ref="H959:S959" si="252">+H341+(H341*$E959)</f>
        <v>0</v>
      </c>
      <c r="I959" s="27">
        <f t="shared" si="252"/>
        <v>0</v>
      </c>
      <c r="J959" s="27">
        <f t="shared" si="252"/>
        <v>0</v>
      </c>
      <c r="K959" s="27">
        <f t="shared" si="252"/>
        <v>0</v>
      </c>
      <c r="L959" s="27">
        <f t="shared" si="252"/>
        <v>0</v>
      </c>
      <c r="M959" s="27">
        <f t="shared" si="252"/>
        <v>0</v>
      </c>
      <c r="N959" s="27">
        <f t="shared" si="252"/>
        <v>0</v>
      </c>
      <c r="O959" s="27">
        <f t="shared" si="252"/>
        <v>0</v>
      </c>
      <c r="P959" s="27">
        <f t="shared" si="252"/>
        <v>0</v>
      </c>
      <c r="Q959" s="27">
        <f t="shared" si="252"/>
        <v>0</v>
      </c>
      <c r="R959" s="27">
        <f t="shared" si="252"/>
        <v>0</v>
      </c>
      <c r="S959" s="27">
        <f t="shared" si="252"/>
        <v>0</v>
      </c>
      <c r="W959" s="60"/>
      <c r="AD959" s="27">
        <f t="shared" si="216"/>
        <v>0</v>
      </c>
      <c r="AE959" s="27">
        <f t="shared" ref="AE959:AE968" si="253">+H341*$F959</f>
        <v>0</v>
      </c>
      <c r="AF959" s="27">
        <f t="shared" ref="AF959:AF968" si="254">+I341*$F959</f>
        <v>0</v>
      </c>
      <c r="AG959" s="27">
        <f t="shared" ref="AG959:AG968" si="255">+J341*$F959</f>
        <v>0</v>
      </c>
      <c r="AH959" s="27">
        <f t="shared" ref="AH959:AH968" si="256">+K341*$F959</f>
        <v>0</v>
      </c>
      <c r="AI959" s="27">
        <f t="shared" ref="AI959:AI968" si="257">+L341*$F959</f>
        <v>0</v>
      </c>
      <c r="AJ959" s="27">
        <f t="shared" ref="AJ959:AJ968" si="258">+M341*$F959</f>
        <v>0</v>
      </c>
      <c r="AK959" s="27">
        <f t="shared" ref="AK959:AK968" si="259">+N341*$F959</f>
        <v>0</v>
      </c>
      <c r="AL959" s="27">
        <f t="shared" ref="AL959:AL968" si="260">+O341*$F959</f>
        <v>0</v>
      </c>
      <c r="AM959" s="27">
        <f t="shared" ref="AM959:AM968" si="261">+P341*$F959</f>
        <v>0</v>
      </c>
      <c r="AN959" s="27">
        <f t="shared" ref="AN959:AN968" si="262">+Q341*$F959</f>
        <v>0</v>
      </c>
      <c r="AO959" s="27">
        <f t="shared" ref="AO959:AO968" si="263">+R341*$F959</f>
        <v>0</v>
      </c>
      <c r="AP959" s="27">
        <f t="shared" ref="AP959:AP968" si="264">+S341*$F959</f>
        <v>0</v>
      </c>
      <c r="CC959" s="61"/>
    </row>
    <row r="960" spans="3:81" s="27" customFormat="1" ht="11.25" hidden="1" x14ac:dyDescent="0.2">
      <c r="C960" s="60">
        <f t="shared" si="240"/>
        <v>0</v>
      </c>
      <c r="E960" s="27">
        <f t="shared" si="251"/>
        <v>0</v>
      </c>
      <c r="F960" s="27">
        <f t="shared" si="251"/>
        <v>0</v>
      </c>
      <c r="G960" s="27">
        <f t="shared" si="251"/>
        <v>0</v>
      </c>
      <c r="H960" s="27">
        <f t="shared" ref="H960:S960" si="265">+H342+(H342*$E960)</f>
        <v>0</v>
      </c>
      <c r="I960" s="27">
        <f t="shared" si="265"/>
        <v>0</v>
      </c>
      <c r="J960" s="27">
        <f t="shared" si="265"/>
        <v>0</v>
      </c>
      <c r="K960" s="27">
        <f t="shared" si="265"/>
        <v>0</v>
      </c>
      <c r="L960" s="27">
        <f t="shared" si="265"/>
        <v>0</v>
      </c>
      <c r="M960" s="27">
        <f t="shared" si="265"/>
        <v>0</v>
      </c>
      <c r="N960" s="27">
        <f t="shared" si="265"/>
        <v>0</v>
      </c>
      <c r="O960" s="27">
        <f t="shared" si="265"/>
        <v>0</v>
      </c>
      <c r="P960" s="27">
        <f t="shared" si="265"/>
        <v>0</v>
      </c>
      <c r="Q960" s="27">
        <f t="shared" si="265"/>
        <v>0</v>
      </c>
      <c r="R960" s="27">
        <f t="shared" si="265"/>
        <v>0</v>
      </c>
      <c r="S960" s="27">
        <f t="shared" si="265"/>
        <v>0</v>
      </c>
      <c r="W960" s="60"/>
      <c r="AD960" s="27">
        <f t="shared" si="216"/>
        <v>0</v>
      </c>
      <c r="AE960" s="27">
        <f t="shared" si="253"/>
        <v>0</v>
      </c>
      <c r="AF960" s="27">
        <f t="shared" si="254"/>
        <v>0</v>
      </c>
      <c r="AG960" s="27">
        <f t="shared" si="255"/>
        <v>0</v>
      </c>
      <c r="AH960" s="27">
        <f t="shared" si="256"/>
        <v>0</v>
      </c>
      <c r="AI960" s="27">
        <f t="shared" si="257"/>
        <v>0</v>
      </c>
      <c r="AJ960" s="27">
        <f t="shared" si="258"/>
        <v>0</v>
      </c>
      <c r="AK960" s="27">
        <f t="shared" si="259"/>
        <v>0</v>
      </c>
      <c r="AL960" s="27">
        <f t="shared" si="260"/>
        <v>0</v>
      </c>
      <c r="AM960" s="27">
        <f t="shared" si="261"/>
        <v>0</v>
      </c>
      <c r="AN960" s="27">
        <f t="shared" si="262"/>
        <v>0</v>
      </c>
      <c r="AO960" s="27">
        <f t="shared" si="263"/>
        <v>0</v>
      </c>
      <c r="AP960" s="27">
        <f t="shared" si="264"/>
        <v>0</v>
      </c>
      <c r="CC960" s="61"/>
    </row>
    <row r="961" spans="3:81" s="27" customFormat="1" ht="11.25" hidden="1" x14ac:dyDescent="0.2">
      <c r="C961" s="60">
        <f t="shared" si="240"/>
        <v>0</v>
      </c>
      <c r="E961" s="27">
        <f t="shared" si="251"/>
        <v>0</v>
      </c>
      <c r="F961" s="27">
        <f t="shared" si="251"/>
        <v>0</v>
      </c>
      <c r="G961" s="27">
        <f t="shared" si="251"/>
        <v>0</v>
      </c>
      <c r="H961" s="27">
        <f t="shared" ref="H961:S961" si="266">+H343+(H343*$E961)</f>
        <v>0</v>
      </c>
      <c r="I961" s="27">
        <f t="shared" si="266"/>
        <v>0</v>
      </c>
      <c r="J961" s="27">
        <f t="shared" si="266"/>
        <v>0</v>
      </c>
      <c r="K961" s="27">
        <f t="shared" si="266"/>
        <v>0</v>
      </c>
      <c r="L961" s="27">
        <f t="shared" si="266"/>
        <v>0</v>
      </c>
      <c r="M961" s="27">
        <f t="shared" si="266"/>
        <v>0</v>
      </c>
      <c r="N961" s="27">
        <f t="shared" si="266"/>
        <v>0</v>
      </c>
      <c r="O961" s="27">
        <f t="shared" si="266"/>
        <v>0</v>
      </c>
      <c r="P961" s="27">
        <f t="shared" si="266"/>
        <v>0</v>
      </c>
      <c r="Q961" s="27">
        <f t="shared" si="266"/>
        <v>0</v>
      </c>
      <c r="R961" s="27">
        <f t="shared" si="266"/>
        <v>0</v>
      </c>
      <c r="S961" s="27">
        <f t="shared" si="266"/>
        <v>0</v>
      </c>
      <c r="W961" s="60"/>
      <c r="AD961" s="27">
        <f t="shared" si="216"/>
        <v>0</v>
      </c>
      <c r="AE961" s="27">
        <f t="shared" si="253"/>
        <v>0</v>
      </c>
      <c r="AF961" s="27">
        <f t="shared" si="254"/>
        <v>0</v>
      </c>
      <c r="AG961" s="27">
        <f t="shared" si="255"/>
        <v>0</v>
      </c>
      <c r="AH961" s="27">
        <f t="shared" si="256"/>
        <v>0</v>
      </c>
      <c r="AI961" s="27">
        <f t="shared" si="257"/>
        <v>0</v>
      </c>
      <c r="AJ961" s="27">
        <f t="shared" si="258"/>
        <v>0</v>
      </c>
      <c r="AK961" s="27">
        <f t="shared" si="259"/>
        <v>0</v>
      </c>
      <c r="AL961" s="27">
        <f t="shared" si="260"/>
        <v>0</v>
      </c>
      <c r="AM961" s="27">
        <f t="shared" si="261"/>
        <v>0</v>
      </c>
      <c r="AN961" s="27">
        <f t="shared" si="262"/>
        <v>0</v>
      </c>
      <c r="AO961" s="27">
        <f t="shared" si="263"/>
        <v>0</v>
      </c>
      <c r="AP961" s="27">
        <f t="shared" si="264"/>
        <v>0</v>
      </c>
      <c r="CC961" s="61"/>
    </row>
    <row r="962" spans="3:81" s="27" customFormat="1" ht="11.25" hidden="1" x14ac:dyDescent="0.2">
      <c r="C962" s="60">
        <f t="shared" si="240"/>
        <v>0</v>
      </c>
      <c r="E962" s="27">
        <f t="shared" si="251"/>
        <v>0</v>
      </c>
      <c r="F962" s="27">
        <f t="shared" si="251"/>
        <v>0</v>
      </c>
      <c r="G962" s="27">
        <f t="shared" si="251"/>
        <v>0</v>
      </c>
      <c r="H962" s="27">
        <f t="shared" ref="H962:S962" si="267">+H344+(H344*$E962)</f>
        <v>0</v>
      </c>
      <c r="I962" s="27">
        <f t="shared" si="267"/>
        <v>0</v>
      </c>
      <c r="J962" s="27">
        <f t="shared" si="267"/>
        <v>0</v>
      </c>
      <c r="K962" s="27">
        <f t="shared" si="267"/>
        <v>0</v>
      </c>
      <c r="L962" s="27">
        <f t="shared" si="267"/>
        <v>0</v>
      </c>
      <c r="M962" s="27">
        <f t="shared" si="267"/>
        <v>0</v>
      </c>
      <c r="N962" s="27">
        <f t="shared" si="267"/>
        <v>0</v>
      </c>
      <c r="O962" s="27">
        <f t="shared" si="267"/>
        <v>0</v>
      </c>
      <c r="P962" s="27">
        <f t="shared" si="267"/>
        <v>0</v>
      </c>
      <c r="Q962" s="27">
        <f t="shared" si="267"/>
        <v>0</v>
      </c>
      <c r="R962" s="27">
        <f t="shared" si="267"/>
        <v>0</v>
      </c>
      <c r="S962" s="27">
        <f t="shared" si="267"/>
        <v>0</v>
      </c>
      <c r="W962" s="60"/>
      <c r="AD962" s="27">
        <f t="shared" si="216"/>
        <v>0</v>
      </c>
      <c r="AE962" s="27">
        <f t="shared" si="253"/>
        <v>0</v>
      </c>
      <c r="AF962" s="27">
        <f t="shared" si="254"/>
        <v>0</v>
      </c>
      <c r="AG962" s="27">
        <f t="shared" si="255"/>
        <v>0</v>
      </c>
      <c r="AH962" s="27">
        <f t="shared" si="256"/>
        <v>0</v>
      </c>
      <c r="AI962" s="27">
        <f t="shared" si="257"/>
        <v>0</v>
      </c>
      <c r="AJ962" s="27">
        <f t="shared" si="258"/>
        <v>0</v>
      </c>
      <c r="AK962" s="27">
        <f t="shared" si="259"/>
        <v>0</v>
      </c>
      <c r="AL962" s="27">
        <f t="shared" si="260"/>
        <v>0</v>
      </c>
      <c r="AM962" s="27">
        <f t="shared" si="261"/>
        <v>0</v>
      </c>
      <c r="AN962" s="27">
        <f t="shared" si="262"/>
        <v>0</v>
      </c>
      <c r="AO962" s="27">
        <f t="shared" si="263"/>
        <v>0</v>
      </c>
      <c r="AP962" s="27">
        <f t="shared" si="264"/>
        <v>0</v>
      </c>
      <c r="CC962" s="61"/>
    </row>
    <row r="963" spans="3:81" s="27" customFormat="1" ht="11.25" hidden="1" x14ac:dyDescent="0.2">
      <c r="C963" s="60">
        <f t="shared" si="240"/>
        <v>0</v>
      </c>
      <c r="E963" s="27">
        <f t="shared" si="251"/>
        <v>0</v>
      </c>
      <c r="F963" s="27">
        <f t="shared" si="251"/>
        <v>0</v>
      </c>
      <c r="G963" s="27">
        <f t="shared" si="251"/>
        <v>0</v>
      </c>
      <c r="H963" s="27">
        <f t="shared" ref="H963:S963" si="268">+H345+(H345*$E963)</f>
        <v>0</v>
      </c>
      <c r="I963" s="27">
        <f t="shared" si="268"/>
        <v>0</v>
      </c>
      <c r="J963" s="27">
        <f t="shared" si="268"/>
        <v>0</v>
      </c>
      <c r="K963" s="27">
        <f t="shared" si="268"/>
        <v>0</v>
      </c>
      <c r="L963" s="27">
        <f t="shared" si="268"/>
        <v>0</v>
      </c>
      <c r="M963" s="27">
        <f t="shared" si="268"/>
        <v>0</v>
      </c>
      <c r="N963" s="27">
        <f t="shared" si="268"/>
        <v>0</v>
      </c>
      <c r="O963" s="27">
        <f t="shared" si="268"/>
        <v>0</v>
      </c>
      <c r="P963" s="27">
        <f t="shared" si="268"/>
        <v>0</v>
      </c>
      <c r="Q963" s="27">
        <f t="shared" si="268"/>
        <v>0</v>
      </c>
      <c r="R963" s="27">
        <f t="shared" si="268"/>
        <v>0</v>
      </c>
      <c r="S963" s="27">
        <f t="shared" si="268"/>
        <v>0</v>
      </c>
      <c r="W963" s="60"/>
      <c r="AD963" s="27">
        <f t="shared" si="216"/>
        <v>0</v>
      </c>
      <c r="AE963" s="27">
        <f t="shared" si="253"/>
        <v>0</v>
      </c>
      <c r="AF963" s="27">
        <f t="shared" si="254"/>
        <v>0</v>
      </c>
      <c r="AG963" s="27">
        <f t="shared" si="255"/>
        <v>0</v>
      </c>
      <c r="AH963" s="27">
        <f t="shared" si="256"/>
        <v>0</v>
      </c>
      <c r="AI963" s="27">
        <f t="shared" si="257"/>
        <v>0</v>
      </c>
      <c r="AJ963" s="27">
        <f t="shared" si="258"/>
        <v>0</v>
      </c>
      <c r="AK963" s="27">
        <f t="shared" si="259"/>
        <v>0</v>
      </c>
      <c r="AL963" s="27">
        <f t="shared" si="260"/>
        <v>0</v>
      </c>
      <c r="AM963" s="27">
        <f t="shared" si="261"/>
        <v>0</v>
      </c>
      <c r="AN963" s="27">
        <f t="shared" si="262"/>
        <v>0</v>
      </c>
      <c r="AO963" s="27">
        <f t="shared" si="263"/>
        <v>0</v>
      </c>
      <c r="AP963" s="27">
        <f t="shared" si="264"/>
        <v>0</v>
      </c>
      <c r="CC963" s="61"/>
    </row>
    <row r="964" spans="3:81" s="27" customFormat="1" ht="11.25" hidden="1" x14ac:dyDescent="0.2">
      <c r="C964" s="60">
        <f t="shared" si="240"/>
        <v>0</v>
      </c>
      <c r="E964" s="27">
        <f t="shared" si="251"/>
        <v>0</v>
      </c>
      <c r="F964" s="27">
        <f t="shared" si="251"/>
        <v>0</v>
      </c>
      <c r="G964" s="27">
        <f t="shared" si="251"/>
        <v>0</v>
      </c>
      <c r="H964" s="27">
        <f t="shared" ref="H964:S964" si="269">+H346+(H346*$E964)</f>
        <v>0</v>
      </c>
      <c r="I964" s="27">
        <f t="shared" si="269"/>
        <v>0</v>
      </c>
      <c r="J964" s="27">
        <f t="shared" si="269"/>
        <v>0</v>
      </c>
      <c r="K964" s="27">
        <f t="shared" si="269"/>
        <v>0</v>
      </c>
      <c r="L964" s="27">
        <f t="shared" si="269"/>
        <v>0</v>
      </c>
      <c r="M964" s="27">
        <f t="shared" si="269"/>
        <v>0</v>
      </c>
      <c r="N964" s="27">
        <f t="shared" si="269"/>
        <v>0</v>
      </c>
      <c r="O964" s="27">
        <f t="shared" si="269"/>
        <v>0</v>
      </c>
      <c r="P964" s="27">
        <f t="shared" si="269"/>
        <v>0</v>
      </c>
      <c r="Q964" s="27">
        <f t="shared" si="269"/>
        <v>0</v>
      </c>
      <c r="R964" s="27">
        <f t="shared" si="269"/>
        <v>0</v>
      </c>
      <c r="S964" s="27">
        <f t="shared" si="269"/>
        <v>0</v>
      </c>
      <c r="W964" s="60"/>
      <c r="AD964" s="27">
        <f t="shared" si="216"/>
        <v>0</v>
      </c>
      <c r="AE964" s="27">
        <f t="shared" si="253"/>
        <v>0</v>
      </c>
      <c r="AF964" s="27">
        <f t="shared" si="254"/>
        <v>0</v>
      </c>
      <c r="AG964" s="27">
        <f t="shared" si="255"/>
        <v>0</v>
      </c>
      <c r="AH964" s="27">
        <f t="shared" si="256"/>
        <v>0</v>
      </c>
      <c r="AI964" s="27">
        <f t="shared" si="257"/>
        <v>0</v>
      </c>
      <c r="AJ964" s="27">
        <f t="shared" si="258"/>
        <v>0</v>
      </c>
      <c r="AK964" s="27">
        <f t="shared" si="259"/>
        <v>0</v>
      </c>
      <c r="AL964" s="27">
        <f t="shared" si="260"/>
        <v>0</v>
      </c>
      <c r="AM964" s="27">
        <f t="shared" si="261"/>
        <v>0</v>
      </c>
      <c r="AN964" s="27">
        <f t="shared" si="262"/>
        <v>0</v>
      </c>
      <c r="AO964" s="27">
        <f t="shared" si="263"/>
        <v>0</v>
      </c>
      <c r="AP964" s="27">
        <f t="shared" si="264"/>
        <v>0</v>
      </c>
      <c r="CC964" s="61"/>
    </row>
    <row r="965" spans="3:81" s="27" customFormat="1" ht="11.25" hidden="1" x14ac:dyDescent="0.2">
      <c r="C965" s="60">
        <f t="shared" si="240"/>
        <v>0</v>
      </c>
      <c r="E965" s="27">
        <f t="shared" si="251"/>
        <v>0</v>
      </c>
      <c r="F965" s="27">
        <f t="shared" si="251"/>
        <v>0</v>
      </c>
      <c r="G965" s="27">
        <f t="shared" si="251"/>
        <v>0</v>
      </c>
      <c r="H965" s="27">
        <f t="shared" ref="H965:S965" si="270">+H347+(H347*$E965)</f>
        <v>0</v>
      </c>
      <c r="I965" s="27">
        <f t="shared" si="270"/>
        <v>0</v>
      </c>
      <c r="J965" s="27">
        <f t="shared" si="270"/>
        <v>0</v>
      </c>
      <c r="K965" s="27">
        <f t="shared" si="270"/>
        <v>0</v>
      </c>
      <c r="L965" s="27">
        <f t="shared" si="270"/>
        <v>0</v>
      </c>
      <c r="M965" s="27">
        <f t="shared" si="270"/>
        <v>0</v>
      </c>
      <c r="N965" s="27">
        <f t="shared" si="270"/>
        <v>0</v>
      </c>
      <c r="O965" s="27">
        <f t="shared" si="270"/>
        <v>0</v>
      </c>
      <c r="P965" s="27">
        <f t="shared" si="270"/>
        <v>0</v>
      </c>
      <c r="Q965" s="27">
        <f t="shared" si="270"/>
        <v>0</v>
      </c>
      <c r="R965" s="27">
        <f t="shared" si="270"/>
        <v>0</v>
      </c>
      <c r="S965" s="27">
        <f t="shared" si="270"/>
        <v>0</v>
      </c>
      <c r="W965" s="60"/>
      <c r="AD965" s="27">
        <f t="shared" si="216"/>
        <v>0</v>
      </c>
      <c r="AE965" s="27">
        <f t="shared" si="253"/>
        <v>0</v>
      </c>
      <c r="AF965" s="27">
        <f t="shared" si="254"/>
        <v>0</v>
      </c>
      <c r="AG965" s="27">
        <f t="shared" si="255"/>
        <v>0</v>
      </c>
      <c r="AH965" s="27">
        <f t="shared" si="256"/>
        <v>0</v>
      </c>
      <c r="AI965" s="27">
        <f t="shared" si="257"/>
        <v>0</v>
      </c>
      <c r="AJ965" s="27">
        <f t="shared" si="258"/>
        <v>0</v>
      </c>
      <c r="AK965" s="27">
        <f t="shared" si="259"/>
        <v>0</v>
      </c>
      <c r="AL965" s="27">
        <f t="shared" si="260"/>
        <v>0</v>
      </c>
      <c r="AM965" s="27">
        <f t="shared" si="261"/>
        <v>0</v>
      </c>
      <c r="AN965" s="27">
        <f t="shared" si="262"/>
        <v>0</v>
      </c>
      <c r="AO965" s="27">
        <f t="shared" si="263"/>
        <v>0</v>
      </c>
      <c r="AP965" s="27">
        <f t="shared" si="264"/>
        <v>0</v>
      </c>
      <c r="CC965" s="61"/>
    </row>
    <row r="966" spans="3:81" s="27" customFormat="1" ht="11.25" hidden="1" x14ac:dyDescent="0.2">
      <c r="C966" s="60">
        <f t="shared" si="240"/>
        <v>0</v>
      </c>
      <c r="E966" s="27">
        <f t="shared" si="251"/>
        <v>0</v>
      </c>
      <c r="F966" s="27">
        <f t="shared" si="251"/>
        <v>0</v>
      </c>
      <c r="G966" s="27">
        <f t="shared" si="251"/>
        <v>0</v>
      </c>
      <c r="H966" s="27">
        <f t="shared" ref="H966:S966" si="271">+H348+(H348*$E966)</f>
        <v>0</v>
      </c>
      <c r="I966" s="27">
        <f t="shared" si="271"/>
        <v>0</v>
      </c>
      <c r="J966" s="27">
        <f t="shared" si="271"/>
        <v>0</v>
      </c>
      <c r="K966" s="27">
        <f t="shared" si="271"/>
        <v>0</v>
      </c>
      <c r="L966" s="27">
        <f t="shared" si="271"/>
        <v>0</v>
      </c>
      <c r="M966" s="27">
        <f t="shared" si="271"/>
        <v>0</v>
      </c>
      <c r="N966" s="27">
        <f t="shared" si="271"/>
        <v>0</v>
      </c>
      <c r="O966" s="27">
        <f t="shared" si="271"/>
        <v>0</v>
      </c>
      <c r="P966" s="27">
        <f t="shared" si="271"/>
        <v>0</v>
      </c>
      <c r="Q966" s="27">
        <f t="shared" si="271"/>
        <v>0</v>
      </c>
      <c r="R966" s="27">
        <f t="shared" si="271"/>
        <v>0</v>
      </c>
      <c r="S966" s="27">
        <f t="shared" si="271"/>
        <v>0</v>
      </c>
      <c r="W966" s="60"/>
      <c r="AD966" s="27">
        <f t="shared" si="216"/>
        <v>0</v>
      </c>
      <c r="AE966" s="27">
        <f t="shared" si="253"/>
        <v>0</v>
      </c>
      <c r="AF966" s="27">
        <f t="shared" si="254"/>
        <v>0</v>
      </c>
      <c r="AG966" s="27">
        <f t="shared" si="255"/>
        <v>0</v>
      </c>
      <c r="AH966" s="27">
        <f t="shared" si="256"/>
        <v>0</v>
      </c>
      <c r="AI966" s="27">
        <f t="shared" si="257"/>
        <v>0</v>
      </c>
      <c r="AJ966" s="27">
        <f t="shared" si="258"/>
        <v>0</v>
      </c>
      <c r="AK966" s="27">
        <f t="shared" si="259"/>
        <v>0</v>
      </c>
      <c r="AL966" s="27">
        <f t="shared" si="260"/>
        <v>0</v>
      </c>
      <c r="AM966" s="27">
        <f t="shared" si="261"/>
        <v>0</v>
      </c>
      <c r="AN966" s="27">
        <f t="shared" si="262"/>
        <v>0</v>
      </c>
      <c r="AO966" s="27">
        <f t="shared" si="263"/>
        <v>0</v>
      </c>
      <c r="AP966" s="27">
        <f t="shared" si="264"/>
        <v>0</v>
      </c>
      <c r="CC966" s="61"/>
    </row>
    <row r="967" spans="3:81" s="27" customFormat="1" ht="11.25" hidden="1" x14ac:dyDescent="0.2">
      <c r="C967" s="60">
        <f t="shared" si="240"/>
        <v>0</v>
      </c>
      <c r="E967" s="27">
        <f t="shared" si="251"/>
        <v>0</v>
      </c>
      <c r="F967" s="27">
        <f t="shared" si="251"/>
        <v>0</v>
      </c>
      <c r="G967" s="27">
        <f t="shared" si="251"/>
        <v>0</v>
      </c>
      <c r="H967" s="27">
        <f t="shared" ref="H967:S967" si="272">+H349+(H349*$E967)</f>
        <v>0</v>
      </c>
      <c r="I967" s="27">
        <f t="shared" si="272"/>
        <v>0</v>
      </c>
      <c r="J967" s="27">
        <f t="shared" si="272"/>
        <v>0</v>
      </c>
      <c r="K967" s="27">
        <f t="shared" si="272"/>
        <v>0</v>
      </c>
      <c r="L967" s="27">
        <f t="shared" si="272"/>
        <v>0</v>
      </c>
      <c r="M967" s="27">
        <f t="shared" si="272"/>
        <v>0</v>
      </c>
      <c r="N967" s="27">
        <f t="shared" si="272"/>
        <v>0</v>
      </c>
      <c r="O967" s="27">
        <f t="shared" si="272"/>
        <v>0</v>
      </c>
      <c r="P967" s="27">
        <f t="shared" si="272"/>
        <v>0</v>
      </c>
      <c r="Q967" s="27">
        <f t="shared" si="272"/>
        <v>0</v>
      </c>
      <c r="R967" s="27">
        <f t="shared" si="272"/>
        <v>0</v>
      </c>
      <c r="S967" s="27">
        <f t="shared" si="272"/>
        <v>0</v>
      </c>
      <c r="W967" s="60"/>
      <c r="AD967" s="27">
        <f t="shared" si="216"/>
        <v>0</v>
      </c>
      <c r="AE967" s="27">
        <f t="shared" si="253"/>
        <v>0</v>
      </c>
      <c r="AF967" s="27">
        <f t="shared" si="254"/>
        <v>0</v>
      </c>
      <c r="AG967" s="27">
        <f t="shared" si="255"/>
        <v>0</v>
      </c>
      <c r="AH967" s="27">
        <f t="shared" si="256"/>
        <v>0</v>
      </c>
      <c r="AI967" s="27">
        <f t="shared" si="257"/>
        <v>0</v>
      </c>
      <c r="AJ967" s="27">
        <f t="shared" si="258"/>
        <v>0</v>
      </c>
      <c r="AK967" s="27">
        <f t="shared" si="259"/>
        <v>0</v>
      </c>
      <c r="AL967" s="27">
        <f t="shared" si="260"/>
        <v>0</v>
      </c>
      <c r="AM967" s="27">
        <f t="shared" si="261"/>
        <v>0</v>
      </c>
      <c r="AN967" s="27">
        <f t="shared" si="262"/>
        <v>0</v>
      </c>
      <c r="AO967" s="27">
        <f t="shared" si="263"/>
        <v>0</v>
      </c>
      <c r="AP967" s="27">
        <f t="shared" si="264"/>
        <v>0</v>
      </c>
      <c r="CC967" s="61"/>
    </row>
    <row r="968" spans="3:81" s="27" customFormat="1" ht="11.25" hidden="1" x14ac:dyDescent="0.2">
      <c r="C968" s="60">
        <f t="shared" si="240"/>
        <v>0</v>
      </c>
      <c r="E968" s="27">
        <f t="shared" si="251"/>
        <v>0</v>
      </c>
      <c r="F968" s="27">
        <f t="shared" si="251"/>
        <v>0</v>
      </c>
      <c r="G968" s="27">
        <f t="shared" si="251"/>
        <v>0</v>
      </c>
      <c r="H968" s="27">
        <f t="shared" ref="H968:S968" si="273">+H350+(H350*$E968)</f>
        <v>0</v>
      </c>
      <c r="I968" s="27">
        <f t="shared" si="273"/>
        <v>0</v>
      </c>
      <c r="J968" s="27">
        <f t="shared" si="273"/>
        <v>0</v>
      </c>
      <c r="K968" s="27">
        <f t="shared" si="273"/>
        <v>0</v>
      </c>
      <c r="L968" s="27">
        <f t="shared" si="273"/>
        <v>0</v>
      </c>
      <c r="M968" s="27">
        <f t="shared" si="273"/>
        <v>0</v>
      </c>
      <c r="N968" s="27">
        <f t="shared" si="273"/>
        <v>0</v>
      </c>
      <c r="O968" s="27">
        <f t="shared" si="273"/>
        <v>0</v>
      </c>
      <c r="P968" s="27">
        <f t="shared" si="273"/>
        <v>0</v>
      </c>
      <c r="Q968" s="27">
        <f t="shared" si="273"/>
        <v>0</v>
      </c>
      <c r="R968" s="27">
        <f t="shared" si="273"/>
        <v>0</v>
      </c>
      <c r="S968" s="27">
        <f t="shared" si="273"/>
        <v>0</v>
      </c>
      <c r="W968" s="60"/>
      <c r="AD968" s="27">
        <f t="shared" si="216"/>
        <v>0</v>
      </c>
      <c r="AE968" s="27">
        <f t="shared" si="253"/>
        <v>0</v>
      </c>
      <c r="AF968" s="27">
        <f t="shared" si="254"/>
        <v>0</v>
      </c>
      <c r="AG968" s="27">
        <f t="shared" si="255"/>
        <v>0</v>
      </c>
      <c r="AH968" s="27">
        <f t="shared" si="256"/>
        <v>0</v>
      </c>
      <c r="AI968" s="27">
        <f t="shared" si="257"/>
        <v>0</v>
      </c>
      <c r="AJ968" s="27">
        <f t="shared" si="258"/>
        <v>0</v>
      </c>
      <c r="AK968" s="27">
        <f t="shared" si="259"/>
        <v>0</v>
      </c>
      <c r="AL968" s="27">
        <f t="shared" si="260"/>
        <v>0</v>
      </c>
      <c r="AM968" s="27">
        <f t="shared" si="261"/>
        <v>0</v>
      </c>
      <c r="AN968" s="27">
        <f t="shared" si="262"/>
        <v>0</v>
      </c>
      <c r="AO968" s="27">
        <f t="shared" si="263"/>
        <v>0</v>
      </c>
      <c r="AP968" s="27">
        <f t="shared" si="264"/>
        <v>0</v>
      </c>
      <c r="CC968" s="61"/>
    </row>
    <row r="969" spans="3:81" s="27" customFormat="1" ht="11.25" hidden="1" x14ac:dyDescent="0.2">
      <c r="C969" s="60"/>
      <c r="W969" s="60"/>
      <c r="AD969" s="27" t="s">
        <v>111</v>
      </c>
      <c r="AE969" s="27">
        <f t="shared" ref="AE969:AP969" si="274">SUM(AE936:AE968)</f>
        <v>0</v>
      </c>
      <c r="AF969" s="27">
        <f t="shared" si="274"/>
        <v>0</v>
      </c>
      <c r="AG969" s="27">
        <f t="shared" si="274"/>
        <v>0</v>
      </c>
      <c r="AH969" s="27">
        <f t="shared" si="274"/>
        <v>0</v>
      </c>
      <c r="AI969" s="27">
        <f t="shared" si="274"/>
        <v>0</v>
      </c>
      <c r="AJ969" s="27">
        <f t="shared" si="274"/>
        <v>0</v>
      </c>
      <c r="AK969" s="27">
        <f t="shared" si="274"/>
        <v>0</v>
      </c>
      <c r="AL969" s="27">
        <f t="shared" si="274"/>
        <v>0</v>
      </c>
      <c r="AM969" s="27">
        <f t="shared" si="274"/>
        <v>0</v>
      </c>
      <c r="AN969" s="27">
        <f t="shared" si="274"/>
        <v>0</v>
      </c>
      <c r="AO969" s="27">
        <f t="shared" si="274"/>
        <v>0</v>
      </c>
      <c r="AP969" s="27">
        <f t="shared" si="274"/>
        <v>0</v>
      </c>
      <c r="CC969" s="61"/>
    </row>
    <row r="970" spans="3:81" s="27" customFormat="1" ht="11.25" hidden="1" x14ac:dyDescent="0.2">
      <c r="C970" s="60"/>
      <c r="W970" s="60"/>
      <c r="CC970" s="61"/>
    </row>
    <row r="971" spans="3:81" s="27" customFormat="1" ht="11.25" hidden="1" x14ac:dyDescent="0.2">
      <c r="C971" s="60"/>
      <c r="W971" s="60"/>
      <c r="AD971" s="27" t="s">
        <v>112</v>
      </c>
      <c r="AE971" s="27">
        <f t="shared" ref="AE971:AP971" si="275">+H318+H329+H340</f>
        <v>0</v>
      </c>
      <c r="AF971" s="27">
        <f t="shared" si="275"/>
        <v>0</v>
      </c>
      <c r="AG971" s="27">
        <f t="shared" si="275"/>
        <v>0</v>
      </c>
      <c r="AH971" s="27">
        <f t="shared" si="275"/>
        <v>0</v>
      </c>
      <c r="AI971" s="27">
        <f t="shared" si="275"/>
        <v>0</v>
      </c>
      <c r="AJ971" s="27">
        <f t="shared" si="275"/>
        <v>0</v>
      </c>
      <c r="AK971" s="27">
        <f t="shared" si="275"/>
        <v>0</v>
      </c>
      <c r="AL971" s="27">
        <f t="shared" si="275"/>
        <v>0</v>
      </c>
      <c r="AM971" s="27">
        <f t="shared" si="275"/>
        <v>0</v>
      </c>
      <c r="AN971" s="27">
        <f t="shared" si="275"/>
        <v>0</v>
      </c>
      <c r="AO971" s="27">
        <f t="shared" si="275"/>
        <v>0</v>
      </c>
      <c r="AP971" s="27">
        <f t="shared" si="275"/>
        <v>0</v>
      </c>
      <c r="AQ971" s="27">
        <f>SUM(AE971:AP971)</f>
        <v>0</v>
      </c>
      <c r="AR971" s="27">
        <f>+AQ971+AQ974</f>
        <v>0</v>
      </c>
      <c r="CC971" s="61"/>
    </row>
    <row r="972" spans="3:81" s="27" customFormat="1" ht="11.25" hidden="1" x14ac:dyDescent="0.2">
      <c r="C972" s="60"/>
      <c r="W972" s="60"/>
      <c r="AD972" s="27" t="s">
        <v>113</v>
      </c>
      <c r="AE972" s="27">
        <f t="shared" ref="AE972:AP972" si="276">+AE971-AE969</f>
        <v>0</v>
      </c>
      <c r="AF972" s="27">
        <f t="shared" si="276"/>
        <v>0</v>
      </c>
      <c r="AG972" s="27">
        <f t="shared" si="276"/>
        <v>0</v>
      </c>
      <c r="AH972" s="27">
        <f t="shared" si="276"/>
        <v>0</v>
      </c>
      <c r="AI972" s="27">
        <f t="shared" si="276"/>
        <v>0</v>
      </c>
      <c r="AJ972" s="27">
        <f t="shared" si="276"/>
        <v>0</v>
      </c>
      <c r="AK972" s="27">
        <f t="shared" si="276"/>
        <v>0</v>
      </c>
      <c r="AL972" s="27">
        <f t="shared" si="276"/>
        <v>0</v>
      </c>
      <c r="AM972" s="27">
        <f t="shared" si="276"/>
        <v>0</v>
      </c>
      <c r="AN972" s="27">
        <f t="shared" si="276"/>
        <v>0</v>
      </c>
      <c r="AO972" s="27">
        <f t="shared" si="276"/>
        <v>0</v>
      </c>
      <c r="AP972" s="27">
        <f t="shared" si="276"/>
        <v>0</v>
      </c>
      <c r="AQ972" s="27">
        <f>SUM(AE972:AP972)</f>
        <v>0</v>
      </c>
      <c r="CC972" s="61"/>
    </row>
    <row r="973" spans="3:81" s="27" customFormat="1" ht="11.25" hidden="1" x14ac:dyDescent="0.2">
      <c r="C973" s="60"/>
      <c r="W973" s="60"/>
      <c r="CC973" s="61"/>
    </row>
    <row r="974" spans="3:81" s="27" customFormat="1" ht="11.25" hidden="1" x14ac:dyDescent="0.2">
      <c r="C974" s="60"/>
      <c r="W974" s="60"/>
      <c r="AD974" s="27" t="s">
        <v>711</v>
      </c>
      <c r="AE974" s="27">
        <f t="shared" ref="AE974:AP974" si="277">+H835-AE971</f>
        <v>0</v>
      </c>
      <c r="AF974" s="27">
        <f t="shared" si="277"/>
        <v>0</v>
      </c>
      <c r="AG974" s="27">
        <f t="shared" si="277"/>
        <v>0</v>
      </c>
      <c r="AH974" s="27">
        <f t="shared" si="277"/>
        <v>0</v>
      </c>
      <c r="AI974" s="27">
        <f t="shared" si="277"/>
        <v>0</v>
      </c>
      <c r="AJ974" s="27">
        <f t="shared" si="277"/>
        <v>0</v>
      </c>
      <c r="AK974" s="27">
        <f t="shared" si="277"/>
        <v>0</v>
      </c>
      <c r="AL974" s="27">
        <f t="shared" si="277"/>
        <v>0</v>
      </c>
      <c r="AM974" s="27">
        <f t="shared" si="277"/>
        <v>0</v>
      </c>
      <c r="AN974" s="27">
        <f t="shared" si="277"/>
        <v>0</v>
      </c>
      <c r="AO974" s="27">
        <f t="shared" si="277"/>
        <v>0</v>
      </c>
      <c r="AP974" s="27">
        <f t="shared" si="277"/>
        <v>0</v>
      </c>
      <c r="AQ974" s="27">
        <f>SUM(AE974:AP974)</f>
        <v>0</v>
      </c>
      <c r="CC974" s="61"/>
    </row>
    <row r="975" spans="3:81" s="27" customFormat="1" ht="11.25" hidden="1" x14ac:dyDescent="0.2">
      <c r="C975" s="60"/>
      <c r="W975" s="60"/>
      <c r="CC975" s="61"/>
    </row>
    <row r="976" spans="3:81" s="27" customFormat="1" ht="11.25" hidden="1" x14ac:dyDescent="0.2">
      <c r="C976" s="60"/>
      <c r="W976" s="60"/>
      <c r="CC976" s="61"/>
    </row>
    <row r="977" spans="3:81" s="27" customFormat="1" ht="11.25" hidden="1" x14ac:dyDescent="0.2">
      <c r="C977" s="60"/>
      <c r="W977" s="60"/>
      <c r="CC977" s="61"/>
    </row>
    <row r="978" spans="3:81" s="27" customFormat="1" ht="11.25" hidden="1" x14ac:dyDescent="0.2">
      <c r="C978" s="60" t="s">
        <v>1</v>
      </c>
      <c r="F978" s="27" t="s">
        <v>1628</v>
      </c>
      <c r="G978" s="27" t="s">
        <v>1628</v>
      </c>
      <c r="H978" s="27" t="s">
        <v>1628</v>
      </c>
      <c r="I978" s="27" t="s">
        <v>1628</v>
      </c>
      <c r="J978" s="27" t="s">
        <v>1628</v>
      </c>
      <c r="K978" s="27" t="s">
        <v>1628</v>
      </c>
      <c r="L978" s="27" t="s">
        <v>1628</v>
      </c>
      <c r="M978" s="27" t="s">
        <v>1628</v>
      </c>
      <c r="N978" s="27" t="s">
        <v>1628</v>
      </c>
      <c r="O978" s="27" t="s">
        <v>1628</v>
      </c>
      <c r="P978" s="27" t="s">
        <v>1628</v>
      </c>
      <c r="Q978" s="27" t="s">
        <v>1628</v>
      </c>
      <c r="R978" s="27" t="s">
        <v>1628</v>
      </c>
      <c r="S978" s="27" t="s">
        <v>1628</v>
      </c>
      <c r="T978" s="27" t="s">
        <v>1628</v>
      </c>
      <c r="U978" s="27" t="s">
        <v>1628</v>
      </c>
      <c r="V978" s="27" t="s">
        <v>1628</v>
      </c>
      <c r="W978" s="60" t="s">
        <v>1628</v>
      </c>
      <c r="AD978" s="27" t="s">
        <v>1628</v>
      </c>
      <c r="AE978" s="27" t="s">
        <v>1628</v>
      </c>
      <c r="AF978" s="27" t="s">
        <v>1628</v>
      </c>
      <c r="AG978" s="27" t="s">
        <v>1628</v>
      </c>
      <c r="AH978" s="27" t="s">
        <v>1628</v>
      </c>
      <c r="AI978" s="27" t="s">
        <v>1628</v>
      </c>
      <c r="AJ978" s="27" t="s">
        <v>1628</v>
      </c>
      <c r="AK978" s="27" t="s">
        <v>1628</v>
      </c>
      <c r="AL978" s="27" t="s">
        <v>1628</v>
      </c>
      <c r="AM978" s="27" t="s">
        <v>1628</v>
      </c>
      <c r="AN978" s="27" t="s">
        <v>1628</v>
      </c>
      <c r="AO978" s="27" t="s">
        <v>1628</v>
      </c>
      <c r="AP978" s="27" t="s">
        <v>1628</v>
      </c>
      <c r="CC978" s="61"/>
    </row>
    <row r="979" spans="3:81" s="27" customFormat="1" ht="11.25" hidden="1" x14ac:dyDescent="0.2">
      <c r="C979" s="60" t="s">
        <v>711</v>
      </c>
      <c r="W979" s="60"/>
      <c r="CC979" s="61"/>
    </row>
    <row r="980" spans="3:81" s="27" customFormat="1" ht="11.25" hidden="1" x14ac:dyDescent="0.2">
      <c r="C980" s="60" t="s">
        <v>118</v>
      </c>
      <c r="H980" s="27">
        <f t="shared" ref="H980:U980" si="278">+H364+H359</f>
        <v>0</v>
      </c>
      <c r="I980" s="27">
        <f t="shared" si="278"/>
        <v>0</v>
      </c>
      <c r="J980" s="27">
        <f t="shared" si="278"/>
        <v>0</v>
      </c>
      <c r="K980" s="27">
        <f t="shared" si="278"/>
        <v>0</v>
      </c>
      <c r="L980" s="27">
        <f t="shared" si="278"/>
        <v>0</v>
      </c>
      <c r="M980" s="27">
        <f t="shared" si="278"/>
        <v>0</v>
      </c>
      <c r="N980" s="27">
        <f t="shared" si="278"/>
        <v>0</v>
      </c>
      <c r="O980" s="27">
        <f t="shared" si="278"/>
        <v>0</v>
      </c>
      <c r="P980" s="27">
        <f t="shared" si="278"/>
        <v>0</v>
      </c>
      <c r="Q980" s="27">
        <f t="shared" si="278"/>
        <v>0</v>
      </c>
      <c r="R980" s="27">
        <f t="shared" si="278"/>
        <v>0</v>
      </c>
      <c r="S980" s="27">
        <f t="shared" si="278"/>
        <v>0</v>
      </c>
      <c r="T980" s="27">
        <f t="shared" si="278"/>
        <v>0</v>
      </c>
      <c r="U980" s="27">
        <f t="shared" si="278"/>
        <v>0</v>
      </c>
      <c r="W980" s="60"/>
      <c r="AD980" s="27" t="s">
        <v>836</v>
      </c>
      <c r="CC980" s="61"/>
    </row>
    <row r="981" spans="3:81" s="27" customFormat="1" ht="11.25" hidden="1" x14ac:dyDescent="0.2">
      <c r="C981" s="60" t="s">
        <v>117</v>
      </c>
      <c r="H981" s="27">
        <f t="shared" ref="H981:U981" si="279">IF(H980=0,H355,H980)</f>
        <v>0</v>
      </c>
      <c r="I981" s="27">
        <f t="shared" si="279"/>
        <v>0</v>
      </c>
      <c r="J981" s="27">
        <f t="shared" si="279"/>
        <v>0</v>
      </c>
      <c r="K981" s="27">
        <f t="shared" si="279"/>
        <v>0</v>
      </c>
      <c r="L981" s="27">
        <f t="shared" si="279"/>
        <v>0</v>
      </c>
      <c r="M981" s="27">
        <f t="shared" si="279"/>
        <v>0</v>
      </c>
      <c r="N981" s="27">
        <f t="shared" si="279"/>
        <v>0</v>
      </c>
      <c r="O981" s="27">
        <f t="shared" si="279"/>
        <v>0</v>
      </c>
      <c r="P981" s="27">
        <f t="shared" si="279"/>
        <v>0</v>
      </c>
      <c r="Q981" s="27">
        <f t="shared" si="279"/>
        <v>0</v>
      </c>
      <c r="R981" s="27">
        <f t="shared" si="279"/>
        <v>0</v>
      </c>
      <c r="S981" s="27">
        <f t="shared" si="279"/>
        <v>0</v>
      </c>
      <c r="T981" s="27">
        <f t="shared" si="279"/>
        <v>0</v>
      </c>
      <c r="U981" s="27">
        <f t="shared" si="279"/>
        <v>0</v>
      </c>
      <c r="W981" s="60"/>
      <c r="AE981" s="27" t="s">
        <v>1572</v>
      </c>
      <c r="CC981" s="61"/>
    </row>
    <row r="982" spans="3:81" s="27" customFormat="1" ht="11.25" hidden="1" x14ac:dyDescent="0.2">
      <c r="C982" s="60"/>
      <c r="W982" s="60"/>
      <c r="AF982" s="27">
        <f>SUM(AF983:AF996)</f>
        <v>0</v>
      </c>
      <c r="CC982" s="61"/>
    </row>
    <row r="983" spans="3:81" s="27" customFormat="1" ht="11.25" hidden="1" x14ac:dyDescent="0.2">
      <c r="C983" s="60" t="s">
        <v>1602</v>
      </c>
      <c r="W983" s="60"/>
      <c r="AD983" s="27">
        <f t="shared" ref="AD983:AD996" si="280">IF(D360&gt;0%,1,0)</f>
        <v>0</v>
      </c>
      <c r="AE983" s="27">
        <f t="shared" ref="AE983:AE996" si="281">IF(G360=0,0,-1)</f>
        <v>0</v>
      </c>
      <c r="AF983" s="27">
        <f t="shared" ref="AF983:AF996" si="282">SUM(AD983:AE983)</f>
        <v>0</v>
      </c>
      <c r="CC983" s="61"/>
    </row>
    <row r="984" spans="3:81" s="27" customFormat="1" ht="11.25" hidden="1" x14ac:dyDescent="0.2">
      <c r="C984" s="60"/>
      <c r="D984" s="27" t="s">
        <v>120</v>
      </c>
      <c r="H984" s="27">
        <f t="shared" ref="H984:S984" si="283">IF(H$980=0,H991,H997)</f>
        <v>0</v>
      </c>
      <c r="I984" s="27">
        <f t="shared" si="283"/>
        <v>0</v>
      </c>
      <c r="J984" s="27">
        <f t="shared" si="283"/>
        <v>0</v>
      </c>
      <c r="K984" s="27">
        <f t="shared" si="283"/>
        <v>0</v>
      </c>
      <c r="L984" s="27">
        <f t="shared" si="283"/>
        <v>0</v>
      </c>
      <c r="M984" s="27">
        <f t="shared" si="283"/>
        <v>0</v>
      </c>
      <c r="N984" s="27">
        <f t="shared" si="283"/>
        <v>0</v>
      </c>
      <c r="O984" s="27">
        <f t="shared" si="283"/>
        <v>0</v>
      </c>
      <c r="P984" s="27">
        <f t="shared" si="283"/>
        <v>0</v>
      </c>
      <c r="Q984" s="27">
        <f t="shared" si="283"/>
        <v>0</v>
      </c>
      <c r="R984" s="27">
        <f t="shared" si="283"/>
        <v>0</v>
      </c>
      <c r="S984" s="27">
        <f t="shared" si="283"/>
        <v>0</v>
      </c>
      <c r="W984" s="60"/>
      <c r="AD984" s="27">
        <f t="shared" si="280"/>
        <v>0</v>
      </c>
      <c r="AE984" s="27">
        <f t="shared" si="281"/>
        <v>0</v>
      </c>
      <c r="AF984" s="27">
        <f t="shared" si="282"/>
        <v>0</v>
      </c>
      <c r="CC984" s="61"/>
    </row>
    <row r="985" spans="3:81" s="27" customFormat="1" ht="11.25" hidden="1" x14ac:dyDescent="0.2">
      <c r="C985" s="60"/>
      <c r="D985" s="27" t="s">
        <v>711</v>
      </c>
      <c r="H985" s="27">
        <f t="shared" ref="H985:S985" si="284">IF(H$980=0,H992,H998)</f>
        <v>0</v>
      </c>
      <c r="I985" s="27">
        <f t="shared" si="284"/>
        <v>0</v>
      </c>
      <c r="J985" s="27">
        <f t="shared" si="284"/>
        <v>0</v>
      </c>
      <c r="K985" s="27">
        <f t="shared" si="284"/>
        <v>0</v>
      </c>
      <c r="L985" s="27">
        <f t="shared" si="284"/>
        <v>0</v>
      </c>
      <c r="M985" s="27">
        <f t="shared" si="284"/>
        <v>0</v>
      </c>
      <c r="N985" s="27">
        <f t="shared" si="284"/>
        <v>0</v>
      </c>
      <c r="O985" s="27">
        <f t="shared" si="284"/>
        <v>0</v>
      </c>
      <c r="P985" s="27">
        <f t="shared" si="284"/>
        <v>0</v>
      </c>
      <c r="Q985" s="27">
        <f t="shared" si="284"/>
        <v>0</v>
      </c>
      <c r="R985" s="27">
        <f t="shared" si="284"/>
        <v>0</v>
      </c>
      <c r="S985" s="27">
        <f t="shared" si="284"/>
        <v>0</v>
      </c>
      <c r="W985" s="60"/>
      <c r="AD985" s="27">
        <f t="shared" si="280"/>
        <v>0</v>
      </c>
      <c r="AE985" s="27">
        <f t="shared" si="281"/>
        <v>0</v>
      </c>
      <c r="AF985" s="27">
        <f t="shared" si="282"/>
        <v>0</v>
      </c>
      <c r="CC985" s="61"/>
    </row>
    <row r="986" spans="3:81" s="27" customFormat="1" ht="11.25" hidden="1" x14ac:dyDescent="0.2">
      <c r="C986" s="60"/>
      <c r="D986" s="27" t="s">
        <v>1282</v>
      </c>
      <c r="H986" s="27">
        <f t="shared" ref="H986:S986" si="285">IF(H$980=0,H993,H999)</f>
        <v>0</v>
      </c>
      <c r="I986" s="27">
        <f t="shared" si="285"/>
        <v>0</v>
      </c>
      <c r="J986" s="27">
        <f t="shared" si="285"/>
        <v>0</v>
      </c>
      <c r="K986" s="27">
        <f t="shared" si="285"/>
        <v>0</v>
      </c>
      <c r="L986" s="27">
        <f t="shared" si="285"/>
        <v>0</v>
      </c>
      <c r="M986" s="27">
        <f t="shared" si="285"/>
        <v>0</v>
      </c>
      <c r="N986" s="27">
        <f t="shared" si="285"/>
        <v>0</v>
      </c>
      <c r="O986" s="27">
        <f t="shared" si="285"/>
        <v>0</v>
      </c>
      <c r="P986" s="27">
        <f t="shared" si="285"/>
        <v>0</v>
      </c>
      <c r="Q986" s="27">
        <f t="shared" si="285"/>
        <v>0</v>
      </c>
      <c r="R986" s="27">
        <f t="shared" si="285"/>
        <v>0</v>
      </c>
      <c r="S986" s="27">
        <f t="shared" si="285"/>
        <v>0</v>
      </c>
      <c r="W986" s="60"/>
      <c r="AD986" s="27">
        <f t="shared" si="280"/>
        <v>0</v>
      </c>
      <c r="AE986" s="27">
        <f t="shared" si="281"/>
        <v>0</v>
      </c>
      <c r="AF986" s="27">
        <f t="shared" si="282"/>
        <v>0</v>
      </c>
      <c r="CC986" s="61"/>
    </row>
    <row r="987" spans="3:81" s="27" customFormat="1" ht="11.25" hidden="1" x14ac:dyDescent="0.2">
      <c r="C987" s="60"/>
      <c r="D987" s="27" t="s">
        <v>121</v>
      </c>
      <c r="H987" s="27">
        <f t="shared" ref="H987:S987" si="286">IF(H$980=0,H994,H1000)</f>
        <v>0</v>
      </c>
      <c r="I987" s="27">
        <f t="shared" si="286"/>
        <v>0</v>
      </c>
      <c r="J987" s="27">
        <f t="shared" si="286"/>
        <v>0</v>
      </c>
      <c r="K987" s="27">
        <f t="shared" si="286"/>
        <v>0</v>
      </c>
      <c r="L987" s="27">
        <f t="shared" si="286"/>
        <v>0</v>
      </c>
      <c r="M987" s="27">
        <f t="shared" si="286"/>
        <v>0</v>
      </c>
      <c r="N987" s="27">
        <f t="shared" si="286"/>
        <v>0</v>
      </c>
      <c r="O987" s="27">
        <f t="shared" si="286"/>
        <v>0</v>
      </c>
      <c r="P987" s="27">
        <f t="shared" si="286"/>
        <v>0</v>
      </c>
      <c r="Q987" s="27">
        <f t="shared" si="286"/>
        <v>0</v>
      </c>
      <c r="R987" s="27">
        <f t="shared" si="286"/>
        <v>0</v>
      </c>
      <c r="S987" s="27">
        <f t="shared" si="286"/>
        <v>0</v>
      </c>
      <c r="W987" s="60"/>
      <c r="AD987" s="27">
        <f t="shared" si="280"/>
        <v>0</v>
      </c>
      <c r="AE987" s="27">
        <f t="shared" si="281"/>
        <v>0</v>
      </c>
      <c r="AF987" s="27">
        <f t="shared" si="282"/>
        <v>0</v>
      </c>
      <c r="CC987" s="61"/>
    </row>
    <row r="988" spans="3:81" s="27" customFormat="1" ht="11.25" hidden="1" x14ac:dyDescent="0.2">
      <c r="C988" s="60"/>
      <c r="W988" s="60"/>
      <c r="AD988" s="27">
        <f t="shared" si="280"/>
        <v>0</v>
      </c>
      <c r="AE988" s="27">
        <f t="shared" si="281"/>
        <v>0</v>
      </c>
      <c r="AF988" s="27">
        <f t="shared" si="282"/>
        <v>0</v>
      </c>
      <c r="CC988" s="61"/>
    </row>
    <row r="989" spans="3:81" s="27" customFormat="1" ht="11.25" hidden="1" x14ac:dyDescent="0.2">
      <c r="C989" s="60"/>
      <c r="W989" s="60"/>
      <c r="AD989" s="27">
        <f t="shared" si="280"/>
        <v>0</v>
      </c>
      <c r="AE989" s="27">
        <f t="shared" si="281"/>
        <v>0</v>
      </c>
      <c r="AF989" s="27">
        <f t="shared" si="282"/>
        <v>0</v>
      </c>
      <c r="CC989" s="61"/>
    </row>
    <row r="990" spans="3:81" s="27" customFormat="1" ht="11.25" hidden="1" x14ac:dyDescent="0.2">
      <c r="C990" s="60" t="s">
        <v>119</v>
      </c>
      <c r="W990" s="60"/>
      <c r="AD990" s="27">
        <f t="shared" si="280"/>
        <v>0</v>
      </c>
      <c r="AE990" s="27">
        <f t="shared" si="281"/>
        <v>0</v>
      </c>
      <c r="AF990" s="27">
        <f t="shared" si="282"/>
        <v>0</v>
      </c>
      <c r="CC990" s="61"/>
    </row>
    <row r="991" spans="3:81" s="27" customFormat="1" ht="11.25" hidden="1" x14ac:dyDescent="0.2">
      <c r="C991" s="60"/>
      <c r="D991" s="27" t="s">
        <v>120</v>
      </c>
      <c r="H991" s="27">
        <f>+H355+(H355*'4'!$V29)</f>
        <v>0</v>
      </c>
      <c r="I991" s="27">
        <f>+I355+(I355*'4'!$V29)</f>
        <v>0</v>
      </c>
      <c r="J991" s="27">
        <f>+J355+(J355*'4'!$V29)</f>
        <v>0</v>
      </c>
      <c r="K991" s="27">
        <f>+K355+(K355*'4'!$V29)</f>
        <v>0</v>
      </c>
      <c r="L991" s="27">
        <f>+L355+(L355*'4'!$V29)</f>
        <v>0</v>
      </c>
      <c r="M991" s="27">
        <f>+M355+(M355*'4'!$V29)</f>
        <v>0</v>
      </c>
      <c r="N991" s="27">
        <f>+N355+(N355*'4'!$V29)</f>
        <v>0</v>
      </c>
      <c r="O991" s="27">
        <f>+O355+(O355*'4'!$V29)</f>
        <v>0</v>
      </c>
      <c r="P991" s="27">
        <f>+P355+(P355*'4'!$V29)</f>
        <v>0</v>
      </c>
      <c r="Q991" s="27">
        <f>+Q355+(Q355*'4'!$V29)</f>
        <v>0</v>
      </c>
      <c r="R991" s="27">
        <f>+R355+(R355*'4'!$V29)</f>
        <v>0</v>
      </c>
      <c r="S991" s="27">
        <f>+S355+(S355*'4'!$V29)</f>
        <v>0</v>
      </c>
      <c r="W991" s="60"/>
      <c r="AD991" s="27">
        <f t="shared" si="280"/>
        <v>0</v>
      </c>
      <c r="AE991" s="27">
        <f t="shared" si="281"/>
        <v>0</v>
      </c>
      <c r="AF991" s="27">
        <f t="shared" si="282"/>
        <v>0</v>
      </c>
      <c r="CC991" s="61"/>
    </row>
    <row r="992" spans="3:81" s="27" customFormat="1" ht="11.25" hidden="1" x14ac:dyDescent="0.2">
      <c r="C992" s="60"/>
      <c r="D992" s="27" t="s">
        <v>711</v>
      </c>
      <c r="H992" s="27">
        <f t="shared" ref="H992:S992" si="287">+H991-H355</f>
        <v>0</v>
      </c>
      <c r="I992" s="27">
        <f t="shared" si="287"/>
        <v>0</v>
      </c>
      <c r="J992" s="27">
        <f t="shared" si="287"/>
        <v>0</v>
      </c>
      <c r="K992" s="27">
        <f t="shared" si="287"/>
        <v>0</v>
      </c>
      <c r="L992" s="27">
        <f t="shared" si="287"/>
        <v>0</v>
      </c>
      <c r="M992" s="27">
        <f t="shared" si="287"/>
        <v>0</v>
      </c>
      <c r="N992" s="27">
        <f t="shared" si="287"/>
        <v>0</v>
      </c>
      <c r="O992" s="27">
        <f t="shared" si="287"/>
        <v>0</v>
      </c>
      <c r="P992" s="27">
        <f t="shared" si="287"/>
        <v>0</v>
      </c>
      <c r="Q992" s="27">
        <f t="shared" si="287"/>
        <v>0</v>
      </c>
      <c r="R992" s="27">
        <f t="shared" si="287"/>
        <v>0</v>
      </c>
      <c r="S992" s="27">
        <f t="shared" si="287"/>
        <v>0</v>
      </c>
      <c r="W992" s="60"/>
      <c r="AD992" s="27">
        <f t="shared" si="280"/>
        <v>0</v>
      </c>
      <c r="AE992" s="27">
        <f t="shared" si="281"/>
        <v>0</v>
      </c>
      <c r="AF992" s="27">
        <f t="shared" si="282"/>
        <v>0</v>
      </c>
      <c r="CC992" s="61"/>
    </row>
    <row r="993" spans="3:81" s="27" customFormat="1" ht="11.25" hidden="1" x14ac:dyDescent="0.2">
      <c r="C993" s="60"/>
      <c r="D993" s="27" t="s">
        <v>1282</v>
      </c>
      <c r="H993" s="27">
        <f>+H355*'4'!$W29</f>
        <v>0</v>
      </c>
      <c r="I993" s="27">
        <f>+I355*'4'!$W29</f>
        <v>0</v>
      </c>
      <c r="J993" s="27">
        <f>+J355*'4'!$W29</f>
        <v>0</v>
      </c>
      <c r="K993" s="27">
        <f>+K355*'4'!$W29</f>
        <v>0</v>
      </c>
      <c r="L993" s="27">
        <f>+L355*'4'!$W29</f>
        <v>0</v>
      </c>
      <c r="M993" s="27">
        <f>+M355*'4'!$W29</f>
        <v>0</v>
      </c>
      <c r="N993" s="27">
        <f>+N355*'4'!$W29</f>
        <v>0</v>
      </c>
      <c r="O993" s="27">
        <f>+O355*'4'!$W29</f>
        <v>0</v>
      </c>
      <c r="P993" s="27">
        <f>+P355*'4'!$W29</f>
        <v>0</v>
      </c>
      <c r="Q993" s="27">
        <f>+Q355*'4'!$W29</f>
        <v>0</v>
      </c>
      <c r="R993" s="27">
        <f>+R355*'4'!$W29</f>
        <v>0</v>
      </c>
      <c r="S993" s="27">
        <f>+S355*'4'!$W29</f>
        <v>0</v>
      </c>
      <c r="W993" s="60"/>
      <c r="AD993" s="27">
        <f t="shared" si="280"/>
        <v>0</v>
      </c>
      <c r="AE993" s="27">
        <f t="shared" si="281"/>
        <v>0</v>
      </c>
      <c r="AF993" s="27">
        <f t="shared" si="282"/>
        <v>0</v>
      </c>
      <c r="CC993" s="61"/>
    </row>
    <row r="994" spans="3:81" s="27" customFormat="1" ht="11.25" hidden="1" x14ac:dyDescent="0.2">
      <c r="C994" s="60"/>
      <c r="D994" s="27" t="s">
        <v>121</v>
      </c>
      <c r="H994" s="27">
        <f t="shared" ref="H994:S994" si="288">+H355-H993</f>
        <v>0</v>
      </c>
      <c r="I994" s="27">
        <f t="shared" si="288"/>
        <v>0</v>
      </c>
      <c r="J994" s="27">
        <f t="shared" si="288"/>
        <v>0</v>
      </c>
      <c r="K994" s="27">
        <f t="shared" si="288"/>
        <v>0</v>
      </c>
      <c r="L994" s="27">
        <f t="shared" si="288"/>
        <v>0</v>
      </c>
      <c r="M994" s="27">
        <f t="shared" si="288"/>
        <v>0</v>
      </c>
      <c r="N994" s="27">
        <f t="shared" si="288"/>
        <v>0</v>
      </c>
      <c r="O994" s="27">
        <f t="shared" si="288"/>
        <v>0</v>
      </c>
      <c r="P994" s="27">
        <f t="shared" si="288"/>
        <v>0</v>
      </c>
      <c r="Q994" s="27">
        <f t="shared" si="288"/>
        <v>0</v>
      </c>
      <c r="R994" s="27">
        <f t="shared" si="288"/>
        <v>0</v>
      </c>
      <c r="S994" s="27">
        <f t="shared" si="288"/>
        <v>0</v>
      </c>
      <c r="W994" s="60"/>
      <c r="AD994" s="27">
        <f t="shared" si="280"/>
        <v>0</v>
      </c>
      <c r="AE994" s="27">
        <f t="shared" si="281"/>
        <v>0</v>
      </c>
      <c r="AF994" s="27">
        <f t="shared" si="282"/>
        <v>0</v>
      </c>
      <c r="CC994" s="61"/>
    </row>
    <row r="995" spans="3:81" s="27" customFormat="1" ht="11.25" hidden="1" x14ac:dyDescent="0.2">
      <c r="C995" s="60"/>
      <c r="W995" s="60"/>
      <c r="AD995" s="27">
        <f t="shared" si="280"/>
        <v>0</v>
      </c>
      <c r="AE995" s="27">
        <f t="shared" si="281"/>
        <v>0</v>
      </c>
      <c r="AF995" s="27">
        <f t="shared" si="282"/>
        <v>0</v>
      </c>
      <c r="CC995" s="61"/>
    </row>
    <row r="996" spans="3:81" s="27" customFormat="1" ht="11.25" hidden="1" x14ac:dyDescent="0.2">
      <c r="C996" s="60" t="s">
        <v>122</v>
      </c>
      <c r="W996" s="60"/>
      <c r="AD996" s="27">
        <f t="shared" si="280"/>
        <v>0</v>
      </c>
      <c r="AE996" s="27">
        <f t="shared" si="281"/>
        <v>0</v>
      </c>
      <c r="AF996" s="27">
        <f t="shared" si="282"/>
        <v>0</v>
      </c>
      <c r="CC996" s="61"/>
    </row>
    <row r="997" spans="3:81" s="27" customFormat="1" ht="11.25" hidden="1" x14ac:dyDescent="0.2">
      <c r="C997" s="60"/>
      <c r="D997" s="27" t="s">
        <v>120</v>
      </c>
      <c r="H997" s="27">
        <f t="shared" ref="H997:S997" si="289">H855</f>
        <v>0</v>
      </c>
      <c r="I997" s="27">
        <f t="shared" si="289"/>
        <v>0</v>
      </c>
      <c r="J997" s="27">
        <f t="shared" si="289"/>
        <v>0</v>
      </c>
      <c r="K997" s="27">
        <f t="shared" si="289"/>
        <v>0</v>
      </c>
      <c r="L997" s="27">
        <f t="shared" si="289"/>
        <v>0</v>
      </c>
      <c r="M997" s="27">
        <f t="shared" si="289"/>
        <v>0</v>
      </c>
      <c r="N997" s="27">
        <f t="shared" si="289"/>
        <v>0</v>
      </c>
      <c r="O997" s="27">
        <f t="shared" si="289"/>
        <v>0</v>
      </c>
      <c r="P997" s="27">
        <f t="shared" si="289"/>
        <v>0</v>
      </c>
      <c r="Q997" s="27">
        <f t="shared" si="289"/>
        <v>0</v>
      </c>
      <c r="R997" s="27">
        <f t="shared" si="289"/>
        <v>0</v>
      </c>
      <c r="S997" s="27">
        <f t="shared" si="289"/>
        <v>0</v>
      </c>
      <c r="W997" s="60"/>
      <c r="CC997" s="61"/>
    </row>
    <row r="998" spans="3:81" s="27" customFormat="1" ht="11.25" hidden="1" x14ac:dyDescent="0.2">
      <c r="C998" s="60"/>
      <c r="D998" s="27" t="s">
        <v>711</v>
      </c>
      <c r="H998" s="27">
        <f t="shared" ref="H998:S998" si="290">AE1025</f>
        <v>0</v>
      </c>
      <c r="I998" s="27">
        <f t="shared" si="290"/>
        <v>0</v>
      </c>
      <c r="J998" s="27">
        <f t="shared" si="290"/>
        <v>0</v>
      </c>
      <c r="K998" s="27">
        <f t="shared" si="290"/>
        <v>0</v>
      </c>
      <c r="L998" s="27">
        <f t="shared" si="290"/>
        <v>0</v>
      </c>
      <c r="M998" s="27">
        <f t="shared" si="290"/>
        <v>0</v>
      </c>
      <c r="N998" s="27">
        <f t="shared" si="290"/>
        <v>0</v>
      </c>
      <c r="O998" s="27">
        <f t="shared" si="290"/>
        <v>0</v>
      </c>
      <c r="P998" s="27">
        <f t="shared" si="290"/>
        <v>0</v>
      </c>
      <c r="Q998" s="27">
        <f t="shared" si="290"/>
        <v>0</v>
      </c>
      <c r="R998" s="27">
        <f t="shared" si="290"/>
        <v>0</v>
      </c>
      <c r="S998" s="27">
        <f t="shared" si="290"/>
        <v>0</v>
      </c>
      <c r="W998" s="60"/>
      <c r="CC998" s="61"/>
    </row>
    <row r="999" spans="3:81" s="27" customFormat="1" ht="11.25" hidden="1" x14ac:dyDescent="0.2">
      <c r="C999" s="60"/>
      <c r="D999" s="27" t="s">
        <v>1282</v>
      </c>
      <c r="H999" s="27">
        <f t="shared" ref="H999:S999" si="291">AE1020</f>
        <v>0</v>
      </c>
      <c r="I999" s="27">
        <f t="shared" si="291"/>
        <v>0</v>
      </c>
      <c r="J999" s="27">
        <f t="shared" si="291"/>
        <v>0</v>
      </c>
      <c r="K999" s="27">
        <f t="shared" si="291"/>
        <v>0</v>
      </c>
      <c r="L999" s="27">
        <f t="shared" si="291"/>
        <v>0</v>
      </c>
      <c r="M999" s="27">
        <f t="shared" si="291"/>
        <v>0</v>
      </c>
      <c r="N999" s="27">
        <f t="shared" si="291"/>
        <v>0</v>
      </c>
      <c r="O999" s="27">
        <f t="shared" si="291"/>
        <v>0</v>
      </c>
      <c r="P999" s="27">
        <f t="shared" si="291"/>
        <v>0</v>
      </c>
      <c r="Q999" s="27">
        <f t="shared" si="291"/>
        <v>0</v>
      </c>
      <c r="R999" s="27">
        <f t="shared" si="291"/>
        <v>0</v>
      </c>
      <c r="S999" s="27">
        <f t="shared" si="291"/>
        <v>0</v>
      </c>
      <c r="W999" s="60"/>
      <c r="CC999" s="61"/>
    </row>
    <row r="1000" spans="3:81" s="27" customFormat="1" ht="11.25" hidden="1" x14ac:dyDescent="0.2">
      <c r="C1000" s="60"/>
      <c r="D1000" s="27" t="s">
        <v>121</v>
      </c>
      <c r="H1000" s="27">
        <f t="shared" ref="H1000:S1000" si="292">AE1023</f>
        <v>0</v>
      </c>
      <c r="I1000" s="27">
        <f t="shared" si="292"/>
        <v>0</v>
      </c>
      <c r="J1000" s="27">
        <f t="shared" si="292"/>
        <v>0</v>
      </c>
      <c r="K1000" s="27">
        <f t="shared" si="292"/>
        <v>0</v>
      </c>
      <c r="L1000" s="27">
        <f t="shared" si="292"/>
        <v>0</v>
      </c>
      <c r="M1000" s="27">
        <f t="shared" si="292"/>
        <v>0</v>
      </c>
      <c r="N1000" s="27">
        <f t="shared" si="292"/>
        <v>0</v>
      </c>
      <c r="O1000" s="27">
        <f t="shared" si="292"/>
        <v>0</v>
      </c>
      <c r="P1000" s="27">
        <f t="shared" si="292"/>
        <v>0</v>
      </c>
      <c r="Q1000" s="27">
        <f t="shared" si="292"/>
        <v>0</v>
      </c>
      <c r="R1000" s="27">
        <f t="shared" si="292"/>
        <v>0</v>
      </c>
      <c r="S1000" s="27">
        <f t="shared" si="292"/>
        <v>0</v>
      </c>
      <c r="W1000" s="60"/>
      <c r="CC1000" s="61"/>
    </row>
    <row r="1001" spans="3:81" s="27" customFormat="1" ht="11.25" hidden="1" x14ac:dyDescent="0.2">
      <c r="C1001" s="60"/>
      <c r="W1001" s="60"/>
      <c r="CC1001" s="61"/>
    </row>
    <row r="1002" spans="3:81" s="27" customFormat="1" ht="11.25" hidden="1" x14ac:dyDescent="0.2">
      <c r="C1002" s="60"/>
      <c r="W1002" s="60"/>
      <c r="CC1002" s="61"/>
    </row>
    <row r="1003" spans="3:81" s="27" customFormat="1" ht="11.25" hidden="1" x14ac:dyDescent="0.2">
      <c r="C1003" s="60" t="s">
        <v>122</v>
      </c>
      <c r="D1003" s="27">
        <f>D358</f>
        <v>0</v>
      </c>
      <c r="E1003" s="27">
        <f>E358</f>
        <v>0</v>
      </c>
      <c r="F1003" s="27">
        <f>F358</f>
        <v>0</v>
      </c>
      <c r="G1003" s="27">
        <f>G358</f>
        <v>0</v>
      </c>
      <c r="W1003" s="60"/>
      <c r="AD1003" s="27" t="str">
        <f t="shared" ref="AD1003:AP1003" si="293">AD935</f>
        <v>RETENCIONES</v>
      </c>
      <c r="AE1003" s="27" t="str">
        <f t="shared" si="293"/>
        <v>1</v>
      </c>
      <c r="AF1003" s="27" t="str">
        <f t="shared" si="293"/>
        <v>2</v>
      </c>
      <c r="AG1003" s="27" t="str">
        <f t="shared" si="293"/>
        <v>3</v>
      </c>
      <c r="AH1003" s="27" t="str">
        <f t="shared" si="293"/>
        <v>4</v>
      </c>
      <c r="AI1003" s="27" t="str">
        <f t="shared" si="293"/>
        <v>5</v>
      </c>
      <c r="AJ1003" s="27" t="str">
        <f t="shared" si="293"/>
        <v>6</v>
      </c>
      <c r="AK1003" s="27" t="str">
        <f t="shared" si="293"/>
        <v>7</v>
      </c>
      <c r="AL1003" s="27" t="str">
        <f t="shared" si="293"/>
        <v>8</v>
      </c>
      <c r="AM1003" s="27" t="str">
        <f t="shared" si="293"/>
        <v>9</v>
      </c>
      <c r="AN1003" s="27" t="str">
        <f t="shared" si="293"/>
        <v>10</v>
      </c>
      <c r="AO1003" s="27" t="str">
        <f t="shared" si="293"/>
        <v>11</v>
      </c>
      <c r="AP1003" s="27" t="str">
        <f t="shared" si="293"/>
        <v>12</v>
      </c>
      <c r="CC1003" s="61"/>
    </row>
    <row r="1004" spans="3:81" s="27" customFormat="1" ht="11.25" hidden="1" x14ac:dyDescent="0.2">
      <c r="C1004" s="60" t="s">
        <v>711</v>
      </c>
      <c r="W1004" s="60"/>
      <c r="CC1004" s="61"/>
    </row>
    <row r="1005" spans="3:81" s="27" customFormat="1" ht="11.25" hidden="1" x14ac:dyDescent="0.2">
      <c r="C1005" s="60">
        <f t="shared" ref="C1005:C1019" si="294">C359</f>
        <v>0</v>
      </c>
      <c r="W1005" s="60"/>
      <c r="AD1005" s="27">
        <f t="shared" ref="AD1005:AD1019" si="295">C1005</f>
        <v>0</v>
      </c>
      <c r="CC1005" s="61"/>
    </row>
    <row r="1006" spans="3:81" s="27" customFormat="1" ht="11.25" hidden="1" x14ac:dyDescent="0.2">
      <c r="C1006" s="60">
        <f t="shared" si="294"/>
        <v>0</v>
      </c>
      <c r="D1006" s="27">
        <f t="shared" ref="D1006:G1009" si="296">D360</f>
        <v>0</v>
      </c>
      <c r="E1006" s="27">
        <f t="shared" si="296"/>
        <v>0</v>
      </c>
      <c r="F1006" s="27">
        <f t="shared" si="296"/>
        <v>0</v>
      </c>
      <c r="G1006" s="27">
        <f t="shared" si="296"/>
        <v>0</v>
      </c>
      <c r="H1006" s="27">
        <f t="shared" ref="H1006:S1006" si="297">+H360+(H360*$E360)</f>
        <v>0</v>
      </c>
      <c r="I1006" s="27">
        <f t="shared" si="297"/>
        <v>0</v>
      </c>
      <c r="J1006" s="27">
        <f t="shared" si="297"/>
        <v>0</v>
      </c>
      <c r="K1006" s="27">
        <f t="shared" si="297"/>
        <v>0</v>
      </c>
      <c r="L1006" s="27">
        <f t="shared" si="297"/>
        <v>0</v>
      </c>
      <c r="M1006" s="27">
        <f t="shared" si="297"/>
        <v>0</v>
      </c>
      <c r="N1006" s="27">
        <f t="shared" si="297"/>
        <v>0</v>
      </c>
      <c r="O1006" s="27">
        <f t="shared" si="297"/>
        <v>0</v>
      </c>
      <c r="P1006" s="27">
        <f t="shared" si="297"/>
        <v>0</v>
      </c>
      <c r="Q1006" s="27">
        <f t="shared" si="297"/>
        <v>0</v>
      </c>
      <c r="R1006" s="27">
        <f t="shared" si="297"/>
        <v>0</v>
      </c>
      <c r="S1006" s="27">
        <f t="shared" si="297"/>
        <v>0</v>
      </c>
      <c r="W1006" s="60"/>
      <c r="AD1006" s="27">
        <f t="shared" si="295"/>
        <v>0</v>
      </c>
      <c r="AE1006" s="27">
        <f t="shared" ref="AE1006:AP1009" si="298">+H360*$F360</f>
        <v>0</v>
      </c>
      <c r="AF1006" s="27">
        <f t="shared" si="298"/>
        <v>0</v>
      </c>
      <c r="AG1006" s="27">
        <f t="shared" si="298"/>
        <v>0</v>
      </c>
      <c r="AH1006" s="27">
        <f t="shared" si="298"/>
        <v>0</v>
      </c>
      <c r="AI1006" s="27">
        <f t="shared" si="298"/>
        <v>0</v>
      </c>
      <c r="AJ1006" s="27">
        <f t="shared" si="298"/>
        <v>0</v>
      </c>
      <c r="AK1006" s="27">
        <f t="shared" si="298"/>
        <v>0</v>
      </c>
      <c r="AL1006" s="27">
        <f t="shared" si="298"/>
        <v>0</v>
      </c>
      <c r="AM1006" s="27">
        <f t="shared" si="298"/>
        <v>0</v>
      </c>
      <c r="AN1006" s="27">
        <f t="shared" si="298"/>
        <v>0</v>
      </c>
      <c r="AO1006" s="27">
        <f t="shared" si="298"/>
        <v>0</v>
      </c>
      <c r="AP1006" s="27">
        <f t="shared" si="298"/>
        <v>0</v>
      </c>
      <c r="CC1006" s="61"/>
    </row>
    <row r="1007" spans="3:81" s="27" customFormat="1" ht="11.25" hidden="1" x14ac:dyDescent="0.2">
      <c r="C1007" s="60">
        <f t="shared" si="294"/>
        <v>0</v>
      </c>
      <c r="D1007" s="27">
        <f t="shared" si="296"/>
        <v>0</v>
      </c>
      <c r="E1007" s="27">
        <f t="shared" si="296"/>
        <v>0</v>
      </c>
      <c r="F1007" s="27">
        <f t="shared" si="296"/>
        <v>0</v>
      </c>
      <c r="G1007" s="27">
        <f t="shared" si="296"/>
        <v>0</v>
      </c>
      <c r="H1007" s="27">
        <f t="shared" ref="H1007:S1007" si="299">+H361+(H361*$E361)</f>
        <v>0</v>
      </c>
      <c r="I1007" s="27">
        <f t="shared" si="299"/>
        <v>0</v>
      </c>
      <c r="J1007" s="27">
        <f t="shared" si="299"/>
        <v>0</v>
      </c>
      <c r="K1007" s="27">
        <f t="shared" si="299"/>
        <v>0</v>
      </c>
      <c r="L1007" s="27">
        <f t="shared" si="299"/>
        <v>0</v>
      </c>
      <c r="M1007" s="27">
        <f t="shared" si="299"/>
        <v>0</v>
      </c>
      <c r="N1007" s="27">
        <f t="shared" si="299"/>
        <v>0</v>
      </c>
      <c r="O1007" s="27">
        <f t="shared" si="299"/>
        <v>0</v>
      </c>
      <c r="P1007" s="27">
        <f t="shared" si="299"/>
        <v>0</v>
      </c>
      <c r="Q1007" s="27">
        <f t="shared" si="299"/>
        <v>0</v>
      </c>
      <c r="R1007" s="27">
        <f t="shared" si="299"/>
        <v>0</v>
      </c>
      <c r="S1007" s="27">
        <f t="shared" si="299"/>
        <v>0</v>
      </c>
      <c r="W1007" s="60"/>
      <c r="AD1007" s="27">
        <f t="shared" si="295"/>
        <v>0</v>
      </c>
      <c r="AE1007" s="27">
        <f t="shared" si="298"/>
        <v>0</v>
      </c>
      <c r="AF1007" s="27">
        <f t="shared" si="298"/>
        <v>0</v>
      </c>
      <c r="AG1007" s="27">
        <f t="shared" si="298"/>
        <v>0</v>
      </c>
      <c r="AH1007" s="27">
        <f t="shared" si="298"/>
        <v>0</v>
      </c>
      <c r="AI1007" s="27">
        <f t="shared" si="298"/>
        <v>0</v>
      </c>
      <c r="AJ1007" s="27">
        <f t="shared" si="298"/>
        <v>0</v>
      </c>
      <c r="AK1007" s="27">
        <f t="shared" si="298"/>
        <v>0</v>
      </c>
      <c r="AL1007" s="27">
        <f t="shared" si="298"/>
        <v>0</v>
      </c>
      <c r="AM1007" s="27">
        <f t="shared" si="298"/>
        <v>0</v>
      </c>
      <c r="AN1007" s="27">
        <f t="shared" si="298"/>
        <v>0</v>
      </c>
      <c r="AO1007" s="27">
        <f t="shared" si="298"/>
        <v>0</v>
      </c>
      <c r="AP1007" s="27">
        <f t="shared" si="298"/>
        <v>0</v>
      </c>
      <c r="CC1007" s="61"/>
    </row>
    <row r="1008" spans="3:81" s="27" customFormat="1" ht="11.25" hidden="1" x14ac:dyDescent="0.2">
      <c r="C1008" s="60">
        <f t="shared" si="294"/>
        <v>0</v>
      </c>
      <c r="D1008" s="27">
        <f t="shared" si="296"/>
        <v>0</v>
      </c>
      <c r="E1008" s="27">
        <f t="shared" si="296"/>
        <v>0</v>
      </c>
      <c r="F1008" s="27">
        <f t="shared" si="296"/>
        <v>0</v>
      </c>
      <c r="G1008" s="27">
        <f t="shared" si="296"/>
        <v>0</v>
      </c>
      <c r="H1008" s="27">
        <f t="shared" ref="H1008:S1008" si="300">+H362+(H362*$E362)</f>
        <v>0</v>
      </c>
      <c r="I1008" s="27">
        <f t="shared" si="300"/>
        <v>0</v>
      </c>
      <c r="J1008" s="27">
        <f t="shared" si="300"/>
        <v>0</v>
      </c>
      <c r="K1008" s="27">
        <f t="shared" si="300"/>
        <v>0</v>
      </c>
      <c r="L1008" s="27">
        <f t="shared" si="300"/>
        <v>0</v>
      </c>
      <c r="M1008" s="27">
        <f t="shared" si="300"/>
        <v>0</v>
      </c>
      <c r="N1008" s="27">
        <f t="shared" si="300"/>
        <v>0</v>
      </c>
      <c r="O1008" s="27">
        <f t="shared" si="300"/>
        <v>0</v>
      </c>
      <c r="P1008" s="27">
        <f t="shared" si="300"/>
        <v>0</v>
      </c>
      <c r="Q1008" s="27">
        <f t="shared" si="300"/>
        <v>0</v>
      </c>
      <c r="R1008" s="27">
        <f t="shared" si="300"/>
        <v>0</v>
      </c>
      <c r="S1008" s="27">
        <f t="shared" si="300"/>
        <v>0</v>
      </c>
      <c r="W1008" s="60"/>
      <c r="AD1008" s="27">
        <f t="shared" si="295"/>
        <v>0</v>
      </c>
      <c r="AE1008" s="27">
        <f t="shared" si="298"/>
        <v>0</v>
      </c>
      <c r="AF1008" s="27">
        <f t="shared" si="298"/>
        <v>0</v>
      </c>
      <c r="AG1008" s="27">
        <f t="shared" si="298"/>
        <v>0</v>
      </c>
      <c r="AH1008" s="27">
        <f t="shared" si="298"/>
        <v>0</v>
      </c>
      <c r="AI1008" s="27">
        <f t="shared" si="298"/>
        <v>0</v>
      </c>
      <c r="AJ1008" s="27">
        <f t="shared" si="298"/>
        <v>0</v>
      </c>
      <c r="AK1008" s="27">
        <f t="shared" si="298"/>
        <v>0</v>
      </c>
      <c r="AL1008" s="27">
        <f t="shared" si="298"/>
        <v>0</v>
      </c>
      <c r="AM1008" s="27">
        <f t="shared" si="298"/>
        <v>0</v>
      </c>
      <c r="AN1008" s="27">
        <f t="shared" si="298"/>
        <v>0</v>
      </c>
      <c r="AO1008" s="27">
        <f t="shared" si="298"/>
        <v>0</v>
      </c>
      <c r="AP1008" s="27">
        <f t="shared" si="298"/>
        <v>0</v>
      </c>
      <c r="CC1008" s="61"/>
    </row>
    <row r="1009" spans="3:81" s="27" customFormat="1" ht="11.25" hidden="1" x14ac:dyDescent="0.2">
      <c r="C1009" s="60">
        <f t="shared" si="294"/>
        <v>0</v>
      </c>
      <c r="D1009" s="27">
        <f t="shared" si="296"/>
        <v>0</v>
      </c>
      <c r="E1009" s="27">
        <f t="shared" si="296"/>
        <v>0</v>
      </c>
      <c r="F1009" s="27">
        <f t="shared" si="296"/>
        <v>0</v>
      </c>
      <c r="G1009" s="27">
        <f t="shared" si="296"/>
        <v>0</v>
      </c>
      <c r="H1009" s="27">
        <f t="shared" ref="H1009:S1009" si="301">+H363+(H363*$E363)</f>
        <v>0</v>
      </c>
      <c r="I1009" s="27">
        <f t="shared" si="301"/>
        <v>0</v>
      </c>
      <c r="J1009" s="27">
        <f t="shared" si="301"/>
        <v>0</v>
      </c>
      <c r="K1009" s="27">
        <f t="shared" si="301"/>
        <v>0</v>
      </c>
      <c r="L1009" s="27">
        <f t="shared" si="301"/>
        <v>0</v>
      </c>
      <c r="M1009" s="27">
        <f t="shared" si="301"/>
        <v>0</v>
      </c>
      <c r="N1009" s="27">
        <f t="shared" si="301"/>
        <v>0</v>
      </c>
      <c r="O1009" s="27">
        <f t="shared" si="301"/>
        <v>0</v>
      </c>
      <c r="P1009" s="27">
        <f t="shared" si="301"/>
        <v>0</v>
      </c>
      <c r="Q1009" s="27">
        <f t="shared" si="301"/>
        <v>0</v>
      </c>
      <c r="R1009" s="27">
        <f t="shared" si="301"/>
        <v>0</v>
      </c>
      <c r="S1009" s="27">
        <f t="shared" si="301"/>
        <v>0</v>
      </c>
      <c r="W1009" s="60"/>
      <c r="AD1009" s="27">
        <f t="shared" si="295"/>
        <v>0</v>
      </c>
      <c r="AE1009" s="27">
        <f t="shared" si="298"/>
        <v>0</v>
      </c>
      <c r="AF1009" s="27">
        <f t="shared" si="298"/>
        <v>0</v>
      </c>
      <c r="AG1009" s="27">
        <f t="shared" si="298"/>
        <v>0</v>
      </c>
      <c r="AH1009" s="27">
        <f t="shared" si="298"/>
        <v>0</v>
      </c>
      <c r="AI1009" s="27">
        <f t="shared" si="298"/>
        <v>0</v>
      </c>
      <c r="AJ1009" s="27">
        <f t="shared" si="298"/>
        <v>0</v>
      </c>
      <c r="AK1009" s="27">
        <f t="shared" si="298"/>
        <v>0</v>
      </c>
      <c r="AL1009" s="27">
        <f t="shared" si="298"/>
        <v>0</v>
      </c>
      <c r="AM1009" s="27">
        <f t="shared" si="298"/>
        <v>0</v>
      </c>
      <c r="AN1009" s="27">
        <f t="shared" si="298"/>
        <v>0</v>
      </c>
      <c r="AO1009" s="27">
        <f t="shared" si="298"/>
        <v>0</v>
      </c>
      <c r="AP1009" s="27">
        <f t="shared" si="298"/>
        <v>0</v>
      </c>
      <c r="CC1009" s="61"/>
    </row>
    <row r="1010" spans="3:81" s="27" customFormat="1" ht="11.25" hidden="1" x14ac:dyDescent="0.2">
      <c r="C1010" s="60">
        <f t="shared" si="294"/>
        <v>0</v>
      </c>
      <c r="W1010" s="60"/>
      <c r="AD1010" s="27">
        <f t="shared" si="295"/>
        <v>0</v>
      </c>
      <c r="CC1010" s="61"/>
    </row>
    <row r="1011" spans="3:81" s="27" customFormat="1" ht="11.25" hidden="1" x14ac:dyDescent="0.2">
      <c r="C1011" s="60">
        <f t="shared" si="294"/>
        <v>0</v>
      </c>
      <c r="D1011" s="27">
        <f t="shared" ref="D1011:G1019" si="302">D365</f>
        <v>0</v>
      </c>
      <c r="E1011" s="27">
        <f t="shared" si="302"/>
        <v>0</v>
      </c>
      <c r="F1011" s="27">
        <f t="shared" si="302"/>
        <v>0</v>
      </c>
      <c r="G1011" s="27">
        <f t="shared" si="302"/>
        <v>0</v>
      </c>
      <c r="H1011" s="27">
        <f t="shared" ref="H1011:S1011" si="303">+H365+(H365*$E365)</f>
        <v>0</v>
      </c>
      <c r="I1011" s="27">
        <f t="shared" si="303"/>
        <v>0</v>
      </c>
      <c r="J1011" s="27">
        <f t="shared" si="303"/>
        <v>0</v>
      </c>
      <c r="K1011" s="27">
        <f t="shared" si="303"/>
        <v>0</v>
      </c>
      <c r="L1011" s="27">
        <f t="shared" si="303"/>
        <v>0</v>
      </c>
      <c r="M1011" s="27">
        <f t="shared" si="303"/>
        <v>0</v>
      </c>
      <c r="N1011" s="27">
        <f t="shared" si="303"/>
        <v>0</v>
      </c>
      <c r="O1011" s="27">
        <f t="shared" si="303"/>
        <v>0</v>
      </c>
      <c r="P1011" s="27">
        <f t="shared" si="303"/>
        <v>0</v>
      </c>
      <c r="Q1011" s="27">
        <f t="shared" si="303"/>
        <v>0</v>
      </c>
      <c r="R1011" s="27">
        <f t="shared" si="303"/>
        <v>0</v>
      </c>
      <c r="S1011" s="27">
        <f t="shared" si="303"/>
        <v>0</v>
      </c>
      <c r="W1011" s="60"/>
      <c r="AD1011" s="27">
        <f t="shared" si="295"/>
        <v>0</v>
      </c>
      <c r="AE1011" s="27">
        <f t="shared" ref="AE1011:AE1019" si="304">+H365*$F365</f>
        <v>0</v>
      </c>
      <c r="AF1011" s="27">
        <f t="shared" ref="AF1011:AF1019" si="305">+I365*$F365</f>
        <v>0</v>
      </c>
      <c r="AG1011" s="27">
        <f t="shared" ref="AG1011:AG1019" si="306">+J365*$F365</f>
        <v>0</v>
      </c>
      <c r="AH1011" s="27">
        <f t="shared" ref="AH1011:AH1019" si="307">+K365*$F365</f>
        <v>0</v>
      </c>
      <c r="AI1011" s="27">
        <f t="shared" ref="AI1011:AI1019" si="308">+L365*$F365</f>
        <v>0</v>
      </c>
      <c r="AJ1011" s="27">
        <f t="shared" ref="AJ1011:AJ1019" si="309">+M365*$F365</f>
        <v>0</v>
      </c>
      <c r="AK1011" s="27">
        <f t="shared" ref="AK1011:AK1019" si="310">+N365*$F365</f>
        <v>0</v>
      </c>
      <c r="AL1011" s="27">
        <f t="shared" ref="AL1011:AL1019" si="311">+O365*$F365</f>
        <v>0</v>
      </c>
      <c r="AM1011" s="27">
        <f t="shared" ref="AM1011:AM1019" si="312">+P365*$F365</f>
        <v>0</v>
      </c>
      <c r="AN1011" s="27">
        <f t="shared" ref="AN1011:AN1019" si="313">+Q365*$F365</f>
        <v>0</v>
      </c>
      <c r="AO1011" s="27">
        <f t="shared" ref="AO1011:AO1019" si="314">+R365*$F365</f>
        <v>0</v>
      </c>
      <c r="AP1011" s="27">
        <f t="shared" ref="AP1011:AP1019" si="315">+S365*$F365</f>
        <v>0</v>
      </c>
      <c r="CC1011" s="61"/>
    </row>
    <row r="1012" spans="3:81" s="27" customFormat="1" ht="11.25" hidden="1" x14ac:dyDescent="0.2">
      <c r="C1012" s="60">
        <f t="shared" si="294"/>
        <v>0</v>
      </c>
      <c r="D1012" s="27">
        <f t="shared" si="302"/>
        <v>0</v>
      </c>
      <c r="E1012" s="27">
        <f t="shared" si="302"/>
        <v>0</v>
      </c>
      <c r="F1012" s="27">
        <f t="shared" si="302"/>
        <v>0</v>
      </c>
      <c r="G1012" s="27">
        <f t="shared" si="302"/>
        <v>0</v>
      </c>
      <c r="H1012" s="27">
        <f t="shared" ref="H1012:S1012" si="316">+H366+(H366*$E366)</f>
        <v>0</v>
      </c>
      <c r="I1012" s="27">
        <f t="shared" si="316"/>
        <v>0</v>
      </c>
      <c r="J1012" s="27">
        <f t="shared" si="316"/>
        <v>0</v>
      </c>
      <c r="K1012" s="27">
        <f t="shared" si="316"/>
        <v>0</v>
      </c>
      <c r="L1012" s="27">
        <f t="shared" si="316"/>
        <v>0</v>
      </c>
      <c r="M1012" s="27">
        <f t="shared" si="316"/>
        <v>0</v>
      </c>
      <c r="N1012" s="27">
        <f t="shared" si="316"/>
        <v>0</v>
      </c>
      <c r="O1012" s="27">
        <f t="shared" si="316"/>
        <v>0</v>
      </c>
      <c r="P1012" s="27">
        <f t="shared" si="316"/>
        <v>0</v>
      </c>
      <c r="Q1012" s="27">
        <f t="shared" si="316"/>
        <v>0</v>
      </c>
      <c r="R1012" s="27">
        <f t="shared" si="316"/>
        <v>0</v>
      </c>
      <c r="S1012" s="27">
        <f t="shared" si="316"/>
        <v>0</v>
      </c>
      <c r="W1012" s="60"/>
      <c r="AD1012" s="27">
        <f t="shared" si="295"/>
        <v>0</v>
      </c>
      <c r="AE1012" s="27">
        <f t="shared" si="304"/>
        <v>0</v>
      </c>
      <c r="AF1012" s="27">
        <f t="shared" si="305"/>
        <v>0</v>
      </c>
      <c r="AG1012" s="27">
        <f t="shared" si="306"/>
        <v>0</v>
      </c>
      <c r="AH1012" s="27">
        <f t="shared" si="307"/>
        <v>0</v>
      </c>
      <c r="AI1012" s="27">
        <f t="shared" si="308"/>
        <v>0</v>
      </c>
      <c r="AJ1012" s="27">
        <f t="shared" si="309"/>
        <v>0</v>
      </c>
      <c r="AK1012" s="27">
        <f t="shared" si="310"/>
        <v>0</v>
      </c>
      <c r="AL1012" s="27">
        <f t="shared" si="311"/>
        <v>0</v>
      </c>
      <c r="AM1012" s="27">
        <f t="shared" si="312"/>
        <v>0</v>
      </c>
      <c r="AN1012" s="27">
        <f t="shared" si="313"/>
        <v>0</v>
      </c>
      <c r="AO1012" s="27">
        <f t="shared" si="314"/>
        <v>0</v>
      </c>
      <c r="AP1012" s="27">
        <f t="shared" si="315"/>
        <v>0</v>
      </c>
      <c r="CC1012" s="61"/>
    </row>
    <row r="1013" spans="3:81" s="27" customFormat="1" ht="11.25" hidden="1" x14ac:dyDescent="0.2">
      <c r="C1013" s="60">
        <f t="shared" si="294"/>
        <v>0</v>
      </c>
      <c r="D1013" s="27">
        <f t="shared" si="302"/>
        <v>0</v>
      </c>
      <c r="E1013" s="27">
        <f t="shared" si="302"/>
        <v>0</v>
      </c>
      <c r="F1013" s="27">
        <f t="shared" si="302"/>
        <v>0</v>
      </c>
      <c r="G1013" s="27">
        <f t="shared" si="302"/>
        <v>0</v>
      </c>
      <c r="H1013" s="27">
        <f t="shared" ref="H1013:S1013" si="317">+H367+(H367*$E367)</f>
        <v>0</v>
      </c>
      <c r="I1013" s="27">
        <f t="shared" si="317"/>
        <v>0</v>
      </c>
      <c r="J1013" s="27">
        <f t="shared" si="317"/>
        <v>0</v>
      </c>
      <c r="K1013" s="27">
        <f t="shared" si="317"/>
        <v>0</v>
      </c>
      <c r="L1013" s="27">
        <f t="shared" si="317"/>
        <v>0</v>
      </c>
      <c r="M1013" s="27">
        <f t="shared" si="317"/>
        <v>0</v>
      </c>
      <c r="N1013" s="27">
        <f t="shared" si="317"/>
        <v>0</v>
      </c>
      <c r="O1013" s="27">
        <f t="shared" si="317"/>
        <v>0</v>
      </c>
      <c r="P1013" s="27">
        <f t="shared" si="317"/>
        <v>0</v>
      </c>
      <c r="Q1013" s="27">
        <f t="shared" si="317"/>
        <v>0</v>
      </c>
      <c r="R1013" s="27">
        <f t="shared" si="317"/>
        <v>0</v>
      </c>
      <c r="S1013" s="27">
        <f t="shared" si="317"/>
        <v>0</v>
      </c>
      <c r="W1013" s="60"/>
      <c r="AD1013" s="27">
        <f t="shared" si="295"/>
        <v>0</v>
      </c>
      <c r="AE1013" s="27">
        <f t="shared" si="304"/>
        <v>0</v>
      </c>
      <c r="AF1013" s="27">
        <f t="shared" si="305"/>
        <v>0</v>
      </c>
      <c r="AG1013" s="27">
        <f t="shared" si="306"/>
        <v>0</v>
      </c>
      <c r="AH1013" s="27">
        <f t="shared" si="307"/>
        <v>0</v>
      </c>
      <c r="AI1013" s="27">
        <f t="shared" si="308"/>
        <v>0</v>
      </c>
      <c r="AJ1013" s="27">
        <f t="shared" si="309"/>
        <v>0</v>
      </c>
      <c r="AK1013" s="27">
        <f t="shared" si="310"/>
        <v>0</v>
      </c>
      <c r="AL1013" s="27">
        <f t="shared" si="311"/>
        <v>0</v>
      </c>
      <c r="AM1013" s="27">
        <f t="shared" si="312"/>
        <v>0</v>
      </c>
      <c r="AN1013" s="27">
        <f t="shared" si="313"/>
        <v>0</v>
      </c>
      <c r="AO1013" s="27">
        <f t="shared" si="314"/>
        <v>0</v>
      </c>
      <c r="AP1013" s="27">
        <f t="shared" si="315"/>
        <v>0</v>
      </c>
      <c r="CC1013" s="61"/>
    </row>
    <row r="1014" spans="3:81" s="27" customFormat="1" ht="11.25" hidden="1" x14ac:dyDescent="0.2">
      <c r="C1014" s="60">
        <f t="shared" si="294"/>
        <v>0</v>
      </c>
      <c r="D1014" s="27">
        <f t="shared" si="302"/>
        <v>0</v>
      </c>
      <c r="E1014" s="27">
        <f t="shared" si="302"/>
        <v>0</v>
      </c>
      <c r="F1014" s="27">
        <f t="shared" si="302"/>
        <v>0</v>
      </c>
      <c r="G1014" s="27">
        <f t="shared" si="302"/>
        <v>0</v>
      </c>
      <c r="H1014" s="27">
        <f t="shared" ref="H1014:S1014" si="318">+H368+(H368*$E368)</f>
        <v>0</v>
      </c>
      <c r="I1014" s="27">
        <f t="shared" si="318"/>
        <v>0</v>
      </c>
      <c r="J1014" s="27">
        <f t="shared" si="318"/>
        <v>0</v>
      </c>
      <c r="K1014" s="27">
        <f t="shared" si="318"/>
        <v>0</v>
      </c>
      <c r="L1014" s="27">
        <f t="shared" si="318"/>
        <v>0</v>
      </c>
      <c r="M1014" s="27">
        <f t="shared" si="318"/>
        <v>0</v>
      </c>
      <c r="N1014" s="27">
        <f t="shared" si="318"/>
        <v>0</v>
      </c>
      <c r="O1014" s="27">
        <f t="shared" si="318"/>
        <v>0</v>
      </c>
      <c r="P1014" s="27">
        <f t="shared" si="318"/>
        <v>0</v>
      </c>
      <c r="Q1014" s="27">
        <f t="shared" si="318"/>
        <v>0</v>
      </c>
      <c r="R1014" s="27">
        <f t="shared" si="318"/>
        <v>0</v>
      </c>
      <c r="S1014" s="27">
        <f t="shared" si="318"/>
        <v>0</v>
      </c>
      <c r="W1014" s="60"/>
      <c r="AD1014" s="27">
        <f t="shared" si="295"/>
        <v>0</v>
      </c>
      <c r="AE1014" s="27">
        <f t="shared" si="304"/>
        <v>0</v>
      </c>
      <c r="AF1014" s="27">
        <f t="shared" si="305"/>
        <v>0</v>
      </c>
      <c r="AG1014" s="27">
        <f t="shared" si="306"/>
        <v>0</v>
      </c>
      <c r="AH1014" s="27">
        <f t="shared" si="307"/>
        <v>0</v>
      </c>
      <c r="AI1014" s="27">
        <f t="shared" si="308"/>
        <v>0</v>
      </c>
      <c r="AJ1014" s="27">
        <f t="shared" si="309"/>
        <v>0</v>
      </c>
      <c r="AK1014" s="27">
        <f t="shared" si="310"/>
        <v>0</v>
      </c>
      <c r="AL1014" s="27">
        <f t="shared" si="311"/>
        <v>0</v>
      </c>
      <c r="AM1014" s="27">
        <f t="shared" si="312"/>
        <v>0</v>
      </c>
      <c r="AN1014" s="27">
        <f t="shared" si="313"/>
        <v>0</v>
      </c>
      <c r="AO1014" s="27">
        <f t="shared" si="314"/>
        <v>0</v>
      </c>
      <c r="AP1014" s="27">
        <f t="shared" si="315"/>
        <v>0</v>
      </c>
      <c r="CC1014" s="61"/>
    </row>
    <row r="1015" spans="3:81" s="27" customFormat="1" ht="11.25" hidden="1" x14ac:dyDescent="0.2">
      <c r="C1015" s="60">
        <f t="shared" si="294"/>
        <v>0</v>
      </c>
      <c r="D1015" s="27">
        <f t="shared" si="302"/>
        <v>0</v>
      </c>
      <c r="E1015" s="27">
        <f t="shared" si="302"/>
        <v>0</v>
      </c>
      <c r="F1015" s="27">
        <f t="shared" si="302"/>
        <v>0</v>
      </c>
      <c r="G1015" s="27">
        <f t="shared" si="302"/>
        <v>0</v>
      </c>
      <c r="H1015" s="27">
        <f t="shared" ref="H1015:S1015" si="319">+H369+(H369*$E369)</f>
        <v>0</v>
      </c>
      <c r="I1015" s="27">
        <f t="shared" si="319"/>
        <v>0</v>
      </c>
      <c r="J1015" s="27">
        <f t="shared" si="319"/>
        <v>0</v>
      </c>
      <c r="K1015" s="27">
        <f t="shared" si="319"/>
        <v>0</v>
      </c>
      <c r="L1015" s="27">
        <f t="shared" si="319"/>
        <v>0</v>
      </c>
      <c r="M1015" s="27">
        <f t="shared" si="319"/>
        <v>0</v>
      </c>
      <c r="N1015" s="27">
        <f t="shared" si="319"/>
        <v>0</v>
      </c>
      <c r="O1015" s="27">
        <f t="shared" si="319"/>
        <v>0</v>
      </c>
      <c r="P1015" s="27">
        <f t="shared" si="319"/>
        <v>0</v>
      </c>
      <c r="Q1015" s="27">
        <f t="shared" si="319"/>
        <v>0</v>
      </c>
      <c r="R1015" s="27">
        <f t="shared" si="319"/>
        <v>0</v>
      </c>
      <c r="S1015" s="27">
        <f t="shared" si="319"/>
        <v>0</v>
      </c>
      <c r="W1015" s="60"/>
      <c r="AD1015" s="27">
        <f t="shared" si="295"/>
        <v>0</v>
      </c>
      <c r="AE1015" s="27">
        <f t="shared" si="304"/>
        <v>0</v>
      </c>
      <c r="AF1015" s="27">
        <f t="shared" si="305"/>
        <v>0</v>
      </c>
      <c r="AG1015" s="27">
        <f t="shared" si="306"/>
        <v>0</v>
      </c>
      <c r="AH1015" s="27">
        <f t="shared" si="307"/>
        <v>0</v>
      </c>
      <c r="AI1015" s="27">
        <f t="shared" si="308"/>
        <v>0</v>
      </c>
      <c r="AJ1015" s="27">
        <f t="shared" si="309"/>
        <v>0</v>
      </c>
      <c r="AK1015" s="27">
        <f t="shared" si="310"/>
        <v>0</v>
      </c>
      <c r="AL1015" s="27">
        <f t="shared" si="311"/>
        <v>0</v>
      </c>
      <c r="AM1015" s="27">
        <f t="shared" si="312"/>
        <v>0</v>
      </c>
      <c r="AN1015" s="27">
        <f t="shared" si="313"/>
        <v>0</v>
      </c>
      <c r="AO1015" s="27">
        <f t="shared" si="314"/>
        <v>0</v>
      </c>
      <c r="AP1015" s="27">
        <f t="shared" si="315"/>
        <v>0</v>
      </c>
      <c r="CC1015" s="61"/>
    </row>
    <row r="1016" spans="3:81" s="27" customFormat="1" ht="11.25" hidden="1" x14ac:dyDescent="0.2">
      <c r="C1016" s="60">
        <f t="shared" si="294"/>
        <v>0</v>
      </c>
      <c r="D1016" s="27">
        <f t="shared" si="302"/>
        <v>0</v>
      </c>
      <c r="E1016" s="27">
        <f t="shared" si="302"/>
        <v>0</v>
      </c>
      <c r="F1016" s="27">
        <f t="shared" si="302"/>
        <v>0</v>
      </c>
      <c r="G1016" s="27">
        <f t="shared" si="302"/>
        <v>0</v>
      </c>
      <c r="H1016" s="27">
        <f t="shared" ref="H1016:S1016" si="320">+H370+(H370*$E370)</f>
        <v>0</v>
      </c>
      <c r="I1016" s="27">
        <f t="shared" si="320"/>
        <v>0</v>
      </c>
      <c r="J1016" s="27">
        <f t="shared" si="320"/>
        <v>0</v>
      </c>
      <c r="K1016" s="27">
        <f t="shared" si="320"/>
        <v>0</v>
      </c>
      <c r="L1016" s="27">
        <f t="shared" si="320"/>
        <v>0</v>
      </c>
      <c r="M1016" s="27">
        <f t="shared" si="320"/>
        <v>0</v>
      </c>
      <c r="N1016" s="27">
        <f t="shared" si="320"/>
        <v>0</v>
      </c>
      <c r="O1016" s="27">
        <f t="shared" si="320"/>
        <v>0</v>
      </c>
      <c r="P1016" s="27">
        <f t="shared" si="320"/>
        <v>0</v>
      </c>
      <c r="Q1016" s="27">
        <f t="shared" si="320"/>
        <v>0</v>
      </c>
      <c r="R1016" s="27">
        <f t="shared" si="320"/>
        <v>0</v>
      </c>
      <c r="S1016" s="27">
        <f t="shared" si="320"/>
        <v>0</v>
      </c>
      <c r="W1016" s="60"/>
      <c r="AD1016" s="27">
        <f t="shared" si="295"/>
        <v>0</v>
      </c>
      <c r="AE1016" s="27">
        <f t="shared" si="304"/>
        <v>0</v>
      </c>
      <c r="AF1016" s="27">
        <f t="shared" si="305"/>
        <v>0</v>
      </c>
      <c r="AG1016" s="27">
        <f t="shared" si="306"/>
        <v>0</v>
      </c>
      <c r="AH1016" s="27">
        <f t="shared" si="307"/>
        <v>0</v>
      </c>
      <c r="AI1016" s="27">
        <f t="shared" si="308"/>
        <v>0</v>
      </c>
      <c r="AJ1016" s="27">
        <f t="shared" si="309"/>
        <v>0</v>
      </c>
      <c r="AK1016" s="27">
        <f t="shared" si="310"/>
        <v>0</v>
      </c>
      <c r="AL1016" s="27">
        <f t="shared" si="311"/>
        <v>0</v>
      </c>
      <c r="AM1016" s="27">
        <f t="shared" si="312"/>
        <v>0</v>
      </c>
      <c r="AN1016" s="27">
        <f t="shared" si="313"/>
        <v>0</v>
      </c>
      <c r="AO1016" s="27">
        <f t="shared" si="314"/>
        <v>0</v>
      </c>
      <c r="AP1016" s="27">
        <f t="shared" si="315"/>
        <v>0</v>
      </c>
      <c r="CC1016" s="61"/>
    </row>
    <row r="1017" spans="3:81" s="27" customFormat="1" ht="11.25" hidden="1" x14ac:dyDescent="0.2">
      <c r="C1017" s="60">
        <f t="shared" si="294"/>
        <v>0</v>
      </c>
      <c r="D1017" s="27">
        <f t="shared" si="302"/>
        <v>0</v>
      </c>
      <c r="E1017" s="27">
        <f t="shared" si="302"/>
        <v>0</v>
      </c>
      <c r="F1017" s="27">
        <f t="shared" si="302"/>
        <v>0</v>
      </c>
      <c r="G1017" s="27">
        <f t="shared" si="302"/>
        <v>0</v>
      </c>
      <c r="H1017" s="27">
        <f t="shared" ref="H1017:S1017" si="321">+H371+(H371*$E371)</f>
        <v>0</v>
      </c>
      <c r="I1017" s="27">
        <f t="shared" si="321"/>
        <v>0</v>
      </c>
      <c r="J1017" s="27">
        <f t="shared" si="321"/>
        <v>0</v>
      </c>
      <c r="K1017" s="27">
        <f t="shared" si="321"/>
        <v>0</v>
      </c>
      <c r="L1017" s="27">
        <f t="shared" si="321"/>
        <v>0</v>
      </c>
      <c r="M1017" s="27">
        <f t="shared" si="321"/>
        <v>0</v>
      </c>
      <c r="N1017" s="27">
        <f t="shared" si="321"/>
        <v>0</v>
      </c>
      <c r="O1017" s="27">
        <f t="shared" si="321"/>
        <v>0</v>
      </c>
      <c r="P1017" s="27">
        <f t="shared" si="321"/>
        <v>0</v>
      </c>
      <c r="Q1017" s="27">
        <f t="shared" si="321"/>
        <v>0</v>
      </c>
      <c r="R1017" s="27">
        <f t="shared" si="321"/>
        <v>0</v>
      </c>
      <c r="S1017" s="27">
        <f t="shared" si="321"/>
        <v>0</v>
      </c>
      <c r="W1017" s="60"/>
      <c r="AD1017" s="27">
        <f t="shared" si="295"/>
        <v>0</v>
      </c>
      <c r="AE1017" s="27">
        <f t="shared" si="304"/>
        <v>0</v>
      </c>
      <c r="AF1017" s="27">
        <f t="shared" si="305"/>
        <v>0</v>
      </c>
      <c r="AG1017" s="27">
        <f t="shared" si="306"/>
        <v>0</v>
      </c>
      <c r="AH1017" s="27">
        <f t="shared" si="307"/>
        <v>0</v>
      </c>
      <c r="AI1017" s="27">
        <f t="shared" si="308"/>
        <v>0</v>
      </c>
      <c r="AJ1017" s="27">
        <f t="shared" si="309"/>
        <v>0</v>
      </c>
      <c r="AK1017" s="27">
        <f t="shared" si="310"/>
        <v>0</v>
      </c>
      <c r="AL1017" s="27">
        <f t="shared" si="311"/>
        <v>0</v>
      </c>
      <c r="AM1017" s="27">
        <f t="shared" si="312"/>
        <v>0</v>
      </c>
      <c r="AN1017" s="27">
        <f t="shared" si="313"/>
        <v>0</v>
      </c>
      <c r="AO1017" s="27">
        <f t="shared" si="314"/>
        <v>0</v>
      </c>
      <c r="AP1017" s="27">
        <f t="shared" si="315"/>
        <v>0</v>
      </c>
      <c r="CC1017" s="61"/>
    </row>
    <row r="1018" spans="3:81" s="27" customFormat="1" ht="11.25" hidden="1" x14ac:dyDescent="0.2">
      <c r="C1018" s="60">
        <f t="shared" si="294"/>
        <v>0</v>
      </c>
      <c r="D1018" s="27">
        <f t="shared" si="302"/>
        <v>0</v>
      </c>
      <c r="E1018" s="27">
        <f t="shared" si="302"/>
        <v>0</v>
      </c>
      <c r="F1018" s="27">
        <f t="shared" si="302"/>
        <v>0</v>
      </c>
      <c r="G1018" s="27">
        <f t="shared" si="302"/>
        <v>0</v>
      </c>
      <c r="H1018" s="27">
        <f t="shared" ref="H1018:S1018" si="322">+H372+(H372*$E372)</f>
        <v>0</v>
      </c>
      <c r="I1018" s="27">
        <f t="shared" si="322"/>
        <v>0</v>
      </c>
      <c r="J1018" s="27">
        <f t="shared" si="322"/>
        <v>0</v>
      </c>
      <c r="K1018" s="27">
        <f t="shared" si="322"/>
        <v>0</v>
      </c>
      <c r="L1018" s="27">
        <f t="shared" si="322"/>
        <v>0</v>
      </c>
      <c r="M1018" s="27">
        <f t="shared" si="322"/>
        <v>0</v>
      </c>
      <c r="N1018" s="27">
        <f t="shared" si="322"/>
        <v>0</v>
      </c>
      <c r="O1018" s="27">
        <f t="shared" si="322"/>
        <v>0</v>
      </c>
      <c r="P1018" s="27">
        <f t="shared" si="322"/>
        <v>0</v>
      </c>
      <c r="Q1018" s="27">
        <f t="shared" si="322"/>
        <v>0</v>
      </c>
      <c r="R1018" s="27">
        <f t="shared" si="322"/>
        <v>0</v>
      </c>
      <c r="S1018" s="27">
        <f t="shared" si="322"/>
        <v>0</v>
      </c>
      <c r="W1018" s="60"/>
      <c r="AD1018" s="27">
        <f t="shared" si="295"/>
        <v>0</v>
      </c>
      <c r="AE1018" s="27">
        <f t="shared" si="304"/>
        <v>0</v>
      </c>
      <c r="AF1018" s="27">
        <f t="shared" si="305"/>
        <v>0</v>
      </c>
      <c r="AG1018" s="27">
        <f t="shared" si="306"/>
        <v>0</v>
      </c>
      <c r="AH1018" s="27">
        <f t="shared" si="307"/>
        <v>0</v>
      </c>
      <c r="AI1018" s="27">
        <f t="shared" si="308"/>
        <v>0</v>
      </c>
      <c r="AJ1018" s="27">
        <f t="shared" si="309"/>
        <v>0</v>
      </c>
      <c r="AK1018" s="27">
        <f t="shared" si="310"/>
        <v>0</v>
      </c>
      <c r="AL1018" s="27">
        <f t="shared" si="311"/>
        <v>0</v>
      </c>
      <c r="AM1018" s="27">
        <f t="shared" si="312"/>
        <v>0</v>
      </c>
      <c r="AN1018" s="27">
        <f t="shared" si="313"/>
        <v>0</v>
      </c>
      <c r="AO1018" s="27">
        <f t="shared" si="314"/>
        <v>0</v>
      </c>
      <c r="AP1018" s="27">
        <f t="shared" si="315"/>
        <v>0</v>
      </c>
      <c r="CC1018" s="61"/>
    </row>
    <row r="1019" spans="3:81" s="27" customFormat="1" ht="11.25" hidden="1" x14ac:dyDescent="0.2">
      <c r="C1019" s="60">
        <f t="shared" si="294"/>
        <v>0</v>
      </c>
      <c r="D1019" s="27">
        <f t="shared" si="302"/>
        <v>0</v>
      </c>
      <c r="E1019" s="27">
        <f t="shared" si="302"/>
        <v>0</v>
      </c>
      <c r="F1019" s="27">
        <f t="shared" si="302"/>
        <v>0</v>
      </c>
      <c r="G1019" s="27">
        <f t="shared" si="302"/>
        <v>0</v>
      </c>
      <c r="H1019" s="27">
        <f t="shared" ref="H1019:S1019" si="323">+H373+(H373*$E373)</f>
        <v>0</v>
      </c>
      <c r="I1019" s="27">
        <f t="shared" si="323"/>
        <v>0</v>
      </c>
      <c r="J1019" s="27">
        <f t="shared" si="323"/>
        <v>0</v>
      </c>
      <c r="K1019" s="27">
        <f t="shared" si="323"/>
        <v>0</v>
      </c>
      <c r="L1019" s="27">
        <f t="shared" si="323"/>
        <v>0</v>
      </c>
      <c r="M1019" s="27">
        <f t="shared" si="323"/>
        <v>0</v>
      </c>
      <c r="N1019" s="27">
        <f t="shared" si="323"/>
        <v>0</v>
      </c>
      <c r="O1019" s="27">
        <f t="shared" si="323"/>
        <v>0</v>
      </c>
      <c r="P1019" s="27">
        <f t="shared" si="323"/>
        <v>0</v>
      </c>
      <c r="Q1019" s="27">
        <f t="shared" si="323"/>
        <v>0</v>
      </c>
      <c r="R1019" s="27">
        <f t="shared" si="323"/>
        <v>0</v>
      </c>
      <c r="S1019" s="27">
        <f t="shared" si="323"/>
        <v>0</v>
      </c>
      <c r="W1019" s="60"/>
      <c r="AD1019" s="27">
        <f t="shared" si="295"/>
        <v>0</v>
      </c>
      <c r="AE1019" s="27">
        <f t="shared" si="304"/>
        <v>0</v>
      </c>
      <c r="AF1019" s="27">
        <f t="shared" si="305"/>
        <v>0</v>
      </c>
      <c r="AG1019" s="27">
        <f t="shared" si="306"/>
        <v>0</v>
      </c>
      <c r="AH1019" s="27">
        <f t="shared" si="307"/>
        <v>0</v>
      </c>
      <c r="AI1019" s="27">
        <f t="shared" si="308"/>
        <v>0</v>
      </c>
      <c r="AJ1019" s="27">
        <f t="shared" si="309"/>
        <v>0</v>
      </c>
      <c r="AK1019" s="27">
        <f t="shared" si="310"/>
        <v>0</v>
      </c>
      <c r="AL1019" s="27">
        <f t="shared" si="311"/>
        <v>0</v>
      </c>
      <c r="AM1019" s="27">
        <f t="shared" si="312"/>
        <v>0</v>
      </c>
      <c r="AN1019" s="27">
        <f t="shared" si="313"/>
        <v>0</v>
      </c>
      <c r="AO1019" s="27">
        <f t="shared" si="314"/>
        <v>0</v>
      </c>
      <c r="AP1019" s="27">
        <f t="shared" si="315"/>
        <v>0</v>
      </c>
      <c r="CC1019" s="61"/>
    </row>
    <row r="1020" spans="3:81" s="27" customFormat="1" ht="11.25" hidden="1" x14ac:dyDescent="0.2">
      <c r="C1020" s="60"/>
      <c r="W1020" s="60"/>
      <c r="AD1020" s="27" t="s">
        <v>111</v>
      </c>
      <c r="AE1020" s="27">
        <f t="shared" ref="AE1020:AP1020" si="324">SUM(AE1006:AE1019)</f>
        <v>0</v>
      </c>
      <c r="AF1020" s="27">
        <f t="shared" si="324"/>
        <v>0</v>
      </c>
      <c r="AG1020" s="27">
        <f t="shared" si="324"/>
        <v>0</v>
      </c>
      <c r="AH1020" s="27">
        <f t="shared" si="324"/>
        <v>0</v>
      </c>
      <c r="AI1020" s="27">
        <f t="shared" si="324"/>
        <v>0</v>
      </c>
      <c r="AJ1020" s="27">
        <f t="shared" si="324"/>
        <v>0</v>
      </c>
      <c r="AK1020" s="27">
        <f t="shared" si="324"/>
        <v>0</v>
      </c>
      <c r="AL1020" s="27">
        <f t="shared" si="324"/>
        <v>0</v>
      </c>
      <c r="AM1020" s="27">
        <f t="shared" si="324"/>
        <v>0</v>
      </c>
      <c r="AN1020" s="27">
        <f t="shared" si="324"/>
        <v>0</v>
      </c>
      <c r="AO1020" s="27">
        <f t="shared" si="324"/>
        <v>0</v>
      </c>
      <c r="AP1020" s="27">
        <f t="shared" si="324"/>
        <v>0</v>
      </c>
      <c r="CC1020" s="61"/>
    </row>
    <row r="1021" spans="3:81" s="27" customFormat="1" ht="11.25" hidden="1" x14ac:dyDescent="0.2">
      <c r="C1021" s="60"/>
      <c r="W1021" s="60"/>
      <c r="CC1021" s="61"/>
    </row>
    <row r="1022" spans="3:81" s="27" customFormat="1" ht="11.25" hidden="1" x14ac:dyDescent="0.2">
      <c r="C1022" s="60"/>
      <c r="W1022" s="60"/>
      <c r="AD1022" s="27" t="s">
        <v>112</v>
      </c>
      <c r="AE1022" s="27">
        <f t="shared" ref="AE1022:AP1022" si="325">H980</f>
        <v>0</v>
      </c>
      <c r="AF1022" s="27">
        <f t="shared" si="325"/>
        <v>0</v>
      </c>
      <c r="AG1022" s="27">
        <f t="shared" si="325"/>
        <v>0</v>
      </c>
      <c r="AH1022" s="27">
        <f t="shared" si="325"/>
        <v>0</v>
      </c>
      <c r="AI1022" s="27">
        <f t="shared" si="325"/>
        <v>0</v>
      </c>
      <c r="AJ1022" s="27">
        <f t="shared" si="325"/>
        <v>0</v>
      </c>
      <c r="AK1022" s="27">
        <f t="shared" si="325"/>
        <v>0</v>
      </c>
      <c r="AL1022" s="27">
        <f t="shared" si="325"/>
        <v>0</v>
      </c>
      <c r="AM1022" s="27">
        <f t="shared" si="325"/>
        <v>0</v>
      </c>
      <c r="AN1022" s="27">
        <f t="shared" si="325"/>
        <v>0</v>
      </c>
      <c r="AO1022" s="27">
        <f t="shared" si="325"/>
        <v>0</v>
      </c>
      <c r="AP1022" s="27">
        <f t="shared" si="325"/>
        <v>0</v>
      </c>
      <c r="CC1022" s="61"/>
    </row>
    <row r="1023" spans="3:81" s="27" customFormat="1" ht="11.25" hidden="1" x14ac:dyDescent="0.2">
      <c r="C1023" s="60"/>
      <c r="W1023" s="60"/>
      <c r="AD1023" s="27" t="s">
        <v>113</v>
      </c>
      <c r="AE1023" s="27">
        <f t="shared" ref="AE1023:AP1023" si="326">+AE1022-AE1020</f>
        <v>0</v>
      </c>
      <c r="AF1023" s="27">
        <f t="shared" si="326"/>
        <v>0</v>
      </c>
      <c r="AG1023" s="27">
        <f t="shared" si="326"/>
        <v>0</v>
      </c>
      <c r="AH1023" s="27">
        <f t="shared" si="326"/>
        <v>0</v>
      </c>
      <c r="AI1023" s="27">
        <f t="shared" si="326"/>
        <v>0</v>
      </c>
      <c r="AJ1023" s="27">
        <f t="shared" si="326"/>
        <v>0</v>
      </c>
      <c r="AK1023" s="27">
        <f t="shared" si="326"/>
        <v>0</v>
      </c>
      <c r="AL1023" s="27">
        <f t="shared" si="326"/>
        <v>0</v>
      </c>
      <c r="AM1023" s="27">
        <f t="shared" si="326"/>
        <v>0</v>
      </c>
      <c r="AN1023" s="27">
        <f t="shared" si="326"/>
        <v>0</v>
      </c>
      <c r="AO1023" s="27">
        <f t="shared" si="326"/>
        <v>0</v>
      </c>
      <c r="AP1023" s="27">
        <f t="shared" si="326"/>
        <v>0</v>
      </c>
      <c r="CC1023" s="61"/>
    </row>
    <row r="1024" spans="3:81" s="27" customFormat="1" ht="11.25" hidden="1" x14ac:dyDescent="0.2">
      <c r="C1024" s="60"/>
      <c r="W1024" s="60"/>
      <c r="CC1024" s="61"/>
    </row>
    <row r="1025" spans="3:81" s="27" customFormat="1" ht="11.25" hidden="1" x14ac:dyDescent="0.2">
      <c r="C1025" s="60"/>
      <c r="W1025" s="60"/>
      <c r="AD1025" s="27" t="s">
        <v>711</v>
      </c>
      <c r="AE1025" s="27">
        <f t="shared" ref="AE1025:AP1025" si="327">+H855-AE1022</f>
        <v>0</v>
      </c>
      <c r="AF1025" s="27">
        <f t="shared" si="327"/>
        <v>0</v>
      </c>
      <c r="AG1025" s="27">
        <f t="shared" si="327"/>
        <v>0</v>
      </c>
      <c r="AH1025" s="27">
        <f t="shared" si="327"/>
        <v>0</v>
      </c>
      <c r="AI1025" s="27">
        <f t="shared" si="327"/>
        <v>0</v>
      </c>
      <c r="AJ1025" s="27">
        <f t="shared" si="327"/>
        <v>0</v>
      </c>
      <c r="AK1025" s="27">
        <f t="shared" si="327"/>
        <v>0</v>
      </c>
      <c r="AL1025" s="27">
        <f t="shared" si="327"/>
        <v>0</v>
      </c>
      <c r="AM1025" s="27">
        <f t="shared" si="327"/>
        <v>0</v>
      </c>
      <c r="AN1025" s="27">
        <f t="shared" si="327"/>
        <v>0</v>
      </c>
      <c r="AO1025" s="27">
        <f t="shared" si="327"/>
        <v>0</v>
      </c>
      <c r="AP1025" s="27">
        <f t="shared" si="327"/>
        <v>0</v>
      </c>
      <c r="CC1025" s="61"/>
    </row>
    <row r="1026" spans="3:81" s="27" customFormat="1" ht="11.25" hidden="1" x14ac:dyDescent="0.2">
      <c r="C1026" s="60"/>
      <c r="W1026" s="60"/>
      <c r="CC1026" s="61"/>
    </row>
    <row r="1027" spans="3:81" s="27" customFormat="1" ht="11.25" hidden="1" x14ac:dyDescent="0.2">
      <c r="C1027" s="60"/>
      <c r="W1027" s="60"/>
      <c r="CC1027" s="61"/>
    </row>
    <row r="1028" spans="3:81" s="27" customFormat="1" ht="11.25" hidden="1" x14ac:dyDescent="0.2">
      <c r="C1028" s="60"/>
      <c r="W1028" s="60"/>
      <c r="CC1028" s="61"/>
    </row>
    <row r="1029" spans="3:81" s="27" customFormat="1" ht="11.25" hidden="1" x14ac:dyDescent="0.2">
      <c r="C1029" s="60"/>
      <c r="D1029" s="27" t="str">
        <f>INFORME!D94</f>
        <v>iniciales</v>
      </c>
      <c r="F1029" s="27">
        <f>INFORME!E94</f>
        <v>0</v>
      </c>
      <c r="G1029" s="27">
        <f>'5años'!E9</f>
        <v>0</v>
      </c>
      <c r="H1029" s="27">
        <f>'5años'!F9</f>
        <v>0</v>
      </c>
      <c r="I1029" s="27">
        <f>'5años'!G9</f>
        <v>0</v>
      </c>
      <c r="J1029" s="27">
        <f>'5años'!H9</f>
        <v>0</v>
      </c>
      <c r="W1029" s="60"/>
      <c r="CC1029" s="61"/>
    </row>
    <row r="1030" spans="3:81" s="27" customFormat="1" ht="11.25" hidden="1" x14ac:dyDescent="0.2">
      <c r="C1030" s="60"/>
      <c r="D1030" s="27" t="str">
        <f>INFORME!D95</f>
        <v>compras</v>
      </c>
      <c r="F1030" s="27">
        <f>INFORME!E95</f>
        <v>0</v>
      </c>
      <c r="G1030" s="27">
        <f>'5años'!E14</f>
        <v>0</v>
      </c>
      <c r="H1030" s="27">
        <f>'5años'!F14</f>
        <v>0</v>
      </c>
      <c r="I1030" s="27">
        <f>'5años'!G14</f>
        <v>0</v>
      </c>
      <c r="J1030" s="27">
        <f>'5años'!H14</f>
        <v>0</v>
      </c>
      <c r="W1030" s="60"/>
      <c r="CC1030" s="61"/>
    </row>
    <row r="1031" spans="3:81" s="27" customFormat="1" ht="11.25" hidden="1" x14ac:dyDescent="0.2">
      <c r="C1031" s="60"/>
      <c r="D1031" s="27" t="str">
        <f>INFORME!D96</f>
        <v>finales</v>
      </c>
      <c r="F1031" s="27">
        <f>INFORME!E96</f>
        <v>0</v>
      </c>
      <c r="G1031" s="27">
        <f>'5años'!E15</f>
        <v>0</v>
      </c>
      <c r="H1031" s="27">
        <f>'5años'!F15</f>
        <v>0</v>
      </c>
      <c r="I1031" s="27">
        <f>'5años'!G15</f>
        <v>0</v>
      </c>
      <c r="J1031" s="27">
        <f>'5años'!H15</f>
        <v>0</v>
      </c>
      <c r="W1031" s="60"/>
      <c r="CC1031" s="61"/>
    </row>
    <row r="1032" spans="3:81" s="27" customFormat="1" ht="11.25" hidden="1" x14ac:dyDescent="0.2">
      <c r="C1032" s="60"/>
      <c r="W1032" s="60"/>
      <c r="CC1032" s="61"/>
    </row>
    <row r="1033" spans="3:81" s="27" customFormat="1" ht="11.25" hidden="1" x14ac:dyDescent="0.2">
      <c r="C1033" s="60"/>
      <c r="F1033" s="27" t="e">
        <f>SUM(SANDBOX!F1034:F1035)</f>
        <v>#REF!</v>
      </c>
      <c r="G1033" s="27" t="e">
        <f>SB!F666</f>
        <v>#REF!</v>
      </c>
      <c r="H1033" s="27" t="e">
        <f>SB!G666</f>
        <v>#REF!</v>
      </c>
      <c r="I1033" s="27" t="e">
        <f>SB!H666</f>
        <v>#REF!</v>
      </c>
      <c r="J1033" s="27" t="e">
        <f>SB!I666</f>
        <v>#REF!</v>
      </c>
      <c r="W1033" s="60"/>
      <c r="CC1033" s="61"/>
    </row>
    <row r="1034" spans="3:81" s="27" customFormat="1" ht="11.25" hidden="1" x14ac:dyDescent="0.2">
      <c r="C1034" s="60"/>
      <c r="D1034" s="27" t="s">
        <v>959</v>
      </c>
      <c r="F1034" s="27" t="e">
        <f>#REF!</f>
        <v>#REF!</v>
      </c>
      <c r="G1034" s="27" t="e">
        <f>#REF!</f>
        <v>#REF!</v>
      </c>
      <c r="H1034" s="27" t="e">
        <f>#REF!</f>
        <v>#REF!</v>
      </c>
      <c r="I1034" s="27" t="e">
        <f>#REF!</f>
        <v>#REF!</v>
      </c>
      <c r="J1034" s="27" t="e">
        <f>#REF!</f>
        <v>#REF!</v>
      </c>
      <c r="W1034" s="60"/>
      <c r="CC1034" s="61"/>
    </row>
    <row r="1035" spans="3:81" s="27" customFormat="1" ht="11.25" hidden="1" x14ac:dyDescent="0.2">
      <c r="C1035" s="60"/>
      <c r="D1035" s="27" t="s">
        <v>158</v>
      </c>
      <c r="F1035" s="27">
        <f>INFORME!$E$85</f>
        <v>0</v>
      </c>
      <c r="G1035" s="27" t="e">
        <f>SB!F664</f>
        <v>#REF!</v>
      </c>
      <c r="H1035" s="27" t="e">
        <f>SB!G664</f>
        <v>#REF!</v>
      </c>
      <c r="I1035" s="27" t="e">
        <f>SB!H664</f>
        <v>#REF!</v>
      </c>
      <c r="J1035" s="27" t="e">
        <f>SB!I664</f>
        <v>#REF!</v>
      </c>
      <c r="W1035" s="60"/>
      <c r="CC1035" s="61"/>
    </row>
    <row r="1036" spans="3:81" s="27" customFormat="1" ht="11.25" hidden="1" x14ac:dyDescent="0.2">
      <c r="C1036" s="60"/>
      <c r="W1036" s="60"/>
      <c r="CC1036" s="61"/>
    </row>
    <row r="1037" spans="3:81" s="27" customFormat="1" ht="11.25" hidden="1" x14ac:dyDescent="0.2">
      <c r="C1037" s="60"/>
      <c r="D1037" s="27" t="str">
        <f>INFORME!D98</f>
        <v>Costes de venta</v>
      </c>
      <c r="F1037" s="27">
        <f>INFORME!E98</f>
        <v>0</v>
      </c>
      <c r="G1037" s="27" t="e">
        <f>SUM(G1038:G1039)</f>
        <v>#REF!</v>
      </c>
      <c r="I1037" s="27" t="e">
        <f>SUM(I1038:I1039)</f>
        <v>#REF!</v>
      </c>
      <c r="K1037" s="27" t="e">
        <f>SUM(K1038:K1039)</f>
        <v>#REF!</v>
      </c>
      <c r="M1037" s="27" t="e">
        <f>SUM(M1038:M1039)</f>
        <v>#REF!</v>
      </c>
      <c r="W1037" s="60"/>
      <c r="CC1037" s="61"/>
    </row>
    <row r="1038" spans="3:81" s="27" customFormat="1" ht="11.25" hidden="1" x14ac:dyDescent="0.2">
      <c r="C1038" s="60"/>
      <c r="D1038" s="27" t="str">
        <f>INFORME!D99</f>
        <v>variables</v>
      </c>
      <c r="F1038" s="27">
        <f>INFORME!E99</f>
        <v>0</v>
      </c>
      <c r="G1038" s="27">
        <f>'5años'!E95</f>
        <v>0</v>
      </c>
      <c r="I1038" s="27">
        <f>'5años'!F95</f>
        <v>0</v>
      </c>
      <c r="K1038" s="27">
        <f>'5años'!G95</f>
        <v>0</v>
      </c>
      <c r="M1038" s="27">
        <f>'5años'!H95</f>
        <v>0</v>
      </c>
      <c r="W1038" s="60"/>
      <c r="CC1038" s="61"/>
    </row>
    <row r="1039" spans="3:81" s="27" customFormat="1" ht="11.25" hidden="1" x14ac:dyDescent="0.2">
      <c r="C1039" s="60"/>
      <c r="D1039" s="27" t="str">
        <f>INFORME!D100</f>
        <v>fijos</v>
      </c>
      <c r="F1039" s="27">
        <f>INFORME!E100</f>
        <v>0</v>
      </c>
      <c r="G1039" s="27" t="e">
        <f>'5años'!E97</f>
        <v>#REF!</v>
      </c>
      <c r="I1039" s="27" t="e">
        <f>'5años'!F97</f>
        <v>#REF!</v>
      </c>
      <c r="K1039" s="27" t="e">
        <f>'5años'!G97</f>
        <v>#REF!</v>
      </c>
      <c r="M1039" s="27" t="e">
        <f>'5años'!H97</f>
        <v>#REF!</v>
      </c>
      <c r="W1039" s="60"/>
      <c r="CC1039" s="61"/>
    </row>
    <row r="1040" spans="3:81" s="27" customFormat="1" ht="11.25" hidden="1" x14ac:dyDescent="0.2">
      <c r="C1040" s="60"/>
      <c r="W1040" s="60"/>
      <c r="CC1040" s="61"/>
    </row>
    <row r="1041" spans="3:81" s="27" customFormat="1" ht="11.25" hidden="1" x14ac:dyDescent="0.2">
      <c r="C1041" s="60"/>
      <c r="D1041" s="27" t="str">
        <f>INFORME!D102</f>
        <v>Personal</v>
      </c>
      <c r="F1041" s="27">
        <f>INFORME!E102</f>
        <v>0</v>
      </c>
      <c r="G1041" s="27" t="e">
        <f>SUM(G1042:G1046)</f>
        <v>#REF!</v>
      </c>
      <c r="I1041" s="27" t="e">
        <f>SUM(I1042:I1046)</f>
        <v>#REF!</v>
      </c>
      <c r="K1041" s="27" t="e">
        <f>SUM(K1042:K1046)</f>
        <v>#REF!</v>
      </c>
      <c r="M1041" s="27" t="e">
        <f>SUM(M1042:M1046)</f>
        <v>#REF!</v>
      </c>
      <c r="W1041" s="60"/>
      <c r="CC1041" s="61"/>
    </row>
    <row r="1042" spans="3:81" s="27" customFormat="1" ht="11.25" hidden="1" x14ac:dyDescent="0.2">
      <c r="C1042" s="60"/>
      <c r="D1042" s="27" t="str">
        <f>INFORME!D103</f>
        <v>comisiones</v>
      </c>
      <c r="F1042" s="27">
        <f>INFORME!E103</f>
        <v>0</v>
      </c>
      <c r="G1042" s="27" t="e">
        <f>'5años'!E100</f>
        <v>#REF!</v>
      </c>
      <c r="I1042" s="27" t="e">
        <f>'5años'!F100</f>
        <v>#REF!</v>
      </c>
      <c r="K1042" s="27" t="e">
        <f>'5años'!G100</f>
        <v>#REF!</v>
      </c>
      <c r="M1042" s="27" t="e">
        <f>'5años'!H100</f>
        <v>#REF!</v>
      </c>
      <c r="W1042" s="60"/>
      <c r="CC1042" s="61"/>
    </row>
    <row r="1043" spans="3:81" s="27" customFormat="1" ht="11.25" hidden="1" x14ac:dyDescent="0.2">
      <c r="C1043" s="60"/>
      <c r="D1043" s="27" t="e">
        <f>INFORME!#REF!</f>
        <v>#REF!</v>
      </c>
      <c r="F1043" s="27" t="e">
        <f>INFORME!#REF!</f>
        <v>#REF!</v>
      </c>
      <c r="G1043" s="27">
        <f>'5años'!E101</f>
        <v>0</v>
      </c>
      <c r="I1043" s="27">
        <f>'5años'!F101</f>
        <v>0</v>
      </c>
      <c r="K1043" s="27">
        <f>'5años'!G101</f>
        <v>0</v>
      </c>
      <c r="M1043" s="27">
        <f>'5años'!H101</f>
        <v>0</v>
      </c>
      <c r="W1043" s="60"/>
      <c r="CC1043" s="61"/>
    </row>
    <row r="1044" spans="3:81" s="27" customFormat="1" ht="11.25" hidden="1" x14ac:dyDescent="0.2">
      <c r="C1044" s="60"/>
      <c r="D1044" s="27" t="str">
        <f>INFORME!D104</f>
        <v>producción/servicio</v>
      </c>
      <c r="F1044" s="27">
        <f>INFORME!E104</f>
        <v>0</v>
      </c>
      <c r="G1044" s="27" t="e">
        <f>'5años'!E102</f>
        <v>#REF!</v>
      </c>
      <c r="I1044" s="27" t="e">
        <f>'5años'!F102</f>
        <v>#REF!</v>
      </c>
      <c r="K1044" s="27" t="e">
        <f>'5años'!G102</f>
        <v>#REF!</v>
      </c>
      <c r="M1044" s="27" t="e">
        <f>'5años'!H102</f>
        <v>#REF!</v>
      </c>
      <c r="W1044" s="60"/>
      <c r="CC1044" s="61"/>
    </row>
    <row r="1045" spans="3:81" s="27" customFormat="1" ht="11.25" hidden="1" x14ac:dyDescent="0.2">
      <c r="C1045" s="60"/>
      <c r="D1045" s="27" t="str">
        <f>INFORME!D105</f>
        <v>marketing/ventas</v>
      </c>
      <c r="F1045" s="27">
        <f>INFORME!E105</f>
        <v>0</v>
      </c>
      <c r="G1045" s="27" t="e">
        <f>'5años'!E103</f>
        <v>#REF!</v>
      </c>
      <c r="I1045" s="27" t="e">
        <f>'5años'!F103</f>
        <v>#REF!</v>
      </c>
      <c r="K1045" s="27" t="e">
        <f>'5años'!G103</f>
        <v>#REF!</v>
      </c>
      <c r="M1045" s="27" t="e">
        <f>'5años'!H103</f>
        <v>#REF!</v>
      </c>
      <c r="W1045" s="60"/>
      <c r="CC1045" s="61"/>
    </row>
    <row r="1046" spans="3:81" s="27" customFormat="1" ht="11.25" hidden="1" x14ac:dyDescent="0.2">
      <c r="C1046" s="60"/>
      <c r="D1046" s="27" t="str">
        <f>INFORME!D106</f>
        <v>administración/DG</v>
      </c>
      <c r="F1046" s="27">
        <f>INFORME!E106</f>
        <v>0</v>
      </c>
      <c r="G1046" s="27" t="e">
        <f>'5años'!E104</f>
        <v>#REF!</v>
      </c>
      <c r="I1046" s="27" t="e">
        <f>'5años'!F104</f>
        <v>#REF!</v>
      </c>
      <c r="K1046" s="27" t="e">
        <f>'5años'!G104</f>
        <v>#REF!</v>
      </c>
      <c r="M1046" s="27" t="e">
        <f>'5años'!H104</f>
        <v>#REF!</v>
      </c>
      <c r="W1046" s="60"/>
      <c r="CC1046" s="61"/>
    </row>
    <row r="1047" spans="3:81" s="27" customFormat="1" ht="11.25" hidden="1" x14ac:dyDescent="0.2">
      <c r="C1047" s="60"/>
      <c r="W1047" s="60"/>
      <c r="CC1047" s="61"/>
    </row>
    <row r="1048" spans="3:81" s="27" customFormat="1" ht="11.25" hidden="1" x14ac:dyDescent="0.2">
      <c r="C1048" s="60"/>
      <c r="D1048" s="27" t="str">
        <f>INFORME!D108</f>
        <v>Marketing y ventas</v>
      </c>
      <c r="F1048" s="27">
        <f>INFORME!E108</f>
        <v>0</v>
      </c>
      <c r="G1048" s="27" t="e">
        <f>SUM(G1049:G1052)</f>
        <v>#REF!</v>
      </c>
      <c r="I1048" s="27" t="e">
        <f>SUM(I1049:I1052)</f>
        <v>#REF!</v>
      </c>
      <c r="K1048" s="27" t="e">
        <f>SUM(K1049:K1052)</f>
        <v>#REF!</v>
      </c>
      <c r="M1048" s="27" t="e">
        <f>SUM(M1049:M1052)</f>
        <v>#REF!</v>
      </c>
      <c r="W1048" s="60"/>
      <c r="CC1048" s="61"/>
    </row>
    <row r="1049" spans="3:81" s="27" customFormat="1" ht="11.25" hidden="1" x14ac:dyDescent="0.2">
      <c r="C1049" s="60"/>
      <c r="D1049" s="27" t="str">
        <f>INFORME!D109</f>
        <v xml:space="preserve">Publicidad </v>
      </c>
      <c r="F1049" s="27">
        <f>INFORME!E109</f>
        <v>0</v>
      </c>
      <c r="G1049" s="27" t="e">
        <f>'5años'!E108</f>
        <v>#REF!</v>
      </c>
      <c r="I1049" s="27" t="e">
        <f>'5años'!F108</f>
        <v>#REF!</v>
      </c>
      <c r="K1049" s="27" t="e">
        <f>'5años'!G108</f>
        <v>#REF!</v>
      </c>
      <c r="M1049" s="27" t="e">
        <f>'5años'!H108</f>
        <v>#REF!</v>
      </c>
      <c r="W1049" s="60"/>
      <c r="CC1049" s="61"/>
    </row>
    <row r="1050" spans="3:81" s="27" customFormat="1" ht="11.25" hidden="1" x14ac:dyDescent="0.2">
      <c r="C1050" s="60"/>
      <c r="D1050" s="27" t="str">
        <f>INFORME!D110</f>
        <v>Relaciones Púb.</v>
      </c>
      <c r="F1050" s="27">
        <f>INFORME!E110</f>
        <v>0</v>
      </c>
      <c r="G1050" s="27" t="e">
        <f>'5años'!E109</f>
        <v>#REF!</v>
      </c>
      <c r="I1050" s="27" t="e">
        <f>'5años'!F109</f>
        <v>#REF!</v>
      </c>
      <c r="K1050" s="27" t="e">
        <f>'5años'!G109</f>
        <v>#REF!</v>
      </c>
      <c r="M1050" s="27" t="e">
        <f>'5años'!H109</f>
        <v>#REF!</v>
      </c>
      <c r="W1050" s="60"/>
      <c r="CC1050" s="61"/>
    </row>
    <row r="1051" spans="3:81" s="27" customFormat="1" ht="11.25" hidden="1" x14ac:dyDescent="0.2">
      <c r="C1051" s="60"/>
      <c r="D1051" s="27" t="str">
        <f>INFORME!D111</f>
        <v>Varios ventas</v>
      </c>
      <c r="F1051" s="27">
        <f>INFORME!E111</f>
        <v>0</v>
      </c>
      <c r="G1051" s="27" t="e">
        <f>'5años'!E110</f>
        <v>#REF!</v>
      </c>
      <c r="I1051" s="27" t="e">
        <f>'5años'!F110</f>
        <v>#REF!</v>
      </c>
      <c r="K1051" s="27" t="e">
        <f>'5años'!G110</f>
        <v>#REF!</v>
      </c>
      <c r="M1051" s="27" t="e">
        <f>'5años'!H110</f>
        <v>#REF!</v>
      </c>
      <c r="W1051" s="60"/>
      <c r="CC1051" s="61"/>
    </row>
    <row r="1052" spans="3:81" s="27" customFormat="1" ht="11.25" hidden="1" x14ac:dyDescent="0.2">
      <c r="C1052" s="60"/>
      <c r="D1052" s="27" t="str">
        <f>INFORME!D112</f>
        <v>variables</v>
      </c>
      <c r="F1052" s="27">
        <f>INFORME!E112</f>
        <v>0</v>
      </c>
      <c r="G1052" s="27">
        <f>'5años'!E111</f>
        <v>0</v>
      </c>
      <c r="I1052" s="27">
        <f>'5años'!F111</f>
        <v>0</v>
      </c>
      <c r="K1052" s="27">
        <f>'5años'!G111</f>
        <v>0</v>
      </c>
      <c r="M1052" s="27">
        <f>'5años'!H111</f>
        <v>0</v>
      </c>
      <c r="W1052" s="60"/>
      <c r="CC1052" s="61"/>
    </row>
    <row r="1053" spans="3:81" s="27" customFormat="1" ht="11.25" hidden="1" x14ac:dyDescent="0.2">
      <c r="C1053" s="60"/>
      <c r="W1053" s="60"/>
      <c r="CC1053" s="61"/>
    </row>
    <row r="1054" spans="3:81" s="27" customFormat="1" ht="11.25" hidden="1" x14ac:dyDescent="0.2">
      <c r="C1054" s="60"/>
      <c r="D1054" s="27" t="str">
        <f>INFORME!D114</f>
        <v>Generales y adm</v>
      </c>
      <c r="F1054" s="27">
        <f>INFORME!E114</f>
        <v>0</v>
      </c>
      <c r="G1054" s="27" t="e">
        <f>SUM(G1055:G1065)</f>
        <v>#REF!</v>
      </c>
      <c r="I1054" s="27" t="e">
        <f>SUM(I1055:I1065)</f>
        <v>#REF!</v>
      </c>
      <c r="K1054" s="27" t="e">
        <f>SUM(K1055:K1065)</f>
        <v>#REF!</v>
      </c>
      <c r="M1054" s="27" t="e">
        <f>SUM(M1055:M1065)</f>
        <v>#REF!</v>
      </c>
      <c r="W1054" s="60"/>
      <c r="CC1054" s="61"/>
    </row>
    <row r="1055" spans="3:81" s="27" customFormat="1" ht="11.25" hidden="1" x14ac:dyDescent="0.2">
      <c r="C1055" s="60"/>
      <c r="D1055" s="27" t="str">
        <f>INFORME!D115</f>
        <v>Gastos I+D</v>
      </c>
      <c r="F1055" s="27">
        <f>INFORME!E115</f>
        <v>0</v>
      </c>
      <c r="G1055" s="27" t="e">
        <f>'5años'!E114</f>
        <v>#REF!</v>
      </c>
      <c r="I1055" s="27" t="e">
        <f>'5años'!F114</f>
        <v>#REF!</v>
      </c>
      <c r="K1055" s="27" t="e">
        <f>'5años'!G114</f>
        <v>#REF!</v>
      </c>
      <c r="M1055" s="27" t="e">
        <f>'5años'!H114</f>
        <v>#REF!</v>
      </c>
      <c r="W1055" s="60"/>
      <c r="CC1055" s="61"/>
    </row>
    <row r="1056" spans="3:81" s="27" customFormat="1" ht="11.25" hidden="1" x14ac:dyDescent="0.2">
      <c r="C1056" s="60"/>
      <c r="D1056" s="27" t="str">
        <f>INFORME!D116</f>
        <v>Arrendamientos</v>
      </c>
      <c r="F1056" s="27">
        <f>INFORME!E116</f>
        <v>0</v>
      </c>
      <c r="G1056" s="27" t="e">
        <f>'5años'!E115</f>
        <v>#REF!</v>
      </c>
      <c r="I1056" s="27" t="e">
        <f>'5años'!F115</f>
        <v>#REF!</v>
      </c>
      <c r="K1056" s="27" t="e">
        <f>'5años'!G115</f>
        <v>#REF!</v>
      </c>
      <c r="M1056" s="27" t="e">
        <f>'5años'!H115</f>
        <v>#REF!</v>
      </c>
      <c r="W1056" s="60"/>
      <c r="CC1056" s="61"/>
    </row>
    <row r="1057" spans="3:81" s="27" customFormat="1" ht="11.25" hidden="1" x14ac:dyDescent="0.2">
      <c r="C1057" s="60"/>
      <c r="D1057" s="27" t="str">
        <f>INFORME!D117</f>
        <v>Conservación</v>
      </c>
      <c r="F1057" s="27">
        <f>INFORME!E117</f>
        <v>0</v>
      </c>
      <c r="G1057" s="27" t="e">
        <f>'5años'!E116</f>
        <v>#REF!</v>
      </c>
      <c r="I1057" s="27" t="e">
        <f>'5años'!F116</f>
        <v>#REF!</v>
      </c>
      <c r="K1057" s="27" t="e">
        <f>'5años'!G116</f>
        <v>#REF!</v>
      </c>
      <c r="M1057" s="27" t="e">
        <f>'5años'!H116</f>
        <v>#REF!</v>
      </c>
      <c r="W1057" s="60"/>
      <c r="CC1057" s="61"/>
    </row>
    <row r="1058" spans="3:81" s="27" customFormat="1" ht="11.25" hidden="1" x14ac:dyDescent="0.2">
      <c r="C1058" s="60"/>
      <c r="D1058" s="27" t="str">
        <f>INFORME!D118</f>
        <v>S. Profesionales</v>
      </c>
      <c r="F1058" s="27">
        <f>INFORME!E118</f>
        <v>0</v>
      </c>
      <c r="G1058" s="27" t="e">
        <f>'5años'!E117</f>
        <v>#REF!</v>
      </c>
      <c r="I1058" s="27" t="e">
        <f>'5años'!F117</f>
        <v>#REF!</v>
      </c>
      <c r="K1058" s="27" t="e">
        <f>'5años'!G117</f>
        <v>#REF!</v>
      </c>
      <c r="M1058" s="27" t="e">
        <f>'5años'!H117</f>
        <v>#REF!</v>
      </c>
      <c r="W1058" s="60"/>
      <c r="CC1058" s="61"/>
    </row>
    <row r="1059" spans="3:81" s="27" customFormat="1" ht="11.25" hidden="1" x14ac:dyDescent="0.2">
      <c r="C1059" s="60"/>
      <c r="D1059" s="27" t="str">
        <f>INFORME!D119</f>
        <v>Tributos</v>
      </c>
      <c r="F1059" s="27">
        <f>INFORME!E119</f>
        <v>0</v>
      </c>
      <c r="G1059" s="27" t="e">
        <f>'5años'!E118</f>
        <v>#REF!</v>
      </c>
      <c r="I1059" s="27" t="e">
        <f>'5años'!F118</f>
        <v>#REF!</v>
      </c>
      <c r="K1059" s="27" t="e">
        <f>'5años'!G118</f>
        <v>#REF!</v>
      </c>
      <c r="M1059" s="27" t="e">
        <f>'5años'!H118</f>
        <v>#REF!</v>
      </c>
      <c r="W1059" s="60"/>
      <c r="CC1059" s="61"/>
    </row>
    <row r="1060" spans="3:81" s="27" customFormat="1" ht="11.25" hidden="1" x14ac:dyDescent="0.2">
      <c r="C1060" s="60"/>
      <c r="D1060" s="27" t="str">
        <f>INFORME!D120</f>
        <v>Seguros</v>
      </c>
      <c r="F1060" s="27">
        <f>INFORME!E120</f>
        <v>0</v>
      </c>
      <c r="G1060" s="27" t="e">
        <f>'5años'!E119</f>
        <v>#REF!</v>
      </c>
      <c r="I1060" s="27" t="e">
        <f>'5años'!F119</f>
        <v>#REF!</v>
      </c>
      <c r="K1060" s="27" t="e">
        <f>'5años'!G119</f>
        <v>#REF!</v>
      </c>
      <c r="M1060" s="27" t="e">
        <f>'5años'!H119</f>
        <v>#REF!</v>
      </c>
      <c r="W1060" s="60"/>
      <c r="CC1060" s="61"/>
    </row>
    <row r="1061" spans="3:81" s="27" customFormat="1" ht="11.25" hidden="1" x14ac:dyDescent="0.2">
      <c r="C1061" s="60"/>
      <c r="D1061" s="27" t="str">
        <f>INFORME!D121</f>
        <v>Otros servicios</v>
      </c>
      <c r="F1061" s="27">
        <f>INFORME!E121</f>
        <v>0</v>
      </c>
      <c r="G1061" s="27" t="e">
        <f>'5años'!E120</f>
        <v>#REF!</v>
      </c>
      <c r="I1061" s="27" t="e">
        <f>'5años'!F120</f>
        <v>#REF!</v>
      </c>
      <c r="K1061" s="27" t="e">
        <f>'5años'!G120</f>
        <v>#REF!</v>
      </c>
      <c r="M1061" s="27" t="e">
        <f>'5años'!H120</f>
        <v>#REF!</v>
      </c>
      <c r="W1061" s="60"/>
      <c r="CC1061" s="61"/>
    </row>
    <row r="1062" spans="3:81" s="27" customFormat="1" ht="11.25" hidden="1" x14ac:dyDescent="0.2">
      <c r="C1062" s="60"/>
      <c r="D1062" s="27" t="str">
        <f>INFORME!D122</f>
        <v>Suministros</v>
      </c>
      <c r="F1062" s="27">
        <f>INFORME!E122</f>
        <v>0</v>
      </c>
      <c r="G1062" s="27" t="e">
        <f>'5años'!E121</f>
        <v>#REF!</v>
      </c>
      <c r="I1062" s="27" t="e">
        <f>'5años'!F121</f>
        <v>#REF!</v>
      </c>
      <c r="K1062" s="27" t="e">
        <f>'5años'!G121</f>
        <v>#REF!</v>
      </c>
      <c r="M1062" s="27" t="e">
        <f>'5años'!H121</f>
        <v>#REF!</v>
      </c>
      <c r="W1062" s="60"/>
      <c r="CC1062" s="61"/>
    </row>
    <row r="1063" spans="3:81" s="27" customFormat="1" ht="11.25" hidden="1" x14ac:dyDescent="0.2">
      <c r="C1063" s="60"/>
      <c r="D1063" s="27" t="str">
        <f>INFORME!D123</f>
        <v>Viajes, dietas…</v>
      </c>
      <c r="F1063" s="27">
        <f>INFORME!E123</f>
        <v>0</v>
      </c>
      <c r="G1063" s="27" t="e">
        <f>'5años'!E122</f>
        <v>#REF!</v>
      </c>
      <c r="I1063" s="27" t="e">
        <f>'5años'!F122</f>
        <v>#REF!</v>
      </c>
      <c r="K1063" s="27" t="e">
        <f>'5años'!G122</f>
        <v>#REF!</v>
      </c>
      <c r="M1063" s="27" t="e">
        <f>'5años'!H122</f>
        <v>#REF!</v>
      </c>
      <c r="W1063" s="60"/>
      <c r="CC1063" s="61"/>
    </row>
    <row r="1064" spans="3:81" s="27" customFormat="1" ht="11.25" hidden="1" x14ac:dyDescent="0.2">
      <c r="C1064" s="60"/>
      <c r="D1064" s="27" t="str">
        <f>INFORME!D124</f>
        <v>Material Oficina</v>
      </c>
      <c r="F1064" s="27">
        <f>INFORME!E124</f>
        <v>0</v>
      </c>
      <c r="G1064" s="27" t="e">
        <f>'5años'!E123</f>
        <v>#REF!</v>
      </c>
      <c r="I1064" s="27" t="e">
        <f>'5años'!F123</f>
        <v>#REF!</v>
      </c>
      <c r="K1064" s="27" t="e">
        <f>'5años'!G123</f>
        <v>#REF!</v>
      </c>
      <c r="M1064" s="27" t="e">
        <f>'5años'!H123</f>
        <v>#REF!</v>
      </c>
      <c r="W1064" s="60"/>
      <c r="CC1064" s="61"/>
    </row>
    <row r="1065" spans="3:81" s="27" customFormat="1" ht="11.25" hidden="1" x14ac:dyDescent="0.2">
      <c r="C1065" s="60"/>
      <c r="D1065" s="27" t="str">
        <f>INFORME!D125</f>
        <v>Transportes</v>
      </c>
      <c r="F1065" s="27">
        <f>INFORME!E125</f>
        <v>0</v>
      </c>
      <c r="G1065" s="27" t="e">
        <f>'5años'!E124</f>
        <v>#REF!</v>
      </c>
      <c r="I1065" s="27" t="e">
        <f>'5años'!F124</f>
        <v>#REF!</v>
      </c>
      <c r="K1065" s="27" t="e">
        <f>'5años'!G124</f>
        <v>#REF!</v>
      </c>
      <c r="M1065" s="27" t="e">
        <f>'5años'!H124</f>
        <v>#REF!</v>
      </c>
      <c r="W1065" s="60"/>
      <c r="CC1065" s="61"/>
    </row>
    <row r="1066" spans="3:81" s="27" customFormat="1" ht="11.25" hidden="1" x14ac:dyDescent="0.2">
      <c r="C1066" s="60"/>
      <c r="W1066" s="60"/>
      <c r="CC1066" s="61"/>
    </row>
    <row r="1067" spans="3:81" s="27" customFormat="1" ht="11.25" hidden="1" x14ac:dyDescent="0.2">
      <c r="C1067" s="60"/>
      <c r="D1067" s="27" t="s">
        <v>950</v>
      </c>
      <c r="F1067" s="27">
        <f>INFORME!E131</f>
        <v>0</v>
      </c>
      <c r="G1067" s="27" t="e">
        <f>+SANDBOX!G1054+SANDBOX!G1048+SANDBOX!G1041+SANDBOX!G1037+#REF!+#REF!+#REF!</f>
        <v>#REF!</v>
      </c>
      <c r="I1067" s="27" t="e">
        <f>+SANDBOX!I1054+SANDBOX!I1048+SANDBOX!I1041+SANDBOX!I1037+#REF!+#REF!+#REF!</f>
        <v>#REF!</v>
      </c>
      <c r="K1067" s="27" t="e">
        <f>+SANDBOX!K1054+SANDBOX!K1048+SANDBOX!K1041+SANDBOX!K1037+#REF!+#REF!+#REF!</f>
        <v>#REF!</v>
      </c>
      <c r="M1067" s="27" t="e">
        <f>+SANDBOX!M1054+SANDBOX!M1048+SANDBOX!M1041+SANDBOX!M1037+#REF!+#REF!+#REF!</f>
        <v>#REF!</v>
      </c>
      <c r="W1067" s="60"/>
      <c r="CC1067" s="61"/>
    </row>
    <row r="1068" spans="3:81" s="27" customFormat="1" ht="11.25" hidden="1" x14ac:dyDescent="0.2">
      <c r="C1068" s="60"/>
      <c r="W1068" s="60"/>
      <c r="CC1068" s="61"/>
    </row>
    <row r="1069" spans="3:81" s="27" customFormat="1" ht="11.25" hidden="1" x14ac:dyDescent="0.2">
      <c r="C1069" s="60"/>
      <c r="W1069" s="60"/>
      <c r="CC1069" s="61"/>
    </row>
    <row r="1070" spans="3:81" s="27" customFormat="1" ht="11.25" hidden="1" x14ac:dyDescent="0.2">
      <c r="C1070" s="60"/>
      <c r="W1070" s="60"/>
      <c r="CC1070" s="61"/>
    </row>
    <row r="1071" spans="3:81" s="27" customFormat="1" ht="11.25" hidden="1" x14ac:dyDescent="0.2">
      <c r="C1071" s="60"/>
      <c r="W1071" s="60"/>
      <c r="CC1071" s="61"/>
    </row>
    <row r="1072" spans="3:81" s="27" customFormat="1" ht="11.25" hidden="1" x14ac:dyDescent="0.2">
      <c r="C1072" s="60"/>
      <c r="W1072" s="60"/>
      <c r="CC1072" s="61"/>
    </row>
    <row r="1073" spans="3:81" s="27" customFormat="1" ht="11.25" hidden="1" x14ac:dyDescent="0.2">
      <c r="C1073" s="60"/>
      <c r="W1073" s="60"/>
      <c r="CC1073" s="61"/>
    </row>
    <row r="1074" spans="3:81" s="27" customFormat="1" ht="11.25" hidden="1" x14ac:dyDescent="0.2">
      <c r="C1074" s="60"/>
      <c r="W1074" s="60"/>
      <c r="CC1074" s="61"/>
    </row>
    <row r="1075" spans="3:81" s="27" customFormat="1" ht="11.25" hidden="1" x14ac:dyDescent="0.2">
      <c r="C1075" s="60"/>
      <c r="W1075" s="60"/>
      <c r="CC1075" s="61"/>
    </row>
    <row r="1076" spans="3:81" s="27" customFormat="1" ht="11.25" hidden="1" x14ac:dyDescent="0.2">
      <c r="C1076" s="60"/>
      <c r="W1076" s="60"/>
      <c r="CC1076" s="61"/>
    </row>
    <row r="1077" spans="3:81" s="27" customFormat="1" ht="11.25" hidden="1" x14ac:dyDescent="0.2">
      <c r="C1077" s="60"/>
      <c r="W1077" s="60"/>
      <c r="CC1077" s="61"/>
    </row>
    <row r="1078" spans="3:81" s="27" customFormat="1" ht="11.25" hidden="1" x14ac:dyDescent="0.2">
      <c r="C1078" s="60"/>
      <c r="W1078" s="60"/>
      <c r="CC1078" s="61"/>
    </row>
    <row r="1079" spans="3:81" s="27" customFormat="1" ht="11.25" hidden="1" x14ac:dyDescent="0.2">
      <c r="C1079" s="60"/>
      <c r="W1079" s="60"/>
      <c r="CC1079" s="61"/>
    </row>
    <row r="1080" spans="3:81" s="27" customFormat="1" ht="11.25" hidden="1" x14ac:dyDescent="0.2">
      <c r="C1080" s="60"/>
      <c r="W1080" s="60"/>
      <c r="CC1080" s="61"/>
    </row>
    <row r="1081" spans="3:81" s="27" customFormat="1" ht="11.25" hidden="1" x14ac:dyDescent="0.2">
      <c r="C1081" s="60"/>
      <c r="W1081" s="60"/>
      <c r="CC1081" s="61"/>
    </row>
    <row r="1082" spans="3:81" s="27" customFormat="1" ht="11.25" hidden="1" x14ac:dyDescent="0.2">
      <c r="C1082" s="60"/>
      <c r="W1082" s="60"/>
      <c r="CC1082" s="61"/>
    </row>
    <row r="1083" spans="3:81" s="27" customFormat="1" ht="11.25" hidden="1" x14ac:dyDescent="0.2">
      <c r="C1083" s="60"/>
      <c r="W1083" s="60"/>
      <c r="CC1083" s="61"/>
    </row>
    <row r="1084" spans="3:81" s="27" customFormat="1" ht="11.25" hidden="1" x14ac:dyDescent="0.2">
      <c r="C1084" s="60"/>
      <c r="W1084" s="60"/>
      <c r="CC1084" s="61"/>
    </row>
    <row r="1085" spans="3:81" s="27" customFormat="1" ht="11.25" hidden="1" x14ac:dyDescent="0.2">
      <c r="C1085" s="60"/>
      <c r="W1085" s="60"/>
      <c r="CC1085" s="61"/>
    </row>
    <row r="1086" spans="3:81" s="27" customFormat="1" ht="11.25" hidden="1" x14ac:dyDescent="0.2">
      <c r="C1086" s="60"/>
      <c r="W1086" s="60"/>
      <c r="CC1086" s="61"/>
    </row>
    <row r="1087" spans="3:81" s="27" customFormat="1" ht="11.25" hidden="1" x14ac:dyDescent="0.2">
      <c r="C1087" s="60"/>
      <c r="W1087" s="60"/>
      <c r="CC1087" s="61"/>
    </row>
    <row r="1088" spans="3:81" s="27" customFormat="1" ht="11.25" hidden="1" x14ac:dyDescent="0.2">
      <c r="C1088" s="60"/>
      <c r="W1088" s="60"/>
      <c r="CC1088" s="61"/>
    </row>
    <row r="1089" spans="3:81" s="27" customFormat="1" ht="11.25" hidden="1" x14ac:dyDescent="0.2">
      <c r="C1089" s="60"/>
      <c r="W1089" s="60"/>
      <c r="CC1089" s="61"/>
    </row>
    <row r="1090" spans="3:81" s="27" customFormat="1" ht="11.25" hidden="1" x14ac:dyDescent="0.2">
      <c r="C1090" s="60"/>
      <c r="W1090" s="60"/>
      <c r="CC1090" s="61"/>
    </row>
    <row r="1091" spans="3:81" s="27" customFormat="1" ht="11.25" hidden="1" x14ac:dyDescent="0.2">
      <c r="C1091" s="60"/>
      <c r="D1091" s="27" t="s">
        <v>1043</v>
      </c>
      <c r="W1091" s="60"/>
      <c r="CC1091" s="61"/>
    </row>
    <row r="1092" spans="3:81" s="27" customFormat="1" ht="11.25" hidden="1" x14ac:dyDescent="0.2">
      <c r="C1092" s="60"/>
      <c r="D1092" s="27" t="s">
        <v>1044</v>
      </c>
      <c r="W1092" s="60"/>
      <c r="CC1092" s="61"/>
    </row>
    <row r="1093" spans="3:81" s="27" customFormat="1" ht="11.25" hidden="1" x14ac:dyDescent="0.2">
      <c r="C1093" s="60"/>
      <c r="W1093" s="60"/>
      <c r="CC1093" s="61"/>
    </row>
    <row r="1094" spans="3:81" s="27" customFormat="1" ht="11.25" hidden="1" x14ac:dyDescent="0.2">
      <c r="C1094" s="65"/>
      <c r="D1094" s="66"/>
      <c r="E1094" s="66"/>
      <c r="F1094" s="66"/>
      <c r="G1094" s="66"/>
      <c r="H1094" s="66"/>
      <c r="I1094" s="66"/>
      <c r="J1094" s="66"/>
      <c r="K1094" s="66"/>
      <c r="L1094" s="66"/>
      <c r="M1094" s="66"/>
      <c r="N1094" s="66"/>
      <c r="O1094" s="66"/>
      <c r="P1094" s="66"/>
      <c r="Q1094" s="66"/>
      <c r="R1094" s="66"/>
      <c r="S1094" s="66"/>
      <c r="T1094" s="66"/>
      <c r="U1094" s="66"/>
      <c r="V1094" s="66"/>
      <c r="W1094" s="65"/>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7"/>
    </row>
    <row r="1095" spans="3:81" s="27" customFormat="1" ht="11.25" hidden="1" x14ac:dyDescent="0.2"/>
    <row r="1096" spans="3:81" s="27" customFormat="1" ht="11.25" hidden="1" x14ac:dyDescent="0.2">
      <c r="D1096" s="27" t="s">
        <v>1059</v>
      </c>
    </row>
    <row r="1097" spans="3:81" s="27" customFormat="1" ht="11.25" hidden="1" x14ac:dyDescent="0.2">
      <c r="C1097" s="62"/>
      <c r="D1097" s="63" t="s">
        <v>564</v>
      </c>
      <c r="E1097" s="63"/>
      <c r="F1097" s="63"/>
      <c r="G1097" s="64">
        <f>IF('6'!F8=0,100%,IF('6'!F$8=D1097,100%,0))</f>
        <v>1</v>
      </c>
    </row>
    <row r="1098" spans="3:81" s="27" customFormat="1" ht="11.25" hidden="1" x14ac:dyDescent="0.2">
      <c r="C1098" s="60"/>
      <c r="D1098" s="27" t="s">
        <v>1053</v>
      </c>
      <c r="G1098" s="61">
        <f>IF('6'!F$8=D1098,100%,0)</f>
        <v>0</v>
      </c>
    </row>
    <row r="1099" spans="3:81" s="27" customFormat="1" ht="11.25" hidden="1" x14ac:dyDescent="0.2">
      <c r="C1099" s="60"/>
      <c r="D1099" s="27" t="s">
        <v>1054</v>
      </c>
      <c r="G1099" s="61">
        <f>IF('6'!F$8=D1099,100%,0)</f>
        <v>0</v>
      </c>
    </row>
    <row r="1100" spans="3:81" s="27" customFormat="1" ht="11.25" hidden="1" x14ac:dyDescent="0.2">
      <c r="C1100" s="60"/>
      <c r="D1100" s="27" t="s">
        <v>1055</v>
      </c>
      <c r="G1100" s="61">
        <f>IF('6'!F$8=D1100,100%,0)</f>
        <v>0</v>
      </c>
    </row>
    <row r="1101" spans="3:81" s="27" customFormat="1" ht="11.25" hidden="1" x14ac:dyDescent="0.2">
      <c r="C1101" s="60"/>
      <c r="D1101" s="27" t="s">
        <v>1056</v>
      </c>
      <c r="G1101" s="61">
        <f>IF('6'!F$8=D1101,100%,0)</f>
        <v>0</v>
      </c>
    </row>
    <row r="1102" spans="3:81" s="27" customFormat="1" ht="11.25" hidden="1" x14ac:dyDescent="0.2">
      <c r="C1102" s="60"/>
      <c r="D1102" s="27" t="s">
        <v>1057</v>
      </c>
      <c r="G1102" s="61">
        <f>IF('6'!F$8=D1102,100%,0)</f>
        <v>0</v>
      </c>
    </row>
    <row r="1103" spans="3:81" s="27" customFormat="1" ht="11.25" hidden="1" x14ac:dyDescent="0.2">
      <c r="C1103" s="60"/>
      <c r="D1103" s="27" t="s">
        <v>1058</v>
      </c>
      <c r="G1103" s="61">
        <f>IF('6'!F$8=D1103,100%,0)</f>
        <v>0</v>
      </c>
    </row>
    <row r="1104" spans="3:81" s="27" customFormat="1" ht="11.25" hidden="1" x14ac:dyDescent="0.2">
      <c r="C1104" s="65"/>
      <c r="D1104" s="66"/>
      <c r="E1104" s="66"/>
      <c r="F1104" s="66"/>
      <c r="G1104" s="67">
        <f>SUM(G1097:G1103)</f>
        <v>1</v>
      </c>
    </row>
    <row r="1105" s="27" customFormat="1" ht="11.25" hidden="1" x14ac:dyDescent="0.2"/>
    <row r="1106" s="27" customFormat="1" ht="11.25" x14ac:dyDescent="0.2"/>
    <row r="1107" s="27" customFormat="1" ht="11.25" x14ac:dyDescent="0.2"/>
    <row r="1108" s="27" customFormat="1" ht="11.25" x14ac:dyDescent="0.2"/>
    <row r="1109" s="27" customFormat="1" ht="11.25" x14ac:dyDescent="0.2"/>
    <row r="1110" s="27" customFormat="1" ht="11.25" x14ac:dyDescent="0.2"/>
    <row r="1111" s="27" customFormat="1" ht="11.25" x14ac:dyDescent="0.2"/>
    <row r="1112" s="27" customFormat="1" ht="11.25" x14ac:dyDescent="0.2"/>
    <row r="1113" s="27" customFormat="1" ht="11.25" x14ac:dyDescent="0.2"/>
    <row r="1114" s="27" customFormat="1" ht="11.25" x14ac:dyDescent="0.2"/>
    <row r="1115" s="27" customFormat="1" ht="11.25" x14ac:dyDescent="0.2"/>
    <row r="1116" s="27" customFormat="1" ht="11.25" x14ac:dyDescent="0.2"/>
    <row r="1117" s="27" customFormat="1" ht="11.25" x14ac:dyDescent="0.2"/>
    <row r="1118" s="27" customFormat="1" ht="11.25" x14ac:dyDescent="0.2"/>
    <row r="1119" s="27" customFormat="1" ht="11.25" x14ac:dyDescent="0.2"/>
    <row r="1120" s="27" customFormat="1" ht="11.25" x14ac:dyDescent="0.2"/>
    <row r="1121" s="27" customFormat="1" ht="11.25" x14ac:dyDescent="0.2"/>
    <row r="1122" s="27" customFormat="1" ht="11.25" x14ac:dyDescent="0.2"/>
    <row r="1123" s="27" customFormat="1" ht="11.25" x14ac:dyDescent="0.2"/>
    <row r="1124" s="27" customFormat="1" ht="11.25" x14ac:dyDescent="0.2"/>
    <row r="1125" s="27" customFormat="1" ht="11.25" x14ac:dyDescent="0.2"/>
    <row r="1126" s="27" customFormat="1" ht="11.25" x14ac:dyDescent="0.2"/>
    <row r="1127" s="27" customFormat="1" ht="11.25" x14ac:dyDescent="0.2"/>
    <row r="1128" s="27" customFormat="1" ht="11.25" x14ac:dyDescent="0.2"/>
    <row r="1129" s="27" customFormat="1" ht="11.25" x14ac:dyDescent="0.2"/>
    <row r="1130" s="27" customFormat="1" ht="11.25" x14ac:dyDescent="0.2"/>
    <row r="1131" s="27" customFormat="1" ht="11.25" x14ac:dyDescent="0.2"/>
    <row r="1132" s="27" customFormat="1" ht="11.25" x14ac:dyDescent="0.2"/>
    <row r="1133" s="27" customFormat="1" ht="11.25" x14ac:dyDescent="0.2"/>
    <row r="1134" s="27" customFormat="1" ht="11.25" x14ac:dyDescent="0.2"/>
    <row r="1135" s="27" customFormat="1" ht="11.25" x14ac:dyDescent="0.2"/>
    <row r="1136" s="27" customFormat="1" ht="11.25" x14ac:dyDescent="0.2"/>
    <row r="1137" s="27" customFormat="1" ht="11.25" x14ac:dyDescent="0.2"/>
    <row r="1138" s="27" customFormat="1" ht="11.25" x14ac:dyDescent="0.2"/>
    <row r="1139" s="27" customFormat="1" ht="11.25" x14ac:dyDescent="0.2"/>
    <row r="1140" s="27" customFormat="1" ht="11.25" x14ac:dyDescent="0.2"/>
    <row r="1141" s="27" customFormat="1" ht="11.25" x14ac:dyDescent="0.2"/>
    <row r="1142" s="27" customFormat="1" ht="11.25" x14ac:dyDescent="0.2"/>
    <row r="1143" s="27" customFormat="1" ht="11.25" x14ac:dyDescent="0.2"/>
    <row r="1144" s="27" customFormat="1" ht="11.25" x14ac:dyDescent="0.2"/>
    <row r="1145" s="27" customFormat="1" ht="11.25" x14ac:dyDescent="0.2"/>
    <row r="1146" s="27" customFormat="1" ht="11.25" x14ac:dyDescent="0.2"/>
    <row r="1147" s="27" customFormat="1" ht="11.25" x14ac:dyDescent="0.2"/>
    <row r="1148" s="27" customFormat="1" ht="11.25" x14ac:dyDescent="0.2"/>
    <row r="1149" s="27" customFormat="1" ht="11.25" x14ac:dyDescent="0.2"/>
    <row r="1150" s="27" customFormat="1" ht="11.25" x14ac:dyDescent="0.2"/>
    <row r="1151" s="27" customFormat="1" ht="11.25" x14ac:dyDescent="0.2"/>
    <row r="1152" s="27" customFormat="1" ht="11.25" x14ac:dyDescent="0.2"/>
    <row r="1153" s="27" customFormat="1" ht="11.25" x14ac:dyDescent="0.2"/>
    <row r="1154" s="27" customFormat="1" ht="11.25" x14ac:dyDescent="0.2"/>
    <row r="1155" s="27" customFormat="1" ht="11.25" x14ac:dyDescent="0.2"/>
    <row r="1156" s="27" customFormat="1" ht="11.25" x14ac:dyDescent="0.2"/>
    <row r="1157" s="27" customFormat="1" ht="11.25" x14ac:dyDescent="0.2"/>
    <row r="1158" s="27" customFormat="1" ht="11.25" x14ac:dyDescent="0.2"/>
    <row r="1159" s="27" customFormat="1" ht="11.25" x14ac:dyDescent="0.2"/>
    <row r="1160" s="27" customFormat="1" ht="11.25" x14ac:dyDescent="0.2"/>
    <row r="1161" s="27" customFormat="1" ht="11.25" x14ac:dyDescent="0.2"/>
    <row r="1162" s="27" customFormat="1" ht="11.25" x14ac:dyDescent="0.2"/>
    <row r="1163" s="27" customFormat="1" ht="11.25" x14ac:dyDescent="0.2"/>
    <row r="1164" s="27" customFormat="1" ht="11.25" x14ac:dyDescent="0.2"/>
    <row r="1165" s="27" customFormat="1" ht="11.25" x14ac:dyDescent="0.2"/>
    <row r="1166" s="27" customFormat="1" ht="11.25" x14ac:dyDescent="0.2"/>
    <row r="1167" s="27" customFormat="1" ht="11.25" x14ac:dyDescent="0.2"/>
    <row r="1168" s="27" customFormat="1" ht="11.25" x14ac:dyDescent="0.2"/>
    <row r="1169" s="27" customFormat="1" ht="11.25" x14ac:dyDescent="0.2"/>
    <row r="1170" s="27" customFormat="1" ht="11.25" x14ac:dyDescent="0.2"/>
    <row r="1171" s="27" customFormat="1" ht="11.25" x14ac:dyDescent="0.2"/>
    <row r="1172" s="27" customFormat="1" ht="11.25" x14ac:dyDescent="0.2"/>
    <row r="1173" s="27" customFormat="1" ht="11.25" x14ac:dyDescent="0.2"/>
    <row r="1174" s="27" customFormat="1" ht="11.25" x14ac:dyDescent="0.2"/>
    <row r="1175" s="27" customFormat="1" ht="11.25" x14ac:dyDescent="0.2"/>
    <row r="1176" s="27" customFormat="1" ht="11.25" x14ac:dyDescent="0.2"/>
    <row r="1177" s="27" customFormat="1" ht="11.25" x14ac:dyDescent="0.2"/>
    <row r="1178" s="27" customFormat="1" ht="11.25" x14ac:dyDescent="0.2"/>
    <row r="1179" s="27" customFormat="1" ht="11.25" x14ac:dyDescent="0.2"/>
    <row r="1180" s="27" customFormat="1" ht="11.25" x14ac:dyDescent="0.2"/>
    <row r="1181" s="27" customFormat="1" ht="11.25" x14ac:dyDescent="0.2"/>
    <row r="1182" s="27" customFormat="1" ht="11.25" x14ac:dyDescent="0.2"/>
    <row r="1183" s="27" customFormat="1" ht="11.25" x14ac:dyDescent="0.2"/>
    <row r="1184" s="27" customFormat="1" ht="11.25" x14ac:dyDescent="0.2"/>
    <row r="1185" s="27" customFormat="1" ht="11.25" x14ac:dyDescent="0.2"/>
    <row r="1186" s="27" customFormat="1" ht="11.25" x14ac:dyDescent="0.2"/>
    <row r="1187" s="27" customFormat="1" ht="11.25" x14ac:dyDescent="0.2"/>
    <row r="1188" s="27" customFormat="1" ht="11.25" x14ac:dyDescent="0.2"/>
    <row r="1189" s="27" customFormat="1" ht="11.25" x14ac:dyDescent="0.2"/>
    <row r="1190" s="27" customFormat="1" ht="11.25" x14ac:dyDescent="0.2"/>
    <row r="1191" s="27" customFormat="1" ht="11.25" x14ac:dyDescent="0.2"/>
    <row r="1192" s="27" customFormat="1" ht="11.25" x14ac:dyDescent="0.2"/>
    <row r="1193" s="27" customFormat="1" ht="11.25" x14ac:dyDescent="0.2"/>
    <row r="1194" s="27" customFormat="1" ht="11.25" x14ac:dyDescent="0.2"/>
    <row r="1195" s="27" customFormat="1" ht="11.25" x14ac:dyDescent="0.2"/>
    <row r="1196" s="27" customFormat="1" ht="11.25" x14ac:dyDescent="0.2"/>
    <row r="1197" s="27" customFormat="1" ht="11.25" x14ac:dyDescent="0.2"/>
    <row r="1198" s="27" customFormat="1" ht="11.25" x14ac:dyDescent="0.2"/>
    <row r="1199" s="27" customFormat="1" ht="11.25" x14ac:dyDescent="0.2"/>
    <row r="1200" s="27" customFormat="1" ht="11.25" x14ac:dyDescent="0.2"/>
    <row r="1201" s="27" customFormat="1" ht="11.25" x14ac:dyDescent="0.2"/>
    <row r="1202" s="27" customFormat="1" ht="11.25" x14ac:dyDescent="0.2"/>
    <row r="1203" s="27" customFormat="1" ht="11.25" x14ac:dyDescent="0.2"/>
    <row r="1204" s="27" customFormat="1" ht="11.25" x14ac:dyDescent="0.2"/>
    <row r="1205" s="27" customFormat="1" ht="11.25" x14ac:dyDescent="0.2"/>
    <row r="1206" s="27" customFormat="1" ht="11.25" x14ac:dyDescent="0.2"/>
    <row r="1207" s="27" customFormat="1" ht="11.25" x14ac:dyDescent="0.2"/>
    <row r="1208" s="27" customFormat="1" ht="11.25" x14ac:dyDescent="0.2"/>
    <row r="1209" s="27" customFormat="1" ht="11.25" x14ac:dyDescent="0.2"/>
    <row r="1210" s="27" customFormat="1" ht="11.25" x14ac:dyDescent="0.2"/>
    <row r="1211" s="27" customFormat="1" ht="11.25" x14ac:dyDescent="0.2"/>
    <row r="1212" s="27" customFormat="1" ht="11.25" x14ac:dyDescent="0.2"/>
    <row r="1213" s="27" customFormat="1" ht="11.25" x14ac:dyDescent="0.2"/>
    <row r="1214" s="27" customFormat="1" ht="11.25" x14ac:dyDescent="0.2"/>
    <row r="1215" s="27" customFormat="1" ht="11.25" x14ac:dyDescent="0.2"/>
    <row r="1216" s="27" customFormat="1" ht="11.25" x14ac:dyDescent="0.2"/>
    <row r="1217" s="27" customFormat="1" ht="11.25" x14ac:dyDescent="0.2"/>
    <row r="1218" s="27" customFormat="1" ht="11.25" x14ac:dyDescent="0.2"/>
    <row r="1219" s="27" customFormat="1" ht="11.25" x14ac:dyDescent="0.2"/>
    <row r="1220" s="27" customFormat="1" ht="11.25" x14ac:dyDescent="0.2"/>
    <row r="1221" s="27" customFormat="1" ht="11.25" x14ac:dyDescent="0.2"/>
    <row r="1222" s="27" customFormat="1" ht="11.25" x14ac:dyDescent="0.2"/>
    <row r="1223" s="27" customFormat="1" ht="11.25" x14ac:dyDescent="0.2"/>
    <row r="1224" s="27" customFormat="1" ht="11.25" x14ac:dyDescent="0.2"/>
    <row r="1225" s="27" customFormat="1" ht="11.25" x14ac:dyDescent="0.2"/>
    <row r="1226" s="27" customFormat="1" ht="11.25" x14ac:dyDescent="0.2"/>
    <row r="1227" s="27" customFormat="1" ht="11.25" x14ac:dyDescent="0.2"/>
    <row r="1228" s="27" customFormat="1" ht="11.25" x14ac:dyDescent="0.2"/>
    <row r="1229" s="27" customFormat="1" ht="11.25" x14ac:dyDescent="0.2"/>
    <row r="1230" s="27" customFormat="1" ht="11.25" x14ac:dyDescent="0.2"/>
    <row r="1231" s="27" customFormat="1" ht="11.25" x14ac:dyDescent="0.2"/>
    <row r="1232" s="27" customFormat="1" ht="11.25" x14ac:dyDescent="0.2"/>
    <row r="1233" s="27" customFormat="1" ht="11.25" x14ac:dyDescent="0.2"/>
    <row r="1234" s="27" customFormat="1" ht="11.25" x14ac:dyDescent="0.2"/>
    <row r="1235" s="27" customFormat="1" ht="11.25" x14ac:dyDescent="0.2"/>
    <row r="1236" s="27" customFormat="1" ht="11.25" x14ac:dyDescent="0.2"/>
    <row r="1237" s="27" customFormat="1" ht="11.25" x14ac:dyDescent="0.2"/>
    <row r="1238" s="27" customFormat="1" ht="11.25" x14ac:dyDescent="0.2"/>
    <row r="1239" s="27" customFormat="1" ht="11.25" x14ac:dyDescent="0.2"/>
    <row r="1240" s="27" customFormat="1" ht="11.25" x14ac:dyDescent="0.2"/>
    <row r="1241" s="27" customFormat="1" ht="11.25" x14ac:dyDescent="0.2"/>
    <row r="1242" s="27" customFormat="1" ht="11.25" x14ac:dyDescent="0.2"/>
    <row r="1243" s="27" customFormat="1" ht="11.25" x14ac:dyDescent="0.2"/>
    <row r="1244" s="27" customFormat="1" ht="11.25" x14ac:dyDescent="0.2"/>
    <row r="1245" s="27" customFormat="1" ht="11.25" x14ac:dyDescent="0.2"/>
    <row r="1246" s="27" customFormat="1" ht="11.25" x14ac:dyDescent="0.2"/>
    <row r="1247" s="27" customFormat="1" ht="11.25" x14ac:dyDescent="0.2"/>
    <row r="1248" s="27" customFormat="1" ht="11.25" x14ac:dyDescent="0.2"/>
    <row r="1249" s="27" customFormat="1" ht="11.25" x14ac:dyDescent="0.2"/>
    <row r="1250" s="27" customFormat="1" ht="11.25" x14ac:dyDescent="0.2"/>
    <row r="1251" s="27" customFormat="1" ht="11.25" x14ac:dyDescent="0.2"/>
    <row r="1252" s="27" customFormat="1" ht="11.25" x14ac:dyDescent="0.2"/>
    <row r="1253" s="27" customFormat="1" ht="11.25" x14ac:dyDescent="0.2"/>
    <row r="1254" s="27" customFormat="1" ht="11.25" x14ac:dyDescent="0.2"/>
    <row r="1255" s="27" customFormat="1" ht="11.25" x14ac:dyDescent="0.2"/>
    <row r="1256" s="27" customFormat="1" ht="11.25" x14ac:dyDescent="0.2"/>
    <row r="1257" s="27" customFormat="1" ht="11.25" x14ac:dyDescent="0.2"/>
    <row r="1258" s="27" customFormat="1" ht="11.25" x14ac:dyDescent="0.2"/>
    <row r="1259" s="27" customFormat="1" ht="11.25" x14ac:dyDescent="0.2"/>
    <row r="1260" s="27" customFormat="1" ht="11.25" x14ac:dyDescent="0.2"/>
    <row r="1261" s="27" customFormat="1" ht="11.25" x14ac:dyDescent="0.2"/>
    <row r="1262" s="27" customFormat="1" ht="11.25" x14ac:dyDescent="0.2"/>
    <row r="1263" s="27" customFormat="1" ht="11.25" x14ac:dyDescent="0.2"/>
    <row r="1264" s="27" customFormat="1" ht="11.25" x14ac:dyDescent="0.2"/>
    <row r="1265" s="27" customFormat="1" ht="11.25" x14ac:dyDescent="0.2"/>
    <row r="1266" s="27" customFormat="1" ht="11.25" x14ac:dyDescent="0.2"/>
    <row r="1267" s="27" customFormat="1" ht="11.25" x14ac:dyDescent="0.2"/>
    <row r="1268" s="27" customFormat="1" ht="11.25" x14ac:dyDescent="0.2"/>
    <row r="1269" s="27" customFormat="1" ht="11.25" x14ac:dyDescent="0.2"/>
    <row r="1270" s="27" customFormat="1" ht="11.25" x14ac:dyDescent="0.2"/>
    <row r="1271" s="27" customFormat="1" ht="11.25" x14ac:dyDescent="0.2"/>
    <row r="1272" s="27" customFormat="1" ht="11.25" x14ac:dyDescent="0.2"/>
    <row r="1273" s="27" customFormat="1" ht="11.25" x14ac:dyDescent="0.2"/>
    <row r="1274" s="27" customFormat="1" ht="11.25" x14ac:dyDescent="0.2"/>
    <row r="1275" s="27" customFormat="1" ht="11.25" x14ac:dyDescent="0.2"/>
    <row r="1276" s="27" customFormat="1" ht="11.25" x14ac:dyDescent="0.2"/>
    <row r="1277" s="27" customFormat="1" ht="11.25" x14ac:dyDescent="0.2"/>
    <row r="1278" s="27" customFormat="1" ht="11.25" x14ac:dyDescent="0.2"/>
    <row r="1279" s="27" customFormat="1" ht="11.25" x14ac:dyDescent="0.2"/>
    <row r="1280" s="27" customFormat="1" ht="11.25" x14ac:dyDescent="0.2"/>
    <row r="1281" s="27" customFormat="1" ht="11.25" x14ac:dyDescent="0.2"/>
    <row r="1282" s="27" customFormat="1" ht="11.25" x14ac:dyDescent="0.2"/>
    <row r="1283" s="27" customFormat="1" ht="11.25" x14ac:dyDescent="0.2"/>
    <row r="1284" s="27" customFormat="1" ht="11.25" x14ac:dyDescent="0.2"/>
    <row r="1285" s="27" customFormat="1" ht="11.25" x14ac:dyDescent="0.2"/>
    <row r="1286" s="27" customFormat="1" ht="11.25" x14ac:dyDescent="0.2"/>
    <row r="1287" s="27" customFormat="1" ht="11.25" x14ac:dyDescent="0.2"/>
    <row r="1288" s="27" customFormat="1" ht="11.25" x14ac:dyDescent="0.2"/>
    <row r="1289" s="27" customFormat="1" ht="11.25" x14ac:dyDescent="0.2"/>
    <row r="1290" s="27" customFormat="1" ht="11.25" x14ac:dyDescent="0.2"/>
    <row r="1291" s="27" customFormat="1" ht="11.25" x14ac:dyDescent="0.2"/>
    <row r="1292" s="27" customFormat="1" ht="11.25" x14ac:dyDescent="0.2"/>
    <row r="1293" s="27" customFormat="1" ht="11.25" x14ac:dyDescent="0.2"/>
    <row r="1294" s="27" customFormat="1" ht="11.25" x14ac:dyDescent="0.2"/>
    <row r="1295" s="27" customFormat="1" ht="11.25" x14ac:dyDescent="0.2"/>
    <row r="1296" s="27" customFormat="1" ht="11.25" x14ac:dyDescent="0.2"/>
    <row r="1297" s="27" customFormat="1" ht="11.25" x14ac:dyDescent="0.2"/>
    <row r="1298" s="27" customFormat="1" ht="11.25" x14ac:dyDescent="0.2"/>
    <row r="1299" s="27" customFormat="1" ht="11.25" x14ac:dyDescent="0.2"/>
    <row r="1300" s="27" customFormat="1" ht="11.25" x14ac:dyDescent="0.2"/>
    <row r="1301" s="27" customFormat="1" ht="11.25" x14ac:dyDescent="0.2"/>
    <row r="1302" s="27" customFormat="1" ht="11.25" x14ac:dyDescent="0.2"/>
    <row r="1303" s="27" customFormat="1" ht="11.25" x14ac:dyDescent="0.2"/>
    <row r="1304" s="27" customFormat="1" ht="11.25" x14ac:dyDescent="0.2"/>
    <row r="1305" s="27" customFormat="1" ht="11.25" x14ac:dyDescent="0.2"/>
    <row r="1306" s="27" customFormat="1" ht="11.25" x14ac:dyDescent="0.2"/>
    <row r="1307" s="27" customFormat="1" ht="11.25" x14ac:dyDescent="0.2"/>
    <row r="1308" s="27" customFormat="1" ht="11.25" x14ac:dyDescent="0.2"/>
    <row r="1309" s="27" customFormat="1" ht="11.25" x14ac:dyDescent="0.2"/>
    <row r="1310" s="27" customFormat="1" ht="11.25" x14ac:dyDescent="0.2"/>
    <row r="1311" s="27" customFormat="1" ht="11.25" x14ac:dyDescent="0.2"/>
    <row r="1312" s="27" customFormat="1" ht="11.25" x14ac:dyDescent="0.2"/>
    <row r="1313" s="27" customFormat="1" ht="11.25" x14ac:dyDescent="0.2"/>
    <row r="1314" s="27" customFormat="1" ht="11.25" x14ac:dyDescent="0.2"/>
    <row r="1315" s="27" customFormat="1" ht="11.25" x14ac:dyDescent="0.2"/>
    <row r="1316" s="27" customFormat="1" ht="11.25" x14ac:dyDescent="0.2"/>
    <row r="1317" s="27" customFormat="1" ht="11.25" x14ac:dyDescent="0.2"/>
  </sheetData>
  <sheetProtection password="E65B" sheet="1" objects="1" scenarios="1"/>
  <phoneticPr fontId="2" type="noConversion"/>
  <dataValidations count="6">
    <dataValidation type="list" allowBlank="1" showInputMessage="1" showErrorMessage="1" sqref="G320:G328 G276:G296 G341:G350 G298:G313 G365:G373 G360:G363 G259:G264 G332:G339">
      <formula1>departamento</formula1>
    </dataValidation>
    <dataValidation type="list" allowBlank="1" showInputMessage="1" showErrorMessage="1" sqref="K140 K137">
      <formula1>AÑOS</formula1>
    </dataValidation>
    <dataValidation type="list" allowBlank="1" showInputMessage="1" showErrorMessage="1" sqref="L226">
      <formula1>CARENCIA</formula1>
    </dataValidation>
    <dataValidation type="list" allowBlank="1" showInputMessage="1" showErrorMessage="1" sqref="G232 G226">
      <formula1>plargo</formula1>
    </dataValidation>
    <dataValidation type="list" allowBlank="1" showInputMessage="1" showErrorMessage="1" sqref="H232 I226">
      <formula1>pagosaño</formula1>
    </dataValidation>
    <dataValidation type="list" allowBlank="1" showInputMessage="1" showErrorMessage="1" sqref="J232 K226 I228">
      <formula1>mesconcesion</formula1>
    </dataValidation>
  </dataValidations>
  <printOptions horizontalCentered="1" verticalCentered="1"/>
  <pageMargins left="0.78740157480314965" right="0.78740157480314965" top="0.98425196850393704" bottom="0.98425196850393704" header="0" footer="0"/>
  <pageSetup paperSize="9" scale="69" orientation="landscape" horizontalDpi="4294967292"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53"/>
    <pageSetUpPr fitToPage="1"/>
  </sheetPr>
  <dimension ref="C1:CH223"/>
  <sheetViews>
    <sheetView showGridLines="0" showRowColHeaders="0" showOutlineSymbols="0" zoomScaleNormal="100" workbookViewId="0">
      <pane xSplit="87" ySplit="122" topLeftCell="CJ123" activePane="bottomRight" state="frozen"/>
      <selection pane="topRight" activeCell="CI1" sqref="CI1"/>
      <selection pane="bottomLeft" activeCell="A131" sqref="A131"/>
      <selection pane="bottomRight"/>
    </sheetView>
  </sheetViews>
  <sheetFormatPr baseColWidth="10" defaultRowHeight="15" x14ac:dyDescent="0.2"/>
  <cols>
    <col min="1" max="1" width="0" hidden="1" customWidth="1"/>
    <col min="2" max="2" width="4.140625" customWidth="1"/>
    <col min="3" max="3" width="4.140625" style="15" customWidth="1"/>
    <col min="4" max="4" width="0.85546875" customWidth="1"/>
    <col min="5" max="5" width="0.5703125" style="4" customWidth="1"/>
    <col min="6" max="6" width="15.7109375" customWidth="1"/>
    <col min="7" max="7" width="10.28515625" customWidth="1"/>
    <col min="8" max="10" width="9.140625" customWidth="1"/>
    <col min="11" max="11" width="5.28515625" customWidth="1"/>
    <col min="12" max="15" width="9.140625" customWidth="1"/>
    <col min="16" max="16" width="8.42578125" customWidth="1"/>
    <col min="17" max="17" width="10.42578125" customWidth="1"/>
    <col min="18" max="18" width="0.5703125" customWidth="1"/>
    <col min="19" max="19" width="0.85546875" customWidth="1"/>
    <col min="20" max="20" width="1.42578125" style="79" customWidth="1"/>
    <col min="21" max="30" width="4.7109375" style="79" customWidth="1"/>
    <col min="31" max="50" width="4.7109375" style="15" customWidth="1"/>
    <col min="51" max="51" width="20.7109375" style="15" customWidth="1"/>
    <col min="52" max="86" width="11.42578125" style="15"/>
  </cols>
  <sheetData>
    <row r="1" spans="3:86" s="39" customFormat="1" ht="9.9499999999999993" customHeight="1" thickBot="1" x14ac:dyDescent="0.25">
      <c r="C1" s="296"/>
      <c r="D1" s="296"/>
      <c r="E1" s="296"/>
      <c r="F1" s="296"/>
      <c r="G1" s="296"/>
      <c r="H1" s="296"/>
      <c r="I1" s="296"/>
      <c r="J1" s="296"/>
      <c r="K1" s="296"/>
      <c r="L1" s="296"/>
      <c r="M1" s="296"/>
      <c r="N1" s="296"/>
      <c r="O1" s="296"/>
      <c r="P1" s="296"/>
      <c r="Q1" s="296"/>
      <c r="R1" s="296"/>
      <c r="S1" s="296"/>
      <c r="T1" s="402"/>
      <c r="U1" s="402"/>
      <c r="V1" s="402"/>
      <c r="W1" s="402"/>
      <c r="X1" s="402"/>
      <c r="Y1" s="402"/>
      <c r="Z1" s="402"/>
      <c r="AA1" s="402"/>
      <c r="AB1" s="402"/>
      <c r="AC1" s="402"/>
      <c r="AD1" s="402"/>
      <c r="AE1" s="296"/>
      <c r="AF1" s="296"/>
      <c r="AG1" s="296"/>
      <c r="AH1" s="296"/>
      <c r="AI1" s="296"/>
      <c r="AJ1" s="296"/>
      <c r="AK1" s="296"/>
      <c r="AL1" s="296"/>
      <c r="AM1" s="296"/>
      <c r="AN1" s="296"/>
      <c r="AO1" s="296"/>
      <c r="AP1" s="296"/>
      <c r="AQ1" s="296"/>
      <c r="AR1" s="296"/>
      <c r="AS1" s="296"/>
      <c r="AT1" s="296"/>
      <c r="AU1" s="296"/>
      <c r="AV1" s="296"/>
      <c r="AW1" s="296"/>
      <c r="AX1" s="296"/>
      <c r="AY1" s="297"/>
    </row>
    <row r="2" spans="3:86" s="46" customFormat="1" ht="30" customHeight="1" thickBot="1" x14ac:dyDescent="0.25">
      <c r="C2" s="296"/>
      <c r="D2" s="959"/>
      <c r="E2" s="960"/>
      <c r="F2" s="1367" t="s">
        <v>909</v>
      </c>
      <c r="G2" s="1367"/>
      <c r="H2" s="1367"/>
      <c r="I2" s="1367"/>
      <c r="J2" s="1367"/>
      <c r="K2" s="1367"/>
      <c r="L2" s="1367"/>
      <c r="M2" s="1367"/>
      <c r="N2" s="1367"/>
      <c r="O2" s="1367"/>
      <c r="P2" s="1367"/>
      <c r="Q2" s="1367"/>
      <c r="R2" s="961"/>
      <c r="S2" s="951"/>
      <c r="T2" s="298"/>
      <c r="U2" s="298"/>
      <c r="V2" s="298"/>
      <c r="W2" s="298"/>
      <c r="X2" s="298"/>
      <c r="Y2" s="298"/>
      <c r="Z2" s="298"/>
      <c r="AA2" s="298"/>
      <c r="AB2" s="298"/>
      <c r="AC2" s="298"/>
      <c r="AD2" s="298"/>
      <c r="AE2" s="411"/>
      <c r="AF2" s="411"/>
      <c r="AG2" s="411"/>
      <c r="AH2" s="296"/>
      <c r="AI2" s="296"/>
      <c r="AJ2" s="296"/>
      <c r="AK2" s="296"/>
      <c r="AL2" s="296"/>
      <c r="AM2" s="296"/>
      <c r="AN2" s="296"/>
      <c r="AO2" s="296"/>
      <c r="AP2" s="296"/>
      <c r="AQ2" s="296"/>
      <c r="AR2" s="296"/>
      <c r="AS2" s="296"/>
      <c r="AT2" s="296"/>
      <c r="AU2" s="296"/>
      <c r="AV2" s="296"/>
      <c r="AW2" s="296"/>
      <c r="AX2" s="411"/>
      <c r="AY2" s="7"/>
      <c r="AZ2" s="7"/>
      <c r="BA2" s="7"/>
      <c r="BB2" s="7"/>
      <c r="BC2" s="7"/>
      <c r="BD2" s="7"/>
      <c r="BE2" s="7"/>
      <c r="BF2" s="7"/>
      <c r="BG2" s="7"/>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row>
    <row r="3" spans="3:86" s="46" customFormat="1" ht="20.100000000000001" customHeight="1" x14ac:dyDescent="0.2">
      <c r="C3" s="402"/>
      <c r="D3" s="1290"/>
      <c r="E3" s="1291"/>
      <c r="F3" s="1291"/>
      <c r="G3" s="1291"/>
      <c r="H3" s="1292"/>
      <c r="I3" s="1292"/>
      <c r="J3" s="1292"/>
      <c r="K3" s="1292"/>
      <c r="L3" s="1292"/>
      <c r="M3" s="1292"/>
      <c r="N3" s="1292"/>
      <c r="O3" s="1292"/>
      <c r="P3" s="1292"/>
      <c r="Q3" s="1292"/>
      <c r="R3" s="1292"/>
      <c r="S3" s="1293"/>
      <c r="T3" s="299"/>
      <c r="U3" s="299"/>
      <c r="V3" s="1369"/>
      <c r="W3" s="1369"/>
      <c r="X3" s="1369"/>
      <c r="Y3" s="299"/>
      <c r="Z3" s="299"/>
      <c r="AA3" s="299"/>
      <c r="AB3" s="299"/>
      <c r="AC3" s="299"/>
      <c r="AD3" s="299"/>
      <c r="AE3" s="7"/>
      <c r="AF3" s="7"/>
      <c r="AG3" s="7"/>
      <c r="AH3" s="39"/>
      <c r="AI3" s="39"/>
      <c r="AJ3" s="39"/>
      <c r="AK3" s="39"/>
      <c r="AL3" s="39"/>
      <c r="AM3" s="39"/>
      <c r="AN3" s="39"/>
      <c r="AO3" s="39"/>
      <c r="AP3" s="39"/>
      <c r="AQ3" s="39"/>
      <c r="AR3" s="39"/>
      <c r="AS3" s="39"/>
      <c r="AT3" s="39"/>
      <c r="AU3" s="39"/>
      <c r="AV3" s="39"/>
      <c r="AW3" s="39"/>
      <c r="AX3" s="7"/>
      <c r="AY3" s="7"/>
      <c r="AZ3" s="7"/>
      <c r="BA3" s="7"/>
      <c r="BB3" s="7"/>
      <c r="BC3" s="7"/>
      <c r="BD3" s="7"/>
      <c r="BE3" s="7"/>
      <c r="BF3" s="7"/>
      <c r="BG3" s="7"/>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row>
    <row r="4" spans="3:86" s="77" customFormat="1" ht="14.25" x14ac:dyDescent="0.2">
      <c r="C4" s="406"/>
      <c r="D4" s="1290"/>
      <c r="E4" s="1291"/>
      <c r="F4" s="1370" t="s">
        <v>1231</v>
      </c>
      <c r="G4" s="1370"/>
      <c r="H4" s="1370"/>
      <c r="I4" s="1370"/>
      <c r="J4" s="1113"/>
      <c r="K4" s="1113"/>
      <c r="L4" s="1113"/>
      <c r="M4" s="1113"/>
      <c r="N4" s="1113"/>
      <c r="O4" s="1113"/>
      <c r="P4" s="1113"/>
      <c r="Q4" s="1113"/>
      <c r="R4" s="1292"/>
      <c r="S4" s="1293"/>
      <c r="T4" s="300"/>
      <c r="U4" s="300"/>
      <c r="V4" s="300"/>
      <c r="W4" s="300"/>
      <c r="X4" s="300"/>
      <c r="Y4" s="300"/>
      <c r="Z4" s="300"/>
      <c r="AA4" s="300"/>
      <c r="AB4" s="300"/>
      <c r="AC4" s="300"/>
      <c r="AD4" s="300"/>
      <c r="AE4" s="430"/>
      <c r="AF4" s="430"/>
      <c r="AG4" s="430"/>
      <c r="AH4" s="301"/>
      <c r="AI4" s="301"/>
      <c r="AJ4" s="301"/>
      <c r="AK4" s="301"/>
      <c r="AL4" s="301"/>
      <c r="AM4" s="301"/>
      <c r="AN4" s="301"/>
      <c r="AO4" s="301"/>
      <c r="AP4" s="301"/>
      <c r="AQ4" s="301"/>
      <c r="AR4" s="301"/>
      <c r="AS4" s="301"/>
      <c r="AT4" s="301"/>
      <c r="AU4" s="301"/>
      <c r="AV4" s="301"/>
      <c r="AW4" s="301"/>
      <c r="AX4" s="430"/>
      <c r="AY4" s="430"/>
      <c r="AZ4" s="430"/>
      <c r="BA4" s="430"/>
      <c r="BB4" s="430"/>
      <c r="BC4" s="430"/>
      <c r="BD4" s="430"/>
      <c r="BE4" s="430"/>
      <c r="BF4" s="430"/>
      <c r="BG4" s="430"/>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row>
    <row r="5" spans="3:86" s="78" customFormat="1" ht="6.75" customHeight="1" x14ac:dyDescent="0.2">
      <c r="C5" s="408"/>
      <c r="D5" s="1294"/>
      <c r="E5" s="1295"/>
      <c r="F5" s="1295"/>
      <c r="G5" s="1295"/>
      <c r="H5" s="1296"/>
      <c r="I5" s="1296"/>
      <c r="J5" s="1296"/>
      <c r="K5" s="1296"/>
      <c r="L5" s="1296"/>
      <c r="M5" s="1296"/>
      <c r="N5" s="1296"/>
      <c r="O5" s="1296"/>
      <c r="P5" s="1296"/>
      <c r="Q5" s="1296"/>
      <c r="R5" s="1296"/>
      <c r="S5" s="1297"/>
      <c r="T5" s="303"/>
      <c r="U5" s="303"/>
      <c r="V5" s="303"/>
      <c r="W5" s="303"/>
      <c r="X5" s="303"/>
      <c r="Y5" s="303"/>
      <c r="Z5" s="303"/>
      <c r="AA5" s="303"/>
      <c r="AB5" s="303"/>
      <c r="AC5" s="303"/>
      <c r="AD5" s="303"/>
      <c r="AE5" s="434"/>
      <c r="AF5" s="434"/>
      <c r="AG5" s="434"/>
      <c r="AH5" s="304"/>
      <c r="AI5" s="304"/>
      <c r="AJ5" s="304"/>
      <c r="AK5" s="304"/>
      <c r="AL5" s="304"/>
      <c r="AM5" s="304"/>
      <c r="AN5" s="304"/>
      <c r="AO5" s="304"/>
      <c r="AP5" s="304"/>
      <c r="AQ5" s="304"/>
      <c r="AR5" s="304"/>
      <c r="AS5" s="304"/>
      <c r="AT5" s="304"/>
      <c r="AU5" s="304"/>
      <c r="AV5" s="304"/>
      <c r="AW5" s="304"/>
      <c r="AX5" s="434"/>
      <c r="AY5" s="434"/>
      <c r="AZ5" s="434"/>
      <c r="BA5" s="434"/>
      <c r="BB5" s="434"/>
      <c r="BC5" s="434"/>
      <c r="BD5" s="434"/>
      <c r="BE5" s="434"/>
      <c r="BF5" s="434"/>
      <c r="BG5" s="434"/>
      <c r="BH5" s="304"/>
      <c r="BI5" s="304"/>
      <c r="BJ5" s="304"/>
      <c r="BK5" s="304"/>
      <c r="BL5" s="304"/>
      <c r="BM5" s="304"/>
      <c r="BN5" s="304"/>
      <c r="BO5" s="304"/>
      <c r="BP5" s="304"/>
      <c r="BQ5" s="304"/>
      <c r="BR5" s="304"/>
      <c r="BS5" s="304"/>
      <c r="BT5" s="304"/>
      <c r="BU5" s="304"/>
      <c r="BV5" s="304"/>
      <c r="BW5" s="304"/>
      <c r="BX5" s="304"/>
      <c r="BY5" s="304"/>
      <c r="BZ5" s="304"/>
      <c r="CA5" s="304"/>
      <c r="CB5" s="304"/>
      <c r="CC5" s="304"/>
      <c r="CD5" s="304"/>
      <c r="CE5" s="304"/>
      <c r="CF5" s="304"/>
      <c r="CG5" s="304"/>
      <c r="CH5" s="304"/>
    </row>
    <row r="6" spans="3:86" s="78" customFormat="1" ht="12.75" x14ac:dyDescent="0.2">
      <c r="C6" s="408"/>
      <c r="D6" s="1294"/>
      <c r="E6" s="1295"/>
      <c r="F6" s="1298" t="s">
        <v>1229</v>
      </c>
      <c r="G6" s="1295"/>
      <c r="H6" s="1371" t="s">
        <v>92</v>
      </c>
      <c r="I6" s="1372"/>
      <c r="J6" s="1299" t="str">
        <f>IF(H6="",IF(H6=0,"◄ Dato imprescindible",""),"")</f>
        <v/>
      </c>
      <c r="K6" s="1113"/>
      <c r="L6" s="1113"/>
      <c r="M6" s="1300" t="s">
        <v>908</v>
      </c>
      <c r="N6" s="272">
        <v>2013</v>
      </c>
      <c r="O6" s="1113"/>
      <c r="P6" s="1300" t="s">
        <v>731</v>
      </c>
      <c r="Q6" s="273" t="s">
        <v>878</v>
      </c>
      <c r="R6" s="1296"/>
      <c r="S6" s="1297"/>
      <c r="T6" s="303"/>
      <c r="U6" s="303"/>
      <c r="V6" s="303"/>
      <c r="W6" s="303"/>
      <c r="X6" s="303"/>
      <c r="Y6" s="303"/>
      <c r="Z6" s="303"/>
      <c r="AA6" s="303"/>
      <c r="AB6" s="303"/>
      <c r="AC6" s="303"/>
      <c r="AD6" s="303"/>
      <c r="AE6" s="434"/>
      <c r="AF6" s="434"/>
      <c r="AG6" s="434"/>
      <c r="AH6" s="304"/>
      <c r="AI6" s="304"/>
      <c r="AJ6" s="304"/>
      <c r="AK6" s="304"/>
      <c r="AL6" s="304"/>
      <c r="AM6" s="304"/>
      <c r="AN6" s="304"/>
      <c r="AO6" s="304"/>
      <c r="AP6" s="304"/>
      <c r="AQ6" s="304"/>
      <c r="AR6" s="304"/>
      <c r="AS6" s="304"/>
      <c r="AT6" s="304"/>
      <c r="AU6" s="304"/>
      <c r="AV6" s="304"/>
      <c r="AW6" s="304"/>
      <c r="AX6" s="434"/>
      <c r="AY6" s="434"/>
      <c r="AZ6" s="434"/>
      <c r="BA6" s="434"/>
      <c r="BB6" s="434"/>
      <c r="BC6" s="434"/>
      <c r="BD6" s="434"/>
      <c r="BE6" s="434"/>
      <c r="BF6" s="434"/>
      <c r="BG6" s="434"/>
      <c r="BH6" s="304"/>
      <c r="BI6" s="304"/>
      <c r="BJ6" s="304"/>
      <c r="BK6" s="304"/>
      <c r="BL6" s="304"/>
      <c r="BM6" s="304"/>
      <c r="BN6" s="304"/>
      <c r="BO6" s="304"/>
      <c r="BP6" s="304"/>
      <c r="BQ6" s="304"/>
      <c r="BR6" s="304"/>
      <c r="BS6" s="304"/>
      <c r="BT6" s="304"/>
      <c r="BU6" s="304"/>
      <c r="BV6" s="304"/>
      <c r="BW6" s="304"/>
      <c r="BX6" s="304"/>
      <c r="BY6" s="304"/>
      <c r="BZ6" s="304"/>
      <c r="CA6" s="304"/>
      <c r="CB6" s="304"/>
      <c r="CC6" s="304"/>
      <c r="CD6" s="304"/>
      <c r="CE6" s="304"/>
      <c r="CF6" s="304"/>
      <c r="CG6" s="304"/>
      <c r="CH6" s="304"/>
    </row>
    <row r="7" spans="3:86" s="78" customFormat="1" ht="3" customHeight="1" x14ac:dyDescent="0.2">
      <c r="C7" s="408"/>
      <c r="D7" s="1294"/>
      <c r="E7" s="1295"/>
      <c r="F7" s="1295"/>
      <c r="G7" s="1295"/>
      <c r="H7" s="1296"/>
      <c r="I7" s="1296"/>
      <c r="J7" s="1296"/>
      <c r="K7" s="1296"/>
      <c r="L7" s="1296"/>
      <c r="M7" s="1296"/>
      <c r="N7" s="1296"/>
      <c r="O7" s="1296"/>
      <c r="P7" s="1296"/>
      <c r="Q7" s="1296"/>
      <c r="R7" s="1296"/>
      <c r="S7" s="1297"/>
      <c r="T7" s="303"/>
      <c r="U7" s="303"/>
      <c r="V7" s="303"/>
      <c r="W7" s="303"/>
      <c r="X7" s="303"/>
      <c r="Y7" s="303"/>
      <c r="Z7" s="303"/>
      <c r="AA7" s="303"/>
      <c r="AB7" s="303"/>
      <c r="AC7" s="303"/>
      <c r="AD7" s="303"/>
      <c r="AE7" s="434"/>
      <c r="AF7" s="434"/>
      <c r="AG7" s="434"/>
      <c r="AH7" s="304"/>
      <c r="AI7" s="304"/>
      <c r="AJ7" s="304"/>
      <c r="AK7" s="304"/>
      <c r="AL7" s="304"/>
      <c r="AM7" s="304"/>
      <c r="AN7" s="304"/>
      <c r="AO7" s="304"/>
      <c r="AP7" s="304"/>
      <c r="AQ7" s="304"/>
      <c r="AR7" s="304"/>
      <c r="AS7" s="304"/>
      <c r="AT7" s="304"/>
      <c r="AU7" s="304"/>
      <c r="AV7" s="304"/>
      <c r="AW7" s="304"/>
      <c r="AX7" s="434"/>
      <c r="AY7" s="434"/>
      <c r="AZ7" s="434"/>
      <c r="BA7" s="434"/>
      <c r="BB7" s="434"/>
      <c r="BC7" s="434"/>
      <c r="BD7" s="434"/>
      <c r="BE7" s="434"/>
      <c r="BF7" s="434"/>
      <c r="BG7" s="43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row>
    <row r="8" spans="3:86" s="78" customFormat="1" ht="12.75" x14ac:dyDescent="0.2">
      <c r="C8" s="408"/>
      <c r="D8" s="1290"/>
      <c r="E8" s="1291"/>
      <c r="F8" s="1298" t="s">
        <v>1065</v>
      </c>
      <c r="G8" s="1301"/>
      <c r="H8" s="1379"/>
      <c r="I8" s="1380"/>
      <c r="J8" s="1380"/>
      <c r="K8" s="1380"/>
      <c r="L8" s="1380"/>
      <c r="M8" s="1380"/>
      <c r="N8" s="1380"/>
      <c r="O8" s="1380"/>
      <c r="P8" s="1380"/>
      <c r="Q8" s="1381"/>
      <c r="R8" s="1292"/>
      <c r="S8" s="1293"/>
      <c r="T8" s="303"/>
      <c r="U8" s="303"/>
      <c r="V8" s="303"/>
      <c r="W8" s="303"/>
      <c r="X8" s="303"/>
      <c r="Y8" s="303"/>
      <c r="Z8" s="303"/>
      <c r="AA8" s="303"/>
      <c r="AB8" s="303"/>
      <c r="AC8" s="303"/>
      <c r="AD8" s="303"/>
      <c r="AE8" s="434"/>
      <c r="AF8" s="434"/>
      <c r="AG8" s="434"/>
      <c r="AH8" s="304"/>
      <c r="AI8" s="304"/>
      <c r="AJ8" s="304"/>
      <c r="AK8" s="304"/>
      <c r="AL8" s="304"/>
      <c r="AM8" s="304"/>
      <c r="AN8" s="304"/>
      <c r="AO8" s="304"/>
      <c r="AP8" s="304"/>
      <c r="AQ8" s="304"/>
      <c r="AR8" s="304"/>
      <c r="AS8" s="304"/>
      <c r="AT8" s="304"/>
      <c r="AU8" s="304"/>
      <c r="AV8" s="304"/>
      <c r="AW8" s="304"/>
      <c r="AX8" s="434"/>
      <c r="AY8" s="434"/>
      <c r="AZ8" s="434"/>
      <c r="BA8" s="434"/>
      <c r="BB8" s="434"/>
      <c r="BC8" s="434"/>
      <c r="BD8" s="434"/>
      <c r="BE8" s="434"/>
      <c r="BF8" s="434"/>
      <c r="BG8" s="434"/>
      <c r="BH8" s="304"/>
      <c r="BI8" s="304"/>
      <c r="BJ8" s="304"/>
      <c r="BK8" s="304"/>
      <c r="BL8" s="304"/>
      <c r="BM8" s="304"/>
      <c r="BN8" s="304"/>
      <c r="BO8" s="304"/>
      <c r="BP8" s="304"/>
      <c r="BQ8" s="304"/>
      <c r="BR8" s="304"/>
      <c r="BS8" s="304"/>
      <c r="BT8" s="304"/>
      <c r="BU8" s="304"/>
      <c r="BV8" s="304"/>
      <c r="BW8" s="304"/>
      <c r="BX8" s="304"/>
      <c r="BY8" s="304"/>
      <c r="BZ8" s="304"/>
      <c r="CA8" s="304"/>
      <c r="CB8" s="304"/>
      <c r="CC8" s="304"/>
      <c r="CD8" s="304"/>
      <c r="CE8" s="304"/>
      <c r="CF8" s="304"/>
      <c r="CG8" s="304"/>
      <c r="CH8" s="304"/>
    </row>
    <row r="9" spans="3:86" s="78" customFormat="1" ht="12.75" x14ac:dyDescent="0.2">
      <c r="C9" s="408"/>
      <c r="D9" s="1290"/>
      <c r="E9" s="1291"/>
      <c r="F9" s="1298"/>
      <c r="G9" s="1298"/>
      <c r="H9" s="1373"/>
      <c r="I9" s="1374"/>
      <c r="J9" s="1374"/>
      <c r="K9" s="1374"/>
      <c r="L9" s="1374"/>
      <c r="M9" s="1374"/>
      <c r="N9" s="1374"/>
      <c r="O9" s="1374"/>
      <c r="P9" s="1374"/>
      <c r="Q9" s="1375"/>
      <c r="R9" s="1302"/>
      <c r="S9" s="1293"/>
      <c r="T9" s="745"/>
      <c r="U9" s="303"/>
      <c r="V9" s="303"/>
      <c r="W9" s="303"/>
      <c r="X9" s="303"/>
      <c r="Y9" s="303"/>
      <c r="Z9" s="303"/>
      <c r="AA9" s="303"/>
      <c r="AB9" s="303"/>
      <c r="AC9" s="303"/>
      <c r="AD9" s="303"/>
      <c r="AE9" s="434"/>
      <c r="AF9" s="434"/>
      <c r="AG9" s="434"/>
      <c r="AH9" s="304"/>
      <c r="AI9" s="304"/>
      <c r="AJ9" s="304"/>
      <c r="AK9" s="304"/>
      <c r="AL9" s="304"/>
      <c r="AM9" s="304"/>
      <c r="AN9" s="304"/>
      <c r="AO9" s="304"/>
      <c r="AP9" s="304"/>
      <c r="AQ9" s="304"/>
      <c r="AR9" s="304"/>
      <c r="AS9" s="304"/>
      <c r="AT9" s="304"/>
      <c r="AU9" s="304"/>
      <c r="AV9" s="304"/>
      <c r="AW9" s="304"/>
      <c r="AX9" s="434"/>
      <c r="AY9" s="434"/>
      <c r="AZ9" s="434"/>
      <c r="BA9" s="434"/>
      <c r="BB9" s="434"/>
      <c r="BC9" s="434"/>
      <c r="BD9" s="434"/>
      <c r="BE9" s="434"/>
      <c r="BF9" s="434"/>
      <c r="BG9" s="43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row>
    <row r="10" spans="3:86" s="78" customFormat="1" ht="12.75" x14ac:dyDescent="0.2">
      <c r="C10" s="408"/>
      <c r="D10" s="1290"/>
      <c r="E10" s="1291"/>
      <c r="F10" s="1298" t="s">
        <v>1230</v>
      </c>
      <c r="G10" s="1298"/>
      <c r="H10" s="1376"/>
      <c r="I10" s="1377"/>
      <c r="J10" s="1378"/>
      <c r="K10" s="1302"/>
      <c r="L10" s="1302"/>
      <c r="M10" s="1302"/>
      <c r="N10" s="1302"/>
      <c r="O10" s="1302"/>
      <c r="P10" s="1302"/>
      <c r="Q10" s="1302"/>
      <c r="R10" s="1302"/>
      <c r="S10" s="1293"/>
      <c r="T10" s="745"/>
      <c r="U10" s="303"/>
      <c r="V10" s="303"/>
      <c r="W10" s="303"/>
      <c r="X10" s="303"/>
      <c r="Y10" s="303"/>
      <c r="Z10" s="303"/>
      <c r="AA10" s="303"/>
      <c r="AB10" s="303"/>
      <c r="AC10" s="303"/>
      <c r="AD10" s="303"/>
      <c r="AE10" s="434"/>
      <c r="AF10" s="434"/>
      <c r="AG10" s="434"/>
      <c r="AH10" s="304"/>
      <c r="AI10" s="304"/>
      <c r="AJ10" s="304"/>
      <c r="AK10" s="304"/>
      <c r="AL10" s="304"/>
      <c r="AM10" s="304"/>
      <c r="AN10" s="304"/>
      <c r="AO10" s="304"/>
      <c r="AP10" s="304"/>
      <c r="AQ10" s="304"/>
      <c r="AR10" s="304"/>
      <c r="AS10" s="304"/>
      <c r="AT10" s="304"/>
      <c r="AU10" s="304"/>
      <c r="AV10" s="304"/>
      <c r="AW10" s="304"/>
      <c r="AX10" s="434"/>
      <c r="AY10" s="434"/>
      <c r="AZ10" s="434"/>
      <c r="BA10" s="434"/>
      <c r="BB10" s="434"/>
      <c r="BC10" s="434"/>
      <c r="BD10" s="434"/>
      <c r="BE10" s="434"/>
      <c r="BF10" s="434"/>
      <c r="BG10" s="43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row>
    <row r="11" spans="3:86" s="78" customFormat="1" ht="7.5" customHeight="1" x14ac:dyDescent="0.2">
      <c r="C11" s="408"/>
      <c r="D11" s="1368"/>
      <c r="E11" s="1295"/>
      <c r="F11" s="1303"/>
      <c r="G11" s="1303"/>
      <c r="H11" s="1296"/>
      <c r="I11" s="1296"/>
      <c r="J11" s="1296"/>
      <c r="K11" s="1296"/>
      <c r="L11" s="1296"/>
      <c r="M11" s="1296"/>
      <c r="N11" s="1296"/>
      <c r="O11" s="1296"/>
      <c r="P11" s="1296"/>
      <c r="Q11" s="1296"/>
      <c r="R11" s="1296"/>
      <c r="S11" s="1297"/>
      <c r="T11" s="745"/>
      <c r="U11" s="303"/>
      <c r="V11" s="303"/>
      <c r="W11" s="303"/>
      <c r="X11" s="303"/>
      <c r="Y11" s="303"/>
      <c r="Z11" s="303"/>
      <c r="AA11" s="303"/>
      <c r="AB11" s="303"/>
      <c r="AC11" s="303"/>
      <c r="AD11" s="303"/>
      <c r="AE11" s="434"/>
      <c r="AF11" s="434"/>
      <c r="AG11" s="434"/>
      <c r="AH11" s="304"/>
      <c r="AI11" s="304"/>
      <c r="AJ11" s="304"/>
      <c r="AK11" s="304"/>
      <c r="AL11" s="304"/>
      <c r="AM11" s="304"/>
      <c r="AN11" s="304"/>
      <c r="AO11" s="304"/>
      <c r="AP11" s="304"/>
      <c r="AQ11" s="304"/>
      <c r="AR11" s="304"/>
      <c r="AS11" s="304"/>
      <c r="AT11" s="304"/>
      <c r="AU11" s="304"/>
      <c r="AV11" s="304"/>
      <c r="AW11" s="304"/>
      <c r="AX11" s="434"/>
      <c r="AY11" s="434"/>
      <c r="AZ11" s="434"/>
      <c r="BA11" s="434"/>
      <c r="BB11" s="434"/>
      <c r="BC11" s="434"/>
      <c r="BD11" s="434"/>
      <c r="BE11" s="434"/>
      <c r="BF11" s="434"/>
      <c r="BG11" s="43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c r="CG11" s="304"/>
      <c r="CH11" s="304"/>
    </row>
    <row r="12" spans="3:86" s="78" customFormat="1" ht="9.9499999999999993" customHeight="1" x14ac:dyDescent="0.2">
      <c r="C12" s="408"/>
      <c r="D12" s="1368"/>
      <c r="E12" s="1304"/>
      <c r="F12" s="1304"/>
      <c r="G12" s="1304"/>
      <c r="H12" s="1305"/>
      <c r="I12" s="1305"/>
      <c r="J12" s="1305"/>
      <c r="K12" s="1305"/>
      <c r="L12" s="1305"/>
      <c r="M12" s="1305"/>
      <c r="N12" s="1305"/>
      <c r="O12" s="1305"/>
      <c r="P12" s="1305"/>
      <c r="Q12" s="1305"/>
      <c r="R12" s="1292"/>
      <c r="S12" s="1297"/>
      <c r="T12" s="745"/>
      <c r="U12" s="303"/>
      <c r="V12" s="303"/>
      <c r="W12" s="303"/>
      <c r="X12" s="303"/>
      <c r="Y12" s="303"/>
      <c r="Z12" s="303"/>
      <c r="AA12" s="303"/>
      <c r="AB12" s="303"/>
      <c r="AC12" s="303"/>
      <c r="AD12" s="303"/>
      <c r="AE12" s="434"/>
      <c r="AF12" s="434"/>
      <c r="AG12" s="434"/>
      <c r="AH12" s="304"/>
      <c r="AI12" s="304"/>
      <c r="AJ12" s="304"/>
      <c r="AK12" s="304"/>
      <c r="AL12" s="304"/>
      <c r="AM12" s="304"/>
      <c r="AN12" s="304"/>
      <c r="AO12" s="304"/>
      <c r="AP12" s="304"/>
      <c r="AQ12" s="304"/>
      <c r="AR12" s="304"/>
      <c r="AS12" s="304"/>
      <c r="AT12" s="304"/>
      <c r="AU12" s="304"/>
      <c r="AV12" s="304"/>
      <c r="AW12" s="304"/>
      <c r="AX12" s="434"/>
      <c r="AY12" s="434"/>
      <c r="AZ12" s="434"/>
      <c r="BA12" s="434"/>
      <c r="BB12" s="434"/>
      <c r="BC12" s="434"/>
      <c r="BD12" s="434"/>
      <c r="BE12" s="434"/>
      <c r="BF12" s="434"/>
      <c r="BG12" s="43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row>
    <row r="13" spans="3:86" ht="20.100000000000001" customHeight="1" x14ac:dyDescent="0.2">
      <c r="C13" s="411"/>
      <c r="D13" s="1306"/>
      <c r="E13" s="1307"/>
      <c r="F13" s="1308"/>
      <c r="G13" s="1308"/>
      <c r="H13" s="1309"/>
      <c r="I13" s="1310"/>
      <c r="J13" s="1311"/>
      <c r="K13" s="1311"/>
      <c r="L13" s="1309"/>
      <c r="M13" s="1309"/>
      <c r="N13" s="1309"/>
      <c r="O13" s="1311"/>
      <c r="P13" s="1312"/>
      <c r="Q13" s="1309"/>
      <c r="R13" s="1302"/>
      <c r="S13" s="1313"/>
      <c r="T13" s="298"/>
      <c r="U13" s="402"/>
      <c r="V13" s="402"/>
      <c r="W13" s="402"/>
      <c r="X13" s="402"/>
      <c r="Y13" s="402"/>
      <c r="Z13" s="402"/>
      <c r="AA13" s="402"/>
      <c r="AB13" s="402"/>
      <c r="AC13" s="402"/>
      <c r="AD13" s="402"/>
      <c r="AE13" s="296"/>
      <c r="AF13" s="296"/>
      <c r="AG13" s="411"/>
      <c r="AH13" s="411"/>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row>
    <row r="14" spans="3:86" ht="14.25" x14ac:dyDescent="0.2">
      <c r="C14" s="411"/>
      <c r="D14" s="1306"/>
      <c r="E14" s="1307"/>
      <c r="F14" s="1314" t="s">
        <v>732</v>
      </c>
      <c r="G14" s="279"/>
      <c r="H14" s="270"/>
      <c r="I14" s="270"/>
      <c r="J14" s="270"/>
      <c r="K14" s="270"/>
      <c r="L14" s="270"/>
      <c r="M14" s="270"/>
      <c r="N14" s="270"/>
      <c r="O14" s="270"/>
      <c r="P14" s="270"/>
      <c r="Q14" s="280"/>
      <c r="R14" s="1302"/>
      <c r="S14" s="1313"/>
      <c r="T14" s="298"/>
      <c r="U14" s="402"/>
      <c r="V14" s="402"/>
      <c r="W14" s="402"/>
      <c r="X14" s="402"/>
      <c r="Y14" s="402"/>
      <c r="Z14" s="402"/>
      <c r="AA14" s="402"/>
      <c r="AB14" s="402"/>
      <c r="AC14" s="402"/>
      <c r="AD14" s="402"/>
      <c r="AE14" s="296"/>
      <c r="AF14" s="296"/>
      <c r="AG14" s="411"/>
      <c r="AH14" s="411"/>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row>
    <row r="15" spans="3:86" ht="12.75" x14ac:dyDescent="0.2">
      <c r="C15" s="411"/>
      <c r="D15" s="1306"/>
      <c r="E15" s="1307"/>
      <c r="F15" s="1308"/>
      <c r="G15" s="281"/>
      <c r="H15" s="282"/>
      <c r="I15" s="282"/>
      <c r="J15" s="282"/>
      <c r="K15" s="282"/>
      <c r="L15" s="282"/>
      <c r="M15" s="282"/>
      <c r="N15" s="282"/>
      <c r="O15" s="282"/>
      <c r="P15" s="282"/>
      <c r="Q15" s="283"/>
      <c r="R15" s="1302"/>
      <c r="S15" s="1313"/>
      <c r="T15" s="298"/>
      <c r="U15" s="402"/>
      <c r="V15" s="402"/>
      <c r="W15" s="402"/>
      <c r="X15" s="402"/>
      <c r="Y15" s="402"/>
      <c r="Z15" s="402"/>
      <c r="AA15" s="402"/>
      <c r="AB15" s="402"/>
      <c r="AC15" s="402"/>
      <c r="AD15" s="402"/>
      <c r="AE15" s="296"/>
      <c r="AF15" s="296"/>
      <c r="AG15" s="411"/>
      <c r="AH15" s="411"/>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row>
    <row r="16" spans="3:86" ht="12.75" x14ac:dyDescent="0.2">
      <c r="C16" s="411"/>
      <c r="D16" s="1306"/>
      <c r="E16" s="1307"/>
      <c r="F16" s="1308"/>
      <c r="G16" s="274"/>
      <c r="H16" s="275"/>
      <c r="I16" s="275"/>
      <c r="J16" s="275"/>
      <c r="K16" s="275"/>
      <c r="L16" s="275"/>
      <c r="M16" s="275"/>
      <c r="N16" s="275"/>
      <c r="O16" s="275"/>
      <c r="P16" s="275"/>
      <c r="Q16" s="284"/>
      <c r="R16" s="1302"/>
      <c r="S16" s="1313"/>
      <c r="T16" s="298"/>
      <c r="U16" s="402"/>
      <c r="V16" s="402"/>
      <c r="W16" s="402"/>
      <c r="X16" s="402"/>
      <c r="Y16" s="402"/>
      <c r="Z16" s="402"/>
      <c r="AA16" s="402"/>
      <c r="AB16" s="402"/>
      <c r="AC16" s="402"/>
      <c r="AD16" s="402"/>
      <c r="AE16" s="296"/>
      <c r="AF16" s="296"/>
      <c r="AG16" s="411"/>
      <c r="AH16" s="411"/>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row>
    <row r="17" spans="3:86" ht="12.75" x14ac:dyDescent="0.2">
      <c r="C17" s="411"/>
      <c r="D17" s="1306"/>
      <c r="E17" s="1307"/>
      <c r="F17" s="1308"/>
      <c r="G17" s="274"/>
      <c r="H17" s="275"/>
      <c r="I17" s="275"/>
      <c r="J17" s="275"/>
      <c r="K17" s="275"/>
      <c r="L17" s="275"/>
      <c r="M17" s="275"/>
      <c r="N17" s="275"/>
      <c r="O17" s="275"/>
      <c r="P17" s="275"/>
      <c r="Q17" s="284"/>
      <c r="R17" s="1302"/>
      <c r="S17" s="1313"/>
      <c r="T17" s="298"/>
      <c r="U17" s="402"/>
      <c r="V17" s="402"/>
      <c r="W17" s="402"/>
      <c r="X17" s="402"/>
      <c r="Y17" s="402"/>
      <c r="Z17" s="402"/>
      <c r="AA17" s="402"/>
      <c r="AB17" s="402"/>
      <c r="AC17" s="402"/>
      <c r="AD17" s="402"/>
      <c r="AE17" s="296"/>
      <c r="AF17" s="296"/>
      <c r="AG17" s="411"/>
      <c r="AH17" s="411"/>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row>
    <row r="18" spans="3:86" ht="12.75" x14ac:dyDescent="0.2">
      <c r="C18" s="411"/>
      <c r="D18" s="1306"/>
      <c r="E18" s="1307"/>
      <c r="F18" s="1308"/>
      <c r="G18" s="274"/>
      <c r="H18" s="275"/>
      <c r="I18" s="275"/>
      <c r="J18" s="275"/>
      <c r="K18" s="275"/>
      <c r="L18" s="275"/>
      <c r="M18" s="275"/>
      <c r="N18" s="275"/>
      <c r="O18" s="275"/>
      <c r="P18" s="275"/>
      <c r="Q18" s="284"/>
      <c r="R18" s="1302"/>
      <c r="S18" s="1313"/>
      <c r="T18" s="298"/>
      <c r="U18" s="402"/>
      <c r="V18" s="402"/>
      <c r="W18" s="402"/>
      <c r="X18" s="402"/>
      <c r="Y18" s="402"/>
      <c r="Z18" s="402"/>
      <c r="AA18" s="402"/>
      <c r="AB18" s="402"/>
      <c r="AC18" s="402"/>
      <c r="AD18" s="402"/>
      <c r="AE18" s="296"/>
      <c r="AF18" s="296"/>
      <c r="AG18" s="411"/>
      <c r="AH18" s="411"/>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row>
    <row r="19" spans="3:86" ht="12.75" x14ac:dyDescent="0.2">
      <c r="C19" s="411"/>
      <c r="D19" s="1306"/>
      <c r="E19" s="1307"/>
      <c r="F19" s="1308"/>
      <c r="G19" s="276"/>
      <c r="H19" s="277"/>
      <c r="I19" s="277"/>
      <c r="J19" s="277"/>
      <c r="K19" s="277"/>
      <c r="L19" s="277"/>
      <c r="M19" s="277"/>
      <c r="N19" s="277"/>
      <c r="O19" s="277"/>
      <c r="P19" s="277"/>
      <c r="Q19" s="285"/>
      <c r="R19" s="1302"/>
      <c r="S19" s="1313"/>
      <c r="T19" s="298"/>
      <c r="U19" s="402"/>
      <c r="V19" s="402"/>
      <c r="W19" s="402"/>
      <c r="X19" s="402"/>
      <c r="Y19" s="402"/>
      <c r="Z19" s="402"/>
      <c r="AA19" s="402"/>
      <c r="AB19" s="402"/>
      <c r="AC19" s="402"/>
      <c r="AD19" s="402"/>
      <c r="AE19" s="296"/>
      <c r="AF19" s="296"/>
      <c r="AG19" s="411"/>
      <c r="AH19" s="411"/>
      <c r="AI19" s="412"/>
      <c r="AJ19" s="412"/>
      <c r="AK19" s="412"/>
      <c r="AL19" s="412"/>
      <c r="AM19" s="412"/>
      <c r="AN19" s="412"/>
      <c r="AO19" s="412"/>
      <c r="AP19" s="412"/>
      <c r="AQ19" s="412"/>
      <c r="AR19" s="412"/>
      <c r="AS19" s="412"/>
      <c r="AT19" s="412"/>
      <c r="AU19" s="412"/>
      <c r="AV19" s="412"/>
      <c r="AW19" s="412"/>
      <c r="AX19" s="412"/>
      <c r="AY19" s="412"/>
      <c r="AZ19" s="412"/>
      <c r="BA19" s="412"/>
      <c r="BB19" s="412"/>
      <c r="BC19" s="412"/>
      <c r="BD19" s="412"/>
      <c r="BE19" s="412"/>
      <c r="BF19" s="412"/>
      <c r="BG19" s="412"/>
    </row>
    <row r="20" spans="3:86" ht="20.100000000000001" customHeight="1" x14ac:dyDescent="0.2">
      <c r="C20" s="411"/>
      <c r="D20" s="949"/>
      <c r="E20" s="1315"/>
      <c r="F20" s="1304"/>
      <c r="G20" s="1304"/>
      <c r="H20" s="1304"/>
      <c r="I20" s="1305"/>
      <c r="J20" s="1305"/>
      <c r="K20" s="1305"/>
      <c r="L20" s="1305"/>
      <c r="M20" s="1305"/>
      <c r="N20" s="1305"/>
      <c r="O20" s="1305"/>
      <c r="P20" s="1305"/>
      <c r="Q20" s="1305"/>
      <c r="R20" s="1305"/>
      <c r="S20" s="1313"/>
      <c r="T20" s="298"/>
      <c r="U20" s="402"/>
      <c r="V20" s="402"/>
      <c r="W20" s="402"/>
      <c r="X20" s="402"/>
      <c r="Y20" s="402"/>
      <c r="Z20" s="402"/>
      <c r="AA20" s="402"/>
      <c r="AB20" s="402"/>
      <c r="AC20" s="402"/>
      <c r="AD20" s="402"/>
      <c r="AE20" s="296"/>
      <c r="AF20" s="296"/>
      <c r="AG20" s="411"/>
      <c r="AH20" s="411"/>
      <c r="AI20" s="412"/>
      <c r="AJ20" s="412"/>
      <c r="AK20" s="412"/>
      <c r="AL20" s="412"/>
      <c r="AM20" s="412"/>
      <c r="AN20" s="412"/>
      <c r="AO20" s="412"/>
      <c r="AP20" s="412"/>
      <c r="AQ20" s="412"/>
      <c r="AR20" s="412"/>
      <c r="AS20" s="412"/>
      <c r="AT20" s="412"/>
      <c r="AU20" s="412"/>
      <c r="AV20" s="412"/>
      <c r="AW20" s="412"/>
      <c r="AX20" s="412"/>
      <c r="AY20" s="412"/>
      <c r="AZ20" s="412"/>
      <c r="BA20" s="412"/>
      <c r="BB20" s="412"/>
      <c r="BC20" s="412"/>
      <c r="BD20" s="412"/>
      <c r="BE20" s="412"/>
      <c r="BF20" s="412"/>
      <c r="BG20" s="412"/>
    </row>
    <row r="21" spans="3:86" ht="20.100000000000001" customHeight="1" x14ac:dyDescent="0.2">
      <c r="C21" s="411"/>
      <c r="D21" s="949"/>
      <c r="E21" s="1315"/>
      <c r="F21" s="896"/>
      <c r="G21" s="896"/>
      <c r="H21" s="896"/>
      <c r="I21" s="896"/>
      <c r="J21" s="896"/>
      <c r="K21" s="896"/>
      <c r="L21" s="896"/>
      <c r="M21" s="896"/>
      <c r="N21" s="896"/>
      <c r="O21" s="896"/>
      <c r="P21" s="896"/>
      <c r="Q21" s="896"/>
      <c r="R21" s="896"/>
      <c r="S21" s="1313"/>
      <c r="T21" s="298"/>
      <c r="U21" s="402"/>
      <c r="V21" s="402"/>
      <c r="W21" s="402"/>
      <c r="X21" s="402"/>
      <c r="Y21" s="402"/>
      <c r="Z21" s="402"/>
      <c r="AA21" s="402"/>
      <c r="AB21" s="402"/>
      <c r="AC21" s="402"/>
      <c r="AD21" s="402"/>
      <c r="AE21" s="296"/>
      <c r="AF21" s="296"/>
      <c r="AG21" s="411"/>
      <c r="AH21" s="411"/>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row>
    <row r="22" spans="3:86" ht="15" customHeight="1" x14ac:dyDescent="0.2">
      <c r="C22" s="411"/>
      <c r="D22" s="949"/>
      <c r="E22" s="1315"/>
      <c r="F22" s="1316" t="s">
        <v>733</v>
      </c>
      <c r="G22" s="1317" t="s">
        <v>1599</v>
      </c>
      <c r="H22" s="896"/>
      <c r="I22" s="896"/>
      <c r="J22" s="896"/>
      <c r="K22" s="896"/>
      <c r="L22" s="896"/>
      <c r="M22" s="896"/>
      <c r="N22" s="896"/>
      <c r="O22" s="896"/>
      <c r="P22" s="1318" t="s">
        <v>1600</v>
      </c>
      <c r="Q22" s="896"/>
      <c r="R22" s="896"/>
      <c r="S22" s="1313"/>
      <c r="T22" s="298"/>
      <c r="U22" s="402"/>
      <c r="V22" s="402"/>
      <c r="W22" s="402"/>
      <c r="X22" s="402"/>
      <c r="Y22" s="402"/>
      <c r="Z22" s="402"/>
      <c r="AA22" s="402"/>
      <c r="AB22" s="402"/>
      <c r="AC22" s="402"/>
      <c r="AD22" s="402"/>
      <c r="AE22" s="296"/>
      <c r="AF22" s="296"/>
      <c r="AG22" s="411"/>
      <c r="AH22" s="411"/>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row>
    <row r="23" spans="3:86" ht="5.25" customHeight="1" x14ac:dyDescent="0.2">
      <c r="C23" s="411"/>
      <c r="D23" s="949"/>
      <c r="E23" s="1315"/>
      <c r="F23" s="1316"/>
      <c r="G23" s="896"/>
      <c r="H23" s="896"/>
      <c r="I23" s="896"/>
      <c r="J23" s="896"/>
      <c r="K23" s="896"/>
      <c r="L23" s="896"/>
      <c r="M23" s="896"/>
      <c r="N23" s="896"/>
      <c r="O23" s="896"/>
      <c r="P23" s="896"/>
      <c r="Q23" s="896"/>
      <c r="R23" s="896"/>
      <c r="S23" s="1313"/>
      <c r="T23" s="298"/>
      <c r="U23" s="402"/>
      <c r="V23" s="402"/>
      <c r="W23" s="402"/>
      <c r="X23" s="402"/>
      <c r="Y23" s="402"/>
      <c r="Z23" s="402"/>
      <c r="AA23" s="402"/>
      <c r="AB23" s="402"/>
      <c r="AC23" s="402"/>
      <c r="AD23" s="402"/>
      <c r="AE23" s="296"/>
      <c r="AF23" s="296"/>
      <c r="AG23" s="411"/>
      <c r="AH23" s="411"/>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row>
    <row r="24" spans="3:86" s="924" customFormat="1" ht="11.25" x14ac:dyDescent="0.15">
      <c r="C24" s="922"/>
      <c r="D24" s="1319"/>
      <c r="E24" s="1320"/>
      <c r="F24" s="1320"/>
      <c r="G24" s="1320"/>
      <c r="H24" s="1320"/>
      <c r="I24" s="1321" t="s">
        <v>734</v>
      </c>
      <c r="J24" s="271">
        <v>0.25</v>
      </c>
      <c r="K24" s="1320"/>
      <c r="L24" s="1320"/>
      <c r="M24" s="1320"/>
      <c r="N24" s="1320"/>
      <c r="O24" s="1322" t="s">
        <v>355</v>
      </c>
      <c r="P24" s="1329">
        <v>20</v>
      </c>
      <c r="Q24" s="1320"/>
      <c r="R24" s="1320"/>
      <c r="S24" s="1313"/>
      <c r="T24" s="922"/>
      <c r="U24" s="405"/>
      <c r="V24" s="405"/>
      <c r="W24" s="405"/>
      <c r="X24" s="405"/>
      <c r="Y24" s="405"/>
      <c r="Z24" s="405"/>
      <c r="AA24" s="405"/>
      <c r="AB24" s="405"/>
      <c r="AC24" s="405"/>
      <c r="AD24" s="405"/>
      <c r="AE24" s="405"/>
      <c r="AF24" s="405"/>
      <c r="AG24" s="922"/>
      <c r="AH24" s="922"/>
      <c r="AI24" s="420"/>
      <c r="AJ24" s="420"/>
      <c r="AK24" s="420"/>
      <c r="AL24" s="420"/>
      <c r="AM24" s="420"/>
      <c r="AN24" s="420"/>
      <c r="AO24" s="420"/>
      <c r="AP24" s="420"/>
      <c r="AQ24" s="420"/>
      <c r="AR24" s="420"/>
      <c r="AS24" s="420"/>
      <c r="AT24" s="420"/>
      <c r="AU24" s="420"/>
      <c r="AV24" s="420"/>
      <c r="AW24" s="420"/>
      <c r="AX24" s="420"/>
      <c r="AY24" s="420"/>
      <c r="AZ24" s="420"/>
      <c r="BA24" s="420"/>
      <c r="BB24" s="420"/>
      <c r="BC24" s="420"/>
      <c r="BD24" s="420"/>
      <c r="BE24" s="420"/>
      <c r="BF24" s="420"/>
      <c r="BG24" s="420"/>
      <c r="BH24" s="923"/>
      <c r="BI24" s="923"/>
      <c r="BJ24" s="923"/>
      <c r="BK24" s="923"/>
      <c r="BL24" s="923"/>
      <c r="BM24" s="923"/>
      <c r="BN24" s="923"/>
      <c r="BO24" s="923"/>
      <c r="BP24" s="923"/>
      <c r="BQ24" s="923"/>
      <c r="BR24" s="923"/>
      <c r="BS24" s="923"/>
      <c r="BT24" s="923"/>
      <c r="BU24" s="923"/>
      <c r="BV24" s="923"/>
      <c r="BW24" s="923"/>
      <c r="BX24" s="923"/>
      <c r="BY24" s="923"/>
      <c r="BZ24" s="923"/>
      <c r="CA24" s="923"/>
      <c r="CB24" s="923"/>
      <c r="CC24" s="923"/>
      <c r="CD24" s="923"/>
      <c r="CE24" s="923"/>
      <c r="CF24" s="923"/>
      <c r="CG24" s="923"/>
      <c r="CH24" s="923"/>
    </row>
    <row r="25" spans="3:86" s="924" customFormat="1" ht="11.25" x14ac:dyDescent="0.15">
      <c r="C25" s="922"/>
      <c r="D25" s="1319"/>
      <c r="E25" s="1320"/>
      <c r="F25" s="1320"/>
      <c r="G25" s="1320"/>
      <c r="H25" s="1320"/>
      <c r="I25" s="1323" t="s">
        <v>1234</v>
      </c>
      <c r="J25" s="921" t="s">
        <v>1373</v>
      </c>
      <c r="K25" s="1320"/>
      <c r="L25" s="1320"/>
      <c r="M25" s="1320"/>
      <c r="N25" s="1320"/>
      <c r="O25" s="1322" t="s">
        <v>356</v>
      </c>
      <c r="P25" s="1329">
        <v>10</v>
      </c>
      <c r="Q25" s="1320"/>
      <c r="R25" s="1320"/>
      <c r="S25" s="1313"/>
      <c r="T25" s="922"/>
      <c r="U25" s="405"/>
      <c r="V25" s="405"/>
      <c r="W25" s="405"/>
      <c r="X25" s="405"/>
      <c r="Y25" s="405"/>
      <c r="Z25" s="405"/>
      <c r="AA25" s="405"/>
      <c r="AB25" s="405"/>
      <c r="AC25" s="405"/>
      <c r="AD25" s="405"/>
      <c r="AE25" s="405"/>
      <c r="AF25" s="405"/>
      <c r="AG25" s="922"/>
      <c r="AH25" s="922"/>
      <c r="AI25" s="420"/>
      <c r="AJ25" s="420"/>
      <c r="AK25" s="420"/>
      <c r="AL25" s="420"/>
      <c r="AM25" s="420"/>
      <c r="AN25" s="420"/>
      <c r="AO25" s="420"/>
      <c r="AP25" s="420"/>
      <c r="AQ25" s="420"/>
      <c r="AR25" s="420"/>
      <c r="AS25" s="420"/>
      <c r="AT25" s="420"/>
      <c r="AU25" s="420"/>
      <c r="AV25" s="420"/>
      <c r="AW25" s="420"/>
      <c r="AX25" s="420"/>
      <c r="AY25" s="420"/>
      <c r="AZ25" s="420"/>
      <c r="BA25" s="420"/>
      <c r="BB25" s="420"/>
      <c r="BC25" s="420"/>
      <c r="BD25" s="420"/>
      <c r="BE25" s="420"/>
      <c r="BF25" s="420"/>
      <c r="BG25" s="420"/>
      <c r="BH25" s="923"/>
      <c r="BI25" s="923"/>
      <c r="BJ25" s="923"/>
      <c r="BK25" s="923"/>
      <c r="BL25" s="923"/>
      <c r="BM25" s="923"/>
      <c r="BN25" s="923"/>
      <c r="BO25" s="923"/>
      <c r="BP25" s="923"/>
      <c r="BQ25" s="923"/>
      <c r="BR25" s="923"/>
      <c r="BS25" s="923"/>
      <c r="BT25" s="923"/>
      <c r="BU25" s="923"/>
      <c r="BV25" s="923"/>
      <c r="BW25" s="923"/>
      <c r="BX25" s="923"/>
      <c r="BY25" s="923"/>
      <c r="BZ25" s="923"/>
      <c r="CA25" s="923"/>
      <c r="CB25" s="923"/>
      <c r="CC25" s="923"/>
      <c r="CD25" s="923"/>
      <c r="CE25" s="923"/>
      <c r="CF25" s="923"/>
      <c r="CG25" s="923"/>
      <c r="CH25" s="923"/>
    </row>
    <row r="26" spans="3:86" s="924" customFormat="1" ht="11.25" x14ac:dyDescent="0.15">
      <c r="C26" s="922"/>
      <c r="D26" s="1319"/>
      <c r="E26" s="1320"/>
      <c r="F26" s="1320"/>
      <c r="G26" s="1320"/>
      <c r="H26" s="1320"/>
      <c r="I26" s="1324" t="s">
        <v>1232</v>
      </c>
      <c r="J26" s="271">
        <v>0.21</v>
      </c>
      <c r="K26" s="1320"/>
      <c r="L26" s="1320"/>
      <c r="M26" s="1320"/>
      <c r="N26" s="1320"/>
      <c r="O26" s="1322" t="s">
        <v>357</v>
      </c>
      <c r="P26" s="1329">
        <v>5</v>
      </c>
      <c r="Q26" s="1320"/>
      <c r="R26" s="1320"/>
      <c r="S26" s="1313"/>
      <c r="T26" s="922"/>
      <c r="U26" s="405"/>
      <c r="V26" s="405"/>
      <c r="W26" s="405"/>
      <c r="X26" s="405"/>
      <c r="Y26" s="405"/>
      <c r="Z26" s="405"/>
      <c r="AA26" s="405"/>
      <c r="AB26" s="405"/>
      <c r="AC26" s="405"/>
      <c r="AD26" s="405"/>
      <c r="AE26" s="405"/>
      <c r="AF26" s="405"/>
      <c r="AG26" s="922"/>
      <c r="AH26" s="922"/>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923"/>
      <c r="BI26" s="923"/>
      <c r="BJ26" s="923"/>
      <c r="BK26" s="923"/>
      <c r="BL26" s="923"/>
      <c r="BM26" s="923"/>
      <c r="BN26" s="923"/>
      <c r="BO26" s="923"/>
      <c r="BP26" s="923"/>
      <c r="BQ26" s="923"/>
      <c r="BR26" s="923"/>
      <c r="BS26" s="923"/>
      <c r="BT26" s="923"/>
      <c r="BU26" s="923"/>
      <c r="BV26" s="923"/>
      <c r="BW26" s="923"/>
      <c r="BX26" s="923"/>
      <c r="BY26" s="923"/>
      <c r="BZ26" s="923"/>
      <c r="CA26" s="923"/>
      <c r="CB26" s="923"/>
      <c r="CC26" s="923"/>
      <c r="CD26" s="923"/>
      <c r="CE26" s="923"/>
      <c r="CF26" s="923"/>
      <c r="CG26" s="923"/>
      <c r="CH26" s="923"/>
    </row>
    <row r="27" spans="3:86" s="924" customFormat="1" ht="11.25" x14ac:dyDescent="0.15">
      <c r="C27" s="922"/>
      <c r="D27" s="1319"/>
      <c r="E27" s="1320"/>
      <c r="F27" s="1320"/>
      <c r="G27" s="1320"/>
      <c r="H27" s="1320"/>
      <c r="I27" s="1324" t="s">
        <v>1233</v>
      </c>
      <c r="J27" s="271">
        <v>0.21</v>
      </c>
      <c r="K27" s="1320"/>
      <c r="L27" s="1320"/>
      <c r="M27" s="1320"/>
      <c r="N27" s="1320"/>
      <c r="O27" s="1322" t="s">
        <v>358</v>
      </c>
      <c r="P27" s="1329">
        <v>5</v>
      </c>
      <c r="Q27" s="1320"/>
      <c r="R27" s="1320"/>
      <c r="S27" s="1313"/>
      <c r="T27" s="922"/>
      <c r="U27" s="405"/>
      <c r="V27" s="405"/>
      <c r="W27" s="405"/>
      <c r="X27" s="405"/>
      <c r="Y27" s="405"/>
      <c r="Z27" s="405"/>
      <c r="AA27" s="405"/>
      <c r="AB27" s="405"/>
      <c r="AC27" s="405"/>
      <c r="AD27" s="405"/>
      <c r="AE27" s="405"/>
      <c r="AF27" s="405"/>
      <c r="AG27" s="922"/>
      <c r="AH27" s="922"/>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923"/>
      <c r="BI27" s="923"/>
      <c r="BJ27" s="923"/>
      <c r="BK27" s="923"/>
      <c r="BL27" s="923"/>
      <c r="BM27" s="923"/>
      <c r="BN27" s="923"/>
      <c r="BO27" s="923"/>
      <c r="BP27" s="923"/>
      <c r="BQ27" s="923"/>
      <c r="BR27" s="923"/>
      <c r="BS27" s="923"/>
      <c r="BT27" s="923"/>
      <c r="BU27" s="923"/>
      <c r="BV27" s="923"/>
      <c r="BW27" s="923"/>
      <c r="BX27" s="923"/>
      <c r="BY27" s="923"/>
      <c r="BZ27" s="923"/>
      <c r="CA27" s="923"/>
      <c r="CB27" s="923"/>
      <c r="CC27" s="923"/>
      <c r="CD27" s="923"/>
      <c r="CE27" s="923"/>
      <c r="CF27" s="923"/>
      <c r="CG27" s="923"/>
      <c r="CH27" s="923"/>
    </row>
    <row r="28" spans="3:86" s="924" customFormat="1" ht="11.25" x14ac:dyDescent="0.15">
      <c r="C28" s="922"/>
      <c r="D28" s="1319"/>
      <c r="E28" s="1320"/>
      <c r="F28" s="1320"/>
      <c r="G28" s="1320"/>
      <c r="H28" s="1320"/>
      <c r="I28" s="1324" t="s">
        <v>1597</v>
      </c>
      <c r="J28" s="271">
        <v>0</v>
      </c>
      <c r="K28" s="1320"/>
      <c r="L28" s="1320"/>
      <c r="M28" s="1320"/>
      <c r="N28" s="1320"/>
      <c r="O28" s="1322" t="s">
        <v>359</v>
      </c>
      <c r="P28" s="1329">
        <v>10</v>
      </c>
      <c r="Q28" s="1320"/>
      <c r="R28" s="1320"/>
      <c r="S28" s="1313"/>
      <c r="T28" s="922"/>
      <c r="U28" s="405"/>
      <c r="V28" s="405"/>
      <c r="W28" s="405"/>
      <c r="X28" s="405"/>
      <c r="Y28" s="405"/>
      <c r="Z28" s="405"/>
      <c r="AA28" s="405"/>
      <c r="AB28" s="405"/>
      <c r="AC28" s="405"/>
      <c r="AD28" s="405"/>
      <c r="AE28" s="405"/>
      <c r="AF28" s="405"/>
      <c r="AG28" s="922"/>
      <c r="AH28" s="922"/>
      <c r="AI28" s="420"/>
      <c r="AJ28" s="420"/>
      <c r="AK28" s="420"/>
      <c r="AL28" s="420"/>
      <c r="AM28" s="420"/>
      <c r="AN28" s="420"/>
      <c r="AO28" s="420"/>
      <c r="AP28" s="420"/>
      <c r="AQ28" s="420"/>
      <c r="AR28" s="420"/>
      <c r="AS28" s="420"/>
      <c r="AT28" s="420"/>
      <c r="AU28" s="420"/>
      <c r="AV28" s="420"/>
      <c r="AW28" s="420"/>
      <c r="AX28" s="420"/>
      <c r="AY28" s="420"/>
      <c r="AZ28" s="420"/>
      <c r="BA28" s="420"/>
      <c r="BB28" s="420"/>
      <c r="BC28" s="420"/>
      <c r="BD28" s="420"/>
      <c r="BE28" s="420"/>
      <c r="BF28" s="420"/>
      <c r="BG28" s="420"/>
      <c r="BH28" s="923"/>
      <c r="BI28" s="923"/>
      <c r="BJ28" s="923"/>
      <c r="BK28" s="923"/>
      <c r="BL28" s="923"/>
      <c r="BM28" s="923"/>
      <c r="BN28" s="923"/>
      <c r="BO28" s="923"/>
      <c r="BP28" s="923"/>
      <c r="BQ28" s="923"/>
      <c r="BR28" s="923"/>
      <c r="BS28" s="923"/>
      <c r="BT28" s="923"/>
      <c r="BU28" s="923"/>
      <c r="BV28" s="923"/>
      <c r="BW28" s="923"/>
      <c r="BX28" s="923"/>
      <c r="BY28" s="923"/>
      <c r="BZ28" s="923"/>
      <c r="CA28" s="923"/>
      <c r="CB28" s="923"/>
      <c r="CC28" s="923"/>
      <c r="CD28" s="923"/>
      <c r="CE28" s="923"/>
      <c r="CF28" s="923"/>
      <c r="CG28" s="923"/>
      <c r="CH28" s="923"/>
    </row>
    <row r="29" spans="3:86" s="924" customFormat="1" ht="11.25" x14ac:dyDescent="0.15">
      <c r="C29" s="922"/>
      <c r="D29" s="1319"/>
      <c r="E29" s="1320"/>
      <c r="F29" s="1320"/>
      <c r="G29" s="1320"/>
      <c r="H29" s="1320"/>
      <c r="I29" s="1325"/>
      <c r="J29" s="1325"/>
      <c r="K29" s="1320"/>
      <c r="L29" s="1320"/>
      <c r="M29" s="1320"/>
      <c r="N29" s="1320"/>
      <c r="O29" s="1322" t="s">
        <v>270</v>
      </c>
      <c r="P29" s="1329">
        <v>5</v>
      </c>
      <c r="Q29" s="1320"/>
      <c r="R29" s="1320"/>
      <c r="S29" s="1313"/>
      <c r="T29" s="922"/>
      <c r="U29" s="405"/>
      <c r="V29" s="405"/>
      <c r="W29" s="405"/>
      <c r="X29" s="405"/>
      <c r="Y29" s="405"/>
      <c r="Z29" s="405"/>
      <c r="AA29" s="405"/>
      <c r="AB29" s="405"/>
      <c r="AC29" s="405"/>
      <c r="AD29" s="405"/>
      <c r="AE29" s="405"/>
      <c r="AF29" s="405"/>
      <c r="AG29" s="922"/>
      <c r="AH29" s="922"/>
      <c r="AI29" s="420"/>
      <c r="AJ29" s="420"/>
      <c r="AK29" s="420"/>
      <c r="AL29" s="420"/>
      <c r="AM29" s="420"/>
      <c r="AN29" s="420"/>
      <c r="AO29" s="420"/>
      <c r="AP29" s="420"/>
      <c r="AQ29" s="420"/>
      <c r="AR29" s="420"/>
      <c r="AS29" s="420"/>
      <c r="AT29" s="420"/>
      <c r="AU29" s="420"/>
      <c r="AV29" s="420"/>
      <c r="AW29" s="420"/>
      <c r="AX29" s="420"/>
      <c r="AY29" s="420"/>
      <c r="AZ29" s="420"/>
      <c r="BA29" s="420"/>
      <c r="BB29" s="420"/>
      <c r="BC29" s="420"/>
      <c r="BD29" s="420"/>
      <c r="BE29" s="420"/>
      <c r="BF29" s="420"/>
      <c r="BG29" s="420"/>
      <c r="BH29" s="923"/>
      <c r="BI29" s="923"/>
      <c r="BJ29" s="923"/>
      <c r="BK29" s="923"/>
      <c r="BL29" s="923"/>
      <c r="BM29" s="923"/>
      <c r="BN29" s="923"/>
      <c r="BO29" s="923"/>
      <c r="BP29" s="923"/>
      <c r="BQ29" s="923"/>
      <c r="BR29" s="923"/>
      <c r="BS29" s="923"/>
      <c r="BT29" s="923"/>
      <c r="BU29" s="923"/>
      <c r="BV29" s="923"/>
      <c r="BW29" s="923"/>
      <c r="BX29" s="923"/>
      <c r="BY29" s="923"/>
      <c r="BZ29" s="923"/>
      <c r="CA29" s="923"/>
      <c r="CB29" s="923"/>
      <c r="CC29" s="923"/>
      <c r="CD29" s="923"/>
      <c r="CE29" s="923"/>
      <c r="CF29" s="923"/>
      <c r="CG29" s="923"/>
      <c r="CH29" s="923"/>
    </row>
    <row r="30" spans="3:86" s="924" customFormat="1" ht="11.25" x14ac:dyDescent="0.15">
      <c r="C30" s="922"/>
      <c r="D30" s="1319"/>
      <c r="E30" s="1320"/>
      <c r="F30" s="1320"/>
      <c r="G30" s="1320"/>
      <c r="H30" s="1320"/>
      <c r="I30" s="1325"/>
      <c r="J30" s="1325"/>
      <c r="K30" s="1320"/>
      <c r="L30" s="1320"/>
      <c r="M30" s="1320"/>
      <c r="N30" s="1320"/>
      <c r="O30" s="1322" t="s">
        <v>364</v>
      </c>
      <c r="P30" s="1329">
        <v>10</v>
      </c>
      <c r="Q30" s="1320"/>
      <c r="R30" s="1320"/>
      <c r="S30" s="1313"/>
      <c r="T30" s="922"/>
      <c r="U30" s="405"/>
      <c r="V30" s="405"/>
      <c r="W30" s="405"/>
      <c r="X30" s="405"/>
      <c r="Y30" s="405"/>
      <c r="Z30" s="405"/>
      <c r="AA30" s="405"/>
      <c r="AB30" s="405"/>
      <c r="AC30" s="405"/>
      <c r="AD30" s="405"/>
      <c r="AE30" s="405"/>
      <c r="AF30" s="405"/>
      <c r="AG30" s="922"/>
      <c r="AH30" s="922"/>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923"/>
      <c r="BI30" s="923"/>
      <c r="BJ30" s="923"/>
      <c r="BK30" s="923"/>
      <c r="BL30" s="923"/>
      <c r="BM30" s="923"/>
      <c r="BN30" s="923"/>
      <c r="BO30" s="923"/>
      <c r="BP30" s="923"/>
      <c r="BQ30" s="923"/>
      <c r="BR30" s="923"/>
      <c r="BS30" s="923"/>
      <c r="BT30" s="923"/>
      <c r="BU30" s="923"/>
      <c r="BV30" s="923"/>
      <c r="BW30" s="923"/>
      <c r="BX30" s="923"/>
      <c r="BY30" s="923"/>
      <c r="BZ30" s="923"/>
      <c r="CA30" s="923"/>
      <c r="CB30" s="923"/>
      <c r="CC30" s="923"/>
      <c r="CD30" s="923"/>
      <c r="CE30" s="923"/>
      <c r="CF30" s="923"/>
      <c r="CG30" s="923"/>
      <c r="CH30" s="923"/>
    </row>
    <row r="31" spans="3:86" s="923" customFormat="1" ht="20.100000000000001" customHeight="1" x14ac:dyDescent="0.15">
      <c r="C31" s="922"/>
      <c r="D31" s="1326"/>
      <c r="E31" s="1327"/>
      <c r="F31" s="1327"/>
      <c r="G31" s="1327"/>
      <c r="H31" s="1327"/>
      <c r="I31" s="1327"/>
      <c r="J31" s="1327"/>
      <c r="K31" s="1327"/>
      <c r="L31" s="1327"/>
      <c r="M31" s="1327"/>
      <c r="N31" s="1327"/>
      <c r="O31" s="1327"/>
      <c r="P31" s="1327"/>
      <c r="Q31" s="1327"/>
      <c r="R31" s="1327"/>
      <c r="S31" s="1328"/>
      <c r="T31" s="922"/>
      <c r="U31" s="405"/>
      <c r="V31" s="405"/>
      <c r="W31" s="405"/>
      <c r="X31" s="405"/>
      <c r="Y31" s="405"/>
      <c r="Z31" s="405"/>
      <c r="AA31" s="405"/>
      <c r="AB31" s="405"/>
      <c r="AC31" s="405"/>
      <c r="AD31" s="405"/>
      <c r="AE31" s="405"/>
      <c r="AF31" s="405"/>
      <c r="AG31" s="922"/>
      <c r="AH31" s="922"/>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420"/>
      <c r="BG31" s="420"/>
    </row>
    <row r="32" spans="3:86" s="923" customFormat="1" ht="11.25" x14ac:dyDescent="0.15">
      <c r="C32" s="922"/>
      <c r="D32" s="922"/>
      <c r="E32" s="922"/>
      <c r="F32" s="922"/>
      <c r="G32" s="922"/>
      <c r="H32" s="922"/>
      <c r="I32" s="922"/>
      <c r="J32" s="922"/>
      <c r="K32" s="922"/>
      <c r="L32" s="922"/>
      <c r="M32" s="922"/>
      <c r="N32" s="922"/>
      <c r="O32" s="922"/>
      <c r="P32" s="922"/>
      <c r="Q32" s="922"/>
      <c r="R32" s="922"/>
      <c r="S32" s="922"/>
      <c r="T32" s="922"/>
      <c r="U32" s="405"/>
      <c r="V32" s="405"/>
      <c r="W32" s="405"/>
      <c r="X32" s="405"/>
      <c r="Y32" s="405"/>
      <c r="Z32" s="405"/>
      <c r="AA32" s="405"/>
      <c r="AB32" s="405"/>
      <c r="AC32" s="405"/>
      <c r="AD32" s="405"/>
      <c r="AE32" s="405"/>
      <c r="AF32" s="405"/>
      <c r="AG32" s="922"/>
      <c r="AH32" s="922"/>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420"/>
      <c r="BG32" s="420"/>
    </row>
    <row r="33" spans="3:59" s="923" customFormat="1" ht="11.25" x14ac:dyDescent="0.15">
      <c r="C33" s="922"/>
      <c r="D33" s="922"/>
      <c r="E33" s="922"/>
      <c r="F33" s="922"/>
      <c r="G33" s="922"/>
      <c r="H33" s="922"/>
      <c r="I33" s="922"/>
      <c r="J33" s="922"/>
      <c r="K33" s="922"/>
      <c r="L33" s="922"/>
      <c r="M33" s="922"/>
      <c r="N33" s="922"/>
      <c r="O33" s="922"/>
      <c r="P33" s="922"/>
      <c r="Q33" s="922"/>
      <c r="R33" s="922"/>
      <c r="S33" s="922"/>
      <c r="T33" s="922"/>
      <c r="U33" s="405"/>
      <c r="V33" s="405"/>
      <c r="W33" s="405"/>
      <c r="X33" s="405"/>
      <c r="Y33" s="405"/>
      <c r="Z33" s="405"/>
      <c r="AA33" s="405"/>
      <c r="AB33" s="405"/>
      <c r="AC33" s="405"/>
      <c r="AD33" s="405"/>
      <c r="AE33" s="405"/>
      <c r="AF33" s="405"/>
      <c r="AG33" s="922"/>
      <c r="AH33" s="922"/>
      <c r="AI33" s="420"/>
      <c r="AJ33" s="420"/>
      <c r="AK33" s="420"/>
      <c r="AL33" s="420"/>
      <c r="AM33" s="420"/>
      <c r="AN33" s="420"/>
      <c r="AO33" s="420"/>
      <c r="AP33" s="420"/>
      <c r="AQ33" s="420"/>
      <c r="AR33" s="420"/>
      <c r="AS33" s="420"/>
      <c r="AT33" s="420"/>
      <c r="AU33" s="420"/>
      <c r="AV33" s="420"/>
      <c r="AW33" s="420"/>
      <c r="AX33" s="420"/>
      <c r="AY33" s="420"/>
      <c r="AZ33" s="420"/>
      <c r="BA33" s="420"/>
      <c r="BB33" s="420"/>
      <c r="BC33" s="420"/>
      <c r="BD33" s="420"/>
      <c r="BE33" s="420"/>
      <c r="BF33" s="420"/>
      <c r="BG33" s="420"/>
    </row>
    <row r="34" spans="3:59" s="923" customFormat="1" ht="11.25" x14ac:dyDescent="0.15">
      <c r="C34" s="922"/>
      <c r="D34" s="922"/>
      <c r="E34" s="922"/>
      <c r="F34" s="922"/>
      <c r="G34" s="922"/>
      <c r="H34" s="922"/>
      <c r="I34" s="922"/>
      <c r="J34" s="922"/>
      <c r="K34" s="922"/>
      <c r="L34" s="922"/>
      <c r="M34" s="922"/>
      <c r="N34" s="922"/>
      <c r="O34" s="922"/>
      <c r="P34" s="922"/>
      <c r="Q34" s="922"/>
      <c r="R34" s="922"/>
      <c r="S34" s="922"/>
      <c r="T34" s="922"/>
      <c r="U34" s="405"/>
      <c r="V34" s="405"/>
      <c r="W34" s="405"/>
      <c r="X34" s="405"/>
      <c r="Y34" s="405"/>
      <c r="Z34" s="405"/>
      <c r="AA34" s="405"/>
      <c r="AB34" s="405"/>
      <c r="AC34" s="405"/>
      <c r="AD34" s="405"/>
      <c r="AE34" s="405"/>
      <c r="AF34" s="405"/>
      <c r="AG34" s="922"/>
      <c r="AH34" s="922"/>
      <c r="AI34" s="420"/>
      <c r="AJ34" s="420"/>
      <c r="AK34" s="420"/>
      <c r="AL34" s="420"/>
      <c r="AM34" s="420"/>
      <c r="AN34" s="420"/>
      <c r="AO34" s="420"/>
      <c r="AP34" s="420"/>
      <c r="AQ34" s="420"/>
      <c r="AR34" s="420"/>
      <c r="AS34" s="420"/>
      <c r="AT34" s="420"/>
      <c r="AU34" s="420"/>
      <c r="AV34" s="420"/>
      <c r="AW34" s="420"/>
      <c r="AX34" s="420"/>
      <c r="AY34" s="420"/>
      <c r="AZ34" s="420"/>
      <c r="BA34" s="420"/>
      <c r="BB34" s="420"/>
      <c r="BC34" s="420"/>
      <c r="BD34" s="420"/>
      <c r="BE34" s="420"/>
      <c r="BF34" s="420"/>
      <c r="BG34" s="420"/>
    </row>
    <row r="35" spans="3:59" s="923" customFormat="1" ht="11.25" x14ac:dyDescent="0.15">
      <c r="C35" s="922"/>
      <c r="D35" s="922"/>
      <c r="E35" s="922"/>
      <c r="F35" s="922"/>
      <c r="G35" s="922"/>
      <c r="H35" s="922"/>
      <c r="I35" s="922"/>
      <c r="J35" s="922"/>
      <c r="K35" s="922"/>
      <c r="L35" s="922"/>
      <c r="M35" s="922"/>
      <c r="N35" s="922"/>
      <c r="O35" s="922"/>
      <c r="P35" s="922"/>
      <c r="Q35" s="922"/>
      <c r="R35" s="922"/>
      <c r="S35" s="922"/>
      <c r="T35" s="922"/>
      <c r="U35" s="405"/>
      <c r="V35" s="405"/>
      <c r="W35" s="405"/>
      <c r="X35" s="405"/>
      <c r="Y35" s="405"/>
      <c r="Z35" s="405"/>
      <c r="AA35" s="405"/>
      <c r="AB35" s="405"/>
      <c r="AC35" s="405"/>
      <c r="AD35" s="405"/>
      <c r="AE35" s="405"/>
      <c r="AF35" s="405"/>
      <c r="AG35" s="922"/>
      <c r="AH35" s="922"/>
      <c r="AI35" s="420"/>
      <c r="AJ35" s="420"/>
      <c r="AK35" s="420"/>
      <c r="AL35" s="420"/>
      <c r="AM35" s="420"/>
      <c r="AN35" s="420"/>
      <c r="AO35" s="420"/>
      <c r="AP35" s="420"/>
      <c r="AQ35" s="420"/>
      <c r="AR35" s="420"/>
      <c r="AS35" s="420"/>
      <c r="AT35" s="420"/>
      <c r="AU35" s="420"/>
      <c r="AV35" s="420"/>
      <c r="AW35" s="420"/>
      <c r="AX35" s="420"/>
      <c r="AY35" s="420"/>
      <c r="AZ35" s="420"/>
      <c r="BA35" s="420"/>
      <c r="BB35" s="420"/>
      <c r="BC35" s="420"/>
      <c r="BD35" s="420"/>
      <c r="BE35" s="420"/>
      <c r="BF35" s="420"/>
      <c r="BG35" s="420"/>
    </row>
    <row r="36" spans="3:59" s="923" customFormat="1" ht="11.25" x14ac:dyDescent="0.15">
      <c r="C36" s="922"/>
      <c r="D36" s="922"/>
      <c r="E36" s="922"/>
      <c r="F36" s="922"/>
      <c r="G36" s="922"/>
      <c r="H36" s="922"/>
      <c r="I36" s="922"/>
      <c r="J36" s="922"/>
      <c r="K36" s="922"/>
      <c r="L36" s="922"/>
      <c r="M36" s="922"/>
      <c r="N36" s="922"/>
      <c r="O36" s="922"/>
      <c r="P36" s="922"/>
      <c r="Q36" s="922"/>
      <c r="R36" s="922"/>
      <c r="S36" s="922"/>
      <c r="T36" s="922"/>
      <c r="U36" s="405"/>
      <c r="V36" s="405"/>
      <c r="W36" s="405"/>
      <c r="X36" s="405"/>
      <c r="Y36" s="405"/>
      <c r="Z36" s="405"/>
      <c r="AA36" s="405"/>
      <c r="AB36" s="405"/>
      <c r="AC36" s="405"/>
      <c r="AD36" s="405"/>
      <c r="AE36" s="405"/>
      <c r="AF36" s="405"/>
      <c r="AG36" s="922"/>
      <c r="AH36" s="922"/>
      <c r="AI36" s="420"/>
      <c r="AJ36" s="420"/>
      <c r="AK36" s="420"/>
      <c r="AL36" s="420"/>
      <c r="AM36" s="420"/>
      <c r="AN36" s="420"/>
      <c r="AO36" s="420"/>
      <c r="AP36" s="420"/>
      <c r="AQ36" s="420"/>
      <c r="AR36" s="420"/>
      <c r="AS36" s="420"/>
      <c r="AT36" s="420"/>
      <c r="AU36" s="420"/>
      <c r="AV36" s="420"/>
      <c r="AW36" s="420"/>
      <c r="AX36" s="420"/>
      <c r="AY36" s="420"/>
      <c r="AZ36" s="420"/>
      <c r="BA36" s="420"/>
      <c r="BB36" s="420"/>
      <c r="BC36" s="420"/>
      <c r="BD36" s="420"/>
      <c r="BE36" s="420"/>
      <c r="BF36" s="420"/>
      <c r="BG36" s="420"/>
    </row>
    <row r="37" spans="3:59" s="923" customFormat="1" ht="11.25" x14ac:dyDescent="0.15">
      <c r="C37" s="922"/>
      <c r="D37" s="922"/>
      <c r="E37" s="922"/>
      <c r="F37" s="922"/>
      <c r="G37" s="922"/>
      <c r="H37" s="922"/>
      <c r="I37" s="922"/>
      <c r="J37" s="922"/>
      <c r="K37" s="922"/>
      <c r="L37" s="922"/>
      <c r="M37" s="922"/>
      <c r="N37" s="922"/>
      <c r="O37" s="922"/>
      <c r="P37" s="922"/>
      <c r="Q37" s="922"/>
      <c r="R37" s="922"/>
      <c r="S37" s="922"/>
      <c r="T37" s="922"/>
      <c r="U37" s="405"/>
      <c r="V37" s="405"/>
      <c r="W37" s="405"/>
      <c r="X37" s="405"/>
      <c r="Y37" s="405"/>
      <c r="Z37" s="405"/>
      <c r="AA37" s="405"/>
      <c r="AB37" s="405"/>
      <c r="AC37" s="405"/>
      <c r="AD37" s="405"/>
      <c r="AE37" s="405"/>
      <c r="AF37" s="405"/>
      <c r="AG37" s="922"/>
      <c r="AH37" s="922"/>
      <c r="AI37" s="420"/>
      <c r="AJ37" s="420"/>
      <c r="AK37" s="420"/>
      <c r="AL37" s="420"/>
      <c r="AM37" s="420"/>
      <c r="AN37" s="420"/>
      <c r="AO37" s="420"/>
      <c r="AP37" s="420"/>
      <c r="AQ37" s="420"/>
      <c r="AR37" s="420"/>
      <c r="AS37" s="420"/>
      <c r="AT37" s="420"/>
      <c r="AU37" s="420"/>
      <c r="AV37" s="420"/>
      <c r="AW37" s="420"/>
      <c r="AX37" s="420"/>
      <c r="AY37" s="420"/>
      <c r="AZ37" s="420"/>
      <c r="BA37" s="420"/>
      <c r="BB37" s="420"/>
      <c r="BC37" s="420"/>
      <c r="BD37" s="420"/>
      <c r="BE37" s="420"/>
      <c r="BF37" s="420"/>
      <c r="BG37" s="420"/>
    </row>
    <row r="38" spans="3:59" s="923" customFormat="1" ht="11.25" x14ac:dyDescent="0.15">
      <c r="C38" s="922"/>
      <c r="D38" s="922"/>
      <c r="E38" s="922"/>
      <c r="F38" s="922"/>
      <c r="G38" s="922"/>
      <c r="H38" s="922"/>
      <c r="I38" s="922"/>
      <c r="J38" s="922"/>
      <c r="K38" s="922"/>
      <c r="L38" s="922"/>
      <c r="M38" s="922"/>
      <c r="N38" s="922"/>
      <c r="O38" s="922"/>
      <c r="P38" s="922"/>
      <c r="Q38" s="922"/>
      <c r="R38" s="922"/>
      <c r="S38" s="922"/>
      <c r="T38" s="922"/>
      <c r="U38" s="405"/>
      <c r="V38" s="405"/>
      <c r="W38" s="405"/>
      <c r="X38" s="405"/>
      <c r="Y38" s="405"/>
      <c r="Z38" s="405"/>
      <c r="AA38" s="405"/>
      <c r="AB38" s="405"/>
      <c r="AC38" s="405"/>
      <c r="AD38" s="405"/>
      <c r="AE38" s="405"/>
      <c r="AF38" s="405"/>
      <c r="AG38" s="922"/>
      <c r="AH38" s="922"/>
      <c r="AI38" s="420"/>
      <c r="AJ38" s="420"/>
      <c r="AK38" s="420"/>
      <c r="AL38" s="420"/>
      <c r="AM38" s="420"/>
      <c r="AN38" s="420"/>
      <c r="AO38" s="420"/>
      <c r="AP38" s="420"/>
      <c r="AQ38" s="420"/>
      <c r="AR38" s="420"/>
      <c r="AS38" s="420"/>
      <c r="AT38" s="420"/>
      <c r="AU38" s="420"/>
      <c r="AV38" s="420"/>
      <c r="AW38" s="420"/>
      <c r="AX38" s="420"/>
      <c r="AY38" s="420"/>
      <c r="AZ38" s="420"/>
      <c r="BA38" s="420"/>
      <c r="BB38" s="420"/>
      <c r="BC38" s="420"/>
      <c r="BD38" s="420"/>
      <c r="BE38" s="420"/>
      <c r="BF38" s="420"/>
      <c r="BG38" s="420"/>
    </row>
    <row r="39" spans="3:59" s="923" customFormat="1" ht="11.25" x14ac:dyDescent="0.15">
      <c r="C39" s="922"/>
      <c r="D39" s="922"/>
      <c r="E39" s="922"/>
      <c r="F39" s="922"/>
      <c r="G39" s="922"/>
      <c r="H39" s="922"/>
      <c r="I39" s="922"/>
      <c r="J39" s="922"/>
      <c r="K39" s="922"/>
      <c r="L39" s="922"/>
      <c r="M39" s="922"/>
      <c r="N39" s="922"/>
      <c r="O39" s="922"/>
      <c r="P39" s="922"/>
      <c r="Q39" s="922"/>
      <c r="R39" s="922"/>
      <c r="S39" s="922"/>
      <c r="T39" s="922"/>
      <c r="U39" s="405"/>
      <c r="V39" s="405"/>
      <c r="W39" s="405"/>
      <c r="X39" s="405"/>
      <c r="Y39" s="405"/>
      <c r="Z39" s="405"/>
      <c r="AA39" s="405"/>
      <c r="AB39" s="405"/>
      <c r="AC39" s="405"/>
      <c r="AD39" s="405"/>
      <c r="AE39" s="405"/>
      <c r="AF39" s="405"/>
      <c r="AG39" s="922"/>
      <c r="AH39" s="922"/>
      <c r="AI39" s="420"/>
      <c r="AJ39" s="420"/>
      <c r="AK39" s="420"/>
      <c r="AL39" s="420"/>
      <c r="AM39" s="420"/>
      <c r="AN39" s="420"/>
      <c r="AO39" s="420"/>
      <c r="AP39" s="420"/>
      <c r="AQ39" s="420"/>
      <c r="AR39" s="420"/>
      <c r="AS39" s="420"/>
      <c r="AT39" s="420"/>
      <c r="AU39" s="420"/>
      <c r="AV39" s="420"/>
      <c r="AW39" s="420"/>
      <c r="AX39" s="420"/>
      <c r="AY39" s="420"/>
      <c r="AZ39" s="420"/>
      <c r="BA39" s="420"/>
      <c r="BB39" s="420"/>
      <c r="BC39" s="420"/>
      <c r="BD39" s="420"/>
      <c r="BE39" s="420"/>
      <c r="BF39" s="420"/>
      <c r="BG39" s="420"/>
    </row>
    <row r="40" spans="3:59" s="923" customFormat="1" ht="11.25" x14ac:dyDescent="0.15">
      <c r="C40" s="922"/>
      <c r="D40" s="922"/>
      <c r="E40" s="922"/>
      <c r="F40" s="922"/>
      <c r="G40" s="922"/>
      <c r="H40" s="922"/>
      <c r="I40" s="922"/>
      <c r="J40" s="922"/>
      <c r="K40" s="922"/>
      <c r="L40" s="922"/>
      <c r="M40" s="922"/>
      <c r="N40" s="922"/>
      <c r="O40" s="922"/>
      <c r="P40" s="922"/>
      <c r="Q40" s="922"/>
      <c r="R40" s="922"/>
      <c r="S40" s="922"/>
      <c r="T40" s="922"/>
      <c r="U40" s="405"/>
      <c r="V40" s="405"/>
      <c r="W40" s="405"/>
      <c r="X40" s="405"/>
      <c r="Y40" s="405"/>
      <c r="Z40" s="405"/>
      <c r="AA40" s="405"/>
      <c r="AB40" s="405"/>
      <c r="AC40" s="405"/>
      <c r="AD40" s="405"/>
      <c r="AE40" s="405"/>
      <c r="AF40" s="405"/>
      <c r="AG40" s="922"/>
      <c r="AH40" s="922"/>
      <c r="AI40" s="420"/>
      <c r="AJ40" s="420"/>
      <c r="AK40" s="420"/>
      <c r="AL40" s="420"/>
      <c r="AM40" s="420"/>
      <c r="AN40" s="420"/>
      <c r="AO40" s="420"/>
      <c r="AP40" s="420"/>
      <c r="AQ40" s="420"/>
      <c r="AR40" s="420"/>
      <c r="AS40" s="420"/>
      <c r="AT40" s="420"/>
      <c r="AU40" s="420"/>
      <c r="AV40" s="420"/>
      <c r="AW40" s="420"/>
      <c r="AX40" s="420"/>
      <c r="AY40" s="420"/>
      <c r="AZ40" s="420"/>
      <c r="BA40" s="420"/>
      <c r="BB40" s="420"/>
      <c r="BC40" s="420"/>
      <c r="BD40" s="420"/>
      <c r="BE40" s="420"/>
      <c r="BF40" s="420"/>
      <c r="BG40" s="420"/>
    </row>
    <row r="41" spans="3:59" s="923" customFormat="1" ht="11.25" x14ac:dyDescent="0.15">
      <c r="C41" s="922"/>
      <c r="D41" s="922"/>
      <c r="E41" s="922"/>
      <c r="F41" s="922"/>
      <c r="G41" s="922"/>
      <c r="H41" s="922"/>
      <c r="I41" s="922"/>
      <c r="J41" s="922"/>
      <c r="K41" s="922"/>
      <c r="L41" s="922"/>
      <c r="M41" s="922"/>
      <c r="N41" s="922"/>
      <c r="O41" s="922"/>
      <c r="P41" s="922"/>
      <c r="Q41" s="922"/>
      <c r="R41" s="922"/>
      <c r="S41" s="922"/>
      <c r="T41" s="922"/>
      <c r="U41" s="405"/>
      <c r="V41" s="405"/>
      <c r="W41" s="405"/>
      <c r="X41" s="405"/>
      <c r="Y41" s="405"/>
      <c r="Z41" s="405"/>
      <c r="AA41" s="405"/>
      <c r="AB41" s="405"/>
      <c r="AC41" s="405"/>
      <c r="AD41" s="405"/>
      <c r="AE41" s="405"/>
      <c r="AF41" s="405"/>
      <c r="AG41" s="922"/>
      <c r="AH41" s="922"/>
      <c r="AI41" s="420"/>
      <c r="AJ41" s="420"/>
      <c r="AK41" s="420"/>
      <c r="AL41" s="420"/>
      <c r="AM41" s="420"/>
      <c r="AN41" s="420"/>
      <c r="AO41" s="420"/>
      <c r="AP41" s="420"/>
      <c r="AQ41" s="420"/>
      <c r="AR41" s="420"/>
      <c r="AS41" s="420"/>
      <c r="AT41" s="420"/>
      <c r="AU41" s="420"/>
      <c r="AV41" s="420"/>
      <c r="AW41" s="420"/>
      <c r="AX41" s="420"/>
      <c r="AY41" s="420"/>
      <c r="AZ41" s="420"/>
      <c r="BA41" s="420"/>
      <c r="BB41" s="420"/>
      <c r="BC41" s="420"/>
      <c r="BD41" s="420"/>
      <c r="BE41" s="420"/>
      <c r="BF41" s="420"/>
      <c r="BG41" s="420"/>
    </row>
    <row r="42" spans="3:59" s="923" customFormat="1" ht="11.25" x14ac:dyDescent="0.15">
      <c r="C42" s="922"/>
      <c r="D42" s="922"/>
      <c r="E42" s="922"/>
      <c r="F42" s="922"/>
      <c r="G42" s="922"/>
      <c r="H42" s="922"/>
      <c r="I42" s="922"/>
      <c r="J42" s="922"/>
      <c r="K42" s="922"/>
      <c r="L42" s="922"/>
      <c r="M42" s="922"/>
      <c r="N42" s="922"/>
      <c r="O42" s="922"/>
      <c r="P42" s="922"/>
      <c r="Q42" s="922"/>
      <c r="R42" s="922"/>
      <c r="S42" s="922"/>
      <c r="T42" s="922"/>
      <c r="U42" s="405"/>
      <c r="V42" s="405"/>
      <c r="W42" s="405"/>
      <c r="X42" s="405"/>
      <c r="Y42" s="405"/>
      <c r="Z42" s="405"/>
      <c r="AA42" s="405"/>
      <c r="AB42" s="405"/>
      <c r="AC42" s="405"/>
      <c r="AD42" s="405"/>
      <c r="AE42" s="405"/>
      <c r="AF42" s="405"/>
      <c r="AG42" s="922"/>
      <c r="AH42" s="922"/>
      <c r="AI42" s="420"/>
      <c r="AJ42" s="420"/>
      <c r="AK42" s="420"/>
      <c r="AL42" s="420"/>
      <c r="AM42" s="420"/>
      <c r="AN42" s="420"/>
      <c r="AO42" s="420"/>
      <c r="AP42" s="420"/>
      <c r="AQ42" s="420"/>
      <c r="AR42" s="420"/>
      <c r="AS42" s="420"/>
      <c r="AT42" s="420"/>
      <c r="AU42" s="420"/>
      <c r="AV42" s="420"/>
      <c r="AW42" s="420"/>
      <c r="AX42" s="420"/>
      <c r="AY42" s="420"/>
      <c r="AZ42" s="420"/>
      <c r="BA42" s="420"/>
      <c r="BB42" s="420"/>
      <c r="BC42" s="420"/>
      <c r="BD42" s="420"/>
      <c r="BE42" s="420"/>
      <c r="BF42" s="420"/>
      <c r="BG42" s="420"/>
    </row>
    <row r="43" spans="3:59" s="923" customFormat="1" ht="11.25" x14ac:dyDescent="0.15">
      <c r="C43" s="922"/>
      <c r="D43" s="922"/>
      <c r="E43" s="922"/>
      <c r="F43" s="922"/>
      <c r="G43" s="922"/>
      <c r="H43" s="922"/>
      <c r="I43" s="922"/>
      <c r="J43" s="922"/>
      <c r="K43" s="922"/>
      <c r="L43" s="922"/>
      <c r="M43" s="922"/>
      <c r="N43" s="922"/>
      <c r="O43" s="922"/>
      <c r="P43" s="922"/>
      <c r="Q43" s="922"/>
      <c r="R43" s="922"/>
      <c r="S43" s="922"/>
      <c r="T43" s="922"/>
      <c r="U43" s="405"/>
      <c r="V43" s="405"/>
      <c r="W43" s="405"/>
      <c r="X43" s="405"/>
      <c r="Y43" s="405"/>
      <c r="Z43" s="405"/>
      <c r="AA43" s="405"/>
      <c r="AB43" s="405"/>
      <c r="AC43" s="405"/>
      <c r="AD43" s="405"/>
      <c r="AE43" s="405"/>
      <c r="AF43" s="405"/>
      <c r="AG43" s="922"/>
      <c r="AH43" s="922"/>
      <c r="AI43" s="420"/>
      <c r="AJ43" s="420"/>
      <c r="AK43" s="420"/>
      <c r="AL43" s="420"/>
      <c r="AM43" s="420"/>
      <c r="AN43" s="420"/>
      <c r="AO43" s="420"/>
      <c r="AP43" s="420"/>
      <c r="AQ43" s="420"/>
      <c r="AR43" s="420"/>
      <c r="AS43" s="420"/>
      <c r="AT43" s="420"/>
      <c r="AU43" s="420"/>
      <c r="AV43" s="420"/>
      <c r="AW43" s="420"/>
      <c r="AX43" s="420"/>
      <c r="AY43" s="420"/>
      <c r="AZ43" s="420"/>
      <c r="BA43" s="420"/>
      <c r="BB43" s="420"/>
      <c r="BC43" s="420"/>
      <c r="BD43" s="420"/>
      <c r="BE43" s="420"/>
      <c r="BF43" s="420"/>
      <c r="BG43" s="420"/>
    </row>
    <row r="44" spans="3:59" s="923" customFormat="1" ht="11.25" x14ac:dyDescent="0.15">
      <c r="C44" s="922"/>
      <c r="D44" s="922"/>
      <c r="E44" s="922"/>
      <c r="F44" s="922"/>
      <c r="G44" s="922"/>
      <c r="H44" s="922"/>
      <c r="I44" s="922"/>
      <c r="J44" s="922"/>
      <c r="K44" s="922"/>
      <c r="L44" s="922"/>
      <c r="M44" s="922"/>
      <c r="N44" s="922"/>
      <c r="O44" s="922"/>
      <c r="P44" s="922"/>
      <c r="Q44" s="922"/>
      <c r="R44" s="922"/>
      <c r="S44" s="922"/>
      <c r="T44" s="922"/>
      <c r="U44" s="405"/>
      <c r="V44" s="405"/>
      <c r="W44" s="405"/>
      <c r="X44" s="405"/>
      <c r="Y44" s="405"/>
      <c r="Z44" s="405"/>
      <c r="AA44" s="405"/>
      <c r="AB44" s="405"/>
      <c r="AC44" s="405"/>
      <c r="AD44" s="405"/>
      <c r="AE44" s="405"/>
      <c r="AF44" s="405"/>
      <c r="AG44" s="922"/>
      <c r="AH44" s="922"/>
      <c r="AI44" s="420"/>
      <c r="AJ44" s="420"/>
      <c r="AK44" s="420"/>
      <c r="AL44" s="420"/>
      <c r="AM44" s="420"/>
      <c r="AN44" s="420"/>
      <c r="AO44" s="420"/>
      <c r="AP44" s="420"/>
      <c r="AQ44" s="420"/>
      <c r="AR44" s="420"/>
      <c r="AS44" s="420"/>
      <c r="AT44" s="420"/>
      <c r="AU44" s="420"/>
      <c r="AV44" s="420"/>
      <c r="AW44" s="420"/>
      <c r="AX44" s="420"/>
      <c r="AY44" s="420"/>
      <c r="AZ44" s="420"/>
      <c r="BA44" s="420"/>
      <c r="BB44" s="420"/>
      <c r="BC44" s="420"/>
      <c r="BD44" s="420"/>
      <c r="BE44" s="420"/>
      <c r="BF44" s="420"/>
      <c r="BG44" s="420"/>
    </row>
    <row r="45" spans="3:59" s="923" customFormat="1" ht="11.25" x14ac:dyDescent="0.15">
      <c r="C45" s="922"/>
      <c r="D45" s="922"/>
      <c r="E45" s="922"/>
      <c r="F45" s="922"/>
      <c r="G45" s="922"/>
      <c r="H45" s="922"/>
      <c r="I45" s="922"/>
      <c r="J45" s="922"/>
      <c r="K45" s="922"/>
      <c r="L45" s="922"/>
      <c r="M45" s="922"/>
      <c r="N45" s="922"/>
      <c r="O45" s="922"/>
      <c r="P45" s="922"/>
      <c r="Q45" s="922"/>
      <c r="R45" s="922"/>
      <c r="S45" s="922"/>
      <c r="T45" s="922"/>
      <c r="U45" s="405"/>
      <c r="V45" s="405"/>
      <c r="W45" s="405"/>
      <c r="X45" s="405"/>
      <c r="Y45" s="405"/>
      <c r="Z45" s="405"/>
      <c r="AA45" s="405"/>
      <c r="AB45" s="405"/>
      <c r="AC45" s="405"/>
      <c r="AD45" s="405"/>
      <c r="AE45" s="405"/>
      <c r="AF45" s="405"/>
      <c r="AG45" s="922"/>
      <c r="AH45" s="922"/>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420"/>
      <c r="BG45" s="420"/>
    </row>
    <row r="46" spans="3:59" s="923" customFormat="1" ht="11.25" x14ac:dyDescent="0.15">
      <c r="C46" s="922"/>
      <c r="D46" s="922"/>
      <c r="E46" s="922"/>
      <c r="F46" s="922"/>
      <c r="G46" s="922"/>
      <c r="H46" s="922"/>
      <c r="I46" s="922"/>
      <c r="J46" s="922"/>
      <c r="K46" s="922"/>
      <c r="L46" s="922"/>
      <c r="M46" s="922"/>
      <c r="N46" s="922"/>
      <c r="O46" s="922"/>
      <c r="P46" s="922"/>
      <c r="Q46" s="922"/>
      <c r="R46" s="922"/>
      <c r="S46" s="922"/>
      <c r="T46" s="922"/>
      <c r="U46" s="405"/>
      <c r="V46" s="405"/>
      <c r="W46" s="405"/>
      <c r="X46" s="405"/>
      <c r="Y46" s="405"/>
      <c r="Z46" s="405"/>
      <c r="AA46" s="405"/>
      <c r="AB46" s="405"/>
      <c r="AC46" s="405"/>
      <c r="AD46" s="405"/>
      <c r="AE46" s="405"/>
      <c r="AF46" s="405"/>
      <c r="AG46" s="922"/>
      <c r="AH46" s="922"/>
      <c r="AI46" s="420"/>
      <c r="AJ46" s="420"/>
      <c r="AK46" s="420"/>
      <c r="AL46" s="420"/>
      <c r="AM46" s="420"/>
      <c r="AN46" s="420"/>
      <c r="AO46" s="420"/>
      <c r="AP46" s="420"/>
      <c r="AQ46" s="420"/>
      <c r="AR46" s="420"/>
      <c r="AS46" s="420"/>
      <c r="AT46" s="420"/>
      <c r="AU46" s="420"/>
      <c r="AV46" s="420"/>
      <c r="AW46" s="420"/>
      <c r="AX46" s="420"/>
      <c r="AY46" s="420"/>
      <c r="AZ46" s="420"/>
      <c r="BA46" s="420"/>
      <c r="BB46" s="420"/>
      <c r="BC46" s="420"/>
      <c r="BD46" s="420"/>
      <c r="BE46" s="420"/>
      <c r="BF46" s="420"/>
      <c r="BG46" s="420"/>
    </row>
    <row r="47" spans="3:59" s="923" customFormat="1" ht="11.25" x14ac:dyDescent="0.15">
      <c r="C47" s="922"/>
      <c r="D47" s="922"/>
      <c r="E47" s="922"/>
      <c r="F47" s="922"/>
      <c r="G47" s="922"/>
      <c r="H47" s="922"/>
      <c r="I47" s="922"/>
      <c r="J47" s="922"/>
      <c r="K47" s="922"/>
      <c r="L47" s="922"/>
      <c r="M47" s="922"/>
      <c r="N47" s="922"/>
      <c r="O47" s="922"/>
      <c r="P47" s="922"/>
      <c r="Q47" s="922"/>
      <c r="R47" s="922"/>
      <c r="S47" s="922"/>
      <c r="T47" s="922"/>
      <c r="U47" s="405"/>
      <c r="V47" s="405"/>
      <c r="W47" s="405"/>
      <c r="X47" s="405"/>
      <c r="Y47" s="405"/>
      <c r="Z47" s="405"/>
      <c r="AA47" s="405"/>
      <c r="AB47" s="405"/>
      <c r="AC47" s="405"/>
      <c r="AD47" s="405"/>
      <c r="AE47" s="405"/>
      <c r="AF47" s="405"/>
      <c r="AG47" s="922"/>
      <c r="AH47" s="922"/>
      <c r="AI47" s="420"/>
      <c r="AJ47" s="420"/>
      <c r="AK47" s="420"/>
      <c r="AL47" s="420"/>
      <c r="AM47" s="420"/>
      <c r="AN47" s="420"/>
      <c r="AO47" s="420"/>
      <c r="AP47" s="420"/>
      <c r="AQ47" s="420"/>
      <c r="AR47" s="420"/>
      <c r="AS47" s="420"/>
      <c r="AT47" s="420"/>
      <c r="AU47" s="420"/>
      <c r="AV47" s="420"/>
      <c r="AW47" s="420"/>
      <c r="AX47" s="420"/>
      <c r="AY47" s="420"/>
      <c r="AZ47" s="420"/>
      <c r="BA47" s="420"/>
      <c r="BB47" s="420"/>
      <c r="BC47" s="420"/>
      <c r="BD47" s="420"/>
      <c r="BE47" s="420"/>
      <c r="BF47" s="420"/>
      <c r="BG47" s="420"/>
    </row>
    <row r="48" spans="3:59" s="923" customFormat="1" ht="11.25" x14ac:dyDescent="0.15">
      <c r="C48" s="922"/>
      <c r="D48" s="922"/>
      <c r="E48" s="922"/>
      <c r="F48" s="922"/>
      <c r="G48" s="922"/>
      <c r="H48" s="922"/>
      <c r="I48" s="922"/>
      <c r="J48" s="922"/>
      <c r="K48" s="922"/>
      <c r="L48" s="922"/>
      <c r="M48" s="922"/>
      <c r="N48" s="922"/>
      <c r="O48" s="922"/>
      <c r="P48" s="922"/>
      <c r="Q48" s="922"/>
      <c r="R48" s="922"/>
      <c r="S48" s="922"/>
      <c r="T48" s="922"/>
      <c r="U48" s="405"/>
      <c r="V48" s="405"/>
      <c r="W48" s="405"/>
      <c r="X48" s="405"/>
      <c r="Y48" s="405"/>
      <c r="Z48" s="405"/>
      <c r="AA48" s="405"/>
      <c r="AB48" s="405"/>
      <c r="AC48" s="405"/>
      <c r="AD48" s="405"/>
      <c r="AE48" s="405"/>
      <c r="AF48" s="405"/>
      <c r="AG48" s="922"/>
      <c r="AH48" s="922"/>
      <c r="AI48" s="420"/>
      <c r="AJ48" s="420"/>
      <c r="AK48" s="420"/>
      <c r="AL48" s="420"/>
      <c r="AM48" s="420"/>
      <c r="AN48" s="420"/>
      <c r="AO48" s="420"/>
      <c r="AP48" s="420"/>
      <c r="AQ48" s="420"/>
      <c r="AR48" s="420"/>
      <c r="AS48" s="420"/>
      <c r="AT48" s="420"/>
      <c r="AU48" s="420"/>
      <c r="AV48" s="420"/>
      <c r="AW48" s="420"/>
      <c r="AX48" s="420"/>
      <c r="AY48" s="420"/>
      <c r="AZ48" s="420"/>
      <c r="BA48" s="420"/>
      <c r="BB48" s="420"/>
      <c r="BC48" s="420"/>
      <c r="BD48" s="420"/>
      <c r="BE48" s="420"/>
      <c r="BF48" s="420"/>
      <c r="BG48" s="420"/>
    </row>
    <row r="49" spans="3:59" s="923" customFormat="1" ht="11.25" x14ac:dyDescent="0.15">
      <c r="C49" s="922"/>
      <c r="D49" s="922"/>
      <c r="E49" s="922"/>
      <c r="F49" s="922"/>
      <c r="G49" s="922"/>
      <c r="H49" s="922"/>
      <c r="I49" s="922"/>
      <c r="J49" s="922"/>
      <c r="K49" s="922"/>
      <c r="L49" s="922"/>
      <c r="M49" s="922"/>
      <c r="N49" s="922"/>
      <c r="O49" s="922"/>
      <c r="P49" s="922"/>
      <c r="Q49" s="922"/>
      <c r="R49" s="922"/>
      <c r="S49" s="922"/>
      <c r="T49" s="922"/>
      <c r="U49" s="405"/>
      <c r="V49" s="405"/>
      <c r="W49" s="405"/>
      <c r="X49" s="405"/>
      <c r="Y49" s="405"/>
      <c r="Z49" s="405"/>
      <c r="AA49" s="405"/>
      <c r="AB49" s="405"/>
      <c r="AC49" s="405"/>
      <c r="AD49" s="405"/>
      <c r="AE49" s="405"/>
      <c r="AF49" s="405"/>
      <c r="AG49" s="922"/>
      <c r="AH49" s="922"/>
      <c r="AI49" s="420"/>
      <c r="AJ49" s="420"/>
      <c r="AK49" s="420"/>
      <c r="AL49" s="420"/>
      <c r="AM49" s="420"/>
      <c r="AN49" s="420"/>
      <c r="AO49" s="420"/>
      <c r="AP49" s="420"/>
      <c r="AQ49" s="420"/>
      <c r="AR49" s="420"/>
      <c r="AS49" s="420"/>
      <c r="AT49" s="420"/>
      <c r="AU49" s="420"/>
      <c r="AV49" s="420"/>
      <c r="AW49" s="420"/>
      <c r="AX49" s="420"/>
      <c r="AY49" s="420"/>
      <c r="AZ49" s="420"/>
      <c r="BA49" s="420"/>
      <c r="BB49" s="420"/>
      <c r="BC49" s="420"/>
      <c r="BD49" s="420"/>
      <c r="BE49" s="420"/>
      <c r="BF49" s="420"/>
      <c r="BG49" s="420"/>
    </row>
    <row r="50" spans="3:59" s="923" customFormat="1" ht="11.25" x14ac:dyDescent="0.15">
      <c r="C50" s="922"/>
      <c r="D50" s="922"/>
      <c r="E50" s="922"/>
      <c r="F50" s="922"/>
      <c r="G50" s="922"/>
      <c r="H50" s="922"/>
      <c r="I50" s="922"/>
      <c r="J50" s="922"/>
      <c r="K50" s="922"/>
      <c r="L50" s="922"/>
      <c r="M50" s="922"/>
      <c r="N50" s="922"/>
      <c r="O50" s="922"/>
      <c r="P50" s="922"/>
      <c r="Q50" s="922"/>
      <c r="R50" s="922"/>
      <c r="S50" s="922"/>
      <c r="T50" s="922"/>
      <c r="U50" s="405"/>
      <c r="V50" s="405"/>
      <c r="W50" s="405"/>
      <c r="X50" s="405"/>
      <c r="Y50" s="405"/>
      <c r="Z50" s="405"/>
      <c r="AA50" s="405"/>
      <c r="AB50" s="405"/>
      <c r="AC50" s="405"/>
      <c r="AD50" s="405"/>
      <c r="AE50" s="405"/>
      <c r="AF50" s="405"/>
      <c r="AG50" s="922"/>
      <c r="AH50" s="922"/>
      <c r="AI50" s="420"/>
      <c r="AJ50" s="420"/>
      <c r="AK50" s="420"/>
      <c r="AL50" s="420"/>
      <c r="AM50" s="420"/>
      <c r="AN50" s="420"/>
      <c r="AO50" s="420"/>
      <c r="AP50" s="420"/>
      <c r="AQ50" s="420"/>
      <c r="AR50" s="420"/>
      <c r="AS50" s="420"/>
      <c r="AT50" s="420"/>
      <c r="AU50" s="420"/>
      <c r="AV50" s="420"/>
      <c r="AW50" s="420"/>
      <c r="AX50" s="420"/>
      <c r="AY50" s="420"/>
      <c r="AZ50" s="420"/>
      <c r="BA50" s="420"/>
      <c r="BB50" s="420"/>
      <c r="BC50" s="420"/>
      <c r="BD50" s="420"/>
      <c r="BE50" s="420"/>
      <c r="BF50" s="420"/>
      <c r="BG50" s="420"/>
    </row>
    <row r="51" spans="3:59" s="923" customFormat="1" ht="11.25" x14ac:dyDescent="0.15">
      <c r="C51" s="922"/>
      <c r="D51" s="922"/>
      <c r="E51" s="922"/>
      <c r="F51" s="922"/>
      <c r="G51" s="922"/>
      <c r="H51" s="922"/>
      <c r="I51" s="922"/>
      <c r="J51" s="922"/>
      <c r="K51" s="922"/>
      <c r="L51" s="922"/>
      <c r="M51" s="922"/>
      <c r="N51" s="922"/>
      <c r="O51" s="922"/>
      <c r="P51" s="922"/>
      <c r="Q51" s="922"/>
      <c r="R51" s="922"/>
      <c r="S51" s="922"/>
      <c r="T51" s="922"/>
      <c r="U51" s="405"/>
      <c r="V51" s="405"/>
      <c r="W51" s="405"/>
      <c r="X51" s="405"/>
      <c r="Y51" s="405"/>
      <c r="Z51" s="405"/>
      <c r="AA51" s="405"/>
      <c r="AB51" s="405"/>
      <c r="AC51" s="405"/>
      <c r="AD51" s="405"/>
      <c r="AE51" s="405"/>
      <c r="AF51" s="405"/>
      <c r="AG51" s="922"/>
      <c r="AH51" s="922"/>
      <c r="AI51" s="420"/>
      <c r="AJ51" s="420"/>
      <c r="AK51" s="420"/>
      <c r="AL51" s="420"/>
      <c r="AM51" s="420"/>
      <c r="AN51" s="420"/>
      <c r="AO51" s="420"/>
      <c r="AP51" s="420"/>
      <c r="AQ51" s="420"/>
      <c r="AR51" s="420"/>
      <c r="AS51" s="420"/>
      <c r="AT51" s="420"/>
      <c r="AU51" s="420"/>
      <c r="AV51" s="420"/>
      <c r="AW51" s="420"/>
      <c r="AX51" s="420"/>
      <c r="AY51" s="420"/>
      <c r="AZ51" s="420"/>
      <c r="BA51" s="420"/>
      <c r="BB51" s="420"/>
      <c r="BC51" s="420"/>
      <c r="BD51" s="420"/>
      <c r="BE51" s="420"/>
      <c r="BF51" s="420"/>
      <c r="BG51" s="420"/>
    </row>
    <row r="52" spans="3:59" s="923" customFormat="1" ht="11.25" x14ac:dyDescent="0.15">
      <c r="C52" s="922"/>
      <c r="D52" s="922"/>
      <c r="E52" s="922"/>
      <c r="F52" s="922"/>
      <c r="G52" s="922"/>
      <c r="H52" s="922"/>
      <c r="I52" s="922"/>
      <c r="J52" s="922"/>
      <c r="K52" s="922"/>
      <c r="L52" s="922"/>
      <c r="M52" s="922"/>
      <c r="N52" s="922"/>
      <c r="O52" s="922"/>
      <c r="P52" s="922"/>
      <c r="Q52" s="922"/>
      <c r="R52" s="922"/>
      <c r="S52" s="922"/>
      <c r="T52" s="922"/>
      <c r="U52" s="405"/>
      <c r="V52" s="405"/>
      <c r="W52" s="405"/>
      <c r="X52" s="405"/>
      <c r="Y52" s="405"/>
      <c r="Z52" s="405"/>
      <c r="AA52" s="405"/>
      <c r="AB52" s="405"/>
      <c r="AC52" s="405"/>
      <c r="AD52" s="405"/>
      <c r="AE52" s="405"/>
      <c r="AF52" s="405"/>
      <c r="AG52" s="922"/>
      <c r="AH52" s="922"/>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row>
    <row r="53" spans="3:59" s="923" customFormat="1" ht="11.25" x14ac:dyDescent="0.15">
      <c r="C53" s="922"/>
      <c r="D53" s="922"/>
      <c r="E53" s="922"/>
      <c r="F53" s="922"/>
      <c r="G53" s="922"/>
      <c r="H53" s="922"/>
      <c r="I53" s="922"/>
      <c r="J53" s="922"/>
      <c r="K53" s="922"/>
      <c r="L53" s="922"/>
      <c r="M53" s="922"/>
      <c r="N53" s="922"/>
      <c r="O53" s="922"/>
      <c r="P53" s="922"/>
      <c r="Q53" s="922"/>
      <c r="R53" s="922"/>
      <c r="S53" s="922"/>
      <c r="T53" s="922"/>
      <c r="U53" s="405"/>
      <c r="V53" s="405"/>
      <c r="W53" s="405"/>
      <c r="X53" s="405"/>
      <c r="Y53" s="405"/>
      <c r="Z53" s="405"/>
      <c r="AA53" s="405"/>
      <c r="AB53" s="405"/>
      <c r="AC53" s="405"/>
      <c r="AD53" s="405"/>
      <c r="AE53" s="405"/>
      <c r="AF53" s="405"/>
      <c r="AG53" s="922"/>
      <c r="AH53" s="922"/>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row>
    <row r="54" spans="3:59" s="923" customFormat="1" ht="11.25" x14ac:dyDescent="0.15">
      <c r="C54" s="922"/>
      <c r="D54" s="922"/>
      <c r="E54" s="922"/>
      <c r="F54" s="922"/>
      <c r="G54" s="922"/>
      <c r="H54" s="922"/>
      <c r="I54" s="922"/>
      <c r="J54" s="922"/>
      <c r="K54" s="922"/>
      <c r="L54" s="922"/>
      <c r="M54" s="922"/>
      <c r="N54" s="922"/>
      <c r="O54" s="922"/>
      <c r="P54" s="922"/>
      <c r="Q54" s="922"/>
      <c r="R54" s="922"/>
      <c r="S54" s="922"/>
      <c r="T54" s="922"/>
      <c r="U54" s="405"/>
      <c r="V54" s="405"/>
      <c r="W54" s="405"/>
      <c r="X54" s="405"/>
      <c r="Y54" s="405"/>
      <c r="Z54" s="405"/>
      <c r="AA54" s="405"/>
      <c r="AB54" s="405"/>
      <c r="AC54" s="405"/>
      <c r="AD54" s="405"/>
      <c r="AE54" s="405"/>
      <c r="AF54" s="405"/>
      <c r="AG54" s="922"/>
      <c r="AH54" s="922"/>
      <c r="AI54" s="420"/>
      <c r="AJ54" s="420"/>
      <c r="AK54" s="420"/>
      <c r="AL54" s="420"/>
      <c r="AM54" s="420"/>
      <c r="AN54" s="420"/>
      <c r="AO54" s="420"/>
      <c r="AP54" s="420"/>
      <c r="AQ54" s="420"/>
      <c r="AR54" s="420"/>
      <c r="AS54" s="420"/>
      <c r="AT54" s="420"/>
      <c r="AU54" s="420"/>
      <c r="AV54" s="420"/>
      <c r="AW54" s="420"/>
      <c r="AX54" s="420"/>
      <c r="AY54" s="420"/>
      <c r="AZ54" s="420"/>
      <c r="BA54" s="420"/>
      <c r="BB54" s="420"/>
      <c r="BC54" s="420"/>
      <c r="BD54" s="420"/>
      <c r="BE54" s="420"/>
      <c r="BF54" s="420"/>
      <c r="BG54" s="420"/>
    </row>
    <row r="55" spans="3:59" s="923" customFormat="1" ht="11.25" x14ac:dyDescent="0.15">
      <c r="C55" s="922"/>
      <c r="D55" s="922"/>
      <c r="E55" s="922"/>
      <c r="F55" s="922"/>
      <c r="G55" s="922"/>
      <c r="H55" s="922"/>
      <c r="I55" s="922"/>
      <c r="J55" s="922"/>
      <c r="K55" s="922"/>
      <c r="L55" s="922"/>
      <c r="M55" s="922"/>
      <c r="N55" s="922"/>
      <c r="O55" s="922"/>
      <c r="P55" s="922"/>
      <c r="Q55" s="922"/>
      <c r="R55" s="922"/>
      <c r="S55" s="922"/>
      <c r="T55" s="922"/>
      <c r="U55" s="405"/>
      <c r="V55" s="405"/>
      <c r="W55" s="405"/>
      <c r="X55" s="405"/>
      <c r="Y55" s="405"/>
      <c r="Z55" s="405"/>
      <c r="AA55" s="405"/>
      <c r="AB55" s="405"/>
      <c r="AC55" s="405"/>
      <c r="AD55" s="405"/>
      <c r="AE55" s="405"/>
      <c r="AF55" s="405"/>
      <c r="AG55" s="922"/>
      <c r="AH55" s="922"/>
      <c r="AI55" s="420"/>
      <c r="AJ55" s="420"/>
      <c r="AK55" s="420"/>
      <c r="AL55" s="420"/>
      <c r="AM55" s="420"/>
      <c r="AN55" s="420"/>
      <c r="AO55" s="420"/>
      <c r="AP55" s="420"/>
      <c r="AQ55" s="420"/>
      <c r="AR55" s="420"/>
      <c r="AS55" s="420"/>
      <c r="AT55" s="420"/>
      <c r="AU55" s="420"/>
      <c r="AV55" s="420"/>
      <c r="AW55" s="420"/>
      <c r="AX55" s="420"/>
      <c r="AY55" s="420"/>
      <c r="AZ55" s="420"/>
      <c r="BA55" s="420"/>
      <c r="BB55" s="420"/>
      <c r="BC55" s="420"/>
      <c r="BD55" s="420"/>
      <c r="BE55" s="420"/>
      <c r="BF55" s="420"/>
      <c r="BG55" s="420"/>
    </row>
    <row r="56" spans="3:59" s="923" customFormat="1" ht="11.25" x14ac:dyDescent="0.15">
      <c r="C56" s="922"/>
      <c r="D56" s="922"/>
      <c r="E56" s="922"/>
      <c r="F56" s="922"/>
      <c r="G56" s="922"/>
      <c r="H56" s="922"/>
      <c r="I56" s="922"/>
      <c r="J56" s="922"/>
      <c r="K56" s="922"/>
      <c r="L56" s="922"/>
      <c r="M56" s="922"/>
      <c r="N56" s="922"/>
      <c r="O56" s="922"/>
      <c r="P56" s="922"/>
      <c r="Q56" s="922"/>
      <c r="R56" s="922"/>
      <c r="S56" s="922"/>
      <c r="T56" s="922"/>
      <c r="U56" s="405"/>
      <c r="V56" s="405"/>
      <c r="W56" s="405"/>
      <c r="X56" s="405"/>
      <c r="Y56" s="405"/>
      <c r="Z56" s="405"/>
      <c r="AA56" s="405"/>
      <c r="AB56" s="405"/>
      <c r="AC56" s="405"/>
      <c r="AD56" s="405"/>
      <c r="AE56" s="405"/>
      <c r="AF56" s="405"/>
      <c r="AG56" s="922"/>
      <c r="AH56" s="922"/>
      <c r="AI56" s="420"/>
      <c r="AJ56" s="420"/>
      <c r="AK56" s="420"/>
      <c r="AL56" s="420"/>
      <c r="AM56" s="420"/>
      <c r="AN56" s="420"/>
      <c r="AO56" s="420"/>
      <c r="AP56" s="420"/>
      <c r="AQ56" s="420"/>
      <c r="AR56" s="420"/>
      <c r="AS56" s="420"/>
      <c r="AT56" s="420"/>
      <c r="AU56" s="420"/>
      <c r="AV56" s="420"/>
      <c r="AW56" s="420"/>
      <c r="AX56" s="420"/>
      <c r="AY56" s="420"/>
      <c r="AZ56" s="420"/>
      <c r="BA56" s="420"/>
      <c r="BB56" s="420"/>
      <c r="BC56" s="420"/>
      <c r="BD56" s="420"/>
      <c r="BE56" s="420"/>
      <c r="BF56" s="420"/>
      <c r="BG56" s="420"/>
    </row>
    <row r="57" spans="3:59" s="923" customFormat="1" ht="11.25" x14ac:dyDescent="0.15">
      <c r="C57" s="922"/>
      <c r="D57" s="922"/>
      <c r="E57" s="922"/>
      <c r="F57" s="922"/>
      <c r="G57" s="922"/>
      <c r="H57" s="922"/>
      <c r="I57" s="922"/>
      <c r="J57" s="922"/>
      <c r="K57" s="922"/>
      <c r="L57" s="922"/>
      <c r="M57" s="922"/>
      <c r="N57" s="922"/>
      <c r="O57" s="922"/>
      <c r="P57" s="922"/>
      <c r="Q57" s="922"/>
      <c r="R57" s="922"/>
      <c r="S57" s="922"/>
      <c r="T57" s="922"/>
      <c r="U57" s="405"/>
      <c r="V57" s="405"/>
      <c r="W57" s="405"/>
      <c r="X57" s="405"/>
      <c r="Y57" s="405"/>
      <c r="Z57" s="405"/>
      <c r="AA57" s="405"/>
      <c r="AB57" s="405"/>
      <c r="AC57" s="405"/>
      <c r="AD57" s="405"/>
      <c r="AE57" s="405"/>
      <c r="AF57" s="405"/>
      <c r="AG57" s="922"/>
      <c r="AH57" s="922"/>
      <c r="AI57" s="420"/>
      <c r="AJ57" s="420"/>
      <c r="AK57" s="420"/>
      <c r="AL57" s="420"/>
      <c r="AM57" s="420"/>
      <c r="AN57" s="420"/>
      <c r="AO57" s="420"/>
      <c r="AP57" s="420"/>
      <c r="AQ57" s="420"/>
      <c r="AR57" s="420"/>
      <c r="AS57" s="420"/>
      <c r="AT57" s="420"/>
      <c r="AU57" s="420"/>
      <c r="AV57" s="420"/>
      <c r="AW57" s="420"/>
      <c r="AX57" s="420"/>
      <c r="AY57" s="420"/>
      <c r="AZ57" s="420"/>
      <c r="BA57" s="420"/>
      <c r="BB57" s="420"/>
      <c r="BC57" s="420"/>
      <c r="BD57" s="420"/>
      <c r="BE57" s="420"/>
      <c r="BF57" s="420"/>
      <c r="BG57" s="420"/>
    </row>
    <row r="58" spans="3:59" s="923" customFormat="1" ht="11.25" x14ac:dyDescent="0.15">
      <c r="C58" s="922"/>
      <c r="D58" s="922"/>
      <c r="E58" s="922"/>
      <c r="F58" s="922"/>
      <c r="G58" s="922"/>
      <c r="H58" s="922"/>
      <c r="I58" s="922"/>
      <c r="J58" s="922"/>
      <c r="K58" s="922"/>
      <c r="L58" s="922"/>
      <c r="M58" s="922"/>
      <c r="N58" s="922"/>
      <c r="O58" s="922"/>
      <c r="P58" s="922"/>
      <c r="Q58" s="922"/>
      <c r="R58" s="922"/>
      <c r="S58" s="922"/>
      <c r="T58" s="922"/>
      <c r="U58" s="405"/>
      <c r="V58" s="405"/>
      <c r="W58" s="405"/>
      <c r="X58" s="405"/>
      <c r="Y58" s="405"/>
      <c r="Z58" s="405"/>
      <c r="AA58" s="405"/>
      <c r="AB58" s="405"/>
      <c r="AC58" s="405"/>
      <c r="AD58" s="405"/>
      <c r="AE58" s="405"/>
      <c r="AF58" s="405"/>
      <c r="AG58" s="922"/>
      <c r="AH58" s="922"/>
      <c r="AI58" s="420"/>
      <c r="AJ58" s="420"/>
      <c r="AK58" s="420"/>
      <c r="AL58" s="420"/>
      <c r="AM58" s="420"/>
      <c r="AN58" s="420"/>
      <c r="AO58" s="420"/>
      <c r="AP58" s="420"/>
      <c r="AQ58" s="420"/>
      <c r="AR58" s="420"/>
      <c r="AS58" s="420"/>
      <c r="AT58" s="420"/>
      <c r="AU58" s="420"/>
      <c r="AV58" s="420"/>
      <c r="AW58" s="420"/>
      <c r="AX58" s="420"/>
      <c r="AY58" s="420"/>
      <c r="AZ58" s="420"/>
      <c r="BA58" s="420"/>
      <c r="BB58" s="420"/>
      <c r="BC58" s="420"/>
      <c r="BD58" s="420"/>
      <c r="BE58" s="420"/>
      <c r="BF58" s="420"/>
      <c r="BG58" s="420"/>
    </row>
    <row r="59" spans="3:59" s="923" customFormat="1" ht="11.25" x14ac:dyDescent="0.15">
      <c r="C59" s="922"/>
      <c r="D59" s="922"/>
      <c r="E59" s="922"/>
      <c r="F59" s="922"/>
      <c r="G59" s="922"/>
      <c r="H59" s="922"/>
      <c r="I59" s="922"/>
      <c r="J59" s="922"/>
      <c r="K59" s="922"/>
      <c r="L59" s="922"/>
      <c r="M59" s="922"/>
      <c r="N59" s="922"/>
      <c r="O59" s="922"/>
      <c r="P59" s="922"/>
      <c r="Q59" s="922"/>
      <c r="R59" s="922"/>
      <c r="S59" s="922"/>
      <c r="T59" s="922"/>
      <c r="U59" s="405"/>
      <c r="V59" s="405"/>
      <c r="W59" s="405"/>
      <c r="X59" s="405"/>
      <c r="Y59" s="405"/>
      <c r="Z59" s="405"/>
      <c r="AA59" s="405"/>
      <c r="AB59" s="405"/>
      <c r="AC59" s="405"/>
      <c r="AD59" s="405"/>
      <c r="AE59" s="405"/>
      <c r="AF59" s="405"/>
      <c r="AG59" s="922"/>
      <c r="AH59" s="922"/>
      <c r="AI59" s="420"/>
      <c r="AJ59" s="420"/>
      <c r="AK59" s="420"/>
      <c r="AL59" s="420"/>
      <c r="AM59" s="420"/>
      <c r="AN59" s="420"/>
      <c r="AO59" s="420"/>
      <c r="AP59" s="420"/>
      <c r="AQ59" s="420"/>
      <c r="AR59" s="420"/>
      <c r="AS59" s="420"/>
      <c r="AT59" s="420"/>
      <c r="AU59" s="420"/>
      <c r="AV59" s="420"/>
      <c r="AW59" s="420"/>
      <c r="AX59" s="420"/>
      <c r="AY59" s="420"/>
      <c r="AZ59" s="420"/>
      <c r="BA59" s="420"/>
      <c r="BB59" s="420"/>
      <c r="BC59" s="420"/>
      <c r="BD59" s="420"/>
      <c r="BE59" s="420"/>
      <c r="BF59" s="420"/>
      <c r="BG59" s="420"/>
    </row>
    <row r="60" spans="3:59" s="923" customFormat="1" ht="11.25" x14ac:dyDescent="0.15">
      <c r="C60" s="922"/>
      <c r="D60" s="922"/>
      <c r="E60" s="922"/>
      <c r="F60" s="922"/>
      <c r="G60" s="922"/>
      <c r="H60" s="922"/>
      <c r="I60" s="922"/>
      <c r="J60" s="922"/>
      <c r="K60" s="922"/>
      <c r="L60" s="922"/>
      <c r="M60" s="922"/>
      <c r="N60" s="922"/>
      <c r="O60" s="922"/>
      <c r="P60" s="922"/>
      <c r="Q60" s="922"/>
      <c r="R60" s="922"/>
      <c r="S60" s="922"/>
      <c r="T60" s="922"/>
      <c r="U60" s="405"/>
      <c r="V60" s="405"/>
      <c r="W60" s="405"/>
      <c r="X60" s="405"/>
      <c r="Y60" s="405"/>
      <c r="Z60" s="405"/>
      <c r="AA60" s="405"/>
      <c r="AB60" s="405"/>
      <c r="AC60" s="405"/>
      <c r="AD60" s="405"/>
      <c r="AE60" s="405"/>
      <c r="AF60" s="405"/>
      <c r="AG60" s="922"/>
      <c r="AH60" s="922"/>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420"/>
      <c r="BG60" s="420"/>
    </row>
    <row r="61" spans="3:59" s="923" customFormat="1" ht="11.25" x14ac:dyDescent="0.15">
      <c r="C61" s="922"/>
      <c r="D61" s="922"/>
      <c r="E61" s="922"/>
      <c r="F61" s="922"/>
      <c r="G61" s="922"/>
      <c r="H61" s="922"/>
      <c r="I61" s="922"/>
      <c r="J61" s="922"/>
      <c r="K61" s="922"/>
      <c r="L61" s="922"/>
      <c r="M61" s="922"/>
      <c r="N61" s="922"/>
      <c r="O61" s="922"/>
      <c r="P61" s="922"/>
      <c r="Q61" s="922"/>
      <c r="R61" s="922"/>
      <c r="S61" s="922"/>
      <c r="T61" s="922"/>
      <c r="U61" s="405"/>
      <c r="V61" s="405"/>
      <c r="W61" s="405"/>
      <c r="X61" s="405"/>
      <c r="Y61" s="405"/>
      <c r="Z61" s="405"/>
      <c r="AA61" s="405"/>
      <c r="AB61" s="405"/>
      <c r="AC61" s="405"/>
      <c r="AD61" s="405"/>
      <c r="AE61" s="405"/>
      <c r="AF61" s="405"/>
      <c r="AG61" s="922"/>
      <c r="AH61" s="922"/>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0"/>
      <c r="BE61" s="420"/>
      <c r="BF61" s="420"/>
      <c r="BG61" s="420"/>
    </row>
    <row r="62" spans="3:59" s="923" customFormat="1" ht="11.25" x14ac:dyDescent="0.15">
      <c r="C62" s="922"/>
      <c r="D62" s="922"/>
      <c r="E62" s="922"/>
      <c r="F62" s="922"/>
      <c r="G62" s="922"/>
      <c r="H62" s="922"/>
      <c r="I62" s="922"/>
      <c r="J62" s="922"/>
      <c r="K62" s="922"/>
      <c r="L62" s="922"/>
      <c r="M62" s="922"/>
      <c r="N62" s="922"/>
      <c r="O62" s="922"/>
      <c r="P62" s="922"/>
      <c r="Q62" s="922"/>
      <c r="R62" s="922"/>
      <c r="S62" s="922"/>
      <c r="T62" s="922"/>
      <c r="U62" s="405"/>
      <c r="V62" s="405"/>
      <c r="W62" s="405"/>
      <c r="X62" s="405"/>
      <c r="Y62" s="405"/>
      <c r="Z62" s="405"/>
      <c r="AA62" s="405"/>
      <c r="AB62" s="405"/>
      <c r="AC62" s="405"/>
      <c r="AD62" s="405"/>
      <c r="AE62" s="405"/>
      <c r="AF62" s="405"/>
      <c r="AG62" s="922"/>
      <c r="AH62" s="922"/>
      <c r="AI62" s="420"/>
      <c r="AJ62" s="420"/>
      <c r="AK62" s="420"/>
      <c r="AL62" s="420"/>
      <c r="AM62" s="420"/>
      <c r="AN62" s="420"/>
      <c r="AO62" s="420"/>
      <c r="AP62" s="420"/>
      <c r="AQ62" s="420"/>
      <c r="AR62" s="420"/>
      <c r="AS62" s="420"/>
      <c r="AT62" s="420"/>
      <c r="AU62" s="420"/>
      <c r="AV62" s="420"/>
      <c r="AW62" s="420"/>
      <c r="AX62" s="420"/>
      <c r="AY62" s="420"/>
      <c r="AZ62" s="420"/>
      <c r="BA62" s="420"/>
      <c r="BB62" s="420"/>
      <c r="BC62" s="420"/>
      <c r="BD62" s="420"/>
      <c r="BE62" s="420"/>
      <c r="BF62" s="420"/>
      <c r="BG62" s="420"/>
    </row>
    <row r="63" spans="3:59" s="923" customFormat="1" ht="11.25" x14ac:dyDescent="0.15">
      <c r="C63" s="922"/>
      <c r="D63" s="922"/>
      <c r="E63" s="922"/>
      <c r="F63" s="922"/>
      <c r="G63" s="922"/>
      <c r="H63" s="922"/>
      <c r="I63" s="922"/>
      <c r="J63" s="922"/>
      <c r="K63" s="922"/>
      <c r="L63" s="922"/>
      <c r="M63" s="922"/>
      <c r="N63" s="922"/>
      <c r="O63" s="922"/>
      <c r="P63" s="922"/>
      <c r="Q63" s="922"/>
      <c r="R63" s="922"/>
      <c r="S63" s="922"/>
      <c r="T63" s="922"/>
      <c r="U63" s="405"/>
      <c r="V63" s="405"/>
      <c r="W63" s="405"/>
      <c r="X63" s="405"/>
      <c r="Y63" s="405"/>
      <c r="Z63" s="405"/>
      <c r="AA63" s="405"/>
      <c r="AB63" s="405"/>
      <c r="AC63" s="405"/>
      <c r="AD63" s="405"/>
      <c r="AE63" s="405"/>
      <c r="AF63" s="405"/>
      <c r="AG63" s="922"/>
      <c r="AH63" s="922"/>
      <c r="AI63" s="420"/>
      <c r="AJ63" s="420"/>
      <c r="AK63" s="420"/>
      <c r="AL63" s="420"/>
      <c r="AM63" s="420"/>
      <c r="AN63" s="420"/>
      <c r="AO63" s="420"/>
      <c r="AP63" s="420"/>
      <c r="AQ63" s="420"/>
      <c r="AR63" s="420"/>
      <c r="AS63" s="420"/>
      <c r="AT63" s="420"/>
      <c r="AU63" s="420"/>
      <c r="AV63" s="420"/>
      <c r="AW63" s="420"/>
      <c r="AX63" s="420"/>
      <c r="AY63" s="420"/>
      <c r="AZ63" s="420"/>
      <c r="BA63" s="420"/>
      <c r="BB63" s="420"/>
      <c r="BC63" s="420"/>
      <c r="BD63" s="420"/>
      <c r="BE63" s="420"/>
      <c r="BF63" s="420"/>
      <c r="BG63" s="420"/>
    </row>
    <row r="64" spans="3:59" s="923" customFormat="1" ht="11.25" x14ac:dyDescent="0.15">
      <c r="C64" s="922"/>
      <c r="D64" s="922"/>
      <c r="E64" s="922"/>
      <c r="F64" s="922"/>
      <c r="G64" s="922"/>
      <c r="H64" s="922"/>
      <c r="I64" s="922"/>
      <c r="J64" s="922"/>
      <c r="K64" s="922"/>
      <c r="L64" s="922"/>
      <c r="M64" s="922"/>
      <c r="N64" s="922"/>
      <c r="O64" s="922"/>
      <c r="P64" s="922"/>
      <c r="Q64" s="922"/>
      <c r="R64" s="922"/>
      <c r="S64" s="922"/>
      <c r="T64" s="922"/>
      <c r="U64" s="405"/>
      <c r="V64" s="405"/>
      <c r="W64" s="405"/>
      <c r="X64" s="405"/>
      <c r="Y64" s="405"/>
      <c r="Z64" s="405"/>
      <c r="AA64" s="405"/>
      <c r="AB64" s="405"/>
      <c r="AC64" s="405"/>
      <c r="AD64" s="405"/>
      <c r="AE64" s="405"/>
      <c r="AF64" s="405"/>
      <c r="AG64" s="922"/>
      <c r="AH64" s="922"/>
      <c r="AI64" s="420"/>
      <c r="AJ64" s="420"/>
      <c r="AK64" s="420"/>
      <c r="AL64" s="420"/>
      <c r="AM64" s="420"/>
      <c r="AN64" s="420"/>
      <c r="AO64" s="420"/>
      <c r="AP64" s="420"/>
      <c r="AQ64" s="420"/>
      <c r="AR64" s="420"/>
      <c r="AS64" s="420"/>
      <c r="AT64" s="420"/>
      <c r="AU64" s="420"/>
      <c r="AV64" s="420"/>
      <c r="AW64" s="420"/>
      <c r="AX64" s="420"/>
      <c r="AY64" s="420"/>
      <c r="AZ64" s="420"/>
      <c r="BA64" s="420"/>
      <c r="BB64" s="420"/>
      <c r="BC64" s="420"/>
      <c r="BD64" s="420"/>
      <c r="BE64" s="420"/>
      <c r="BF64" s="420"/>
      <c r="BG64" s="420"/>
    </row>
    <row r="65" spans="3:59" s="923" customFormat="1" ht="11.25" x14ac:dyDescent="0.15">
      <c r="C65" s="922"/>
      <c r="D65" s="922"/>
      <c r="E65" s="922"/>
      <c r="F65" s="922"/>
      <c r="G65" s="922"/>
      <c r="H65" s="922"/>
      <c r="I65" s="922"/>
      <c r="J65" s="922"/>
      <c r="K65" s="922"/>
      <c r="L65" s="922"/>
      <c r="M65" s="922"/>
      <c r="N65" s="922"/>
      <c r="O65" s="922"/>
      <c r="P65" s="922"/>
      <c r="Q65" s="922"/>
      <c r="R65" s="922"/>
      <c r="S65" s="922"/>
      <c r="T65" s="922"/>
      <c r="U65" s="405"/>
      <c r="V65" s="405"/>
      <c r="W65" s="405"/>
      <c r="X65" s="405"/>
      <c r="Y65" s="405"/>
      <c r="Z65" s="405"/>
      <c r="AA65" s="405"/>
      <c r="AB65" s="405"/>
      <c r="AC65" s="405"/>
      <c r="AD65" s="405"/>
      <c r="AE65" s="405"/>
      <c r="AF65" s="405"/>
      <c r="AG65" s="922"/>
      <c r="AH65" s="922"/>
      <c r="AI65" s="420"/>
      <c r="AJ65" s="420"/>
      <c r="AK65" s="420"/>
      <c r="AL65" s="420"/>
      <c r="AM65" s="420"/>
      <c r="AN65" s="420"/>
      <c r="AO65" s="420"/>
      <c r="AP65" s="420"/>
      <c r="AQ65" s="420"/>
      <c r="AR65" s="420"/>
      <c r="AS65" s="420"/>
      <c r="AT65" s="420"/>
      <c r="AU65" s="420"/>
      <c r="AV65" s="420"/>
      <c r="AW65" s="420"/>
      <c r="AX65" s="420"/>
      <c r="AY65" s="420"/>
      <c r="AZ65" s="420"/>
      <c r="BA65" s="420"/>
      <c r="BB65" s="420"/>
      <c r="BC65" s="420"/>
      <c r="BD65" s="420"/>
      <c r="BE65" s="420"/>
      <c r="BF65" s="420"/>
      <c r="BG65" s="420"/>
    </row>
    <row r="66" spans="3:59" s="923" customFormat="1" ht="11.25" x14ac:dyDescent="0.15">
      <c r="C66" s="922"/>
      <c r="D66" s="922"/>
      <c r="E66" s="922"/>
      <c r="F66" s="922"/>
      <c r="G66" s="922"/>
      <c r="H66" s="922"/>
      <c r="I66" s="922"/>
      <c r="J66" s="922"/>
      <c r="K66" s="922"/>
      <c r="L66" s="922"/>
      <c r="M66" s="922"/>
      <c r="N66" s="922"/>
      <c r="O66" s="922"/>
      <c r="P66" s="922"/>
      <c r="Q66" s="922"/>
      <c r="R66" s="922"/>
      <c r="S66" s="922"/>
      <c r="T66" s="922"/>
      <c r="U66" s="405"/>
      <c r="V66" s="405"/>
      <c r="W66" s="405"/>
      <c r="X66" s="405"/>
      <c r="Y66" s="405"/>
      <c r="Z66" s="405"/>
      <c r="AA66" s="405"/>
      <c r="AB66" s="405"/>
      <c r="AC66" s="405"/>
      <c r="AD66" s="405"/>
      <c r="AE66" s="405"/>
      <c r="AF66" s="405"/>
      <c r="AG66" s="922"/>
      <c r="AH66" s="922"/>
      <c r="AI66" s="420"/>
      <c r="AJ66" s="420"/>
      <c r="AK66" s="420"/>
      <c r="AL66" s="420"/>
      <c r="AM66" s="420"/>
      <c r="AN66" s="420"/>
      <c r="AO66" s="420"/>
      <c r="AP66" s="420"/>
      <c r="AQ66" s="420"/>
      <c r="AR66" s="420"/>
      <c r="AS66" s="420"/>
      <c r="AT66" s="420"/>
      <c r="AU66" s="420"/>
      <c r="AV66" s="420"/>
      <c r="AW66" s="420"/>
      <c r="AX66" s="420"/>
      <c r="AY66" s="420"/>
      <c r="AZ66" s="420"/>
      <c r="BA66" s="420"/>
      <c r="BB66" s="420"/>
      <c r="BC66" s="420"/>
      <c r="BD66" s="420"/>
      <c r="BE66" s="420"/>
      <c r="BF66" s="420"/>
      <c r="BG66" s="420"/>
    </row>
    <row r="67" spans="3:59" s="923" customFormat="1" ht="11.25" x14ac:dyDescent="0.15">
      <c r="C67" s="922"/>
      <c r="D67" s="922"/>
      <c r="E67" s="922"/>
      <c r="F67" s="922"/>
      <c r="G67" s="922"/>
      <c r="H67" s="922"/>
      <c r="I67" s="922"/>
      <c r="J67" s="922"/>
      <c r="K67" s="922"/>
      <c r="L67" s="922"/>
      <c r="M67" s="922"/>
      <c r="N67" s="922"/>
      <c r="O67" s="922"/>
      <c r="P67" s="922"/>
      <c r="Q67" s="922"/>
      <c r="R67" s="922"/>
      <c r="S67" s="922"/>
      <c r="T67" s="922"/>
      <c r="U67" s="405"/>
      <c r="V67" s="405"/>
      <c r="W67" s="405"/>
      <c r="X67" s="405"/>
      <c r="Y67" s="405"/>
      <c r="Z67" s="405"/>
      <c r="AA67" s="405"/>
      <c r="AB67" s="405"/>
      <c r="AC67" s="405"/>
      <c r="AD67" s="405"/>
      <c r="AE67" s="405"/>
      <c r="AF67" s="405"/>
      <c r="AG67" s="922"/>
      <c r="AH67" s="922"/>
      <c r="AI67" s="420"/>
      <c r="AJ67" s="420"/>
      <c r="AK67" s="420"/>
      <c r="AL67" s="420"/>
      <c r="AM67" s="420"/>
      <c r="AN67" s="420"/>
      <c r="AO67" s="420"/>
      <c r="AP67" s="420"/>
      <c r="AQ67" s="420"/>
      <c r="AR67" s="420"/>
      <c r="AS67" s="420"/>
      <c r="AT67" s="420"/>
      <c r="AU67" s="420"/>
      <c r="AV67" s="420"/>
      <c r="AW67" s="420"/>
      <c r="AX67" s="420"/>
      <c r="AY67" s="420"/>
      <c r="AZ67" s="420"/>
      <c r="BA67" s="420"/>
      <c r="BB67" s="420"/>
      <c r="BC67" s="420"/>
      <c r="BD67" s="420"/>
      <c r="BE67" s="420"/>
      <c r="BF67" s="420"/>
      <c r="BG67" s="420"/>
    </row>
    <row r="68" spans="3:59" s="923" customFormat="1" ht="11.25" x14ac:dyDescent="0.15">
      <c r="C68" s="922"/>
      <c r="D68" s="922"/>
      <c r="E68" s="922"/>
      <c r="F68" s="922"/>
      <c r="G68" s="922"/>
      <c r="H68" s="922"/>
      <c r="I68" s="922"/>
      <c r="J68" s="922"/>
      <c r="K68" s="922"/>
      <c r="L68" s="922"/>
      <c r="M68" s="922"/>
      <c r="N68" s="922"/>
      <c r="O68" s="922"/>
      <c r="P68" s="922"/>
      <c r="Q68" s="922"/>
      <c r="R68" s="922"/>
      <c r="S68" s="922"/>
      <c r="T68" s="922"/>
      <c r="U68" s="405"/>
      <c r="V68" s="405"/>
      <c r="W68" s="405"/>
      <c r="X68" s="405"/>
      <c r="Y68" s="405"/>
      <c r="Z68" s="405"/>
      <c r="AA68" s="405"/>
      <c r="AB68" s="405"/>
      <c r="AC68" s="405"/>
      <c r="AD68" s="405"/>
      <c r="AE68" s="405"/>
      <c r="AF68" s="405"/>
      <c r="AG68" s="922"/>
      <c r="AH68" s="922"/>
      <c r="AI68" s="420"/>
      <c r="AJ68" s="420"/>
      <c r="AK68" s="420"/>
      <c r="AL68" s="420"/>
      <c r="AM68" s="420"/>
      <c r="AN68" s="420"/>
      <c r="AO68" s="420"/>
      <c r="AP68" s="420"/>
      <c r="AQ68" s="420"/>
      <c r="AR68" s="420"/>
      <c r="AS68" s="420"/>
      <c r="AT68" s="420"/>
      <c r="AU68" s="420"/>
      <c r="AV68" s="420"/>
      <c r="AW68" s="420"/>
      <c r="AX68" s="420"/>
      <c r="AY68" s="420"/>
      <c r="AZ68" s="420"/>
      <c r="BA68" s="420"/>
      <c r="BB68" s="420"/>
      <c r="BC68" s="420"/>
      <c r="BD68" s="420"/>
      <c r="BE68" s="420"/>
      <c r="BF68" s="420"/>
      <c r="BG68" s="420"/>
    </row>
    <row r="69" spans="3:59" s="923" customFormat="1" ht="11.25" x14ac:dyDescent="0.15">
      <c r="C69" s="922"/>
      <c r="D69" s="922"/>
      <c r="E69" s="922"/>
      <c r="F69" s="922"/>
      <c r="G69" s="922"/>
      <c r="H69" s="922"/>
      <c r="I69" s="922"/>
      <c r="J69" s="922"/>
      <c r="K69" s="922"/>
      <c r="L69" s="922"/>
      <c r="M69" s="922"/>
      <c r="N69" s="922"/>
      <c r="O69" s="922"/>
      <c r="P69" s="922"/>
      <c r="Q69" s="922"/>
      <c r="R69" s="922"/>
      <c r="S69" s="922"/>
      <c r="T69" s="922"/>
      <c r="U69" s="405"/>
      <c r="V69" s="405"/>
      <c r="W69" s="405"/>
      <c r="X69" s="405"/>
      <c r="Y69" s="405"/>
      <c r="Z69" s="405"/>
      <c r="AA69" s="405"/>
      <c r="AB69" s="405"/>
      <c r="AC69" s="405"/>
      <c r="AD69" s="405"/>
      <c r="AE69" s="405"/>
      <c r="AF69" s="405"/>
      <c r="AG69" s="922"/>
      <c r="AH69" s="922"/>
      <c r="AI69" s="420"/>
      <c r="AJ69" s="420"/>
      <c r="AK69" s="420"/>
      <c r="AL69" s="420"/>
      <c r="AM69" s="420"/>
      <c r="AN69" s="420"/>
      <c r="AO69" s="420"/>
      <c r="AP69" s="420"/>
      <c r="AQ69" s="420"/>
      <c r="AR69" s="420"/>
      <c r="AS69" s="420"/>
      <c r="AT69" s="420"/>
      <c r="AU69" s="420"/>
      <c r="AV69" s="420"/>
      <c r="AW69" s="420"/>
      <c r="AX69" s="420"/>
      <c r="AY69" s="420"/>
      <c r="AZ69" s="420"/>
      <c r="BA69" s="420"/>
      <c r="BB69" s="420"/>
      <c r="BC69" s="420"/>
      <c r="BD69" s="420"/>
      <c r="BE69" s="420"/>
      <c r="BF69" s="420"/>
      <c r="BG69" s="420"/>
    </row>
    <row r="70" spans="3:59" s="923" customFormat="1" ht="11.25" x14ac:dyDescent="0.15">
      <c r="C70" s="922"/>
      <c r="D70" s="922"/>
      <c r="E70" s="922"/>
      <c r="F70" s="922"/>
      <c r="G70" s="922"/>
      <c r="H70" s="922"/>
      <c r="I70" s="922"/>
      <c r="J70" s="922"/>
      <c r="K70" s="922"/>
      <c r="L70" s="922"/>
      <c r="M70" s="922"/>
      <c r="N70" s="922"/>
      <c r="O70" s="922"/>
      <c r="P70" s="922"/>
      <c r="Q70" s="922"/>
      <c r="R70" s="922"/>
      <c r="S70" s="922"/>
      <c r="T70" s="922"/>
      <c r="U70" s="405"/>
      <c r="V70" s="405"/>
      <c r="W70" s="405"/>
      <c r="X70" s="405"/>
      <c r="Y70" s="405"/>
      <c r="Z70" s="405"/>
      <c r="AA70" s="405"/>
      <c r="AB70" s="405"/>
      <c r="AC70" s="405"/>
      <c r="AD70" s="405"/>
      <c r="AE70" s="405"/>
      <c r="AF70" s="405"/>
      <c r="AG70" s="922"/>
      <c r="AH70" s="922"/>
      <c r="AI70" s="420"/>
      <c r="AJ70" s="420"/>
      <c r="AK70" s="420"/>
      <c r="AL70" s="420"/>
      <c r="AM70" s="420"/>
      <c r="AN70" s="420"/>
      <c r="AO70" s="420"/>
      <c r="AP70" s="420"/>
      <c r="AQ70" s="420"/>
      <c r="AR70" s="420"/>
      <c r="AS70" s="420"/>
      <c r="AT70" s="420"/>
      <c r="AU70" s="420"/>
      <c r="AV70" s="420"/>
      <c r="AW70" s="420"/>
      <c r="AX70" s="420"/>
      <c r="AY70" s="420"/>
      <c r="AZ70" s="420"/>
      <c r="BA70" s="420"/>
      <c r="BB70" s="420"/>
      <c r="BC70" s="420"/>
      <c r="BD70" s="420"/>
      <c r="BE70" s="420"/>
      <c r="BF70" s="420"/>
      <c r="BG70" s="420"/>
    </row>
    <row r="71" spans="3:59" s="923" customFormat="1" ht="11.25" x14ac:dyDescent="0.15">
      <c r="C71" s="922"/>
      <c r="D71" s="922"/>
      <c r="E71" s="922"/>
      <c r="F71" s="922"/>
      <c r="G71" s="922"/>
      <c r="H71" s="922"/>
      <c r="I71" s="922"/>
      <c r="J71" s="922"/>
      <c r="K71" s="922"/>
      <c r="L71" s="922"/>
      <c r="M71" s="922"/>
      <c r="N71" s="922"/>
      <c r="O71" s="922"/>
      <c r="P71" s="922"/>
      <c r="Q71" s="922"/>
      <c r="R71" s="922"/>
      <c r="S71" s="922"/>
      <c r="T71" s="922"/>
      <c r="U71" s="405"/>
      <c r="V71" s="405"/>
      <c r="W71" s="405"/>
      <c r="X71" s="405"/>
      <c r="Y71" s="405"/>
      <c r="Z71" s="405"/>
      <c r="AA71" s="405"/>
      <c r="AB71" s="405"/>
      <c r="AC71" s="405"/>
      <c r="AD71" s="405"/>
      <c r="AE71" s="405"/>
      <c r="AF71" s="405"/>
      <c r="AG71" s="922"/>
      <c r="AH71" s="922"/>
      <c r="AI71" s="420"/>
      <c r="AJ71" s="420"/>
      <c r="AK71" s="420"/>
      <c r="AL71" s="420"/>
      <c r="AM71" s="420"/>
      <c r="AN71" s="420"/>
      <c r="AO71" s="420"/>
      <c r="AP71" s="420"/>
      <c r="AQ71" s="420"/>
      <c r="AR71" s="420"/>
      <c r="AS71" s="420"/>
      <c r="AT71" s="420"/>
      <c r="AU71" s="420"/>
      <c r="AV71" s="420"/>
      <c r="AW71" s="420"/>
      <c r="AX71" s="420"/>
      <c r="AY71" s="420"/>
      <c r="AZ71" s="420"/>
      <c r="BA71" s="420"/>
      <c r="BB71" s="420"/>
      <c r="BC71" s="420"/>
      <c r="BD71" s="420"/>
      <c r="BE71" s="420"/>
      <c r="BF71" s="420"/>
      <c r="BG71" s="420"/>
    </row>
    <row r="72" spans="3:59" s="923" customFormat="1" ht="11.25" x14ac:dyDescent="0.15">
      <c r="C72" s="922"/>
      <c r="D72" s="922"/>
      <c r="E72" s="922"/>
      <c r="F72" s="922"/>
      <c r="G72" s="922"/>
      <c r="H72" s="922"/>
      <c r="I72" s="922"/>
      <c r="J72" s="922"/>
      <c r="K72" s="922"/>
      <c r="L72" s="922"/>
      <c r="M72" s="922"/>
      <c r="N72" s="922"/>
      <c r="O72" s="922"/>
      <c r="P72" s="922"/>
      <c r="Q72" s="922"/>
      <c r="R72" s="922"/>
      <c r="S72" s="922"/>
      <c r="T72" s="922"/>
      <c r="U72" s="405"/>
      <c r="V72" s="405"/>
      <c r="W72" s="405"/>
      <c r="X72" s="405"/>
      <c r="Y72" s="405"/>
      <c r="Z72" s="405"/>
      <c r="AA72" s="405"/>
      <c r="AB72" s="405"/>
      <c r="AC72" s="405"/>
      <c r="AD72" s="405"/>
      <c r="AE72" s="405"/>
      <c r="AF72" s="405"/>
      <c r="AG72" s="922"/>
      <c r="AH72" s="922"/>
      <c r="AI72" s="420"/>
      <c r="AJ72" s="420"/>
      <c r="AK72" s="420"/>
      <c r="AL72" s="420"/>
      <c r="AM72" s="420"/>
      <c r="AN72" s="420"/>
      <c r="AO72" s="420"/>
      <c r="AP72" s="420"/>
      <c r="AQ72" s="420"/>
      <c r="AR72" s="420"/>
      <c r="AS72" s="420"/>
      <c r="AT72" s="420"/>
      <c r="AU72" s="420"/>
      <c r="AV72" s="420"/>
      <c r="AW72" s="420"/>
      <c r="AX72" s="420"/>
      <c r="AY72" s="420"/>
      <c r="AZ72" s="420"/>
      <c r="BA72" s="420"/>
      <c r="BB72" s="420"/>
      <c r="BC72" s="420"/>
      <c r="BD72" s="420"/>
      <c r="BE72" s="420"/>
      <c r="BF72" s="420"/>
      <c r="BG72" s="420"/>
    </row>
    <row r="73" spans="3:59" s="923" customFormat="1" ht="11.25" x14ac:dyDescent="0.15">
      <c r="C73" s="922"/>
      <c r="D73" s="922"/>
      <c r="E73" s="922"/>
      <c r="F73" s="922"/>
      <c r="G73" s="922"/>
      <c r="H73" s="922"/>
      <c r="I73" s="922"/>
      <c r="J73" s="922"/>
      <c r="K73" s="922"/>
      <c r="L73" s="922"/>
      <c r="M73" s="922"/>
      <c r="N73" s="922"/>
      <c r="O73" s="922"/>
      <c r="P73" s="922"/>
      <c r="Q73" s="922"/>
      <c r="R73" s="922"/>
      <c r="S73" s="922"/>
      <c r="T73" s="922"/>
      <c r="U73" s="405"/>
      <c r="V73" s="405"/>
      <c r="W73" s="405"/>
      <c r="X73" s="405"/>
      <c r="Y73" s="405"/>
      <c r="Z73" s="405"/>
      <c r="AA73" s="405"/>
      <c r="AB73" s="405"/>
      <c r="AC73" s="405"/>
      <c r="AD73" s="405"/>
      <c r="AE73" s="405"/>
      <c r="AF73" s="405"/>
      <c r="AG73" s="922"/>
      <c r="AH73" s="922"/>
      <c r="AI73" s="420"/>
      <c r="AJ73" s="420"/>
      <c r="AK73" s="420"/>
      <c r="AL73" s="420"/>
      <c r="AM73" s="420"/>
      <c r="AN73" s="420"/>
      <c r="AO73" s="420"/>
      <c r="AP73" s="420"/>
      <c r="AQ73" s="420"/>
      <c r="AR73" s="420"/>
      <c r="AS73" s="420"/>
      <c r="AT73" s="420"/>
      <c r="AU73" s="420"/>
      <c r="AV73" s="420"/>
      <c r="AW73" s="420"/>
      <c r="AX73" s="420"/>
      <c r="AY73" s="420"/>
      <c r="AZ73" s="420"/>
      <c r="BA73" s="420"/>
      <c r="BB73" s="420"/>
      <c r="BC73" s="420"/>
      <c r="BD73" s="420"/>
      <c r="BE73" s="420"/>
      <c r="BF73" s="420"/>
      <c r="BG73" s="420"/>
    </row>
    <row r="74" spans="3:59" s="923" customFormat="1" ht="11.25" x14ac:dyDescent="0.15">
      <c r="C74" s="922"/>
      <c r="D74" s="922"/>
      <c r="E74" s="922"/>
      <c r="F74" s="922"/>
      <c r="G74" s="922"/>
      <c r="H74" s="922"/>
      <c r="I74" s="922"/>
      <c r="J74" s="922"/>
      <c r="K74" s="922"/>
      <c r="L74" s="922"/>
      <c r="M74" s="922"/>
      <c r="N74" s="922"/>
      <c r="O74" s="922"/>
      <c r="P74" s="922"/>
      <c r="Q74" s="922"/>
      <c r="R74" s="922"/>
      <c r="S74" s="922"/>
      <c r="T74" s="922"/>
      <c r="U74" s="405"/>
      <c r="V74" s="405"/>
      <c r="W74" s="405"/>
      <c r="X74" s="405"/>
      <c r="Y74" s="405"/>
      <c r="Z74" s="405"/>
      <c r="AA74" s="405"/>
      <c r="AB74" s="405"/>
      <c r="AC74" s="405"/>
      <c r="AD74" s="405"/>
      <c r="AE74" s="405"/>
      <c r="AF74" s="405"/>
      <c r="AG74" s="922"/>
      <c r="AH74" s="922"/>
      <c r="AI74" s="420"/>
      <c r="AJ74" s="420"/>
      <c r="AK74" s="420"/>
      <c r="AL74" s="420"/>
      <c r="AM74" s="420"/>
      <c r="AN74" s="420"/>
      <c r="AO74" s="420"/>
      <c r="AP74" s="420"/>
      <c r="AQ74" s="420"/>
      <c r="AR74" s="420"/>
      <c r="AS74" s="420"/>
      <c r="AT74" s="420"/>
      <c r="AU74" s="420"/>
      <c r="AV74" s="420"/>
      <c r="AW74" s="420"/>
      <c r="AX74" s="420"/>
      <c r="AY74" s="420"/>
      <c r="AZ74" s="420"/>
      <c r="BA74" s="420"/>
      <c r="BB74" s="420"/>
      <c r="BC74" s="420"/>
      <c r="BD74" s="420"/>
      <c r="BE74" s="420"/>
      <c r="BF74" s="420"/>
      <c r="BG74" s="420"/>
    </row>
    <row r="75" spans="3:59" s="923" customFormat="1" ht="11.25" x14ac:dyDescent="0.15">
      <c r="C75" s="922"/>
      <c r="D75" s="922"/>
      <c r="E75" s="922"/>
      <c r="F75" s="922"/>
      <c r="G75" s="922"/>
      <c r="H75" s="922"/>
      <c r="I75" s="922"/>
      <c r="J75" s="922"/>
      <c r="K75" s="922"/>
      <c r="L75" s="922"/>
      <c r="M75" s="922"/>
      <c r="N75" s="922"/>
      <c r="O75" s="922"/>
      <c r="P75" s="922"/>
      <c r="Q75" s="922"/>
      <c r="R75" s="922"/>
      <c r="S75" s="922"/>
      <c r="T75" s="922"/>
      <c r="U75" s="405"/>
      <c r="V75" s="405"/>
      <c r="W75" s="405"/>
      <c r="X75" s="405"/>
      <c r="Y75" s="405"/>
      <c r="Z75" s="405"/>
      <c r="AA75" s="405"/>
      <c r="AB75" s="405"/>
      <c r="AC75" s="405"/>
      <c r="AD75" s="405"/>
      <c r="AE75" s="405"/>
      <c r="AF75" s="405"/>
      <c r="AG75" s="922"/>
      <c r="AH75" s="922"/>
      <c r="AI75" s="420"/>
      <c r="AJ75" s="420"/>
      <c r="AK75" s="420"/>
      <c r="AL75" s="420"/>
      <c r="AM75" s="420"/>
      <c r="AN75" s="420"/>
      <c r="AO75" s="420"/>
      <c r="AP75" s="420"/>
      <c r="AQ75" s="420"/>
      <c r="AR75" s="420"/>
      <c r="AS75" s="420"/>
      <c r="AT75" s="420"/>
      <c r="AU75" s="420"/>
      <c r="AV75" s="420"/>
      <c r="AW75" s="420"/>
      <c r="AX75" s="420"/>
      <c r="AY75" s="420"/>
      <c r="AZ75" s="420"/>
      <c r="BA75" s="420"/>
      <c r="BB75" s="420"/>
      <c r="BC75" s="420"/>
      <c r="BD75" s="420"/>
      <c r="BE75" s="420"/>
      <c r="BF75" s="420"/>
      <c r="BG75" s="420"/>
    </row>
    <row r="76" spans="3:59" s="923" customFormat="1" ht="11.25" x14ac:dyDescent="0.15">
      <c r="C76" s="922"/>
      <c r="D76" s="922"/>
      <c r="E76" s="922"/>
      <c r="F76" s="922"/>
      <c r="G76" s="922"/>
      <c r="H76" s="922"/>
      <c r="I76" s="922"/>
      <c r="J76" s="922"/>
      <c r="K76" s="922"/>
      <c r="L76" s="922"/>
      <c r="M76" s="922"/>
      <c r="N76" s="922"/>
      <c r="O76" s="922"/>
      <c r="P76" s="922"/>
      <c r="Q76" s="922"/>
      <c r="R76" s="922"/>
      <c r="S76" s="922"/>
      <c r="T76" s="922"/>
      <c r="U76" s="405"/>
      <c r="V76" s="405"/>
      <c r="W76" s="405"/>
      <c r="X76" s="405"/>
      <c r="Y76" s="405"/>
      <c r="Z76" s="405"/>
      <c r="AA76" s="405"/>
      <c r="AB76" s="405"/>
      <c r="AC76" s="405"/>
      <c r="AD76" s="405"/>
      <c r="AE76" s="405"/>
      <c r="AF76" s="405"/>
      <c r="AG76" s="922"/>
      <c r="AH76" s="922"/>
      <c r="AI76" s="420"/>
      <c r="AJ76" s="420"/>
      <c r="AK76" s="420"/>
      <c r="AL76" s="420"/>
      <c r="AM76" s="420"/>
      <c r="AN76" s="420"/>
      <c r="AO76" s="420"/>
      <c r="AP76" s="420"/>
      <c r="AQ76" s="420"/>
      <c r="AR76" s="420"/>
      <c r="AS76" s="420"/>
      <c r="AT76" s="420"/>
      <c r="AU76" s="420"/>
      <c r="AV76" s="420"/>
      <c r="AW76" s="420"/>
      <c r="AX76" s="420"/>
      <c r="AY76" s="420"/>
      <c r="AZ76" s="420"/>
      <c r="BA76" s="420"/>
      <c r="BB76" s="420"/>
      <c r="BC76" s="420"/>
      <c r="BD76" s="420"/>
      <c r="BE76" s="420"/>
      <c r="BF76" s="420"/>
      <c r="BG76" s="420"/>
    </row>
    <row r="77" spans="3:59" s="923" customFormat="1" ht="11.25" x14ac:dyDescent="0.15">
      <c r="C77" s="922"/>
      <c r="D77" s="922"/>
      <c r="E77" s="922"/>
      <c r="F77" s="922"/>
      <c r="G77" s="922"/>
      <c r="H77" s="922"/>
      <c r="I77" s="922"/>
      <c r="J77" s="922"/>
      <c r="K77" s="922"/>
      <c r="L77" s="922"/>
      <c r="M77" s="922"/>
      <c r="N77" s="922"/>
      <c r="O77" s="922"/>
      <c r="P77" s="922"/>
      <c r="Q77" s="922"/>
      <c r="R77" s="922"/>
      <c r="S77" s="922"/>
      <c r="T77" s="922"/>
      <c r="U77" s="405"/>
      <c r="V77" s="405"/>
      <c r="W77" s="405"/>
      <c r="X77" s="405"/>
      <c r="Y77" s="405"/>
      <c r="Z77" s="405"/>
      <c r="AA77" s="405"/>
      <c r="AB77" s="405"/>
      <c r="AC77" s="405"/>
      <c r="AD77" s="405"/>
      <c r="AE77" s="405"/>
      <c r="AF77" s="405"/>
      <c r="AG77" s="922"/>
      <c r="AH77" s="922"/>
      <c r="AI77" s="420"/>
      <c r="AJ77" s="420"/>
      <c r="AK77" s="420"/>
      <c r="AL77" s="420"/>
      <c r="AM77" s="420"/>
      <c r="AN77" s="420"/>
      <c r="AO77" s="420"/>
      <c r="AP77" s="420"/>
      <c r="AQ77" s="420"/>
      <c r="AR77" s="420"/>
      <c r="AS77" s="420"/>
      <c r="AT77" s="420"/>
      <c r="AU77" s="420"/>
      <c r="AV77" s="420"/>
      <c r="AW77" s="420"/>
      <c r="AX77" s="420"/>
      <c r="AY77" s="420"/>
      <c r="AZ77" s="420"/>
      <c r="BA77" s="420"/>
      <c r="BB77" s="420"/>
      <c r="BC77" s="420"/>
      <c r="BD77" s="420"/>
      <c r="BE77" s="420"/>
      <c r="BF77" s="420"/>
      <c r="BG77" s="420"/>
    </row>
    <row r="78" spans="3:59" s="923" customFormat="1" ht="11.25" x14ac:dyDescent="0.15">
      <c r="C78" s="922"/>
      <c r="D78" s="922"/>
      <c r="E78" s="922"/>
      <c r="F78" s="922"/>
      <c r="G78" s="922"/>
      <c r="H78" s="922"/>
      <c r="I78" s="922"/>
      <c r="J78" s="922"/>
      <c r="K78" s="922"/>
      <c r="L78" s="922"/>
      <c r="M78" s="922"/>
      <c r="N78" s="922"/>
      <c r="O78" s="922"/>
      <c r="P78" s="922"/>
      <c r="Q78" s="922"/>
      <c r="R78" s="922"/>
      <c r="S78" s="922"/>
      <c r="T78" s="922"/>
      <c r="U78" s="405"/>
      <c r="V78" s="405"/>
      <c r="W78" s="405"/>
      <c r="X78" s="405"/>
      <c r="Y78" s="405"/>
      <c r="Z78" s="405"/>
      <c r="AA78" s="405"/>
      <c r="AB78" s="405"/>
      <c r="AC78" s="405"/>
      <c r="AD78" s="405"/>
      <c r="AE78" s="405"/>
      <c r="AF78" s="405"/>
      <c r="AG78" s="922"/>
      <c r="AH78" s="922"/>
      <c r="AI78" s="420"/>
      <c r="AJ78" s="420"/>
      <c r="AK78" s="420"/>
      <c r="AL78" s="420"/>
      <c r="AM78" s="420"/>
      <c r="AN78" s="420"/>
      <c r="AO78" s="420"/>
      <c r="AP78" s="420"/>
      <c r="AQ78" s="420"/>
      <c r="AR78" s="420"/>
      <c r="AS78" s="420"/>
      <c r="AT78" s="420"/>
      <c r="AU78" s="420"/>
      <c r="AV78" s="420"/>
      <c r="AW78" s="420"/>
      <c r="AX78" s="420"/>
      <c r="AY78" s="420"/>
      <c r="AZ78" s="420"/>
      <c r="BA78" s="420"/>
      <c r="BB78" s="420"/>
      <c r="BC78" s="420"/>
      <c r="BD78" s="420"/>
      <c r="BE78" s="420"/>
      <c r="BF78" s="420"/>
      <c r="BG78" s="420"/>
    </row>
    <row r="79" spans="3:59" s="923" customFormat="1" ht="11.25" x14ac:dyDescent="0.15">
      <c r="C79" s="922"/>
      <c r="D79" s="922"/>
      <c r="E79" s="922"/>
      <c r="F79" s="922"/>
      <c r="G79" s="922"/>
      <c r="H79" s="922"/>
      <c r="I79" s="922"/>
      <c r="J79" s="922"/>
      <c r="K79" s="922"/>
      <c r="L79" s="922"/>
      <c r="M79" s="922"/>
      <c r="N79" s="922"/>
      <c r="O79" s="922"/>
      <c r="P79" s="922"/>
      <c r="Q79" s="922"/>
      <c r="R79" s="922"/>
      <c r="S79" s="922"/>
      <c r="T79" s="922"/>
      <c r="U79" s="405"/>
      <c r="V79" s="405"/>
      <c r="W79" s="405"/>
      <c r="X79" s="405"/>
      <c r="Y79" s="405"/>
      <c r="Z79" s="405"/>
      <c r="AA79" s="405"/>
      <c r="AB79" s="405"/>
      <c r="AC79" s="405"/>
      <c r="AD79" s="405"/>
      <c r="AE79" s="405"/>
      <c r="AF79" s="405"/>
      <c r="AG79" s="922"/>
      <c r="AH79" s="922"/>
      <c r="AI79" s="420"/>
      <c r="AJ79" s="420"/>
      <c r="AK79" s="420"/>
      <c r="AL79" s="420"/>
      <c r="AM79" s="420"/>
      <c r="AN79" s="420"/>
      <c r="AO79" s="420"/>
      <c r="AP79" s="420"/>
      <c r="AQ79" s="420"/>
      <c r="AR79" s="420"/>
      <c r="AS79" s="420"/>
      <c r="AT79" s="420"/>
      <c r="AU79" s="420"/>
      <c r="AV79" s="420"/>
      <c r="AW79" s="420"/>
      <c r="AX79" s="420"/>
      <c r="AY79" s="420"/>
      <c r="AZ79" s="420"/>
      <c r="BA79" s="420"/>
      <c r="BB79" s="420"/>
      <c r="BC79" s="420"/>
      <c r="BD79" s="420"/>
      <c r="BE79" s="420"/>
      <c r="BF79" s="420"/>
      <c r="BG79" s="420"/>
    </row>
    <row r="80" spans="3:59" s="923" customFormat="1" ht="11.25" x14ac:dyDescent="0.15">
      <c r="C80" s="922"/>
      <c r="D80" s="922"/>
      <c r="E80" s="922"/>
      <c r="F80" s="922"/>
      <c r="G80" s="922"/>
      <c r="H80" s="922"/>
      <c r="I80" s="922"/>
      <c r="J80" s="922"/>
      <c r="K80" s="922"/>
      <c r="L80" s="922"/>
      <c r="M80" s="922"/>
      <c r="N80" s="922"/>
      <c r="O80" s="922"/>
      <c r="P80" s="922"/>
      <c r="Q80" s="922"/>
      <c r="R80" s="922"/>
      <c r="S80" s="922"/>
      <c r="T80" s="922"/>
      <c r="U80" s="405"/>
      <c r="V80" s="405"/>
      <c r="W80" s="405"/>
      <c r="X80" s="405"/>
      <c r="Y80" s="405"/>
      <c r="Z80" s="405"/>
      <c r="AA80" s="405"/>
      <c r="AB80" s="405"/>
      <c r="AC80" s="405"/>
      <c r="AD80" s="405"/>
      <c r="AE80" s="405"/>
      <c r="AF80" s="405"/>
      <c r="AG80" s="922"/>
      <c r="AH80" s="922"/>
      <c r="AI80" s="420"/>
      <c r="AJ80" s="420"/>
      <c r="AK80" s="420"/>
      <c r="AL80" s="420"/>
      <c r="AM80" s="420"/>
      <c r="AN80" s="420"/>
      <c r="AO80" s="420"/>
      <c r="AP80" s="420"/>
      <c r="AQ80" s="420"/>
      <c r="AR80" s="420"/>
      <c r="AS80" s="420"/>
      <c r="AT80" s="420"/>
      <c r="AU80" s="420"/>
      <c r="AV80" s="420"/>
      <c r="AW80" s="420"/>
      <c r="AX80" s="420"/>
      <c r="AY80" s="420"/>
      <c r="AZ80" s="420"/>
      <c r="BA80" s="420"/>
      <c r="BB80" s="420"/>
      <c r="BC80" s="420"/>
      <c r="BD80" s="420"/>
      <c r="BE80" s="420"/>
      <c r="BF80" s="420"/>
      <c r="BG80" s="420"/>
    </row>
    <row r="81" spans="3:59" s="923" customFormat="1" ht="11.25" x14ac:dyDescent="0.15">
      <c r="C81" s="922"/>
      <c r="D81" s="922"/>
      <c r="E81" s="922"/>
      <c r="F81" s="922"/>
      <c r="G81" s="922"/>
      <c r="H81" s="922"/>
      <c r="I81" s="922"/>
      <c r="J81" s="922"/>
      <c r="K81" s="922"/>
      <c r="L81" s="922"/>
      <c r="M81" s="922"/>
      <c r="N81" s="922"/>
      <c r="O81" s="922"/>
      <c r="P81" s="922"/>
      <c r="Q81" s="922"/>
      <c r="R81" s="922"/>
      <c r="S81" s="922"/>
      <c r="T81" s="922"/>
      <c r="U81" s="405"/>
      <c r="V81" s="405"/>
      <c r="W81" s="405"/>
      <c r="X81" s="405"/>
      <c r="Y81" s="405"/>
      <c r="Z81" s="405"/>
      <c r="AA81" s="405"/>
      <c r="AB81" s="405"/>
      <c r="AC81" s="405"/>
      <c r="AD81" s="405"/>
      <c r="AE81" s="405"/>
      <c r="AF81" s="405"/>
      <c r="AG81" s="922"/>
      <c r="AH81" s="922"/>
      <c r="AI81" s="420"/>
      <c r="AJ81" s="420"/>
      <c r="AK81" s="420"/>
      <c r="AL81" s="420"/>
      <c r="AM81" s="420"/>
      <c r="AN81" s="420"/>
      <c r="AO81" s="420"/>
      <c r="AP81" s="420"/>
      <c r="AQ81" s="420"/>
      <c r="AR81" s="420"/>
      <c r="AS81" s="420"/>
      <c r="AT81" s="420"/>
      <c r="AU81" s="420"/>
      <c r="AV81" s="420"/>
      <c r="AW81" s="420"/>
      <c r="AX81" s="420"/>
      <c r="AY81" s="420"/>
      <c r="AZ81" s="420"/>
      <c r="BA81" s="420"/>
      <c r="BB81" s="420"/>
      <c r="BC81" s="420"/>
      <c r="BD81" s="420"/>
      <c r="BE81" s="420"/>
      <c r="BF81" s="420"/>
      <c r="BG81" s="420"/>
    </row>
    <row r="82" spans="3:59" s="923" customFormat="1" ht="11.25" x14ac:dyDescent="0.15">
      <c r="C82" s="922"/>
      <c r="D82" s="922"/>
      <c r="E82" s="922"/>
      <c r="F82" s="922"/>
      <c r="G82" s="922"/>
      <c r="H82" s="922"/>
      <c r="I82" s="922"/>
      <c r="J82" s="922"/>
      <c r="K82" s="922"/>
      <c r="L82" s="922"/>
      <c r="M82" s="922"/>
      <c r="N82" s="922"/>
      <c r="O82" s="922"/>
      <c r="P82" s="922"/>
      <c r="Q82" s="922"/>
      <c r="R82" s="922"/>
      <c r="S82" s="922"/>
      <c r="T82" s="922"/>
      <c r="U82" s="405"/>
      <c r="V82" s="405"/>
      <c r="W82" s="405"/>
      <c r="X82" s="405"/>
      <c r="Y82" s="405"/>
      <c r="Z82" s="405"/>
      <c r="AA82" s="405"/>
      <c r="AB82" s="405"/>
      <c r="AC82" s="405"/>
      <c r="AD82" s="405"/>
      <c r="AE82" s="405"/>
      <c r="AF82" s="405"/>
      <c r="AG82" s="922"/>
      <c r="AH82" s="922"/>
      <c r="AI82" s="420"/>
      <c r="AJ82" s="420"/>
      <c r="AK82" s="420"/>
      <c r="AL82" s="420"/>
      <c r="AM82" s="420"/>
      <c r="AN82" s="420"/>
      <c r="AO82" s="420"/>
      <c r="AP82" s="420"/>
      <c r="AQ82" s="420"/>
      <c r="AR82" s="420"/>
      <c r="AS82" s="420"/>
      <c r="AT82" s="420"/>
      <c r="AU82" s="420"/>
      <c r="AV82" s="420"/>
      <c r="AW82" s="420"/>
      <c r="AX82" s="420"/>
      <c r="AY82" s="420"/>
      <c r="AZ82" s="420"/>
      <c r="BA82" s="420"/>
      <c r="BB82" s="420"/>
      <c r="BC82" s="420"/>
      <c r="BD82" s="420"/>
      <c r="BE82" s="420"/>
      <c r="BF82" s="420"/>
      <c r="BG82" s="420"/>
    </row>
    <row r="83" spans="3:59" s="923" customFormat="1" ht="11.25" x14ac:dyDescent="0.15">
      <c r="C83" s="922"/>
      <c r="D83" s="922"/>
      <c r="E83" s="922"/>
      <c r="F83" s="922"/>
      <c r="G83" s="922"/>
      <c r="H83" s="922"/>
      <c r="I83" s="922"/>
      <c r="J83" s="922"/>
      <c r="K83" s="922"/>
      <c r="L83" s="922"/>
      <c r="M83" s="922"/>
      <c r="N83" s="922"/>
      <c r="O83" s="922"/>
      <c r="P83" s="922"/>
      <c r="Q83" s="922"/>
      <c r="R83" s="922"/>
      <c r="S83" s="922"/>
      <c r="T83" s="922"/>
      <c r="U83" s="405"/>
      <c r="V83" s="405"/>
      <c r="W83" s="405"/>
      <c r="X83" s="405"/>
      <c r="Y83" s="405"/>
      <c r="Z83" s="405"/>
      <c r="AA83" s="405"/>
      <c r="AB83" s="405"/>
      <c r="AC83" s="405"/>
      <c r="AD83" s="405"/>
      <c r="AE83" s="405"/>
      <c r="AF83" s="405"/>
      <c r="AG83" s="922"/>
      <c r="AH83" s="922"/>
      <c r="AI83" s="420"/>
      <c r="AJ83" s="420"/>
      <c r="AK83" s="420"/>
      <c r="AL83" s="420"/>
      <c r="AM83" s="420"/>
      <c r="AN83" s="420"/>
      <c r="AO83" s="420"/>
      <c r="AP83" s="420"/>
      <c r="AQ83" s="420"/>
      <c r="AR83" s="420"/>
      <c r="AS83" s="420"/>
      <c r="AT83" s="420"/>
      <c r="AU83" s="420"/>
      <c r="AV83" s="420"/>
      <c r="AW83" s="420"/>
      <c r="AX83" s="420"/>
      <c r="AY83" s="420"/>
      <c r="AZ83" s="420"/>
      <c r="BA83" s="420"/>
      <c r="BB83" s="420"/>
      <c r="BC83" s="420"/>
      <c r="BD83" s="420"/>
      <c r="BE83" s="420"/>
      <c r="BF83" s="420"/>
      <c r="BG83" s="420"/>
    </row>
    <row r="84" spans="3:59" s="923" customFormat="1" ht="11.25" x14ac:dyDescent="0.15">
      <c r="C84" s="922"/>
      <c r="D84" s="922"/>
      <c r="E84" s="922"/>
      <c r="F84" s="922"/>
      <c r="G84" s="922"/>
      <c r="H84" s="922"/>
      <c r="I84" s="922"/>
      <c r="J84" s="922"/>
      <c r="K84" s="922"/>
      <c r="L84" s="922"/>
      <c r="M84" s="922"/>
      <c r="N84" s="922"/>
      <c r="O84" s="922"/>
      <c r="P84" s="922"/>
      <c r="Q84" s="922"/>
      <c r="R84" s="922"/>
      <c r="S84" s="922"/>
      <c r="T84" s="922"/>
      <c r="U84" s="405"/>
      <c r="V84" s="405"/>
      <c r="W84" s="405"/>
      <c r="X84" s="405"/>
      <c r="Y84" s="405"/>
      <c r="Z84" s="405"/>
      <c r="AA84" s="405"/>
      <c r="AB84" s="405"/>
      <c r="AC84" s="405"/>
      <c r="AD84" s="405"/>
      <c r="AE84" s="405"/>
      <c r="AF84" s="405"/>
      <c r="AG84" s="922"/>
      <c r="AH84" s="922"/>
      <c r="AI84" s="420"/>
      <c r="AJ84" s="420"/>
      <c r="AK84" s="420"/>
      <c r="AL84" s="420"/>
      <c r="AM84" s="420"/>
      <c r="AN84" s="420"/>
      <c r="AO84" s="420"/>
      <c r="AP84" s="420"/>
      <c r="AQ84" s="420"/>
      <c r="AR84" s="420"/>
      <c r="AS84" s="420"/>
      <c r="AT84" s="420"/>
      <c r="AU84" s="420"/>
      <c r="AV84" s="420"/>
      <c r="AW84" s="420"/>
      <c r="AX84" s="420"/>
      <c r="AY84" s="420"/>
      <c r="AZ84" s="420"/>
      <c r="BA84" s="420"/>
      <c r="BB84" s="420"/>
      <c r="BC84" s="420"/>
      <c r="BD84" s="420"/>
      <c r="BE84" s="420"/>
      <c r="BF84" s="420"/>
      <c r="BG84" s="420"/>
    </row>
    <row r="85" spans="3:59" s="923" customFormat="1" ht="11.25" x14ac:dyDescent="0.15">
      <c r="C85" s="922"/>
      <c r="D85" s="922"/>
      <c r="E85" s="922"/>
      <c r="F85" s="922"/>
      <c r="G85" s="922"/>
      <c r="H85" s="922"/>
      <c r="I85" s="922"/>
      <c r="J85" s="922"/>
      <c r="K85" s="922"/>
      <c r="L85" s="922"/>
      <c r="M85" s="922"/>
      <c r="N85" s="922"/>
      <c r="O85" s="922"/>
      <c r="P85" s="922"/>
      <c r="Q85" s="922"/>
      <c r="R85" s="922"/>
      <c r="S85" s="922"/>
      <c r="T85" s="922"/>
      <c r="U85" s="405"/>
      <c r="V85" s="405"/>
      <c r="W85" s="405"/>
      <c r="X85" s="405"/>
      <c r="Y85" s="405"/>
      <c r="Z85" s="405"/>
      <c r="AA85" s="405"/>
      <c r="AB85" s="405"/>
      <c r="AC85" s="405"/>
      <c r="AD85" s="405"/>
      <c r="AE85" s="405"/>
      <c r="AF85" s="405"/>
      <c r="AG85" s="922"/>
      <c r="AH85" s="922"/>
      <c r="AI85" s="420"/>
      <c r="AJ85" s="420"/>
      <c r="AK85" s="420"/>
      <c r="AL85" s="420"/>
      <c r="AM85" s="420"/>
      <c r="AN85" s="420"/>
      <c r="AO85" s="420"/>
      <c r="AP85" s="420"/>
      <c r="AQ85" s="420"/>
      <c r="AR85" s="420"/>
      <c r="AS85" s="420"/>
      <c r="AT85" s="420"/>
      <c r="AU85" s="420"/>
      <c r="AV85" s="420"/>
      <c r="AW85" s="420"/>
      <c r="AX85" s="420"/>
      <c r="AY85" s="420"/>
      <c r="AZ85" s="420"/>
      <c r="BA85" s="420"/>
      <c r="BB85" s="420"/>
      <c r="BC85" s="420"/>
      <c r="BD85" s="420"/>
      <c r="BE85" s="420"/>
      <c r="BF85" s="420"/>
      <c r="BG85" s="420"/>
    </row>
    <row r="86" spans="3:59" s="923" customFormat="1" ht="11.25" x14ac:dyDescent="0.15">
      <c r="C86" s="922"/>
      <c r="D86" s="922"/>
      <c r="E86" s="922"/>
      <c r="F86" s="922"/>
      <c r="G86" s="922"/>
      <c r="H86" s="922"/>
      <c r="I86" s="922"/>
      <c r="J86" s="922"/>
      <c r="K86" s="922"/>
      <c r="L86" s="922"/>
      <c r="M86" s="922"/>
      <c r="N86" s="922"/>
      <c r="O86" s="922"/>
      <c r="P86" s="922"/>
      <c r="Q86" s="922"/>
      <c r="R86" s="922"/>
      <c r="S86" s="922"/>
      <c r="T86" s="922"/>
      <c r="U86" s="405"/>
      <c r="V86" s="405"/>
      <c r="W86" s="405"/>
      <c r="X86" s="405"/>
      <c r="Y86" s="405"/>
      <c r="Z86" s="405"/>
      <c r="AA86" s="405"/>
      <c r="AB86" s="405"/>
      <c r="AC86" s="405"/>
      <c r="AD86" s="405"/>
      <c r="AE86" s="405"/>
      <c r="AF86" s="405"/>
      <c r="AG86" s="922"/>
      <c r="AH86" s="922"/>
      <c r="AI86" s="420"/>
      <c r="AJ86" s="420"/>
      <c r="AK86" s="420"/>
      <c r="AL86" s="420"/>
      <c r="AM86" s="420"/>
      <c r="AN86" s="420"/>
      <c r="AO86" s="420"/>
      <c r="AP86" s="420"/>
      <c r="AQ86" s="420"/>
      <c r="AR86" s="420"/>
      <c r="AS86" s="420"/>
      <c r="AT86" s="420"/>
      <c r="AU86" s="420"/>
      <c r="AV86" s="420"/>
      <c r="AW86" s="420"/>
      <c r="AX86" s="420"/>
      <c r="AY86" s="420"/>
      <c r="AZ86" s="420"/>
      <c r="BA86" s="420"/>
      <c r="BB86" s="420"/>
      <c r="BC86" s="420"/>
      <c r="BD86" s="420"/>
      <c r="BE86" s="420"/>
      <c r="BF86" s="420"/>
      <c r="BG86" s="420"/>
    </row>
    <row r="87" spans="3:59" s="923" customFormat="1" ht="11.25" x14ac:dyDescent="0.15">
      <c r="C87" s="922"/>
      <c r="D87" s="922"/>
      <c r="E87" s="922"/>
      <c r="F87" s="922"/>
      <c r="G87" s="922"/>
      <c r="H87" s="922"/>
      <c r="I87" s="922"/>
      <c r="J87" s="922"/>
      <c r="K87" s="922"/>
      <c r="L87" s="922"/>
      <c r="M87" s="922"/>
      <c r="N87" s="922"/>
      <c r="O87" s="922"/>
      <c r="P87" s="922"/>
      <c r="Q87" s="922"/>
      <c r="R87" s="922"/>
      <c r="S87" s="922"/>
      <c r="T87" s="922"/>
      <c r="U87" s="405"/>
      <c r="V87" s="405"/>
      <c r="W87" s="405"/>
      <c r="X87" s="405"/>
      <c r="Y87" s="405"/>
      <c r="Z87" s="405"/>
      <c r="AA87" s="405"/>
      <c r="AB87" s="405"/>
      <c r="AC87" s="405"/>
      <c r="AD87" s="405"/>
      <c r="AE87" s="405"/>
      <c r="AF87" s="405"/>
      <c r="AG87" s="922"/>
      <c r="AH87" s="922"/>
      <c r="AI87" s="420"/>
      <c r="AJ87" s="420"/>
      <c r="AK87" s="420"/>
      <c r="AL87" s="420"/>
      <c r="AM87" s="420"/>
      <c r="AN87" s="420"/>
      <c r="AO87" s="420"/>
      <c r="AP87" s="420"/>
      <c r="AQ87" s="420"/>
      <c r="AR87" s="420"/>
      <c r="AS87" s="420"/>
      <c r="AT87" s="420"/>
      <c r="AU87" s="420"/>
      <c r="AV87" s="420"/>
      <c r="AW87" s="420"/>
      <c r="AX87" s="420"/>
      <c r="AY87" s="420"/>
      <c r="AZ87" s="420"/>
      <c r="BA87" s="420"/>
      <c r="BB87" s="420"/>
      <c r="BC87" s="420"/>
      <c r="BD87" s="420"/>
      <c r="BE87" s="420"/>
      <c r="BF87" s="420"/>
      <c r="BG87" s="420"/>
    </row>
    <row r="88" spans="3:59" s="923" customFormat="1" ht="11.25" x14ac:dyDescent="0.15">
      <c r="C88" s="922"/>
      <c r="D88" s="922"/>
      <c r="E88" s="922"/>
      <c r="F88" s="922"/>
      <c r="G88" s="922"/>
      <c r="H88" s="922"/>
      <c r="I88" s="922"/>
      <c r="J88" s="922"/>
      <c r="K88" s="922"/>
      <c r="L88" s="922"/>
      <c r="M88" s="922"/>
      <c r="N88" s="922"/>
      <c r="O88" s="922"/>
      <c r="P88" s="922"/>
      <c r="Q88" s="922"/>
      <c r="R88" s="922"/>
      <c r="S88" s="922"/>
      <c r="T88" s="922"/>
      <c r="U88" s="405"/>
      <c r="V88" s="405"/>
      <c r="W88" s="405"/>
      <c r="X88" s="405"/>
      <c r="Y88" s="405"/>
      <c r="Z88" s="405"/>
      <c r="AA88" s="405"/>
      <c r="AB88" s="405"/>
      <c r="AC88" s="405"/>
      <c r="AD88" s="405"/>
      <c r="AE88" s="405"/>
      <c r="AF88" s="405"/>
      <c r="AG88" s="922"/>
      <c r="AH88" s="922"/>
      <c r="AI88" s="420"/>
      <c r="AJ88" s="420"/>
      <c r="AK88" s="420"/>
      <c r="AL88" s="420"/>
      <c r="AM88" s="420"/>
      <c r="AN88" s="420"/>
      <c r="AO88" s="420"/>
      <c r="AP88" s="420"/>
      <c r="AQ88" s="420"/>
      <c r="AR88" s="420"/>
      <c r="AS88" s="420"/>
      <c r="AT88" s="420"/>
      <c r="AU88" s="420"/>
      <c r="AV88" s="420"/>
      <c r="AW88" s="420"/>
      <c r="AX88" s="420"/>
      <c r="AY88" s="420"/>
      <c r="AZ88" s="420"/>
      <c r="BA88" s="420"/>
      <c r="BB88" s="420"/>
      <c r="BC88" s="420"/>
      <c r="BD88" s="420"/>
      <c r="BE88" s="420"/>
      <c r="BF88" s="420"/>
      <c r="BG88" s="420"/>
    </row>
    <row r="89" spans="3:59" s="923" customFormat="1" ht="11.25" x14ac:dyDescent="0.15">
      <c r="C89" s="922"/>
      <c r="D89" s="922"/>
      <c r="E89" s="922"/>
      <c r="F89" s="922"/>
      <c r="G89" s="922"/>
      <c r="H89" s="922"/>
      <c r="I89" s="922"/>
      <c r="J89" s="922"/>
      <c r="K89" s="922"/>
      <c r="L89" s="922"/>
      <c r="M89" s="922"/>
      <c r="N89" s="922"/>
      <c r="O89" s="922"/>
      <c r="P89" s="922"/>
      <c r="Q89" s="922"/>
      <c r="R89" s="922"/>
      <c r="S89" s="922"/>
      <c r="T89" s="922"/>
      <c r="U89" s="405"/>
      <c r="V89" s="405"/>
      <c r="W89" s="405"/>
      <c r="X89" s="405"/>
      <c r="Y89" s="405"/>
      <c r="Z89" s="405"/>
      <c r="AA89" s="405"/>
      <c r="AB89" s="405"/>
      <c r="AC89" s="405"/>
      <c r="AD89" s="405"/>
      <c r="AE89" s="405"/>
      <c r="AF89" s="405"/>
      <c r="AG89" s="922"/>
      <c r="AH89" s="922"/>
      <c r="AI89" s="420"/>
      <c r="AJ89" s="420"/>
      <c r="AK89" s="420"/>
      <c r="AL89" s="420"/>
      <c r="AM89" s="420"/>
      <c r="AN89" s="420"/>
      <c r="AO89" s="420"/>
      <c r="AP89" s="420"/>
      <c r="AQ89" s="420"/>
      <c r="AR89" s="420"/>
      <c r="AS89" s="420"/>
      <c r="AT89" s="420"/>
      <c r="AU89" s="420"/>
      <c r="AV89" s="420"/>
      <c r="AW89" s="420"/>
      <c r="AX89" s="420"/>
      <c r="AY89" s="420"/>
      <c r="AZ89" s="420"/>
      <c r="BA89" s="420"/>
      <c r="BB89" s="420"/>
      <c r="BC89" s="420"/>
      <c r="BD89" s="420"/>
      <c r="BE89" s="420"/>
      <c r="BF89" s="420"/>
      <c r="BG89" s="420"/>
    </row>
    <row r="90" spans="3:59" s="923" customFormat="1" ht="11.25" x14ac:dyDescent="0.15">
      <c r="C90" s="922"/>
      <c r="D90" s="922"/>
      <c r="E90" s="922"/>
      <c r="F90" s="922"/>
      <c r="G90" s="922"/>
      <c r="H90" s="922"/>
      <c r="I90" s="922"/>
      <c r="J90" s="922"/>
      <c r="K90" s="922"/>
      <c r="L90" s="922"/>
      <c r="M90" s="922"/>
      <c r="N90" s="922"/>
      <c r="O90" s="922"/>
      <c r="P90" s="922"/>
      <c r="Q90" s="922"/>
      <c r="R90" s="922"/>
      <c r="S90" s="922"/>
      <c r="T90" s="922"/>
      <c r="U90" s="405"/>
      <c r="V90" s="405"/>
      <c r="W90" s="405"/>
      <c r="X90" s="405"/>
      <c r="Y90" s="405"/>
      <c r="Z90" s="405"/>
      <c r="AA90" s="405"/>
      <c r="AB90" s="405"/>
      <c r="AC90" s="405"/>
      <c r="AD90" s="405"/>
      <c r="AE90" s="405"/>
      <c r="AF90" s="405"/>
      <c r="AG90" s="922"/>
      <c r="AH90" s="922"/>
      <c r="AI90" s="420"/>
      <c r="AJ90" s="420"/>
      <c r="AK90" s="420"/>
      <c r="AL90" s="420"/>
      <c r="AM90" s="420"/>
      <c r="AN90" s="420"/>
      <c r="AO90" s="420"/>
      <c r="AP90" s="420"/>
      <c r="AQ90" s="420"/>
      <c r="AR90" s="420"/>
      <c r="AS90" s="420"/>
      <c r="AT90" s="420"/>
      <c r="AU90" s="420"/>
      <c r="AV90" s="420"/>
      <c r="AW90" s="420"/>
      <c r="AX90" s="420"/>
      <c r="AY90" s="420"/>
      <c r="AZ90" s="420"/>
      <c r="BA90" s="420"/>
      <c r="BB90" s="420"/>
      <c r="BC90" s="420"/>
      <c r="BD90" s="420"/>
      <c r="BE90" s="420"/>
      <c r="BF90" s="420"/>
      <c r="BG90" s="420"/>
    </row>
    <row r="91" spans="3:59" s="923" customFormat="1" ht="11.25" x14ac:dyDescent="0.15">
      <c r="C91" s="922"/>
      <c r="D91" s="922"/>
      <c r="E91" s="922"/>
      <c r="F91" s="922"/>
      <c r="G91" s="922"/>
      <c r="H91" s="922"/>
      <c r="I91" s="922"/>
      <c r="J91" s="922"/>
      <c r="K91" s="922"/>
      <c r="L91" s="922"/>
      <c r="M91" s="922"/>
      <c r="N91" s="922"/>
      <c r="O91" s="922"/>
      <c r="P91" s="922"/>
      <c r="Q91" s="922"/>
      <c r="R91" s="922"/>
      <c r="S91" s="922"/>
      <c r="T91" s="922"/>
      <c r="U91" s="405"/>
      <c r="V91" s="405"/>
      <c r="W91" s="405"/>
      <c r="X91" s="405"/>
      <c r="Y91" s="405"/>
      <c r="Z91" s="405"/>
      <c r="AA91" s="405"/>
      <c r="AB91" s="405"/>
      <c r="AC91" s="405"/>
      <c r="AD91" s="405"/>
      <c r="AE91" s="405"/>
      <c r="AF91" s="405"/>
      <c r="AG91" s="922"/>
      <c r="AH91" s="922"/>
      <c r="AI91" s="420"/>
      <c r="AJ91" s="420"/>
      <c r="AK91" s="420"/>
      <c r="AL91" s="420"/>
      <c r="AM91" s="420"/>
      <c r="AN91" s="420"/>
      <c r="AO91" s="420"/>
      <c r="AP91" s="420"/>
      <c r="AQ91" s="420"/>
      <c r="AR91" s="420"/>
      <c r="AS91" s="420"/>
      <c r="AT91" s="420"/>
      <c r="AU91" s="420"/>
      <c r="AV91" s="420"/>
      <c r="AW91" s="420"/>
      <c r="AX91" s="420"/>
      <c r="AY91" s="420"/>
      <c r="AZ91" s="420"/>
      <c r="BA91" s="420"/>
      <c r="BB91" s="420"/>
      <c r="BC91" s="420"/>
      <c r="BD91" s="420"/>
      <c r="BE91" s="420"/>
      <c r="BF91" s="420"/>
      <c r="BG91" s="420"/>
    </row>
    <row r="92" spans="3:59" s="923" customFormat="1" ht="11.25" x14ac:dyDescent="0.15">
      <c r="C92" s="922"/>
      <c r="D92" s="922"/>
      <c r="E92" s="922"/>
      <c r="F92" s="922"/>
      <c r="G92" s="922"/>
      <c r="H92" s="922"/>
      <c r="I92" s="922"/>
      <c r="J92" s="922"/>
      <c r="K92" s="922"/>
      <c r="L92" s="922"/>
      <c r="M92" s="922"/>
      <c r="N92" s="922"/>
      <c r="O92" s="922"/>
      <c r="P92" s="922"/>
      <c r="Q92" s="922"/>
      <c r="R92" s="922"/>
      <c r="S92" s="922"/>
      <c r="T92" s="922"/>
      <c r="U92" s="405"/>
      <c r="V92" s="405"/>
      <c r="W92" s="405"/>
      <c r="X92" s="405"/>
      <c r="Y92" s="405"/>
      <c r="Z92" s="405"/>
      <c r="AA92" s="405"/>
      <c r="AB92" s="405"/>
      <c r="AC92" s="405"/>
      <c r="AD92" s="405"/>
      <c r="AE92" s="405"/>
      <c r="AF92" s="405"/>
      <c r="AG92" s="922"/>
      <c r="AH92" s="922"/>
      <c r="AI92" s="420"/>
      <c r="AJ92" s="420"/>
      <c r="AK92" s="420"/>
      <c r="AL92" s="420"/>
      <c r="AM92" s="420"/>
      <c r="AN92" s="420"/>
      <c r="AO92" s="420"/>
      <c r="AP92" s="420"/>
      <c r="AQ92" s="420"/>
      <c r="AR92" s="420"/>
      <c r="AS92" s="420"/>
      <c r="AT92" s="420"/>
      <c r="AU92" s="420"/>
      <c r="AV92" s="420"/>
      <c r="AW92" s="420"/>
      <c r="AX92" s="420"/>
      <c r="AY92" s="420"/>
      <c r="AZ92" s="420"/>
      <c r="BA92" s="420"/>
      <c r="BB92" s="420"/>
      <c r="BC92" s="420"/>
      <c r="BD92" s="420"/>
      <c r="BE92" s="420"/>
      <c r="BF92" s="420"/>
      <c r="BG92" s="420"/>
    </row>
    <row r="93" spans="3:59" s="923" customFormat="1" ht="11.25" x14ac:dyDescent="0.15">
      <c r="C93" s="922"/>
      <c r="D93" s="922"/>
      <c r="E93" s="922"/>
      <c r="F93" s="922"/>
      <c r="G93" s="922"/>
      <c r="H93" s="922"/>
      <c r="I93" s="922"/>
      <c r="J93" s="922"/>
      <c r="K93" s="922"/>
      <c r="L93" s="922"/>
      <c r="M93" s="922"/>
      <c r="N93" s="922"/>
      <c r="O93" s="922"/>
      <c r="P93" s="922"/>
      <c r="Q93" s="922"/>
      <c r="R93" s="922"/>
      <c r="S93" s="922"/>
      <c r="T93" s="922"/>
      <c r="U93" s="405"/>
      <c r="V93" s="405"/>
      <c r="W93" s="405"/>
      <c r="X93" s="405"/>
      <c r="Y93" s="405"/>
      <c r="Z93" s="405"/>
      <c r="AA93" s="405"/>
      <c r="AB93" s="405"/>
      <c r="AC93" s="405"/>
      <c r="AD93" s="405"/>
      <c r="AE93" s="405"/>
      <c r="AF93" s="405"/>
      <c r="AG93" s="922"/>
      <c r="AH93" s="922"/>
      <c r="AI93" s="420"/>
      <c r="AJ93" s="420"/>
      <c r="AK93" s="420"/>
      <c r="AL93" s="420"/>
      <c r="AM93" s="420"/>
      <c r="AN93" s="420"/>
      <c r="AO93" s="420"/>
      <c r="AP93" s="420"/>
      <c r="AQ93" s="420"/>
      <c r="AR93" s="420"/>
      <c r="AS93" s="420"/>
      <c r="AT93" s="420"/>
      <c r="AU93" s="420"/>
      <c r="AV93" s="420"/>
      <c r="AW93" s="420"/>
      <c r="AX93" s="420"/>
      <c r="AY93" s="420"/>
      <c r="AZ93" s="420"/>
      <c r="BA93" s="420"/>
      <c r="BB93" s="420"/>
      <c r="BC93" s="420"/>
      <c r="BD93" s="420"/>
      <c r="BE93" s="420"/>
      <c r="BF93" s="420"/>
      <c r="BG93" s="420"/>
    </row>
    <row r="94" spans="3:59" s="923" customFormat="1" ht="11.25" x14ac:dyDescent="0.15">
      <c r="C94" s="922"/>
      <c r="D94" s="922"/>
      <c r="E94" s="922"/>
      <c r="F94" s="922"/>
      <c r="G94" s="922"/>
      <c r="H94" s="922"/>
      <c r="I94" s="922"/>
      <c r="J94" s="922"/>
      <c r="K94" s="922"/>
      <c r="L94" s="922"/>
      <c r="M94" s="922"/>
      <c r="N94" s="922"/>
      <c r="O94" s="922"/>
      <c r="P94" s="922"/>
      <c r="Q94" s="922"/>
      <c r="R94" s="922"/>
      <c r="S94" s="922"/>
      <c r="T94" s="922"/>
      <c r="U94" s="405"/>
      <c r="V94" s="405"/>
      <c r="W94" s="405"/>
      <c r="X94" s="405"/>
      <c r="Y94" s="405"/>
      <c r="Z94" s="405"/>
      <c r="AA94" s="405"/>
      <c r="AB94" s="405"/>
      <c r="AC94" s="405"/>
      <c r="AD94" s="405"/>
      <c r="AE94" s="405"/>
      <c r="AF94" s="405"/>
      <c r="AG94" s="922"/>
      <c r="AH94" s="922"/>
      <c r="AI94" s="420"/>
      <c r="AJ94" s="420"/>
      <c r="AK94" s="420"/>
      <c r="AL94" s="420"/>
      <c r="AM94" s="420"/>
      <c r="AN94" s="420"/>
      <c r="AO94" s="420"/>
      <c r="AP94" s="420"/>
      <c r="AQ94" s="420"/>
      <c r="AR94" s="420"/>
      <c r="AS94" s="420"/>
      <c r="AT94" s="420"/>
      <c r="AU94" s="420"/>
      <c r="AV94" s="420"/>
      <c r="AW94" s="420"/>
      <c r="AX94" s="420"/>
      <c r="AY94" s="420"/>
      <c r="AZ94" s="420"/>
      <c r="BA94" s="420"/>
      <c r="BB94" s="420"/>
      <c r="BC94" s="420"/>
      <c r="BD94" s="420"/>
      <c r="BE94" s="420"/>
      <c r="BF94" s="420"/>
      <c r="BG94" s="420"/>
    </row>
    <row r="95" spans="3:59" s="923" customFormat="1" ht="11.25" x14ac:dyDescent="0.15">
      <c r="C95" s="922"/>
      <c r="D95" s="922"/>
      <c r="E95" s="922"/>
      <c r="F95" s="922"/>
      <c r="G95" s="922"/>
      <c r="H95" s="922"/>
      <c r="I95" s="922"/>
      <c r="J95" s="922"/>
      <c r="K95" s="922"/>
      <c r="L95" s="922"/>
      <c r="M95" s="922"/>
      <c r="N95" s="922"/>
      <c r="O95" s="922"/>
      <c r="P95" s="922"/>
      <c r="Q95" s="922"/>
      <c r="R95" s="922"/>
      <c r="S95" s="922"/>
      <c r="T95" s="922"/>
      <c r="U95" s="405"/>
      <c r="V95" s="405"/>
      <c r="W95" s="405"/>
      <c r="X95" s="405"/>
      <c r="Y95" s="405"/>
      <c r="Z95" s="405"/>
      <c r="AA95" s="405"/>
      <c r="AB95" s="405"/>
      <c r="AC95" s="405"/>
      <c r="AD95" s="405"/>
      <c r="AE95" s="405"/>
      <c r="AF95" s="405"/>
      <c r="AG95" s="922"/>
      <c r="AH95" s="922"/>
      <c r="AI95" s="420"/>
      <c r="AJ95" s="420"/>
      <c r="AK95" s="420"/>
      <c r="AL95" s="420"/>
      <c r="AM95" s="420"/>
      <c r="AN95" s="420"/>
      <c r="AO95" s="420"/>
      <c r="AP95" s="420"/>
      <c r="AQ95" s="420"/>
      <c r="AR95" s="420"/>
      <c r="AS95" s="420"/>
      <c r="AT95" s="420"/>
      <c r="AU95" s="420"/>
      <c r="AV95" s="420"/>
      <c r="AW95" s="420"/>
      <c r="AX95" s="420"/>
      <c r="AY95" s="420"/>
      <c r="AZ95" s="420"/>
      <c r="BA95" s="420"/>
      <c r="BB95" s="420"/>
      <c r="BC95" s="420"/>
      <c r="BD95" s="420"/>
      <c r="BE95" s="420"/>
      <c r="BF95" s="420"/>
      <c r="BG95" s="420"/>
    </row>
    <row r="96" spans="3:59" s="923" customFormat="1" ht="11.25" x14ac:dyDescent="0.15">
      <c r="C96" s="922"/>
      <c r="D96" s="922"/>
      <c r="E96" s="922"/>
      <c r="F96" s="922"/>
      <c r="G96" s="922"/>
      <c r="H96" s="922"/>
      <c r="I96" s="922"/>
      <c r="J96" s="922"/>
      <c r="K96" s="922"/>
      <c r="L96" s="922"/>
      <c r="M96" s="922"/>
      <c r="N96" s="922"/>
      <c r="O96" s="922"/>
      <c r="P96" s="922"/>
      <c r="Q96" s="922"/>
      <c r="R96" s="922"/>
      <c r="S96" s="922"/>
      <c r="T96" s="922"/>
      <c r="U96" s="405"/>
      <c r="V96" s="405"/>
      <c r="W96" s="405"/>
      <c r="X96" s="405"/>
      <c r="Y96" s="405"/>
      <c r="Z96" s="405"/>
      <c r="AA96" s="405"/>
      <c r="AB96" s="405"/>
      <c r="AC96" s="405"/>
      <c r="AD96" s="405"/>
      <c r="AE96" s="405"/>
      <c r="AF96" s="405"/>
      <c r="AG96" s="922"/>
      <c r="AH96" s="922"/>
      <c r="AI96" s="420"/>
      <c r="AJ96" s="420"/>
      <c r="AK96" s="420"/>
      <c r="AL96" s="420"/>
      <c r="AM96" s="420"/>
      <c r="AN96" s="420"/>
      <c r="AO96" s="420"/>
      <c r="AP96" s="420"/>
      <c r="AQ96" s="420"/>
      <c r="AR96" s="420"/>
      <c r="AS96" s="420"/>
      <c r="AT96" s="420"/>
      <c r="AU96" s="420"/>
      <c r="AV96" s="420"/>
      <c r="AW96" s="420"/>
      <c r="AX96" s="420"/>
      <c r="AY96" s="420"/>
      <c r="AZ96" s="420"/>
      <c r="BA96" s="420"/>
      <c r="BB96" s="420"/>
      <c r="BC96" s="420"/>
      <c r="BD96" s="420"/>
      <c r="BE96" s="420"/>
      <c r="BF96" s="420"/>
      <c r="BG96" s="420"/>
    </row>
    <row r="97" spans="3:59" s="923" customFormat="1" ht="11.25" x14ac:dyDescent="0.15">
      <c r="C97" s="922"/>
      <c r="D97" s="922"/>
      <c r="E97" s="922"/>
      <c r="F97" s="922"/>
      <c r="G97" s="922"/>
      <c r="H97" s="922"/>
      <c r="I97" s="922"/>
      <c r="J97" s="922"/>
      <c r="K97" s="922"/>
      <c r="L97" s="922"/>
      <c r="M97" s="922"/>
      <c r="N97" s="922"/>
      <c r="O97" s="922"/>
      <c r="P97" s="922"/>
      <c r="Q97" s="922"/>
      <c r="R97" s="922"/>
      <c r="S97" s="922"/>
      <c r="T97" s="922"/>
      <c r="U97" s="405"/>
      <c r="V97" s="405"/>
      <c r="W97" s="405"/>
      <c r="X97" s="405"/>
      <c r="Y97" s="405"/>
      <c r="Z97" s="405"/>
      <c r="AA97" s="405"/>
      <c r="AB97" s="405"/>
      <c r="AC97" s="405"/>
      <c r="AD97" s="405"/>
      <c r="AE97" s="405"/>
      <c r="AF97" s="405"/>
      <c r="AG97" s="922"/>
      <c r="AH97" s="922"/>
      <c r="AI97" s="420"/>
      <c r="AJ97" s="420"/>
      <c r="AK97" s="420"/>
      <c r="AL97" s="420"/>
      <c r="AM97" s="420"/>
      <c r="AN97" s="420"/>
      <c r="AO97" s="420"/>
      <c r="AP97" s="420"/>
      <c r="AQ97" s="420"/>
      <c r="AR97" s="420"/>
      <c r="AS97" s="420"/>
      <c r="AT97" s="420"/>
      <c r="AU97" s="420"/>
      <c r="AV97" s="420"/>
      <c r="AW97" s="420"/>
      <c r="AX97" s="420"/>
      <c r="AY97" s="420"/>
      <c r="AZ97" s="420"/>
      <c r="BA97" s="420"/>
      <c r="BB97" s="420"/>
      <c r="BC97" s="420"/>
      <c r="BD97" s="420"/>
      <c r="BE97" s="420"/>
      <c r="BF97" s="420"/>
      <c r="BG97" s="420"/>
    </row>
    <row r="98" spans="3:59" s="923" customFormat="1" ht="11.25" x14ac:dyDescent="0.15">
      <c r="C98" s="922"/>
      <c r="D98" s="922"/>
      <c r="E98" s="922"/>
      <c r="F98" s="922"/>
      <c r="G98" s="922"/>
      <c r="H98" s="922"/>
      <c r="I98" s="922"/>
      <c r="J98" s="922"/>
      <c r="K98" s="922"/>
      <c r="L98" s="922"/>
      <c r="M98" s="922"/>
      <c r="N98" s="922"/>
      <c r="O98" s="922"/>
      <c r="P98" s="922"/>
      <c r="Q98" s="922"/>
      <c r="R98" s="922"/>
      <c r="S98" s="922"/>
      <c r="T98" s="922"/>
      <c r="U98" s="405"/>
      <c r="V98" s="405"/>
      <c r="W98" s="405"/>
      <c r="X98" s="405"/>
      <c r="Y98" s="405"/>
      <c r="Z98" s="405"/>
      <c r="AA98" s="405"/>
      <c r="AB98" s="405"/>
      <c r="AC98" s="405"/>
      <c r="AD98" s="405"/>
      <c r="AE98" s="405"/>
      <c r="AF98" s="405"/>
      <c r="AG98" s="922"/>
      <c r="AH98" s="922"/>
      <c r="AI98" s="420"/>
      <c r="AJ98" s="420"/>
      <c r="AK98" s="420"/>
      <c r="AL98" s="420"/>
      <c r="AM98" s="420"/>
      <c r="AN98" s="420"/>
      <c r="AO98" s="420"/>
      <c r="AP98" s="420"/>
      <c r="AQ98" s="420"/>
      <c r="AR98" s="420"/>
      <c r="AS98" s="420"/>
      <c r="AT98" s="420"/>
      <c r="AU98" s="420"/>
      <c r="AV98" s="420"/>
      <c r="AW98" s="420"/>
      <c r="AX98" s="420"/>
      <c r="AY98" s="420"/>
      <c r="AZ98" s="420"/>
      <c r="BA98" s="420"/>
      <c r="BB98" s="420"/>
      <c r="BC98" s="420"/>
      <c r="BD98" s="420"/>
      <c r="BE98" s="420"/>
      <c r="BF98" s="420"/>
      <c r="BG98" s="420"/>
    </row>
    <row r="99" spans="3:59" s="923" customFormat="1" ht="11.25" x14ac:dyDescent="0.15">
      <c r="C99" s="922"/>
      <c r="D99" s="922"/>
      <c r="E99" s="922"/>
      <c r="F99" s="922"/>
      <c r="G99" s="922"/>
      <c r="H99" s="922"/>
      <c r="I99" s="922"/>
      <c r="J99" s="922"/>
      <c r="K99" s="922"/>
      <c r="L99" s="922"/>
      <c r="M99" s="922"/>
      <c r="N99" s="922"/>
      <c r="O99" s="922"/>
      <c r="P99" s="922"/>
      <c r="Q99" s="922"/>
      <c r="R99" s="922"/>
      <c r="S99" s="922"/>
      <c r="T99" s="922"/>
      <c r="U99" s="405"/>
      <c r="V99" s="405"/>
      <c r="W99" s="405"/>
      <c r="X99" s="405"/>
      <c r="Y99" s="405"/>
      <c r="Z99" s="405"/>
      <c r="AA99" s="405"/>
      <c r="AB99" s="405"/>
      <c r="AC99" s="405"/>
      <c r="AD99" s="405"/>
      <c r="AE99" s="405"/>
      <c r="AF99" s="405"/>
      <c r="AG99" s="922"/>
      <c r="AH99" s="922"/>
      <c r="AI99" s="420"/>
      <c r="AJ99" s="420"/>
      <c r="AK99" s="420"/>
      <c r="AL99" s="420"/>
      <c r="AM99" s="420"/>
      <c r="AN99" s="420"/>
      <c r="AO99" s="420"/>
      <c r="AP99" s="420"/>
      <c r="AQ99" s="420"/>
      <c r="AR99" s="420"/>
      <c r="AS99" s="420"/>
      <c r="AT99" s="420"/>
      <c r="AU99" s="420"/>
      <c r="AV99" s="420"/>
      <c r="AW99" s="420"/>
      <c r="AX99" s="420"/>
      <c r="AY99" s="420"/>
      <c r="AZ99" s="420"/>
      <c r="BA99" s="420"/>
      <c r="BB99" s="420"/>
      <c r="BC99" s="420"/>
      <c r="BD99" s="420"/>
      <c r="BE99" s="420"/>
      <c r="BF99" s="420"/>
      <c r="BG99" s="420"/>
    </row>
    <row r="100" spans="3:59" s="923" customFormat="1" ht="11.25" x14ac:dyDescent="0.15">
      <c r="C100" s="922"/>
      <c r="D100" s="922"/>
      <c r="E100" s="922"/>
      <c r="F100" s="922"/>
      <c r="G100" s="922"/>
      <c r="H100" s="922"/>
      <c r="I100" s="922"/>
      <c r="J100" s="922"/>
      <c r="K100" s="922"/>
      <c r="L100" s="922"/>
      <c r="M100" s="922"/>
      <c r="N100" s="922"/>
      <c r="O100" s="922"/>
      <c r="P100" s="922"/>
      <c r="Q100" s="922"/>
      <c r="R100" s="922"/>
      <c r="S100" s="922"/>
      <c r="T100" s="922"/>
      <c r="U100" s="405"/>
      <c r="V100" s="405"/>
      <c r="W100" s="405"/>
      <c r="X100" s="405"/>
      <c r="Y100" s="405"/>
      <c r="Z100" s="405"/>
      <c r="AA100" s="405"/>
      <c r="AB100" s="405"/>
      <c r="AC100" s="405"/>
      <c r="AD100" s="405"/>
      <c r="AE100" s="405"/>
      <c r="AF100" s="405"/>
      <c r="AG100" s="922"/>
      <c r="AH100" s="922"/>
      <c r="AI100" s="420"/>
      <c r="AJ100" s="420"/>
      <c r="AK100" s="420"/>
      <c r="AL100" s="420"/>
      <c r="AM100" s="420"/>
      <c r="AN100" s="420"/>
      <c r="AO100" s="420"/>
      <c r="AP100" s="420"/>
      <c r="AQ100" s="420"/>
      <c r="AR100" s="420"/>
      <c r="AS100" s="420"/>
      <c r="AT100" s="420"/>
      <c r="AU100" s="420"/>
      <c r="AV100" s="420"/>
      <c r="AW100" s="420"/>
      <c r="AX100" s="420"/>
      <c r="AY100" s="420"/>
      <c r="AZ100" s="420"/>
      <c r="BA100" s="420"/>
      <c r="BB100" s="420"/>
      <c r="BC100" s="420"/>
      <c r="BD100" s="420"/>
      <c r="BE100" s="420"/>
      <c r="BF100" s="420"/>
      <c r="BG100" s="420"/>
    </row>
    <row r="101" spans="3:59" s="923" customFormat="1" ht="11.25" x14ac:dyDescent="0.15">
      <c r="C101" s="922"/>
      <c r="D101" s="922"/>
      <c r="E101" s="922"/>
      <c r="F101" s="922"/>
      <c r="G101" s="922"/>
      <c r="H101" s="922"/>
      <c r="I101" s="922"/>
      <c r="J101" s="922"/>
      <c r="K101" s="922"/>
      <c r="L101" s="922"/>
      <c r="M101" s="922"/>
      <c r="N101" s="922"/>
      <c r="O101" s="922"/>
      <c r="P101" s="922"/>
      <c r="Q101" s="922"/>
      <c r="R101" s="922"/>
      <c r="S101" s="922"/>
      <c r="T101" s="922"/>
      <c r="U101" s="405"/>
      <c r="V101" s="405"/>
      <c r="W101" s="405"/>
      <c r="X101" s="405"/>
      <c r="Y101" s="405"/>
      <c r="Z101" s="405"/>
      <c r="AA101" s="405"/>
      <c r="AB101" s="405"/>
      <c r="AC101" s="405"/>
      <c r="AD101" s="405"/>
      <c r="AE101" s="405"/>
      <c r="AF101" s="405"/>
      <c r="AG101" s="922"/>
      <c r="AH101" s="922"/>
      <c r="AI101" s="420"/>
      <c r="AJ101" s="420"/>
      <c r="AK101" s="420"/>
      <c r="AL101" s="420"/>
      <c r="AM101" s="420"/>
      <c r="AN101" s="420"/>
      <c r="AO101" s="420"/>
      <c r="AP101" s="420"/>
      <c r="AQ101" s="420"/>
      <c r="AR101" s="420"/>
      <c r="AS101" s="420"/>
      <c r="AT101" s="420"/>
      <c r="AU101" s="420"/>
      <c r="AV101" s="420"/>
      <c r="AW101" s="420"/>
      <c r="AX101" s="420"/>
      <c r="AY101" s="420"/>
      <c r="AZ101" s="420"/>
      <c r="BA101" s="420"/>
      <c r="BB101" s="420"/>
      <c r="BC101" s="420"/>
      <c r="BD101" s="420"/>
      <c r="BE101" s="420"/>
      <c r="BF101" s="420"/>
      <c r="BG101" s="420"/>
    </row>
    <row r="102" spans="3:59" s="923" customFormat="1" ht="11.25" x14ac:dyDescent="0.15">
      <c r="C102" s="922"/>
      <c r="D102" s="922"/>
      <c r="E102" s="922"/>
      <c r="F102" s="922"/>
      <c r="G102" s="922"/>
      <c r="H102" s="922"/>
      <c r="I102" s="922"/>
      <c r="J102" s="922"/>
      <c r="K102" s="922"/>
      <c r="L102" s="922"/>
      <c r="M102" s="922"/>
      <c r="N102" s="922"/>
      <c r="O102" s="922"/>
      <c r="P102" s="922"/>
      <c r="Q102" s="922"/>
      <c r="R102" s="922"/>
      <c r="S102" s="922"/>
      <c r="T102" s="922"/>
      <c r="U102" s="405"/>
      <c r="V102" s="405"/>
      <c r="W102" s="405"/>
      <c r="X102" s="405"/>
      <c r="Y102" s="405"/>
      <c r="Z102" s="405"/>
      <c r="AA102" s="405"/>
      <c r="AB102" s="405"/>
      <c r="AC102" s="405"/>
      <c r="AD102" s="405"/>
      <c r="AE102" s="405"/>
      <c r="AF102" s="405"/>
      <c r="AG102" s="922"/>
      <c r="AH102" s="922"/>
      <c r="AI102" s="420"/>
      <c r="AJ102" s="420"/>
      <c r="AK102" s="420"/>
      <c r="AL102" s="420"/>
      <c r="AM102" s="420"/>
      <c r="AN102" s="420"/>
      <c r="AO102" s="420"/>
      <c r="AP102" s="420"/>
      <c r="AQ102" s="420"/>
      <c r="AR102" s="420"/>
      <c r="AS102" s="420"/>
      <c r="AT102" s="420"/>
      <c r="AU102" s="420"/>
      <c r="AV102" s="420"/>
      <c r="AW102" s="420"/>
      <c r="AX102" s="420"/>
      <c r="AY102" s="420"/>
      <c r="AZ102" s="420"/>
      <c r="BA102" s="420"/>
      <c r="BB102" s="420"/>
      <c r="BC102" s="420"/>
      <c r="BD102" s="420"/>
      <c r="BE102" s="420"/>
      <c r="BF102" s="420"/>
      <c r="BG102" s="420"/>
    </row>
    <row r="103" spans="3:59" s="923" customFormat="1" ht="11.25" x14ac:dyDescent="0.15">
      <c r="C103" s="922"/>
      <c r="D103" s="922"/>
      <c r="E103" s="922"/>
      <c r="F103" s="922"/>
      <c r="G103" s="922"/>
      <c r="H103" s="922"/>
      <c r="I103" s="922"/>
      <c r="J103" s="922"/>
      <c r="K103" s="922"/>
      <c r="L103" s="922"/>
      <c r="M103" s="922"/>
      <c r="N103" s="922"/>
      <c r="O103" s="922"/>
      <c r="P103" s="922"/>
      <c r="Q103" s="922"/>
      <c r="R103" s="922"/>
      <c r="S103" s="922"/>
      <c r="T103" s="922"/>
      <c r="U103" s="405"/>
      <c r="V103" s="405"/>
      <c r="W103" s="405"/>
      <c r="X103" s="405"/>
      <c r="Y103" s="405"/>
      <c r="Z103" s="405"/>
      <c r="AA103" s="405"/>
      <c r="AB103" s="405"/>
      <c r="AC103" s="405"/>
      <c r="AD103" s="405"/>
      <c r="AE103" s="405"/>
      <c r="AF103" s="405"/>
      <c r="AG103" s="922"/>
      <c r="AH103" s="922"/>
      <c r="AI103" s="420"/>
      <c r="AJ103" s="420"/>
      <c r="AK103" s="420"/>
      <c r="AL103" s="420"/>
      <c r="AM103" s="420"/>
      <c r="AN103" s="420"/>
      <c r="AO103" s="420"/>
      <c r="AP103" s="420"/>
      <c r="AQ103" s="420"/>
      <c r="AR103" s="420"/>
      <c r="AS103" s="420"/>
      <c r="AT103" s="420"/>
      <c r="AU103" s="420"/>
      <c r="AV103" s="420"/>
      <c r="AW103" s="420"/>
      <c r="AX103" s="420"/>
      <c r="AY103" s="420"/>
      <c r="AZ103" s="420"/>
      <c r="BA103" s="420"/>
      <c r="BB103" s="420"/>
      <c r="BC103" s="420"/>
      <c r="BD103" s="420"/>
      <c r="BE103" s="420"/>
      <c r="BF103" s="420"/>
      <c r="BG103" s="420"/>
    </row>
    <row r="104" spans="3:59" s="923" customFormat="1" ht="11.25" x14ac:dyDescent="0.15">
      <c r="C104" s="922"/>
      <c r="D104" s="922"/>
      <c r="E104" s="922"/>
      <c r="F104" s="922"/>
      <c r="G104" s="922"/>
      <c r="H104" s="922"/>
      <c r="I104" s="922"/>
      <c r="J104" s="922"/>
      <c r="K104" s="922"/>
      <c r="L104" s="922"/>
      <c r="M104" s="922"/>
      <c r="N104" s="922"/>
      <c r="O104" s="922"/>
      <c r="P104" s="922"/>
      <c r="Q104" s="922"/>
      <c r="R104" s="922"/>
      <c r="S104" s="922"/>
      <c r="T104" s="922"/>
      <c r="U104" s="405"/>
      <c r="V104" s="405"/>
      <c r="W104" s="405"/>
      <c r="X104" s="405"/>
      <c r="Y104" s="405"/>
      <c r="Z104" s="405"/>
      <c r="AA104" s="405"/>
      <c r="AB104" s="405"/>
      <c r="AC104" s="405"/>
      <c r="AD104" s="405"/>
      <c r="AE104" s="405"/>
      <c r="AF104" s="405"/>
      <c r="AG104" s="922"/>
      <c r="AH104" s="922"/>
      <c r="AI104" s="420"/>
      <c r="AJ104" s="420"/>
      <c r="AK104" s="420"/>
      <c r="AL104" s="420"/>
      <c r="AM104" s="420"/>
      <c r="AN104" s="420"/>
      <c r="AO104" s="420"/>
      <c r="AP104" s="420"/>
      <c r="AQ104" s="420"/>
      <c r="AR104" s="420"/>
      <c r="AS104" s="420"/>
      <c r="AT104" s="420"/>
      <c r="AU104" s="420"/>
      <c r="AV104" s="420"/>
      <c r="AW104" s="420"/>
      <c r="AX104" s="420"/>
      <c r="AY104" s="420"/>
      <c r="AZ104" s="420"/>
      <c r="BA104" s="420"/>
      <c r="BB104" s="420"/>
      <c r="BC104" s="420"/>
      <c r="BD104" s="420"/>
      <c r="BE104" s="420"/>
      <c r="BF104" s="420"/>
      <c r="BG104" s="420"/>
    </row>
    <row r="105" spans="3:59" s="923" customFormat="1" ht="11.25" x14ac:dyDescent="0.15">
      <c r="C105" s="922"/>
      <c r="D105" s="922"/>
      <c r="E105" s="922"/>
      <c r="F105" s="922"/>
      <c r="G105" s="922"/>
      <c r="H105" s="922"/>
      <c r="I105" s="922"/>
      <c r="J105" s="922"/>
      <c r="K105" s="922"/>
      <c r="L105" s="922"/>
      <c r="M105" s="922"/>
      <c r="N105" s="922"/>
      <c r="O105" s="922"/>
      <c r="P105" s="922"/>
      <c r="Q105" s="922"/>
      <c r="R105" s="922"/>
      <c r="S105" s="922"/>
      <c r="T105" s="922"/>
      <c r="U105" s="405"/>
      <c r="V105" s="405"/>
      <c r="W105" s="405"/>
      <c r="X105" s="405"/>
      <c r="Y105" s="405"/>
      <c r="Z105" s="405"/>
      <c r="AA105" s="405"/>
      <c r="AB105" s="405"/>
      <c r="AC105" s="405"/>
      <c r="AD105" s="405"/>
      <c r="AE105" s="405"/>
      <c r="AF105" s="405"/>
      <c r="AG105" s="922"/>
      <c r="AH105" s="922"/>
      <c r="AI105" s="420"/>
      <c r="AJ105" s="420"/>
      <c r="AK105" s="420"/>
      <c r="AL105" s="420"/>
      <c r="AM105" s="420"/>
      <c r="AN105" s="420"/>
      <c r="AO105" s="420"/>
      <c r="AP105" s="420"/>
      <c r="AQ105" s="420"/>
      <c r="AR105" s="420"/>
      <c r="AS105" s="420"/>
      <c r="AT105" s="420"/>
      <c r="AU105" s="420"/>
      <c r="AV105" s="420"/>
      <c r="AW105" s="420"/>
      <c r="AX105" s="420"/>
      <c r="AY105" s="420"/>
      <c r="AZ105" s="420"/>
      <c r="BA105" s="420"/>
      <c r="BB105" s="420"/>
      <c r="BC105" s="420"/>
      <c r="BD105" s="420"/>
      <c r="BE105" s="420"/>
      <c r="BF105" s="420"/>
      <c r="BG105" s="420"/>
    </row>
    <row r="106" spans="3:59" s="923" customFormat="1" ht="11.25" x14ac:dyDescent="0.15">
      <c r="C106" s="922"/>
      <c r="D106" s="922"/>
      <c r="E106" s="922"/>
      <c r="F106" s="922"/>
      <c r="G106" s="922"/>
      <c r="H106" s="922"/>
      <c r="I106" s="922"/>
      <c r="J106" s="922"/>
      <c r="K106" s="922"/>
      <c r="L106" s="922"/>
      <c r="M106" s="922"/>
      <c r="N106" s="922"/>
      <c r="O106" s="922"/>
      <c r="P106" s="922"/>
      <c r="Q106" s="922"/>
      <c r="R106" s="922"/>
      <c r="S106" s="922"/>
      <c r="T106" s="922"/>
      <c r="U106" s="405"/>
      <c r="V106" s="405"/>
      <c r="W106" s="405"/>
      <c r="X106" s="405"/>
      <c r="Y106" s="405"/>
      <c r="Z106" s="405"/>
      <c r="AA106" s="405"/>
      <c r="AB106" s="405"/>
      <c r="AC106" s="405"/>
      <c r="AD106" s="405"/>
      <c r="AE106" s="405"/>
      <c r="AF106" s="405"/>
      <c r="AG106" s="922"/>
      <c r="AH106" s="922"/>
      <c r="AI106" s="420"/>
      <c r="AJ106" s="420"/>
      <c r="AK106" s="420"/>
      <c r="AL106" s="420"/>
      <c r="AM106" s="420"/>
      <c r="AN106" s="420"/>
      <c r="AO106" s="420"/>
      <c r="AP106" s="420"/>
      <c r="AQ106" s="420"/>
      <c r="AR106" s="420"/>
      <c r="AS106" s="420"/>
      <c r="AT106" s="420"/>
      <c r="AU106" s="420"/>
      <c r="AV106" s="420"/>
      <c r="AW106" s="420"/>
      <c r="AX106" s="420"/>
      <c r="AY106" s="420"/>
      <c r="AZ106" s="420"/>
      <c r="BA106" s="420"/>
      <c r="BB106" s="420"/>
      <c r="BC106" s="420"/>
      <c r="BD106" s="420"/>
      <c r="BE106" s="420"/>
      <c r="BF106" s="420"/>
      <c r="BG106" s="420"/>
    </row>
    <row r="107" spans="3:59" s="923" customFormat="1" ht="11.25" x14ac:dyDescent="0.15">
      <c r="C107" s="922"/>
      <c r="D107" s="922"/>
      <c r="E107" s="922"/>
      <c r="F107" s="922"/>
      <c r="G107" s="922"/>
      <c r="H107" s="922"/>
      <c r="I107" s="922"/>
      <c r="J107" s="922"/>
      <c r="K107" s="922"/>
      <c r="L107" s="922"/>
      <c r="M107" s="922"/>
      <c r="N107" s="922"/>
      <c r="O107" s="922"/>
      <c r="P107" s="922"/>
      <c r="Q107" s="922"/>
      <c r="R107" s="922"/>
      <c r="S107" s="922"/>
      <c r="T107" s="922"/>
      <c r="U107" s="405"/>
      <c r="V107" s="405"/>
      <c r="W107" s="405"/>
      <c r="X107" s="405"/>
      <c r="Y107" s="405"/>
      <c r="Z107" s="405"/>
      <c r="AA107" s="405"/>
      <c r="AB107" s="405"/>
      <c r="AC107" s="405"/>
      <c r="AD107" s="405"/>
      <c r="AE107" s="405"/>
      <c r="AF107" s="405"/>
      <c r="AG107" s="922"/>
      <c r="AH107" s="922"/>
      <c r="AI107" s="420"/>
      <c r="AJ107" s="420"/>
      <c r="AK107" s="420"/>
      <c r="AL107" s="420"/>
      <c r="AM107" s="420"/>
      <c r="AN107" s="420"/>
      <c r="AO107" s="420"/>
      <c r="AP107" s="420"/>
      <c r="AQ107" s="420"/>
      <c r="AR107" s="420"/>
      <c r="AS107" s="420"/>
      <c r="AT107" s="420"/>
      <c r="AU107" s="420"/>
      <c r="AV107" s="420"/>
      <c r="AW107" s="420"/>
      <c r="AX107" s="420"/>
      <c r="AY107" s="420"/>
      <c r="AZ107" s="420"/>
      <c r="BA107" s="420"/>
      <c r="BB107" s="420"/>
      <c r="BC107" s="420"/>
      <c r="BD107" s="420"/>
      <c r="BE107" s="420"/>
      <c r="BF107" s="420"/>
      <c r="BG107" s="420"/>
    </row>
    <row r="108" spans="3:59" s="923" customFormat="1" ht="11.25" x14ac:dyDescent="0.15">
      <c r="C108" s="922"/>
      <c r="D108" s="922"/>
      <c r="E108" s="922"/>
      <c r="F108" s="922"/>
      <c r="G108" s="922"/>
      <c r="H108" s="922"/>
      <c r="I108" s="922"/>
      <c r="J108" s="922"/>
      <c r="K108" s="922"/>
      <c r="L108" s="922"/>
      <c r="M108" s="922"/>
      <c r="N108" s="922"/>
      <c r="O108" s="922"/>
      <c r="P108" s="922"/>
      <c r="Q108" s="922"/>
      <c r="R108" s="922"/>
      <c r="S108" s="922"/>
      <c r="T108" s="922"/>
      <c r="U108" s="405"/>
      <c r="V108" s="405"/>
      <c r="W108" s="405"/>
      <c r="X108" s="405"/>
      <c r="Y108" s="405"/>
      <c r="Z108" s="405"/>
      <c r="AA108" s="405"/>
      <c r="AB108" s="405"/>
      <c r="AC108" s="405"/>
      <c r="AD108" s="405"/>
      <c r="AE108" s="405"/>
      <c r="AF108" s="405"/>
      <c r="AG108" s="922"/>
      <c r="AH108" s="922"/>
      <c r="AI108" s="420"/>
      <c r="AJ108" s="420"/>
      <c r="AK108" s="420"/>
      <c r="AL108" s="420"/>
      <c r="AM108" s="420"/>
      <c r="AN108" s="420"/>
      <c r="AO108" s="420"/>
      <c r="AP108" s="420"/>
      <c r="AQ108" s="420"/>
      <c r="AR108" s="420"/>
      <c r="AS108" s="420"/>
      <c r="AT108" s="420"/>
      <c r="AU108" s="420"/>
      <c r="AV108" s="420"/>
      <c r="AW108" s="420"/>
      <c r="AX108" s="420"/>
      <c r="AY108" s="420"/>
      <c r="AZ108" s="420"/>
      <c r="BA108" s="420"/>
      <c r="BB108" s="420"/>
      <c r="BC108" s="420"/>
      <c r="BD108" s="420"/>
      <c r="BE108" s="420"/>
      <c r="BF108" s="420"/>
      <c r="BG108" s="420"/>
    </row>
    <row r="109" spans="3:59" s="923" customFormat="1" ht="11.25" x14ac:dyDescent="0.15">
      <c r="C109" s="922"/>
      <c r="D109" s="922"/>
      <c r="E109" s="922"/>
      <c r="F109" s="922"/>
      <c r="G109" s="922"/>
      <c r="H109" s="922"/>
      <c r="I109" s="922"/>
      <c r="J109" s="922"/>
      <c r="K109" s="922"/>
      <c r="L109" s="922"/>
      <c r="M109" s="922"/>
      <c r="N109" s="922"/>
      <c r="O109" s="922"/>
      <c r="P109" s="922"/>
      <c r="Q109" s="922"/>
      <c r="R109" s="922"/>
      <c r="S109" s="922"/>
      <c r="T109" s="922"/>
      <c r="U109" s="405"/>
      <c r="V109" s="405"/>
      <c r="W109" s="405"/>
      <c r="X109" s="405"/>
      <c r="Y109" s="405"/>
      <c r="Z109" s="405"/>
      <c r="AA109" s="405"/>
      <c r="AB109" s="405"/>
      <c r="AC109" s="405"/>
      <c r="AD109" s="405"/>
      <c r="AE109" s="405"/>
      <c r="AF109" s="405"/>
      <c r="AG109" s="922"/>
      <c r="AH109" s="922"/>
      <c r="AI109" s="420"/>
      <c r="AJ109" s="420"/>
      <c r="AK109" s="420"/>
      <c r="AL109" s="420"/>
      <c r="AM109" s="420"/>
      <c r="AN109" s="420"/>
      <c r="AO109" s="420"/>
      <c r="AP109" s="420"/>
      <c r="AQ109" s="420"/>
      <c r="AR109" s="420"/>
      <c r="AS109" s="420"/>
      <c r="AT109" s="420"/>
      <c r="AU109" s="420"/>
      <c r="AV109" s="420"/>
      <c r="AW109" s="420"/>
      <c r="AX109" s="420"/>
      <c r="AY109" s="420"/>
      <c r="AZ109" s="420"/>
      <c r="BA109" s="420"/>
      <c r="BB109" s="420"/>
      <c r="BC109" s="420"/>
      <c r="BD109" s="420"/>
      <c r="BE109" s="420"/>
      <c r="BF109" s="420"/>
      <c r="BG109" s="420"/>
    </row>
    <row r="110" spans="3:59" s="923" customFormat="1" ht="11.25" x14ac:dyDescent="0.15">
      <c r="C110" s="922"/>
      <c r="D110" s="922"/>
      <c r="E110" s="922"/>
      <c r="F110" s="922"/>
      <c r="G110" s="922"/>
      <c r="H110" s="922"/>
      <c r="I110" s="922"/>
      <c r="J110" s="922"/>
      <c r="K110" s="922"/>
      <c r="L110" s="922"/>
      <c r="M110" s="922"/>
      <c r="N110" s="922"/>
      <c r="O110" s="922"/>
      <c r="P110" s="922"/>
      <c r="Q110" s="922"/>
      <c r="R110" s="922"/>
      <c r="S110" s="922"/>
      <c r="T110" s="922"/>
      <c r="U110" s="405"/>
      <c r="V110" s="405"/>
      <c r="W110" s="405"/>
      <c r="X110" s="405"/>
      <c r="Y110" s="405"/>
      <c r="Z110" s="405"/>
      <c r="AA110" s="405"/>
      <c r="AB110" s="405"/>
      <c r="AC110" s="405"/>
      <c r="AD110" s="405"/>
      <c r="AE110" s="405"/>
      <c r="AF110" s="405"/>
      <c r="AG110" s="922"/>
      <c r="AH110" s="922"/>
      <c r="AI110" s="420"/>
      <c r="AJ110" s="420"/>
      <c r="AK110" s="420"/>
      <c r="AL110" s="420"/>
      <c r="AM110" s="420"/>
      <c r="AN110" s="420"/>
      <c r="AO110" s="420"/>
      <c r="AP110" s="420"/>
      <c r="AQ110" s="420"/>
      <c r="AR110" s="420"/>
      <c r="AS110" s="420"/>
      <c r="AT110" s="420"/>
      <c r="AU110" s="420"/>
      <c r="AV110" s="420"/>
      <c r="AW110" s="420"/>
      <c r="AX110" s="420"/>
      <c r="AY110" s="420"/>
      <c r="AZ110" s="420"/>
      <c r="BA110" s="420"/>
      <c r="BB110" s="420"/>
      <c r="BC110" s="420"/>
      <c r="BD110" s="420"/>
      <c r="BE110" s="420"/>
      <c r="BF110" s="420"/>
      <c r="BG110" s="420"/>
    </row>
    <row r="111" spans="3:59" s="923" customFormat="1" ht="11.25" x14ac:dyDescent="0.15">
      <c r="C111" s="922"/>
      <c r="D111" s="922"/>
      <c r="E111" s="922"/>
      <c r="F111" s="922"/>
      <c r="G111" s="922"/>
      <c r="H111" s="922"/>
      <c r="I111" s="922"/>
      <c r="J111" s="922"/>
      <c r="K111" s="922"/>
      <c r="L111" s="922"/>
      <c r="M111" s="922"/>
      <c r="N111" s="922"/>
      <c r="O111" s="922"/>
      <c r="P111" s="922"/>
      <c r="Q111" s="922"/>
      <c r="R111" s="922"/>
      <c r="S111" s="922"/>
      <c r="T111" s="922"/>
      <c r="U111" s="405"/>
      <c r="V111" s="405"/>
      <c r="W111" s="405"/>
      <c r="X111" s="405"/>
      <c r="Y111" s="405"/>
      <c r="Z111" s="405"/>
      <c r="AA111" s="405"/>
      <c r="AB111" s="405"/>
      <c r="AC111" s="405"/>
      <c r="AD111" s="405"/>
      <c r="AE111" s="405"/>
      <c r="AF111" s="405"/>
      <c r="AG111" s="922"/>
      <c r="AH111" s="922"/>
      <c r="AI111" s="420"/>
      <c r="AJ111" s="420"/>
      <c r="AK111" s="420"/>
      <c r="AL111" s="420"/>
      <c r="AM111" s="420"/>
      <c r="AN111" s="420"/>
      <c r="AO111" s="420"/>
      <c r="AP111" s="420"/>
      <c r="AQ111" s="420"/>
      <c r="AR111" s="420"/>
      <c r="AS111" s="420"/>
      <c r="AT111" s="420"/>
      <c r="AU111" s="420"/>
      <c r="AV111" s="420"/>
      <c r="AW111" s="420"/>
      <c r="AX111" s="420"/>
      <c r="AY111" s="420"/>
      <c r="AZ111" s="420"/>
      <c r="BA111" s="420"/>
      <c r="BB111" s="420"/>
      <c r="BC111" s="420"/>
      <c r="BD111" s="420"/>
      <c r="BE111" s="420"/>
      <c r="BF111" s="420"/>
      <c r="BG111" s="420"/>
    </row>
    <row r="112" spans="3:59" s="923" customFormat="1" ht="11.25" x14ac:dyDescent="0.15">
      <c r="C112" s="922"/>
      <c r="D112" s="922"/>
      <c r="E112" s="922"/>
      <c r="F112" s="922"/>
      <c r="G112" s="922"/>
      <c r="H112" s="922"/>
      <c r="I112" s="922"/>
      <c r="J112" s="922"/>
      <c r="K112" s="922"/>
      <c r="L112" s="922"/>
      <c r="M112" s="922"/>
      <c r="N112" s="922"/>
      <c r="O112" s="922"/>
      <c r="P112" s="922"/>
      <c r="Q112" s="922"/>
      <c r="R112" s="922"/>
      <c r="S112" s="922"/>
      <c r="T112" s="922"/>
      <c r="U112" s="405"/>
      <c r="V112" s="405"/>
      <c r="W112" s="405"/>
      <c r="X112" s="405"/>
      <c r="Y112" s="405"/>
      <c r="Z112" s="405"/>
      <c r="AA112" s="405"/>
      <c r="AB112" s="405"/>
      <c r="AC112" s="405"/>
      <c r="AD112" s="405"/>
      <c r="AE112" s="405"/>
      <c r="AF112" s="405"/>
      <c r="AG112" s="922"/>
      <c r="AH112" s="922"/>
      <c r="AI112" s="420"/>
      <c r="AJ112" s="420"/>
      <c r="AK112" s="420"/>
      <c r="AL112" s="420"/>
      <c r="AM112" s="420"/>
      <c r="AN112" s="420"/>
      <c r="AO112" s="420"/>
      <c r="AP112" s="420"/>
      <c r="AQ112" s="420"/>
      <c r="AR112" s="420"/>
      <c r="AS112" s="420"/>
      <c r="AT112" s="420"/>
      <c r="AU112" s="420"/>
      <c r="AV112" s="420"/>
      <c r="AW112" s="420"/>
      <c r="AX112" s="420"/>
      <c r="AY112" s="420"/>
      <c r="AZ112" s="420"/>
      <c r="BA112" s="420"/>
      <c r="BB112" s="420"/>
      <c r="BC112" s="420"/>
      <c r="BD112" s="420"/>
      <c r="BE112" s="420"/>
      <c r="BF112" s="420"/>
      <c r="BG112" s="420"/>
    </row>
    <row r="113" spans="3:59" s="923" customFormat="1" ht="11.25" x14ac:dyDescent="0.15">
      <c r="C113" s="922"/>
      <c r="D113" s="922"/>
      <c r="E113" s="922"/>
      <c r="F113" s="922"/>
      <c r="G113" s="922"/>
      <c r="H113" s="922"/>
      <c r="I113" s="922"/>
      <c r="J113" s="922"/>
      <c r="K113" s="922"/>
      <c r="L113" s="922"/>
      <c r="M113" s="922"/>
      <c r="N113" s="922"/>
      <c r="O113" s="922"/>
      <c r="P113" s="922"/>
      <c r="Q113" s="922"/>
      <c r="R113" s="922"/>
      <c r="S113" s="922"/>
      <c r="T113" s="922"/>
      <c r="U113" s="405"/>
      <c r="V113" s="405"/>
      <c r="W113" s="405"/>
      <c r="X113" s="405"/>
      <c r="Y113" s="405"/>
      <c r="Z113" s="405"/>
      <c r="AA113" s="405"/>
      <c r="AB113" s="405"/>
      <c r="AC113" s="405"/>
      <c r="AD113" s="405"/>
      <c r="AE113" s="405"/>
      <c r="AF113" s="405"/>
      <c r="AG113" s="922"/>
      <c r="AH113" s="922"/>
      <c r="AI113" s="420"/>
      <c r="AJ113" s="420"/>
      <c r="AK113" s="420"/>
      <c r="AL113" s="420"/>
      <c r="AM113" s="420"/>
      <c r="AN113" s="420"/>
      <c r="AO113" s="420"/>
      <c r="AP113" s="420"/>
      <c r="AQ113" s="420"/>
      <c r="AR113" s="420"/>
      <c r="AS113" s="420"/>
      <c r="AT113" s="420"/>
      <c r="AU113" s="420"/>
      <c r="AV113" s="420"/>
      <c r="AW113" s="420"/>
      <c r="AX113" s="420"/>
      <c r="AY113" s="420"/>
      <c r="AZ113" s="420"/>
      <c r="BA113" s="420"/>
      <c r="BB113" s="420"/>
      <c r="BC113" s="420"/>
      <c r="BD113" s="420"/>
      <c r="BE113" s="420"/>
      <c r="BF113" s="420"/>
      <c r="BG113" s="420"/>
    </row>
    <row r="114" spans="3:59" s="923" customFormat="1" ht="11.25" x14ac:dyDescent="0.15">
      <c r="C114" s="922"/>
      <c r="D114" s="922"/>
      <c r="E114" s="922"/>
      <c r="F114" s="922"/>
      <c r="G114" s="922"/>
      <c r="H114" s="922"/>
      <c r="I114" s="922"/>
      <c r="J114" s="922"/>
      <c r="K114" s="922"/>
      <c r="L114" s="922"/>
      <c r="M114" s="922"/>
      <c r="N114" s="922"/>
      <c r="O114" s="922"/>
      <c r="P114" s="922"/>
      <c r="Q114" s="922"/>
      <c r="R114" s="922"/>
      <c r="S114" s="922"/>
      <c r="T114" s="922"/>
      <c r="U114" s="405"/>
      <c r="V114" s="405"/>
      <c r="W114" s="405"/>
      <c r="X114" s="405"/>
      <c r="Y114" s="405"/>
      <c r="Z114" s="405"/>
      <c r="AA114" s="405"/>
      <c r="AB114" s="405"/>
      <c r="AC114" s="405"/>
      <c r="AD114" s="405"/>
      <c r="AE114" s="405"/>
      <c r="AF114" s="405"/>
      <c r="AG114" s="922"/>
      <c r="AH114" s="922"/>
      <c r="AI114" s="420"/>
      <c r="AJ114" s="420"/>
      <c r="AK114" s="420"/>
      <c r="AL114" s="420"/>
      <c r="AM114" s="420"/>
      <c r="AN114" s="420"/>
      <c r="AO114" s="420"/>
      <c r="AP114" s="420"/>
      <c r="AQ114" s="420"/>
      <c r="AR114" s="420"/>
      <c r="AS114" s="420"/>
      <c r="AT114" s="420"/>
      <c r="AU114" s="420"/>
      <c r="AV114" s="420"/>
      <c r="AW114" s="420"/>
      <c r="AX114" s="420"/>
      <c r="AY114" s="420"/>
      <c r="AZ114" s="420"/>
      <c r="BA114" s="420"/>
      <c r="BB114" s="420"/>
      <c r="BC114" s="420"/>
      <c r="BD114" s="420"/>
      <c r="BE114" s="420"/>
      <c r="BF114" s="420"/>
      <c r="BG114" s="420"/>
    </row>
    <row r="115" spans="3:59" s="923" customFormat="1" ht="11.25" x14ac:dyDescent="0.15">
      <c r="C115" s="922"/>
      <c r="D115" s="922"/>
      <c r="E115" s="922"/>
      <c r="F115" s="922"/>
      <c r="G115" s="922"/>
      <c r="H115" s="922"/>
      <c r="I115" s="922"/>
      <c r="J115" s="922"/>
      <c r="K115" s="922"/>
      <c r="L115" s="922"/>
      <c r="M115" s="922"/>
      <c r="N115" s="922"/>
      <c r="O115" s="922"/>
      <c r="P115" s="922"/>
      <c r="Q115" s="922"/>
      <c r="R115" s="922"/>
      <c r="S115" s="922"/>
      <c r="T115" s="922"/>
      <c r="U115" s="405"/>
      <c r="V115" s="405"/>
      <c r="W115" s="405"/>
      <c r="X115" s="405"/>
      <c r="Y115" s="405"/>
      <c r="Z115" s="405"/>
      <c r="AA115" s="405"/>
      <c r="AB115" s="405"/>
      <c r="AC115" s="405"/>
      <c r="AD115" s="405"/>
      <c r="AE115" s="405"/>
      <c r="AF115" s="405"/>
      <c r="AG115" s="922"/>
      <c r="AH115" s="922"/>
      <c r="AI115" s="420"/>
      <c r="AJ115" s="420"/>
      <c r="AK115" s="420"/>
      <c r="AL115" s="420"/>
      <c r="AM115" s="420"/>
      <c r="AN115" s="420"/>
      <c r="AO115" s="420"/>
      <c r="AP115" s="420"/>
      <c r="AQ115" s="420"/>
      <c r="AR115" s="420"/>
      <c r="AS115" s="420"/>
      <c r="AT115" s="420"/>
      <c r="AU115" s="420"/>
      <c r="AV115" s="420"/>
      <c r="AW115" s="420"/>
      <c r="AX115" s="420"/>
      <c r="AY115" s="420"/>
      <c r="AZ115" s="420"/>
      <c r="BA115" s="420"/>
      <c r="BB115" s="420"/>
      <c r="BC115" s="420"/>
      <c r="BD115" s="420"/>
      <c r="BE115" s="420"/>
      <c r="BF115" s="420"/>
      <c r="BG115" s="420"/>
    </row>
    <row r="116" spans="3:59" s="923" customFormat="1" ht="11.25" x14ac:dyDescent="0.15">
      <c r="C116" s="922"/>
      <c r="D116" s="922"/>
      <c r="E116" s="922"/>
      <c r="F116" s="922"/>
      <c r="G116" s="922"/>
      <c r="H116" s="922"/>
      <c r="I116" s="922"/>
      <c r="J116" s="922"/>
      <c r="K116" s="922"/>
      <c r="L116" s="922"/>
      <c r="M116" s="922"/>
      <c r="N116" s="922"/>
      <c r="O116" s="922"/>
      <c r="P116" s="922"/>
      <c r="Q116" s="922"/>
      <c r="R116" s="922"/>
      <c r="S116" s="922"/>
      <c r="T116" s="922"/>
      <c r="U116" s="405"/>
      <c r="V116" s="405"/>
      <c r="W116" s="405"/>
      <c r="X116" s="405"/>
      <c r="Y116" s="405"/>
      <c r="Z116" s="405"/>
      <c r="AA116" s="405"/>
      <c r="AB116" s="405"/>
      <c r="AC116" s="405"/>
      <c r="AD116" s="405"/>
      <c r="AE116" s="405"/>
      <c r="AF116" s="405"/>
      <c r="AG116" s="922"/>
      <c r="AH116" s="922"/>
      <c r="AI116" s="420"/>
      <c r="AJ116" s="420"/>
      <c r="AK116" s="420"/>
      <c r="AL116" s="420"/>
      <c r="AM116" s="420"/>
      <c r="AN116" s="420"/>
      <c r="AO116" s="420"/>
      <c r="AP116" s="420"/>
      <c r="AQ116" s="420"/>
      <c r="AR116" s="420"/>
      <c r="AS116" s="420"/>
      <c r="AT116" s="420"/>
      <c r="AU116" s="420"/>
      <c r="AV116" s="420"/>
      <c r="AW116" s="420"/>
      <c r="AX116" s="420"/>
      <c r="AY116" s="420"/>
      <c r="AZ116" s="420"/>
      <c r="BA116" s="420"/>
      <c r="BB116" s="420"/>
      <c r="BC116" s="420"/>
      <c r="BD116" s="420"/>
      <c r="BE116" s="420"/>
      <c r="BF116" s="420"/>
      <c r="BG116" s="420"/>
    </row>
    <row r="117" spans="3:59" s="923" customFormat="1" ht="11.25" x14ac:dyDescent="0.15">
      <c r="C117" s="922"/>
      <c r="D117" s="922"/>
      <c r="E117" s="922"/>
      <c r="F117" s="922"/>
      <c r="G117" s="922"/>
      <c r="H117" s="922"/>
      <c r="I117" s="922"/>
      <c r="J117" s="922"/>
      <c r="K117" s="922"/>
      <c r="L117" s="922"/>
      <c r="M117" s="922"/>
      <c r="N117" s="922"/>
      <c r="O117" s="922"/>
      <c r="P117" s="922"/>
      <c r="Q117" s="922"/>
      <c r="R117" s="922"/>
      <c r="S117" s="922"/>
      <c r="T117" s="922"/>
      <c r="U117" s="405"/>
      <c r="V117" s="405"/>
      <c r="W117" s="405"/>
      <c r="X117" s="405"/>
      <c r="Y117" s="405"/>
      <c r="Z117" s="405"/>
      <c r="AA117" s="405"/>
      <c r="AB117" s="405"/>
      <c r="AC117" s="405"/>
      <c r="AD117" s="405"/>
      <c r="AE117" s="405"/>
      <c r="AF117" s="405"/>
      <c r="AG117" s="922"/>
      <c r="AH117" s="922"/>
      <c r="AI117" s="420"/>
      <c r="AJ117" s="420"/>
      <c r="AK117" s="420"/>
      <c r="AL117" s="420"/>
      <c r="AM117" s="420"/>
      <c r="AN117" s="420"/>
      <c r="AO117" s="420"/>
      <c r="AP117" s="420"/>
      <c r="AQ117" s="420"/>
      <c r="AR117" s="420"/>
      <c r="AS117" s="420"/>
      <c r="AT117" s="420"/>
      <c r="AU117" s="420"/>
      <c r="AV117" s="420"/>
      <c r="AW117" s="420"/>
      <c r="AX117" s="420"/>
      <c r="AY117" s="420"/>
      <c r="AZ117" s="420"/>
      <c r="BA117" s="420"/>
      <c r="BB117" s="420"/>
      <c r="BC117" s="420"/>
      <c r="BD117" s="420"/>
      <c r="BE117" s="420"/>
      <c r="BF117" s="420"/>
      <c r="BG117" s="420"/>
    </row>
    <row r="118" spans="3:59" s="923" customFormat="1" ht="11.25" x14ac:dyDescent="0.15">
      <c r="C118" s="922"/>
      <c r="D118" s="922"/>
      <c r="E118" s="922"/>
      <c r="F118" s="922"/>
      <c r="G118" s="922"/>
      <c r="H118" s="922"/>
      <c r="I118" s="922"/>
      <c r="J118" s="922"/>
      <c r="K118" s="922"/>
      <c r="L118" s="922"/>
      <c r="M118" s="922"/>
      <c r="N118" s="922"/>
      <c r="O118" s="922"/>
      <c r="P118" s="922"/>
      <c r="Q118" s="922"/>
      <c r="R118" s="922"/>
      <c r="S118" s="922"/>
      <c r="T118" s="922"/>
      <c r="U118" s="405"/>
      <c r="V118" s="405"/>
      <c r="W118" s="405"/>
      <c r="X118" s="405"/>
      <c r="Y118" s="405"/>
      <c r="Z118" s="405"/>
      <c r="AA118" s="405"/>
      <c r="AB118" s="405"/>
      <c r="AC118" s="405"/>
      <c r="AD118" s="405"/>
      <c r="AE118" s="405"/>
      <c r="AF118" s="405"/>
      <c r="AG118" s="922"/>
      <c r="AH118" s="922"/>
      <c r="AI118" s="420"/>
      <c r="AJ118" s="420"/>
      <c r="AK118" s="420"/>
      <c r="AL118" s="420"/>
      <c r="AM118" s="420"/>
      <c r="AN118" s="420"/>
      <c r="AO118" s="420"/>
      <c r="AP118" s="420"/>
      <c r="AQ118" s="420"/>
      <c r="AR118" s="420"/>
      <c r="AS118" s="420"/>
      <c r="AT118" s="420"/>
      <c r="AU118" s="420"/>
      <c r="AV118" s="420"/>
      <c r="AW118" s="420"/>
      <c r="AX118" s="420"/>
      <c r="AY118" s="420"/>
      <c r="AZ118" s="420"/>
      <c r="BA118" s="420"/>
      <c r="BB118" s="420"/>
      <c r="BC118" s="420"/>
      <c r="BD118" s="420"/>
      <c r="BE118" s="420"/>
      <c r="BF118" s="420"/>
      <c r="BG118" s="420"/>
    </row>
    <row r="119" spans="3:59" s="923" customFormat="1" ht="11.25" x14ac:dyDescent="0.15">
      <c r="C119" s="922"/>
      <c r="D119" s="922"/>
      <c r="E119" s="922"/>
      <c r="F119" s="922"/>
      <c r="G119" s="922"/>
      <c r="H119" s="922"/>
      <c r="I119" s="922"/>
      <c r="J119" s="922"/>
      <c r="K119" s="922"/>
      <c r="L119" s="922"/>
      <c r="M119" s="922"/>
      <c r="N119" s="922"/>
      <c r="O119" s="922"/>
      <c r="P119" s="922"/>
      <c r="Q119" s="922"/>
      <c r="R119" s="922"/>
      <c r="S119" s="922"/>
      <c r="T119" s="922"/>
      <c r="U119" s="405"/>
      <c r="V119" s="405"/>
      <c r="W119" s="405"/>
      <c r="X119" s="405"/>
      <c r="Y119" s="405"/>
      <c r="Z119" s="405"/>
      <c r="AA119" s="405"/>
      <c r="AB119" s="405"/>
      <c r="AC119" s="405"/>
      <c r="AD119" s="405"/>
      <c r="AE119" s="405"/>
      <c r="AF119" s="405"/>
      <c r="AG119" s="922"/>
      <c r="AH119" s="922"/>
      <c r="AI119" s="420"/>
      <c r="AJ119" s="420"/>
      <c r="AK119" s="420"/>
      <c r="AL119" s="420"/>
      <c r="AM119" s="420"/>
      <c r="AN119" s="420"/>
      <c r="AO119" s="420"/>
      <c r="AP119" s="420"/>
      <c r="AQ119" s="420"/>
      <c r="AR119" s="420"/>
      <c r="AS119" s="420"/>
      <c r="AT119" s="420"/>
      <c r="AU119" s="420"/>
      <c r="AV119" s="420"/>
      <c r="AW119" s="420"/>
      <c r="AX119" s="420"/>
      <c r="AY119" s="420"/>
      <c r="AZ119" s="420"/>
      <c r="BA119" s="420"/>
      <c r="BB119" s="420"/>
      <c r="BC119" s="420"/>
      <c r="BD119" s="420"/>
      <c r="BE119" s="420"/>
      <c r="BF119" s="420"/>
      <c r="BG119" s="420"/>
    </row>
    <row r="120" spans="3:59" s="923" customFormat="1" ht="11.25" x14ac:dyDescent="0.15">
      <c r="C120" s="922"/>
      <c r="D120" s="922"/>
      <c r="E120" s="922"/>
      <c r="F120" s="922"/>
      <c r="G120" s="922"/>
      <c r="H120" s="922"/>
      <c r="I120" s="922"/>
      <c r="J120" s="922"/>
      <c r="K120" s="922"/>
      <c r="L120" s="922"/>
      <c r="M120" s="922"/>
      <c r="N120" s="922"/>
      <c r="O120" s="922"/>
      <c r="P120" s="922"/>
      <c r="Q120" s="922"/>
      <c r="R120" s="922"/>
      <c r="S120" s="922"/>
      <c r="T120" s="922"/>
      <c r="U120" s="405"/>
      <c r="V120" s="405"/>
      <c r="W120" s="405"/>
      <c r="X120" s="405"/>
      <c r="Y120" s="405"/>
      <c r="Z120" s="405"/>
      <c r="AA120" s="405"/>
      <c r="AB120" s="405"/>
      <c r="AC120" s="405"/>
      <c r="AD120" s="405"/>
      <c r="AE120" s="405"/>
      <c r="AF120" s="405"/>
      <c r="AG120" s="922"/>
      <c r="AH120" s="922"/>
      <c r="AI120" s="420"/>
      <c r="AJ120" s="420"/>
      <c r="AK120" s="420"/>
      <c r="AL120" s="420"/>
      <c r="AM120" s="420"/>
      <c r="AN120" s="420"/>
      <c r="AO120" s="420"/>
      <c r="AP120" s="420"/>
      <c r="AQ120" s="420"/>
      <c r="AR120" s="420"/>
      <c r="AS120" s="420"/>
      <c r="AT120" s="420"/>
      <c r="AU120" s="420"/>
      <c r="AV120" s="420"/>
      <c r="AW120" s="420"/>
      <c r="AX120" s="420"/>
      <c r="AY120" s="420"/>
      <c r="AZ120" s="420"/>
      <c r="BA120" s="420"/>
      <c r="BB120" s="420"/>
      <c r="BC120" s="420"/>
      <c r="BD120" s="420"/>
      <c r="BE120" s="420"/>
      <c r="BF120" s="420"/>
      <c r="BG120" s="420"/>
    </row>
    <row r="121" spans="3:59" s="923" customFormat="1" ht="11.25" x14ac:dyDescent="0.15">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c r="AJ121" s="420"/>
      <c r="AK121" s="420"/>
      <c r="AL121" s="420"/>
      <c r="AM121" s="420"/>
      <c r="AN121" s="420"/>
      <c r="AO121" s="420"/>
      <c r="AP121" s="420"/>
      <c r="AQ121" s="420"/>
      <c r="AR121" s="420"/>
      <c r="AS121" s="420"/>
      <c r="AT121" s="420"/>
      <c r="AU121" s="420"/>
      <c r="AV121" s="420"/>
      <c r="AW121" s="420"/>
      <c r="AX121" s="420"/>
      <c r="AY121" s="420"/>
      <c r="AZ121" s="420"/>
      <c r="BA121" s="420"/>
      <c r="BB121" s="420"/>
      <c r="BC121" s="420"/>
      <c r="BD121" s="420"/>
      <c r="BE121" s="420"/>
      <c r="BF121" s="420"/>
      <c r="BG121" s="420"/>
    </row>
    <row r="122" spans="3:59" s="923" customFormat="1" ht="11.25" x14ac:dyDescent="0.15">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c r="AJ122" s="420"/>
      <c r="AK122" s="420"/>
      <c r="AL122" s="420"/>
      <c r="AM122" s="420"/>
      <c r="AN122" s="420"/>
      <c r="AO122" s="420"/>
      <c r="AP122" s="420"/>
      <c r="AQ122" s="420"/>
      <c r="AR122" s="420"/>
      <c r="AS122" s="420"/>
      <c r="AT122" s="420"/>
      <c r="AU122" s="420"/>
      <c r="AV122" s="420"/>
      <c r="AW122" s="420"/>
      <c r="AX122" s="420"/>
      <c r="AY122" s="420"/>
      <c r="AZ122" s="420"/>
      <c r="BA122" s="420"/>
      <c r="BB122" s="420"/>
      <c r="BC122" s="420"/>
      <c r="BD122" s="420"/>
      <c r="BE122" s="420"/>
      <c r="BF122" s="420"/>
      <c r="BG122" s="420"/>
    </row>
    <row r="123" spans="3:59" s="15" customFormat="1" x14ac:dyDescent="0.2">
      <c r="C123" s="412"/>
      <c r="D123" s="412"/>
      <c r="E123" s="742"/>
      <c r="F123" s="412"/>
      <c r="G123" s="412"/>
      <c r="H123" s="412"/>
      <c r="I123" s="412"/>
      <c r="J123" s="412"/>
      <c r="K123" s="412"/>
      <c r="L123" s="412"/>
      <c r="M123" s="412"/>
      <c r="N123" s="412"/>
      <c r="O123" s="412"/>
      <c r="P123" s="412"/>
      <c r="Q123" s="412"/>
      <c r="R123" s="412"/>
      <c r="S123" s="412"/>
      <c r="T123" s="445"/>
      <c r="U123" s="445"/>
      <c r="V123" s="445"/>
      <c r="W123" s="445"/>
      <c r="X123" s="445"/>
      <c r="Y123" s="445"/>
      <c r="Z123" s="445"/>
      <c r="AA123" s="445"/>
      <c r="AB123" s="445"/>
      <c r="AC123" s="445"/>
      <c r="AD123" s="445"/>
      <c r="AE123" s="412"/>
      <c r="AF123" s="412"/>
      <c r="AG123" s="412"/>
      <c r="AH123" s="412"/>
      <c r="AI123" s="412"/>
      <c r="AJ123" s="412"/>
      <c r="AK123" s="412"/>
      <c r="AL123" s="412"/>
      <c r="AM123" s="412"/>
      <c r="AN123" s="412"/>
      <c r="AO123" s="412"/>
      <c r="AP123" s="412"/>
      <c r="AQ123" s="412"/>
      <c r="AR123" s="412"/>
      <c r="AS123" s="412"/>
      <c r="AT123" s="412"/>
      <c r="AU123" s="412"/>
      <c r="AV123" s="412"/>
      <c r="AW123" s="412"/>
      <c r="AX123" s="412"/>
      <c r="AY123" s="412"/>
      <c r="AZ123" s="412"/>
      <c r="BA123" s="412"/>
      <c r="BB123" s="412"/>
      <c r="BC123" s="412"/>
      <c r="BD123" s="412"/>
      <c r="BE123" s="412"/>
      <c r="BF123" s="412"/>
      <c r="BG123" s="412"/>
    </row>
    <row r="124" spans="3:59" s="15" customFormat="1" x14ac:dyDescent="0.2">
      <c r="C124" s="412"/>
      <c r="D124" s="412"/>
      <c r="E124" s="742"/>
      <c r="F124" s="412"/>
      <c r="G124" s="412"/>
      <c r="H124" s="412"/>
      <c r="I124" s="412"/>
      <c r="J124" s="412"/>
      <c r="K124" s="412"/>
      <c r="L124" s="412"/>
      <c r="M124" s="412"/>
      <c r="N124" s="412"/>
      <c r="O124" s="412"/>
      <c r="P124" s="412"/>
      <c r="Q124" s="412"/>
      <c r="R124" s="412"/>
      <c r="S124" s="412"/>
      <c r="T124" s="445"/>
      <c r="U124" s="445"/>
      <c r="V124" s="445"/>
      <c r="W124" s="445"/>
      <c r="X124" s="445"/>
      <c r="Y124" s="445"/>
      <c r="Z124" s="445"/>
      <c r="AA124" s="445"/>
      <c r="AB124" s="445"/>
      <c r="AC124" s="445"/>
      <c r="AD124" s="445"/>
      <c r="AE124" s="412"/>
      <c r="AF124" s="412"/>
      <c r="AG124" s="412"/>
      <c r="AH124" s="412"/>
      <c r="AI124" s="412"/>
      <c r="AJ124" s="412"/>
      <c r="AK124" s="412"/>
      <c r="AL124" s="412"/>
      <c r="AM124" s="412"/>
      <c r="AN124" s="412"/>
      <c r="AO124" s="412"/>
      <c r="AP124" s="412"/>
      <c r="AQ124" s="412"/>
      <c r="AR124" s="412"/>
      <c r="AS124" s="412"/>
      <c r="AT124" s="412"/>
      <c r="AU124" s="412"/>
      <c r="AV124" s="412"/>
      <c r="AW124" s="412"/>
      <c r="AX124" s="412"/>
      <c r="AY124" s="412"/>
      <c r="AZ124" s="412"/>
      <c r="BA124" s="412"/>
      <c r="BB124" s="412"/>
      <c r="BC124" s="412"/>
      <c r="BD124" s="412"/>
      <c r="BE124" s="412"/>
      <c r="BF124" s="412"/>
      <c r="BG124" s="412"/>
    </row>
    <row r="125" spans="3:59" s="15" customFormat="1" x14ac:dyDescent="0.2">
      <c r="C125" s="412"/>
      <c r="D125" s="412"/>
      <c r="E125" s="742"/>
      <c r="F125" s="412"/>
      <c r="G125" s="412"/>
      <c r="H125" s="412"/>
      <c r="I125" s="412"/>
      <c r="J125" s="412"/>
      <c r="K125" s="412"/>
      <c r="L125" s="412"/>
      <c r="M125" s="412"/>
      <c r="N125" s="412"/>
      <c r="O125" s="412"/>
      <c r="P125" s="412"/>
      <c r="Q125" s="412"/>
      <c r="R125" s="412"/>
      <c r="S125" s="412"/>
      <c r="T125" s="445"/>
      <c r="U125" s="445"/>
      <c r="V125" s="445"/>
      <c r="W125" s="445"/>
      <c r="X125" s="445"/>
      <c r="Y125" s="445"/>
      <c r="Z125" s="445"/>
      <c r="AA125" s="445"/>
      <c r="AB125" s="445"/>
      <c r="AC125" s="445"/>
      <c r="AD125" s="445"/>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2"/>
      <c r="BB125" s="412"/>
      <c r="BC125" s="412"/>
      <c r="BD125" s="412"/>
      <c r="BE125" s="412"/>
      <c r="BF125" s="412"/>
      <c r="BG125" s="412"/>
    </row>
    <row r="126" spans="3:59" s="15" customFormat="1" x14ac:dyDescent="0.2">
      <c r="C126" s="412"/>
      <c r="D126" s="412"/>
      <c r="E126" s="742"/>
      <c r="F126" s="412"/>
      <c r="G126" s="412"/>
      <c r="H126" s="412"/>
      <c r="I126" s="412"/>
      <c r="J126" s="412"/>
      <c r="K126" s="412"/>
      <c r="L126" s="412"/>
      <c r="M126" s="412"/>
      <c r="N126" s="412"/>
      <c r="O126" s="412"/>
      <c r="P126" s="412"/>
      <c r="Q126" s="412"/>
      <c r="R126" s="412"/>
      <c r="S126" s="412"/>
      <c r="T126" s="445"/>
      <c r="U126" s="445"/>
      <c r="V126" s="445"/>
      <c r="W126" s="445"/>
      <c r="X126" s="445"/>
      <c r="Y126" s="445"/>
      <c r="Z126" s="445"/>
      <c r="AA126" s="445"/>
      <c r="AB126" s="445"/>
      <c r="AC126" s="445"/>
      <c r="AD126" s="445"/>
      <c r="AE126" s="412"/>
      <c r="AF126" s="412"/>
      <c r="AG126" s="412"/>
      <c r="AH126" s="412"/>
      <c r="AI126" s="412"/>
      <c r="AJ126" s="412"/>
      <c r="AK126" s="412"/>
      <c r="AL126" s="412"/>
      <c r="AM126" s="412"/>
      <c r="AN126" s="412"/>
      <c r="AO126" s="412"/>
      <c r="AP126" s="412"/>
      <c r="AQ126" s="412"/>
      <c r="AR126" s="412"/>
      <c r="AS126" s="412"/>
      <c r="AT126" s="412"/>
      <c r="AU126" s="412"/>
      <c r="AV126" s="412"/>
      <c r="AW126" s="412"/>
      <c r="AX126" s="412"/>
      <c r="AY126" s="412"/>
      <c r="AZ126" s="412"/>
      <c r="BA126" s="412"/>
      <c r="BB126" s="412"/>
      <c r="BC126" s="412"/>
      <c r="BD126" s="412"/>
      <c r="BE126" s="412"/>
      <c r="BF126" s="412"/>
      <c r="BG126" s="412"/>
    </row>
    <row r="127" spans="3:59" s="15" customFormat="1" x14ac:dyDescent="0.2">
      <c r="C127" s="412"/>
      <c r="D127" s="412"/>
      <c r="E127" s="742"/>
      <c r="F127" s="412"/>
      <c r="G127" s="412"/>
      <c r="H127" s="412"/>
      <c r="I127" s="412"/>
      <c r="J127" s="412"/>
      <c r="K127" s="412"/>
      <c r="L127" s="412"/>
      <c r="M127" s="412"/>
      <c r="N127" s="412"/>
      <c r="O127" s="412"/>
      <c r="P127" s="412"/>
      <c r="Q127" s="412"/>
      <c r="R127" s="412"/>
      <c r="S127" s="412"/>
      <c r="T127" s="445"/>
      <c r="U127" s="445"/>
      <c r="V127" s="445"/>
      <c r="W127" s="445"/>
      <c r="X127" s="445"/>
      <c r="Y127" s="445"/>
      <c r="Z127" s="445"/>
      <c r="AA127" s="445"/>
      <c r="AB127" s="445"/>
      <c r="AC127" s="445"/>
      <c r="AD127" s="445"/>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2"/>
      <c r="BB127" s="412"/>
      <c r="BC127" s="412"/>
      <c r="BD127" s="412"/>
      <c r="BE127" s="412"/>
      <c r="BF127" s="412"/>
      <c r="BG127" s="412"/>
    </row>
    <row r="128" spans="3:59" s="15" customFormat="1" x14ac:dyDescent="0.2">
      <c r="C128" s="412"/>
      <c r="D128" s="412"/>
      <c r="E128" s="742"/>
      <c r="F128" s="412"/>
      <c r="G128" s="412"/>
      <c r="H128" s="412"/>
      <c r="I128" s="412"/>
      <c r="J128" s="412"/>
      <c r="K128" s="412"/>
      <c r="L128" s="412"/>
      <c r="M128" s="412"/>
      <c r="N128" s="412"/>
      <c r="O128" s="412"/>
      <c r="P128" s="412"/>
      <c r="Q128" s="412"/>
      <c r="R128" s="412"/>
      <c r="S128" s="412"/>
      <c r="T128" s="445"/>
      <c r="U128" s="445"/>
      <c r="V128" s="445"/>
      <c r="W128" s="445"/>
      <c r="X128" s="445"/>
      <c r="Y128" s="445"/>
      <c r="Z128" s="445"/>
      <c r="AA128" s="445"/>
      <c r="AB128" s="445"/>
      <c r="AC128" s="445"/>
      <c r="AD128" s="445"/>
      <c r="AE128" s="412"/>
      <c r="AF128" s="412"/>
      <c r="AG128" s="412"/>
      <c r="AH128" s="412"/>
      <c r="AI128" s="412"/>
      <c r="AJ128" s="412"/>
      <c r="AK128" s="412"/>
      <c r="AL128" s="412"/>
      <c r="AM128" s="412"/>
      <c r="AN128" s="412"/>
      <c r="AO128" s="412"/>
      <c r="AP128" s="412"/>
      <c r="AQ128" s="412"/>
      <c r="AR128" s="412"/>
      <c r="AS128" s="412"/>
      <c r="AT128" s="412"/>
      <c r="AU128" s="412"/>
      <c r="AV128" s="412"/>
      <c r="AW128" s="412"/>
      <c r="AX128" s="412"/>
      <c r="AY128" s="412"/>
      <c r="AZ128" s="412"/>
      <c r="BA128" s="412"/>
      <c r="BB128" s="412"/>
      <c r="BC128" s="412"/>
      <c r="BD128" s="412"/>
      <c r="BE128" s="412"/>
      <c r="BF128" s="412"/>
      <c r="BG128" s="412"/>
    </row>
    <row r="129" spans="3:59" s="15" customFormat="1" x14ac:dyDescent="0.2">
      <c r="C129" s="412"/>
      <c r="D129" s="412"/>
      <c r="E129" s="742"/>
      <c r="F129" s="412"/>
      <c r="G129" s="412"/>
      <c r="H129" s="412"/>
      <c r="I129" s="412"/>
      <c r="J129" s="412"/>
      <c r="K129" s="412"/>
      <c r="L129" s="412"/>
      <c r="M129" s="412"/>
      <c r="N129" s="412"/>
      <c r="O129" s="412"/>
      <c r="P129" s="412"/>
      <c r="Q129" s="412"/>
      <c r="R129" s="412"/>
      <c r="S129" s="412"/>
      <c r="T129" s="445"/>
      <c r="U129" s="445"/>
      <c r="V129" s="445"/>
      <c r="W129" s="445"/>
      <c r="X129" s="445"/>
      <c r="Y129" s="445"/>
      <c r="Z129" s="445"/>
      <c r="AA129" s="445"/>
      <c r="AB129" s="445"/>
      <c r="AC129" s="445"/>
      <c r="AD129" s="445"/>
      <c r="AE129" s="412"/>
      <c r="AF129" s="412"/>
      <c r="AG129" s="412"/>
      <c r="AH129" s="412"/>
      <c r="AI129" s="412"/>
      <c r="AJ129" s="412"/>
      <c r="AK129" s="412"/>
      <c r="AL129" s="412"/>
      <c r="AM129" s="412"/>
      <c r="AN129" s="412"/>
      <c r="AO129" s="412"/>
      <c r="AP129" s="412"/>
      <c r="AQ129" s="412"/>
      <c r="AR129" s="412"/>
      <c r="AS129" s="412"/>
      <c r="AT129" s="412"/>
      <c r="AU129" s="412"/>
      <c r="AV129" s="412"/>
      <c r="AW129" s="412"/>
      <c r="AX129" s="412"/>
      <c r="AY129" s="412"/>
      <c r="AZ129" s="412"/>
      <c r="BA129" s="412"/>
      <c r="BB129" s="412"/>
      <c r="BC129" s="412"/>
      <c r="BD129" s="412"/>
      <c r="BE129" s="412"/>
      <c r="BF129" s="412"/>
      <c r="BG129" s="412"/>
    </row>
    <row r="130" spans="3:59" s="15" customFormat="1" x14ac:dyDescent="0.2">
      <c r="C130" s="412"/>
      <c r="D130" s="412"/>
      <c r="E130" s="742"/>
      <c r="F130" s="412"/>
      <c r="G130" s="412"/>
      <c r="H130" s="412"/>
      <c r="I130" s="412"/>
      <c r="J130" s="412"/>
      <c r="K130" s="412"/>
      <c r="L130" s="412"/>
      <c r="M130" s="412"/>
      <c r="N130" s="412"/>
      <c r="O130" s="412"/>
      <c r="P130" s="412"/>
      <c r="Q130" s="412"/>
      <c r="R130" s="412"/>
      <c r="S130" s="412"/>
      <c r="T130" s="445"/>
      <c r="U130" s="445"/>
      <c r="V130" s="445"/>
      <c r="W130" s="445"/>
      <c r="X130" s="445"/>
      <c r="Y130" s="445"/>
      <c r="Z130" s="445"/>
      <c r="AA130" s="445"/>
      <c r="AB130" s="445"/>
      <c r="AC130" s="445"/>
      <c r="AD130" s="445"/>
      <c r="AE130" s="412"/>
      <c r="AF130" s="412"/>
      <c r="AG130" s="412"/>
      <c r="AH130" s="412"/>
      <c r="AI130" s="412"/>
      <c r="AJ130" s="412"/>
      <c r="AK130" s="412"/>
      <c r="AL130" s="412"/>
      <c r="AM130" s="412"/>
      <c r="AN130" s="412"/>
      <c r="AO130" s="412"/>
      <c r="AP130" s="412"/>
      <c r="AQ130" s="412"/>
      <c r="AR130" s="412"/>
      <c r="AS130" s="412"/>
      <c r="AT130" s="412"/>
      <c r="AU130" s="412"/>
      <c r="AV130" s="412"/>
      <c r="AW130" s="412"/>
      <c r="AX130" s="412"/>
      <c r="AY130" s="412"/>
      <c r="AZ130" s="412"/>
      <c r="BA130" s="412"/>
      <c r="BB130" s="412"/>
      <c r="BC130" s="412"/>
      <c r="BD130" s="412"/>
      <c r="BE130" s="412"/>
      <c r="BF130" s="412"/>
      <c r="BG130" s="412"/>
    </row>
    <row r="131" spans="3:59" s="15" customFormat="1" x14ac:dyDescent="0.2">
      <c r="C131" s="412"/>
      <c r="D131" s="412"/>
      <c r="E131" s="742"/>
      <c r="F131" s="412"/>
      <c r="G131" s="412"/>
      <c r="H131" s="412"/>
      <c r="I131" s="412"/>
      <c r="J131" s="412"/>
      <c r="K131" s="412"/>
      <c r="L131" s="412"/>
      <c r="M131" s="412"/>
      <c r="N131" s="412"/>
      <c r="O131" s="412"/>
      <c r="P131" s="412"/>
      <c r="Q131" s="412"/>
      <c r="R131" s="412"/>
      <c r="S131" s="412"/>
      <c r="T131" s="445"/>
      <c r="U131" s="445"/>
      <c r="V131" s="445"/>
      <c r="W131" s="445"/>
      <c r="X131" s="445"/>
      <c r="Y131" s="445"/>
      <c r="Z131" s="445"/>
      <c r="AA131" s="445"/>
      <c r="AB131" s="445"/>
      <c r="AC131" s="445"/>
      <c r="AD131" s="445"/>
      <c r="AE131" s="412"/>
      <c r="AF131" s="412"/>
      <c r="AG131" s="412"/>
      <c r="AH131" s="412"/>
      <c r="AI131" s="412"/>
      <c r="AJ131" s="412"/>
      <c r="AK131" s="412"/>
      <c r="AL131" s="412"/>
      <c r="AM131" s="412"/>
      <c r="AN131" s="412"/>
      <c r="AO131" s="412"/>
      <c r="AP131" s="412"/>
      <c r="AQ131" s="412"/>
      <c r="AR131" s="412"/>
      <c r="AS131" s="412"/>
      <c r="AT131" s="412"/>
      <c r="AU131" s="412"/>
      <c r="AV131" s="412"/>
      <c r="AW131" s="412"/>
      <c r="AX131" s="412"/>
      <c r="AY131" s="412"/>
      <c r="AZ131" s="412"/>
      <c r="BA131" s="412"/>
      <c r="BB131" s="412"/>
      <c r="BC131" s="412"/>
      <c r="BD131" s="412"/>
      <c r="BE131" s="412"/>
      <c r="BF131" s="412"/>
      <c r="BG131" s="412"/>
    </row>
    <row r="132" spans="3:59" s="15" customFormat="1" x14ac:dyDescent="0.2">
      <c r="C132" s="412"/>
      <c r="D132" s="412"/>
      <c r="E132" s="742"/>
      <c r="F132" s="412"/>
      <c r="G132" s="412"/>
      <c r="H132" s="412"/>
      <c r="I132" s="412"/>
      <c r="J132" s="412"/>
      <c r="K132" s="412"/>
      <c r="L132" s="412"/>
      <c r="M132" s="412"/>
      <c r="N132" s="412"/>
      <c r="O132" s="412"/>
      <c r="P132" s="412"/>
      <c r="Q132" s="412"/>
      <c r="R132" s="412"/>
      <c r="S132" s="412"/>
      <c r="T132" s="445"/>
      <c r="U132" s="445"/>
      <c r="V132" s="445"/>
      <c r="W132" s="445"/>
      <c r="X132" s="445"/>
      <c r="Y132" s="445"/>
      <c r="Z132" s="445"/>
      <c r="AA132" s="445"/>
      <c r="AB132" s="445"/>
      <c r="AC132" s="445"/>
      <c r="AD132" s="445"/>
      <c r="AE132" s="412"/>
      <c r="AF132" s="412"/>
      <c r="AG132" s="412"/>
      <c r="AH132" s="412"/>
      <c r="AI132" s="412"/>
      <c r="AJ132" s="412"/>
      <c r="AK132" s="412"/>
      <c r="AL132" s="412"/>
      <c r="AM132" s="412"/>
      <c r="AN132" s="412"/>
      <c r="AO132" s="412"/>
      <c r="AP132" s="412"/>
      <c r="AQ132" s="412"/>
      <c r="AR132" s="412"/>
      <c r="AS132" s="412"/>
      <c r="AT132" s="412"/>
      <c r="AU132" s="412"/>
      <c r="AV132" s="412"/>
      <c r="AW132" s="412"/>
      <c r="AX132" s="412"/>
      <c r="AY132" s="412"/>
      <c r="AZ132" s="412"/>
      <c r="BA132" s="412"/>
      <c r="BB132" s="412"/>
      <c r="BC132" s="412"/>
      <c r="BD132" s="412"/>
      <c r="BE132" s="412"/>
      <c r="BF132" s="412"/>
      <c r="BG132" s="412"/>
    </row>
    <row r="133" spans="3:59" s="15" customFormat="1" x14ac:dyDescent="0.2">
      <c r="C133" s="412"/>
      <c r="D133" s="412"/>
      <c r="E133" s="742"/>
      <c r="F133" s="412"/>
      <c r="G133" s="412"/>
      <c r="H133" s="412"/>
      <c r="I133" s="412"/>
      <c r="J133" s="412"/>
      <c r="K133" s="412"/>
      <c r="L133" s="412"/>
      <c r="M133" s="412"/>
      <c r="N133" s="412"/>
      <c r="O133" s="412"/>
      <c r="P133" s="412"/>
      <c r="Q133" s="412"/>
      <c r="R133" s="412"/>
      <c r="S133" s="412"/>
      <c r="T133" s="445"/>
      <c r="U133" s="445"/>
      <c r="V133" s="445"/>
      <c r="W133" s="445"/>
      <c r="X133" s="445"/>
      <c r="Y133" s="445"/>
      <c r="Z133" s="445"/>
      <c r="AA133" s="445"/>
      <c r="AB133" s="445"/>
      <c r="AC133" s="445"/>
      <c r="AD133" s="445"/>
      <c r="AE133" s="412"/>
      <c r="AF133" s="412"/>
      <c r="AG133" s="412"/>
      <c r="AH133" s="412"/>
      <c r="AI133" s="412"/>
      <c r="AJ133" s="412"/>
      <c r="AK133" s="412"/>
      <c r="AL133" s="412"/>
      <c r="AM133" s="412"/>
      <c r="AN133" s="412"/>
      <c r="AO133" s="412"/>
      <c r="AP133" s="412"/>
      <c r="AQ133" s="412"/>
      <c r="AR133" s="412"/>
      <c r="AS133" s="412"/>
      <c r="AT133" s="412"/>
      <c r="AU133" s="412"/>
      <c r="AV133" s="412"/>
      <c r="AW133" s="412"/>
      <c r="AX133" s="412"/>
      <c r="AY133" s="412"/>
      <c r="AZ133" s="412"/>
      <c r="BA133" s="412"/>
      <c r="BB133" s="412"/>
      <c r="BC133" s="412"/>
      <c r="BD133" s="412"/>
      <c r="BE133" s="412"/>
      <c r="BF133" s="412"/>
      <c r="BG133" s="412"/>
    </row>
    <row r="134" spans="3:59" s="15" customFormat="1" x14ac:dyDescent="0.2">
      <c r="C134" s="412"/>
      <c r="D134" s="412"/>
      <c r="E134" s="742"/>
      <c r="F134" s="412"/>
      <c r="G134" s="412"/>
      <c r="H134" s="412"/>
      <c r="I134" s="412"/>
      <c r="J134" s="412"/>
      <c r="K134" s="412"/>
      <c r="L134" s="412"/>
      <c r="M134" s="412"/>
      <c r="N134" s="412"/>
      <c r="O134" s="412"/>
      <c r="P134" s="412"/>
      <c r="Q134" s="412"/>
      <c r="R134" s="412"/>
      <c r="S134" s="412"/>
      <c r="T134" s="445"/>
      <c r="U134" s="445"/>
      <c r="V134" s="445"/>
      <c r="W134" s="445"/>
      <c r="X134" s="445"/>
      <c r="Y134" s="445"/>
      <c r="Z134" s="445"/>
      <c r="AA134" s="445"/>
      <c r="AB134" s="445"/>
      <c r="AC134" s="445"/>
      <c r="AD134" s="445"/>
      <c r="AE134" s="412"/>
      <c r="AF134" s="412"/>
      <c r="AG134" s="412"/>
      <c r="AH134" s="412"/>
      <c r="AI134" s="412"/>
      <c r="AJ134" s="412"/>
      <c r="AK134" s="412"/>
      <c r="AL134" s="412"/>
      <c r="AM134" s="412"/>
      <c r="AN134" s="412"/>
      <c r="AO134" s="412"/>
      <c r="AP134" s="412"/>
      <c r="AQ134" s="412"/>
      <c r="AR134" s="412"/>
      <c r="AS134" s="412"/>
      <c r="AT134" s="412"/>
      <c r="AU134" s="412"/>
      <c r="AV134" s="412"/>
      <c r="AW134" s="412"/>
      <c r="AX134" s="412"/>
      <c r="AY134" s="412"/>
      <c r="AZ134" s="412"/>
      <c r="BA134" s="412"/>
      <c r="BB134" s="412"/>
      <c r="BC134" s="412"/>
      <c r="BD134" s="412"/>
      <c r="BE134" s="412"/>
      <c r="BF134" s="412"/>
      <c r="BG134" s="412"/>
    </row>
    <row r="135" spans="3:59" s="15" customFormat="1" x14ac:dyDescent="0.2">
      <c r="C135" s="412"/>
      <c r="D135" s="412"/>
      <c r="E135" s="742"/>
      <c r="F135" s="412"/>
      <c r="G135" s="412"/>
      <c r="H135" s="412"/>
      <c r="I135" s="412"/>
      <c r="J135" s="412"/>
      <c r="K135" s="412"/>
      <c r="L135" s="412"/>
      <c r="M135" s="412"/>
      <c r="N135" s="412"/>
      <c r="O135" s="412"/>
      <c r="P135" s="412"/>
      <c r="Q135" s="412"/>
      <c r="R135" s="412"/>
      <c r="S135" s="412"/>
      <c r="T135" s="445"/>
      <c r="U135" s="445"/>
      <c r="V135" s="445"/>
      <c r="W135" s="445"/>
      <c r="X135" s="445"/>
      <c r="Y135" s="445"/>
      <c r="Z135" s="445"/>
      <c r="AA135" s="445"/>
      <c r="AB135" s="445"/>
      <c r="AC135" s="445"/>
      <c r="AD135" s="445"/>
      <c r="AE135" s="412"/>
      <c r="AF135" s="412"/>
      <c r="AG135" s="412"/>
      <c r="AH135" s="412"/>
      <c r="AI135" s="412"/>
      <c r="AJ135" s="412"/>
      <c r="AK135" s="412"/>
      <c r="AL135" s="412"/>
      <c r="AM135" s="412"/>
      <c r="AN135" s="412"/>
      <c r="AO135" s="412"/>
      <c r="AP135" s="412"/>
      <c r="AQ135" s="412"/>
      <c r="AR135" s="412"/>
      <c r="AS135" s="412"/>
      <c r="AT135" s="412"/>
      <c r="AU135" s="412"/>
      <c r="AV135" s="412"/>
      <c r="AW135" s="412"/>
      <c r="AX135" s="412"/>
      <c r="AY135" s="412"/>
      <c r="AZ135" s="412"/>
      <c r="BA135" s="412"/>
      <c r="BB135" s="412"/>
      <c r="BC135" s="412"/>
      <c r="BD135" s="412"/>
      <c r="BE135" s="412"/>
      <c r="BF135" s="412"/>
      <c r="BG135" s="412"/>
    </row>
    <row r="136" spans="3:59" s="15" customFormat="1" x14ac:dyDescent="0.2">
      <c r="C136" s="412"/>
      <c r="D136" s="412"/>
      <c r="E136" s="742"/>
      <c r="F136" s="412"/>
      <c r="G136" s="412"/>
      <c r="H136" s="412"/>
      <c r="I136" s="412"/>
      <c r="J136" s="412"/>
      <c r="K136" s="412"/>
      <c r="L136" s="412"/>
      <c r="M136" s="412"/>
      <c r="N136" s="412"/>
      <c r="O136" s="412"/>
      <c r="P136" s="412"/>
      <c r="Q136" s="412"/>
      <c r="R136" s="412"/>
      <c r="S136" s="412"/>
      <c r="T136" s="445"/>
      <c r="U136" s="445"/>
      <c r="V136" s="445"/>
      <c r="W136" s="445"/>
      <c r="X136" s="445"/>
      <c r="Y136" s="445"/>
      <c r="Z136" s="445"/>
      <c r="AA136" s="445"/>
      <c r="AB136" s="445"/>
      <c r="AC136" s="445"/>
      <c r="AD136" s="445"/>
      <c r="AE136" s="412"/>
      <c r="AF136" s="412"/>
      <c r="AG136" s="412"/>
      <c r="AH136" s="412"/>
      <c r="AI136" s="412"/>
      <c r="AJ136" s="412"/>
      <c r="AK136" s="412"/>
      <c r="AL136" s="412"/>
      <c r="AM136" s="412"/>
      <c r="AN136" s="412"/>
      <c r="AO136" s="412"/>
      <c r="AP136" s="412"/>
      <c r="AQ136" s="412"/>
      <c r="AR136" s="412"/>
      <c r="AS136" s="412"/>
      <c r="AT136" s="412"/>
      <c r="AU136" s="412"/>
      <c r="AV136" s="412"/>
      <c r="AW136" s="412"/>
      <c r="AX136" s="412"/>
      <c r="AY136" s="412"/>
      <c r="AZ136" s="412"/>
      <c r="BA136" s="412"/>
      <c r="BB136" s="412"/>
      <c r="BC136" s="412"/>
      <c r="BD136" s="412"/>
      <c r="BE136" s="412"/>
      <c r="BF136" s="412"/>
      <c r="BG136" s="412"/>
    </row>
    <row r="137" spans="3:59" s="15" customFormat="1" x14ac:dyDescent="0.2">
      <c r="C137" s="412"/>
      <c r="D137" s="412"/>
      <c r="E137" s="742"/>
      <c r="F137" s="412"/>
      <c r="G137" s="412"/>
      <c r="H137" s="412"/>
      <c r="I137" s="412"/>
      <c r="J137" s="412"/>
      <c r="K137" s="412"/>
      <c r="L137" s="412"/>
      <c r="M137" s="412"/>
      <c r="N137" s="412"/>
      <c r="O137" s="412"/>
      <c r="P137" s="412"/>
      <c r="Q137" s="412"/>
      <c r="R137" s="412"/>
      <c r="S137" s="412"/>
      <c r="T137" s="445"/>
      <c r="U137" s="445"/>
      <c r="V137" s="445"/>
      <c r="W137" s="445"/>
      <c r="X137" s="445"/>
      <c r="Y137" s="445"/>
      <c r="Z137" s="445"/>
      <c r="AA137" s="445"/>
      <c r="AB137" s="445"/>
      <c r="AC137" s="445"/>
      <c r="AD137" s="445"/>
      <c r="AE137" s="412"/>
      <c r="AF137" s="412"/>
      <c r="AG137" s="412"/>
      <c r="AH137" s="412"/>
      <c r="AI137" s="412"/>
      <c r="AJ137" s="412"/>
      <c r="AK137" s="412"/>
      <c r="AL137" s="412"/>
      <c r="AM137" s="412"/>
      <c r="AN137" s="412"/>
      <c r="AO137" s="412"/>
      <c r="AP137" s="412"/>
      <c r="AQ137" s="412"/>
      <c r="AR137" s="412"/>
      <c r="AS137" s="412"/>
      <c r="AT137" s="412"/>
      <c r="AU137" s="412"/>
      <c r="AV137" s="412"/>
      <c r="AW137" s="412"/>
      <c r="AX137" s="412"/>
      <c r="AY137" s="412"/>
      <c r="AZ137" s="412"/>
      <c r="BA137" s="412"/>
      <c r="BB137" s="412"/>
      <c r="BC137" s="412"/>
      <c r="BD137" s="412"/>
      <c r="BE137" s="412"/>
      <c r="BF137" s="412"/>
      <c r="BG137" s="412"/>
    </row>
    <row r="138" spans="3:59" s="15" customFormat="1" x14ac:dyDescent="0.2">
      <c r="C138" s="412"/>
      <c r="D138" s="412"/>
      <c r="E138" s="742"/>
      <c r="F138" s="412"/>
      <c r="G138" s="412"/>
      <c r="H138" s="412"/>
      <c r="I138" s="412"/>
      <c r="J138" s="412"/>
      <c r="K138" s="412"/>
      <c r="L138" s="412"/>
      <c r="M138" s="412"/>
      <c r="N138" s="412"/>
      <c r="O138" s="412"/>
      <c r="P138" s="412"/>
      <c r="Q138" s="412"/>
      <c r="R138" s="412"/>
      <c r="S138" s="412"/>
      <c r="T138" s="445"/>
      <c r="U138" s="445"/>
      <c r="V138" s="445"/>
      <c r="W138" s="445"/>
      <c r="X138" s="445"/>
      <c r="Y138" s="445"/>
      <c r="Z138" s="445"/>
      <c r="AA138" s="445"/>
      <c r="AB138" s="445"/>
      <c r="AC138" s="445"/>
      <c r="AD138" s="445"/>
      <c r="AE138" s="412"/>
      <c r="AF138" s="412"/>
      <c r="AG138" s="412"/>
      <c r="AH138" s="412"/>
      <c r="AI138" s="412"/>
      <c r="AJ138" s="412"/>
      <c r="AK138" s="412"/>
      <c r="AL138" s="412"/>
      <c r="AM138" s="412"/>
      <c r="AN138" s="412"/>
      <c r="AO138" s="412"/>
      <c r="AP138" s="412"/>
      <c r="AQ138" s="412"/>
      <c r="AR138" s="412"/>
      <c r="AS138" s="412"/>
      <c r="AT138" s="412"/>
      <c r="AU138" s="412"/>
      <c r="AV138" s="412"/>
      <c r="AW138" s="412"/>
      <c r="AX138" s="412"/>
      <c r="AY138" s="412"/>
      <c r="AZ138" s="412"/>
      <c r="BA138" s="412"/>
      <c r="BB138" s="412"/>
      <c r="BC138" s="412"/>
      <c r="BD138" s="412"/>
      <c r="BE138" s="412"/>
      <c r="BF138" s="412"/>
      <c r="BG138" s="412"/>
    </row>
    <row r="139" spans="3:59" s="15" customFormat="1" x14ac:dyDescent="0.2">
      <c r="C139" s="412"/>
      <c r="D139" s="412"/>
      <c r="E139" s="742"/>
      <c r="F139" s="412"/>
      <c r="G139" s="412"/>
      <c r="H139" s="412"/>
      <c r="I139" s="412"/>
      <c r="J139" s="412"/>
      <c r="K139" s="412"/>
      <c r="L139" s="412"/>
      <c r="M139" s="412"/>
      <c r="N139" s="412"/>
      <c r="O139" s="412"/>
      <c r="P139" s="412"/>
      <c r="Q139" s="412"/>
      <c r="R139" s="412"/>
      <c r="S139" s="412"/>
      <c r="T139" s="445"/>
      <c r="U139" s="445"/>
      <c r="V139" s="445"/>
      <c r="W139" s="445"/>
      <c r="X139" s="445"/>
      <c r="Y139" s="445"/>
      <c r="Z139" s="445"/>
      <c r="AA139" s="445"/>
      <c r="AB139" s="445"/>
      <c r="AC139" s="445"/>
      <c r="AD139" s="445"/>
      <c r="AE139" s="412"/>
      <c r="AF139" s="412"/>
      <c r="AG139" s="412"/>
      <c r="AH139" s="412"/>
      <c r="AI139" s="412"/>
      <c r="AJ139" s="412"/>
      <c r="AK139" s="412"/>
      <c r="AL139" s="412"/>
      <c r="AM139" s="412"/>
      <c r="AN139" s="412"/>
      <c r="AO139" s="412"/>
      <c r="AP139" s="412"/>
      <c r="AQ139" s="412"/>
      <c r="AR139" s="412"/>
      <c r="AS139" s="412"/>
      <c r="AT139" s="412"/>
      <c r="AU139" s="412"/>
      <c r="AV139" s="412"/>
      <c r="AW139" s="412"/>
      <c r="AX139" s="412"/>
      <c r="AY139" s="412"/>
      <c r="AZ139" s="412"/>
      <c r="BA139" s="412"/>
      <c r="BB139" s="412"/>
      <c r="BC139" s="412"/>
      <c r="BD139" s="412"/>
      <c r="BE139" s="412"/>
      <c r="BF139" s="412"/>
      <c r="BG139" s="412"/>
    </row>
    <row r="140" spans="3:59" s="15" customFormat="1" x14ac:dyDescent="0.2">
      <c r="C140" s="412"/>
      <c r="D140" s="412"/>
      <c r="E140" s="742"/>
      <c r="F140" s="412"/>
      <c r="G140" s="412"/>
      <c r="H140" s="412"/>
      <c r="I140" s="412"/>
      <c r="J140" s="412"/>
      <c r="K140" s="412"/>
      <c r="L140" s="412"/>
      <c r="M140" s="412"/>
      <c r="N140" s="412"/>
      <c r="O140" s="412"/>
      <c r="P140" s="412"/>
      <c r="Q140" s="412"/>
      <c r="R140" s="412"/>
      <c r="S140" s="412"/>
      <c r="T140" s="445"/>
      <c r="U140" s="445"/>
      <c r="V140" s="445"/>
      <c r="W140" s="445"/>
      <c r="X140" s="445"/>
      <c r="Y140" s="445"/>
      <c r="Z140" s="445"/>
      <c r="AA140" s="445"/>
      <c r="AB140" s="445"/>
      <c r="AC140" s="445"/>
      <c r="AD140" s="445"/>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c r="BF140" s="412"/>
      <c r="BG140" s="412"/>
    </row>
    <row r="141" spans="3:59" s="15" customFormat="1" x14ac:dyDescent="0.2">
      <c r="C141" s="412"/>
      <c r="D141" s="412"/>
      <c r="E141" s="742"/>
      <c r="F141" s="412"/>
      <c r="G141" s="412"/>
      <c r="H141" s="412"/>
      <c r="I141" s="412"/>
      <c r="J141" s="412"/>
      <c r="K141" s="412"/>
      <c r="L141" s="412"/>
      <c r="M141" s="412"/>
      <c r="N141" s="412"/>
      <c r="O141" s="412"/>
      <c r="P141" s="412"/>
      <c r="Q141" s="412"/>
      <c r="R141" s="412"/>
      <c r="S141" s="412"/>
      <c r="T141" s="445"/>
      <c r="U141" s="445"/>
      <c r="V141" s="445"/>
      <c r="W141" s="445"/>
      <c r="X141" s="445"/>
      <c r="Y141" s="445"/>
      <c r="Z141" s="445"/>
      <c r="AA141" s="445"/>
      <c r="AB141" s="445"/>
      <c r="AC141" s="445"/>
      <c r="AD141" s="445"/>
      <c r="AE141" s="412"/>
      <c r="AF141" s="412"/>
      <c r="AG141" s="412"/>
      <c r="AH141" s="412"/>
      <c r="AI141" s="412"/>
      <c r="AJ141" s="412"/>
      <c r="AK141" s="412"/>
      <c r="AL141" s="412"/>
      <c r="AM141" s="412"/>
      <c r="AN141" s="412"/>
      <c r="AO141" s="412"/>
      <c r="AP141" s="412"/>
      <c r="AQ141" s="412"/>
      <c r="AR141" s="412"/>
      <c r="AS141" s="412"/>
      <c r="AT141" s="412"/>
      <c r="AU141" s="412"/>
      <c r="AV141" s="412"/>
      <c r="AW141" s="412"/>
      <c r="AX141" s="412"/>
      <c r="AY141" s="412"/>
      <c r="AZ141" s="412"/>
      <c r="BA141" s="412"/>
      <c r="BB141" s="412"/>
      <c r="BC141" s="412"/>
      <c r="BD141" s="412"/>
      <c r="BE141" s="412"/>
      <c r="BF141" s="412"/>
      <c r="BG141" s="412"/>
    </row>
    <row r="142" spans="3:59" s="15" customFormat="1" x14ac:dyDescent="0.2">
      <c r="C142" s="412"/>
      <c r="D142" s="412"/>
      <c r="E142" s="742"/>
      <c r="F142" s="412"/>
      <c r="G142" s="412"/>
      <c r="H142" s="412"/>
      <c r="I142" s="412"/>
      <c r="J142" s="412"/>
      <c r="K142" s="412"/>
      <c r="L142" s="412"/>
      <c r="M142" s="412"/>
      <c r="N142" s="412"/>
      <c r="O142" s="412"/>
      <c r="P142" s="412"/>
      <c r="Q142" s="412"/>
      <c r="R142" s="412"/>
      <c r="S142" s="412"/>
      <c r="T142" s="445"/>
      <c r="U142" s="445"/>
      <c r="V142" s="445"/>
      <c r="W142" s="445"/>
      <c r="X142" s="445"/>
      <c r="Y142" s="445"/>
      <c r="Z142" s="445"/>
      <c r="AA142" s="445"/>
      <c r="AB142" s="445"/>
      <c r="AC142" s="445"/>
      <c r="AD142" s="445"/>
      <c r="AE142" s="412"/>
      <c r="AF142" s="412"/>
      <c r="AG142" s="412"/>
      <c r="AH142" s="412"/>
      <c r="AI142" s="412"/>
      <c r="AJ142" s="412"/>
      <c r="AK142" s="412"/>
      <c r="AL142" s="412"/>
      <c r="AM142" s="412"/>
      <c r="AN142" s="412"/>
      <c r="AO142" s="412"/>
      <c r="AP142" s="412"/>
      <c r="AQ142" s="412"/>
      <c r="AR142" s="412"/>
      <c r="AS142" s="412"/>
      <c r="AT142" s="412"/>
      <c r="AU142" s="412"/>
      <c r="AV142" s="412"/>
      <c r="AW142" s="412"/>
      <c r="AX142" s="412"/>
      <c r="AY142" s="412"/>
      <c r="AZ142" s="412"/>
      <c r="BA142" s="412"/>
      <c r="BB142" s="412"/>
      <c r="BC142" s="412"/>
      <c r="BD142" s="412"/>
      <c r="BE142" s="412"/>
      <c r="BF142" s="412"/>
      <c r="BG142" s="412"/>
    </row>
    <row r="143" spans="3:59" s="15" customFormat="1" x14ac:dyDescent="0.2">
      <c r="C143" s="412"/>
      <c r="D143" s="412"/>
      <c r="E143" s="742"/>
      <c r="F143" s="412"/>
      <c r="G143" s="412"/>
      <c r="H143" s="412"/>
      <c r="I143" s="412"/>
      <c r="J143" s="412"/>
      <c r="K143" s="412"/>
      <c r="L143" s="412"/>
      <c r="M143" s="412"/>
      <c r="N143" s="412"/>
      <c r="O143" s="412"/>
      <c r="P143" s="412"/>
      <c r="Q143" s="412"/>
      <c r="R143" s="412"/>
      <c r="S143" s="412"/>
      <c r="T143" s="445"/>
      <c r="U143" s="445"/>
      <c r="V143" s="445"/>
      <c r="W143" s="445"/>
      <c r="X143" s="445"/>
      <c r="Y143" s="445"/>
      <c r="Z143" s="445"/>
      <c r="AA143" s="445"/>
      <c r="AB143" s="445"/>
      <c r="AC143" s="445"/>
      <c r="AD143" s="445"/>
      <c r="AE143" s="412"/>
      <c r="AF143" s="412"/>
      <c r="AG143" s="412"/>
      <c r="AH143" s="412"/>
      <c r="AI143" s="412"/>
      <c r="AJ143" s="412"/>
      <c r="AK143" s="412"/>
      <c r="AL143" s="412"/>
      <c r="AM143" s="412"/>
      <c r="AN143" s="412"/>
      <c r="AO143" s="412"/>
      <c r="AP143" s="412"/>
      <c r="AQ143" s="412"/>
      <c r="AR143" s="412"/>
      <c r="AS143" s="412"/>
      <c r="AT143" s="412"/>
      <c r="AU143" s="412"/>
      <c r="AV143" s="412"/>
      <c r="AW143" s="412"/>
      <c r="AX143" s="412"/>
      <c r="AY143" s="412"/>
      <c r="AZ143" s="412"/>
      <c r="BA143" s="412"/>
      <c r="BB143" s="412"/>
      <c r="BC143" s="412"/>
      <c r="BD143" s="412"/>
      <c r="BE143" s="412"/>
      <c r="BF143" s="412"/>
      <c r="BG143" s="412"/>
    </row>
    <row r="144" spans="3:59" s="15" customFormat="1" x14ac:dyDescent="0.2">
      <c r="C144" s="412"/>
      <c r="D144" s="412"/>
      <c r="E144" s="742"/>
      <c r="F144" s="412"/>
      <c r="G144" s="412"/>
      <c r="H144" s="412"/>
      <c r="I144" s="412"/>
      <c r="J144" s="412"/>
      <c r="K144" s="412"/>
      <c r="L144" s="412"/>
      <c r="M144" s="412"/>
      <c r="N144" s="412"/>
      <c r="O144" s="412"/>
      <c r="P144" s="412"/>
      <c r="Q144" s="412"/>
      <c r="R144" s="412"/>
      <c r="S144" s="412"/>
      <c r="T144" s="445"/>
      <c r="U144" s="445"/>
      <c r="V144" s="445"/>
      <c r="W144" s="445"/>
      <c r="X144" s="445"/>
      <c r="Y144" s="445"/>
      <c r="Z144" s="445"/>
      <c r="AA144" s="445"/>
      <c r="AB144" s="445"/>
      <c r="AC144" s="445"/>
      <c r="AD144" s="445"/>
      <c r="AE144" s="412"/>
      <c r="AF144" s="412"/>
      <c r="AG144" s="412"/>
      <c r="AH144" s="412"/>
      <c r="AI144" s="412"/>
      <c r="AJ144" s="412"/>
      <c r="AK144" s="412"/>
      <c r="AL144" s="412"/>
      <c r="AM144" s="412"/>
      <c r="AN144" s="412"/>
      <c r="AO144" s="412"/>
      <c r="AP144" s="412"/>
      <c r="AQ144" s="412"/>
      <c r="AR144" s="412"/>
      <c r="AS144" s="412"/>
      <c r="AT144" s="412"/>
      <c r="AU144" s="412"/>
      <c r="AV144" s="412"/>
      <c r="AW144" s="412"/>
      <c r="AX144" s="412"/>
      <c r="AY144" s="412"/>
      <c r="AZ144" s="412"/>
      <c r="BA144" s="412"/>
      <c r="BB144" s="412"/>
      <c r="BC144" s="412"/>
      <c r="BD144" s="412"/>
      <c r="BE144" s="412"/>
      <c r="BF144" s="412"/>
      <c r="BG144" s="412"/>
    </row>
    <row r="145" spans="3:59" s="15" customFormat="1" x14ac:dyDescent="0.2">
      <c r="C145" s="412"/>
      <c r="D145" s="412"/>
      <c r="E145" s="742"/>
      <c r="F145" s="412"/>
      <c r="G145" s="412"/>
      <c r="H145" s="412"/>
      <c r="I145" s="412"/>
      <c r="J145" s="412"/>
      <c r="K145" s="412"/>
      <c r="L145" s="412"/>
      <c r="M145" s="412"/>
      <c r="N145" s="412"/>
      <c r="O145" s="412"/>
      <c r="P145" s="412"/>
      <c r="Q145" s="412"/>
      <c r="R145" s="412"/>
      <c r="S145" s="412"/>
      <c r="T145" s="445"/>
      <c r="U145" s="445"/>
      <c r="V145" s="445"/>
      <c r="W145" s="445"/>
      <c r="X145" s="445"/>
      <c r="Y145" s="445"/>
      <c r="Z145" s="445"/>
      <c r="AA145" s="445"/>
      <c r="AB145" s="445"/>
      <c r="AC145" s="445"/>
      <c r="AD145" s="445"/>
      <c r="AE145" s="412"/>
      <c r="AF145" s="412"/>
      <c r="AG145" s="412"/>
      <c r="AH145" s="412"/>
      <c r="AI145" s="412"/>
      <c r="AJ145" s="412"/>
      <c r="AK145" s="412"/>
      <c r="AL145" s="412"/>
      <c r="AM145" s="412"/>
      <c r="AN145" s="412"/>
      <c r="AO145" s="412"/>
      <c r="AP145" s="412"/>
      <c r="AQ145" s="412"/>
      <c r="AR145" s="412"/>
      <c r="AS145" s="412"/>
      <c r="AT145" s="412"/>
      <c r="AU145" s="412"/>
      <c r="AV145" s="412"/>
      <c r="AW145" s="412"/>
      <c r="AX145" s="412"/>
      <c r="AY145" s="412"/>
      <c r="AZ145" s="412"/>
      <c r="BA145" s="412"/>
      <c r="BB145" s="412"/>
      <c r="BC145" s="412"/>
      <c r="BD145" s="412"/>
      <c r="BE145" s="412"/>
      <c r="BF145" s="412"/>
      <c r="BG145" s="412"/>
    </row>
    <row r="146" spans="3:59" s="15" customFormat="1" x14ac:dyDescent="0.2">
      <c r="C146" s="412"/>
      <c r="D146" s="412"/>
      <c r="E146" s="742"/>
      <c r="F146" s="412"/>
      <c r="G146" s="412"/>
      <c r="H146" s="412"/>
      <c r="I146" s="412"/>
      <c r="J146" s="412"/>
      <c r="K146" s="412"/>
      <c r="L146" s="412"/>
      <c r="M146" s="412"/>
      <c r="N146" s="412"/>
      <c r="O146" s="412"/>
      <c r="P146" s="412"/>
      <c r="Q146" s="412"/>
      <c r="R146" s="412"/>
      <c r="S146" s="412"/>
      <c r="T146" s="445"/>
      <c r="U146" s="445"/>
      <c r="V146" s="445"/>
      <c r="W146" s="445"/>
      <c r="X146" s="445"/>
      <c r="Y146" s="445"/>
      <c r="Z146" s="445"/>
      <c r="AA146" s="445"/>
      <c r="AB146" s="445"/>
      <c r="AC146" s="445"/>
      <c r="AD146" s="445"/>
      <c r="AE146" s="412"/>
      <c r="AF146" s="412"/>
      <c r="AG146" s="412"/>
      <c r="AH146" s="412"/>
      <c r="AI146" s="412"/>
      <c r="AJ146" s="412"/>
      <c r="AK146" s="412"/>
      <c r="AL146" s="412"/>
      <c r="AM146" s="412"/>
      <c r="AN146" s="412"/>
      <c r="AO146" s="412"/>
      <c r="AP146" s="412"/>
      <c r="AQ146" s="412"/>
      <c r="AR146" s="412"/>
      <c r="AS146" s="412"/>
      <c r="AT146" s="412"/>
      <c r="AU146" s="412"/>
      <c r="AV146" s="412"/>
      <c r="AW146" s="412"/>
      <c r="AX146" s="412"/>
      <c r="AY146" s="449"/>
    </row>
    <row r="147" spans="3:59" s="15" customFormat="1" x14ac:dyDescent="0.2">
      <c r="C147" s="412"/>
      <c r="D147" s="412"/>
      <c r="E147" s="742"/>
      <c r="F147" s="412"/>
      <c r="G147" s="412"/>
      <c r="H147" s="412"/>
      <c r="I147" s="412"/>
      <c r="J147" s="412"/>
      <c r="K147" s="412"/>
      <c r="L147" s="412"/>
      <c r="M147" s="412"/>
      <c r="N147" s="412"/>
      <c r="O147" s="412"/>
      <c r="P147" s="412"/>
      <c r="Q147" s="412"/>
      <c r="R147" s="412"/>
      <c r="S147" s="412"/>
      <c r="T147" s="445"/>
      <c r="U147" s="445"/>
      <c r="V147" s="445"/>
      <c r="W147" s="445"/>
      <c r="X147" s="445"/>
      <c r="Y147" s="445"/>
      <c r="Z147" s="445"/>
      <c r="AA147" s="445"/>
      <c r="AB147" s="445"/>
      <c r="AC147" s="445"/>
      <c r="AD147" s="445"/>
      <c r="AE147" s="412"/>
      <c r="AF147" s="412"/>
      <c r="AG147" s="412"/>
      <c r="AH147" s="412"/>
      <c r="AI147" s="412"/>
      <c r="AJ147" s="412"/>
      <c r="AK147" s="412"/>
      <c r="AL147" s="412"/>
      <c r="AM147" s="412"/>
      <c r="AN147" s="412"/>
      <c r="AO147" s="412"/>
      <c r="AP147" s="412"/>
      <c r="AQ147" s="412"/>
      <c r="AR147" s="412"/>
      <c r="AS147" s="412"/>
      <c r="AT147" s="412"/>
      <c r="AU147" s="412"/>
      <c r="AV147" s="412"/>
      <c r="AW147" s="412"/>
      <c r="AX147" s="412"/>
      <c r="AY147" s="449"/>
    </row>
    <row r="148" spans="3:59" s="15" customFormat="1" x14ac:dyDescent="0.2">
      <c r="C148" s="412"/>
      <c r="D148" s="412"/>
      <c r="E148" s="742"/>
      <c r="F148" s="412"/>
      <c r="G148" s="412"/>
      <c r="H148" s="412"/>
      <c r="I148" s="412"/>
      <c r="J148" s="412"/>
      <c r="K148" s="412"/>
      <c r="L148" s="412"/>
      <c r="M148" s="412"/>
      <c r="N148" s="412"/>
      <c r="O148" s="412"/>
      <c r="P148" s="412"/>
      <c r="Q148" s="412"/>
      <c r="R148" s="412"/>
      <c r="S148" s="412"/>
      <c r="T148" s="445"/>
      <c r="U148" s="445"/>
      <c r="V148" s="445"/>
      <c r="W148" s="445"/>
      <c r="X148" s="445"/>
      <c r="Y148" s="445"/>
      <c r="Z148" s="445"/>
      <c r="AA148" s="445"/>
      <c r="AB148" s="445"/>
      <c r="AC148" s="445"/>
      <c r="AD148" s="445"/>
      <c r="AE148" s="412"/>
      <c r="AF148" s="412"/>
      <c r="AG148" s="412"/>
      <c r="AH148" s="412"/>
      <c r="AI148" s="412"/>
      <c r="AJ148" s="412"/>
      <c r="AK148" s="412"/>
      <c r="AL148" s="412"/>
      <c r="AM148" s="412"/>
      <c r="AN148" s="412"/>
      <c r="AO148" s="412"/>
      <c r="AP148" s="412"/>
      <c r="AQ148" s="412"/>
      <c r="AR148" s="412"/>
      <c r="AS148" s="412"/>
      <c r="AT148" s="412"/>
      <c r="AU148" s="412"/>
      <c r="AV148" s="412"/>
      <c r="AW148" s="412"/>
      <c r="AX148" s="412"/>
      <c r="AY148" s="449"/>
    </row>
    <row r="149" spans="3:59" s="15" customFormat="1" x14ac:dyDescent="0.2">
      <c r="C149" s="412"/>
      <c r="D149" s="412"/>
      <c r="E149" s="742"/>
      <c r="F149" s="412"/>
      <c r="G149" s="412"/>
      <c r="H149" s="412"/>
      <c r="I149" s="412"/>
      <c r="J149" s="412"/>
      <c r="K149" s="412"/>
      <c r="L149" s="412"/>
      <c r="M149" s="412"/>
      <c r="N149" s="412"/>
      <c r="O149" s="412"/>
      <c r="P149" s="412"/>
      <c r="Q149" s="412"/>
      <c r="R149" s="412"/>
      <c r="S149" s="412"/>
      <c r="T149" s="445"/>
      <c r="U149" s="445"/>
      <c r="V149" s="445"/>
      <c r="W149" s="445"/>
      <c r="X149" s="445"/>
      <c r="Y149" s="445"/>
      <c r="Z149" s="445"/>
      <c r="AA149" s="445"/>
      <c r="AB149" s="445"/>
      <c r="AC149" s="445"/>
      <c r="AD149" s="445"/>
      <c r="AE149" s="412"/>
      <c r="AF149" s="412"/>
      <c r="AG149" s="412"/>
      <c r="AH149" s="412"/>
      <c r="AI149" s="412"/>
      <c r="AJ149" s="412"/>
      <c r="AK149" s="412"/>
      <c r="AL149" s="412"/>
      <c r="AM149" s="412"/>
      <c r="AN149" s="412"/>
      <c r="AO149" s="412"/>
      <c r="AP149" s="412"/>
      <c r="AQ149" s="412"/>
      <c r="AR149" s="412"/>
      <c r="AS149" s="412"/>
      <c r="AT149" s="412"/>
      <c r="AU149" s="412"/>
      <c r="AV149" s="412"/>
      <c r="AW149" s="412"/>
      <c r="AX149" s="412"/>
      <c r="AY149" s="449"/>
    </row>
    <row r="150" spans="3:59" s="15" customFormat="1" x14ac:dyDescent="0.2">
      <c r="C150" s="412"/>
      <c r="D150" s="412"/>
      <c r="E150" s="742"/>
      <c r="F150" s="412"/>
      <c r="G150" s="412"/>
      <c r="H150" s="412"/>
      <c r="I150" s="412"/>
      <c r="J150" s="412"/>
      <c r="K150" s="412"/>
      <c r="L150" s="412"/>
      <c r="M150" s="412"/>
      <c r="N150" s="412"/>
      <c r="O150" s="412"/>
      <c r="P150" s="412"/>
      <c r="Q150" s="412"/>
      <c r="R150" s="412"/>
      <c r="S150" s="412"/>
      <c r="T150" s="445"/>
      <c r="U150" s="445"/>
      <c r="V150" s="445"/>
      <c r="W150" s="445"/>
      <c r="X150" s="445"/>
      <c r="Y150" s="445"/>
      <c r="Z150" s="445"/>
      <c r="AA150" s="445"/>
      <c r="AB150" s="445"/>
      <c r="AC150" s="445"/>
      <c r="AD150" s="445"/>
      <c r="AE150" s="412"/>
      <c r="AF150" s="412"/>
      <c r="AG150" s="412"/>
      <c r="AH150" s="412"/>
      <c r="AI150" s="412"/>
      <c r="AJ150" s="412"/>
      <c r="AK150" s="412"/>
      <c r="AL150" s="412"/>
      <c r="AM150" s="412"/>
      <c r="AN150" s="412"/>
      <c r="AO150" s="412"/>
      <c r="AP150" s="412"/>
      <c r="AQ150" s="412"/>
      <c r="AR150" s="412"/>
      <c r="AS150" s="412"/>
      <c r="AT150" s="412"/>
      <c r="AU150" s="412"/>
      <c r="AV150" s="412"/>
      <c r="AW150" s="412"/>
      <c r="AX150" s="412"/>
      <c r="AY150" s="449"/>
    </row>
    <row r="151" spans="3:59" s="15" customFormat="1" x14ac:dyDescent="0.2">
      <c r="C151" s="412"/>
      <c r="D151" s="412"/>
      <c r="E151" s="742"/>
      <c r="F151" s="412"/>
      <c r="G151" s="412"/>
      <c r="H151" s="412"/>
      <c r="I151" s="412"/>
      <c r="J151" s="412"/>
      <c r="K151" s="412"/>
      <c r="L151" s="412"/>
      <c r="M151" s="412"/>
      <c r="N151" s="412"/>
      <c r="O151" s="412"/>
      <c r="P151" s="412"/>
      <c r="Q151" s="412"/>
      <c r="R151" s="412"/>
      <c r="S151" s="412"/>
      <c r="T151" s="445"/>
      <c r="U151" s="445"/>
      <c r="V151" s="445"/>
      <c r="W151" s="445"/>
      <c r="X151" s="445"/>
      <c r="Y151" s="445"/>
      <c r="Z151" s="445"/>
      <c r="AA151" s="445"/>
      <c r="AB151" s="445"/>
      <c r="AC151" s="445"/>
      <c r="AD151" s="445"/>
      <c r="AE151" s="412"/>
      <c r="AF151" s="412"/>
      <c r="AG151" s="412"/>
      <c r="AH151" s="412"/>
      <c r="AI151" s="412"/>
      <c r="AJ151" s="412"/>
      <c r="AK151" s="412"/>
      <c r="AL151" s="412"/>
      <c r="AM151" s="412"/>
      <c r="AN151" s="412"/>
      <c r="AO151" s="412"/>
      <c r="AP151" s="412"/>
      <c r="AQ151" s="412"/>
      <c r="AR151" s="412"/>
      <c r="AS151" s="412"/>
      <c r="AT151" s="412"/>
      <c r="AU151" s="412"/>
      <c r="AV151" s="412"/>
      <c r="AW151" s="412"/>
      <c r="AX151" s="412"/>
      <c r="AY151" s="449"/>
    </row>
    <row r="152" spans="3:59" s="15" customFormat="1" x14ac:dyDescent="0.2">
      <c r="C152" s="412"/>
      <c r="D152" s="412"/>
      <c r="E152" s="742"/>
      <c r="F152" s="412"/>
      <c r="G152" s="412"/>
      <c r="H152" s="412"/>
      <c r="I152" s="412"/>
      <c r="J152" s="412"/>
      <c r="K152" s="412"/>
      <c r="L152" s="412"/>
      <c r="M152" s="412"/>
      <c r="N152" s="412"/>
      <c r="O152" s="412"/>
      <c r="P152" s="412"/>
      <c r="Q152" s="412"/>
      <c r="R152" s="412"/>
      <c r="S152" s="412"/>
      <c r="T152" s="445"/>
      <c r="U152" s="445"/>
      <c r="V152" s="445"/>
      <c r="W152" s="445"/>
      <c r="X152" s="445"/>
      <c r="Y152" s="445"/>
      <c r="Z152" s="445"/>
      <c r="AA152" s="445"/>
      <c r="AB152" s="445"/>
      <c r="AC152" s="445"/>
      <c r="AD152" s="445"/>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49"/>
    </row>
    <row r="153" spans="3:59" s="15" customFormat="1" x14ac:dyDescent="0.2">
      <c r="C153" s="412"/>
      <c r="D153" s="412"/>
      <c r="E153" s="742"/>
      <c r="F153" s="412"/>
      <c r="G153" s="412"/>
      <c r="H153" s="412"/>
      <c r="I153" s="412"/>
      <c r="J153" s="412"/>
      <c r="K153" s="412"/>
      <c r="L153" s="412"/>
      <c r="M153" s="412"/>
      <c r="N153" s="412"/>
      <c r="O153" s="412"/>
      <c r="P153" s="412"/>
      <c r="Q153" s="412"/>
      <c r="R153" s="412"/>
      <c r="S153" s="412"/>
      <c r="T153" s="445"/>
      <c r="U153" s="445"/>
      <c r="V153" s="445"/>
      <c r="W153" s="445"/>
      <c r="X153" s="445"/>
      <c r="Y153" s="445"/>
      <c r="Z153" s="445"/>
      <c r="AA153" s="445"/>
      <c r="AB153" s="445"/>
      <c r="AC153" s="445"/>
      <c r="AD153" s="445"/>
      <c r="AE153" s="412"/>
      <c r="AF153" s="412"/>
      <c r="AG153" s="412"/>
      <c r="AH153" s="412"/>
      <c r="AI153" s="412"/>
      <c r="AJ153" s="412"/>
      <c r="AK153" s="412"/>
      <c r="AL153" s="412"/>
      <c r="AM153" s="412"/>
      <c r="AN153" s="412"/>
      <c r="AO153" s="412"/>
      <c r="AP153" s="412"/>
      <c r="AQ153" s="412"/>
      <c r="AR153" s="412"/>
      <c r="AS153" s="412"/>
      <c r="AT153" s="412"/>
      <c r="AU153" s="412"/>
      <c r="AV153" s="412"/>
      <c r="AW153" s="412"/>
      <c r="AX153" s="412"/>
      <c r="AY153" s="449"/>
    </row>
    <row r="154" spans="3:59" s="15" customFormat="1" x14ac:dyDescent="0.2">
      <c r="C154" s="412"/>
      <c r="D154" s="412"/>
      <c r="E154" s="742"/>
      <c r="F154" s="412"/>
      <c r="G154" s="412"/>
      <c r="H154" s="412"/>
      <c r="I154" s="412"/>
      <c r="J154" s="412"/>
      <c r="K154" s="412"/>
      <c r="L154" s="412"/>
      <c r="M154" s="412"/>
      <c r="N154" s="412"/>
      <c r="O154" s="412"/>
      <c r="P154" s="412"/>
      <c r="Q154" s="412"/>
      <c r="R154" s="412"/>
      <c r="S154" s="412"/>
      <c r="T154" s="445"/>
      <c r="U154" s="445"/>
      <c r="V154" s="445"/>
      <c r="W154" s="445"/>
      <c r="X154" s="445"/>
      <c r="Y154" s="445"/>
      <c r="Z154" s="445"/>
      <c r="AA154" s="445"/>
      <c r="AB154" s="445"/>
      <c r="AC154" s="445"/>
      <c r="AD154" s="445"/>
      <c r="AE154" s="412"/>
      <c r="AF154" s="412"/>
      <c r="AG154" s="412"/>
      <c r="AH154" s="412"/>
      <c r="AI154" s="412"/>
      <c r="AJ154" s="412"/>
      <c r="AK154" s="412"/>
      <c r="AL154" s="412"/>
      <c r="AM154" s="412"/>
      <c r="AN154" s="412"/>
      <c r="AO154" s="412"/>
      <c r="AP154" s="412"/>
      <c r="AQ154" s="412"/>
      <c r="AR154" s="412"/>
      <c r="AS154" s="412"/>
      <c r="AT154" s="412"/>
      <c r="AU154" s="412"/>
      <c r="AV154" s="412"/>
      <c r="AW154" s="412"/>
      <c r="AX154" s="412"/>
      <c r="AY154" s="449"/>
    </row>
    <row r="155" spans="3:59" s="15" customFormat="1" x14ac:dyDescent="0.2">
      <c r="C155" s="412"/>
      <c r="D155" s="412"/>
      <c r="E155" s="742"/>
      <c r="F155" s="412"/>
      <c r="G155" s="412"/>
      <c r="H155" s="412"/>
      <c r="I155" s="412"/>
      <c r="J155" s="412"/>
      <c r="K155" s="412"/>
      <c r="L155" s="412"/>
      <c r="M155" s="412"/>
      <c r="N155" s="412"/>
      <c r="O155" s="412"/>
      <c r="P155" s="412"/>
      <c r="Q155" s="412"/>
      <c r="R155" s="412"/>
      <c r="S155" s="412"/>
      <c r="T155" s="445"/>
      <c r="U155" s="445"/>
      <c r="V155" s="445"/>
      <c r="W155" s="445"/>
      <c r="X155" s="445"/>
      <c r="Y155" s="445"/>
      <c r="Z155" s="445"/>
      <c r="AA155" s="445"/>
      <c r="AB155" s="445"/>
      <c r="AC155" s="445"/>
      <c r="AD155" s="445"/>
      <c r="AE155" s="412"/>
      <c r="AF155" s="412"/>
      <c r="AG155" s="412"/>
      <c r="AH155" s="412"/>
      <c r="AI155" s="412"/>
      <c r="AJ155" s="412"/>
      <c r="AK155" s="412"/>
      <c r="AL155" s="412"/>
      <c r="AM155" s="412"/>
      <c r="AN155" s="412"/>
      <c r="AO155" s="412"/>
      <c r="AP155" s="412"/>
      <c r="AQ155" s="412"/>
      <c r="AR155" s="412"/>
      <c r="AS155" s="412"/>
      <c r="AT155" s="412"/>
      <c r="AU155" s="412"/>
      <c r="AV155" s="412"/>
      <c r="AW155" s="412"/>
      <c r="AX155" s="412"/>
      <c r="AY155" s="449"/>
    </row>
    <row r="156" spans="3:59" s="15" customFormat="1" x14ac:dyDescent="0.2">
      <c r="C156" s="412"/>
      <c r="D156" s="412"/>
      <c r="E156" s="742"/>
      <c r="F156" s="412"/>
      <c r="G156" s="412"/>
      <c r="H156" s="412"/>
      <c r="I156" s="412"/>
      <c r="J156" s="412"/>
      <c r="K156" s="412"/>
      <c r="L156" s="412"/>
      <c r="M156" s="412"/>
      <c r="N156" s="412"/>
      <c r="O156" s="412"/>
      <c r="P156" s="412"/>
      <c r="Q156" s="412"/>
      <c r="R156" s="412"/>
      <c r="S156" s="412"/>
      <c r="T156" s="445"/>
      <c r="U156" s="445"/>
      <c r="V156" s="445"/>
      <c r="W156" s="445"/>
      <c r="X156" s="445"/>
      <c r="Y156" s="445"/>
      <c r="Z156" s="445"/>
      <c r="AA156" s="445"/>
      <c r="AB156" s="445"/>
      <c r="AC156" s="445"/>
      <c r="AD156" s="445"/>
      <c r="AE156" s="412"/>
      <c r="AF156" s="412"/>
      <c r="AG156" s="412"/>
      <c r="AH156" s="412"/>
      <c r="AI156" s="412"/>
      <c r="AJ156" s="412"/>
      <c r="AK156" s="412"/>
      <c r="AL156" s="412"/>
      <c r="AM156" s="412"/>
      <c r="AN156" s="412"/>
      <c r="AO156" s="412"/>
      <c r="AP156" s="412"/>
      <c r="AQ156" s="412"/>
      <c r="AR156" s="412"/>
      <c r="AS156" s="412"/>
      <c r="AT156" s="412"/>
      <c r="AU156" s="412"/>
      <c r="AV156" s="412"/>
      <c r="AW156" s="412"/>
      <c r="AX156" s="412"/>
      <c r="AY156" s="449"/>
    </row>
    <row r="157" spans="3:59" s="15" customFormat="1" x14ac:dyDescent="0.2">
      <c r="C157" s="412"/>
      <c r="D157" s="412"/>
      <c r="E157" s="742"/>
      <c r="F157" s="412"/>
      <c r="G157" s="412"/>
      <c r="H157" s="412"/>
      <c r="I157" s="412"/>
      <c r="J157" s="412"/>
      <c r="K157" s="412"/>
      <c r="L157" s="412"/>
      <c r="M157" s="412"/>
      <c r="N157" s="412"/>
      <c r="O157" s="412"/>
      <c r="P157" s="412"/>
      <c r="Q157" s="412"/>
      <c r="R157" s="412"/>
      <c r="S157" s="412"/>
      <c r="T157" s="445"/>
      <c r="U157" s="445"/>
      <c r="V157" s="445"/>
      <c r="W157" s="445"/>
      <c r="X157" s="445"/>
      <c r="Y157" s="445"/>
      <c r="Z157" s="445"/>
      <c r="AA157" s="445"/>
      <c r="AB157" s="445"/>
      <c r="AC157" s="445"/>
      <c r="AD157" s="445"/>
      <c r="AE157" s="412"/>
      <c r="AF157" s="412"/>
      <c r="AG157" s="412"/>
      <c r="AH157" s="412"/>
      <c r="AI157" s="412"/>
      <c r="AJ157" s="412"/>
      <c r="AK157" s="412"/>
      <c r="AL157" s="412"/>
      <c r="AM157" s="412"/>
      <c r="AN157" s="412"/>
      <c r="AO157" s="412"/>
      <c r="AP157" s="412"/>
      <c r="AQ157" s="412"/>
      <c r="AR157" s="412"/>
      <c r="AS157" s="412"/>
      <c r="AT157" s="412"/>
      <c r="AU157" s="412"/>
      <c r="AV157" s="412"/>
      <c r="AW157" s="412"/>
      <c r="AX157" s="412"/>
      <c r="AY157" s="449"/>
    </row>
    <row r="158" spans="3:59" s="15" customFormat="1" x14ac:dyDescent="0.2">
      <c r="C158" s="412"/>
      <c r="D158" s="412"/>
      <c r="E158" s="742"/>
      <c r="F158" s="412"/>
      <c r="G158" s="412"/>
      <c r="H158" s="412"/>
      <c r="I158" s="412"/>
      <c r="J158" s="412"/>
      <c r="K158" s="412"/>
      <c r="L158" s="412"/>
      <c r="M158" s="412"/>
      <c r="N158" s="412"/>
      <c r="O158" s="412"/>
      <c r="P158" s="412"/>
      <c r="Q158" s="412"/>
      <c r="R158" s="412"/>
      <c r="S158" s="412"/>
      <c r="T158" s="445"/>
      <c r="U158" s="445"/>
      <c r="V158" s="445"/>
      <c r="W158" s="445"/>
      <c r="X158" s="445"/>
      <c r="Y158" s="445"/>
      <c r="Z158" s="445"/>
      <c r="AA158" s="445"/>
      <c r="AB158" s="445"/>
      <c r="AC158" s="445"/>
      <c r="AD158" s="445"/>
      <c r="AE158" s="412"/>
      <c r="AF158" s="412"/>
      <c r="AG158" s="412"/>
      <c r="AH158" s="412"/>
      <c r="AI158" s="412"/>
      <c r="AJ158" s="412"/>
      <c r="AK158" s="412"/>
      <c r="AL158" s="412"/>
      <c r="AM158" s="412"/>
      <c r="AN158" s="412"/>
      <c r="AO158" s="412"/>
      <c r="AP158" s="412"/>
      <c r="AQ158" s="412"/>
      <c r="AR158" s="412"/>
      <c r="AS158" s="412"/>
      <c r="AT158" s="412"/>
      <c r="AU158" s="412"/>
      <c r="AV158" s="412"/>
      <c r="AW158" s="412"/>
      <c r="AX158" s="412"/>
      <c r="AY158" s="449"/>
    </row>
    <row r="159" spans="3:59" s="15" customFormat="1" x14ac:dyDescent="0.2">
      <c r="C159" s="412"/>
      <c r="D159" s="412"/>
      <c r="E159" s="742"/>
      <c r="F159" s="412"/>
      <c r="G159" s="412"/>
      <c r="H159" s="412"/>
      <c r="I159" s="412"/>
      <c r="J159" s="412"/>
      <c r="K159" s="412"/>
      <c r="L159" s="412"/>
      <c r="M159" s="412"/>
      <c r="N159" s="412"/>
      <c r="O159" s="412"/>
      <c r="P159" s="412"/>
      <c r="Q159" s="412"/>
      <c r="R159" s="412"/>
      <c r="S159" s="412"/>
      <c r="T159" s="445"/>
      <c r="U159" s="445"/>
      <c r="V159" s="445"/>
      <c r="W159" s="445"/>
      <c r="X159" s="445"/>
      <c r="Y159" s="445"/>
      <c r="Z159" s="445"/>
      <c r="AA159" s="445"/>
      <c r="AB159" s="445"/>
      <c r="AC159" s="445"/>
      <c r="AD159" s="445"/>
      <c r="AE159" s="412"/>
      <c r="AF159" s="412"/>
      <c r="AG159" s="412"/>
      <c r="AH159" s="412"/>
      <c r="AI159" s="412"/>
      <c r="AJ159" s="412"/>
      <c r="AK159" s="412"/>
      <c r="AL159" s="412"/>
      <c r="AM159" s="412"/>
      <c r="AN159" s="412"/>
      <c r="AO159" s="412"/>
      <c r="AP159" s="412"/>
      <c r="AQ159" s="412"/>
      <c r="AR159" s="412"/>
      <c r="AS159" s="412"/>
      <c r="AT159" s="412"/>
      <c r="AU159" s="412"/>
      <c r="AV159" s="412"/>
      <c r="AW159" s="412"/>
      <c r="AX159" s="412"/>
      <c r="AY159" s="449"/>
    </row>
    <row r="160" spans="3:59" s="15" customFormat="1" x14ac:dyDescent="0.2">
      <c r="C160" s="412"/>
      <c r="D160" s="412"/>
      <c r="E160" s="742"/>
      <c r="F160" s="412"/>
      <c r="G160" s="412"/>
      <c r="H160" s="412"/>
      <c r="I160" s="412"/>
      <c r="J160" s="412"/>
      <c r="K160" s="412"/>
      <c r="L160" s="412"/>
      <c r="M160" s="412"/>
      <c r="N160" s="412"/>
      <c r="O160" s="412"/>
      <c r="P160" s="412"/>
      <c r="Q160" s="412"/>
      <c r="R160" s="412"/>
      <c r="S160" s="412"/>
      <c r="T160" s="445"/>
      <c r="U160" s="445"/>
      <c r="V160" s="445"/>
      <c r="W160" s="445"/>
      <c r="X160" s="445"/>
      <c r="Y160" s="445"/>
      <c r="Z160" s="445"/>
      <c r="AA160" s="445"/>
      <c r="AB160" s="445"/>
      <c r="AC160" s="445"/>
      <c r="AD160" s="445"/>
      <c r="AE160" s="412"/>
      <c r="AF160" s="412"/>
      <c r="AG160" s="412"/>
      <c r="AH160" s="412"/>
      <c r="AI160" s="412"/>
      <c r="AJ160" s="412"/>
      <c r="AK160" s="412"/>
      <c r="AL160" s="412"/>
      <c r="AM160" s="412"/>
      <c r="AN160" s="412"/>
      <c r="AO160" s="412"/>
      <c r="AP160" s="412"/>
      <c r="AQ160" s="412"/>
      <c r="AR160" s="412"/>
      <c r="AS160" s="412"/>
      <c r="AT160" s="412"/>
      <c r="AU160" s="412"/>
      <c r="AV160" s="412"/>
      <c r="AW160" s="412"/>
      <c r="AX160" s="412"/>
      <c r="AY160" s="449"/>
    </row>
    <row r="161" spans="3:51" s="15" customFormat="1" x14ac:dyDescent="0.2">
      <c r="C161" s="412"/>
      <c r="D161" s="412"/>
      <c r="E161" s="742"/>
      <c r="F161" s="412"/>
      <c r="G161" s="412"/>
      <c r="H161" s="412"/>
      <c r="I161" s="412"/>
      <c r="J161" s="412"/>
      <c r="K161" s="412"/>
      <c r="L161" s="412"/>
      <c r="M161" s="412"/>
      <c r="N161" s="412"/>
      <c r="O161" s="412"/>
      <c r="P161" s="412"/>
      <c r="Q161" s="412"/>
      <c r="R161" s="412"/>
      <c r="S161" s="412"/>
      <c r="T161" s="445"/>
      <c r="U161" s="445"/>
      <c r="V161" s="445"/>
      <c r="W161" s="445"/>
      <c r="X161" s="445"/>
      <c r="Y161" s="445"/>
      <c r="Z161" s="445"/>
      <c r="AA161" s="445"/>
      <c r="AB161" s="445"/>
      <c r="AC161" s="445"/>
      <c r="AD161" s="445"/>
      <c r="AE161" s="412"/>
      <c r="AF161" s="412"/>
      <c r="AG161" s="412"/>
      <c r="AH161" s="412"/>
      <c r="AI161" s="412"/>
      <c r="AJ161" s="412"/>
      <c r="AK161" s="412"/>
      <c r="AL161" s="412"/>
      <c r="AM161" s="412"/>
      <c r="AN161" s="412"/>
      <c r="AO161" s="412"/>
      <c r="AP161" s="412"/>
      <c r="AQ161" s="412"/>
      <c r="AR161" s="412"/>
      <c r="AS161" s="412"/>
      <c r="AT161" s="412"/>
      <c r="AU161" s="412"/>
      <c r="AV161" s="412"/>
      <c r="AW161" s="412"/>
      <c r="AX161" s="412"/>
      <c r="AY161" s="449"/>
    </row>
    <row r="162" spans="3:51" s="15" customFormat="1" x14ac:dyDescent="0.2">
      <c r="C162" s="412"/>
      <c r="D162" s="412"/>
      <c r="E162" s="742"/>
      <c r="F162" s="412"/>
      <c r="G162" s="412"/>
      <c r="H162" s="412"/>
      <c r="I162" s="412"/>
      <c r="J162" s="412"/>
      <c r="K162" s="412"/>
      <c r="L162" s="412"/>
      <c r="M162" s="412"/>
      <c r="N162" s="412"/>
      <c r="O162" s="412"/>
      <c r="P162" s="412"/>
      <c r="Q162" s="412"/>
      <c r="R162" s="412"/>
      <c r="S162" s="412"/>
      <c r="T162" s="445"/>
      <c r="U162" s="445"/>
      <c r="V162" s="445"/>
      <c r="W162" s="445"/>
      <c r="X162" s="445"/>
      <c r="Y162" s="445"/>
      <c r="Z162" s="445"/>
      <c r="AA162" s="445"/>
      <c r="AB162" s="445"/>
      <c r="AC162" s="445"/>
      <c r="AD162" s="445"/>
      <c r="AE162" s="412"/>
      <c r="AF162" s="412"/>
      <c r="AG162" s="412"/>
      <c r="AH162" s="412"/>
      <c r="AI162" s="412"/>
      <c r="AJ162" s="412"/>
      <c r="AK162" s="412"/>
      <c r="AL162" s="412"/>
      <c r="AM162" s="412"/>
      <c r="AN162" s="412"/>
      <c r="AO162" s="412"/>
      <c r="AP162" s="412"/>
      <c r="AQ162" s="412"/>
      <c r="AR162" s="412"/>
      <c r="AS162" s="412"/>
      <c r="AT162" s="412"/>
      <c r="AU162" s="412"/>
      <c r="AV162" s="412"/>
      <c r="AW162" s="412"/>
      <c r="AX162" s="412"/>
      <c r="AY162" s="449"/>
    </row>
    <row r="163" spans="3:51" s="15" customFormat="1" x14ac:dyDescent="0.2">
      <c r="C163" s="412"/>
      <c r="D163" s="412"/>
      <c r="E163" s="742"/>
      <c r="F163" s="412"/>
      <c r="G163" s="412"/>
      <c r="H163" s="412"/>
      <c r="I163" s="412"/>
      <c r="J163" s="412"/>
      <c r="K163" s="412"/>
      <c r="L163" s="412"/>
      <c r="M163" s="412"/>
      <c r="N163" s="412"/>
      <c r="O163" s="412"/>
      <c r="P163" s="412"/>
      <c r="Q163" s="412"/>
      <c r="R163" s="412"/>
      <c r="S163" s="412"/>
      <c r="T163" s="445"/>
      <c r="U163" s="445"/>
      <c r="V163" s="445"/>
      <c r="W163" s="445"/>
      <c r="X163" s="445"/>
      <c r="Y163" s="445"/>
      <c r="Z163" s="445"/>
      <c r="AA163" s="445"/>
      <c r="AB163" s="445"/>
      <c r="AC163" s="445"/>
      <c r="AD163" s="445"/>
      <c r="AE163" s="412"/>
      <c r="AF163" s="412"/>
      <c r="AG163" s="412"/>
      <c r="AH163" s="412"/>
      <c r="AI163" s="412"/>
      <c r="AJ163" s="412"/>
      <c r="AK163" s="412"/>
      <c r="AL163" s="412"/>
      <c r="AM163" s="412"/>
      <c r="AN163" s="412"/>
      <c r="AO163" s="412"/>
      <c r="AP163" s="412"/>
      <c r="AQ163" s="412"/>
      <c r="AR163" s="412"/>
      <c r="AS163" s="412"/>
      <c r="AT163" s="412"/>
      <c r="AU163" s="412"/>
      <c r="AV163" s="412"/>
      <c r="AW163" s="412"/>
      <c r="AX163" s="412"/>
      <c r="AY163" s="449"/>
    </row>
    <row r="164" spans="3:51" s="15" customFormat="1" x14ac:dyDescent="0.2">
      <c r="C164" s="412"/>
      <c r="D164" s="412"/>
      <c r="E164" s="742"/>
      <c r="F164" s="412"/>
      <c r="G164" s="412"/>
      <c r="H164" s="412"/>
      <c r="I164" s="412"/>
      <c r="J164" s="412"/>
      <c r="K164" s="412"/>
      <c r="L164" s="412"/>
      <c r="M164" s="412"/>
      <c r="N164" s="412"/>
      <c r="O164" s="412"/>
      <c r="P164" s="412"/>
      <c r="Q164" s="412"/>
      <c r="R164" s="412"/>
      <c r="S164" s="412"/>
      <c r="T164" s="445"/>
      <c r="U164" s="445"/>
      <c r="V164" s="445"/>
      <c r="W164" s="445"/>
      <c r="X164" s="445"/>
      <c r="Y164" s="445"/>
      <c r="Z164" s="445"/>
      <c r="AA164" s="445"/>
      <c r="AB164" s="445"/>
      <c r="AC164" s="445"/>
      <c r="AD164" s="445"/>
      <c r="AE164" s="412"/>
      <c r="AF164" s="412"/>
      <c r="AG164" s="412"/>
      <c r="AH164" s="412"/>
      <c r="AI164" s="412"/>
      <c r="AJ164" s="412"/>
      <c r="AK164" s="412"/>
      <c r="AL164" s="412"/>
      <c r="AM164" s="412"/>
      <c r="AN164" s="412"/>
      <c r="AO164" s="412"/>
      <c r="AP164" s="412"/>
      <c r="AQ164" s="412"/>
      <c r="AR164" s="412"/>
      <c r="AS164" s="412"/>
      <c r="AT164" s="412"/>
      <c r="AU164" s="412"/>
      <c r="AV164" s="412"/>
      <c r="AW164" s="412"/>
      <c r="AX164" s="412"/>
      <c r="AY164" s="449"/>
    </row>
    <row r="165" spans="3:51" s="15" customFormat="1" x14ac:dyDescent="0.2">
      <c r="C165" s="412"/>
      <c r="D165" s="412"/>
      <c r="E165" s="742"/>
      <c r="F165" s="412"/>
      <c r="G165" s="412"/>
      <c r="H165" s="412"/>
      <c r="I165" s="412"/>
      <c r="J165" s="412"/>
      <c r="K165" s="412"/>
      <c r="L165" s="412"/>
      <c r="M165" s="412"/>
      <c r="N165" s="412"/>
      <c r="O165" s="412"/>
      <c r="P165" s="412"/>
      <c r="Q165" s="412"/>
      <c r="R165" s="412"/>
      <c r="S165" s="412"/>
      <c r="T165" s="445"/>
      <c r="U165" s="445"/>
      <c r="V165" s="445"/>
      <c r="W165" s="445"/>
      <c r="X165" s="445"/>
      <c r="Y165" s="445"/>
      <c r="Z165" s="445"/>
      <c r="AA165" s="445"/>
      <c r="AB165" s="445"/>
      <c r="AC165" s="445"/>
      <c r="AD165" s="445"/>
      <c r="AE165" s="412"/>
      <c r="AF165" s="412"/>
      <c r="AG165" s="412"/>
      <c r="AH165" s="412"/>
      <c r="AI165" s="412"/>
      <c r="AJ165" s="412"/>
      <c r="AK165" s="412"/>
      <c r="AL165" s="412"/>
      <c r="AM165" s="412"/>
      <c r="AN165" s="412"/>
      <c r="AO165" s="412"/>
      <c r="AP165" s="412"/>
      <c r="AQ165" s="412"/>
      <c r="AR165" s="412"/>
      <c r="AS165" s="412"/>
      <c r="AT165" s="412"/>
      <c r="AU165" s="412"/>
      <c r="AV165" s="412"/>
      <c r="AW165" s="412"/>
      <c r="AX165" s="412"/>
      <c r="AY165" s="449"/>
    </row>
    <row r="166" spans="3:51" s="15" customFormat="1" x14ac:dyDescent="0.2">
      <c r="C166" s="412"/>
      <c r="D166" s="412"/>
      <c r="E166" s="742"/>
      <c r="F166" s="412"/>
      <c r="G166" s="412"/>
      <c r="H166" s="412"/>
      <c r="I166" s="412"/>
      <c r="J166" s="412"/>
      <c r="K166" s="412"/>
      <c r="L166" s="412"/>
      <c r="M166" s="412"/>
      <c r="N166" s="412"/>
      <c r="O166" s="412"/>
      <c r="P166" s="412"/>
      <c r="Q166" s="412"/>
      <c r="R166" s="412"/>
      <c r="S166" s="412"/>
      <c r="T166" s="445"/>
      <c r="U166" s="445"/>
      <c r="V166" s="445"/>
      <c r="W166" s="445"/>
      <c r="X166" s="445"/>
      <c r="Y166" s="445"/>
      <c r="Z166" s="445"/>
      <c r="AA166" s="445"/>
      <c r="AB166" s="445"/>
      <c r="AC166" s="445"/>
      <c r="AD166" s="445"/>
      <c r="AE166" s="412"/>
      <c r="AF166" s="412"/>
      <c r="AG166" s="412"/>
      <c r="AH166" s="412"/>
      <c r="AI166" s="412"/>
      <c r="AJ166" s="412"/>
      <c r="AK166" s="412"/>
      <c r="AL166" s="412"/>
      <c r="AM166" s="412"/>
      <c r="AN166" s="412"/>
      <c r="AO166" s="412"/>
      <c r="AP166" s="412"/>
      <c r="AQ166" s="412"/>
      <c r="AR166" s="412"/>
      <c r="AS166" s="412"/>
      <c r="AT166" s="412"/>
      <c r="AU166" s="412"/>
      <c r="AV166" s="412"/>
      <c r="AW166" s="412"/>
      <c r="AX166" s="412"/>
      <c r="AY166" s="449"/>
    </row>
    <row r="167" spans="3:51" s="15" customFormat="1" x14ac:dyDescent="0.2">
      <c r="C167" s="412"/>
      <c r="D167" s="412"/>
      <c r="E167" s="742"/>
      <c r="F167" s="412"/>
      <c r="G167" s="412"/>
      <c r="H167" s="412"/>
      <c r="I167" s="412"/>
      <c r="J167" s="412"/>
      <c r="K167" s="412"/>
      <c r="L167" s="412"/>
      <c r="M167" s="412"/>
      <c r="N167" s="412"/>
      <c r="O167" s="412"/>
      <c r="P167" s="412"/>
      <c r="Q167" s="412"/>
      <c r="R167" s="412"/>
      <c r="S167" s="412"/>
      <c r="T167" s="445"/>
      <c r="U167" s="445"/>
      <c r="V167" s="445"/>
      <c r="W167" s="445"/>
      <c r="X167" s="445"/>
      <c r="Y167" s="445"/>
      <c r="Z167" s="445"/>
      <c r="AA167" s="445"/>
      <c r="AB167" s="445"/>
      <c r="AC167" s="445"/>
      <c r="AD167" s="445"/>
      <c r="AE167" s="412"/>
      <c r="AF167" s="412"/>
      <c r="AG167" s="412"/>
      <c r="AH167" s="412"/>
      <c r="AI167" s="412"/>
      <c r="AJ167" s="412"/>
      <c r="AK167" s="412"/>
      <c r="AL167" s="412"/>
      <c r="AM167" s="412"/>
      <c r="AN167" s="412"/>
      <c r="AO167" s="412"/>
      <c r="AP167" s="412"/>
      <c r="AQ167" s="412"/>
      <c r="AR167" s="412"/>
      <c r="AS167" s="412"/>
      <c r="AT167" s="412"/>
      <c r="AU167" s="412"/>
      <c r="AV167" s="412"/>
      <c r="AW167" s="412"/>
      <c r="AX167" s="412"/>
      <c r="AY167" s="449"/>
    </row>
    <row r="168" spans="3:51" s="15" customFormat="1" x14ac:dyDescent="0.2">
      <c r="C168" s="412"/>
      <c r="D168" s="412"/>
      <c r="E168" s="742"/>
      <c r="F168" s="412"/>
      <c r="G168" s="412"/>
      <c r="H168" s="412"/>
      <c r="I168" s="412"/>
      <c r="J168" s="412"/>
      <c r="K168" s="412"/>
      <c r="L168" s="412"/>
      <c r="M168" s="412"/>
      <c r="N168" s="412"/>
      <c r="O168" s="412"/>
      <c r="P168" s="412"/>
      <c r="Q168" s="412"/>
      <c r="R168" s="412"/>
      <c r="S168" s="412"/>
      <c r="T168" s="445"/>
      <c r="U168" s="445"/>
      <c r="V168" s="445"/>
      <c r="W168" s="445"/>
      <c r="X168" s="445"/>
      <c r="Y168" s="445"/>
      <c r="Z168" s="445"/>
      <c r="AA168" s="445"/>
      <c r="AB168" s="445"/>
      <c r="AC168" s="445"/>
      <c r="AD168" s="445"/>
      <c r="AE168" s="412"/>
      <c r="AF168" s="412"/>
      <c r="AG168" s="412"/>
      <c r="AH168" s="412"/>
      <c r="AI168" s="412"/>
      <c r="AJ168" s="412"/>
      <c r="AK168" s="412"/>
      <c r="AL168" s="412"/>
      <c r="AM168" s="412"/>
      <c r="AN168" s="412"/>
      <c r="AO168" s="412"/>
      <c r="AP168" s="412"/>
      <c r="AQ168" s="412"/>
      <c r="AR168" s="412"/>
      <c r="AS168" s="412"/>
      <c r="AT168" s="412"/>
      <c r="AU168" s="412"/>
      <c r="AV168" s="412"/>
      <c r="AW168" s="412"/>
      <c r="AX168" s="412"/>
      <c r="AY168" s="449"/>
    </row>
    <row r="169" spans="3:51" s="15" customFormat="1" x14ac:dyDescent="0.2">
      <c r="C169" s="412"/>
      <c r="D169" s="412"/>
      <c r="E169" s="742"/>
      <c r="F169" s="412"/>
      <c r="G169" s="412"/>
      <c r="H169" s="412"/>
      <c r="I169" s="412"/>
      <c r="J169" s="412"/>
      <c r="K169" s="412"/>
      <c r="L169" s="412"/>
      <c r="M169" s="412"/>
      <c r="N169" s="412"/>
      <c r="O169" s="412"/>
      <c r="P169" s="412"/>
      <c r="Q169" s="412"/>
      <c r="R169" s="412"/>
      <c r="S169" s="412"/>
      <c r="T169" s="445"/>
      <c r="U169" s="445"/>
      <c r="V169" s="445"/>
      <c r="W169" s="445"/>
      <c r="X169" s="445"/>
      <c r="Y169" s="445"/>
      <c r="Z169" s="445"/>
      <c r="AA169" s="445"/>
      <c r="AB169" s="445"/>
      <c r="AC169" s="445"/>
      <c r="AD169" s="445"/>
      <c r="AE169" s="412"/>
      <c r="AF169" s="412"/>
      <c r="AG169" s="412"/>
      <c r="AH169" s="412"/>
      <c r="AI169" s="412"/>
      <c r="AJ169" s="412"/>
      <c r="AK169" s="412"/>
      <c r="AL169" s="412"/>
      <c r="AM169" s="412"/>
      <c r="AN169" s="412"/>
      <c r="AO169" s="412"/>
      <c r="AP169" s="412"/>
      <c r="AQ169" s="412"/>
      <c r="AR169" s="412"/>
      <c r="AS169" s="412"/>
      <c r="AT169" s="412"/>
      <c r="AU169" s="412"/>
      <c r="AV169" s="412"/>
      <c r="AW169" s="412"/>
      <c r="AX169" s="412"/>
      <c r="AY169" s="449"/>
    </row>
    <row r="170" spans="3:51" s="15" customFormat="1" x14ac:dyDescent="0.2">
      <c r="C170" s="412"/>
      <c r="D170" s="412"/>
      <c r="E170" s="742"/>
      <c r="F170" s="412"/>
      <c r="G170" s="412"/>
      <c r="H170" s="412"/>
      <c r="I170" s="412"/>
      <c r="J170" s="412"/>
      <c r="K170" s="412"/>
      <c r="L170" s="412"/>
      <c r="M170" s="412"/>
      <c r="N170" s="412"/>
      <c r="O170" s="412"/>
      <c r="P170" s="412"/>
      <c r="Q170" s="412"/>
      <c r="R170" s="412"/>
      <c r="S170" s="412"/>
      <c r="T170" s="445"/>
      <c r="U170" s="445"/>
      <c r="V170" s="445"/>
      <c r="W170" s="445"/>
      <c r="X170" s="445"/>
      <c r="Y170" s="445"/>
      <c r="Z170" s="445"/>
      <c r="AA170" s="445"/>
      <c r="AB170" s="445"/>
      <c r="AC170" s="445"/>
      <c r="AD170" s="445"/>
      <c r="AE170" s="412"/>
      <c r="AF170" s="412"/>
      <c r="AG170" s="412"/>
      <c r="AH170" s="412"/>
      <c r="AI170" s="412"/>
      <c r="AJ170" s="412"/>
      <c r="AK170" s="412"/>
      <c r="AL170" s="412"/>
      <c r="AM170" s="412"/>
      <c r="AN170" s="412"/>
      <c r="AO170" s="412"/>
      <c r="AP170" s="412"/>
      <c r="AQ170" s="412"/>
      <c r="AR170" s="412"/>
      <c r="AS170" s="412"/>
      <c r="AT170" s="412"/>
      <c r="AU170" s="412"/>
      <c r="AV170" s="412"/>
      <c r="AW170" s="412"/>
      <c r="AX170" s="412"/>
      <c r="AY170" s="449"/>
    </row>
    <row r="171" spans="3:51" s="15" customFormat="1" x14ac:dyDescent="0.2">
      <c r="C171" s="412"/>
      <c r="D171" s="412"/>
      <c r="E171" s="742"/>
      <c r="F171" s="412"/>
      <c r="G171" s="412"/>
      <c r="H171" s="412"/>
      <c r="I171" s="412"/>
      <c r="J171" s="412"/>
      <c r="K171" s="412"/>
      <c r="L171" s="412"/>
      <c r="M171" s="412"/>
      <c r="N171" s="412"/>
      <c r="O171" s="412"/>
      <c r="P171" s="412"/>
      <c r="Q171" s="412"/>
      <c r="R171" s="412"/>
      <c r="S171" s="412"/>
      <c r="T171" s="445"/>
      <c r="U171" s="445"/>
      <c r="V171" s="445"/>
      <c r="W171" s="445"/>
      <c r="X171" s="445"/>
      <c r="Y171" s="445"/>
      <c r="Z171" s="445"/>
      <c r="AA171" s="445"/>
      <c r="AB171" s="445"/>
      <c r="AC171" s="445"/>
      <c r="AD171" s="445"/>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49"/>
    </row>
    <row r="172" spans="3:51" s="15" customFormat="1" x14ac:dyDescent="0.2">
      <c r="C172" s="412"/>
      <c r="D172" s="412"/>
      <c r="E172" s="742"/>
      <c r="F172" s="412"/>
      <c r="G172" s="412"/>
      <c r="H172" s="412"/>
      <c r="I172" s="412"/>
      <c r="J172" s="412"/>
      <c r="K172" s="412"/>
      <c r="L172" s="412"/>
      <c r="M172" s="412"/>
      <c r="N172" s="412"/>
      <c r="O172" s="412"/>
      <c r="P172" s="412"/>
      <c r="Q172" s="412"/>
      <c r="R172" s="412"/>
      <c r="S172" s="412"/>
      <c r="T172" s="445"/>
      <c r="U172" s="445"/>
      <c r="V172" s="445"/>
      <c r="W172" s="445"/>
      <c r="X172" s="445"/>
      <c r="Y172" s="445"/>
      <c r="Z172" s="445"/>
      <c r="AA172" s="445"/>
      <c r="AB172" s="445"/>
      <c r="AC172" s="445"/>
      <c r="AD172" s="445"/>
      <c r="AE172" s="412"/>
      <c r="AF172" s="412"/>
      <c r="AG172" s="412"/>
      <c r="AH172" s="412"/>
      <c r="AI172" s="412"/>
      <c r="AJ172" s="412"/>
      <c r="AK172" s="412"/>
      <c r="AL172" s="412"/>
      <c r="AM172" s="412"/>
      <c r="AN172" s="412"/>
      <c r="AO172" s="412"/>
      <c r="AP172" s="412"/>
      <c r="AQ172" s="412"/>
      <c r="AR172" s="412"/>
      <c r="AS172" s="412"/>
      <c r="AT172" s="412"/>
      <c r="AU172" s="412"/>
      <c r="AV172" s="412"/>
      <c r="AW172" s="412"/>
      <c r="AX172" s="412"/>
      <c r="AY172" s="449"/>
    </row>
    <row r="173" spans="3:51" s="15" customFormat="1" x14ac:dyDescent="0.2">
      <c r="C173" s="412"/>
      <c r="D173" s="412"/>
      <c r="E173" s="742"/>
      <c r="F173" s="412"/>
      <c r="G173" s="412"/>
      <c r="H173" s="412"/>
      <c r="I173" s="412"/>
      <c r="J173" s="412"/>
      <c r="K173" s="412"/>
      <c r="L173" s="412"/>
      <c r="M173" s="412"/>
      <c r="N173" s="412"/>
      <c r="O173" s="412"/>
      <c r="P173" s="412"/>
      <c r="Q173" s="412"/>
      <c r="R173" s="412"/>
      <c r="S173" s="412"/>
      <c r="T173" s="445"/>
      <c r="U173" s="445"/>
      <c r="V173" s="445"/>
      <c r="W173" s="445"/>
      <c r="X173" s="445"/>
      <c r="Y173" s="445"/>
      <c r="Z173" s="445"/>
      <c r="AA173" s="445"/>
      <c r="AB173" s="445"/>
      <c r="AC173" s="445"/>
      <c r="AD173" s="445"/>
      <c r="AE173" s="412"/>
      <c r="AF173" s="412"/>
      <c r="AG173" s="412"/>
      <c r="AH173" s="412"/>
      <c r="AI173" s="412"/>
      <c r="AJ173" s="412"/>
      <c r="AK173" s="412"/>
      <c r="AL173" s="412"/>
      <c r="AM173" s="412"/>
      <c r="AN173" s="412"/>
      <c r="AO173" s="412"/>
      <c r="AP173" s="412"/>
      <c r="AQ173" s="412"/>
      <c r="AR173" s="412"/>
      <c r="AS173" s="412"/>
      <c r="AT173" s="412"/>
      <c r="AU173" s="412"/>
      <c r="AV173" s="412"/>
      <c r="AW173" s="412"/>
      <c r="AX173" s="412"/>
      <c r="AY173" s="449"/>
    </row>
    <row r="174" spans="3:51" s="15" customFormat="1" x14ac:dyDescent="0.2">
      <c r="C174" s="412"/>
      <c r="D174" s="412"/>
      <c r="E174" s="742"/>
      <c r="F174" s="412"/>
      <c r="G174" s="412"/>
      <c r="H174" s="412"/>
      <c r="I174" s="412"/>
      <c r="J174" s="412"/>
      <c r="K174" s="412"/>
      <c r="L174" s="412"/>
      <c r="M174" s="412"/>
      <c r="N174" s="412"/>
      <c r="O174" s="412"/>
      <c r="P174" s="412"/>
      <c r="Q174" s="412"/>
      <c r="R174" s="412"/>
      <c r="S174" s="412"/>
      <c r="T174" s="445"/>
      <c r="U174" s="445"/>
      <c r="V174" s="445"/>
      <c r="W174" s="445"/>
      <c r="X174" s="445"/>
      <c r="Y174" s="445"/>
      <c r="Z174" s="445"/>
      <c r="AA174" s="445"/>
      <c r="AB174" s="445"/>
      <c r="AC174" s="445"/>
      <c r="AD174" s="445"/>
      <c r="AE174" s="412"/>
      <c r="AF174" s="412"/>
      <c r="AG174" s="412"/>
      <c r="AH174" s="412"/>
      <c r="AI174" s="412"/>
      <c r="AJ174" s="412"/>
      <c r="AK174" s="412"/>
      <c r="AL174" s="412"/>
      <c r="AM174" s="412"/>
      <c r="AN174" s="412"/>
      <c r="AO174" s="412"/>
      <c r="AP174" s="412"/>
      <c r="AQ174" s="412"/>
      <c r="AR174" s="412"/>
      <c r="AS174" s="412"/>
      <c r="AT174" s="412"/>
      <c r="AU174" s="412"/>
      <c r="AV174" s="412"/>
      <c r="AW174" s="412"/>
      <c r="AX174" s="412"/>
      <c r="AY174" s="449"/>
    </row>
    <row r="175" spans="3:51" s="15" customFormat="1" x14ac:dyDescent="0.2">
      <c r="C175" s="412"/>
      <c r="D175" s="412"/>
      <c r="E175" s="742"/>
      <c r="F175" s="412"/>
      <c r="G175" s="412"/>
      <c r="H175" s="412"/>
      <c r="I175" s="412"/>
      <c r="J175" s="412"/>
      <c r="K175" s="412"/>
      <c r="L175" s="412"/>
      <c r="M175" s="412"/>
      <c r="N175" s="412"/>
      <c r="O175" s="412"/>
      <c r="P175" s="412"/>
      <c r="Q175" s="412"/>
      <c r="R175" s="412"/>
      <c r="S175" s="412"/>
      <c r="T175" s="445"/>
      <c r="U175" s="445"/>
      <c r="V175" s="445"/>
      <c r="W175" s="445"/>
      <c r="X175" s="445"/>
      <c r="Y175" s="445"/>
      <c r="Z175" s="445"/>
      <c r="AA175" s="445"/>
      <c r="AB175" s="445"/>
      <c r="AC175" s="445"/>
      <c r="AD175" s="445"/>
      <c r="AE175" s="412"/>
      <c r="AF175" s="412"/>
      <c r="AG175" s="412"/>
      <c r="AH175" s="412"/>
      <c r="AI175" s="412"/>
      <c r="AJ175" s="412"/>
      <c r="AK175" s="412"/>
      <c r="AL175" s="412"/>
      <c r="AM175" s="412"/>
      <c r="AN175" s="412"/>
      <c r="AO175" s="412"/>
      <c r="AP175" s="412"/>
      <c r="AQ175" s="412"/>
      <c r="AR175" s="412"/>
      <c r="AS175" s="412"/>
      <c r="AT175" s="412"/>
      <c r="AU175" s="412"/>
      <c r="AV175" s="412"/>
      <c r="AW175" s="412"/>
      <c r="AX175" s="412"/>
      <c r="AY175" s="449"/>
    </row>
    <row r="176" spans="3:51" s="15" customFormat="1" x14ac:dyDescent="0.2">
      <c r="C176" s="412"/>
      <c r="D176" s="412"/>
      <c r="E176" s="742"/>
      <c r="F176" s="412"/>
      <c r="G176" s="412"/>
      <c r="H176" s="412"/>
      <c r="I176" s="412"/>
      <c r="J176" s="412"/>
      <c r="K176" s="412"/>
      <c r="L176" s="412"/>
      <c r="M176" s="412"/>
      <c r="N176" s="412"/>
      <c r="O176" s="412"/>
      <c r="P176" s="412"/>
      <c r="Q176" s="412"/>
      <c r="R176" s="412"/>
      <c r="S176" s="412"/>
      <c r="T176" s="445"/>
      <c r="U176" s="445"/>
      <c r="V176" s="445"/>
      <c r="W176" s="445"/>
      <c r="X176" s="445"/>
      <c r="Y176" s="445"/>
      <c r="Z176" s="445"/>
      <c r="AA176" s="445"/>
      <c r="AB176" s="445"/>
      <c r="AC176" s="445"/>
      <c r="AD176" s="445"/>
      <c r="AE176" s="412"/>
      <c r="AF176" s="412"/>
      <c r="AG176" s="412"/>
      <c r="AH176" s="412"/>
      <c r="AI176" s="412"/>
      <c r="AJ176" s="412"/>
      <c r="AK176" s="412"/>
      <c r="AL176" s="412"/>
      <c r="AM176" s="412"/>
      <c r="AN176" s="412"/>
      <c r="AO176" s="412"/>
      <c r="AP176" s="412"/>
      <c r="AQ176" s="412"/>
      <c r="AR176" s="412"/>
      <c r="AS176" s="412"/>
      <c r="AT176" s="412"/>
      <c r="AU176" s="412"/>
      <c r="AV176" s="412"/>
      <c r="AW176" s="412"/>
      <c r="AX176" s="412"/>
      <c r="AY176" s="449"/>
    </row>
    <row r="177" spans="3:51" s="15" customFormat="1" x14ac:dyDescent="0.2">
      <c r="C177" s="412"/>
      <c r="D177" s="412"/>
      <c r="E177" s="742"/>
      <c r="F177" s="412"/>
      <c r="G177" s="412"/>
      <c r="H177" s="412"/>
      <c r="I177" s="412"/>
      <c r="J177" s="412"/>
      <c r="K177" s="412"/>
      <c r="L177" s="412"/>
      <c r="M177" s="412"/>
      <c r="N177" s="412"/>
      <c r="O177" s="412"/>
      <c r="P177" s="412"/>
      <c r="Q177" s="412"/>
      <c r="R177" s="412"/>
      <c r="S177" s="412"/>
      <c r="T177" s="445"/>
      <c r="U177" s="445"/>
      <c r="V177" s="445"/>
      <c r="W177" s="445"/>
      <c r="X177" s="445"/>
      <c r="Y177" s="445"/>
      <c r="Z177" s="445"/>
      <c r="AA177" s="445"/>
      <c r="AB177" s="445"/>
      <c r="AC177" s="445"/>
      <c r="AD177" s="445"/>
      <c r="AE177" s="412"/>
      <c r="AF177" s="412"/>
      <c r="AG177" s="412"/>
      <c r="AH177" s="412"/>
      <c r="AI177" s="412"/>
      <c r="AJ177" s="412"/>
      <c r="AK177" s="412"/>
      <c r="AL177" s="412"/>
      <c r="AM177" s="412"/>
      <c r="AN177" s="412"/>
      <c r="AO177" s="412"/>
      <c r="AP177" s="412"/>
      <c r="AQ177" s="412"/>
      <c r="AR177" s="412"/>
      <c r="AS177" s="412"/>
      <c r="AT177" s="412"/>
      <c r="AU177" s="412"/>
      <c r="AV177" s="412"/>
      <c r="AW177" s="412"/>
      <c r="AX177" s="412"/>
      <c r="AY177" s="449"/>
    </row>
    <row r="178" spans="3:51" s="15" customFormat="1" x14ac:dyDescent="0.2">
      <c r="C178" s="412"/>
      <c r="D178" s="412"/>
      <c r="E178" s="742"/>
      <c r="F178" s="412"/>
      <c r="G178" s="412"/>
      <c r="H178" s="412"/>
      <c r="I178" s="412"/>
      <c r="J178" s="412"/>
      <c r="K178" s="412"/>
      <c r="L178" s="412"/>
      <c r="M178" s="412"/>
      <c r="N178" s="412"/>
      <c r="O178" s="412"/>
      <c r="P178" s="412"/>
      <c r="Q178" s="412"/>
      <c r="R178" s="412"/>
      <c r="S178" s="412"/>
      <c r="T178" s="445"/>
      <c r="U178" s="445"/>
      <c r="V178" s="445"/>
      <c r="W178" s="445"/>
      <c r="X178" s="445"/>
      <c r="Y178" s="445"/>
      <c r="Z178" s="445"/>
      <c r="AA178" s="445"/>
      <c r="AB178" s="445"/>
      <c r="AC178" s="445"/>
      <c r="AD178" s="445"/>
      <c r="AE178" s="412"/>
      <c r="AF178" s="412"/>
      <c r="AG178" s="412"/>
      <c r="AH178" s="412"/>
      <c r="AI178" s="412"/>
      <c r="AJ178" s="412"/>
      <c r="AK178" s="412"/>
      <c r="AL178" s="412"/>
      <c r="AM178" s="412"/>
      <c r="AN178" s="412"/>
      <c r="AO178" s="412"/>
      <c r="AP178" s="412"/>
      <c r="AQ178" s="412"/>
      <c r="AR178" s="412"/>
      <c r="AS178" s="412"/>
      <c r="AT178" s="412"/>
      <c r="AU178" s="412"/>
      <c r="AV178" s="412"/>
      <c r="AW178" s="412"/>
      <c r="AX178" s="412"/>
      <c r="AY178" s="449"/>
    </row>
    <row r="179" spans="3:51" s="15" customFormat="1" x14ac:dyDescent="0.2">
      <c r="C179" s="412"/>
      <c r="D179" s="412"/>
      <c r="E179" s="742"/>
      <c r="F179" s="412"/>
      <c r="G179" s="412"/>
      <c r="H179" s="412"/>
      <c r="I179" s="412"/>
      <c r="J179" s="412"/>
      <c r="K179" s="412"/>
      <c r="L179" s="412"/>
      <c r="M179" s="412"/>
      <c r="N179" s="412"/>
      <c r="O179" s="412"/>
      <c r="P179" s="412"/>
      <c r="Q179" s="412"/>
      <c r="R179" s="412"/>
      <c r="S179" s="412"/>
      <c r="T179" s="445"/>
      <c r="U179" s="445"/>
      <c r="V179" s="445"/>
      <c r="W179" s="445"/>
      <c r="X179" s="445"/>
      <c r="Y179" s="445"/>
      <c r="Z179" s="445"/>
      <c r="AA179" s="445"/>
      <c r="AB179" s="445"/>
      <c r="AC179" s="445"/>
      <c r="AD179" s="445"/>
      <c r="AE179" s="412"/>
      <c r="AF179" s="412"/>
      <c r="AG179" s="412"/>
      <c r="AH179" s="412"/>
      <c r="AI179" s="412"/>
      <c r="AJ179" s="412"/>
      <c r="AK179" s="412"/>
      <c r="AL179" s="412"/>
      <c r="AM179" s="412"/>
      <c r="AN179" s="412"/>
      <c r="AO179" s="412"/>
      <c r="AP179" s="412"/>
      <c r="AQ179" s="412"/>
      <c r="AR179" s="412"/>
      <c r="AS179" s="412"/>
      <c r="AT179" s="412"/>
      <c r="AU179" s="412"/>
      <c r="AV179" s="412"/>
      <c r="AW179" s="412"/>
      <c r="AX179" s="412"/>
      <c r="AY179" s="449"/>
    </row>
    <row r="180" spans="3:51" s="15" customFormat="1" x14ac:dyDescent="0.2">
      <c r="C180" s="412"/>
      <c r="D180" s="412"/>
      <c r="E180" s="742"/>
      <c r="F180" s="412"/>
      <c r="G180" s="412"/>
      <c r="H180" s="412"/>
      <c r="I180" s="412"/>
      <c r="J180" s="412"/>
      <c r="K180" s="412"/>
      <c r="L180" s="412"/>
      <c r="M180" s="412"/>
      <c r="N180" s="412"/>
      <c r="O180" s="412"/>
      <c r="P180" s="412"/>
      <c r="Q180" s="412"/>
      <c r="R180" s="412"/>
      <c r="S180" s="412"/>
      <c r="T180" s="445"/>
      <c r="U180" s="445"/>
      <c r="V180" s="445"/>
      <c r="W180" s="445"/>
      <c r="X180" s="445"/>
      <c r="Y180" s="445"/>
      <c r="Z180" s="445"/>
      <c r="AA180" s="445"/>
      <c r="AB180" s="445"/>
      <c r="AC180" s="445"/>
      <c r="AD180" s="445"/>
      <c r="AE180" s="412"/>
      <c r="AF180" s="412"/>
      <c r="AG180" s="412"/>
      <c r="AH180" s="412"/>
      <c r="AI180" s="412"/>
      <c r="AJ180" s="412"/>
      <c r="AK180" s="412"/>
      <c r="AL180" s="412"/>
      <c r="AM180" s="412"/>
      <c r="AN180" s="412"/>
      <c r="AO180" s="412"/>
      <c r="AP180" s="412"/>
      <c r="AQ180" s="412"/>
      <c r="AR180" s="412"/>
      <c r="AS180" s="412"/>
      <c r="AT180" s="412"/>
      <c r="AU180" s="412"/>
      <c r="AV180" s="412"/>
      <c r="AW180" s="412"/>
      <c r="AX180" s="412"/>
      <c r="AY180" s="449"/>
    </row>
    <row r="181" spans="3:51" s="15" customFormat="1" x14ac:dyDescent="0.2">
      <c r="C181" s="412"/>
      <c r="D181" s="412"/>
      <c r="E181" s="742"/>
      <c r="F181" s="412"/>
      <c r="G181" s="412"/>
      <c r="H181" s="412"/>
      <c r="I181" s="412"/>
      <c r="J181" s="412"/>
      <c r="K181" s="412"/>
      <c r="L181" s="412"/>
      <c r="M181" s="412"/>
      <c r="N181" s="412"/>
      <c r="O181" s="412"/>
      <c r="P181" s="412"/>
      <c r="Q181" s="412"/>
      <c r="R181" s="412"/>
      <c r="S181" s="412"/>
      <c r="T181" s="445"/>
      <c r="U181" s="445"/>
      <c r="V181" s="445"/>
      <c r="W181" s="445"/>
      <c r="X181" s="445"/>
      <c r="Y181" s="445"/>
      <c r="Z181" s="445"/>
      <c r="AA181" s="445"/>
      <c r="AB181" s="445"/>
      <c r="AC181" s="445"/>
      <c r="AD181" s="445"/>
      <c r="AE181" s="412"/>
      <c r="AF181" s="412"/>
      <c r="AG181" s="412"/>
      <c r="AH181" s="412"/>
      <c r="AI181" s="412"/>
      <c r="AJ181" s="412"/>
      <c r="AK181" s="412"/>
      <c r="AL181" s="412"/>
      <c r="AM181" s="412"/>
      <c r="AN181" s="412"/>
      <c r="AO181" s="412"/>
      <c r="AP181" s="412"/>
      <c r="AQ181" s="412"/>
      <c r="AR181" s="412"/>
      <c r="AS181" s="412"/>
      <c r="AT181" s="412"/>
      <c r="AU181" s="412"/>
      <c r="AV181" s="412"/>
      <c r="AW181" s="412"/>
      <c r="AX181" s="412"/>
      <c r="AY181" s="449"/>
    </row>
    <row r="182" spans="3:51" s="15" customFormat="1" x14ac:dyDescent="0.2">
      <c r="C182" s="412"/>
      <c r="D182" s="412"/>
      <c r="E182" s="742"/>
      <c r="F182" s="412"/>
      <c r="G182" s="412"/>
      <c r="H182" s="412"/>
      <c r="I182" s="412"/>
      <c r="J182" s="412"/>
      <c r="K182" s="412"/>
      <c r="L182" s="412"/>
      <c r="M182" s="412"/>
      <c r="N182" s="412"/>
      <c r="O182" s="412"/>
      <c r="P182" s="412"/>
      <c r="Q182" s="412"/>
      <c r="R182" s="412"/>
      <c r="S182" s="412"/>
      <c r="T182" s="445"/>
      <c r="U182" s="445"/>
      <c r="V182" s="445"/>
      <c r="W182" s="445"/>
      <c r="X182" s="445"/>
      <c r="Y182" s="445"/>
      <c r="Z182" s="445"/>
      <c r="AA182" s="445"/>
      <c r="AB182" s="445"/>
      <c r="AC182" s="445"/>
      <c r="AD182" s="445"/>
      <c r="AE182" s="412"/>
      <c r="AF182" s="412"/>
      <c r="AG182" s="412"/>
      <c r="AH182" s="412"/>
      <c r="AI182" s="412"/>
      <c r="AJ182" s="412"/>
      <c r="AK182" s="412"/>
      <c r="AL182" s="412"/>
      <c r="AM182" s="412"/>
      <c r="AN182" s="412"/>
      <c r="AO182" s="412"/>
      <c r="AP182" s="412"/>
      <c r="AQ182" s="412"/>
      <c r="AR182" s="412"/>
      <c r="AS182" s="412"/>
      <c r="AT182" s="412"/>
      <c r="AU182" s="412"/>
      <c r="AV182" s="412"/>
      <c r="AW182" s="412"/>
      <c r="AX182" s="412"/>
      <c r="AY182" s="449"/>
    </row>
    <row r="183" spans="3:51" s="15" customFormat="1" x14ac:dyDescent="0.2">
      <c r="C183" s="412"/>
      <c r="D183" s="412"/>
      <c r="E183" s="742"/>
      <c r="F183" s="412"/>
      <c r="G183" s="412"/>
      <c r="H183" s="412"/>
      <c r="I183" s="412"/>
      <c r="J183" s="412"/>
      <c r="K183" s="412"/>
      <c r="L183" s="412"/>
      <c r="M183" s="412"/>
      <c r="N183" s="412"/>
      <c r="O183" s="412"/>
      <c r="P183" s="412"/>
      <c r="Q183" s="412"/>
      <c r="R183" s="412"/>
      <c r="S183" s="412"/>
      <c r="T183" s="445"/>
      <c r="U183" s="445"/>
      <c r="V183" s="445"/>
      <c r="W183" s="445"/>
      <c r="X183" s="445"/>
      <c r="Y183" s="445"/>
      <c r="Z183" s="445"/>
      <c r="AA183" s="445"/>
      <c r="AB183" s="445"/>
      <c r="AC183" s="445"/>
      <c r="AD183" s="445"/>
      <c r="AE183" s="412"/>
      <c r="AF183" s="412"/>
      <c r="AG183" s="412"/>
      <c r="AH183" s="412"/>
      <c r="AI183" s="412"/>
      <c r="AJ183" s="412"/>
      <c r="AK183" s="412"/>
      <c r="AL183" s="412"/>
      <c r="AM183" s="412"/>
      <c r="AN183" s="412"/>
      <c r="AO183" s="412"/>
      <c r="AP183" s="412"/>
      <c r="AQ183" s="412"/>
      <c r="AR183" s="412"/>
      <c r="AS183" s="412"/>
      <c r="AT183" s="412"/>
      <c r="AU183" s="412"/>
      <c r="AV183" s="412"/>
      <c r="AW183" s="412"/>
      <c r="AX183" s="412"/>
      <c r="AY183" s="449"/>
    </row>
    <row r="184" spans="3:51" s="15" customFormat="1" x14ac:dyDescent="0.2">
      <c r="C184" s="412"/>
      <c r="D184" s="412"/>
      <c r="E184" s="742"/>
      <c r="F184" s="412"/>
      <c r="G184" s="412"/>
      <c r="H184" s="412"/>
      <c r="I184" s="412"/>
      <c r="J184" s="412"/>
      <c r="K184" s="412"/>
      <c r="L184" s="412"/>
      <c r="M184" s="412"/>
      <c r="N184" s="412"/>
      <c r="O184" s="412"/>
      <c r="P184" s="412"/>
      <c r="Q184" s="412"/>
      <c r="R184" s="412"/>
      <c r="S184" s="412"/>
      <c r="T184" s="445"/>
      <c r="U184" s="445"/>
      <c r="V184" s="445"/>
      <c r="W184" s="445"/>
      <c r="X184" s="445"/>
      <c r="Y184" s="445"/>
      <c r="Z184" s="445"/>
      <c r="AA184" s="445"/>
      <c r="AB184" s="445"/>
      <c r="AC184" s="445"/>
      <c r="AD184" s="445"/>
      <c r="AE184" s="412"/>
      <c r="AF184" s="412"/>
      <c r="AG184" s="412"/>
      <c r="AH184" s="412"/>
      <c r="AI184" s="412"/>
      <c r="AJ184" s="412"/>
      <c r="AK184" s="412"/>
      <c r="AL184" s="412"/>
      <c r="AM184" s="412"/>
      <c r="AN184" s="412"/>
      <c r="AO184" s="412"/>
      <c r="AP184" s="412"/>
      <c r="AQ184" s="412"/>
      <c r="AR184" s="412"/>
      <c r="AS184" s="412"/>
      <c r="AT184" s="412"/>
      <c r="AU184" s="412"/>
      <c r="AV184" s="412"/>
      <c r="AW184" s="412"/>
      <c r="AX184" s="412"/>
      <c r="AY184" s="449"/>
    </row>
    <row r="185" spans="3:51" s="15" customFormat="1" x14ac:dyDescent="0.2">
      <c r="C185" s="413"/>
      <c r="D185" s="413"/>
      <c r="E185" s="743"/>
      <c r="F185" s="413"/>
      <c r="G185" s="413"/>
      <c r="H185" s="413"/>
      <c r="I185" s="413"/>
      <c r="J185" s="413"/>
      <c r="K185" s="413"/>
      <c r="L185" s="413"/>
      <c r="M185" s="413"/>
      <c r="N185" s="413"/>
      <c r="O185" s="413"/>
      <c r="P185" s="413"/>
      <c r="Q185" s="413"/>
      <c r="R185" s="413"/>
      <c r="S185" s="413"/>
      <c r="T185" s="450"/>
      <c r="U185" s="450"/>
      <c r="V185" s="450"/>
      <c r="W185" s="450"/>
      <c r="X185" s="450"/>
      <c r="Y185" s="450"/>
      <c r="Z185" s="450"/>
      <c r="AA185" s="450"/>
      <c r="AB185" s="450"/>
      <c r="AC185" s="450"/>
      <c r="AD185" s="450"/>
      <c r="AE185" s="413"/>
      <c r="AF185" s="413"/>
      <c r="AG185" s="413"/>
      <c r="AH185" s="413"/>
      <c r="AI185" s="413"/>
      <c r="AJ185" s="413"/>
      <c r="AK185" s="413"/>
      <c r="AL185" s="413"/>
      <c r="AM185" s="413"/>
      <c r="AN185" s="413"/>
      <c r="AO185" s="413"/>
      <c r="AP185" s="413"/>
      <c r="AQ185" s="413"/>
      <c r="AR185" s="413"/>
      <c r="AS185" s="413"/>
      <c r="AT185" s="413"/>
      <c r="AU185" s="413"/>
      <c r="AV185" s="413"/>
      <c r="AW185" s="413"/>
      <c r="AX185" s="413"/>
      <c r="AY185" s="451"/>
    </row>
    <row r="186" spans="3:51" s="15" customFormat="1" x14ac:dyDescent="0.2">
      <c r="E186" s="59"/>
      <c r="T186" s="79"/>
      <c r="U186" s="79"/>
      <c r="V186" s="79"/>
      <c r="W186" s="79"/>
      <c r="X186" s="79"/>
      <c r="Y186" s="79"/>
      <c r="Z186" s="79"/>
      <c r="AA186" s="79"/>
      <c r="AB186" s="79"/>
      <c r="AC186" s="79"/>
      <c r="AD186" s="79"/>
    </row>
    <row r="187" spans="3:51" s="15" customFormat="1" x14ac:dyDescent="0.2">
      <c r="E187" s="59"/>
      <c r="T187" s="79"/>
      <c r="U187" s="79"/>
      <c r="V187" s="79"/>
      <c r="W187" s="79"/>
      <c r="X187" s="79"/>
      <c r="Y187" s="79"/>
      <c r="Z187" s="79"/>
      <c r="AA187" s="79"/>
      <c r="AB187" s="79"/>
      <c r="AC187" s="79"/>
      <c r="AD187" s="79"/>
    </row>
    <row r="188" spans="3:51" s="15" customFormat="1" x14ac:dyDescent="0.2">
      <c r="E188" s="59"/>
      <c r="T188" s="79"/>
      <c r="U188" s="79"/>
      <c r="V188" s="79"/>
      <c r="W188" s="79"/>
      <c r="X188" s="79"/>
      <c r="Y188" s="79"/>
      <c r="Z188" s="79"/>
      <c r="AA188" s="79"/>
      <c r="AB188" s="79"/>
      <c r="AC188" s="79"/>
      <c r="AD188" s="79"/>
    </row>
    <row r="189" spans="3:51" s="15" customFormat="1" x14ac:dyDescent="0.2">
      <c r="E189" s="59"/>
      <c r="T189" s="79"/>
      <c r="U189" s="79"/>
      <c r="V189" s="79"/>
      <c r="W189" s="79"/>
      <c r="X189" s="79"/>
      <c r="Y189" s="79"/>
      <c r="Z189" s="79"/>
      <c r="AA189" s="79"/>
      <c r="AB189" s="79"/>
      <c r="AC189" s="79"/>
      <c r="AD189" s="79"/>
    </row>
    <row r="190" spans="3:51" s="15" customFormat="1" x14ac:dyDescent="0.2">
      <c r="E190" s="59"/>
      <c r="T190" s="79"/>
      <c r="U190" s="79"/>
      <c r="V190" s="79"/>
      <c r="W190" s="79"/>
      <c r="X190" s="79"/>
      <c r="Y190" s="79"/>
      <c r="Z190" s="79"/>
      <c r="AA190" s="79"/>
      <c r="AB190" s="79"/>
      <c r="AC190" s="79"/>
      <c r="AD190" s="79"/>
    </row>
    <row r="191" spans="3:51" s="15" customFormat="1" x14ac:dyDescent="0.2">
      <c r="E191" s="59"/>
      <c r="T191" s="79"/>
      <c r="U191" s="79"/>
      <c r="V191" s="79"/>
      <c r="W191" s="79"/>
      <c r="X191" s="79"/>
      <c r="Y191" s="79"/>
      <c r="Z191" s="79"/>
      <c r="AA191" s="79"/>
      <c r="AB191" s="79"/>
      <c r="AC191" s="79"/>
      <c r="AD191" s="79"/>
    </row>
    <row r="192" spans="3:51" s="15" customFormat="1" x14ac:dyDescent="0.2">
      <c r="E192" s="59"/>
      <c r="T192" s="79"/>
      <c r="U192" s="79"/>
      <c r="V192" s="79"/>
      <c r="W192" s="79"/>
      <c r="X192" s="79"/>
      <c r="Y192" s="79"/>
      <c r="Z192" s="79"/>
      <c r="AA192" s="79"/>
      <c r="AB192" s="79"/>
      <c r="AC192" s="79"/>
      <c r="AD192" s="79"/>
    </row>
    <row r="193" spans="5:30" s="15" customFormat="1" x14ac:dyDescent="0.2">
      <c r="E193" s="59"/>
      <c r="T193" s="79"/>
      <c r="U193" s="79"/>
      <c r="V193" s="79"/>
      <c r="W193" s="79"/>
      <c r="X193" s="79"/>
      <c r="Y193" s="79"/>
      <c r="Z193" s="79"/>
      <c r="AA193" s="79"/>
      <c r="AB193" s="79"/>
      <c r="AC193" s="79"/>
      <c r="AD193" s="79"/>
    </row>
    <row r="194" spans="5:30" s="15" customFormat="1" x14ac:dyDescent="0.2">
      <c r="E194" s="59"/>
      <c r="T194" s="79"/>
      <c r="U194" s="79"/>
      <c r="V194" s="79"/>
      <c r="W194" s="79"/>
      <c r="X194" s="79"/>
      <c r="Y194" s="79"/>
      <c r="Z194" s="79"/>
      <c r="AA194" s="79"/>
      <c r="AB194" s="79"/>
      <c r="AC194" s="79"/>
      <c r="AD194" s="79"/>
    </row>
    <row r="195" spans="5:30" s="15" customFormat="1" x14ac:dyDescent="0.2">
      <c r="E195" s="59"/>
      <c r="T195" s="79"/>
      <c r="U195" s="79"/>
      <c r="V195" s="79"/>
      <c r="W195" s="79"/>
      <c r="X195" s="79"/>
      <c r="Y195" s="79"/>
      <c r="Z195" s="79"/>
      <c r="AA195" s="79"/>
      <c r="AB195" s="79"/>
      <c r="AC195" s="79"/>
      <c r="AD195" s="79"/>
    </row>
    <row r="196" spans="5:30" s="15" customFormat="1" x14ac:dyDescent="0.2">
      <c r="E196" s="59"/>
      <c r="T196" s="79"/>
      <c r="U196" s="79"/>
      <c r="V196" s="79"/>
      <c r="W196" s="79"/>
      <c r="X196" s="79"/>
      <c r="Y196" s="79"/>
      <c r="Z196" s="79"/>
      <c r="AA196" s="79"/>
      <c r="AB196" s="79"/>
      <c r="AC196" s="79"/>
      <c r="AD196" s="79"/>
    </row>
    <row r="197" spans="5:30" s="15" customFormat="1" x14ac:dyDescent="0.2">
      <c r="E197" s="59"/>
      <c r="T197" s="79"/>
      <c r="U197" s="79"/>
      <c r="V197" s="79"/>
      <c r="W197" s="79"/>
      <c r="X197" s="79"/>
      <c r="Y197" s="79"/>
      <c r="Z197" s="79"/>
      <c r="AA197" s="79"/>
      <c r="AB197" s="79"/>
      <c r="AC197" s="79"/>
      <c r="AD197" s="79"/>
    </row>
    <row r="198" spans="5:30" s="15" customFormat="1" x14ac:dyDescent="0.2">
      <c r="E198" s="59"/>
      <c r="T198" s="79"/>
      <c r="U198" s="79"/>
      <c r="V198" s="79"/>
      <c r="W198" s="79"/>
      <c r="X198" s="79"/>
      <c r="Y198" s="79"/>
      <c r="Z198" s="79"/>
      <c r="AA198" s="79"/>
      <c r="AB198" s="79"/>
      <c r="AC198" s="79"/>
      <c r="AD198" s="79"/>
    </row>
    <row r="199" spans="5:30" s="15" customFormat="1" x14ac:dyDescent="0.2">
      <c r="E199" s="59"/>
      <c r="T199" s="79"/>
      <c r="U199" s="79"/>
      <c r="V199" s="79"/>
      <c r="W199" s="79"/>
      <c r="X199" s="79"/>
      <c r="Y199" s="79"/>
      <c r="Z199" s="79"/>
      <c r="AA199" s="79"/>
      <c r="AB199" s="79"/>
      <c r="AC199" s="79"/>
      <c r="AD199" s="79"/>
    </row>
    <row r="200" spans="5:30" s="15" customFormat="1" x14ac:dyDescent="0.2">
      <c r="E200" s="59"/>
      <c r="T200" s="79"/>
      <c r="U200" s="79"/>
      <c r="V200" s="79"/>
      <c r="W200" s="79"/>
      <c r="X200" s="79"/>
      <c r="Y200" s="79"/>
      <c r="Z200" s="79"/>
      <c r="AA200" s="79"/>
      <c r="AB200" s="79"/>
      <c r="AC200" s="79"/>
      <c r="AD200" s="79"/>
    </row>
    <row r="201" spans="5:30" s="15" customFormat="1" x14ac:dyDescent="0.2">
      <c r="E201" s="59"/>
      <c r="T201" s="79"/>
      <c r="U201" s="79"/>
      <c r="V201" s="79"/>
      <c r="W201" s="79"/>
      <c r="X201" s="79"/>
      <c r="Y201" s="79"/>
      <c r="Z201" s="79"/>
      <c r="AA201" s="79"/>
      <c r="AB201" s="79"/>
      <c r="AC201" s="79"/>
      <c r="AD201" s="79"/>
    </row>
    <row r="202" spans="5:30" s="15" customFormat="1" x14ac:dyDescent="0.2">
      <c r="E202" s="59"/>
      <c r="T202" s="79"/>
      <c r="U202" s="79"/>
      <c r="V202" s="79"/>
      <c r="W202" s="79"/>
      <c r="X202" s="79"/>
      <c r="Y202" s="79"/>
      <c r="Z202" s="79"/>
      <c r="AA202" s="79"/>
      <c r="AB202" s="79"/>
      <c r="AC202" s="79"/>
      <c r="AD202" s="79"/>
    </row>
    <row r="203" spans="5:30" s="15" customFormat="1" x14ac:dyDescent="0.2">
      <c r="E203" s="59"/>
      <c r="T203" s="79"/>
      <c r="U203" s="79"/>
      <c r="V203" s="79"/>
      <c r="W203" s="79"/>
      <c r="X203" s="79"/>
      <c r="Y203" s="79"/>
      <c r="Z203" s="79"/>
      <c r="AA203" s="79"/>
      <c r="AB203" s="79"/>
      <c r="AC203" s="79"/>
      <c r="AD203" s="79"/>
    </row>
    <row r="204" spans="5:30" s="15" customFormat="1" x14ac:dyDescent="0.2">
      <c r="E204" s="59"/>
      <c r="T204" s="79"/>
      <c r="U204" s="79"/>
      <c r="V204" s="79"/>
      <c r="W204" s="79"/>
      <c r="X204" s="79"/>
      <c r="Y204" s="79"/>
      <c r="Z204" s="79"/>
      <c r="AA204" s="79"/>
      <c r="AB204" s="79"/>
      <c r="AC204" s="79"/>
      <c r="AD204" s="79"/>
    </row>
    <row r="205" spans="5:30" s="15" customFormat="1" x14ac:dyDescent="0.2">
      <c r="E205" s="59"/>
      <c r="T205" s="79"/>
      <c r="U205" s="79"/>
      <c r="V205" s="79"/>
      <c r="W205" s="79"/>
      <c r="X205" s="79"/>
      <c r="Y205" s="79"/>
      <c r="Z205" s="79"/>
      <c r="AA205" s="79"/>
      <c r="AB205" s="79"/>
      <c r="AC205" s="79"/>
      <c r="AD205" s="79"/>
    </row>
    <row r="206" spans="5:30" s="15" customFormat="1" x14ac:dyDescent="0.2">
      <c r="E206" s="59"/>
      <c r="T206" s="79"/>
      <c r="U206" s="79"/>
      <c r="V206" s="79"/>
      <c r="W206" s="79"/>
      <c r="X206" s="79"/>
      <c r="Y206" s="79"/>
      <c r="Z206" s="79"/>
      <c r="AA206" s="79"/>
      <c r="AB206" s="79"/>
      <c r="AC206" s="79"/>
      <c r="AD206" s="79"/>
    </row>
    <row r="207" spans="5:30" s="15" customFormat="1" x14ac:dyDescent="0.2">
      <c r="E207" s="59"/>
      <c r="T207" s="79"/>
      <c r="U207" s="79"/>
      <c r="V207" s="79"/>
      <c r="W207" s="79"/>
      <c r="X207" s="79"/>
      <c r="Y207" s="79"/>
      <c r="Z207" s="79"/>
      <c r="AA207" s="79"/>
      <c r="AB207" s="79"/>
      <c r="AC207" s="79"/>
      <c r="AD207" s="79"/>
    </row>
    <row r="208" spans="5:30" s="15" customFormat="1" x14ac:dyDescent="0.2">
      <c r="E208" s="59"/>
      <c r="T208" s="79"/>
      <c r="U208" s="79"/>
      <c r="V208" s="79"/>
      <c r="W208" s="79"/>
      <c r="X208" s="79"/>
      <c r="Y208" s="79"/>
      <c r="Z208" s="79"/>
      <c r="AA208" s="79"/>
      <c r="AB208" s="79"/>
      <c r="AC208" s="79"/>
      <c r="AD208" s="79"/>
    </row>
    <row r="209" spans="5:30" s="15" customFormat="1" x14ac:dyDescent="0.2">
      <c r="E209" s="59"/>
      <c r="T209" s="79"/>
      <c r="U209" s="79"/>
      <c r="V209" s="79"/>
      <c r="W209" s="79"/>
      <c r="X209" s="79"/>
      <c r="Y209" s="79"/>
      <c r="Z209" s="79"/>
      <c r="AA209" s="79"/>
      <c r="AB209" s="79"/>
      <c r="AC209" s="79"/>
      <c r="AD209" s="79"/>
    </row>
    <row r="210" spans="5:30" s="15" customFormat="1" x14ac:dyDescent="0.2">
      <c r="E210" s="59"/>
      <c r="T210" s="79"/>
      <c r="U210" s="79"/>
      <c r="V210" s="79"/>
      <c r="W210" s="79"/>
      <c r="X210" s="79"/>
      <c r="Y210" s="79"/>
      <c r="Z210" s="79"/>
      <c r="AA210" s="79"/>
      <c r="AB210" s="79"/>
      <c r="AC210" s="79"/>
      <c r="AD210" s="79"/>
    </row>
    <row r="211" spans="5:30" s="15" customFormat="1" x14ac:dyDescent="0.2">
      <c r="E211" s="59"/>
      <c r="T211" s="79"/>
      <c r="U211" s="79"/>
      <c r="V211" s="79"/>
      <c r="W211" s="79"/>
      <c r="X211" s="79"/>
      <c r="Y211" s="79"/>
      <c r="Z211" s="79"/>
      <c r="AA211" s="79"/>
      <c r="AB211" s="79"/>
      <c r="AC211" s="79"/>
      <c r="AD211" s="79"/>
    </row>
    <row r="212" spans="5:30" s="15" customFormat="1" x14ac:dyDescent="0.2">
      <c r="E212" s="59"/>
      <c r="T212" s="79"/>
      <c r="U212" s="79"/>
      <c r="V212" s="79"/>
      <c r="W212" s="79"/>
      <c r="X212" s="79"/>
      <c r="Y212" s="79"/>
      <c r="Z212" s="79"/>
      <c r="AA212" s="79"/>
      <c r="AB212" s="79"/>
      <c r="AC212" s="79"/>
      <c r="AD212" s="79"/>
    </row>
    <row r="213" spans="5:30" s="15" customFormat="1" x14ac:dyDescent="0.2">
      <c r="E213" s="59"/>
      <c r="T213" s="79"/>
      <c r="U213" s="79"/>
      <c r="V213" s="79"/>
      <c r="W213" s="79"/>
      <c r="X213" s="79"/>
      <c r="Y213" s="79"/>
      <c r="Z213" s="79"/>
      <c r="AA213" s="79"/>
      <c r="AB213" s="79"/>
      <c r="AC213" s="79"/>
      <c r="AD213" s="79"/>
    </row>
    <row r="214" spans="5:30" s="15" customFormat="1" x14ac:dyDescent="0.2">
      <c r="E214" s="59"/>
      <c r="T214" s="79"/>
      <c r="U214" s="79"/>
      <c r="V214" s="79"/>
      <c r="W214" s="79"/>
      <c r="X214" s="79"/>
      <c r="Y214" s="79"/>
      <c r="Z214" s="79"/>
      <c r="AA214" s="79"/>
      <c r="AB214" s="79"/>
      <c r="AC214" s="79"/>
      <c r="AD214" s="79"/>
    </row>
    <row r="215" spans="5:30" s="15" customFormat="1" x14ac:dyDescent="0.2">
      <c r="E215" s="59"/>
      <c r="T215" s="79"/>
      <c r="U215" s="79"/>
      <c r="V215" s="79"/>
      <c r="W215" s="79"/>
      <c r="X215" s="79"/>
      <c r="Y215" s="79"/>
      <c r="Z215" s="79"/>
      <c r="AA215" s="79"/>
      <c r="AB215" s="79"/>
      <c r="AC215" s="79"/>
      <c r="AD215" s="79"/>
    </row>
    <row r="216" spans="5:30" s="15" customFormat="1" x14ac:dyDescent="0.2">
      <c r="E216" s="59"/>
      <c r="T216" s="79"/>
      <c r="U216" s="79"/>
      <c r="V216" s="79"/>
      <c r="W216" s="79"/>
      <c r="X216" s="79"/>
      <c r="Y216" s="79"/>
      <c r="Z216" s="79"/>
      <c r="AA216" s="79"/>
      <c r="AB216" s="79"/>
      <c r="AC216" s="79"/>
      <c r="AD216" s="79"/>
    </row>
    <row r="217" spans="5:30" s="15" customFormat="1" x14ac:dyDescent="0.2">
      <c r="E217" s="59"/>
      <c r="T217" s="79"/>
      <c r="U217" s="79"/>
      <c r="V217" s="79"/>
      <c r="W217" s="79"/>
      <c r="X217" s="79"/>
      <c r="Y217" s="79"/>
      <c r="Z217" s="79"/>
      <c r="AA217" s="79"/>
      <c r="AB217" s="79"/>
      <c r="AC217" s="79"/>
      <c r="AD217" s="79"/>
    </row>
    <row r="218" spans="5:30" s="15" customFormat="1" x14ac:dyDescent="0.2">
      <c r="E218" s="59"/>
      <c r="T218" s="79"/>
      <c r="U218" s="79"/>
      <c r="V218" s="79"/>
      <c r="W218" s="79"/>
      <c r="X218" s="79"/>
      <c r="Y218" s="79"/>
      <c r="Z218" s="79"/>
      <c r="AA218" s="79"/>
      <c r="AB218" s="79"/>
      <c r="AC218" s="79"/>
      <c r="AD218" s="79"/>
    </row>
    <row r="219" spans="5:30" s="15" customFormat="1" x14ac:dyDescent="0.2">
      <c r="E219" s="59"/>
      <c r="T219" s="79"/>
      <c r="U219" s="79"/>
      <c r="V219" s="79"/>
      <c r="W219" s="79"/>
      <c r="X219" s="79"/>
      <c r="Y219" s="79"/>
      <c r="Z219" s="79"/>
      <c r="AA219" s="79"/>
      <c r="AB219" s="79"/>
      <c r="AC219" s="79"/>
      <c r="AD219" s="79"/>
    </row>
    <row r="220" spans="5:30" s="15" customFormat="1" x14ac:dyDescent="0.2">
      <c r="E220" s="59"/>
      <c r="T220" s="79"/>
      <c r="U220" s="79"/>
      <c r="V220" s="79"/>
      <c r="W220" s="79"/>
      <c r="X220" s="79"/>
      <c r="Y220" s="79"/>
      <c r="Z220" s="79"/>
      <c r="AA220" s="79"/>
      <c r="AB220" s="79"/>
      <c r="AC220" s="79"/>
      <c r="AD220" s="79"/>
    </row>
    <row r="221" spans="5:30" s="15" customFormat="1" x14ac:dyDescent="0.2">
      <c r="E221" s="59"/>
      <c r="T221" s="79"/>
      <c r="U221" s="79"/>
      <c r="V221" s="79"/>
      <c r="W221" s="79"/>
      <c r="X221" s="79"/>
      <c r="Y221" s="79"/>
      <c r="Z221" s="79"/>
      <c r="AA221" s="79"/>
      <c r="AB221" s="79"/>
      <c r="AC221" s="79"/>
      <c r="AD221" s="79"/>
    </row>
    <row r="222" spans="5:30" s="15" customFormat="1" x14ac:dyDescent="0.2">
      <c r="E222" s="59"/>
      <c r="T222" s="79"/>
      <c r="U222" s="79"/>
      <c r="V222" s="79"/>
      <c r="W222" s="79"/>
      <c r="X222" s="79"/>
      <c r="Y222" s="79"/>
      <c r="Z222" s="79"/>
      <c r="AA222" s="79"/>
      <c r="AB222" s="79"/>
      <c r="AC222" s="79"/>
      <c r="AD222" s="79"/>
    </row>
    <row r="223" spans="5:30" s="15" customFormat="1" x14ac:dyDescent="0.2">
      <c r="E223" s="59"/>
      <c r="T223" s="79"/>
      <c r="U223" s="79"/>
      <c r="V223" s="79"/>
      <c r="W223" s="79"/>
      <c r="X223" s="79"/>
      <c r="Y223" s="79"/>
      <c r="Z223" s="79"/>
      <c r="AA223" s="79"/>
      <c r="AB223" s="79"/>
      <c r="AC223" s="79"/>
      <c r="AD223" s="79"/>
    </row>
  </sheetData>
  <sheetProtection password="E65B" sheet="1" objects="1" scenarios="1"/>
  <mergeCells count="8">
    <mergeCell ref="F2:Q2"/>
    <mergeCell ref="D11:D12"/>
    <mergeCell ref="V3:X3"/>
    <mergeCell ref="F4:I4"/>
    <mergeCell ref="H6:I6"/>
    <mergeCell ref="H9:Q9"/>
    <mergeCell ref="H10:J10"/>
    <mergeCell ref="H8:Q8"/>
  </mergeCells>
  <phoneticPr fontId="2" type="noConversion"/>
  <dataValidations count="7">
    <dataValidation allowBlank="1" showInputMessage="1" showErrorMessage="1" promptTitle="PON EL % DE I.V.A. A SOPORTAR" prompt="(Lo cargarán tus proveedores)" sqref="J27"/>
    <dataValidation allowBlank="1" showInputMessage="1" showErrorMessage="1" promptTitle="PON EL % DE I.V.A. A REPERCUTIR" prompt="(Lo cargarás en tus facturas)" sqref="J26"/>
    <dataValidation type="list" allowBlank="1" showInputMessage="1" showErrorMessage="1" sqref="J25">
      <formula1>respuesta</formula1>
    </dataValidation>
    <dataValidation allowBlank="1" showInputMessage="1" showErrorMessage="1" promptTitle="% QUE SE DEDUCE DEL BENEFICIO" prompt="% Impuesto sociedades" sqref="J24"/>
    <dataValidation type="list" allowBlank="1" showInputMessage="1" showErrorMessage="1" sqref="P24:P30">
      <formula1>AÑOS</formula1>
    </dataValidation>
    <dataValidation type="list" allowBlank="1" showInputMessage="1" showErrorMessage="1" promptTitle="MES DE INICIO DEL PLAN" prompt="Elige de la lista" sqref="Q6">
      <formula1>mesesx</formula1>
    </dataValidation>
    <dataValidation allowBlank="1" showInputMessage="1" showErrorMessage="1" promptTitle="AÑO DE INICIO DEL PLAN" prompt="Pon el año en que comienza " sqref="N6"/>
  </dataValidations>
  <printOptions horizontalCentered="1" verticalCentered="1"/>
  <pageMargins left="0.78740157480314965" right="0.78740157480314965" top="0.98425196850393704" bottom="0.98425196850393704" header="0" footer="0"/>
  <pageSetup paperSize="9" orientation="landscape" horizontalDpi="4294967292"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pageSetUpPr fitToPage="1"/>
  </sheetPr>
  <dimension ref="A1:BM1524"/>
  <sheetViews>
    <sheetView showGridLines="0" showRowColHeaders="0" showZeros="0" showOutlineSymbols="0" topLeftCell="B1" zoomScale="75" workbookViewId="0">
      <selection sqref="A1:A98"/>
    </sheetView>
  </sheetViews>
  <sheetFormatPr baseColWidth="10" defaultRowHeight="12.75" x14ac:dyDescent="0.2"/>
  <cols>
    <col min="1" max="1" width="11.42578125" style="15" hidden="1" customWidth="1"/>
    <col min="2" max="2" width="5.7109375" style="475" customWidth="1"/>
    <col min="3" max="3" width="4.7109375" style="475" customWidth="1"/>
    <col min="4" max="4" width="1.7109375" customWidth="1"/>
    <col min="5" max="5" width="3.140625" customWidth="1"/>
    <col min="6" max="6" width="33.42578125" customWidth="1"/>
    <col min="7" max="7" width="2.5703125" customWidth="1"/>
    <col min="8" max="9" width="17.28515625" customWidth="1"/>
    <col min="10" max="10" width="2.5703125" customWidth="1"/>
    <col min="11" max="11" width="33.7109375" customWidth="1"/>
    <col min="12" max="12" width="2.5703125" customWidth="1"/>
    <col min="13" max="13" width="33.42578125" customWidth="1"/>
    <col min="14" max="14" width="2.5703125" customWidth="1"/>
    <col min="15" max="15" width="3.140625" customWidth="1"/>
    <col min="16" max="16" width="1.7109375" customWidth="1"/>
    <col min="17" max="17" width="4.7109375" style="475" customWidth="1"/>
    <col min="18" max="18" width="1.7109375" style="475" customWidth="1"/>
    <col min="19" max="19" width="6.5703125" style="475" customWidth="1"/>
    <col min="20" max="20" width="6.85546875" style="475" customWidth="1"/>
    <col min="21" max="21" width="3.140625" style="475" customWidth="1"/>
    <col min="22" max="22" width="2.28515625" style="475" customWidth="1"/>
    <col min="23" max="65" width="11.42578125" style="475"/>
    <col min="66" max="16384" width="11.42578125" style="15"/>
  </cols>
  <sheetData>
    <row r="1" spans="2:65" s="475" customFormat="1" ht="15" customHeight="1" thickBot="1" x14ac:dyDescent="0.25">
      <c r="B1" s="871"/>
      <c r="C1" s="219"/>
      <c r="D1" s="219"/>
      <c r="E1" s="219"/>
      <c r="F1" s="219"/>
      <c r="G1" s="219"/>
      <c r="H1" s="219"/>
      <c r="I1" s="219"/>
      <c r="J1" s="219"/>
      <c r="K1" s="219"/>
      <c r="L1" s="219"/>
      <c r="M1" s="219"/>
      <c r="N1" s="219"/>
      <c r="O1" s="219"/>
      <c r="P1" s="219"/>
      <c r="Q1" s="219"/>
      <c r="R1" s="168"/>
      <c r="S1" s="168"/>
      <c r="T1" s="872"/>
      <c r="U1" s="478"/>
      <c r="V1" s="478"/>
      <c r="W1" s="478"/>
      <c r="X1" s="478"/>
      <c r="Y1" s="478"/>
      <c r="Z1" s="478"/>
      <c r="AA1" s="250"/>
      <c r="AB1" s="250"/>
      <c r="AC1" s="250"/>
      <c r="AD1" s="250"/>
      <c r="AE1" s="250"/>
      <c r="AF1" s="250"/>
      <c r="AG1" s="250"/>
      <c r="AH1" s="250"/>
      <c r="AI1" s="250"/>
      <c r="AJ1" s="250"/>
      <c r="AK1" s="250"/>
      <c r="AL1" s="250"/>
      <c r="AM1" s="250"/>
      <c r="AN1" s="250"/>
      <c r="AO1" s="250"/>
      <c r="AP1" s="250"/>
      <c r="AQ1" s="250"/>
      <c r="AR1" s="250"/>
      <c r="AS1" s="250"/>
      <c r="AT1" s="250"/>
      <c r="AU1" s="250"/>
      <c r="AV1" s="124"/>
    </row>
    <row r="2" spans="2:65" ht="39.950000000000003" customHeight="1" thickBot="1" x14ac:dyDescent="0.25">
      <c r="B2" s="871"/>
      <c r="C2" s="219"/>
      <c r="D2" s="957"/>
      <c r="E2" s="1413" t="s">
        <v>1161</v>
      </c>
      <c r="F2" s="1413"/>
      <c r="G2" s="1413"/>
      <c r="H2" s="1413"/>
      <c r="I2" s="1413"/>
      <c r="J2" s="1413"/>
      <c r="K2" s="1413"/>
      <c r="L2" s="1413"/>
      <c r="M2" s="1413"/>
      <c r="N2" s="1413"/>
      <c r="O2" s="958"/>
      <c r="P2" s="951"/>
      <c r="Q2" s="877"/>
      <c r="R2" s="168"/>
      <c r="S2" s="168"/>
      <c r="T2" s="872"/>
      <c r="U2" s="478"/>
      <c r="V2" s="478"/>
      <c r="W2" s="478"/>
      <c r="X2" s="478"/>
      <c r="Y2" s="478"/>
      <c r="Z2" s="478"/>
      <c r="AA2" s="250"/>
      <c r="AB2" s="250"/>
      <c r="AC2" s="250"/>
      <c r="AD2" s="250"/>
      <c r="AE2" s="250"/>
      <c r="AF2" s="250"/>
      <c r="AG2" s="250"/>
      <c r="AH2" s="250"/>
      <c r="AI2" s="250"/>
      <c r="AJ2" s="250"/>
      <c r="AK2" s="250"/>
      <c r="AL2" s="250"/>
      <c r="AM2" s="250"/>
      <c r="AN2" s="250"/>
      <c r="AO2" s="250"/>
      <c r="AP2" s="250"/>
      <c r="AQ2" s="250"/>
      <c r="AR2" s="250"/>
      <c r="AS2" s="250"/>
      <c r="AT2" s="250"/>
      <c r="AU2" s="250"/>
      <c r="AV2" s="124"/>
    </row>
    <row r="3" spans="2:65" ht="24.95" customHeight="1" thickBot="1" x14ac:dyDescent="0.25">
      <c r="B3" s="871"/>
      <c r="C3" s="219"/>
      <c r="D3" s="1044"/>
      <c r="E3" s="1045"/>
      <c r="F3" s="1060"/>
      <c r="G3" s="1045"/>
      <c r="H3" s="1045"/>
      <c r="I3" s="1045"/>
      <c r="J3" s="1045"/>
      <c r="K3" s="1045"/>
      <c r="L3" s="1045"/>
      <c r="M3" s="1045"/>
      <c r="N3" s="1045"/>
      <c r="O3" s="1045"/>
      <c r="P3" s="1046"/>
      <c r="Q3" s="219"/>
      <c r="R3" s="168"/>
      <c r="S3" s="168"/>
      <c r="T3" s="872"/>
      <c r="U3" s="478"/>
      <c r="V3" s="478"/>
      <c r="W3" s="478"/>
      <c r="X3" s="478"/>
      <c r="Y3" s="478"/>
      <c r="Z3" s="478"/>
      <c r="AA3" s="250"/>
      <c r="AB3" s="250"/>
      <c r="AC3" s="250"/>
      <c r="AD3" s="250"/>
      <c r="AE3" s="250"/>
      <c r="AF3" s="250"/>
      <c r="AG3" s="250"/>
      <c r="AH3" s="250"/>
      <c r="AI3" s="250"/>
      <c r="AJ3" s="250"/>
      <c r="AK3" s="250"/>
      <c r="AL3" s="250"/>
      <c r="AM3" s="250"/>
      <c r="AN3" s="250"/>
      <c r="AO3" s="250"/>
      <c r="AP3" s="250"/>
      <c r="AQ3" s="250"/>
      <c r="AR3" s="250"/>
      <c r="AS3" s="250"/>
      <c r="AT3" s="250"/>
      <c r="AU3" s="250"/>
      <c r="AV3" s="124"/>
    </row>
    <row r="4" spans="2:65" s="54" customFormat="1" ht="18" customHeight="1" thickTop="1" thickBot="1" x14ac:dyDescent="0.25">
      <c r="B4" s="873"/>
      <c r="C4" s="874"/>
      <c r="D4" s="1047"/>
      <c r="E4" s="870" t="s">
        <v>1164</v>
      </c>
      <c r="F4" s="1061" t="s">
        <v>245</v>
      </c>
      <c r="G4" s="1029"/>
      <c r="H4" s="1029" t="s">
        <v>1235</v>
      </c>
      <c r="I4" s="1029"/>
      <c r="J4" s="1029"/>
      <c r="K4" s="1029"/>
      <c r="L4" s="1029"/>
      <c r="M4" s="1029"/>
      <c r="N4" s="1030"/>
      <c r="O4" s="1030"/>
      <c r="P4" s="1048"/>
      <c r="Q4" s="874"/>
      <c r="R4" s="878"/>
      <c r="S4" s="878"/>
      <c r="T4" s="879"/>
      <c r="U4" s="480"/>
      <c r="V4" s="480"/>
      <c r="W4" s="480"/>
      <c r="X4" s="480"/>
      <c r="Y4" s="480"/>
      <c r="Z4" s="480"/>
      <c r="AA4" s="827"/>
      <c r="AB4" s="827"/>
      <c r="AC4" s="827"/>
      <c r="AD4" s="827"/>
      <c r="AE4" s="827"/>
      <c r="AF4" s="827"/>
      <c r="AG4" s="827"/>
      <c r="AH4" s="827"/>
      <c r="AI4" s="827"/>
      <c r="AJ4" s="827"/>
      <c r="AK4" s="827"/>
      <c r="AL4" s="827"/>
      <c r="AM4" s="827"/>
      <c r="AN4" s="827"/>
      <c r="AO4" s="827"/>
      <c r="AP4" s="827"/>
      <c r="AQ4" s="827"/>
      <c r="AR4" s="827"/>
      <c r="AS4" s="827"/>
      <c r="AT4" s="827"/>
      <c r="AU4" s="827"/>
      <c r="AV4" s="880"/>
      <c r="AW4" s="881"/>
      <c r="AX4" s="881"/>
      <c r="AY4" s="881"/>
      <c r="AZ4" s="881"/>
      <c r="BA4" s="881"/>
      <c r="BB4" s="881"/>
      <c r="BC4" s="881"/>
      <c r="BD4" s="881"/>
      <c r="BE4" s="881"/>
      <c r="BF4" s="881"/>
      <c r="BG4" s="881"/>
      <c r="BH4" s="881"/>
      <c r="BI4" s="881"/>
      <c r="BJ4" s="881"/>
      <c r="BK4" s="881"/>
      <c r="BL4" s="881"/>
      <c r="BM4" s="881"/>
    </row>
    <row r="5" spans="2:65" ht="5.0999999999999996" customHeight="1" thickTop="1" thickBot="1" x14ac:dyDescent="0.25">
      <c r="B5" s="871"/>
      <c r="C5" s="219"/>
      <c r="D5" s="1049"/>
      <c r="E5" s="1030"/>
      <c r="F5" s="1062"/>
      <c r="G5" s="1029"/>
      <c r="H5" s="1029"/>
      <c r="I5" s="1029"/>
      <c r="J5" s="1029"/>
      <c r="K5" s="1029"/>
      <c r="L5" s="1029"/>
      <c r="M5" s="1029"/>
      <c r="N5" s="1029"/>
      <c r="O5" s="156"/>
      <c r="P5" s="1050"/>
      <c r="Q5" s="219"/>
      <c r="R5" s="168"/>
      <c r="S5" s="168"/>
      <c r="T5" s="872"/>
      <c r="U5" s="478"/>
      <c r="V5" s="478"/>
      <c r="W5" s="478"/>
      <c r="X5" s="478"/>
      <c r="Y5" s="478"/>
      <c r="Z5" s="478"/>
      <c r="AA5" s="250"/>
      <c r="AB5" s="250"/>
      <c r="AC5" s="250"/>
      <c r="AD5" s="250"/>
      <c r="AE5" s="250"/>
      <c r="AF5" s="250"/>
      <c r="AG5" s="250"/>
      <c r="AH5" s="250"/>
      <c r="AI5" s="250"/>
      <c r="AJ5" s="250"/>
      <c r="AK5" s="250"/>
      <c r="AL5" s="250"/>
      <c r="AM5" s="250"/>
      <c r="AN5" s="250"/>
      <c r="AO5" s="250"/>
      <c r="AP5" s="250"/>
      <c r="AQ5" s="250"/>
      <c r="AR5" s="250"/>
      <c r="AS5" s="250"/>
      <c r="AT5" s="250"/>
      <c r="AU5" s="250"/>
      <c r="AV5" s="124"/>
    </row>
    <row r="6" spans="2:65" ht="18" customHeight="1" thickTop="1" thickBot="1" x14ac:dyDescent="0.25">
      <c r="B6" s="871"/>
      <c r="C6" s="219"/>
      <c r="D6" s="1049"/>
      <c r="E6" s="870" t="s">
        <v>1202</v>
      </c>
      <c r="F6" s="1063" t="s">
        <v>1236</v>
      </c>
      <c r="G6" s="1029"/>
      <c r="H6" s="1029" t="s">
        <v>916</v>
      </c>
      <c r="I6" s="1029"/>
      <c r="J6" s="1029"/>
      <c r="K6" s="1029"/>
      <c r="L6" s="1029"/>
      <c r="M6" s="1029"/>
      <c r="N6" s="1029"/>
      <c r="O6" s="156"/>
      <c r="P6" s="1050"/>
      <c r="Q6" s="219"/>
      <c r="R6" s="168"/>
      <c r="S6" s="168"/>
      <c r="T6" s="872"/>
      <c r="U6" s="478"/>
      <c r="V6" s="478"/>
      <c r="W6" s="478"/>
      <c r="X6" s="478"/>
      <c r="Y6" s="478"/>
      <c r="Z6" s="478"/>
      <c r="AA6" s="250"/>
      <c r="AB6" s="250"/>
      <c r="AC6" s="250"/>
      <c r="AD6" s="250"/>
      <c r="AE6" s="250"/>
      <c r="AF6" s="250"/>
      <c r="AG6" s="250"/>
      <c r="AH6" s="250"/>
      <c r="AI6" s="250"/>
      <c r="AJ6" s="250"/>
      <c r="AK6" s="250"/>
      <c r="AL6" s="250"/>
      <c r="AM6" s="250"/>
      <c r="AN6" s="250"/>
      <c r="AO6" s="250"/>
      <c r="AP6" s="250"/>
      <c r="AQ6" s="250"/>
      <c r="AR6" s="250"/>
      <c r="AS6" s="250"/>
      <c r="AT6" s="250"/>
      <c r="AU6" s="250"/>
      <c r="AV6" s="124"/>
    </row>
    <row r="7" spans="2:65" ht="5.0999999999999996" customHeight="1" thickTop="1" thickBot="1" x14ac:dyDescent="0.25">
      <c r="B7" s="871"/>
      <c r="C7" s="219"/>
      <c r="D7" s="1049"/>
      <c r="E7" s="1030"/>
      <c r="F7" s="1062"/>
      <c r="G7" s="1029"/>
      <c r="H7" s="156"/>
      <c r="I7" s="1029"/>
      <c r="J7" s="1029"/>
      <c r="K7" s="1029"/>
      <c r="L7" s="1029"/>
      <c r="M7" s="1029"/>
      <c r="N7" s="1029"/>
      <c r="O7" s="156"/>
      <c r="P7" s="1050"/>
      <c r="Q7" s="219"/>
      <c r="R7" s="168"/>
      <c r="S7" s="168"/>
      <c r="T7" s="872"/>
      <c r="U7" s="478"/>
      <c r="V7" s="478"/>
      <c r="W7" s="478"/>
      <c r="X7" s="478"/>
      <c r="Y7" s="478"/>
      <c r="Z7" s="478"/>
      <c r="AA7" s="250"/>
      <c r="AB7" s="250"/>
      <c r="AC7" s="250"/>
      <c r="AD7" s="250"/>
      <c r="AE7" s="250"/>
      <c r="AF7" s="250"/>
      <c r="AG7" s="250"/>
      <c r="AH7" s="250"/>
      <c r="AI7" s="250"/>
      <c r="AJ7" s="250"/>
      <c r="AK7" s="250"/>
      <c r="AL7" s="250"/>
      <c r="AM7" s="250"/>
      <c r="AN7" s="250"/>
      <c r="AO7" s="250"/>
      <c r="AP7" s="250"/>
      <c r="AQ7" s="250"/>
      <c r="AR7" s="250"/>
      <c r="AS7" s="250"/>
      <c r="AT7" s="250"/>
      <c r="AU7" s="250"/>
      <c r="AV7" s="124"/>
    </row>
    <row r="8" spans="2:65" ht="18" customHeight="1" thickTop="1" thickBot="1" x14ac:dyDescent="0.25">
      <c r="B8" s="871"/>
      <c r="C8" s="219"/>
      <c r="D8" s="1049"/>
      <c r="E8" s="1031" t="s">
        <v>681</v>
      </c>
      <c r="F8" s="1064" t="s">
        <v>922</v>
      </c>
      <c r="G8" s="1029"/>
      <c r="H8" s="156" t="s">
        <v>917</v>
      </c>
      <c r="I8" s="1029"/>
      <c r="J8" s="1029"/>
      <c r="K8" s="1029"/>
      <c r="L8" s="1029"/>
      <c r="M8" s="1029"/>
      <c r="N8" s="1029"/>
      <c r="O8" s="156"/>
      <c r="P8" s="1050"/>
      <c r="Q8" s="219"/>
      <c r="R8" s="168"/>
      <c r="S8" s="168"/>
      <c r="T8" s="872"/>
      <c r="U8" s="478"/>
      <c r="V8" s="478"/>
      <c r="W8" s="478"/>
      <c r="X8" s="478"/>
      <c r="Y8" s="478"/>
      <c r="Z8" s="478"/>
      <c r="AA8" s="250"/>
      <c r="AB8" s="250"/>
      <c r="AC8" s="250"/>
      <c r="AD8" s="250"/>
      <c r="AE8" s="250"/>
      <c r="AF8" s="250"/>
      <c r="AG8" s="250"/>
      <c r="AH8" s="250"/>
      <c r="AI8" s="250"/>
      <c r="AJ8" s="250"/>
      <c r="AK8" s="250"/>
      <c r="AL8" s="250"/>
      <c r="AM8" s="250"/>
      <c r="AN8" s="250"/>
      <c r="AO8" s="250"/>
      <c r="AP8" s="250"/>
      <c r="AQ8" s="250"/>
      <c r="AR8" s="250"/>
      <c r="AS8" s="250"/>
      <c r="AT8" s="250"/>
      <c r="AU8" s="250"/>
      <c r="AV8" s="124"/>
    </row>
    <row r="9" spans="2:65" ht="24.95" customHeight="1" thickTop="1" thickBot="1" x14ac:dyDescent="0.25">
      <c r="B9" s="871"/>
      <c r="C9" s="219"/>
      <c r="D9" s="1049"/>
      <c r="E9" s="1029"/>
      <c r="F9" s="1029"/>
      <c r="G9" s="1029"/>
      <c r="H9" s="156"/>
      <c r="I9" s="1029"/>
      <c r="J9" s="1029"/>
      <c r="K9" s="1029"/>
      <c r="L9" s="1029"/>
      <c r="M9" s="1029"/>
      <c r="N9" s="1029"/>
      <c r="O9" s="156"/>
      <c r="P9" s="1050"/>
      <c r="Q9" s="219"/>
      <c r="R9" s="168"/>
      <c r="S9" s="168"/>
      <c r="T9" s="872"/>
      <c r="U9" s="478"/>
      <c r="V9" s="478"/>
      <c r="W9" s="478"/>
      <c r="X9" s="478"/>
      <c r="Y9" s="478"/>
      <c r="Z9" s="478"/>
      <c r="AA9" s="250"/>
      <c r="AB9" s="250"/>
      <c r="AC9" s="250"/>
      <c r="AD9" s="250"/>
      <c r="AE9" s="250"/>
      <c r="AF9" s="250"/>
      <c r="AG9" s="250"/>
      <c r="AH9" s="250"/>
      <c r="AI9" s="250"/>
      <c r="AJ9" s="250"/>
      <c r="AK9" s="250"/>
      <c r="AL9" s="250"/>
      <c r="AM9" s="250"/>
      <c r="AN9" s="250"/>
      <c r="AO9" s="250"/>
      <c r="AP9" s="250"/>
      <c r="AQ9" s="250"/>
      <c r="AR9" s="250"/>
      <c r="AS9" s="250"/>
      <c r="AT9" s="250"/>
      <c r="AU9" s="250"/>
      <c r="AV9" s="124"/>
    </row>
    <row r="10" spans="2:65" ht="20.100000000000001" customHeight="1" thickBot="1" x14ac:dyDescent="0.25">
      <c r="B10" s="871"/>
      <c r="C10" s="219"/>
      <c r="D10" s="1049"/>
      <c r="E10" s="1416" t="s">
        <v>913</v>
      </c>
      <c r="F10" s="1417"/>
      <c r="G10" s="1417"/>
      <c r="H10" s="1417"/>
      <c r="I10" s="1417"/>
      <c r="J10" s="1417"/>
      <c r="K10" s="1417"/>
      <c r="L10" s="1417"/>
      <c r="M10" s="1417"/>
      <c r="N10" s="1417"/>
      <c r="O10" s="1418"/>
      <c r="P10" s="1050"/>
      <c r="Q10" s="219"/>
      <c r="R10" s="168"/>
      <c r="S10" s="168"/>
      <c r="T10" s="872"/>
      <c r="U10" s="478"/>
      <c r="V10" s="478"/>
      <c r="W10" s="478"/>
      <c r="X10" s="478"/>
      <c r="Y10" s="478"/>
      <c r="Z10" s="478"/>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124"/>
    </row>
    <row r="11" spans="2:65" ht="20.100000000000001" customHeight="1" thickBot="1" x14ac:dyDescent="0.25">
      <c r="B11" s="871"/>
      <c r="C11" s="219"/>
      <c r="D11" s="1049"/>
      <c r="E11" s="1030"/>
      <c r="F11" s="1065"/>
      <c r="G11" s="1029"/>
      <c r="H11" s="156"/>
      <c r="I11" s="1029"/>
      <c r="J11" s="1029"/>
      <c r="K11" s="1029"/>
      <c r="L11" s="1029"/>
      <c r="M11" s="1029"/>
      <c r="N11" s="1029"/>
      <c r="O11" s="156"/>
      <c r="P11" s="1050"/>
      <c r="Q11" s="219"/>
      <c r="R11" s="168"/>
      <c r="S11" s="168"/>
      <c r="T11" s="872"/>
      <c r="U11" s="478"/>
      <c r="V11" s="478"/>
      <c r="W11" s="478"/>
      <c r="X11" s="478"/>
      <c r="Y11" s="478"/>
      <c r="Z11" s="478"/>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124"/>
    </row>
    <row r="12" spans="2:65" ht="18" customHeight="1" thickTop="1" thickBot="1" x14ac:dyDescent="0.25">
      <c r="B12" s="871"/>
      <c r="C12" s="219"/>
      <c r="D12" s="1049"/>
      <c r="E12" s="869">
        <v>1</v>
      </c>
      <c r="F12" s="1066" t="s">
        <v>1238</v>
      </c>
      <c r="G12" s="1029"/>
      <c r="H12" s="225" t="s">
        <v>1162</v>
      </c>
      <c r="I12" s="1030"/>
      <c r="J12" s="1029"/>
      <c r="K12" s="1029"/>
      <c r="L12" s="1029"/>
      <c r="M12" s="1029"/>
      <c r="N12" s="1029"/>
      <c r="O12" s="156"/>
      <c r="P12" s="1050"/>
      <c r="Q12" s="219"/>
      <c r="R12" s="168"/>
      <c r="S12" s="168"/>
      <c r="T12" s="872"/>
      <c r="U12" s="478"/>
      <c r="V12" s="478"/>
      <c r="W12" s="478"/>
      <c r="X12" s="478"/>
      <c r="Y12" s="478"/>
      <c r="Z12" s="478"/>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124"/>
    </row>
    <row r="13" spans="2:65" ht="5.0999999999999996" customHeight="1" thickTop="1" thickBot="1" x14ac:dyDescent="0.25">
      <c r="B13" s="871"/>
      <c r="C13" s="219"/>
      <c r="D13" s="1049"/>
      <c r="E13" s="1030"/>
      <c r="F13" s="1065"/>
      <c r="G13" s="1029"/>
      <c r="H13" s="225"/>
      <c r="I13" s="1030"/>
      <c r="J13" s="1029"/>
      <c r="K13" s="1029"/>
      <c r="L13" s="1029"/>
      <c r="M13" s="1029"/>
      <c r="N13" s="1029"/>
      <c r="O13" s="156"/>
      <c r="P13" s="1050"/>
      <c r="Q13" s="219"/>
      <c r="R13" s="168"/>
      <c r="S13" s="168"/>
      <c r="T13" s="872"/>
      <c r="U13" s="478"/>
      <c r="V13" s="478"/>
      <c r="W13" s="478"/>
      <c r="X13" s="478"/>
      <c r="Y13" s="478"/>
      <c r="Z13" s="478"/>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124"/>
    </row>
    <row r="14" spans="2:65" ht="18" customHeight="1" thickTop="1" thickBot="1" x14ac:dyDescent="0.25">
      <c r="B14" s="871"/>
      <c r="C14" s="219"/>
      <c r="D14" s="1049"/>
      <c r="E14" s="869">
        <f>E12+1</f>
        <v>2</v>
      </c>
      <c r="F14" s="1066" t="s">
        <v>1239</v>
      </c>
      <c r="G14" s="1029"/>
      <c r="H14" s="225" t="s">
        <v>1163</v>
      </c>
      <c r="I14" s="1030"/>
      <c r="J14" s="1029"/>
      <c r="K14" s="1029"/>
      <c r="L14" s="1029"/>
      <c r="M14" s="1029"/>
      <c r="N14" s="1029"/>
      <c r="O14" s="156"/>
      <c r="P14" s="1050"/>
      <c r="Q14" s="219"/>
      <c r="R14" s="168"/>
      <c r="S14" s="168"/>
      <c r="T14" s="872"/>
      <c r="U14" s="478"/>
      <c r="V14" s="478"/>
      <c r="W14" s="478"/>
      <c r="X14" s="478"/>
      <c r="Y14" s="478"/>
      <c r="Z14" s="478"/>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124"/>
    </row>
    <row r="15" spans="2:65" ht="5.0999999999999996" customHeight="1" thickTop="1" thickBot="1" x14ac:dyDescent="0.25">
      <c r="B15" s="871"/>
      <c r="C15" s="219"/>
      <c r="D15" s="1049"/>
      <c r="E15" s="1030"/>
      <c r="F15" s="1065"/>
      <c r="G15" s="1029"/>
      <c r="H15" s="225"/>
      <c r="I15" s="1030"/>
      <c r="J15" s="1029"/>
      <c r="K15" s="1029"/>
      <c r="L15" s="1029"/>
      <c r="M15" s="1029"/>
      <c r="N15" s="1029"/>
      <c r="O15" s="156"/>
      <c r="P15" s="1050"/>
      <c r="Q15" s="219"/>
      <c r="R15" s="168"/>
      <c r="S15" s="168"/>
      <c r="T15" s="872"/>
      <c r="U15" s="478"/>
      <c r="V15" s="478"/>
      <c r="W15" s="478"/>
      <c r="X15" s="478"/>
      <c r="Y15" s="478"/>
      <c r="Z15" s="478"/>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124"/>
    </row>
    <row r="16" spans="2:65" ht="18" customHeight="1" thickTop="1" thickBot="1" x14ac:dyDescent="0.25">
      <c r="B16" s="871"/>
      <c r="C16" s="219"/>
      <c r="D16" s="1049"/>
      <c r="E16" s="869">
        <v>3</v>
      </c>
      <c r="F16" s="1066" t="s">
        <v>662</v>
      </c>
      <c r="G16" s="1029"/>
      <c r="H16" s="225" t="s">
        <v>198</v>
      </c>
      <c r="I16" s="1030"/>
      <c r="J16" s="1029"/>
      <c r="K16" s="1029"/>
      <c r="L16" s="1029"/>
      <c r="M16" s="1029"/>
      <c r="N16" s="1029"/>
      <c r="O16" s="156"/>
      <c r="P16" s="1050"/>
      <c r="Q16" s="219"/>
      <c r="R16" s="168"/>
      <c r="S16" s="168"/>
      <c r="T16" s="872"/>
      <c r="U16" s="478"/>
      <c r="V16" s="478"/>
      <c r="W16" s="478"/>
      <c r="X16" s="478"/>
      <c r="Y16" s="478"/>
      <c r="Z16" s="478"/>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124"/>
    </row>
    <row r="17" spans="2:65" ht="5.0999999999999996" customHeight="1" thickTop="1" thickBot="1" x14ac:dyDescent="0.25">
      <c r="B17" s="871"/>
      <c r="C17" s="219"/>
      <c r="D17" s="1049"/>
      <c r="E17" s="1030"/>
      <c r="F17" s="1065"/>
      <c r="G17" s="1029"/>
      <c r="H17" s="225"/>
      <c r="I17" s="1030"/>
      <c r="J17" s="1029"/>
      <c r="K17" s="1029"/>
      <c r="L17" s="1029"/>
      <c r="M17" s="1029"/>
      <c r="N17" s="1029"/>
      <c r="O17" s="156"/>
      <c r="P17" s="1050"/>
      <c r="Q17" s="219"/>
      <c r="R17" s="168"/>
      <c r="S17" s="168"/>
      <c r="T17" s="872"/>
      <c r="U17" s="478"/>
      <c r="V17" s="478"/>
      <c r="W17" s="478"/>
      <c r="X17" s="478"/>
      <c r="Y17" s="478"/>
      <c r="Z17" s="478"/>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124"/>
    </row>
    <row r="18" spans="2:65" ht="18" customHeight="1" thickTop="1" thickBot="1" x14ac:dyDescent="0.25">
      <c r="B18" s="871"/>
      <c r="C18" s="219"/>
      <c r="D18" s="1049"/>
      <c r="E18" s="869">
        <f>E16+1</f>
        <v>4</v>
      </c>
      <c r="F18" s="1066" t="s">
        <v>1237</v>
      </c>
      <c r="G18" s="1029"/>
      <c r="H18" s="225" t="s">
        <v>199</v>
      </c>
      <c r="I18" s="1030"/>
      <c r="J18" s="1029"/>
      <c r="K18" s="1029"/>
      <c r="L18" s="1029"/>
      <c r="M18" s="1029"/>
      <c r="N18" s="1029"/>
      <c r="O18" s="156"/>
      <c r="P18" s="1050"/>
      <c r="Q18" s="219"/>
      <c r="R18" s="168"/>
      <c r="S18" s="168"/>
      <c r="T18" s="872"/>
      <c r="U18" s="478"/>
      <c r="V18" s="478"/>
      <c r="W18" s="478"/>
      <c r="X18" s="478"/>
      <c r="Y18" s="478"/>
      <c r="Z18" s="478"/>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124"/>
    </row>
    <row r="19" spans="2:65" ht="5.0999999999999996" customHeight="1" thickTop="1" thickBot="1" x14ac:dyDescent="0.25">
      <c r="B19" s="871"/>
      <c r="C19" s="219"/>
      <c r="D19" s="1049"/>
      <c r="E19" s="1030"/>
      <c r="F19" s="1065"/>
      <c r="G19" s="1029"/>
      <c r="H19" s="225"/>
      <c r="I19" s="1030"/>
      <c r="J19" s="1029"/>
      <c r="K19" s="1029"/>
      <c r="L19" s="1029"/>
      <c r="M19" s="1029"/>
      <c r="N19" s="1029"/>
      <c r="O19" s="156"/>
      <c r="P19" s="1050"/>
      <c r="Q19" s="219"/>
      <c r="R19" s="168"/>
      <c r="S19" s="168"/>
      <c r="T19" s="872"/>
      <c r="U19" s="478"/>
      <c r="V19" s="478"/>
      <c r="W19" s="478"/>
      <c r="X19" s="478"/>
      <c r="Y19" s="478"/>
      <c r="Z19" s="478"/>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124"/>
    </row>
    <row r="20" spans="2:65" ht="18" customHeight="1" thickTop="1" thickBot="1" x14ac:dyDescent="0.25">
      <c r="B20" s="871"/>
      <c r="C20" s="219"/>
      <c r="D20" s="1049"/>
      <c r="E20" s="869">
        <v>5</v>
      </c>
      <c r="F20" s="1066" t="s">
        <v>787</v>
      </c>
      <c r="G20" s="1029"/>
      <c r="H20" s="225" t="s">
        <v>1167</v>
      </c>
      <c r="I20" s="1030"/>
      <c r="J20" s="1029"/>
      <c r="K20" s="1029"/>
      <c r="L20" s="1029"/>
      <c r="M20" s="1029"/>
      <c r="N20" s="1029"/>
      <c r="O20" s="156"/>
      <c r="P20" s="1050"/>
      <c r="Q20" s="219"/>
      <c r="R20" s="168"/>
      <c r="S20" s="168"/>
      <c r="T20" s="872"/>
      <c r="U20" s="478"/>
      <c r="V20" s="478"/>
      <c r="W20" s="478"/>
      <c r="X20" s="478"/>
      <c r="Y20" s="478"/>
      <c r="Z20" s="478"/>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124"/>
    </row>
    <row r="21" spans="2:65" ht="5.0999999999999996" customHeight="1" thickTop="1" thickBot="1" x14ac:dyDescent="0.25">
      <c r="B21" s="871"/>
      <c r="C21" s="219"/>
      <c r="D21" s="1049"/>
      <c r="E21" s="1030"/>
      <c r="F21" s="1065"/>
      <c r="G21" s="1029"/>
      <c r="H21" s="225"/>
      <c r="I21" s="1030"/>
      <c r="J21" s="1029"/>
      <c r="K21" s="1029"/>
      <c r="L21" s="1029"/>
      <c r="M21" s="1029"/>
      <c r="N21" s="1029"/>
      <c r="O21" s="156"/>
      <c r="P21" s="1050"/>
      <c r="Q21" s="219"/>
      <c r="R21" s="168"/>
      <c r="S21" s="168"/>
      <c r="T21" s="872"/>
      <c r="U21" s="478"/>
      <c r="V21" s="478"/>
      <c r="W21" s="478"/>
      <c r="X21" s="478"/>
      <c r="Y21" s="478"/>
      <c r="Z21" s="478"/>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124"/>
    </row>
    <row r="22" spans="2:65" ht="18" customHeight="1" thickTop="1" thickBot="1" x14ac:dyDescent="0.25">
      <c r="B22" s="871"/>
      <c r="C22" s="219"/>
      <c r="D22" s="1049"/>
      <c r="E22" s="869">
        <v>6</v>
      </c>
      <c r="F22" s="1066" t="s">
        <v>1165</v>
      </c>
      <c r="G22" s="1029"/>
      <c r="H22" s="225" t="s">
        <v>1166</v>
      </c>
      <c r="I22" s="1030"/>
      <c r="J22" s="1029"/>
      <c r="K22" s="1029"/>
      <c r="L22" s="1029"/>
      <c r="M22" s="1029"/>
      <c r="N22" s="1029"/>
      <c r="O22" s="156"/>
      <c r="P22" s="1050"/>
      <c r="Q22" s="219"/>
      <c r="R22" s="168"/>
      <c r="S22" s="168"/>
      <c r="T22" s="872"/>
      <c r="U22" s="478"/>
      <c r="V22" s="478"/>
      <c r="W22" s="478"/>
      <c r="X22" s="478"/>
      <c r="Y22" s="478"/>
      <c r="Z22" s="478"/>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124"/>
    </row>
    <row r="23" spans="2:65" ht="5.0999999999999996" customHeight="1" thickTop="1" x14ac:dyDescent="0.2">
      <c r="B23" s="871"/>
      <c r="C23" s="219"/>
      <c r="D23" s="1049"/>
      <c r="E23" s="1030"/>
      <c r="F23" s="1032"/>
      <c r="G23" s="1029"/>
      <c r="H23" s="225"/>
      <c r="I23" s="1030"/>
      <c r="J23" s="1029"/>
      <c r="K23" s="1029"/>
      <c r="L23" s="1029"/>
      <c r="M23" s="1029"/>
      <c r="N23" s="1029"/>
      <c r="O23" s="156"/>
      <c r="P23" s="1050"/>
      <c r="Q23" s="219"/>
      <c r="R23" s="168"/>
      <c r="S23" s="168"/>
      <c r="T23" s="872"/>
      <c r="U23" s="478"/>
      <c r="V23" s="478"/>
      <c r="W23" s="478"/>
      <c r="X23" s="478"/>
      <c r="Y23" s="478"/>
      <c r="Z23" s="478"/>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124"/>
    </row>
    <row r="24" spans="2:65" ht="20.100000000000001" customHeight="1" thickBot="1" x14ac:dyDescent="0.25">
      <c r="B24" s="871"/>
      <c r="C24" s="219"/>
      <c r="D24" s="1049"/>
      <c r="E24" s="1029"/>
      <c r="F24" s="1029"/>
      <c r="G24" s="1029"/>
      <c r="H24" s="156"/>
      <c r="I24" s="1029"/>
      <c r="J24" s="1029"/>
      <c r="K24" s="1029"/>
      <c r="L24" s="1029"/>
      <c r="M24" s="1029"/>
      <c r="N24" s="1029"/>
      <c r="O24" s="156"/>
      <c r="P24" s="1050"/>
      <c r="Q24" s="219"/>
      <c r="R24" s="168"/>
      <c r="S24" s="168"/>
      <c r="T24" s="872"/>
      <c r="U24" s="478"/>
      <c r="V24" s="478"/>
      <c r="W24" s="478"/>
      <c r="X24" s="478"/>
      <c r="Y24" s="478"/>
      <c r="Z24" s="478"/>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124"/>
    </row>
    <row r="25" spans="2:65" ht="20.100000000000001" customHeight="1" thickBot="1" x14ac:dyDescent="0.25">
      <c r="B25" s="871"/>
      <c r="C25" s="219"/>
      <c r="D25" s="1049"/>
      <c r="E25" s="1416" t="s">
        <v>914</v>
      </c>
      <c r="F25" s="1417"/>
      <c r="G25" s="1417"/>
      <c r="H25" s="1417"/>
      <c r="I25" s="1417"/>
      <c r="J25" s="1417"/>
      <c r="K25" s="1417"/>
      <c r="L25" s="1417"/>
      <c r="M25" s="1417"/>
      <c r="N25" s="1417"/>
      <c r="O25" s="1418"/>
      <c r="P25" s="1050"/>
      <c r="Q25" s="219"/>
      <c r="R25" s="168"/>
      <c r="S25" s="168"/>
      <c r="T25" s="872"/>
      <c r="U25" s="478"/>
      <c r="V25" s="478"/>
      <c r="W25" s="478"/>
      <c r="X25" s="478"/>
      <c r="Y25" s="478"/>
      <c r="Z25" s="478"/>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124"/>
    </row>
    <row r="26" spans="2:65" ht="20.100000000000001" customHeight="1" thickBot="1" x14ac:dyDescent="0.25">
      <c r="B26" s="871"/>
      <c r="C26" s="219"/>
      <c r="D26" s="1049"/>
      <c r="E26" s="1029"/>
      <c r="F26" s="1033"/>
      <c r="G26" s="1029"/>
      <c r="H26" s="156"/>
      <c r="I26" s="1029"/>
      <c r="J26" s="1029"/>
      <c r="K26" s="1029"/>
      <c r="L26" s="1029"/>
      <c r="M26" s="1029"/>
      <c r="N26" s="1029"/>
      <c r="O26" s="156"/>
      <c r="P26" s="1050"/>
      <c r="Q26" s="219"/>
      <c r="R26" s="168"/>
      <c r="S26" s="168"/>
      <c r="T26" s="872"/>
      <c r="U26" s="478"/>
      <c r="V26" s="478"/>
      <c r="W26" s="478"/>
      <c r="X26" s="478"/>
      <c r="Y26" s="478"/>
      <c r="Z26" s="478"/>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124"/>
    </row>
    <row r="27" spans="2:65" ht="18" customHeight="1" thickTop="1" thickBot="1" x14ac:dyDescent="0.3">
      <c r="B27" s="871"/>
      <c r="C27" s="219"/>
      <c r="D27" s="1049"/>
      <c r="E27" s="1034"/>
      <c r="F27" s="1067" t="s">
        <v>912</v>
      </c>
      <c r="G27" s="1029"/>
      <c r="H27" s="167" t="s">
        <v>915</v>
      </c>
      <c r="I27" s="1029"/>
      <c r="J27" s="1029"/>
      <c r="K27" s="1029"/>
      <c r="L27" s="1029"/>
      <c r="M27" s="250"/>
      <c r="N27" s="1029"/>
      <c r="O27" s="156"/>
      <c r="P27" s="1050"/>
      <c r="Q27" s="219"/>
      <c r="R27" s="168"/>
      <c r="S27" s="168"/>
      <c r="T27" s="872"/>
      <c r="U27" s="478"/>
      <c r="V27" s="478"/>
      <c r="W27" s="478"/>
      <c r="X27" s="478"/>
      <c r="Y27" s="478"/>
      <c r="Z27" s="478"/>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124"/>
    </row>
    <row r="28" spans="2:65" ht="3" customHeight="1" thickTop="1" x14ac:dyDescent="0.2">
      <c r="B28" s="871"/>
      <c r="C28" s="219"/>
      <c r="D28" s="1049"/>
      <c r="E28" s="1029"/>
      <c r="F28" s="278"/>
      <c r="G28" s="1029"/>
      <c r="H28" s="156"/>
      <c r="I28" s="1029"/>
      <c r="J28" s="1029"/>
      <c r="K28" s="1029"/>
      <c r="L28" s="1029"/>
      <c r="M28" s="1029"/>
      <c r="N28" s="1029"/>
      <c r="O28" s="156"/>
      <c r="P28" s="1050"/>
      <c r="Q28" s="219"/>
      <c r="R28" s="168"/>
      <c r="S28" s="168"/>
      <c r="T28" s="872"/>
      <c r="U28" s="478"/>
      <c r="V28" s="478"/>
      <c r="W28" s="478"/>
      <c r="X28" s="478"/>
      <c r="Y28" s="478"/>
      <c r="Z28" s="478"/>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124"/>
    </row>
    <row r="29" spans="2:65" ht="18" customHeight="1" x14ac:dyDescent="0.2">
      <c r="B29" s="871"/>
      <c r="C29" s="219"/>
      <c r="D29" s="1049"/>
      <c r="E29" s="1034"/>
      <c r="F29" s="867" t="s">
        <v>1240</v>
      </c>
      <c r="G29" s="1029"/>
      <c r="H29" s="156" t="s">
        <v>1242</v>
      </c>
      <c r="I29" s="1029"/>
      <c r="J29" s="1029"/>
      <c r="K29" s="1029"/>
      <c r="L29" s="1029"/>
      <c r="M29" s="1029"/>
      <c r="N29" s="1029"/>
      <c r="O29" s="156"/>
      <c r="P29" s="1050"/>
      <c r="Q29" s="219"/>
      <c r="R29" s="168"/>
      <c r="S29" s="168"/>
      <c r="T29" s="872"/>
      <c r="U29" s="478"/>
      <c r="V29" s="478"/>
      <c r="W29" s="478"/>
      <c r="X29" s="478"/>
      <c r="Y29" s="478"/>
      <c r="Z29" s="478"/>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124"/>
    </row>
    <row r="30" spans="2:65" s="130" customFormat="1" ht="3" customHeight="1" x14ac:dyDescent="0.2">
      <c r="B30" s="875"/>
      <c r="C30" s="876"/>
      <c r="D30" s="1051"/>
      <c r="E30" s="1035"/>
      <c r="F30" s="868"/>
      <c r="G30" s="1039"/>
      <c r="H30" s="885"/>
      <c r="I30" s="885"/>
      <c r="J30" s="1037"/>
      <c r="K30" s="885"/>
      <c r="L30" s="1037"/>
      <c r="M30" s="885"/>
      <c r="N30" s="1040"/>
      <c r="O30" s="1040"/>
      <c r="P30" s="1052"/>
      <c r="Q30" s="876"/>
      <c r="R30" s="882"/>
      <c r="S30" s="882"/>
      <c r="T30" s="883"/>
      <c r="U30" s="884"/>
      <c r="V30" s="884"/>
      <c r="W30" s="884"/>
      <c r="X30" s="884"/>
      <c r="Y30" s="884"/>
      <c r="Z30" s="884"/>
      <c r="AA30" s="885"/>
      <c r="AB30" s="885"/>
      <c r="AC30" s="885"/>
      <c r="AD30" s="885"/>
      <c r="AE30" s="885"/>
      <c r="AF30" s="885"/>
      <c r="AG30" s="885"/>
      <c r="AH30" s="885"/>
      <c r="AI30" s="885"/>
      <c r="AJ30" s="885"/>
      <c r="AK30" s="885"/>
      <c r="AL30" s="885"/>
      <c r="AM30" s="885"/>
      <c r="AN30" s="885"/>
      <c r="AO30" s="885"/>
      <c r="AP30" s="885"/>
      <c r="AQ30" s="885"/>
      <c r="AR30" s="885"/>
      <c r="AS30" s="885"/>
      <c r="AT30" s="885"/>
      <c r="AU30" s="885"/>
      <c r="AV30" s="886"/>
      <c r="AW30" s="887"/>
      <c r="AX30" s="887"/>
      <c r="AY30" s="887"/>
      <c r="AZ30" s="887"/>
      <c r="BA30" s="887"/>
      <c r="BB30" s="887"/>
      <c r="BC30" s="887"/>
      <c r="BD30" s="887"/>
      <c r="BE30" s="887"/>
      <c r="BF30" s="887"/>
      <c r="BG30" s="887"/>
      <c r="BH30" s="887"/>
      <c r="BI30" s="887"/>
      <c r="BJ30" s="887"/>
      <c r="BK30" s="887"/>
      <c r="BL30" s="887"/>
      <c r="BM30" s="887"/>
    </row>
    <row r="31" spans="2:65" s="130" customFormat="1" ht="18" customHeight="1" x14ac:dyDescent="0.2">
      <c r="B31" s="875"/>
      <c r="C31" s="876"/>
      <c r="D31" s="1051"/>
      <c r="E31" s="1036"/>
      <c r="F31" s="867" t="s">
        <v>1245</v>
      </c>
      <c r="G31" s="1041"/>
      <c r="H31" s="156" t="s">
        <v>1244</v>
      </c>
      <c r="I31" s="1041"/>
      <c r="J31" s="1042"/>
      <c r="K31" s="1043"/>
      <c r="L31" s="1042"/>
      <c r="M31" s="1043"/>
      <c r="N31" s="1040"/>
      <c r="O31" s="1040"/>
      <c r="P31" s="1052"/>
      <c r="Q31" s="876"/>
      <c r="R31" s="882"/>
      <c r="S31" s="882"/>
      <c r="T31" s="883"/>
      <c r="U31" s="884"/>
      <c r="V31" s="884"/>
      <c r="W31" s="884"/>
      <c r="X31" s="884"/>
      <c r="Y31" s="884"/>
      <c r="Z31" s="884"/>
      <c r="AA31" s="885"/>
      <c r="AB31" s="885"/>
      <c r="AC31" s="885"/>
      <c r="AD31" s="885"/>
      <c r="AE31" s="885"/>
      <c r="AF31" s="885"/>
      <c r="AG31" s="885"/>
      <c r="AH31" s="885"/>
      <c r="AI31" s="885"/>
      <c r="AJ31" s="885"/>
      <c r="AK31" s="885"/>
      <c r="AL31" s="885"/>
      <c r="AM31" s="885"/>
      <c r="AN31" s="885"/>
      <c r="AO31" s="885"/>
      <c r="AP31" s="885"/>
      <c r="AQ31" s="885"/>
      <c r="AR31" s="885"/>
      <c r="AS31" s="885"/>
      <c r="AT31" s="885"/>
      <c r="AU31" s="885"/>
      <c r="AV31" s="886"/>
      <c r="AW31" s="887"/>
      <c r="AX31" s="887"/>
      <c r="AY31" s="887"/>
      <c r="AZ31" s="887"/>
      <c r="BA31" s="887"/>
      <c r="BB31" s="887"/>
      <c r="BC31" s="887"/>
      <c r="BD31" s="887"/>
      <c r="BE31" s="887"/>
      <c r="BF31" s="887"/>
      <c r="BG31" s="887"/>
      <c r="BH31" s="887"/>
      <c r="BI31" s="887"/>
      <c r="BJ31" s="887"/>
      <c r="BK31" s="887"/>
      <c r="BL31" s="887"/>
      <c r="BM31" s="887"/>
    </row>
    <row r="32" spans="2:65" s="130" customFormat="1" ht="3" customHeight="1" x14ac:dyDescent="0.2">
      <c r="B32" s="875"/>
      <c r="C32" s="876"/>
      <c r="D32" s="1051"/>
      <c r="E32" s="1035"/>
      <c r="F32" s="868"/>
      <c r="G32" s="1039"/>
      <c r="H32" s="885"/>
      <c r="I32" s="885"/>
      <c r="J32" s="1037"/>
      <c r="K32" s="885"/>
      <c r="L32" s="1037"/>
      <c r="M32" s="885"/>
      <c r="N32" s="1040"/>
      <c r="O32" s="1040"/>
      <c r="P32" s="1052"/>
      <c r="Q32" s="876"/>
      <c r="R32" s="882"/>
      <c r="S32" s="882"/>
      <c r="T32" s="883"/>
      <c r="U32" s="884"/>
      <c r="V32" s="884"/>
      <c r="W32" s="884"/>
      <c r="X32" s="884"/>
      <c r="Y32" s="884"/>
      <c r="Z32" s="884"/>
      <c r="AA32" s="885"/>
      <c r="AB32" s="885"/>
      <c r="AC32" s="885"/>
      <c r="AD32" s="885"/>
      <c r="AE32" s="885"/>
      <c r="AF32" s="885"/>
      <c r="AG32" s="885"/>
      <c r="AH32" s="885"/>
      <c r="AI32" s="885"/>
      <c r="AJ32" s="885"/>
      <c r="AK32" s="885"/>
      <c r="AL32" s="885"/>
      <c r="AM32" s="885"/>
      <c r="AN32" s="885"/>
      <c r="AO32" s="885"/>
      <c r="AP32" s="885"/>
      <c r="AQ32" s="885"/>
      <c r="AR32" s="885"/>
      <c r="AS32" s="885"/>
      <c r="AT32" s="885"/>
      <c r="AU32" s="885"/>
      <c r="AV32" s="886"/>
      <c r="AW32" s="887"/>
      <c r="AX32" s="887"/>
      <c r="AY32" s="887"/>
      <c r="AZ32" s="887"/>
      <c r="BA32" s="887"/>
      <c r="BB32" s="887"/>
      <c r="BC32" s="887"/>
      <c r="BD32" s="887"/>
      <c r="BE32" s="887"/>
      <c r="BF32" s="887"/>
      <c r="BG32" s="887"/>
      <c r="BH32" s="887"/>
      <c r="BI32" s="887"/>
      <c r="BJ32" s="887"/>
      <c r="BK32" s="887"/>
      <c r="BL32" s="887"/>
      <c r="BM32" s="887"/>
    </row>
    <row r="33" spans="2:65" s="130" customFormat="1" ht="18" customHeight="1" x14ac:dyDescent="0.2">
      <c r="B33" s="875"/>
      <c r="C33" s="876"/>
      <c r="D33" s="1051"/>
      <c r="E33" s="1036"/>
      <c r="F33" s="867" t="s">
        <v>1241</v>
      </c>
      <c r="G33" s="1041"/>
      <c r="H33" s="156" t="s">
        <v>1243</v>
      </c>
      <c r="I33" s="1041"/>
      <c r="J33" s="1042"/>
      <c r="K33" s="1043"/>
      <c r="L33" s="1042"/>
      <c r="M33" s="1043"/>
      <c r="N33" s="1040"/>
      <c r="O33" s="1334"/>
      <c r="P33" s="1052"/>
      <c r="Q33" s="876"/>
      <c r="R33" s="882"/>
      <c r="S33" s="882"/>
      <c r="T33" s="883"/>
      <c r="U33" s="884"/>
      <c r="V33" s="884"/>
      <c r="W33" s="884"/>
      <c r="X33" s="884"/>
      <c r="Y33" s="884"/>
      <c r="Z33" s="884"/>
      <c r="AA33" s="885"/>
      <c r="AB33" s="885"/>
      <c r="AC33" s="885"/>
      <c r="AD33" s="885"/>
      <c r="AE33" s="885"/>
      <c r="AF33" s="885"/>
      <c r="AG33" s="885"/>
      <c r="AH33" s="885"/>
      <c r="AI33" s="885"/>
      <c r="AJ33" s="885"/>
      <c r="AK33" s="885"/>
      <c r="AL33" s="885"/>
      <c r="AM33" s="885"/>
      <c r="AN33" s="885"/>
      <c r="AO33" s="885"/>
      <c r="AP33" s="885"/>
      <c r="AQ33" s="885"/>
      <c r="AR33" s="885"/>
      <c r="AS33" s="885"/>
      <c r="AT33" s="885"/>
      <c r="AU33" s="885"/>
      <c r="AV33" s="886"/>
      <c r="AW33" s="887"/>
      <c r="AX33" s="887"/>
      <c r="AY33" s="887"/>
      <c r="AZ33" s="887"/>
      <c r="BA33" s="887"/>
      <c r="BB33" s="887"/>
      <c r="BC33" s="887"/>
      <c r="BD33" s="887"/>
      <c r="BE33" s="887"/>
      <c r="BF33" s="887"/>
      <c r="BG33" s="887"/>
      <c r="BH33" s="887"/>
      <c r="BI33" s="887"/>
      <c r="BJ33" s="887"/>
      <c r="BK33" s="887"/>
      <c r="BL33" s="887"/>
      <c r="BM33" s="887"/>
    </row>
    <row r="34" spans="2:65" s="130" customFormat="1" ht="9.9499999999999993" customHeight="1" x14ac:dyDescent="0.2">
      <c r="B34" s="875"/>
      <c r="C34" s="876"/>
      <c r="D34" s="1051"/>
      <c r="E34" s="1037"/>
      <c r="F34" s="1038"/>
      <c r="G34" s="1039"/>
      <c r="H34" s="885"/>
      <c r="I34" s="885"/>
      <c r="J34" s="1037"/>
      <c r="K34" s="885"/>
      <c r="L34" s="1037"/>
      <c r="M34" s="885"/>
      <c r="N34" s="1040"/>
      <c r="O34" s="1040"/>
      <c r="P34" s="1052"/>
      <c r="Q34" s="876"/>
      <c r="R34" s="882"/>
      <c r="S34" s="882"/>
      <c r="T34" s="883"/>
      <c r="U34" s="884"/>
      <c r="V34" s="884"/>
      <c r="W34" s="884"/>
      <c r="X34" s="884"/>
      <c r="Y34" s="884"/>
      <c r="Z34" s="884"/>
      <c r="AA34" s="885"/>
      <c r="AB34" s="885"/>
      <c r="AC34" s="885"/>
      <c r="AD34" s="885"/>
      <c r="AE34" s="885"/>
      <c r="AF34" s="885"/>
      <c r="AG34" s="885"/>
      <c r="AH34" s="885"/>
      <c r="AI34" s="885"/>
      <c r="AJ34" s="885"/>
      <c r="AK34" s="885"/>
      <c r="AL34" s="885"/>
      <c r="AM34" s="885"/>
      <c r="AN34" s="885"/>
      <c r="AO34" s="885"/>
      <c r="AP34" s="885"/>
      <c r="AQ34" s="885"/>
      <c r="AR34" s="885"/>
      <c r="AS34" s="885"/>
      <c r="AT34" s="885"/>
      <c r="AU34" s="885"/>
      <c r="AV34" s="886"/>
      <c r="AW34" s="887"/>
      <c r="AX34" s="887"/>
      <c r="AY34" s="887"/>
      <c r="AZ34" s="887"/>
      <c r="BA34" s="887"/>
      <c r="BB34" s="887"/>
      <c r="BC34" s="887"/>
      <c r="BD34" s="887"/>
      <c r="BE34" s="887"/>
      <c r="BF34" s="887"/>
      <c r="BG34" s="887"/>
      <c r="BH34" s="887"/>
      <c r="BI34" s="887"/>
      <c r="BJ34" s="887"/>
      <c r="BK34" s="887"/>
      <c r="BL34" s="887"/>
      <c r="BM34" s="887"/>
    </row>
    <row r="35" spans="2:65" ht="24.95" customHeight="1" thickBot="1" x14ac:dyDescent="0.25">
      <c r="B35" s="871"/>
      <c r="C35" s="219"/>
      <c r="D35" s="1053"/>
      <c r="E35" s="1054"/>
      <c r="F35" s="1055"/>
      <c r="G35" s="1054"/>
      <c r="H35" s="1056"/>
      <c r="I35" s="1056"/>
      <c r="J35" s="1056"/>
      <c r="K35" s="1056"/>
      <c r="L35" s="1056"/>
      <c r="M35" s="1056"/>
      <c r="N35" s="1057"/>
      <c r="O35" s="1058"/>
      <c r="P35" s="1059"/>
      <c r="Q35" s="219"/>
      <c r="R35" s="168"/>
      <c r="S35" s="168"/>
      <c r="T35" s="872"/>
      <c r="U35" s="478"/>
      <c r="V35" s="478"/>
      <c r="W35" s="478"/>
      <c r="X35" s="478"/>
      <c r="Y35" s="478"/>
      <c r="Z35" s="478"/>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124"/>
    </row>
    <row r="36" spans="2:65" s="475" customFormat="1" ht="20.100000000000001" customHeight="1" x14ac:dyDescent="0.2">
      <c r="B36" s="250"/>
      <c r="C36" s="150"/>
      <c r="D36" s="150"/>
      <c r="E36" s="150"/>
      <c r="F36" s="150"/>
      <c r="G36" s="150"/>
      <c r="H36" s="890"/>
      <c r="I36" s="890"/>
      <c r="J36" s="890"/>
      <c r="K36" s="890"/>
      <c r="L36" s="890"/>
      <c r="M36" s="890"/>
      <c r="N36" s="150"/>
      <c r="O36" s="150"/>
      <c r="P36" s="150"/>
      <c r="Q36" s="150"/>
      <c r="R36" s="168"/>
      <c r="S36" s="168"/>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124"/>
    </row>
    <row r="37" spans="2:65" s="475" customFormat="1" ht="18" x14ac:dyDescent="0.25">
      <c r="B37" s="250"/>
      <c r="C37" s="166"/>
      <c r="D37" s="166"/>
      <c r="E37" s="166"/>
      <c r="F37" s="166"/>
      <c r="G37" s="166"/>
      <c r="H37" s="891"/>
      <c r="I37" s="891"/>
      <c r="J37" s="891"/>
      <c r="K37" s="891"/>
      <c r="L37" s="891"/>
      <c r="M37" s="891"/>
      <c r="N37" s="166"/>
      <c r="O37" s="892"/>
      <c r="P37" s="166"/>
      <c r="Q37" s="166"/>
      <c r="R37" s="166"/>
      <c r="S37" s="166"/>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124"/>
    </row>
    <row r="38" spans="2:65" s="475" customFormat="1" x14ac:dyDescent="0.2">
      <c r="B38" s="250"/>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124"/>
    </row>
    <row r="39" spans="2:65" s="475" customFormat="1" x14ac:dyDescent="0.2">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124"/>
    </row>
    <row r="40" spans="2:65" s="475" customFormat="1" x14ac:dyDescent="0.2">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124"/>
    </row>
    <row r="41" spans="2:65" s="475" customFormat="1" x14ac:dyDescent="0.2">
      <c r="B41" s="250"/>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124"/>
    </row>
    <row r="42" spans="2:65" s="475" customFormat="1" x14ac:dyDescent="0.2">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124"/>
    </row>
    <row r="43" spans="2:65" s="475" customFormat="1" x14ac:dyDescent="0.2">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124"/>
    </row>
    <row r="44" spans="2:65" s="475" customFormat="1" x14ac:dyDescent="0.2">
      <c r="B44" s="250"/>
      <c r="C44" s="250"/>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124"/>
    </row>
    <row r="45" spans="2:65" s="475" customFormat="1" x14ac:dyDescent="0.2">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124"/>
    </row>
    <row r="46" spans="2:65" s="475" customFormat="1" x14ac:dyDescent="0.2">
      <c r="B46" s="250"/>
      <c r="C46" s="250"/>
      <c r="D46" s="250"/>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124"/>
    </row>
    <row r="47" spans="2:65" s="475" customFormat="1" x14ac:dyDescent="0.2">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124"/>
    </row>
    <row r="48" spans="2:65" s="475" customFormat="1" x14ac:dyDescent="0.2">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124"/>
    </row>
    <row r="49" spans="2:48" s="475" customFormat="1" x14ac:dyDescent="0.2">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124"/>
    </row>
    <row r="50" spans="2:48" s="475" customFormat="1" x14ac:dyDescent="0.2">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124"/>
    </row>
    <row r="51" spans="2:48" s="475" customFormat="1" x14ac:dyDescent="0.2">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124"/>
    </row>
    <row r="52" spans="2:48" s="475" customFormat="1" x14ac:dyDescent="0.2">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124"/>
    </row>
    <row r="53" spans="2:48" s="475" customFormat="1" x14ac:dyDescent="0.2">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124"/>
    </row>
    <row r="54" spans="2:48" s="475" customFormat="1" x14ac:dyDescent="0.2">
      <c r="B54" s="250"/>
      <c r="C54" s="250"/>
      <c r="D54" s="250"/>
      <c r="E54" s="250"/>
      <c r="F54" s="250"/>
      <c r="G54" s="250"/>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124"/>
    </row>
    <row r="55" spans="2:48" s="475" customFormat="1" x14ac:dyDescent="0.2">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124"/>
    </row>
    <row r="56" spans="2:48" s="475" customFormat="1" x14ac:dyDescent="0.2">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124"/>
    </row>
    <row r="57" spans="2:48" s="475" customFormat="1" x14ac:dyDescent="0.2">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124"/>
    </row>
    <row r="58" spans="2:48" s="475" customFormat="1" x14ac:dyDescent="0.2">
      <c r="B58" s="250"/>
      <c r="C58" s="250"/>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124"/>
    </row>
    <row r="59" spans="2:48" s="475" customFormat="1" x14ac:dyDescent="0.2">
      <c r="B59" s="250"/>
      <c r="C59" s="250"/>
      <c r="D59" s="250"/>
      <c r="E59" s="250"/>
      <c r="F59" s="250"/>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124"/>
    </row>
    <row r="60" spans="2:48" s="475" customFormat="1" x14ac:dyDescent="0.2">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124"/>
    </row>
    <row r="61" spans="2:48" s="475" customFormat="1" x14ac:dyDescent="0.2">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124"/>
    </row>
    <row r="62" spans="2:48" s="475" customFormat="1" x14ac:dyDescent="0.2">
      <c r="B62" s="250"/>
      <c r="C62" s="250"/>
      <c r="D62" s="250"/>
      <c r="E62" s="250"/>
      <c r="F62" s="250"/>
      <c r="G62" s="250"/>
      <c r="H62" s="250"/>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124"/>
    </row>
    <row r="63" spans="2:48" s="475" customFormat="1" x14ac:dyDescent="0.2">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124"/>
    </row>
    <row r="64" spans="2:48" s="475" customFormat="1" x14ac:dyDescent="0.2">
      <c r="B64" s="250"/>
      <c r="C64" s="250"/>
      <c r="D64" s="250"/>
      <c r="E64" s="250"/>
      <c r="F64" s="250"/>
      <c r="G64" s="250"/>
      <c r="H64" s="250"/>
      <c r="I64" s="250"/>
      <c r="J64" s="250"/>
      <c r="K64" s="250"/>
      <c r="L64" s="250"/>
      <c r="M64" s="250"/>
      <c r="N64" s="250"/>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124"/>
    </row>
    <row r="65" spans="2:48" s="475" customFormat="1" x14ac:dyDescent="0.2">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124"/>
    </row>
    <row r="66" spans="2:48" s="475" customFormat="1" x14ac:dyDescent="0.2">
      <c r="B66" s="250"/>
      <c r="C66" s="250"/>
      <c r="D66" s="250"/>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124"/>
    </row>
    <row r="67" spans="2:48" s="475" customFormat="1" x14ac:dyDescent="0.2">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124"/>
    </row>
    <row r="68" spans="2:48" s="475" customFormat="1" x14ac:dyDescent="0.2">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124"/>
    </row>
    <row r="69" spans="2:48" s="475" customFormat="1" x14ac:dyDescent="0.2">
      <c r="B69" s="250"/>
      <c r="C69" s="250"/>
      <c r="D69" s="250"/>
      <c r="E69" s="250"/>
      <c r="F69" s="250"/>
      <c r="G69" s="250"/>
      <c r="H69" s="250"/>
      <c r="I69" s="250"/>
      <c r="J69" s="250"/>
      <c r="K69" s="250"/>
      <c r="L69" s="250"/>
      <c r="M69" s="250"/>
      <c r="N69" s="250"/>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124"/>
    </row>
    <row r="70" spans="2:48" s="475" customFormat="1" x14ac:dyDescent="0.2">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124"/>
    </row>
    <row r="71" spans="2:48" s="475" customFormat="1" x14ac:dyDescent="0.2">
      <c r="B71" s="250"/>
      <c r="C71" s="250"/>
      <c r="D71" s="250"/>
      <c r="E71" s="250"/>
      <c r="F71" s="250"/>
      <c r="G71" s="250"/>
      <c r="H71" s="250"/>
      <c r="I71" s="250"/>
      <c r="J71" s="250"/>
      <c r="K71" s="250"/>
      <c r="L71" s="250"/>
      <c r="M71" s="250"/>
      <c r="N71" s="250"/>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124"/>
    </row>
    <row r="72" spans="2:48" s="475" customFormat="1" x14ac:dyDescent="0.2">
      <c r="B72" s="250"/>
      <c r="C72" s="250"/>
      <c r="D72" s="250"/>
      <c r="E72" s="250"/>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124"/>
    </row>
    <row r="73" spans="2:48" s="475" customFormat="1" x14ac:dyDescent="0.2">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124"/>
    </row>
    <row r="74" spans="2:48" s="475" customFormat="1" x14ac:dyDescent="0.2">
      <c r="B74" s="250"/>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124"/>
    </row>
    <row r="75" spans="2:48" s="475" customFormat="1" x14ac:dyDescent="0.2">
      <c r="B75" s="250"/>
      <c r="C75" s="250"/>
      <c r="D75" s="250"/>
      <c r="E75" s="250"/>
      <c r="F75" s="250"/>
      <c r="G75" s="250"/>
      <c r="H75" s="250"/>
      <c r="I75" s="250"/>
      <c r="J75" s="250"/>
      <c r="K75" s="250"/>
      <c r="L75" s="250"/>
      <c r="M75" s="250"/>
      <c r="N75" s="250"/>
      <c r="O75" s="250"/>
      <c r="P75" s="250"/>
      <c r="Q75" s="250"/>
      <c r="R75" s="250"/>
      <c r="S75" s="250"/>
      <c r="T75" s="250"/>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124"/>
    </row>
    <row r="76" spans="2:48" s="475" customFormat="1" x14ac:dyDescent="0.2">
      <c r="B76" s="250"/>
      <c r="C76" s="250"/>
      <c r="D76" s="250"/>
      <c r="E76" s="250"/>
      <c r="F76" s="250"/>
      <c r="G76" s="250"/>
      <c r="H76" s="250"/>
      <c r="I76" s="250"/>
      <c r="J76" s="250"/>
      <c r="K76" s="250"/>
      <c r="L76" s="250"/>
      <c r="M76" s="250"/>
      <c r="N76" s="250"/>
      <c r="O76" s="250"/>
      <c r="P76" s="250"/>
      <c r="Q76" s="250"/>
      <c r="R76" s="250"/>
      <c r="S76" s="250"/>
      <c r="T76" s="250"/>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124"/>
    </row>
    <row r="77" spans="2:48" s="475" customFormat="1" x14ac:dyDescent="0.2">
      <c r="B77" s="250"/>
      <c r="C77" s="250"/>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124"/>
    </row>
    <row r="78" spans="2:48" s="475" customFormat="1" x14ac:dyDescent="0.2">
      <c r="B78" s="250"/>
      <c r="C78" s="250"/>
      <c r="D78" s="250"/>
      <c r="E78" s="250"/>
      <c r="F78" s="250"/>
      <c r="G78" s="250"/>
      <c r="H78" s="250"/>
      <c r="I78" s="250"/>
      <c r="J78" s="250"/>
      <c r="K78" s="250"/>
      <c r="L78" s="250"/>
      <c r="M78" s="250"/>
      <c r="N78" s="250"/>
      <c r="O78" s="250"/>
      <c r="P78" s="250"/>
      <c r="Q78" s="250"/>
      <c r="R78" s="250"/>
      <c r="S78" s="250"/>
      <c r="T78" s="250"/>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124"/>
    </row>
    <row r="79" spans="2:48" s="475" customFormat="1" x14ac:dyDescent="0.2">
      <c r="B79" s="250"/>
      <c r="C79" s="250"/>
      <c r="D79" s="250"/>
      <c r="E79" s="250"/>
      <c r="F79" s="250"/>
      <c r="G79" s="250"/>
      <c r="H79" s="250"/>
      <c r="I79" s="250"/>
      <c r="J79" s="250"/>
      <c r="K79" s="250"/>
      <c r="L79" s="250"/>
      <c r="M79" s="250"/>
      <c r="N79" s="250"/>
      <c r="O79" s="250"/>
      <c r="P79" s="250"/>
      <c r="Q79" s="250"/>
      <c r="R79" s="250"/>
      <c r="S79" s="250"/>
      <c r="T79" s="250"/>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124"/>
    </row>
    <row r="80" spans="2:48" s="475" customFormat="1" x14ac:dyDescent="0.2">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124"/>
    </row>
    <row r="81" spans="2:48" s="475" customFormat="1" x14ac:dyDescent="0.2">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124"/>
    </row>
    <row r="82" spans="2:48" s="475" customFormat="1" x14ac:dyDescent="0.2">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124"/>
    </row>
    <row r="83" spans="2:48" s="475" customFormat="1" x14ac:dyDescent="0.2">
      <c r="B83" s="250"/>
      <c r="C83" s="250"/>
      <c r="D83" s="250"/>
      <c r="E83" s="250"/>
      <c r="F83" s="250"/>
      <c r="G83" s="250"/>
      <c r="H83" s="250"/>
      <c r="I83" s="250"/>
      <c r="J83" s="250"/>
      <c r="K83" s="250"/>
      <c r="L83" s="250"/>
      <c r="M83" s="250"/>
      <c r="N83" s="250"/>
      <c r="O83" s="250"/>
      <c r="P83" s="250"/>
      <c r="Q83" s="250"/>
      <c r="R83" s="250"/>
      <c r="S83" s="250"/>
      <c r="T83" s="250"/>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124"/>
    </row>
    <row r="84" spans="2:48" s="475" customFormat="1" x14ac:dyDescent="0.2">
      <c r="B84" s="250"/>
      <c r="C84" s="250"/>
      <c r="D84" s="250"/>
      <c r="E84" s="250"/>
      <c r="F84" s="250"/>
      <c r="G84" s="250"/>
      <c r="H84" s="250"/>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124"/>
    </row>
    <row r="85" spans="2:48" s="475" customFormat="1" x14ac:dyDescent="0.2">
      <c r="B85" s="250"/>
      <c r="C85" s="250"/>
      <c r="D85" s="250"/>
      <c r="E85" s="250"/>
      <c r="F85" s="250"/>
      <c r="G85" s="250"/>
      <c r="H85" s="250"/>
      <c r="I85" s="250"/>
      <c r="J85" s="250"/>
      <c r="K85" s="250"/>
      <c r="L85" s="250"/>
      <c r="M85" s="250"/>
      <c r="N85" s="250"/>
      <c r="O85" s="250"/>
      <c r="P85" s="250"/>
      <c r="Q85" s="250"/>
      <c r="R85" s="250"/>
      <c r="S85" s="250"/>
      <c r="T85" s="250"/>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124"/>
    </row>
    <row r="86" spans="2:48" s="475" customFormat="1" x14ac:dyDescent="0.2">
      <c r="B86" s="250"/>
      <c r="C86" s="250"/>
      <c r="D86" s="250"/>
      <c r="E86" s="250"/>
      <c r="F86" s="250"/>
      <c r="G86" s="250"/>
      <c r="H86" s="250"/>
      <c r="I86" s="250"/>
      <c r="J86" s="250"/>
      <c r="K86" s="250"/>
      <c r="L86" s="250"/>
      <c r="M86" s="250"/>
      <c r="N86" s="250"/>
      <c r="O86" s="250"/>
      <c r="P86" s="250"/>
      <c r="Q86" s="250"/>
      <c r="R86" s="250"/>
      <c r="S86" s="250"/>
      <c r="T86" s="250"/>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124"/>
    </row>
    <row r="87" spans="2:48" s="475" customFormat="1" x14ac:dyDescent="0.2">
      <c r="B87" s="250"/>
      <c r="C87" s="250"/>
      <c r="D87" s="250"/>
      <c r="E87" s="250"/>
      <c r="F87" s="250"/>
      <c r="G87" s="250"/>
      <c r="H87" s="250"/>
      <c r="I87" s="250"/>
      <c r="J87" s="250"/>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124"/>
    </row>
    <row r="88" spans="2:48" s="475" customFormat="1" x14ac:dyDescent="0.2">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124"/>
    </row>
    <row r="89" spans="2:48" s="475" customFormat="1" x14ac:dyDescent="0.2">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124"/>
    </row>
    <row r="90" spans="2:48" s="475" customFormat="1" x14ac:dyDescent="0.2">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124"/>
    </row>
    <row r="91" spans="2:48" s="475" customFormat="1" x14ac:dyDescent="0.2">
      <c r="B91" s="250"/>
      <c r="C91" s="250"/>
      <c r="D91" s="250"/>
      <c r="E91" s="250"/>
      <c r="F91" s="250"/>
      <c r="G91" s="250"/>
      <c r="H91" s="250"/>
      <c r="I91" s="250"/>
      <c r="J91" s="250"/>
      <c r="K91" s="250"/>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124"/>
    </row>
    <row r="92" spans="2:48" s="475" customFormat="1" x14ac:dyDescent="0.2">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124"/>
    </row>
    <row r="93" spans="2:48" s="475" customFormat="1" x14ac:dyDescent="0.2">
      <c r="B93" s="250"/>
      <c r="C93" s="250"/>
      <c r="D93" s="250"/>
      <c r="E93" s="250"/>
      <c r="F93" s="250"/>
      <c r="G93" s="250"/>
      <c r="H93" s="250"/>
      <c r="I93" s="250"/>
      <c r="J93" s="250"/>
      <c r="K93" s="250"/>
      <c r="L93" s="250"/>
      <c r="M93" s="250"/>
      <c r="N93" s="250"/>
      <c r="O93" s="250"/>
      <c r="P93" s="250"/>
      <c r="Q93" s="250"/>
      <c r="R93" s="250"/>
      <c r="S93" s="250"/>
      <c r="T93" s="250"/>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124"/>
    </row>
    <row r="94" spans="2:48" s="475" customFormat="1" x14ac:dyDescent="0.2">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124"/>
    </row>
    <row r="95" spans="2:48" s="475" customFormat="1" x14ac:dyDescent="0.2">
      <c r="B95" s="250"/>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124"/>
    </row>
    <row r="96" spans="2:48" s="475" customFormat="1" x14ac:dyDescent="0.2">
      <c r="B96" s="250"/>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124"/>
    </row>
    <row r="97" spans="2:48" s="475" customFormat="1" x14ac:dyDescent="0.2">
      <c r="B97" s="250"/>
      <c r="C97" s="250"/>
      <c r="D97" s="250"/>
      <c r="E97" s="250"/>
      <c r="F97" s="250"/>
      <c r="G97" s="250"/>
      <c r="H97" s="250"/>
      <c r="I97" s="250"/>
      <c r="J97" s="250"/>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124"/>
    </row>
    <row r="98" spans="2:48" s="475" customFormat="1" x14ac:dyDescent="0.2">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124"/>
    </row>
    <row r="99" spans="2:48" s="475" customFormat="1" x14ac:dyDescent="0.2">
      <c r="B99" s="250"/>
      <c r="C99" s="250"/>
      <c r="D99" s="250"/>
      <c r="E99" s="250"/>
      <c r="F99" s="250"/>
      <c r="G99" s="250"/>
      <c r="H99" s="250"/>
      <c r="I99" s="250"/>
      <c r="J99" s="250"/>
      <c r="K99" s="250"/>
      <c r="L99" s="250"/>
      <c r="M99" s="250"/>
      <c r="N99" s="250"/>
      <c r="O99" s="250"/>
      <c r="P99" s="250"/>
      <c r="Q99" s="250"/>
      <c r="R99" s="250"/>
      <c r="S99" s="250"/>
      <c r="T99" s="250"/>
      <c r="U99" s="250"/>
      <c r="V99" s="250"/>
      <c r="W99" s="250"/>
      <c r="X99" s="250"/>
      <c r="Y99" s="250"/>
      <c r="Z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124"/>
    </row>
    <row r="100" spans="2:48" s="475" customFormat="1" x14ac:dyDescent="0.2">
      <c r="B100" s="250"/>
      <c r="C100" s="250"/>
      <c r="D100" s="250"/>
      <c r="E100" s="250"/>
      <c r="F100" s="250"/>
      <c r="G100" s="250"/>
      <c r="H100" s="250"/>
      <c r="I100" s="250"/>
      <c r="J100" s="250"/>
      <c r="K100" s="250"/>
      <c r="L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124"/>
    </row>
    <row r="101" spans="2:48" s="475" customFormat="1" x14ac:dyDescent="0.2">
      <c r="B101" s="250"/>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124"/>
    </row>
    <row r="102" spans="2:48" s="475" customFormat="1" x14ac:dyDescent="0.2">
      <c r="B102" s="250"/>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124"/>
    </row>
    <row r="103" spans="2:48" s="475" customFormat="1" x14ac:dyDescent="0.2">
      <c r="B103" s="250"/>
      <c r="C103" s="250"/>
      <c r="D103" s="250"/>
      <c r="E103" s="250"/>
      <c r="F103" s="250"/>
      <c r="G103" s="250"/>
      <c r="H103" s="250"/>
      <c r="I103" s="250"/>
      <c r="J103" s="250"/>
      <c r="K103" s="250"/>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124"/>
    </row>
    <row r="104" spans="2:48" s="475" customFormat="1" x14ac:dyDescent="0.2">
      <c r="B104" s="250"/>
      <c r="C104" s="250"/>
      <c r="D104" s="250"/>
      <c r="E104" s="250"/>
      <c r="F104" s="250"/>
      <c r="G104" s="250"/>
      <c r="H104" s="250"/>
      <c r="I104" s="250"/>
      <c r="J104" s="250"/>
      <c r="K104" s="250"/>
      <c r="L104" s="250"/>
      <c r="M104" s="250"/>
      <c r="N104" s="250"/>
      <c r="O104" s="250"/>
      <c r="P104" s="250"/>
      <c r="Q104" s="250"/>
      <c r="R104" s="250"/>
      <c r="S104" s="250"/>
      <c r="T104" s="250"/>
      <c r="U104" s="250"/>
      <c r="V104" s="250"/>
      <c r="W104" s="250"/>
      <c r="X104" s="250"/>
      <c r="Y104" s="250"/>
      <c r="Z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124"/>
    </row>
    <row r="105" spans="2:48" s="475" customFormat="1" x14ac:dyDescent="0.2">
      <c r="B105" s="250"/>
      <c r="C105" s="250"/>
      <c r="D105" s="250"/>
      <c r="E105" s="250"/>
      <c r="F105" s="250"/>
      <c r="G105" s="250"/>
      <c r="H105" s="250"/>
      <c r="I105" s="250"/>
      <c r="J105" s="250"/>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124"/>
    </row>
    <row r="106" spans="2:48" s="475" customFormat="1" x14ac:dyDescent="0.2">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124"/>
    </row>
    <row r="107" spans="2:48" s="475" customFormat="1" x14ac:dyDescent="0.2">
      <c r="B107" s="250"/>
      <c r="C107" s="250"/>
      <c r="D107" s="250"/>
      <c r="E107" s="250"/>
      <c r="F107" s="250"/>
      <c r="G107" s="250"/>
      <c r="H107" s="250"/>
      <c r="I107" s="250"/>
      <c r="J107" s="250"/>
      <c r="K107" s="250"/>
      <c r="L107" s="250"/>
      <c r="M107" s="250"/>
      <c r="N107" s="250"/>
      <c r="O107" s="250"/>
      <c r="P107" s="250"/>
      <c r="Q107" s="250"/>
      <c r="R107" s="250"/>
      <c r="S107" s="250"/>
      <c r="T107" s="250"/>
      <c r="U107" s="250"/>
      <c r="V107" s="250"/>
      <c r="W107" s="250"/>
      <c r="X107" s="250"/>
      <c r="Y107" s="250"/>
      <c r="Z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124"/>
    </row>
    <row r="108" spans="2:48" s="475" customFormat="1" x14ac:dyDescent="0.2">
      <c r="B108" s="250"/>
      <c r="C108" s="250"/>
      <c r="D108" s="250"/>
      <c r="E108" s="250"/>
      <c r="F108" s="250"/>
      <c r="G108" s="250"/>
      <c r="H108" s="250"/>
      <c r="I108" s="250"/>
      <c r="J108" s="250"/>
      <c r="K108" s="250"/>
      <c r="L108" s="250"/>
      <c r="M108" s="250"/>
      <c r="N108" s="250"/>
      <c r="O108" s="250"/>
      <c r="P108" s="250"/>
      <c r="Q108" s="250"/>
      <c r="R108" s="250"/>
      <c r="S108" s="250"/>
      <c r="T108" s="250"/>
      <c r="U108" s="250"/>
      <c r="V108" s="250"/>
      <c r="W108" s="250"/>
      <c r="X108" s="250"/>
      <c r="Y108" s="250"/>
      <c r="Z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124"/>
    </row>
    <row r="109" spans="2:48" s="475" customFormat="1" x14ac:dyDescent="0.2">
      <c r="B109" s="250"/>
      <c r="C109" s="250"/>
      <c r="D109" s="250"/>
      <c r="E109" s="250"/>
      <c r="F109" s="250"/>
      <c r="G109" s="250"/>
      <c r="H109" s="250"/>
      <c r="I109" s="250"/>
      <c r="J109" s="250"/>
      <c r="K109" s="250"/>
      <c r="L109" s="250"/>
      <c r="M109" s="250"/>
      <c r="N109" s="250"/>
      <c r="O109" s="250"/>
      <c r="P109" s="250"/>
      <c r="Q109" s="250"/>
      <c r="R109" s="250"/>
      <c r="S109" s="250"/>
      <c r="T109" s="250"/>
      <c r="U109" s="250"/>
      <c r="V109" s="250"/>
      <c r="W109" s="250"/>
      <c r="X109" s="250"/>
      <c r="Y109" s="250"/>
      <c r="Z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124"/>
    </row>
    <row r="110" spans="2:48" s="475" customFormat="1" x14ac:dyDescent="0.2">
      <c r="B110" s="250"/>
      <c r="C110" s="250"/>
      <c r="D110" s="250"/>
      <c r="E110" s="250"/>
      <c r="F110" s="250"/>
      <c r="G110" s="250"/>
      <c r="H110" s="250"/>
      <c r="I110" s="250"/>
      <c r="J110" s="250"/>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124"/>
    </row>
    <row r="111" spans="2:48" s="475" customFormat="1" x14ac:dyDescent="0.2">
      <c r="B111" s="250"/>
      <c r="C111" s="250"/>
      <c r="D111" s="250"/>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124"/>
    </row>
    <row r="112" spans="2:48" s="475" customFormat="1" x14ac:dyDescent="0.2">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124"/>
    </row>
    <row r="113" spans="2:48" s="475" customFormat="1" x14ac:dyDescent="0.2">
      <c r="B113" s="250"/>
      <c r="C113" s="250"/>
      <c r="D113" s="250"/>
      <c r="E113" s="250"/>
      <c r="F113" s="250"/>
      <c r="G113" s="250"/>
      <c r="H113" s="250"/>
      <c r="I113" s="250"/>
      <c r="J113" s="250"/>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124"/>
    </row>
    <row r="114" spans="2:48" s="475" customFormat="1" x14ac:dyDescent="0.2">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124"/>
    </row>
    <row r="115" spans="2:48" s="475" customFormat="1" x14ac:dyDescent="0.2">
      <c r="B115" s="250"/>
      <c r="C115" s="250"/>
      <c r="D115" s="250"/>
      <c r="E115" s="250"/>
      <c r="F115" s="250"/>
      <c r="G115" s="250"/>
      <c r="H115" s="250"/>
      <c r="I115" s="250"/>
      <c r="J115" s="250"/>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124"/>
    </row>
    <row r="116" spans="2:48" s="475" customFormat="1" x14ac:dyDescent="0.2">
      <c r="B116" s="250"/>
      <c r="C116" s="250"/>
      <c r="D116" s="250"/>
      <c r="E116" s="250"/>
      <c r="F116" s="250"/>
      <c r="G116" s="250"/>
      <c r="H116" s="250"/>
      <c r="I116" s="250"/>
      <c r="J116" s="250"/>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124"/>
    </row>
    <row r="117" spans="2:48" s="475" customFormat="1" x14ac:dyDescent="0.2">
      <c r="B117" s="250"/>
      <c r="C117" s="250"/>
      <c r="D117" s="250"/>
      <c r="E117" s="250"/>
      <c r="F117" s="250"/>
      <c r="G117" s="250"/>
      <c r="H117" s="250"/>
      <c r="I117" s="250"/>
      <c r="J117" s="250"/>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124"/>
    </row>
    <row r="118" spans="2:48" s="475" customFormat="1" x14ac:dyDescent="0.2">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124"/>
    </row>
    <row r="119" spans="2:48" s="475" customFormat="1" x14ac:dyDescent="0.2">
      <c r="B119" s="250"/>
      <c r="C119" s="250"/>
      <c r="D119" s="250"/>
      <c r="E119" s="250"/>
      <c r="F119" s="250"/>
      <c r="G119" s="250"/>
      <c r="H119" s="250"/>
      <c r="I119" s="250"/>
      <c r="J119" s="250"/>
      <c r="K119" s="250"/>
      <c r="L119" s="250"/>
      <c r="M119" s="250"/>
      <c r="N119" s="250"/>
      <c r="O119" s="250"/>
      <c r="P119" s="250"/>
      <c r="Q119" s="250"/>
      <c r="R119" s="250"/>
      <c r="S119" s="250"/>
      <c r="T119" s="250"/>
      <c r="U119" s="250"/>
      <c r="V119" s="250"/>
      <c r="W119" s="250"/>
      <c r="X119" s="250"/>
      <c r="Y119" s="250"/>
      <c r="Z119" s="25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124"/>
    </row>
    <row r="120" spans="2:48" s="475" customFormat="1" x14ac:dyDescent="0.2">
      <c r="B120" s="250"/>
      <c r="C120" s="250"/>
      <c r="D120" s="250"/>
      <c r="E120" s="250"/>
      <c r="F120" s="250"/>
      <c r="G120" s="250"/>
      <c r="H120" s="250"/>
      <c r="I120" s="250"/>
      <c r="J120" s="250"/>
      <c r="K120" s="250"/>
      <c r="L120" s="250"/>
      <c r="M120" s="250"/>
      <c r="N120" s="250"/>
      <c r="O120" s="250"/>
      <c r="P120" s="250"/>
      <c r="Q120" s="250"/>
      <c r="R120" s="250"/>
      <c r="S120" s="250"/>
      <c r="T120" s="250"/>
      <c r="U120" s="250"/>
      <c r="V120" s="250"/>
      <c r="W120" s="250"/>
      <c r="X120" s="250"/>
      <c r="Y120" s="250"/>
      <c r="Z120" s="25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124"/>
    </row>
    <row r="121" spans="2:48" s="475" customFormat="1" x14ac:dyDescent="0.2">
      <c r="B121" s="250"/>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124"/>
    </row>
    <row r="122" spans="2:48" s="475" customFormat="1" x14ac:dyDescent="0.2">
      <c r="B122" s="250"/>
      <c r="C122" s="250"/>
      <c r="D122" s="250"/>
      <c r="E122" s="250"/>
      <c r="F122" s="250"/>
      <c r="G122" s="250"/>
      <c r="H122" s="250"/>
      <c r="I122" s="250"/>
      <c r="J122" s="250"/>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124"/>
    </row>
    <row r="123" spans="2:48" s="475" customFormat="1" x14ac:dyDescent="0.2">
      <c r="B123" s="250"/>
      <c r="C123" s="250"/>
      <c r="D123" s="250"/>
      <c r="E123" s="250"/>
      <c r="F123" s="250"/>
      <c r="G123" s="250"/>
      <c r="H123" s="250"/>
      <c r="I123" s="250"/>
      <c r="J123" s="250"/>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124"/>
    </row>
    <row r="124" spans="2:48" s="475" customFormat="1" x14ac:dyDescent="0.2">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124"/>
    </row>
    <row r="125" spans="2:48" s="475" customFormat="1" x14ac:dyDescent="0.2">
      <c r="B125" s="250"/>
      <c r="C125" s="250"/>
      <c r="D125" s="250"/>
      <c r="E125" s="250"/>
      <c r="F125" s="250"/>
      <c r="G125" s="250"/>
      <c r="H125" s="250"/>
      <c r="I125" s="250"/>
      <c r="J125" s="250"/>
      <c r="K125" s="250"/>
      <c r="L125" s="250"/>
      <c r="M125" s="250"/>
      <c r="N125" s="250"/>
      <c r="O125" s="250"/>
      <c r="P125" s="250"/>
      <c r="Q125" s="250"/>
      <c r="R125" s="250"/>
      <c r="S125" s="250"/>
      <c r="T125" s="250"/>
      <c r="U125" s="250"/>
      <c r="V125" s="250"/>
      <c r="W125" s="250"/>
      <c r="X125" s="250"/>
      <c r="Y125" s="250"/>
      <c r="Z125" s="250"/>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124"/>
    </row>
    <row r="126" spans="2:48" s="475" customFormat="1" x14ac:dyDescent="0.2">
      <c r="B126" s="250"/>
      <c r="C126" s="250"/>
      <c r="D126" s="250"/>
      <c r="E126" s="250"/>
      <c r="F126" s="250"/>
      <c r="G126" s="250"/>
      <c r="H126" s="250"/>
      <c r="I126" s="250"/>
      <c r="J126" s="250"/>
      <c r="K126" s="250"/>
      <c r="L126" s="250"/>
      <c r="M126" s="250"/>
      <c r="N126" s="250"/>
      <c r="O126" s="250"/>
      <c r="P126" s="250"/>
      <c r="Q126" s="250"/>
      <c r="R126" s="250"/>
      <c r="S126" s="250"/>
      <c r="T126" s="250"/>
      <c r="U126" s="250"/>
      <c r="V126" s="250"/>
      <c r="W126" s="250"/>
      <c r="X126" s="250"/>
      <c r="Y126" s="250"/>
      <c r="Z126" s="250"/>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124"/>
    </row>
    <row r="127" spans="2:48" s="475" customFormat="1" x14ac:dyDescent="0.2">
      <c r="B127" s="250"/>
      <c r="C127" s="250"/>
      <c r="D127" s="250"/>
      <c r="E127" s="250"/>
      <c r="F127" s="250"/>
      <c r="G127" s="250"/>
      <c r="H127" s="250"/>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250"/>
      <c r="AK127" s="250"/>
      <c r="AL127" s="250"/>
      <c r="AM127" s="250"/>
      <c r="AN127" s="250"/>
      <c r="AO127" s="250"/>
      <c r="AP127" s="250"/>
      <c r="AQ127" s="250"/>
      <c r="AR127" s="250"/>
      <c r="AS127" s="250"/>
      <c r="AT127" s="250"/>
      <c r="AU127" s="250"/>
      <c r="AV127" s="124"/>
    </row>
    <row r="128" spans="2:48" s="475" customFormat="1" x14ac:dyDescent="0.2">
      <c r="B128" s="250"/>
      <c r="C128" s="250"/>
      <c r="D128" s="250"/>
      <c r="E128" s="250"/>
      <c r="F128" s="250"/>
      <c r="G128" s="250"/>
      <c r="H128" s="250"/>
      <c r="I128" s="250"/>
      <c r="J128" s="250"/>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0"/>
      <c r="AN128" s="250"/>
      <c r="AO128" s="250"/>
      <c r="AP128" s="250"/>
      <c r="AQ128" s="250"/>
      <c r="AR128" s="250"/>
      <c r="AS128" s="250"/>
      <c r="AT128" s="250"/>
      <c r="AU128" s="250"/>
      <c r="AV128" s="124"/>
    </row>
    <row r="129" spans="2:48" s="475" customFormat="1" x14ac:dyDescent="0.2">
      <c r="B129" s="250"/>
      <c r="C129" s="250"/>
      <c r="D129" s="250"/>
      <c r="E129" s="250"/>
      <c r="F129" s="250"/>
      <c r="G129" s="250"/>
      <c r="H129" s="250"/>
      <c r="I129" s="250"/>
      <c r="J129" s="250"/>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0"/>
      <c r="AN129" s="250"/>
      <c r="AO129" s="250"/>
      <c r="AP129" s="250"/>
      <c r="AQ129" s="250"/>
      <c r="AR129" s="250"/>
      <c r="AS129" s="250"/>
      <c r="AT129" s="250"/>
      <c r="AU129" s="250"/>
      <c r="AV129" s="124"/>
    </row>
    <row r="130" spans="2:48" s="475" customFormat="1" x14ac:dyDescent="0.2">
      <c r="B130" s="250"/>
      <c r="C130" s="250"/>
      <c r="D130" s="250"/>
      <c r="E130" s="250"/>
      <c r="F130" s="250"/>
      <c r="G130" s="250"/>
      <c r="H130" s="250"/>
      <c r="I130" s="250"/>
      <c r="J130" s="250"/>
      <c r="K130" s="250"/>
      <c r="L130" s="250"/>
      <c r="M130" s="250"/>
      <c r="N130" s="250"/>
      <c r="O130" s="250"/>
      <c r="P130" s="250"/>
      <c r="Q130" s="250"/>
      <c r="R130" s="250"/>
      <c r="S130" s="250"/>
      <c r="T130" s="250"/>
      <c r="U130" s="250"/>
      <c r="V130" s="250"/>
      <c r="W130" s="250"/>
      <c r="X130" s="250"/>
      <c r="Y130" s="250"/>
      <c r="Z130" s="250"/>
      <c r="AA130" s="250"/>
      <c r="AB130" s="250"/>
      <c r="AC130" s="250"/>
      <c r="AD130" s="250"/>
      <c r="AE130" s="250"/>
      <c r="AF130" s="250"/>
      <c r="AG130" s="250"/>
      <c r="AH130" s="250"/>
      <c r="AI130" s="250"/>
      <c r="AJ130" s="250"/>
      <c r="AK130" s="250"/>
      <c r="AL130" s="250"/>
      <c r="AM130" s="250"/>
      <c r="AN130" s="250"/>
      <c r="AO130" s="250"/>
      <c r="AP130" s="250"/>
      <c r="AQ130" s="250"/>
      <c r="AR130" s="250"/>
      <c r="AS130" s="250"/>
      <c r="AT130" s="250"/>
      <c r="AU130" s="250"/>
      <c r="AV130" s="124"/>
    </row>
    <row r="131" spans="2:48" s="475" customFormat="1" x14ac:dyDescent="0.2">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0"/>
      <c r="Z131" s="250"/>
      <c r="AA131" s="250"/>
      <c r="AB131" s="250"/>
      <c r="AC131" s="250"/>
      <c r="AD131" s="250"/>
      <c r="AE131" s="250"/>
      <c r="AF131" s="250"/>
      <c r="AG131" s="250"/>
      <c r="AH131" s="250"/>
      <c r="AI131" s="250"/>
      <c r="AJ131" s="250"/>
      <c r="AK131" s="250"/>
      <c r="AL131" s="250"/>
      <c r="AM131" s="250"/>
      <c r="AN131" s="250"/>
      <c r="AO131" s="250"/>
      <c r="AP131" s="250"/>
      <c r="AQ131" s="250"/>
      <c r="AR131" s="250"/>
      <c r="AS131" s="250"/>
      <c r="AT131" s="250"/>
      <c r="AU131" s="250"/>
      <c r="AV131" s="124"/>
    </row>
    <row r="132" spans="2:48" s="475" customFormat="1" x14ac:dyDescent="0.2">
      <c r="B132" s="250"/>
      <c r="C132" s="250"/>
      <c r="D132" s="250"/>
      <c r="E132" s="250"/>
      <c r="F132" s="250"/>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50"/>
      <c r="AE132" s="250"/>
      <c r="AF132" s="250"/>
      <c r="AG132" s="250"/>
      <c r="AH132" s="250"/>
      <c r="AI132" s="250"/>
      <c r="AJ132" s="250"/>
      <c r="AK132" s="250"/>
      <c r="AL132" s="250"/>
      <c r="AM132" s="250"/>
      <c r="AN132" s="250"/>
      <c r="AO132" s="250"/>
      <c r="AP132" s="250"/>
      <c r="AQ132" s="250"/>
      <c r="AR132" s="250"/>
      <c r="AS132" s="250"/>
      <c r="AT132" s="250"/>
      <c r="AU132" s="250"/>
      <c r="AV132" s="124"/>
    </row>
    <row r="133" spans="2:48" s="475" customFormat="1" x14ac:dyDescent="0.2">
      <c r="B133" s="250"/>
      <c r="C133" s="250"/>
      <c r="D133" s="250"/>
      <c r="E133" s="250"/>
      <c r="F133" s="250"/>
      <c r="G133" s="250"/>
      <c r="H133" s="250"/>
      <c r="I133" s="250"/>
      <c r="J133" s="250"/>
      <c r="K133" s="250"/>
      <c r="L133" s="250"/>
      <c r="M133" s="250"/>
      <c r="N133" s="250"/>
      <c r="O133" s="250"/>
      <c r="P133" s="250"/>
      <c r="Q133" s="250"/>
      <c r="R133" s="250"/>
      <c r="S133" s="250"/>
      <c r="T133" s="250"/>
      <c r="U133" s="250"/>
      <c r="V133" s="250"/>
      <c r="W133" s="250"/>
      <c r="X133" s="250"/>
      <c r="Y133" s="250"/>
      <c r="Z133" s="250"/>
      <c r="AA133" s="250"/>
      <c r="AB133" s="250"/>
      <c r="AC133" s="250"/>
      <c r="AD133" s="250"/>
      <c r="AE133" s="250"/>
      <c r="AF133" s="250"/>
      <c r="AG133" s="250"/>
      <c r="AH133" s="250"/>
      <c r="AI133" s="250"/>
      <c r="AJ133" s="250"/>
      <c r="AK133" s="250"/>
      <c r="AL133" s="250"/>
      <c r="AM133" s="250"/>
      <c r="AN133" s="250"/>
      <c r="AO133" s="250"/>
      <c r="AP133" s="250"/>
      <c r="AQ133" s="250"/>
      <c r="AR133" s="250"/>
      <c r="AS133" s="250"/>
      <c r="AT133" s="250"/>
      <c r="AU133" s="250"/>
      <c r="AV133" s="124"/>
    </row>
    <row r="134" spans="2:48" s="475" customFormat="1" x14ac:dyDescent="0.2">
      <c r="B134" s="250"/>
      <c r="C134" s="250"/>
      <c r="D134" s="250"/>
      <c r="E134" s="250"/>
      <c r="F134" s="250"/>
      <c r="G134" s="250"/>
      <c r="H134" s="250"/>
      <c r="I134" s="250"/>
      <c r="J134" s="250"/>
      <c r="K134" s="250"/>
      <c r="L134" s="250"/>
      <c r="M134" s="250"/>
      <c r="N134" s="250"/>
      <c r="O134" s="250"/>
      <c r="P134" s="250"/>
      <c r="Q134" s="250"/>
      <c r="R134" s="250"/>
      <c r="S134" s="250"/>
      <c r="T134" s="250"/>
      <c r="U134" s="250"/>
      <c r="V134" s="250"/>
      <c r="W134" s="250"/>
      <c r="X134" s="250"/>
      <c r="Y134" s="250"/>
      <c r="Z134" s="250"/>
      <c r="AA134" s="250"/>
      <c r="AB134" s="250"/>
      <c r="AC134" s="250"/>
      <c r="AD134" s="250"/>
      <c r="AE134" s="250"/>
      <c r="AF134" s="250"/>
      <c r="AG134" s="250"/>
      <c r="AH134" s="250"/>
      <c r="AI134" s="250"/>
      <c r="AJ134" s="250"/>
      <c r="AK134" s="250"/>
      <c r="AL134" s="250"/>
      <c r="AM134" s="250"/>
      <c r="AN134" s="250"/>
      <c r="AO134" s="250"/>
      <c r="AP134" s="250"/>
      <c r="AQ134" s="250"/>
      <c r="AR134" s="250"/>
      <c r="AS134" s="250"/>
      <c r="AT134" s="250"/>
      <c r="AU134" s="250"/>
      <c r="AV134" s="124"/>
    </row>
    <row r="135" spans="2:48" s="475" customFormat="1" x14ac:dyDescent="0.2">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250"/>
      <c r="AJ135" s="250"/>
      <c r="AK135" s="250"/>
      <c r="AL135" s="250"/>
      <c r="AM135" s="250"/>
      <c r="AN135" s="250"/>
      <c r="AO135" s="250"/>
      <c r="AP135" s="250"/>
      <c r="AQ135" s="250"/>
      <c r="AR135" s="250"/>
      <c r="AS135" s="250"/>
      <c r="AT135" s="250"/>
      <c r="AU135" s="250"/>
      <c r="AV135" s="124"/>
    </row>
    <row r="136" spans="2:48" s="475" customFormat="1" x14ac:dyDescent="0.2">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50"/>
      <c r="AE136" s="250"/>
      <c r="AF136" s="250"/>
      <c r="AG136" s="250"/>
      <c r="AH136" s="250"/>
      <c r="AI136" s="250"/>
      <c r="AJ136" s="250"/>
      <c r="AK136" s="250"/>
      <c r="AL136" s="250"/>
      <c r="AM136" s="250"/>
      <c r="AN136" s="250"/>
      <c r="AO136" s="250"/>
      <c r="AP136" s="250"/>
      <c r="AQ136" s="250"/>
      <c r="AR136" s="250"/>
      <c r="AS136" s="250"/>
      <c r="AT136" s="250"/>
      <c r="AU136" s="250"/>
      <c r="AV136" s="124"/>
    </row>
    <row r="137" spans="2:48" s="475" customFormat="1" x14ac:dyDescent="0.2">
      <c r="B137" s="250"/>
      <c r="C137" s="250"/>
      <c r="D137" s="250"/>
      <c r="E137" s="250"/>
      <c r="F137" s="250"/>
      <c r="G137" s="250"/>
      <c r="H137" s="250"/>
      <c r="I137" s="250"/>
      <c r="J137" s="250"/>
      <c r="K137" s="250"/>
      <c r="L137" s="250"/>
      <c r="M137" s="250"/>
      <c r="N137" s="250"/>
      <c r="O137" s="250"/>
      <c r="P137" s="250"/>
      <c r="Q137" s="250"/>
      <c r="R137" s="250"/>
      <c r="S137" s="250"/>
      <c r="T137" s="250"/>
      <c r="U137" s="250"/>
      <c r="V137" s="250"/>
      <c r="W137" s="250"/>
      <c r="X137" s="250"/>
      <c r="Y137" s="250"/>
      <c r="Z137" s="250"/>
      <c r="AA137" s="250"/>
      <c r="AB137" s="250"/>
      <c r="AC137" s="250"/>
      <c r="AD137" s="250"/>
      <c r="AE137" s="250"/>
      <c r="AF137" s="250"/>
      <c r="AG137" s="250"/>
      <c r="AH137" s="250"/>
      <c r="AI137" s="250"/>
      <c r="AJ137" s="250"/>
      <c r="AK137" s="250"/>
      <c r="AL137" s="250"/>
      <c r="AM137" s="250"/>
      <c r="AN137" s="250"/>
      <c r="AO137" s="250"/>
      <c r="AP137" s="250"/>
      <c r="AQ137" s="250"/>
      <c r="AR137" s="250"/>
      <c r="AS137" s="250"/>
      <c r="AT137" s="250"/>
      <c r="AU137" s="250"/>
      <c r="AV137" s="124"/>
    </row>
    <row r="138" spans="2:48" s="475" customFormat="1" x14ac:dyDescent="0.2">
      <c r="B138" s="250"/>
      <c r="C138" s="250"/>
      <c r="D138" s="250"/>
      <c r="E138" s="250"/>
      <c r="F138" s="250"/>
      <c r="G138" s="250"/>
      <c r="H138" s="250"/>
      <c r="I138" s="250"/>
      <c r="J138" s="250"/>
      <c r="K138" s="250"/>
      <c r="L138" s="250"/>
      <c r="M138" s="250"/>
      <c r="N138" s="250"/>
      <c r="O138" s="250"/>
      <c r="P138" s="250"/>
      <c r="Q138" s="250"/>
      <c r="R138" s="250"/>
      <c r="S138" s="250"/>
      <c r="T138" s="250"/>
      <c r="U138" s="250"/>
      <c r="V138" s="250"/>
      <c r="W138" s="250"/>
      <c r="X138" s="250"/>
      <c r="Y138" s="250"/>
      <c r="Z138" s="250"/>
      <c r="AA138" s="250"/>
      <c r="AB138" s="250"/>
      <c r="AC138" s="250"/>
      <c r="AD138" s="250"/>
      <c r="AE138" s="250"/>
      <c r="AF138" s="250"/>
      <c r="AG138" s="250"/>
      <c r="AH138" s="250"/>
      <c r="AI138" s="250"/>
      <c r="AJ138" s="250"/>
      <c r="AK138" s="250"/>
      <c r="AL138" s="250"/>
      <c r="AM138" s="250"/>
      <c r="AN138" s="250"/>
      <c r="AO138" s="250"/>
      <c r="AP138" s="250"/>
      <c r="AQ138" s="250"/>
      <c r="AR138" s="250"/>
      <c r="AS138" s="250"/>
      <c r="AT138" s="250"/>
      <c r="AU138" s="250"/>
      <c r="AV138" s="124"/>
    </row>
    <row r="139" spans="2:48" s="475" customFormat="1" x14ac:dyDescent="0.2">
      <c r="B139" s="250"/>
      <c r="C139" s="250"/>
      <c r="D139" s="250"/>
      <c r="E139" s="250"/>
      <c r="F139" s="250"/>
      <c r="G139" s="250"/>
      <c r="H139" s="250"/>
      <c r="I139" s="250"/>
      <c r="J139" s="250"/>
      <c r="K139" s="250"/>
      <c r="L139" s="250"/>
      <c r="M139" s="250"/>
      <c r="N139" s="250"/>
      <c r="O139" s="250"/>
      <c r="P139" s="250"/>
      <c r="Q139" s="250"/>
      <c r="R139" s="250"/>
      <c r="S139" s="250"/>
      <c r="T139" s="250"/>
      <c r="U139" s="250"/>
      <c r="V139" s="250"/>
      <c r="W139" s="250"/>
      <c r="X139" s="250"/>
      <c r="Y139" s="250"/>
      <c r="Z139" s="250"/>
      <c r="AA139" s="250"/>
      <c r="AB139" s="250"/>
      <c r="AC139" s="250"/>
      <c r="AD139" s="250"/>
      <c r="AE139" s="250"/>
      <c r="AF139" s="250"/>
      <c r="AG139" s="250"/>
      <c r="AH139" s="250"/>
      <c r="AI139" s="250"/>
      <c r="AJ139" s="250"/>
      <c r="AK139" s="250"/>
      <c r="AL139" s="250"/>
      <c r="AM139" s="250"/>
      <c r="AN139" s="250"/>
      <c r="AO139" s="250"/>
      <c r="AP139" s="250"/>
      <c r="AQ139" s="250"/>
      <c r="AR139" s="250"/>
      <c r="AS139" s="250"/>
      <c r="AT139" s="250"/>
      <c r="AU139" s="250"/>
      <c r="AV139" s="124"/>
    </row>
    <row r="140" spans="2:48" s="475" customFormat="1" x14ac:dyDescent="0.2">
      <c r="B140" s="250"/>
      <c r="C140" s="250"/>
      <c r="D140" s="250"/>
      <c r="E140" s="250"/>
      <c r="F140" s="250"/>
      <c r="G140" s="250"/>
      <c r="H140" s="250"/>
      <c r="I140" s="250"/>
      <c r="J140" s="250"/>
      <c r="K140" s="250"/>
      <c r="L140" s="250"/>
      <c r="M140" s="250"/>
      <c r="N140" s="250"/>
      <c r="O140" s="250"/>
      <c r="P140" s="250"/>
      <c r="Q140" s="250"/>
      <c r="R140" s="250"/>
      <c r="S140" s="250"/>
      <c r="T140" s="250"/>
      <c r="U140" s="250"/>
      <c r="V140" s="250"/>
      <c r="W140" s="250"/>
      <c r="X140" s="250"/>
      <c r="Y140" s="250"/>
      <c r="Z140" s="250"/>
      <c r="AA140" s="250"/>
      <c r="AB140" s="250"/>
      <c r="AC140" s="250"/>
      <c r="AD140" s="250"/>
      <c r="AE140" s="250"/>
      <c r="AF140" s="250"/>
      <c r="AG140" s="250"/>
      <c r="AH140" s="250"/>
      <c r="AI140" s="250"/>
      <c r="AJ140" s="250"/>
      <c r="AK140" s="250"/>
      <c r="AL140" s="250"/>
      <c r="AM140" s="250"/>
      <c r="AN140" s="250"/>
      <c r="AO140" s="250"/>
      <c r="AP140" s="250"/>
      <c r="AQ140" s="250"/>
      <c r="AR140" s="250"/>
      <c r="AS140" s="250"/>
      <c r="AT140" s="250"/>
      <c r="AU140" s="250"/>
      <c r="AV140" s="124"/>
    </row>
    <row r="141" spans="2:48" s="475" customFormat="1" x14ac:dyDescent="0.2">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c r="AN141" s="250"/>
      <c r="AO141" s="250"/>
      <c r="AP141" s="250"/>
      <c r="AQ141" s="250"/>
      <c r="AR141" s="250"/>
      <c r="AS141" s="250"/>
      <c r="AT141" s="250"/>
      <c r="AU141" s="250"/>
      <c r="AV141" s="124"/>
    </row>
    <row r="142" spans="2:48" s="475" customFormat="1" x14ac:dyDescent="0.2">
      <c r="B142" s="250"/>
      <c r="C142" s="250"/>
      <c r="D142" s="250"/>
      <c r="E142" s="250"/>
      <c r="F142" s="250"/>
      <c r="G142" s="250"/>
      <c r="H142" s="250"/>
      <c r="I142" s="250"/>
      <c r="J142" s="250"/>
      <c r="K142" s="250"/>
      <c r="L142" s="250"/>
      <c r="M142" s="250"/>
      <c r="N142" s="250"/>
      <c r="O142" s="250"/>
      <c r="P142" s="250"/>
      <c r="Q142" s="250"/>
      <c r="R142" s="250"/>
      <c r="S142" s="250"/>
      <c r="T142" s="250"/>
      <c r="U142" s="250"/>
      <c r="V142" s="250"/>
      <c r="W142" s="250"/>
      <c r="X142" s="250"/>
      <c r="Y142" s="250"/>
      <c r="Z142" s="250"/>
      <c r="AA142" s="250"/>
      <c r="AB142" s="250"/>
      <c r="AC142" s="250"/>
      <c r="AD142" s="250"/>
      <c r="AE142" s="250"/>
      <c r="AF142" s="250"/>
      <c r="AG142" s="250"/>
      <c r="AH142" s="250"/>
      <c r="AI142" s="250"/>
      <c r="AJ142" s="250"/>
      <c r="AK142" s="250"/>
      <c r="AL142" s="250"/>
      <c r="AM142" s="250"/>
      <c r="AN142" s="250"/>
      <c r="AO142" s="250"/>
      <c r="AP142" s="250"/>
      <c r="AQ142" s="250"/>
      <c r="AR142" s="250"/>
      <c r="AS142" s="250"/>
      <c r="AT142" s="250"/>
      <c r="AU142" s="250"/>
      <c r="AV142" s="124"/>
    </row>
    <row r="143" spans="2:48" s="475" customFormat="1" x14ac:dyDescent="0.2">
      <c r="B143" s="250"/>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c r="AJ143" s="250"/>
      <c r="AK143" s="250"/>
      <c r="AL143" s="250"/>
      <c r="AM143" s="250"/>
      <c r="AN143" s="250"/>
      <c r="AO143" s="250"/>
      <c r="AP143" s="250"/>
      <c r="AQ143" s="250"/>
      <c r="AR143" s="250"/>
      <c r="AS143" s="250"/>
      <c r="AT143" s="250"/>
      <c r="AU143" s="250"/>
      <c r="AV143" s="124"/>
    </row>
    <row r="144" spans="2:48" s="475" customFormat="1" x14ac:dyDescent="0.2">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c r="AJ144" s="250"/>
      <c r="AK144" s="250"/>
      <c r="AL144" s="250"/>
      <c r="AM144" s="250"/>
      <c r="AN144" s="250"/>
      <c r="AO144" s="250"/>
      <c r="AP144" s="250"/>
      <c r="AQ144" s="250"/>
      <c r="AR144" s="250"/>
      <c r="AS144" s="250"/>
      <c r="AT144" s="250"/>
      <c r="AU144" s="250"/>
      <c r="AV144" s="124"/>
    </row>
    <row r="145" spans="2:48" s="475" customFormat="1" x14ac:dyDescent="0.2">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c r="AJ145" s="250"/>
      <c r="AK145" s="250"/>
      <c r="AL145" s="250"/>
      <c r="AM145" s="250"/>
      <c r="AN145" s="250"/>
      <c r="AO145" s="250"/>
      <c r="AP145" s="250"/>
      <c r="AQ145" s="250"/>
      <c r="AR145" s="250"/>
      <c r="AS145" s="250"/>
      <c r="AT145" s="250"/>
      <c r="AU145" s="250"/>
      <c r="AV145" s="124"/>
    </row>
    <row r="146" spans="2:48" s="475" customFormat="1" x14ac:dyDescent="0.2">
      <c r="B146" s="250"/>
      <c r="C146" s="250"/>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124"/>
    </row>
    <row r="147" spans="2:48" s="475" customFormat="1" x14ac:dyDescent="0.2">
      <c r="B147" s="250"/>
      <c r="C147" s="250"/>
      <c r="D147" s="250"/>
      <c r="E147" s="250"/>
      <c r="F147" s="250"/>
      <c r="G147" s="250"/>
      <c r="H147" s="250"/>
      <c r="I147" s="250"/>
      <c r="J147" s="250"/>
      <c r="K147" s="250"/>
      <c r="L147" s="250"/>
      <c r="M147" s="250"/>
      <c r="N147" s="250"/>
      <c r="O147" s="250"/>
      <c r="P147" s="250"/>
      <c r="Q147" s="250"/>
      <c r="R147" s="250"/>
      <c r="S147" s="250"/>
      <c r="T147" s="250"/>
      <c r="U147" s="250"/>
      <c r="V147" s="250"/>
      <c r="W147" s="250"/>
      <c r="X147" s="250"/>
      <c r="Y147" s="250"/>
      <c r="Z147" s="250"/>
      <c r="AA147" s="250"/>
      <c r="AB147" s="250"/>
      <c r="AC147" s="250"/>
      <c r="AD147" s="250"/>
      <c r="AE147" s="250"/>
      <c r="AF147" s="250"/>
      <c r="AG147" s="250"/>
      <c r="AH147" s="250"/>
      <c r="AI147" s="250"/>
      <c r="AJ147" s="250"/>
      <c r="AK147" s="250"/>
      <c r="AL147" s="250"/>
      <c r="AM147" s="250"/>
      <c r="AN147" s="250"/>
      <c r="AO147" s="250"/>
      <c r="AP147" s="250"/>
      <c r="AQ147" s="250"/>
      <c r="AR147" s="250"/>
      <c r="AS147" s="250"/>
      <c r="AT147" s="250"/>
      <c r="AU147" s="250"/>
      <c r="AV147" s="124"/>
    </row>
    <row r="148" spans="2:48" s="475" customFormat="1" ht="13.5" thickBot="1" x14ac:dyDescent="0.25">
      <c r="B148" s="250"/>
      <c r="C148" s="250"/>
      <c r="D148" s="250"/>
      <c r="E148" s="250"/>
      <c r="F148" s="250"/>
      <c r="G148" s="250"/>
      <c r="H148" s="250"/>
      <c r="I148" s="250"/>
      <c r="J148" s="250"/>
      <c r="K148" s="250"/>
      <c r="L148" s="250"/>
      <c r="M148" s="250"/>
      <c r="N148" s="250"/>
      <c r="O148" s="250"/>
      <c r="P148" s="250"/>
      <c r="Q148" s="250"/>
      <c r="R148" s="250"/>
      <c r="S148" s="250"/>
      <c r="T148" s="250"/>
      <c r="U148" s="250"/>
      <c r="V148" s="250"/>
      <c r="W148" s="250"/>
      <c r="X148" s="250"/>
      <c r="Y148" s="250"/>
      <c r="Z148" s="250"/>
      <c r="AA148" s="250"/>
      <c r="AB148" s="250"/>
      <c r="AC148" s="250"/>
      <c r="AD148" s="250"/>
      <c r="AE148" s="250"/>
      <c r="AF148" s="250"/>
      <c r="AG148" s="250"/>
      <c r="AH148" s="250"/>
      <c r="AI148" s="250"/>
      <c r="AJ148" s="250"/>
      <c r="AK148" s="250"/>
      <c r="AL148" s="250"/>
      <c r="AM148" s="250"/>
      <c r="AN148" s="250"/>
      <c r="AO148" s="250"/>
      <c r="AP148" s="250"/>
      <c r="AQ148" s="250"/>
      <c r="AR148" s="250"/>
      <c r="AS148" s="250"/>
      <c r="AT148" s="250"/>
      <c r="AU148" s="250"/>
      <c r="AV148" s="124"/>
    </row>
    <row r="149" spans="2:48" ht="15" customHeight="1" x14ac:dyDescent="0.2">
      <c r="B149" s="250"/>
      <c r="C149" s="1404" t="s">
        <v>1045</v>
      </c>
      <c r="D149" s="1405"/>
      <c r="E149" s="1405"/>
      <c r="F149" s="1405"/>
      <c r="G149" s="1405"/>
      <c r="H149" s="1405"/>
      <c r="I149" s="1405"/>
      <c r="J149" s="1405"/>
      <c r="K149" s="1405"/>
      <c r="L149" s="1405"/>
      <c r="M149" s="1405"/>
      <c r="N149" s="1405"/>
      <c r="O149" s="1405"/>
      <c r="P149" s="1405"/>
      <c r="Q149" s="1406"/>
      <c r="R149" s="250"/>
      <c r="S149" s="250"/>
      <c r="T149" s="250"/>
      <c r="U149" s="250"/>
      <c r="V149" s="250"/>
      <c r="W149" s="250"/>
      <c r="X149" s="250"/>
      <c r="Y149" s="250"/>
      <c r="Z149" s="250"/>
      <c r="AA149" s="250"/>
      <c r="AB149" s="250"/>
      <c r="AC149" s="250"/>
      <c r="AD149" s="250"/>
      <c r="AE149" s="250"/>
      <c r="AF149" s="250"/>
      <c r="AG149" s="250"/>
      <c r="AH149" s="250"/>
      <c r="AI149" s="250"/>
      <c r="AJ149" s="250"/>
      <c r="AK149" s="250"/>
      <c r="AL149" s="250"/>
      <c r="AM149" s="250"/>
      <c r="AN149" s="250"/>
      <c r="AO149" s="250"/>
      <c r="AP149" s="250"/>
      <c r="AQ149" s="250"/>
      <c r="AR149" s="250"/>
      <c r="AS149" s="250"/>
      <c r="AT149" s="250"/>
      <c r="AU149" s="250"/>
      <c r="AV149" s="124"/>
    </row>
    <row r="150" spans="2:48" ht="15" customHeight="1" thickBot="1" x14ac:dyDescent="0.25">
      <c r="B150" s="250"/>
      <c r="C150" s="1407"/>
      <c r="D150" s="1408"/>
      <c r="E150" s="1408"/>
      <c r="F150" s="1408"/>
      <c r="G150" s="1408"/>
      <c r="H150" s="1408"/>
      <c r="I150" s="1408"/>
      <c r="J150" s="1408"/>
      <c r="K150" s="1408"/>
      <c r="L150" s="1408"/>
      <c r="M150" s="1408"/>
      <c r="N150" s="1408"/>
      <c r="O150" s="1408"/>
      <c r="P150" s="1408"/>
      <c r="Q150" s="1409"/>
      <c r="R150" s="250"/>
      <c r="S150" s="250"/>
      <c r="T150" s="250"/>
      <c r="U150" s="250"/>
      <c r="V150" s="250"/>
      <c r="W150" s="250"/>
      <c r="X150" s="250"/>
      <c r="Y150" s="250"/>
      <c r="Z150" s="250"/>
      <c r="AA150" s="250"/>
      <c r="AB150" s="250"/>
      <c r="AC150" s="250"/>
      <c r="AD150" s="250"/>
      <c r="AE150" s="250"/>
      <c r="AF150" s="250"/>
      <c r="AG150" s="250"/>
      <c r="AH150" s="250"/>
      <c r="AI150" s="250"/>
      <c r="AJ150" s="250"/>
      <c r="AK150" s="250"/>
      <c r="AL150" s="250"/>
      <c r="AM150" s="250"/>
      <c r="AN150" s="250"/>
      <c r="AO150" s="250"/>
      <c r="AP150" s="250"/>
      <c r="AQ150" s="250"/>
      <c r="AR150" s="250"/>
      <c r="AS150" s="250"/>
      <c r="AT150" s="250"/>
      <c r="AU150" s="250"/>
      <c r="AV150" s="124"/>
    </row>
    <row r="151" spans="2:48" x14ac:dyDescent="0.2">
      <c r="B151" s="250"/>
      <c r="C151" s="149"/>
      <c r="D151" s="150"/>
      <c r="E151" s="150"/>
      <c r="F151" s="150"/>
      <c r="G151" s="150"/>
      <c r="H151" s="150"/>
      <c r="I151" s="150"/>
      <c r="J151" s="150"/>
      <c r="K151" s="150"/>
      <c r="L151" s="150"/>
      <c r="M151" s="150"/>
      <c r="N151" s="150"/>
      <c r="O151" s="150"/>
      <c r="P151" s="150"/>
      <c r="Q151" s="151"/>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124"/>
    </row>
    <row r="152" spans="2:48" ht="18" x14ac:dyDescent="0.25">
      <c r="B152" s="250"/>
      <c r="C152" s="152"/>
      <c r="D152" s="154"/>
      <c r="E152" s="153"/>
      <c r="F152" s="153" t="s">
        <v>537</v>
      </c>
      <c r="G152" s="154"/>
      <c r="H152" s="154"/>
      <c r="I152" s="154"/>
      <c r="J152" s="154"/>
      <c r="K152" s="154"/>
      <c r="L152" s="154"/>
      <c r="M152" s="154"/>
      <c r="N152" s="154"/>
      <c r="O152" s="154"/>
      <c r="P152" s="154"/>
      <c r="Q152" s="155"/>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124"/>
    </row>
    <row r="153" spans="2:48" ht="6.75" customHeight="1" x14ac:dyDescent="0.25">
      <c r="B153" s="250"/>
      <c r="C153" s="152"/>
      <c r="D153" s="154"/>
      <c r="E153" s="153"/>
      <c r="F153" s="153"/>
      <c r="G153" s="154"/>
      <c r="H153" s="154"/>
      <c r="I153" s="154"/>
      <c r="J153" s="154"/>
      <c r="K153" s="154"/>
      <c r="L153" s="154"/>
      <c r="M153" s="154"/>
      <c r="N153" s="154"/>
      <c r="O153" s="154"/>
      <c r="P153" s="154"/>
      <c r="Q153" s="155"/>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124"/>
    </row>
    <row r="154" spans="2:48" ht="18" x14ac:dyDescent="0.25">
      <c r="B154" s="250"/>
      <c r="C154" s="152"/>
      <c r="D154" s="154"/>
      <c r="E154" s="156"/>
      <c r="F154" s="159" t="s">
        <v>538</v>
      </c>
      <c r="G154" s="154"/>
      <c r="H154" s="154"/>
      <c r="I154" s="154"/>
      <c r="J154" s="154"/>
      <c r="K154" s="154"/>
      <c r="L154" s="154"/>
      <c r="M154" s="154"/>
      <c r="N154" s="154"/>
      <c r="O154" s="154"/>
      <c r="P154" s="154"/>
      <c r="Q154" s="155"/>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124"/>
    </row>
    <row r="155" spans="2:48" ht="15" x14ac:dyDescent="0.2">
      <c r="B155" s="250"/>
      <c r="C155" s="152"/>
      <c r="D155" s="154"/>
      <c r="E155" s="156"/>
      <c r="F155" s="156" t="s">
        <v>539</v>
      </c>
      <c r="G155" s="154"/>
      <c r="H155" s="154"/>
      <c r="I155" s="154"/>
      <c r="J155" s="154"/>
      <c r="K155" s="154"/>
      <c r="L155" s="154"/>
      <c r="M155" s="154"/>
      <c r="N155" s="154"/>
      <c r="O155" s="154"/>
      <c r="P155" s="154"/>
      <c r="Q155" s="155"/>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124"/>
    </row>
    <row r="156" spans="2:48" ht="15" x14ac:dyDescent="0.2">
      <c r="B156" s="250"/>
      <c r="C156" s="152"/>
      <c r="D156" s="154"/>
      <c r="E156" s="156"/>
      <c r="F156" s="156" t="s">
        <v>540</v>
      </c>
      <c r="G156" s="154"/>
      <c r="H156" s="154"/>
      <c r="I156" s="154"/>
      <c r="J156" s="154"/>
      <c r="K156" s="154"/>
      <c r="L156" s="154"/>
      <c r="M156" s="154"/>
      <c r="N156" s="154"/>
      <c r="O156" s="154"/>
      <c r="P156" s="154"/>
      <c r="Q156" s="155"/>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124"/>
    </row>
    <row r="157" spans="2:48" ht="15" x14ac:dyDescent="0.2">
      <c r="B157" s="250"/>
      <c r="C157" s="152"/>
      <c r="D157" s="154"/>
      <c r="E157" s="156"/>
      <c r="F157" s="156" t="s">
        <v>499</v>
      </c>
      <c r="G157" s="154"/>
      <c r="H157" s="154"/>
      <c r="I157" s="154"/>
      <c r="J157" s="154"/>
      <c r="K157" s="154"/>
      <c r="L157" s="154"/>
      <c r="M157" s="154"/>
      <c r="N157" s="154"/>
      <c r="O157" s="154"/>
      <c r="P157" s="154"/>
      <c r="Q157" s="155"/>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0"/>
      <c r="AN157" s="250"/>
      <c r="AO157" s="250"/>
      <c r="AP157" s="250"/>
      <c r="AQ157" s="250"/>
      <c r="AR157" s="250"/>
      <c r="AS157" s="250"/>
      <c r="AT157" s="250"/>
      <c r="AU157" s="250"/>
      <c r="AV157" s="124"/>
    </row>
    <row r="158" spans="2:48" ht="15" x14ac:dyDescent="0.2">
      <c r="B158" s="250"/>
      <c r="C158" s="152"/>
      <c r="D158" s="154"/>
      <c r="E158" s="156"/>
      <c r="F158" s="156" t="s">
        <v>503</v>
      </c>
      <c r="G158" s="154"/>
      <c r="H158" s="154"/>
      <c r="I158" s="154"/>
      <c r="J158" s="154"/>
      <c r="K158" s="154"/>
      <c r="L158" s="154"/>
      <c r="M158" s="154"/>
      <c r="N158" s="154"/>
      <c r="O158" s="154"/>
      <c r="P158" s="154"/>
      <c r="Q158" s="155"/>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124"/>
    </row>
    <row r="159" spans="2:48" ht="15" x14ac:dyDescent="0.2">
      <c r="B159" s="250"/>
      <c r="C159" s="152"/>
      <c r="D159" s="154"/>
      <c r="E159" s="156"/>
      <c r="F159" s="156" t="s">
        <v>500</v>
      </c>
      <c r="G159" s="154"/>
      <c r="H159" s="154"/>
      <c r="I159" s="154"/>
      <c r="J159" s="154"/>
      <c r="K159" s="154"/>
      <c r="L159" s="154"/>
      <c r="M159" s="154"/>
      <c r="N159" s="154"/>
      <c r="O159" s="154"/>
      <c r="P159" s="154"/>
      <c r="Q159" s="155"/>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124"/>
    </row>
    <row r="160" spans="2:48" ht="15" x14ac:dyDescent="0.2">
      <c r="B160" s="250"/>
      <c r="C160" s="152"/>
      <c r="D160" s="154"/>
      <c r="E160" s="156"/>
      <c r="F160" s="156" t="s">
        <v>501</v>
      </c>
      <c r="G160" s="154"/>
      <c r="H160" s="154"/>
      <c r="I160" s="154"/>
      <c r="J160" s="154"/>
      <c r="K160" s="154"/>
      <c r="L160" s="154"/>
      <c r="M160" s="154"/>
      <c r="N160" s="154"/>
      <c r="O160" s="154"/>
      <c r="P160" s="154"/>
      <c r="Q160" s="155"/>
      <c r="R160" s="250"/>
      <c r="S160" s="250"/>
      <c r="T160" s="250"/>
      <c r="U160" s="250"/>
      <c r="V160" s="250"/>
      <c r="W160" s="250"/>
      <c r="X160" s="250"/>
      <c r="Y160" s="250"/>
      <c r="Z160" s="250"/>
      <c r="AA160" s="250"/>
      <c r="AB160" s="250"/>
      <c r="AC160" s="250"/>
      <c r="AD160" s="250"/>
      <c r="AE160" s="250"/>
      <c r="AF160" s="250"/>
      <c r="AG160" s="250"/>
      <c r="AH160" s="250"/>
      <c r="AI160" s="250"/>
      <c r="AJ160" s="250"/>
      <c r="AK160" s="250"/>
      <c r="AL160" s="250"/>
      <c r="AM160" s="250"/>
      <c r="AN160" s="250"/>
      <c r="AO160" s="250"/>
      <c r="AP160" s="250"/>
      <c r="AQ160" s="250"/>
      <c r="AR160" s="250"/>
      <c r="AS160" s="250"/>
      <c r="AT160" s="250"/>
      <c r="AU160" s="250"/>
      <c r="AV160" s="124"/>
    </row>
    <row r="161" spans="2:65" ht="15" x14ac:dyDescent="0.2">
      <c r="B161" s="250"/>
      <c r="C161" s="152"/>
      <c r="D161" s="154"/>
      <c r="E161" s="156"/>
      <c r="F161" s="156" t="s">
        <v>498</v>
      </c>
      <c r="G161" s="154"/>
      <c r="H161" s="154"/>
      <c r="I161" s="154"/>
      <c r="J161" s="154"/>
      <c r="K161" s="154"/>
      <c r="L161" s="154"/>
      <c r="M161" s="154"/>
      <c r="N161" s="154"/>
      <c r="O161" s="154"/>
      <c r="P161" s="154"/>
      <c r="Q161" s="155"/>
      <c r="R161" s="250"/>
      <c r="S161" s="250"/>
      <c r="T161" s="250"/>
      <c r="U161" s="250"/>
      <c r="V161" s="250"/>
      <c r="W161" s="250"/>
      <c r="X161" s="250"/>
      <c r="Y161" s="250"/>
      <c r="Z161" s="250"/>
      <c r="AA161" s="250"/>
      <c r="AB161" s="250"/>
      <c r="AC161" s="250"/>
      <c r="AD161" s="250"/>
      <c r="AE161" s="250"/>
      <c r="AF161" s="250"/>
      <c r="AG161" s="250"/>
      <c r="AH161" s="250"/>
      <c r="AI161" s="250"/>
      <c r="AJ161" s="250"/>
      <c r="AK161" s="250"/>
      <c r="AL161" s="250"/>
      <c r="AM161" s="250"/>
      <c r="AN161" s="250"/>
      <c r="AO161" s="250"/>
      <c r="AP161" s="250"/>
      <c r="AQ161" s="250"/>
      <c r="AR161" s="250"/>
      <c r="AS161" s="250"/>
      <c r="AT161" s="250"/>
      <c r="AU161" s="250"/>
      <c r="AV161" s="124"/>
    </row>
    <row r="162" spans="2:65" ht="15" x14ac:dyDescent="0.2">
      <c r="B162" s="250"/>
      <c r="C162" s="152"/>
      <c r="D162" s="154"/>
      <c r="E162" s="156"/>
      <c r="F162" s="156" t="s">
        <v>502</v>
      </c>
      <c r="G162" s="154"/>
      <c r="H162" s="154"/>
      <c r="I162" s="154"/>
      <c r="J162" s="154"/>
      <c r="K162" s="154"/>
      <c r="L162" s="154"/>
      <c r="M162" s="154"/>
      <c r="N162" s="154"/>
      <c r="O162" s="154"/>
      <c r="P162" s="154"/>
      <c r="Q162" s="155"/>
      <c r="R162" s="250"/>
      <c r="S162" s="250"/>
      <c r="T162" s="250"/>
      <c r="U162" s="250"/>
      <c r="V162" s="250"/>
      <c r="W162" s="250"/>
      <c r="X162" s="250"/>
      <c r="Y162" s="250"/>
      <c r="Z162" s="250"/>
      <c r="AA162" s="250"/>
      <c r="AB162" s="250"/>
      <c r="AC162" s="250"/>
      <c r="AD162" s="250"/>
      <c r="AE162" s="250"/>
      <c r="AF162" s="250"/>
      <c r="AG162" s="250"/>
      <c r="AH162" s="250"/>
      <c r="AI162" s="250"/>
      <c r="AJ162" s="250"/>
      <c r="AK162" s="250"/>
      <c r="AL162" s="250"/>
      <c r="AM162" s="250"/>
      <c r="AN162" s="250"/>
      <c r="AO162" s="250"/>
      <c r="AP162" s="250"/>
      <c r="AQ162" s="250"/>
      <c r="AR162" s="250"/>
      <c r="AS162" s="250"/>
      <c r="AT162" s="250"/>
      <c r="AU162" s="250"/>
      <c r="AV162" s="124"/>
    </row>
    <row r="163" spans="2:65" ht="15" x14ac:dyDescent="0.2">
      <c r="B163" s="250"/>
      <c r="C163" s="152"/>
      <c r="D163" s="154"/>
      <c r="E163" s="156"/>
      <c r="F163" s="156" t="s">
        <v>1143</v>
      </c>
      <c r="G163" s="154"/>
      <c r="H163" s="154"/>
      <c r="I163" s="154"/>
      <c r="J163" s="154"/>
      <c r="K163" s="154"/>
      <c r="L163" s="154"/>
      <c r="M163" s="154"/>
      <c r="N163" s="154"/>
      <c r="O163" s="154"/>
      <c r="P163" s="154"/>
      <c r="Q163" s="155"/>
      <c r="R163" s="250"/>
      <c r="S163" s="250"/>
      <c r="T163" s="250"/>
      <c r="U163" s="250"/>
      <c r="V163" s="250"/>
      <c r="W163" s="250"/>
      <c r="X163" s="250"/>
      <c r="Y163" s="250"/>
      <c r="Z163" s="250"/>
      <c r="AA163" s="250"/>
      <c r="AB163" s="250"/>
      <c r="AC163" s="250"/>
      <c r="AD163" s="250"/>
      <c r="AE163" s="250"/>
      <c r="AF163" s="250"/>
      <c r="AG163" s="250"/>
      <c r="AH163" s="250"/>
      <c r="AI163" s="250"/>
      <c r="AJ163" s="250"/>
      <c r="AK163" s="250"/>
      <c r="AL163" s="250"/>
      <c r="AM163" s="250"/>
      <c r="AN163" s="250"/>
      <c r="AO163" s="250"/>
      <c r="AP163" s="250"/>
      <c r="AQ163" s="250"/>
      <c r="AR163" s="250"/>
      <c r="AS163" s="250"/>
      <c r="AT163" s="250"/>
      <c r="AU163" s="250"/>
      <c r="AV163" s="124"/>
    </row>
    <row r="164" spans="2:65" ht="15" x14ac:dyDescent="0.2">
      <c r="B164" s="250"/>
      <c r="C164" s="152"/>
      <c r="D164" s="154"/>
      <c r="E164" s="156"/>
      <c r="F164" s="156"/>
      <c r="G164" s="154"/>
      <c r="H164" s="154"/>
      <c r="I164" s="154"/>
      <c r="J164" s="154"/>
      <c r="K164" s="154"/>
      <c r="L164" s="154"/>
      <c r="M164" s="154"/>
      <c r="N164" s="154"/>
      <c r="O164" s="154"/>
      <c r="P164" s="154"/>
      <c r="Q164" s="155"/>
      <c r="R164" s="250"/>
      <c r="S164" s="250"/>
      <c r="T164" s="250"/>
      <c r="U164" s="250"/>
      <c r="V164" s="250"/>
      <c r="W164" s="250"/>
      <c r="X164" s="250"/>
      <c r="Y164" s="250"/>
      <c r="Z164" s="250"/>
      <c r="AA164" s="250"/>
      <c r="AB164" s="250"/>
      <c r="AC164" s="250"/>
      <c r="AD164" s="250"/>
      <c r="AE164" s="250"/>
      <c r="AF164" s="250"/>
      <c r="AG164" s="250"/>
      <c r="AH164" s="250"/>
      <c r="AI164" s="250"/>
      <c r="AJ164" s="250"/>
      <c r="AK164" s="250"/>
      <c r="AL164" s="250"/>
      <c r="AM164" s="250"/>
      <c r="AN164" s="250"/>
      <c r="AO164" s="250"/>
      <c r="AP164" s="250"/>
      <c r="AQ164" s="250"/>
      <c r="AR164" s="250"/>
      <c r="AS164" s="250"/>
      <c r="AT164" s="250"/>
      <c r="AU164" s="250"/>
      <c r="AV164" s="124"/>
    </row>
    <row r="165" spans="2:65" ht="18" x14ac:dyDescent="0.25">
      <c r="B165" s="250"/>
      <c r="C165" s="152"/>
      <c r="D165" s="154"/>
      <c r="E165" s="156"/>
      <c r="F165" s="159" t="s">
        <v>541</v>
      </c>
      <c r="G165" s="154"/>
      <c r="H165" s="154"/>
      <c r="I165" s="154"/>
      <c r="J165" s="154"/>
      <c r="K165" s="154"/>
      <c r="L165" s="154"/>
      <c r="M165" s="154"/>
      <c r="N165" s="154"/>
      <c r="O165" s="154"/>
      <c r="P165" s="154"/>
      <c r="Q165" s="155"/>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124"/>
    </row>
    <row r="166" spans="2:65" ht="15" x14ac:dyDescent="0.2">
      <c r="B166" s="250"/>
      <c r="C166" s="152"/>
      <c r="D166" s="154"/>
      <c r="E166" s="156"/>
      <c r="F166" s="156" t="s">
        <v>1144</v>
      </c>
      <c r="G166" s="154"/>
      <c r="H166" s="154"/>
      <c r="I166" s="154"/>
      <c r="J166" s="154"/>
      <c r="K166" s="154"/>
      <c r="L166" s="154"/>
      <c r="M166" s="154"/>
      <c r="N166" s="154"/>
      <c r="O166" s="154"/>
      <c r="P166" s="154"/>
      <c r="Q166" s="155"/>
      <c r="R166" s="250"/>
      <c r="S166" s="250"/>
      <c r="T166" s="250"/>
      <c r="U166" s="250"/>
      <c r="V166" s="250"/>
      <c r="W166" s="250"/>
      <c r="X166" s="250"/>
      <c r="Y166" s="250"/>
      <c r="Z166" s="250"/>
      <c r="AA166" s="250"/>
      <c r="AB166" s="250"/>
      <c r="AC166" s="250"/>
      <c r="AD166" s="250"/>
      <c r="AE166" s="250"/>
      <c r="AF166" s="250"/>
      <c r="AG166" s="250"/>
      <c r="AH166" s="250"/>
      <c r="AI166" s="250"/>
      <c r="AJ166" s="250"/>
      <c r="AK166" s="250"/>
      <c r="AL166" s="250"/>
      <c r="AM166" s="250"/>
      <c r="AN166" s="250"/>
      <c r="AO166" s="250"/>
      <c r="AP166" s="250"/>
      <c r="AQ166" s="250"/>
      <c r="AR166" s="250"/>
      <c r="AS166" s="250"/>
      <c r="AT166" s="250"/>
      <c r="AU166" s="250"/>
      <c r="AV166" s="124"/>
    </row>
    <row r="167" spans="2:65" ht="15" x14ac:dyDescent="0.2">
      <c r="B167" s="250"/>
      <c r="C167" s="152"/>
      <c r="D167" s="157"/>
      <c r="E167" s="156"/>
      <c r="F167" s="156" t="s">
        <v>919</v>
      </c>
      <c r="G167" s="157"/>
      <c r="H167" s="157"/>
      <c r="I167" s="156"/>
      <c r="J167" s="157"/>
      <c r="K167" s="157"/>
      <c r="L167" s="157"/>
      <c r="M167" s="157"/>
      <c r="N167" s="157"/>
      <c r="O167" s="157"/>
      <c r="P167" s="157"/>
      <c r="Q167" s="155"/>
      <c r="R167" s="250"/>
      <c r="S167" s="250"/>
      <c r="T167" s="250"/>
      <c r="U167" s="250"/>
      <c r="V167" s="250"/>
      <c r="W167" s="250"/>
      <c r="X167" s="250"/>
      <c r="Y167" s="250"/>
      <c r="Z167" s="250"/>
      <c r="AA167" s="250"/>
      <c r="AB167" s="250"/>
      <c r="AC167" s="250"/>
      <c r="AD167" s="250"/>
      <c r="AE167" s="250"/>
      <c r="AF167" s="250"/>
      <c r="AG167" s="250"/>
      <c r="AH167" s="250"/>
      <c r="AI167" s="250"/>
      <c r="AJ167" s="250"/>
      <c r="AK167" s="250"/>
      <c r="AL167" s="250"/>
      <c r="AM167" s="250"/>
      <c r="AN167" s="250"/>
      <c r="AO167" s="250"/>
      <c r="AP167" s="250"/>
      <c r="AQ167" s="250"/>
      <c r="AR167" s="250"/>
      <c r="AS167" s="250"/>
      <c r="AT167" s="250"/>
      <c r="AU167" s="250"/>
      <c r="AV167" s="124"/>
    </row>
    <row r="168" spans="2:65" ht="15" x14ac:dyDescent="0.2">
      <c r="B168" s="250"/>
      <c r="C168" s="152"/>
      <c r="D168" s="157"/>
      <c r="E168" s="156"/>
      <c r="F168" s="167" t="s">
        <v>920</v>
      </c>
      <c r="G168" s="157"/>
      <c r="H168" s="157"/>
      <c r="I168" s="156"/>
      <c r="J168" s="157"/>
      <c r="K168" s="157"/>
      <c r="L168" s="157"/>
      <c r="M168" s="157"/>
      <c r="N168" s="157"/>
      <c r="O168" s="157"/>
      <c r="P168" s="157"/>
      <c r="Q168" s="155"/>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124"/>
    </row>
    <row r="169" spans="2:65" ht="15" x14ac:dyDescent="0.2">
      <c r="B169" s="250"/>
      <c r="C169" s="152"/>
      <c r="D169" s="157"/>
      <c r="E169" s="156"/>
      <c r="F169" s="156" t="s">
        <v>1551</v>
      </c>
      <c r="G169" s="157"/>
      <c r="H169" s="157"/>
      <c r="I169" s="156"/>
      <c r="J169" s="157"/>
      <c r="K169" s="157"/>
      <c r="L169" s="157"/>
      <c r="M169" s="157"/>
      <c r="N169" s="157"/>
      <c r="O169" s="157"/>
      <c r="P169" s="157"/>
      <c r="Q169" s="155"/>
      <c r="R169" s="250"/>
      <c r="S169" s="250"/>
      <c r="T169" s="250"/>
      <c r="U169" s="250"/>
      <c r="V169" s="250"/>
      <c r="W169" s="250"/>
      <c r="X169" s="250"/>
      <c r="Y169" s="250"/>
      <c r="Z169" s="250"/>
      <c r="AA169" s="250"/>
      <c r="AB169" s="250"/>
      <c r="AC169" s="250"/>
      <c r="AD169" s="250"/>
      <c r="AE169" s="250"/>
      <c r="AF169" s="250"/>
      <c r="AG169" s="250"/>
      <c r="AH169" s="250"/>
      <c r="AI169" s="250"/>
      <c r="AJ169" s="250"/>
      <c r="AK169" s="250"/>
      <c r="AL169" s="250"/>
      <c r="AM169" s="250"/>
      <c r="AN169" s="250"/>
      <c r="AO169" s="250"/>
      <c r="AP169" s="250"/>
      <c r="AQ169" s="250"/>
      <c r="AR169" s="250"/>
      <c r="AS169" s="250"/>
      <c r="AT169" s="250"/>
      <c r="AU169" s="250"/>
      <c r="AV169" s="124"/>
    </row>
    <row r="170" spans="2:65" ht="15" x14ac:dyDescent="0.2">
      <c r="B170" s="250"/>
      <c r="C170" s="152"/>
      <c r="D170" s="157"/>
      <c r="E170" s="156"/>
      <c r="F170" s="156" t="s">
        <v>1552</v>
      </c>
      <c r="G170" s="157"/>
      <c r="H170" s="157"/>
      <c r="I170" s="156"/>
      <c r="J170" s="157"/>
      <c r="K170" s="157"/>
      <c r="L170" s="157"/>
      <c r="M170" s="157"/>
      <c r="N170" s="157"/>
      <c r="O170" s="157"/>
      <c r="P170" s="157"/>
      <c r="Q170" s="155"/>
      <c r="R170" s="250"/>
      <c r="S170" s="250"/>
      <c r="T170" s="250"/>
      <c r="U170" s="250"/>
      <c r="V170" s="250"/>
      <c r="W170" s="250"/>
      <c r="X170" s="250"/>
      <c r="Y170" s="250"/>
      <c r="Z170" s="250"/>
      <c r="AA170" s="250"/>
      <c r="AB170" s="250"/>
      <c r="AC170" s="250"/>
      <c r="AD170" s="250"/>
      <c r="AE170" s="250"/>
      <c r="AF170" s="250"/>
      <c r="AG170" s="250"/>
      <c r="AH170" s="250"/>
      <c r="AI170" s="250"/>
      <c r="AJ170" s="250"/>
      <c r="AK170" s="250"/>
      <c r="AL170" s="250"/>
      <c r="AM170" s="250"/>
      <c r="AN170" s="250"/>
      <c r="AO170" s="250"/>
      <c r="AP170" s="250"/>
      <c r="AQ170" s="250"/>
      <c r="AR170" s="250"/>
      <c r="AS170" s="250"/>
      <c r="AT170" s="250"/>
      <c r="AU170" s="250"/>
      <c r="AV170" s="124"/>
    </row>
    <row r="171" spans="2:65" x14ac:dyDescent="0.2">
      <c r="B171" s="250"/>
      <c r="C171" s="152"/>
      <c r="D171" s="164"/>
      <c r="E171" s="164"/>
      <c r="F171" s="164"/>
      <c r="G171" s="164"/>
      <c r="H171" s="164"/>
      <c r="I171" s="164"/>
      <c r="J171" s="164"/>
      <c r="K171" s="164"/>
      <c r="L171" s="164"/>
      <c r="M171" s="164"/>
      <c r="N171" s="164"/>
      <c r="O171" s="164"/>
      <c r="P171" s="164"/>
      <c r="Q171" s="155"/>
      <c r="R171" s="250"/>
      <c r="S171" s="250"/>
      <c r="T171" s="250"/>
      <c r="U171" s="250"/>
      <c r="V171" s="250"/>
      <c r="W171" s="250"/>
      <c r="X171" s="250"/>
      <c r="Y171" s="250"/>
      <c r="Z171" s="250"/>
      <c r="AA171" s="250"/>
      <c r="AB171" s="250"/>
      <c r="AC171" s="250"/>
      <c r="AD171" s="250"/>
      <c r="AE171" s="250"/>
      <c r="AF171" s="250"/>
      <c r="AG171" s="250"/>
      <c r="AH171" s="250"/>
      <c r="AI171" s="250"/>
      <c r="AJ171" s="250"/>
      <c r="AK171" s="250"/>
      <c r="AL171" s="250"/>
      <c r="AM171" s="250"/>
      <c r="AN171" s="250"/>
      <c r="AO171" s="250"/>
      <c r="AP171" s="250"/>
      <c r="AQ171" s="250"/>
      <c r="AR171" s="250"/>
      <c r="AS171" s="250"/>
      <c r="AT171" s="250"/>
      <c r="AU171" s="250"/>
      <c r="AV171" s="124"/>
    </row>
    <row r="172" spans="2:65" ht="13.5" thickBot="1" x14ac:dyDescent="0.25">
      <c r="B172" s="250"/>
      <c r="C172" s="152"/>
      <c r="D172" s="166"/>
      <c r="E172" s="166"/>
      <c r="F172" s="166"/>
      <c r="G172" s="166"/>
      <c r="H172" s="166"/>
      <c r="I172" s="166"/>
      <c r="J172" s="166"/>
      <c r="K172" s="166"/>
      <c r="L172" s="166"/>
      <c r="M172" s="166"/>
      <c r="N172" s="166"/>
      <c r="O172" s="166"/>
      <c r="P172" s="166"/>
      <c r="Q172" s="155"/>
      <c r="R172" s="250"/>
      <c r="S172" s="250"/>
      <c r="T172" s="250"/>
      <c r="U172" s="250"/>
      <c r="V172" s="250"/>
      <c r="W172" s="250"/>
      <c r="X172" s="250"/>
      <c r="Y172" s="250"/>
      <c r="Z172" s="250"/>
      <c r="AA172" s="250"/>
      <c r="AB172" s="250"/>
      <c r="AC172" s="250"/>
      <c r="AD172" s="250"/>
      <c r="AE172" s="250"/>
      <c r="AF172" s="250"/>
      <c r="AG172" s="250"/>
      <c r="AH172" s="250"/>
      <c r="AI172" s="250"/>
      <c r="AJ172" s="250"/>
      <c r="AK172" s="250"/>
      <c r="AL172" s="250"/>
      <c r="AM172" s="250"/>
      <c r="AN172" s="250"/>
      <c r="AO172" s="250"/>
      <c r="AP172" s="250"/>
      <c r="AQ172" s="250"/>
      <c r="AR172" s="250"/>
      <c r="AS172" s="250"/>
      <c r="AT172" s="250"/>
      <c r="AU172" s="250"/>
      <c r="AV172" s="124"/>
    </row>
    <row r="173" spans="2:65" ht="15" customHeight="1" x14ac:dyDescent="0.2">
      <c r="B173" s="250"/>
      <c r="C173" s="1404" t="s">
        <v>417</v>
      </c>
      <c r="D173" s="1405"/>
      <c r="E173" s="1405"/>
      <c r="F173" s="1405"/>
      <c r="G173" s="1405"/>
      <c r="H173" s="1405"/>
      <c r="I173" s="1405"/>
      <c r="J173" s="1405"/>
      <c r="K173" s="1405"/>
      <c r="L173" s="1405"/>
      <c r="M173" s="1405"/>
      <c r="N173" s="1405"/>
      <c r="O173" s="1405"/>
      <c r="P173" s="1405"/>
      <c r="Q173" s="1406"/>
      <c r="R173" s="250"/>
      <c r="S173" s="250"/>
      <c r="T173" s="250"/>
      <c r="U173" s="250"/>
      <c r="V173" s="250"/>
      <c r="W173" s="250"/>
      <c r="X173" s="250"/>
      <c r="Y173" s="250"/>
      <c r="Z173" s="250"/>
      <c r="AA173" s="250"/>
      <c r="AB173" s="250"/>
      <c r="AC173" s="250"/>
      <c r="AD173" s="250"/>
      <c r="AE173" s="250"/>
      <c r="AF173" s="250"/>
      <c r="AG173" s="250"/>
      <c r="AH173" s="250"/>
      <c r="AI173" s="250"/>
      <c r="AJ173" s="250"/>
      <c r="AK173" s="250"/>
      <c r="AL173" s="250"/>
      <c r="AM173" s="250"/>
      <c r="AN173" s="250"/>
      <c r="AO173" s="250"/>
      <c r="AP173" s="250"/>
      <c r="AQ173" s="250"/>
      <c r="AR173" s="250"/>
      <c r="AS173" s="250"/>
      <c r="AT173" s="250"/>
      <c r="AU173" s="250"/>
      <c r="AV173" s="124"/>
    </row>
    <row r="174" spans="2:65" ht="15" customHeight="1" thickBot="1" x14ac:dyDescent="0.25">
      <c r="B174" s="250"/>
      <c r="C174" s="1407"/>
      <c r="D174" s="1408"/>
      <c r="E174" s="1408"/>
      <c r="F174" s="1408"/>
      <c r="G174" s="1408"/>
      <c r="H174" s="1408"/>
      <c r="I174" s="1408"/>
      <c r="J174" s="1408"/>
      <c r="K174" s="1408"/>
      <c r="L174" s="1408"/>
      <c r="M174" s="1408"/>
      <c r="N174" s="1408"/>
      <c r="O174" s="1408"/>
      <c r="P174" s="1408"/>
      <c r="Q174" s="1409"/>
      <c r="R174" s="250"/>
      <c r="S174" s="250"/>
      <c r="T174" s="250"/>
      <c r="U174" s="250"/>
      <c r="V174" s="250"/>
      <c r="W174" s="250"/>
      <c r="X174" s="250"/>
      <c r="Y174" s="250"/>
      <c r="Z174" s="250"/>
      <c r="AA174" s="250"/>
      <c r="AB174" s="250"/>
      <c r="AC174" s="250"/>
      <c r="AD174" s="250"/>
      <c r="AE174" s="250"/>
      <c r="AF174" s="250"/>
      <c r="AG174" s="250"/>
      <c r="AH174" s="250"/>
      <c r="AI174" s="250"/>
      <c r="AJ174" s="250"/>
      <c r="AK174" s="250"/>
      <c r="AL174" s="250"/>
      <c r="AM174" s="250"/>
      <c r="AN174" s="250"/>
      <c r="AO174" s="250"/>
      <c r="AP174" s="250"/>
      <c r="AQ174" s="250"/>
      <c r="AR174" s="250"/>
      <c r="AS174" s="250"/>
      <c r="AT174" s="250"/>
      <c r="AU174" s="250"/>
      <c r="AV174" s="124"/>
    </row>
    <row r="175" spans="2:65" s="39" customFormat="1" ht="11.25" x14ac:dyDescent="0.2">
      <c r="B175" s="478"/>
      <c r="C175" s="149"/>
      <c r="D175" s="165"/>
      <c r="E175" s="165"/>
      <c r="F175" s="165"/>
      <c r="G175" s="165"/>
      <c r="H175" s="165"/>
      <c r="I175" s="165"/>
      <c r="J175" s="165"/>
      <c r="K175" s="165"/>
      <c r="L175" s="165"/>
      <c r="M175" s="165"/>
      <c r="N175" s="165"/>
      <c r="O175" s="165"/>
      <c r="P175" s="165"/>
      <c r="Q175" s="151"/>
      <c r="R175" s="478"/>
      <c r="S175" s="478"/>
      <c r="T175" s="478"/>
      <c r="U175" s="478"/>
      <c r="V175" s="478"/>
      <c r="W175" s="478"/>
      <c r="X175" s="478"/>
      <c r="Y175" s="478"/>
      <c r="Z175" s="478"/>
      <c r="AA175" s="478"/>
      <c r="AB175" s="478"/>
      <c r="AC175" s="478"/>
      <c r="AD175" s="478"/>
      <c r="AE175" s="478"/>
      <c r="AF175" s="478"/>
      <c r="AG175" s="478"/>
      <c r="AH175" s="478"/>
      <c r="AI175" s="478"/>
      <c r="AJ175" s="478"/>
      <c r="AK175" s="478"/>
      <c r="AL175" s="478"/>
      <c r="AM175" s="478"/>
      <c r="AN175" s="478"/>
      <c r="AO175" s="478"/>
      <c r="AP175" s="478"/>
      <c r="AQ175" s="478"/>
      <c r="AR175" s="478"/>
      <c r="AS175" s="478"/>
      <c r="AT175" s="478"/>
      <c r="AU175" s="478"/>
      <c r="AV175" s="888"/>
      <c r="AW175" s="468"/>
      <c r="AX175" s="468"/>
      <c r="AY175" s="468"/>
      <c r="AZ175" s="468"/>
      <c r="BA175" s="468"/>
      <c r="BB175" s="468"/>
      <c r="BC175" s="468"/>
      <c r="BD175" s="468"/>
      <c r="BE175" s="468"/>
      <c r="BF175" s="468"/>
      <c r="BG175" s="468"/>
      <c r="BH175" s="468"/>
      <c r="BI175" s="468"/>
      <c r="BJ175" s="468"/>
      <c r="BK175" s="468"/>
      <c r="BL175" s="468"/>
      <c r="BM175" s="468"/>
    </row>
    <row r="176" spans="2:65" ht="18" x14ac:dyDescent="0.25">
      <c r="B176" s="250"/>
      <c r="C176" s="152"/>
      <c r="D176" s="154"/>
      <c r="E176" s="153"/>
      <c r="F176" s="1333" t="s">
        <v>417</v>
      </c>
      <c r="G176" s="154"/>
      <c r="H176" s="154"/>
      <c r="I176" s="154"/>
      <c r="J176" s="154"/>
      <c r="K176" s="154"/>
      <c r="L176" s="154"/>
      <c r="M176" s="154"/>
      <c r="N176" s="154"/>
      <c r="O176" s="154"/>
      <c r="P176" s="154"/>
      <c r="Q176" s="155"/>
      <c r="R176" s="250"/>
      <c r="S176" s="250"/>
      <c r="T176" s="250"/>
      <c r="U176" s="250"/>
      <c r="V176" s="250"/>
      <c r="W176" s="250"/>
      <c r="X176" s="250"/>
      <c r="Y176" s="250"/>
      <c r="Z176" s="250"/>
      <c r="AA176" s="250"/>
      <c r="AB176" s="250"/>
      <c r="AC176" s="250"/>
      <c r="AD176" s="250"/>
      <c r="AE176" s="250"/>
      <c r="AF176" s="250"/>
      <c r="AG176" s="250"/>
      <c r="AH176" s="250"/>
      <c r="AI176" s="250"/>
      <c r="AJ176" s="250"/>
      <c r="AK176" s="250"/>
      <c r="AL176" s="250"/>
      <c r="AM176" s="250"/>
      <c r="AN176" s="250"/>
      <c r="AO176" s="250"/>
      <c r="AP176" s="250"/>
      <c r="AQ176" s="250"/>
      <c r="AR176" s="250"/>
      <c r="AS176" s="250"/>
      <c r="AT176" s="250"/>
      <c r="AU176" s="250"/>
      <c r="AV176" s="124"/>
    </row>
    <row r="177" spans="2:48" ht="6" customHeight="1" x14ac:dyDescent="0.25">
      <c r="B177" s="250"/>
      <c r="C177" s="152"/>
      <c r="D177" s="154"/>
      <c r="E177" s="153"/>
      <c r="F177" s="153"/>
      <c r="G177" s="154"/>
      <c r="H177" s="154"/>
      <c r="I177" s="154"/>
      <c r="J177" s="154"/>
      <c r="K177" s="154"/>
      <c r="L177" s="154"/>
      <c r="M177" s="154"/>
      <c r="N177" s="154"/>
      <c r="O177" s="154"/>
      <c r="P177" s="154"/>
      <c r="Q177" s="155"/>
      <c r="R177" s="250"/>
      <c r="S177" s="250"/>
      <c r="T177" s="250"/>
      <c r="U177" s="250"/>
      <c r="V177" s="250"/>
      <c r="W177" s="250"/>
      <c r="X177" s="250"/>
      <c r="Y177" s="250"/>
      <c r="Z177" s="250"/>
      <c r="AA177" s="250"/>
      <c r="AB177" s="250"/>
      <c r="AC177" s="250"/>
      <c r="AD177" s="250"/>
      <c r="AE177" s="250"/>
      <c r="AF177" s="250"/>
      <c r="AG177" s="250"/>
      <c r="AH177" s="250"/>
      <c r="AI177" s="250"/>
      <c r="AJ177" s="250"/>
      <c r="AK177" s="250"/>
      <c r="AL177" s="250"/>
      <c r="AM177" s="250"/>
      <c r="AN177" s="250"/>
      <c r="AO177" s="250"/>
      <c r="AP177" s="250"/>
      <c r="AQ177" s="250"/>
      <c r="AR177" s="250"/>
      <c r="AS177" s="250"/>
      <c r="AT177" s="250"/>
      <c r="AU177" s="250"/>
      <c r="AV177" s="124"/>
    </row>
    <row r="178" spans="2:48" ht="18" x14ac:dyDescent="0.25">
      <c r="B178" s="250"/>
      <c r="C178" s="152"/>
      <c r="D178" s="154"/>
      <c r="E178" s="153"/>
      <c r="F178" s="156" t="s">
        <v>682</v>
      </c>
      <c r="G178" s="154"/>
      <c r="H178" s="154"/>
      <c r="I178" s="154"/>
      <c r="J178" s="154"/>
      <c r="K178" s="154"/>
      <c r="L178" s="154"/>
      <c r="M178" s="154"/>
      <c r="N178" s="154"/>
      <c r="O178" s="154"/>
      <c r="P178" s="154"/>
      <c r="Q178" s="155"/>
      <c r="R178" s="250"/>
      <c r="S178" s="250"/>
      <c r="T178" s="250"/>
      <c r="U178" s="250"/>
      <c r="V178" s="250"/>
      <c r="W178" s="250"/>
      <c r="X178" s="250"/>
      <c r="Y178" s="250"/>
      <c r="Z178" s="250"/>
      <c r="AA178" s="250"/>
      <c r="AB178" s="250"/>
      <c r="AC178" s="250"/>
      <c r="AD178" s="250"/>
      <c r="AE178" s="250"/>
      <c r="AF178" s="250"/>
      <c r="AG178" s="250"/>
      <c r="AH178" s="250"/>
      <c r="AI178" s="250"/>
      <c r="AJ178" s="250"/>
      <c r="AK178" s="250"/>
      <c r="AL178" s="250"/>
      <c r="AM178" s="250"/>
      <c r="AN178" s="250"/>
      <c r="AO178" s="250"/>
      <c r="AP178" s="250"/>
      <c r="AQ178" s="250"/>
      <c r="AR178" s="250"/>
      <c r="AS178" s="250"/>
      <c r="AT178" s="250"/>
      <c r="AU178" s="250"/>
      <c r="AV178" s="124"/>
    </row>
    <row r="179" spans="2:48" ht="18" x14ac:dyDescent="0.25">
      <c r="B179" s="250"/>
      <c r="C179" s="152"/>
      <c r="D179" s="154"/>
      <c r="E179" s="153"/>
      <c r="F179" s="156" t="s">
        <v>683</v>
      </c>
      <c r="G179" s="154"/>
      <c r="H179" s="154"/>
      <c r="I179" s="154"/>
      <c r="J179" s="154"/>
      <c r="K179" s="154"/>
      <c r="L179" s="154"/>
      <c r="M179" s="154"/>
      <c r="N179" s="154"/>
      <c r="O179" s="154"/>
      <c r="P179" s="154"/>
      <c r="Q179" s="155"/>
      <c r="R179" s="250"/>
      <c r="S179" s="250"/>
      <c r="T179" s="250"/>
      <c r="U179" s="250"/>
      <c r="V179" s="250"/>
      <c r="W179" s="250"/>
      <c r="X179" s="250"/>
      <c r="Y179" s="250"/>
      <c r="Z179" s="250"/>
      <c r="AA179" s="250"/>
      <c r="AB179" s="250"/>
      <c r="AC179" s="250"/>
      <c r="AD179" s="250"/>
      <c r="AE179" s="250"/>
      <c r="AF179" s="250"/>
      <c r="AG179" s="250"/>
      <c r="AH179" s="250"/>
      <c r="AI179" s="250"/>
      <c r="AJ179" s="250"/>
      <c r="AK179" s="250"/>
      <c r="AL179" s="250"/>
      <c r="AM179" s="250"/>
      <c r="AN179" s="250"/>
      <c r="AO179" s="250"/>
      <c r="AP179" s="250"/>
      <c r="AQ179" s="250"/>
      <c r="AR179" s="250"/>
      <c r="AS179" s="250"/>
      <c r="AT179" s="250"/>
      <c r="AU179" s="250"/>
      <c r="AV179" s="124"/>
    </row>
    <row r="180" spans="2:48" ht="6" customHeight="1" x14ac:dyDescent="0.25">
      <c r="B180" s="250"/>
      <c r="C180" s="152"/>
      <c r="D180" s="154"/>
      <c r="E180" s="153"/>
      <c r="F180" s="156"/>
      <c r="G180" s="154"/>
      <c r="H180" s="154"/>
      <c r="I180" s="154"/>
      <c r="J180" s="154"/>
      <c r="K180" s="154"/>
      <c r="L180" s="154"/>
      <c r="M180" s="154"/>
      <c r="N180" s="154"/>
      <c r="O180" s="154"/>
      <c r="P180" s="154"/>
      <c r="Q180" s="155"/>
      <c r="R180" s="250"/>
      <c r="S180" s="250"/>
      <c r="T180" s="250"/>
      <c r="U180" s="250"/>
      <c r="V180" s="250"/>
      <c r="W180" s="250"/>
      <c r="X180" s="250"/>
      <c r="Y180" s="250"/>
      <c r="Z180" s="250"/>
      <c r="AA180" s="250"/>
      <c r="AB180" s="250"/>
      <c r="AC180" s="250"/>
      <c r="AD180" s="250"/>
      <c r="AE180" s="250"/>
      <c r="AF180" s="250"/>
      <c r="AG180" s="250"/>
      <c r="AH180" s="250"/>
      <c r="AI180" s="250"/>
      <c r="AJ180" s="250"/>
      <c r="AK180" s="250"/>
      <c r="AL180" s="250"/>
      <c r="AM180" s="250"/>
      <c r="AN180" s="250"/>
      <c r="AO180" s="250"/>
      <c r="AP180" s="250"/>
      <c r="AQ180" s="250"/>
      <c r="AR180" s="250"/>
      <c r="AS180" s="250"/>
      <c r="AT180" s="250"/>
      <c r="AU180" s="250"/>
      <c r="AV180" s="124"/>
    </row>
    <row r="181" spans="2:48" ht="18" x14ac:dyDescent="0.25">
      <c r="B181" s="250"/>
      <c r="C181" s="152"/>
      <c r="D181" s="154"/>
      <c r="E181" s="153"/>
      <c r="F181" s="156" t="s">
        <v>921</v>
      </c>
      <c r="G181" s="154"/>
      <c r="H181" s="154"/>
      <c r="I181" s="154"/>
      <c r="J181" s="154"/>
      <c r="K181" s="154"/>
      <c r="L181" s="154"/>
      <c r="M181" s="154"/>
      <c r="N181" s="154"/>
      <c r="O181" s="154"/>
      <c r="P181" s="154"/>
      <c r="Q181" s="155"/>
      <c r="R181" s="250"/>
      <c r="S181" s="250"/>
      <c r="T181" s="250"/>
      <c r="U181" s="250"/>
      <c r="V181" s="250"/>
      <c r="W181" s="250"/>
      <c r="X181" s="250"/>
      <c r="Y181" s="250"/>
      <c r="Z181" s="250"/>
      <c r="AA181" s="250"/>
      <c r="AB181" s="250"/>
      <c r="AC181" s="250"/>
      <c r="AD181" s="250"/>
      <c r="AE181" s="250"/>
      <c r="AF181" s="250"/>
      <c r="AG181" s="250"/>
      <c r="AH181" s="250"/>
      <c r="AI181" s="250"/>
      <c r="AJ181" s="250"/>
      <c r="AK181" s="250"/>
      <c r="AL181" s="250"/>
      <c r="AM181" s="250"/>
      <c r="AN181" s="250"/>
      <c r="AO181" s="250"/>
      <c r="AP181" s="250"/>
      <c r="AQ181" s="250"/>
      <c r="AR181" s="250"/>
      <c r="AS181" s="250"/>
      <c r="AT181" s="250"/>
      <c r="AU181" s="250"/>
      <c r="AV181" s="124"/>
    </row>
    <row r="182" spans="2:48" ht="18" x14ac:dyDescent="0.25">
      <c r="B182" s="250"/>
      <c r="C182" s="152"/>
      <c r="D182" s="154"/>
      <c r="E182" s="153"/>
      <c r="F182" s="156" t="s">
        <v>684</v>
      </c>
      <c r="G182" s="154"/>
      <c r="H182" s="154"/>
      <c r="I182" s="154"/>
      <c r="J182" s="154"/>
      <c r="K182" s="154"/>
      <c r="L182" s="154"/>
      <c r="M182" s="154"/>
      <c r="N182" s="154"/>
      <c r="O182" s="154"/>
      <c r="P182" s="154"/>
      <c r="Q182" s="155"/>
      <c r="R182" s="250"/>
      <c r="S182" s="250"/>
      <c r="T182" s="250"/>
      <c r="U182" s="250"/>
      <c r="V182" s="250"/>
      <c r="W182" s="250"/>
      <c r="X182" s="250"/>
      <c r="Y182" s="250"/>
      <c r="Z182" s="250"/>
      <c r="AA182" s="250"/>
      <c r="AB182" s="250"/>
      <c r="AC182" s="250"/>
      <c r="AD182" s="250"/>
      <c r="AE182" s="250"/>
      <c r="AF182" s="250"/>
      <c r="AG182" s="250"/>
      <c r="AH182" s="250"/>
      <c r="AI182" s="250"/>
      <c r="AJ182" s="250"/>
      <c r="AK182" s="250"/>
      <c r="AL182" s="250"/>
      <c r="AM182" s="250"/>
      <c r="AN182" s="250"/>
      <c r="AO182" s="250"/>
      <c r="AP182" s="250"/>
      <c r="AQ182" s="250"/>
      <c r="AR182" s="250"/>
      <c r="AS182" s="250"/>
      <c r="AT182" s="250"/>
      <c r="AU182" s="250"/>
      <c r="AV182" s="124"/>
    </row>
    <row r="183" spans="2:48" ht="18" x14ac:dyDescent="0.25">
      <c r="B183" s="250"/>
      <c r="C183" s="152"/>
      <c r="D183" s="154"/>
      <c r="E183" s="153"/>
      <c r="F183" s="156"/>
      <c r="G183" s="154"/>
      <c r="H183" s="154"/>
      <c r="I183" s="154"/>
      <c r="J183" s="154"/>
      <c r="K183" s="154"/>
      <c r="L183" s="154"/>
      <c r="M183" s="154"/>
      <c r="N183" s="154"/>
      <c r="O183" s="154"/>
      <c r="P183" s="154"/>
      <c r="Q183" s="155"/>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0"/>
      <c r="AN183" s="250"/>
      <c r="AO183" s="250"/>
      <c r="AP183" s="250"/>
      <c r="AQ183" s="250"/>
      <c r="AR183" s="250"/>
      <c r="AS183" s="250"/>
      <c r="AT183" s="250"/>
      <c r="AU183" s="250"/>
      <c r="AV183" s="124"/>
    </row>
    <row r="184" spans="2:48" ht="6.75" customHeight="1" x14ac:dyDescent="0.25">
      <c r="B184" s="250"/>
      <c r="C184" s="152"/>
      <c r="D184" s="154"/>
      <c r="E184" s="153"/>
      <c r="F184" s="156"/>
      <c r="G184" s="154"/>
      <c r="H184" s="154"/>
      <c r="I184" s="154"/>
      <c r="J184" s="154"/>
      <c r="K184" s="154"/>
      <c r="L184" s="154"/>
      <c r="M184" s="154"/>
      <c r="N184" s="154"/>
      <c r="O184" s="154"/>
      <c r="P184" s="154"/>
      <c r="Q184" s="155"/>
      <c r="R184" s="250"/>
      <c r="S184" s="250"/>
      <c r="T184" s="250"/>
      <c r="U184" s="250"/>
      <c r="V184" s="250"/>
      <c r="W184" s="250"/>
      <c r="X184" s="250"/>
      <c r="Y184" s="250"/>
      <c r="Z184" s="250"/>
      <c r="AA184" s="250"/>
      <c r="AB184" s="250"/>
      <c r="AC184" s="250"/>
      <c r="AD184" s="250"/>
      <c r="AE184" s="250"/>
      <c r="AF184" s="250"/>
      <c r="AG184" s="250"/>
      <c r="AH184" s="250"/>
      <c r="AI184" s="250"/>
      <c r="AJ184" s="250"/>
      <c r="AK184" s="250"/>
      <c r="AL184" s="250"/>
      <c r="AM184" s="250"/>
      <c r="AN184" s="250"/>
      <c r="AO184" s="250"/>
      <c r="AP184" s="250"/>
      <c r="AQ184" s="250"/>
      <c r="AR184" s="250"/>
      <c r="AS184" s="250"/>
      <c r="AT184" s="250"/>
      <c r="AU184" s="250"/>
      <c r="AV184" s="124"/>
    </row>
    <row r="185" spans="2:48" ht="18" x14ac:dyDescent="0.25">
      <c r="B185" s="250"/>
      <c r="C185" s="152"/>
      <c r="D185" s="154"/>
      <c r="E185" s="153"/>
      <c r="F185" s="1333" t="s">
        <v>83</v>
      </c>
      <c r="G185" s="154"/>
      <c r="H185" s="154"/>
      <c r="I185" s="154"/>
      <c r="J185" s="154"/>
      <c r="K185" s="154"/>
      <c r="L185" s="154"/>
      <c r="M185" s="893" t="s">
        <v>84</v>
      </c>
      <c r="N185" s="154"/>
      <c r="O185" s="154"/>
      <c r="P185" s="154"/>
      <c r="Q185" s="155"/>
      <c r="R185" s="250"/>
      <c r="S185" s="250"/>
      <c r="T185" s="250"/>
      <c r="U185" s="250"/>
      <c r="V185" s="250"/>
      <c r="W185" s="250"/>
      <c r="X185" s="250"/>
      <c r="Y185" s="250"/>
      <c r="Z185" s="250"/>
      <c r="AA185" s="250"/>
      <c r="AB185" s="250"/>
      <c r="AC185" s="250"/>
      <c r="AD185" s="250"/>
      <c r="AE185" s="250"/>
      <c r="AF185" s="250"/>
      <c r="AG185" s="250"/>
      <c r="AH185" s="250"/>
      <c r="AI185" s="250"/>
      <c r="AJ185" s="250"/>
      <c r="AK185" s="250"/>
      <c r="AL185" s="250"/>
      <c r="AM185" s="250"/>
      <c r="AN185" s="250"/>
      <c r="AO185" s="250"/>
      <c r="AP185" s="250"/>
      <c r="AQ185" s="250"/>
      <c r="AR185" s="250"/>
      <c r="AS185" s="250"/>
      <c r="AT185" s="250"/>
      <c r="AU185" s="250"/>
      <c r="AV185" s="124"/>
    </row>
    <row r="186" spans="2:48" x14ac:dyDescent="0.2">
      <c r="B186" s="250"/>
      <c r="C186" s="152"/>
      <c r="D186" s="164"/>
      <c r="E186" s="164"/>
      <c r="F186" s="164"/>
      <c r="G186" s="164"/>
      <c r="H186" s="164"/>
      <c r="I186" s="164"/>
      <c r="J186" s="164"/>
      <c r="K186" s="164"/>
      <c r="L186" s="164"/>
      <c r="M186" s="164"/>
      <c r="N186" s="164"/>
      <c r="O186" s="164"/>
      <c r="P186" s="164"/>
      <c r="Q186" s="155"/>
      <c r="R186" s="250"/>
      <c r="S186" s="250"/>
      <c r="T186" s="250"/>
      <c r="U186" s="250"/>
      <c r="V186" s="250"/>
      <c r="W186" s="250"/>
      <c r="X186" s="250"/>
      <c r="Y186" s="250"/>
      <c r="Z186" s="250"/>
      <c r="AA186" s="250"/>
      <c r="AB186" s="250"/>
      <c r="AC186" s="250"/>
      <c r="AD186" s="250"/>
      <c r="AE186" s="250"/>
      <c r="AF186" s="250"/>
      <c r="AG186" s="250"/>
      <c r="AH186" s="250"/>
      <c r="AI186" s="250"/>
      <c r="AJ186" s="250"/>
      <c r="AK186" s="250"/>
      <c r="AL186" s="250"/>
      <c r="AM186" s="250"/>
      <c r="AN186" s="250"/>
      <c r="AO186" s="250"/>
      <c r="AP186" s="250"/>
      <c r="AQ186" s="250"/>
      <c r="AR186" s="250"/>
      <c r="AS186" s="250"/>
      <c r="AT186" s="250"/>
      <c r="AU186" s="250"/>
      <c r="AV186" s="124"/>
    </row>
    <row r="187" spans="2:48" ht="13.5" thickBot="1" x14ac:dyDescent="0.25">
      <c r="B187" s="250"/>
      <c r="C187" s="152"/>
      <c r="D187" s="166"/>
      <c r="E187" s="166"/>
      <c r="F187" s="166"/>
      <c r="G187" s="166"/>
      <c r="H187" s="166"/>
      <c r="I187" s="166"/>
      <c r="J187" s="166"/>
      <c r="K187" s="166"/>
      <c r="L187" s="166"/>
      <c r="M187" s="166"/>
      <c r="N187" s="166"/>
      <c r="O187" s="166"/>
      <c r="P187" s="166"/>
      <c r="Q187" s="155"/>
      <c r="R187" s="250"/>
      <c r="S187" s="250"/>
      <c r="T187" s="250"/>
      <c r="U187" s="250"/>
      <c r="V187" s="250"/>
      <c r="W187" s="250"/>
      <c r="X187" s="250"/>
      <c r="Y187" s="250"/>
      <c r="Z187" s="250"/>
      <c r="AA187" s="250"/>
      <c r="AB187" s="250"/>
      <c r="AC187" s="250"/>
      <c r="AD187" s="250"/>
      <c r="AE187" s="250"/>
      <c r="AF187" s="250"/>
      <c r="AG187" s="250"/>
      <c r="AH187" s="250"/>
      <c r="AI187" s="250"/>
      <c r="AJ187" s="250"/>
      <c r="AK187" s="250"/>
      <c r="AL187" s="250"/>
      <c r="AM187" s="250"/>
      <c r="AN187" s="250"/>
      <c r="AO187" s="250"/>
      <c r="AP187" s="250"/>
      <c r="AQ187" s="250"/>
      <c r="AR187" s="250"/>
      <c r="AS187" s="250"/>
      <c r="AT187" s="250"/>
      <c r="AU187" s="250"/>
      <c r="AV187" s="124"/>
    </row>
    <row r="188" spans="2:48" ht="15" customHeight="1" x14ac:dyDescent="0.2">
      <c r="B188" s="250"/>
      <c r="C188" s="1404" t="s">
        <v>106</v>
      </c>
      <c r="D188" s="1405"/>
      <c r="E188" s="1405"/>
      <c r="F188" s="1405"/>
      <c r="G188" s="1405"/>
      <c r="H188" s="1405"/>
      <c r="I188" s="1405"/>
      <c r="J188" s="1405"/>
      <c r="K188" s="1405"/>
      <c r="L188" s="1405"/>
      <c r="M188" s="1405"/>
      <c r="N188" s="1405"/>
      <c r="O188" s="1405"/>
      <c r="P188" s="1405"/>
      <c r="Q188" s="1406"/>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0"/>
      <c r="AN188" s="250"/>
      <c r="AO188" s="250"/>
      <c r="AP188" s="250"/>
      <c r="AQ188" s="250"/>
      <c r="AR188" s="250"/>
      <c r="AS188" s="250"/>
      <c r="AT188" s="250"/>
      <c r="AU188" s="250"/>
      <c r="AV188" s="124"/>
    </row>
    <row r="189" spans="2:48" ht="15" customHeight="1" thickBot="1" x14ac:dyDescent="0.25">
      <c r="B189" s="250"/>
      <c r="C189" s="1407"/>
      <c r="D189" s="1408"/>
      <c r="E189" s="1408"/>
      <c r="F189" s="1408"/>
      <c r="G189" s="1408"/>
      <c r="H189" s="1408"/>
      <c r="I189" s="1408"/>
      <c r="J189" s="1408"/>
      <c r="K189" s="1408"/>
      <c r="L189" s="1408"/>
      <c r="M189" s="1408"/>
      <c r="N189" s="1408"/>
      <c r="O189" s="1408"/>
      <c r="P189" s="1408"/>
      <c r="Q189" s="1409"/>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c r="AN189" s="250"/>
      <c r="AO189" s="250"/>
      <c r="AP189" s="250"/>
      <c r="AQ189" s="250"/>
      <c r="AR189" s="250"/>
      <c r="AS189" s="250"/>
      <c r="AT189" s="250"/>
      <c r="AU189" s="250"/>
      <c r="AV189" s="124"/>
    </row>
    <row r="190" spans="2:48" x14ac:dyDescent="0.2">
      <c r="B190" s="250"/>
      <c r="C190" s="149"/>
      <c r="D190" s="165"/>
      <c r="E190" s="165"/>
      <c r="F190" s="165"/>
      <c r="G190" s="165"/>
      <c r="H190" s="165"/>
      <c r="I190" s="165"/>
      <c r="J190" s="165"/>
      <c r="K190" s="165"/>
      <c r="L190" s="165"/>
      <c r="M190" s="165"/>
      <c r="N190" s="165"/>
      <c r="O190" s="165"/>
      <c r="P190" s="165"/>
      <c r="Q190" s="151"/>
      <c r="R190" s="250"/>
      <c r="S190" s="250"/>
      <c r="T190" s="250"/>
      <c r="U190" s="250"/>
      <c r="V190" s="250"/>
      <c r="W190" s="250"/>
      <c r="X190" s="250"/>
      <c r="Y190" s="250"/>
      <c r="Z190" s="250"/>
      <c r="AA190" s="250"/>
      <c r="AB190" s="250"/>
      <c r="AC190" s="250"/>
      <c r="AD190" s="250"/>
      <c r="AE190" s="250"/>
      <c r="AF190" s="250"/>
      <c r="AG190" s="250"/>
      <c r="AH190" s="250"/>
      <c r="AI190" s="250"/>
      <c r="AJ190" s="250"/>
      <c r="AK190" s="250"/>
      <c r="AL190" s="250"/>
      <c r="AM190" s="250"/>
      <c r="AN190" s="250"/>
      <c r="AO190" s="250"/>
      <c r="AP190" s="250"/>
      <c r="AQ190" s="250"/>
      <c r="AR190" s="250"/>
      <c r="AS190" s="250"/>
      <c r="AT190" s="250"/>
      <c r="AU190" s="250"/>
      <c r="AV190" s="124"/>
    </row>
    <row r="191" spans="2:48" ht="18" x14ac:dyDescent="0.25">
      <c r="B191" s="250"/>
      <c r="C191" s="149"/>
      <c r="D191" s="150"/>
      <c r="E191" s="1393" t="s">
        <v>107</v>
      </c>
      <c r="F191" s="1393"/>
      <c r="G191" s="1393"/>
      <c r="H191" s="1393"/>
      <c r="I191" s="1393"/>
      <c r="J191" s="1393"/>
      <c r="K191" s="1393"/>
      <c r="L191" s="1393"/>
      <c r="M191" s="1393"/>
      <c r="N191" s="150"/>
      <c r="O191" s="150"/>
      <c r="P191" s="150"/>
      <c r="Q191" s="151"/>
      <c r="R191" s="250"/>
      <c r="S191" s="250"/>
      <c r="T191" s="250"/>
      <c r="U191" s="250"/>
      <c r="V191" s="250"/>
      <c r="W191" s="250"/>
      <c r="X191" s="250"/>
      <c r="Y191" s="250"/>
      <c r="Z191" s="250"/>
      <c r="AA191" s="250"/>
      <c r="AB191" s="250"/>
      <c r="AC191" s="250"/>
      <c r="AD191" s="250"/>
      <c r="AE191" s="250"/>
      <c r="AF191" s="250"/>
      <c r="AG191" s="250"/>
      <c r="AH191" s="250"/>
      <c r="AI191" s="250"/>
      <c r="AJ191" s="250"/>
      <c r="AK191" s="250"/>
      <c r="AL191" s="250"/>
      <c r="AM191" s="250"/>
      <c r="AN191" s="250"/>
      <c r="AO191" s="250"/>
      <c r="AP191" s="250"/>
      <c r="AQ191" s="250"/>
      <c r="AR191" s="250"/>
      <c r="AS191" s="250"/>
      <c r="AT191" s="250"/>
      <c r="AU191" s="250"/>
      <c r="AV191" s="124"/>
    </row>
    <row r="192" spans="2:48" ht="5.0999999999999996" customHeight="1" x14ac:dyDescent="0.25">
      <c r="B192" s="250"/>
      <c r="C192" s="152"/>
      <c r="D192" s="154"/>
      <c r="E192" s="153"/>
      <c r="F192" s="153"/>
      <c r="G192" s="154"/>
      <c r="H192" s="154"/>
      <c r="I192" s="154"/>
      <c r="J192" s="154"/>
      <c r="K192" s="154"/>
      <c r="L192" s="154"/>
      <c r="M192" s="154"/>
      <c r="N192" s="154"/>
      <c r="O192" s="154"/>
      <c r="P192" s="154"/>
      <c r="Q192" s="155"/>
      <c r="R192" s="250"/>
      <c r="S192" s="250"/>
      <c r="T192" s="250"/>
      <c r="U192" s="250"/>
      <c r="V192" s="250"/>
      <c r="W192" s="250"/>
      <c r="X192" s="250"/>
      <c r="Y192" s="250"/>
      <c r="Z192" s="250"/>
      <c r="AA192" s="250"/>
      <c r="AB192" s="250"/>
      <c r="AC192" s="250"/>
      <c r="AD192" s="250"/>
      <c r="AE192" s="250"/>
      <c r="AF192" s="250"/>
      <c r="AG192" s="250"/>
      <c r="AH192" s="250"/>
      <c r="AI192" s="250"/>
      <c r="AJ192" s="250"/>
      <c r="AK192" s="250"/>
      <c r="AL192" s="250"/>
      <c r="AM192" s="250"/>
      <c r="AN192" s="250"/>
      <c r="AO192" s="250"/>
      <c r="AP192" s="250"/>
      <c r="AQ192" s="250"/>
      <c r="AR192" s="250"/>
      <c r="AS192" s="250"/>
      <c r="AT192" s="250"/>
      <c r="AU192" s="250"/>
      <c r="AV192" s="124"/>
    </row>
    <row r="193" spans="2:48" ht="15" x14ac:dyDescent="0.2">
      <c r="B193" s="250"/>
      <c r="C193" s="152"/>
      <c r="D193" s="154"/>
      <c r="E193" s="1419" t="s">
        <v>1629</v>
      </c>
      <c r="F193" s="1419"/>
      <c r="G193" s="1419"/>
      <c r="H193" s="1419"/>
      <c r="I193" s="1419"/>
      <c r="J193" s="1419"/>
      <c r="K193" s="1419"/>
      <c r="L193" s="1419"/>
      <c r="M193" s="1419"/>
      <c r="N193" s="1419"/>
      <c r="O193" s="154"/>
      <c r="P193" s="154"/>
      <c r="Q193" s="155"/>
      <c r="R193" s="250"/>
      <c r="S193" s="250"/>
      <c r="T193" s="250"/>
      <c r="U193" s="250"/>
      <c r="V193" s="250"/>
      <c r="W193" s="250"/>
      <c r="X193" s="250"/>
      <c r="Y193" s="250"/>
      <c r="Z193" s="250"/>
      <c r="AA193" s="250"/>
      <c r="AB193" s="250"/>
      <c r="AC193" s="250"/>
      <c r="AD193" s="250"/>
      <c r="AE193" s="250"/>
      <c r="AF193" s="250"/>
      <c r="AG193" s="250"/>
      <c r="AH193" s="250"/>
      <c r="AI193" s="250"/>
      <c r="AJ193" s="250"/>
      <c r="AK193" s="250"/>
      <c r="AL193" s="250"/>
      <c r="AM193" s="250"/>
      <c r="AN193" s="250"/>
      <c r="AO193" s="250"/>
      <c r="AP193" s="250"/>
      <c r="AQ193" s="250"/>
      <c r="AR193" s="250"/>
      <c r="AS193" s="250"/>
      <c r="AT193" s="250"/>
      <c r="AU193" s="250"/>
      <c r="AV193" s="124"/>
    </row>
    <row r="194" spans="2:48" ht="15" x14ac:dyDescent="0.2">
      <c r="B194" s="250"/>
      <c r="C194" s="152"/>
      <c r="D194" s="154"/>
      <c r="E194" s="1419" t="s">
        <v>197</v>
      </c>
      <c r="F194" s="1419"/>
      <c r="G194" s="1419"/>
      <c r="H194" s="1419"/>
      <c r="I194" s="1419"/>
      <c r="J194" s="1419"/>
      <c r="K194" s="1419"/>
      <c r="L194" s="1419"/>
      <c r="M194" s="1419"/>
      <c r="N194" s="1419"/>
      <c r="O194" s="154"/>
      <c r="P194" s="154"/>
      <c r="Q194" s="155"/>
      <c r="R194" s="250"/>
      <c r="S194" s="250"/>
      <c r="T194" s="250"/>
      <c r="U194" s="250"/>
      <c r="V194" s="250"/>
      <c r="W194" s="250"/>
      <c r="X194" s="250"/>
      <c r="Y194" s="250"/>
      <c r="Z194" s="250"/>
      <c r="AA194" s="250"/>
      <c r="AB194" s="250"/>
      <c r="AC194" s="250"/>
      <c r="AD194" s="250"/>
      <c r="AE194" s="250"/>
      <c r="AF194" s="250"/>
      <c r="AG194" s="250"/>
      <c r="AH194" s="250"/>
      <c r="AI194" s="250"/>
      <c r="AJ194" s="250"/>
      <c r="AK194" s="250"/>
      <c r="AL194" s="250"/>
      <c r="AM194" s="250"/>
      <c r="AN194" s="250"/>
      <c r="AO194" s="250"/>
      <c r="AP194" s="250"/>
      <c r="AQ194" s="250"/>
      <c r="AR194" s="250"/>
      <c r="AS194" s="250"/>
      <c r="AT194" s="250"/>
      <c r="AU194" s="250"/>
      <c r="AV194" s="124"/>
    </row>
    <row r="195" spans="2:48" ht="18" x14ac:dyDescent="0.25">
      <c r="B195" s="250"/>
      <c r="C195" s="152"/>
      <c r="D195" s="154"/>
      <c r="E195" s="153"/>
      <c r="F195" s="156"/>
      <c r="G195" s="154"/>
      <c r="H195" s="154"/>
      <c r="I195" s="154"/>
      <c r="J195" s="154"/>
      <c r="K195" s="154"/>
      <c r="L195" s="154"/>
      <c r="M195" s="154"/>
      <c r="N195" s="154"/>
      <c r="O195" s="154"/>
      <c r="P195" s="154"/>
      <c r="Q195" s="155"/>
      <c r="R195" s="250"/>
      <c r="S195" s="250"/>
      <c r="T195" s="250"/>
      <c r="U195" s="250"/>
      <c r="V195" s="250"/>
      <c r="W195" s="250"/>
      <c r="X195" s="250"/>
      <c r="Y195" s="250"/>
      <c r="Z195" s="250"/>
      <c r="AA195" s="250"/>
      <c r="AB195" s="250"/>
      <c r="AC195" s="250"/>
      <c r="AD195" s="250"/>
      <c r="AE195" s="250"/>
      <c r="AF195" s="250"/>
      <c r="AG195" s="250"/>
      <c r="AH195" s="250"/>
      <c r="AI195" s="250"/>
      <c r="AJ195" s="250"/>
      <c r="AK195" s="250"/>
      <c r="AL195" s="250"/>
      <c r="AM195" s="250"/>
      <c r="AN195" s="250"/>
      <c r="AO195" s="250"/>
      <c r="AP195" s="250"/>
      <c r="AQ195" s="250"/>
      <c r="AR195" s="250"/>
      <c r="AS195" s="250"/>
      <c r="AT195" s="250"/>
      <c r="AU195" s="250"/>
      <c r="AV195" s="124"/>
    </row>
    <row r="196" spans="2:48" ht="18" x14ac:dyDescent="0.25">
      <c r="B196" s="250"/>
      <c r="C196" s="152"/>
      <c r="D196" s="154"/>
      <c r="E196" s="1393" t="s">
        <v>743</v>
      </c>
      <c r="F196" s="1393"/>
      <c r="G196" s="1393"/>
      <c r="H196" s="1393"/>
      <c r="I196" s="1393"/>
      <c r="J196" s="1393"/>
      <c r="K196" s="1393"/>
      <c r="L196" s="1393"/>
      <c r="M196" s="1393"/>
      <c r="N196" s="154"/>
      <c r="O196" s="154"/>
      <c r="P196" s="154"/>
      <c r="Q196" s="155"/>
      <c r="R196" s="250"/>
      <c r="S196" s="250"/>
      <c r="T196" s="250"/>
      <c r="U196" s="250"/>
      <c r="V196" s="250"/>
      <c r="W196" s="250"/>
      <c r="X196" s="250"/>
      <c r="Y196" s="250"/>
      <c r="Z196" s="250"/>
      <c r="AA196" s="250"/>
      <c r="AB196" s="250"/>
      <c r="AC196" s="250"/>
      <c r="AD196" s="250"/>
      <c r="AE196" s="250"/>
      <c r="AF196" s="250"/>
      <c r="AG196" s="250"/>
      <c r="AH196" s="250"/>
      <c r="AI196" s="250"/>
      <c r="AJ196" s="250"/>
      <c r="AK196" s="250"/>
      <c r="AL196" s="250"/>
      <c r="AM196" s="250"/>
      <c r="AN196" s="250"/>
      <c r="AO196" s="250"/>
      <c r="AP196" s="250"/>
      <c r="AQ196" s="250"/>
      <c r="AR196" s="250"/>
      <c r="AS196" s="250"/>
      <c r="AT196" s="250"/>
      <c r="AU196" s="250"/>
      <c r="AV196" s="124"/>
    </row>
    <row r="197" spans="2:48" ht="15" x14ac:dyDescent="0.2">
      <c r="B197" s="250"/>
      <c r="C197" s="152"/>
      <c r="D197" s="154"/>
      <c r="E197" s="1394" t="s">
        <v>524</v>
      </c>
      <c r="F197" s="1394"/>
      <c r="G197" s="1394"/>
      <c r="H197" s="1394"/>
      <c r="I197" s="1394"/>
      <c r="J197" s="1394"/>
      <c r="K197" s="1394"/>
      <c r="L197" s="1394"/>
      <c r="M197" s="1394"/>
      <c r="N197" s="154"/>
      <c r="O197" s="154"/>
      <c r="P197" s="154"/>
      <c r="Q197" s="155"/>
      <c r="R197" s="250"/>
      <c r="S197" s="250"/>
      <c r="T197" s="250"/>
      <c r="U197" s="250"/>
      <c r="V197" s="250"/>
      <c r="W197" s="250"/>
      <c r="X197" s="250"/>
      <c r="Y197" s="250"/>
      <c r="Z197" s="250"/>
      <c r="AA197" s="250"/>
      <c r="AB197" s="250"/>
      <c r="AC197" s="250"/>
      <c r="AD197" s="250"/>
      <c r="AE197" s="250"/>
      <c r="AF197" s="250"/>
      <c r="AG197" s="250"/>
      <c r="AH197" s="250"/>
      <c r="AI197" s="250"/>
      <c r="AJ197" s="250"/>
      <c r="AK197" s="250"/>
      <c r="AL197" s="250"/>
      <c r="AM197" s="250"/>
      <c r="AN197" s="250"/>
      <c r="AO197" s="250"/>
      <c r="AP197" s="250"/>
      <c r="AQ197" s="250"/>
      <c r="AR197" s="250"/>
      <c r="AS197" s="250"/>
      <c r="AT197" s="250"/>
      <c r="AU197" s="250"/>
      <c r="AV197" s="124"/>
    </row>
    <row r="198" spans="2:48" ht="14.25" x14ac:dyDescent="0.2">
      <c r="B198" s="250"/>
      <c r="C198" s="152"/>
      <c r="D198" s="154"/>
      <c r="E198" s="895"/>
      <c r="F198" s="895"/>
      <c r="G198" s="154"/>
      <c r="H198" s="154"/>
      <c r="I198" s="154"/>
      <c r="J198" s="154"/>
      <c r="K198" s="154"/>
      <c r="L198" s="154"/>
      <c r="M198" s="154"/>
      <c r="N198" s="154"/>
      <c r="O198" s="154"/>
      <c r="P198" s="154"/>
      <c r="Q198" s="155"/>
      <c r="R198" s="250"/>
      <c r="S198" s="250"/>
      <c r="T198" s="250"/>
      <c r="U198" s="250"/>
      <c r="V198" s="250"/>
      <c r="W198" s="250"/>
      <c r="X198" s="250"/>
      <c r="Y198" s="250"/>
      <c r="Z198" s="250"/>
      <c r="AA198" s="250"/>
      <c r="AB198" s="250"/>
      <c r="AC198" s="250"/>
      <c r="AD198" s="250"/>
      <c r="AE198" s="250"/>
      <c r="AF198" s="250"/>
      <c r="AG198" s="250"/>
      <c r="AH198" s="250"/>
      <c r="AI198" s="250"/>
      <c r="AJ198" s="250"/>
      <c r="AK198" s="250"/>
      <c r="AL198" s="250"/>
      <c r="AM198" s="250"/>
      <c r="AN198" s="250"/>
      <c r="AO198" s="250"/>
      <c r="AP198" s="250"/>
      <c r="AQ198" s="250"/>
      <c r="AR198" s="250"/>
      <c r="AS198" s="250"/>
      <c r="AT198" s="250"/>
      <c r="AU198" s="250"/>
      <c r="AV198" s="124"/>
    </row>
    <row r="199" spans="2:48" ht="15" x14ac:dyDescent="0.2">
      <c r="B199" s="250"/>
      <c r="C199" s="152"/>
      <c r="D199" s="154"/>
      <c r="E199" s="1392" t="s">
        <v>108</v>
      </c>
      <c r="F199" s="1392"/>
      <c r="G199" s="1392"/>
      <c r="H199" s="1392"/>
      <c r="I199" s="1392"/>
      <c r="J199" s="1392"/>
      <c r="K199" s="1392"/>
      <c r="L199" s="1392"/>
      <c r="M199" s="1392"/>
      <c r="N199" s="154"/>
      <c r="O199" s="154"/>
      <c r="P199" s="154"/>
      <c r="Q199" s="155"/>
      <c r="R199" s="250"/>
      <c r="S199" s="250"/>
      <c r="T199" s="250"/>
      <c r="U199" s="250"/>
      <c r="V199" s="250"/>
      <c r="W199" s="250"/>
      <c r="X199" s="250"/>
      <c r="Y199" s="250"/>
      <c r="Z199" s="250"/>
      <c r="AA199" s="250"/>
      <c r="AB199" s="250"/>
      <c r="AC199" s="250"/>
      <c r="AD199" s="250"/>
      <c r="AE199" s="250"/>
      <c r="AF199" s="250"/>
      <c r="AG199" s="250"/>
      <c r="AH199" s="250"/>
      <c r="AI199" s="250"/>
      <c r="AJ199" s="250"/>
      <c r="AK199" s="250"/>
      <c r="AL199" s="250"/>
      <c r="AM199" s="250"/>
      <c r="AN199" s="250"/>
      <c r="AO199" s="250"/>
      <c r="AP199" s="250"/>
      <c r="AQ199" s="250"/>
      <c r="AR199" s="250"/>
      <c r="AS199" s="250"/>
      <c r="AT199" s="250"/>
      <c r="AU199" s="250"/>
      <c r="AV199" s="124"/>
    </row>
    <row r="200" spans="2:48" ht="15" x14ac:dyDescent="0.2">
      <c r="B200" s="250"/>
      <c r="C200" s="152"/>
      <c r="D200" s="154"/>
      <c r="E200" s="1394" t="s">
        <v>109</v>
      </c>
      <c r="F200" s="1394"/>
      <c r="G200" s="1394"/>
      <c r="H200" s="1394"/>
      <c r="I200" s="1394"/>
      <c r="J200" s="1394"/>
      <c r="K200" s="1394"/>
      <c r="L200" s="1394"/>
      <c r="M200" s="1394"/>
      <c r="N200" s="154"/>
      <c r="O200" s="154"/>
      <c r="P200" s="154"/>
      <c r="Q200" s="155"/>
      <c r="R200" s="250"/>
      <c r="S200" s="250"/>
      <c r="T200" s="250"/>
      <c r="U200" s="250"/>
      <c r="V200" s="250"/>
      <c r="W200" s="250"/>
      <c r="X200" s="250"/>
      <c r="Y200" s="250"/>
      <c r="Z200" s="250"/>
      <c r="AA200" s="250"/>
      <c r="AB200" s="250"/>
      <c r="AC200" s="250"/>
      <c r="AD200" s="250"/>
      <c r="AE200" s="250"/>
      <c r="AF200" s="250"/>
      <c r="AG200" s="250"/>
      <c r="AH200" s="250"/>
      <c r="AI200" s="250"/>
      <c r="AJ200" s="250"/>
      <c r="AK200" s="250"/>
      <c r="AL200" s="250"/>
      <c r="AM200" s="250"/>
      <c r="AN200" s="250"/>
      <c r="AO200" s="250"/>
      <c r="AP200" s="250"/>
      <c r="AQ200" s="250"/>
      <c r="AR200" s="250"/>
      <c r="AS200" s="250"/>
      <c r="AT200" s="250"/>
      <c r="AU200" s="250"/>
      <c r="AV200" s="124"/>
    </row>
    <row r="201" spans="2:48" ht="15" x14ac:dyDescent="0.2">
      <c r="B201" s="250"/>
      <c r="C201" s="152"/>
      <c r="D201" s="154"/>
      <c r="E201" s="1394" t="s">
        <v>110</v>
      </c>
      <c r="F201" s="1394"/>
      <c r="G201" s="1394"/>
      <c r="H201" s="1394"/>
      <c r="I201" s="1394"/>
      <c r="J201" s="1394"/>
      <c r="K201" s="1394"/>
      <c r="L201" s="1394"/>
      <c r="M201" s="1394"/>
      <c r="N201" s="154"/>
      <c r="O201" s="154"/>
      <c r="P201" s="154"/>
      <c r="Q201" s="155"/>
      <c r="R201" s="250"/>
      <c r="S201" s="250"/>
      <c r="T201" s="250"/>
      <c r="U201" s="250"/>
      <c r="V201" s="250"/>
      <c r="W201" s="250"/>
      <c r="X201" s="250"/>
      <c r="Y201" s="250"/>
      <c r="Z201" s="250"/>
      <c r="AA201" s="250"/>
      <c r="AB201" s="250"/>
      <c r="AC201" s="250"/>
      <c r="AD201" s="250"/>
      <c r="AE201" s="250"/>
      <c r="AF201" s="250"/>
      <c r="AG201" s="250"/>
      <c r="AH201" s="250"/>
      <c r="AI201" s="250"/>
      <c r="AJ201" s="250"/>
      <c r="AK201" s="250"/>
      <c r="AL201" s="250"/>
      <c r="AM201" s="250"/>
      <c r="AN201" s="250"/>
      <c r="AO201" s="250"/>
      <c r="AP201" s="250"/>
      <c r="AQ201" s="250"/>
      <c r="AR201" s="250"/>
      <c r="AS201" s="250"/>
      <c r="AT201" s="250"/>
      <c r="AU201" s="250"/>
      <c r="AV201" s="124"/>
    </row>
    <row r="202" spans="2:48" ht="3.75" customHeight="1" x14ac:dyDescent="0.25">
      <c r="B202" s="250"/>
      <c r="C202" s="152"/>
      <c r="D202" s="154"/>
      <c r="E202" s="153"/>
      <c r="F202" s="156"/>
      <c r="G202" s="154"/>
      <c r="H202" s="154"/>
      <c r="I202" s="154"/>
      <c r="J202" s="154"/>
      <c r="K202" s="154"/>
      <c r="L202" s="154"/>
      <c r="M202" s="154"/>
      <c r="N202" s="154"/>
      <c r="O202" s="154"/>
      <c r="P202" s="154"/>
      <c r="Q202" s="155"/>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250"/>
      <c r="AP202" s="250"/>
      <c r="AQ202" s="250"/>
      <c r="AR202" s="250"/>
      <c r="AS202" s="250"/>
      <c r="AT202" s="250"/>
      <c r="AU202" s="250"/>
      <c r="AV202" s="124"/>
    </row>
    <row r="203" spans="2:48" ht="18" x14ac:dyDescent="0.25">
      <c r="B203" s="250"/>
      <c r="C203" s="152"/>
      <c r="D203" s="154"/>
      <c r="E203" s="153"/>
      <c r="F203" s="163"/>
      <c r="G203" s="154"/>
      <c r="H203" s="154"/>
      <c r="I203" s="154"/>
      <c r="J203" s="154"/>
      <c r="K203" s="154"/>
      <c r="L203" s="154"/>
      <c r="M203" s="154"/>
      <c r="N203" s="154"/>
      <c r="O203" s="154"/>
      <c r="P203" s="154"/>
      <c r="Q203" s="155"/>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0"/>
      <c r="AN203" s="250"/>
      <c r="AO203" s="250"/>
      <c r="AP203" s="250"/>
      <c r="AQ203" s="250"/>
      <c r="AR203" s="250"/>
      <c r="AS203" s="250"/>
      <c r="AT203" s="250"/>
      <c r="AU203" s="250"/>
      <c r="AV203" s="124"/>
    </row>
    <row r="204" spans="2:48" ht="3.75" customHeight="1" x14ac:dyDescent="0.2">
      <c r="B204" s="250"/>
      <c r="C204" s="152"/>
      <c r="D204" s="164"/>
      <c r="E204" s="164"/>
      <c r="F204" s="164"/>
      <c r="G204" s="164"/>
      <c r="H204" s="164"/>
      <c r="I204" s="164"/>
      <c r="J204" s="164"/>
      <c r="K204" s="164"/>
      <c r="L204" s="164"/>
      <c r="M204" s="164"/>
      <c r="N204" s="164"/>
      <c r="O204" s="164"/>
      <c r="P204" s="164"/>
      <c r="Q204" s="155"/>
      <c r="R204" s="250"/>
      <c r="S204" s="250"/>
      <c r="T204" s="250"/>
      <c r="U204" s="250"/>
      <c r="V204" s="250"/>
      <c r="W204" s="250"/>
      <c r="X204" s="250"/>
      <c r="Y204" s="250"/>
      <c r="Z204" s="250"/>
      <c r="AA204" s="250"/>
      <c r="AB204" s="250"/>
      <c r="AC204" s="250"/>
      <c r="AD204" s="250"/>
      <c r="AE204" s="250"/>
      <c r="AF204" s="250"/>
      <c r="AG204" s="250"/>
      <c r="AH204" s="250"/>
      <c r="AI204" s="250"/>
      <c r="AJ204" s="250"/>
      <c r="AK204" s="250"/>
      <c r="AL204" s="250"/>
      <c r="AM204" s="250"/>
      <c r="AN204" s="250"/>
      <c r="AO204" s="250"/>
      <c r="AP204" s="250"/>
      <c r="AQ204" s="250"/>
      <c r="AR204" s="250"/>
      <c r="AS204" s="250"/>
      <c r="AT204" s="250"/>
      <c r="AU204" s="250"/>
      <c r="AV204" s="124"/>
    </row>
    <row r="205" spans="2:48" ht="13.5" thickBot="1" x14ac:dyDescent="0.25">
      <c r="B205" s="250"/>
      <c r="C205" s="152"/>
      <c r="D205" s="166"/>
      <c r="E205" s="166"/>
      <c r="F205" s="166"/>
      <c r="G205" s="166"/>
      <c r="H205" s="166"/>
      <c r="I205" s="166"/>
      <c r="J205" s="166"/>
      <c r="K205" s="166"/>
      <c r="L205" s="166"/>
      <c r="M205" s="166"/>
      <c r="N205" s="166"/>
      <c r="O205" s="166"/>
      <c r="P205" s="166"/>
      <c r="Q205" s="155"/>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0"/>
      <c r="AN205" s="250"/>
      <c r="AO205" s="250"/>
      <c r="AP205" s="250"/>
      <c r="AQ205" s="250"/>
      <c r="AR205" s="250"/>
      <c r="AS205" s="250"/>
      <c r="AT205" s="250"/>
      <c r="AU205" s="250"/>
      <c r="AV205" s="124"/>
    </row>
    <row r="206" spans="2:48" ht="12.75" customHeight="1" x14ac:dyDescent="0.2">
      <c r="B206" s="250"/>
      <c r="C206" s="1404" t="s">
        <v>1120</v>
      </c>
      <c r="D206" s="1405"/>
      <c r="E206" s="1405"/>
      <c r="F206" s="1405"/>
      <c r="G206" s="1405"/>
      <c r="H206" s="1405"/>
      <c r="I206" s="1405"/>
      <c r="J206" s="1405"/>
      <c r="K206" s="1405"/>
      <c r="L206" s="1405"/>
      <c r="M206" s="1405"/>
      <c r="N206" s="1405"/>
      <c r="O206" s="1405"/>
      <c r="P206" s="1405"/>
      <c r="Q206" s="1406"/>
      <c r="R206" s="250"/>
      <c r="S206" s="250"/>
      <c r="T206" s="250"/>
      <c r="U206" s="250"/>
      <c r="V206" s="250"/>
      <c r="W206" s="250"/>
      <c r="X206" s="250"/>
      <c r="Y206" s="250"/>
      <c r="Z206" s="250"/>
      <c r="AA206" s="250"/>
      <c r="AB206" s="250"/>
      <c r="AC206" s="250"/>
      <c r="AD206" s="250"/>
      <c r="AE206" s="250"/>
      <c r="AF206" s="250"/>
      <c r="AG206" s="250"/>
      <c r="AH206" s="250"/>
      <c r="AI206" s="250"/>
      <c r="AJ206" s="250"/>
      <c r="AK206" s="250"/>
      <c r="AL206" s="250"/>
      <c r="AM206" s="250"/>
      <c r="AN206" s="250"/>
      <c r="AO206" s="250"/>
      <c r="AP206" s="250"/>
      <c r="AQ206" s="250"/>
      <c r="AR206" s="250"/>
      <c r="AS206" s="250"/>
      <c r="AT206" s="250"/>
      <c r="AU206" s="250"/>
      <c r="AV206" s="124"/>
    </row>
    <row r="207" spans="2:48" ht="12.75" customHeight="1" thickBot="1" x14ac:dyDescent="0.25">
      <c r="B207" s="250"/>
      <c r="C207" s="1407"/>
      <c r="D207" s="1408"/>
      <c r="E207" s="1408"/>
      <c r="F207" s="1408"/>
      <c r="G207" s="1408"/>
      <c r="H207" s="1408"/>
      <c r="I207" s="1408"/>
      <c r="J207" s="1408"/>
      <c r="K207" s="1408"/>
      <c r="L207" s="1408"/>
      <c r="M207" s="1408"/>
      <c r="N207" s="1408"/>
      <c r="O207" s="1408"/>
      <c r="P207" s="1408"/>
      <c r="Q207" s="1409"/>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124"/>
    </row>
    <row r="208" spans="2:48" x14ac:dyDescent="0.2">
      <c r="B208" s="250"/>
      <c r="C208" s="149"/>
      <c r="D208" s="165"/>
      <c r="E208" s="165"/>
      <c r="F208" s="165"/>
      <c r="G208" s="165"/>
      <c r="H208" s="165"/>
      <c r="I208" s="165"/>
      <c r="J208" s="165"/>
      <c r="K208" s="165"/>
      <c r="L208" s="165"/>
      <c r="M208" s="165"/>
      <c r="N208" s="165"/>
      <c r="O208" s="165"/>
      <c r="P208" s="165"/>
      <c r="Q208" s="151"/>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124"/>
    </row>
    <row r="209" spans="2:48" ht="18" x14ac:dyDescent="0.25">
      <c r="B209" s="250"/>
      <c r="C209" s="149"/>
      <c r="D209" s="150"/>
      <c r="E209" s="1393"/>
      <c r="F209" s="1393"/>
      <c r="G209" s="1393"/>
      <c r="H209" s="1393"/>
      <c r="I209" s="1393"/>
      <c r="J209" s="1393"/>
      <c r="K209" s="1393"/>
      <c r="L209" s="1393"/>
      <c r="M209" s="1393"/>
      <c r="N209" s="150"/>
      <c r="O209" s="150"/>
      <c r="P209" s="150"/>
      <c r="Q209" s="151"/>
      <c r="R209" s="250"/>
      <c r="S209" s="250"/>
      <c r="T209" s="250"/>
      <c r="U209" s="250"/>
      <c r="V209" s="250"/>
      <c r="W209" s="250"/>
      <c r="X209" s="250"/>
      <c r="Y209" s="250"/>
      <c r="Z209" s="250"/>
      <c r="AA209" s="250"/>
      <c r="AB209" s="250"/>
      <c r="AC209" s="250"/>
      <c r="AD209" s="250"/>
      <c r="AE209" s="250"/>
      <c r="AF209" s="250"/>
      <c r="AG209" s="250"/>
      <c r="AH209" s="250"/>
      <c r="AI209" s="250"/>
      <c r="AJ209" s="250"/>
      <c r="AK209" s="250"/>
      <c r="AL209" s="250"/>
      <c r="AM209" s="250"/>
      <c r="AN209" s="250"/>
      <c r="AO209" s="250"/>
      <c r="AP209" s="250"/>
      <c r="AQ209" s="250"/>
      <c r="AR209" s="250"/>
      <c r="AS209" s="250"/>
      <c r="AT209" s="250"/>
      <c r="AU209" s="250"/>
      <c r="AV209" s="124"/>
    </row>
    <row r="210" spans="2:48" ht="18" x14ac:dyDescent="0.25">
      <c r="B210" s="250"/>
      <c r="C210" s="152"/>
      <c r="D210" s="154"/>
      <c r="E210" s="153"/>
      <c r="F210" s="153"/>
      <c r="G210" s="154"/>
      <c r="H210" s="154"/>
      <c r="I210" s="154"/>
      <c r="J210" s="154"/>
      <c r="K210" s="154"/>
      <c r="L210" s="154"/>
      <c r="M210" s="154"/>
      <c r="N210" s="154"/>
      <c r="O210" s="154"/>
      <c r="P210" s="154"/>
      <c r="Q210" s="155"/>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124"/>
    </row>
    <row r="211" spans="2:48" ht="14.25" x14ac:dyDescent="0.2">
      <c r="B211" s="250"/>
      <c r="C211" s="152"/>
      <c r="D211" s="154"/>
      <c r="E211" s="163"/>
      <c r="F211" s="163"/>
      <c r="G211" s="154"/>
      <c r="H211" s="154"/>
      <c r="I211" s="154"/>
      <c r="J211" s="154"/>
      <c r="K211" s="154"/>
      <c r="L211" s="154"/>
      <c r="M211" s="154"/>
      <c r="N211" s="154"/>
      <c r="O211" s="154"/>
      <c r="P211" s="154"/>
      <c r="Q211" s="155"/>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124"/>
    </row>
    <row r="212" spans="2:48" ht="14.25" x14ac:dyDescent="0.2">
      <c r="B212" s="250"/>
      <c r="C212" s="152"/>
      <c r="D212" s="154"/>
      <c r="E212" s="163"/>
      <c r="F212" s="163"/>
      <c r="G212" s="154"/>
      <c r="H212" s="154"/>
      <c r="I212" s="154"/>
      <c r="J212" s="154"/>
      <c r="K212" s="154"/>
      <c r="L212" s="154"/>
      <c r="M212" s="154"/>
      <c r="N212" s="154"/>
      <c r="O212" s="154"/>
      <c r="P212" s="154"/>
      <c r="Q212" s="155"/>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124"/>
    </row>
    <row r="213" spans="2:48" ht="14.25" x14ac:dyDescent="0.2">
      <c r="B213" s="250"/>
      <c r="C213" s="152"/>
      <c r="D213" s="154"/>
      <c r="E213" s="163"/>
      <c r="F213" s="163"/>
      <c r="G213" s="154"/>
      <c r="H213" s="154"/>
      <c r="I213" s="154"/>
      <c r="J213" s="154"/>
      <c r="K213" s="154"/>
      <c r="L213" s="154"/>
      <c r="M213" s="154"/>
      <c r="N213" s="154"/>
      <c r="O213" s="154"/>
      <c r="P213" s="154"/>
      <c r="Q213" s="155"/>
      <c r="R213" s="250"/>
      <c r="S213" s="250"/>
      <c r="T213" s="250"/>
      <c r="U213" s="250"/>
      <c r="V213" s="250"/>
      <c r="W213" s="250"/>
      <c r="X213" s="250"/>
      <c r="Y213" s="250"/>
      <c r="Z213" s="250"/>
      <c r="AA213" s="250"/>
      <c r="AB213" s="250"/>
      <c r="AC213" s="250"/>
      <c r="AD213" s="250"/>
      <c r="AE213" s="250"/>
      <c r="AF213" s="250"/>
      <c r="AG213" s="250"/>
      <c r="AH213" s="250"/>
      <c r="AI213" s="250"/>
      <c r="AJ213" s="250"/>
      <c r="AK213" s="250"/>
      <c r="AL213" s="250"/>
      <c r="AM213" s="250"/>
      <c r="AN213" s="250"/>
      <c r="AO213" s="250"/>
      <c r="AP213" s="250"/>
      <c r="AQ213" s="250"/>
      <c r="AR213" s="250"/>
      <c r="AS213" s="250"/>
      <c r="AT213" s="250"/>
      <c r="AU213" s="250"/>
      <c r="AV213" s="124"/>
    </row>
    <row r="214" spans="2:48" ht="18" x14ac:dyDescent="0.25">
      <c r="B214" s="250"/>
      <c r="C214" s="152"/>
      <c r="D214" s="154"/>
      <c r="E214" s="153"/>
      <c r="F214" s="156"/>
      <c r="G214" s="154"/>
      <c r="H214" s="154"/>
      <c r="I214" s="154"/>
      <c r="J214" s="154"/>
      <c r="K214" s="154"/>
      <c r="L214" s="154"/>
      <c r="M214" s="154"/>
      <c r="N214" s="154"/>
      <c r="O214" s="154"/>
      <c r="P214" s="154"/>
      <c r="Q214" s="155"/>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124"/>
    </row>
    <row r="215" spans="2:48" ht="18" x14ac:dyDescent="0.25">
      <c r="B215" s="250"/>
      <c r="C215" s="152"/>
      <c r="D215" s="154"/>
      <c r="E215" s="1393"/>
      <c r="F215" s="1393"/>
      <c r="G215" s="1393"/>
      <c r="H215" s="1393"/>
      <c r="I215" s="1393"/>
      <c r="J215" s="1393"/>
      <c r="K215" s="1393"/>
      <c r="L215" s="1393"/>
      <c r="M215" s="1393"/>
      <c r="N215" s="154"/>
      <c r="O215" s="154"/>
      <c r="P215" s="154"/>
      <c r="Q215" s="155"/>
      <c r="R215" s="250"/>
      <c r="S215" s="250"/>
      <c r="T215" s="250"/>
      <c r="U215" s="250"/>
      <c r="V215" s="250"/>
      <c r="W215" s="250"/>
      <c r="X215" s="250"/>
      <c r="Y215" s="250"/>
      <c r="Z215" s="250"/>
      <c r="AA215" s="250"/>
      <c r="AB215" s="250"/>
      <c r="AC215" s="250"/>
      <c r="AD215" s="250"/>
      <c r="AE215" s="250"/>
      <c r="AF215" s="250"/>
      <c r="AG215" s="250"/>
      <c r="AH215" s="250"/>
      <c r="AI215" s="250"/>
      <c r="AJ215" s="250"/>
      <c r="AK215" s="250"/>
      <c r="AL215" s="250"/>
      <c r="AM215" s="250"/>
      <c r="AN215" s="250"/>
      <c r="AO215" s="250"/>
      <c r="AP215" s="250"/>
      <c r="AQ215" s="250"/>
      <c r="AR215" s="250"/>
      <c r="AS215" s="250"/>
      <c r="AT215" s="250"/>
      <c r="AU215" s="250"/>
      <c r="AV215" s="124"/>
    </row>
    <row r="216" spans="2:48" ht="18" x14ac:dyDescent="0.25">
      <c r="B216" s="250"/>
      <c r="C216" s="152"/>
      <c r="D216" s="154"/>
      <c r="E216" s="1401"/>
      <c r="F216" s="1401"/>
      <c r="G216" s="1401"/>
      <c r="H216" s="1401"/>
      <c r="I216" s="1401"/>
      <c r="J216" s="1401"/>
      <c r="K216" s="1401"/>
      <c r="L216" s="1401"/>
      <c r="M216" s="1401"/>
      <c r="N216" s="154"/>
      <c r="O216" s="154"/>
      <c r="P216" s="154"/>
      <c r="Q216" s="155"/>
      <c r="R216" s="250"/>
      <c r="S216" s="250"/>
      <c r="T216" s="250"/>
      <c r="U216" s="250"/>
      <c r="V216" s="250"/>
      <c r="W216" s="250"/>
      <c r="X216" s="250"/>
      <c r="Y216" s="250"/>
      <c r="Z216" s="250"/>
      <c r="AA216" s="250"/>
      <c r="AB216" s="250"/>
      <c r="AC216" s="250"/>
      <c r="AD216" s="250"/>
      <c r="AE216" s="250"/>
      <c r="AF216" s="250"/>
      <c r="AG216" s="250"/>
      <c r="AH216" s="250"/>
      <c r="AI216" s="250"/>
      <c r="AJ216" s="250"/>
      <c r="AK216" s="250"/>
      <c r="AL216" s="250"/>
      <c r="AM216" s="250"/>
      <c r="AN216" s="250"/>
      <c r="AO216" s="250"/>
      <c r="AP216" s="250"/>
      <c r="AQ216" s="250"/>
      <c r="AR216" s="250"/>
      <c r="AS216" s="250"/>
      <c r="AT216" s="250"/>
      <c r="AU216" s="250"/>
      <c r="AV216" s="124"/>
    </row>
    <row r="217" spans="2:48" ht="14.25" x14ac:dyDescent="0.2">
      <c r="B217" s="250"/>
      <c r="C217" s="152"/>
      <c r="D217" s="154"/>
      <c r="E217" s="895"/>
      <c r="F217" s="895"/>
      <c r="G217" s="154"/>
      <c r="H217" s="154"/>
      <c r="I217" s="154"/>
      <c r="J217" s="154"/>
      <c r="K217" s="154"/>
      <c r="L217" s="154"/>
      <c r="M217" s="154"/>
      <c r="N217" s="154"/>
      <c r="O217" s="154"/>
      <c r="P217" s="154"/>
      <c r="Q217" s="155"/>
      <c r="R217" s="250"/>
      <c r="S217" s="250"/>
      <c r="T217" s="250"/>
      <c r="U217" s="250"/>
      <c r="V217" s="250"/>
      <c r="W217" s="250"/>
      <c r="X217" s="250"/>
      <c r="Y217" s="250"/>
      <c r="Z217" s="250"/>
      <c r="AA217" s="250"/>
      <c r="AB217" s="250"/>
      <c r="AC217" s="250"/>
      <c r="AD217" s="250"/>
      <c r="AE217" s="250"/>
      <c r="AF217" s="250"/>
      <c r="AG217" s="250"/>
      <c r="AH217" s="250"/>
      <c r="AI217" s="250"/>
      <c r="AJ217" s="250"/>
      <c r="AK217" s="250"/>
      <c r="AL217" s="250"/>
      <c r="AM217" s="250"/>
      <c r="AN217" s="250"/>
      <c r="AO217" s="250"/>
      <c r="AP217" s="250"/>
      <c r="AQ217" s="250"/>
      <c r="AR217" s="250"/>
      <c r="AS217" s="250"/>
      <c r="AT217" s="250"/>
      <c r="AU217" s="250"/>
      <c r="AV217" s="124"/>
    </row>
    <row r="218" spans="2:48" ht="15" x14ac:dyDescent="0.2">
      <c r="B218" s="250"/>
      <c r="C218" s="152"/>
      <c r="D218" s="154"/>
      <c r="E218" s="1392"/>
      <c r="F218" s="1392"/>
      <c r="G218" s="1392"/>
      <c r="H218" s="1392"/>
      <c r="I218" s="1392"/>
      <c r="J218" s="1392"/>
      <c r="K218" s="1392"/>
      <c r="L218" s="1392"/>
      <c r="M218" s="1392"/>
      <c r="N218" s="154"/>
      <c r="O218" s="154"/>
      <c r="P218" s="154"/>
      <c r="Q218" s="155"/>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124"/>
    </row>
    <row r="219" spans="2:48" ht="15" x14ac:dyDescent="0.2">
      <c r="B219" s="250"/>
      <c r="C219" s="152"/>
      <c r="D219" s="154"/>
      <c r="E219" s="1394"/>
      <c r="F219" s="1394"/>
      <c r="G219" s="1394"/>
      <c r="H219" s="1394"/>
      <c r="I219" s="1394"/>
      <c r="J219" s="1394"/>
      <c r="K219" s="1394"/>
      <c r="L219" s="1394"/>
      <c r="M219" s="1394"/>
      <c r="N219" s="154"/>
      <c r="O219" s="154"/>
      <c r="P219" s="154"/>
      <c r="Q219" s="155"/>
      <c r="R219" s="250"/>
      <c r="S219" s="250"/>
      <c r="T219" s="250"/>
      <c r="U219" s="250"/>
      <c r="V219" s="250"/>
      <c r="W219" s="250"/>
      <c r="X219" s="250"/>
      <c r="Y219" s="250"/>
      <c r="Z219" s="250"/>
      <c r="AA219" s="250"/>
      <c r="AB219" s="250"/>
      <c r="AC219" s="250"/>
      <c r="AD219" s="250"/>
      <c r="AE219" s="250"/>
      <c r="AF219" s="250"/>
      <c r="AG219" s="250"/>
      <c r="AH219" s="250"/>
      <c r="AI219" s="250"/>
      <c r="AJ219" s="250"/>
      <c r="AK219" s="250"/>
      <c r="AL219" s="250"/>
      <c r="AM219" s="250"/>
      <c r="AN219" s="250"/>
      <c r="AO219" s="250"/>
      <c r="AP219" s="250"/>
      <c r="AQ219" s="250"/>
      <c r="AR219" s="250"/>
      <c r="AS219" s="250"/>
      <c r="AT219" s="250"/>
      <c r="AU219" s="250"/>
      <c r="AV219" s="124"/>
    </row>
    <row r="220" spans="2:48" ht="15" x14ac:dyDescent="0.2">
      <c r="B220" s="250"/>
      <c r="C220" s="152"/>
      <c r="D220" s="154"/>
      <c r="E220" s="894"/>
      <c r="F220" s="894"/>
      <c r="G220" s="894"/>
      <c r="H220" s="894"/>
      <c r="I220" s="894"/>
      <c r="J220" s="894"/>
      <c r="K220" s="894"/>
      <c r="L220" s="894"/>
      <c r="M220" s="894"/>
      <c r="N220" s="154"/>
      <c r="O220" s="154"/>
      <c r="P220" s="154"/>
      <c r="Q220" s="155"/>
      <c r="R220" s="250"/>
      <c r="S220" s="250"/>
      <c r="T220" s="250"/>
      <c r="U220" s="250"/>
      <c r="V220" s="250"/>
      <c r="W220" s="250"/>
      <c r="X220" s="250"/>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124"/>
    </row>
    <row r="221" spans="2:48" ht="15" x14ac:dyDescent="0.2">
      <c r="B221" s="250"/>
      <c r="C221" s="152"/>
      <c r="D221" s="154"/>
      <c r="E221" s="894"/>
      <c r="F221" s="894"/>
      <c r="G221" s="894"/>
      <c r="H221" s="894"/>
      <c r="I221" s="894"/>
      <c r="J221" s="894"/>
      <c r="K221" s="894"/>
      <c r="L221" s="894"/>
      <c r="M221" s="894"/>
      <c r="N221" s="154"/>
      <c r="O221" s="154"/>
      <c r="P221" s="154"/>
      <c r="Q221" s="155"/>
      <c r="R221" s="250"/>
      <c r="S221" s="250"/>
      <c r="T221" s="250"/>
      <c r="U221" s="250"/>
      <c r="V221" s="250"/>
      <c r="W221" s="250"/>
      <c r="X221" s="250"/>
      <c r="Y221" s="250"/>
      <c r="Z221" s="250"/>
      <c r="AA221" s="250"/>
      <c r="AB221" s="250"/>
      <c r="AC221" s="250"/>
      <c r="AD221" s="250"/>
      <c r="AE221" s="250"/>
      <c r="AF221" s="250"/>
      <c r="AG221" s="250"/>
      <c r="AH221" s="250"/>
      <c r="AI221" s="250"/>
      <c r="AJ221" s="250"/>
      <c r="AK221" s="250"/>
      <c r="AL221" s="250"/>
      <c r="AM221" s="250"/>
      <c r="AN221" s="250"/>
      <c r="AO221" s="250"/>
      <c r="AP221" s="250"/>
      <c r="AQ221" s="250"/>
      <c r="AR221" s="250"/>
      <c r="AS221" s="250"/>
      <c r="AT221" s="250"/>
      <c r="AU221" s="250"/>
      <c r="AV221" s="124"/>
    </row>
    <row r="222" spans="2:48" ht="18" x14ac:dyDescent="0.25">
      <c r="B222" s="250"/>
      <c r="C222" s="152"/>
      <c r="D222" s="154"/>
      <c r="E222" s="153"/>
      <c r="F222" s="156"/>
      <c r="G222" s="154"/>
      <c r="H222" s="154"/>
      <c r="I222" s="154"/>
      <c r="J222" s="154"/>
      <c r="K222" s="154"/>
      <c r="L222" s="154"/>
      <c r="M222" s="154"/>
      <c r="N222" s="154"/>
      <c r="O222" s="154"/>
      <c r="P222" s="154"/>
      <c r="Q222" s="155"/>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124"/>
    </row>
    <row r="223" spans="2:48" ht="6.75" customHeight="1" x14ac:dyDescent="0.25">
      <c r="B223" s="250"/>
      <c r="C223" s="152"/>
      <c r="D223" s="154"/>
      <c r="E223" s="153"/>
      <c r="F223" s="156"/>
      <c r="G223" s="154"/>
      <c r="H223" s="154"/>
      <c r="I223" s="154"/>
      <c r="J223" s="154"/>
      <c r="K223" s="154"/>
      <c r="L223" s="154"/>
      <c r="M223" s="154"/>
      <c r="N223" s="154"/>
      <c r="O223" s="154"/>
      <c r="P223" s="154"/>
      <c r="Q223" s="155"/>
      <c r="R223" s="250"/>
      <c r="S223" s="250"/>
      <c r="T223" s="250"/>
      <c r="U223" s="250"/>
      <c r="V223" s="250"/>
      <c r="W223" s="250"/>
      <c r="X223" s="250"/>
      <c r="Y223" s="250"/>
      <c r="Z223" s="250"/>
      <c r="AA223" s="250"/>
      <c r="AB223" s="250"/>
      <c r="AC223" s="250"/>
      <c r="AD223" s="250"/>
      <c r="AE223" s="250"/>
      <c r="AF223" s="250"/>
      <c r="AG223" s="250"/>
      <c r="AH223" s="250"/>
      <c r="AI223" s="250"/>
      <c r="AJ223" s="250"/>
      <c r="AK223" s="250"/>
      <c r="AL223" s="250"/>
      <c r="AM223" s="250"/>
      <c r="AN223" s="250"/>
      <c r="AO223" s="250"/>
      <c r="AP223" s="250"/>
      <c r="AQ223" s="250"/>
      <c r="AR223" s="250"/>
      <c r="AS223" s="250"/>
      <c r="AT223" s="250"/>
      <c r="AU223" s="250"/>
      <c r="AV223" s="124"/>
    </row>
    <row r="224" spans="2:48" x14ac:dyDescent="0.2">
      <c r="B224" s="250"/>
      <c r="C224" s="160"/>
      <c r="D224" s="161"/>
      <c r="E224" s="161"/>
      <c r="F224" s="161"/>
      <c r="G224" s="161"/>
      <c r="H224" s="161"/>
      <c r="I224" s="161"/>
      <c r="J224" s="161"/>
      <c r="K224" s="161"/>
      <c r="L224" s="161"/>
      <c r="M224" s="161"/>
      <c r="N224" s="161"/>
      <c r="O224" s="161"/>
      <c r="P224" s="161"/>
      <c r="Q224" s="162"/>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124"/>
    </row>
    <row r="225" spans="2:48" s="475" customFormat="1" x14ac:dyDescent="0.2">
      <c r="B225" s="250"/>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124"/>
    </row>
    <row r="226" spans="2:48" s="475" customFormat="1" x14ac:dyDescent="0.2">
      <c r="B226" s="250"/>
      <c r="C226" s="250"/>
      <c r="D226" s="250"/>
      <c r="E226" s="250"/>
      <c r="F226" s="250"/>
      <c r="G226" s="250"/>
      <c r="H226" s="250"/>
      <c r="I226" s="250"/>
      <c r="J226" s="250"/>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0"/>
      <c r="AN226" s="250"/>
      <c r="AO226" s="250"/>
      <c r="AP226" s="250"/>
      <c r="AQ226" s="250"/>
      <c r="AR226" s="250"/>
      <c r="AS226" s="250"/>
      <c r="AT226" s="250"/>
      <c r="AU226" s="250"/>
      <c r="AV226" s="124"/>
    </row>
    <row r="227" spans="2:48" s="475" customFormat="1" x14ac:dyDescent="0.2">
      <c r="B227" s="250"/>
      <c r="C227" s="250"/>
      <c r="D227" s="250"/>
      <c r="E227" s="250"/>
      <c r="F227" s="250"/>
      <c r="G227" s="250"/>
      <c r="H227" s="250"/>
      <c r="I227" s="250"/>
      <c r="J227" s="250"/>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0"/>
      <c r="AN227" s="250"/>
      <c r="AO227" s="250"/>
      <c r="AP227" s="250"/>
      <c r="AQ227" s="250"/>
      <c r="AR227" s="250"/>
      <c r="AS227" s="250"/>
      <c r="AT227" s="250"/>
      <c r="AU227" s="250"/>
      <c r="AV227" s="124"/>
    </row>
    <row r="228" spans="2:48" s="475" customFormat="1" x14ac:dyDescent="0.2">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124"/>
    </row>
    <row r="229" spans="2:48" s="475" customFormat="1" x14ac:dyDescent="0.2">
      <c r="B229" s="250"/>
      <c r="C229" s="250"/>
      <c r="D229" s="250"/>
      <c r="E229" s="250"/>
      <c r="F229" s="250"/>
      <c r="G229" s="250"/>
      <c r="H229" s="250"/>
      <c r="I229" s="250"/>
      <c r="J229" s="250"/>
      <c r="K229" s="250"/>
      <c r="L229" s="250"/>
      <c r="M229" s="250"/>
      <c r="N229" s="250"/>
      <c r="O229" s="250"/>
      <c r="P229" s="250"/>
      <c r="Q229" s="250"/>
      <c r="R229" s="250"/>
      <c r="S229" s="250"/>
      <c r="T229" s="250"/>
      <c r="U229" s="250"/>
      <c r="V229" s="250"/>
      <c r="W229" s="250"/>
      <c r="X229" s="250"/>
      <c r="Y229" s="250"/>
      <c r="Z229" s="250"/>
      <c r="AA229" s="250"/>
      <c r="AB229" s="250"/>
      <c r="AC229" s="250"/>
      <c r="AD229" s="250"/>
      <c r="AE229" s="250"/>
      <c r="AF229" s="250"/>
      <c r="AG229" s="250"/>
      <c r="AH229" s="250"/>
      <c r="AI229" s="250"/>
      <c r="AJ229" s="250"/>
      <c r="AK229" s="250"/>
      <c r="AL229" s="250"/>
      <c r="AM229" s="250"/>
      <c r="AN229" s="250"/>
      <c r="AO229" s="250"/>
      <c r="AP229" s="250"/>
      <c r="AQ229" s="250"/>
      <c r="AR229" s="250"/>
      <c r="AS229" s="250"/>
      <c r="AT229" s="250"/>
      <c r="AU229" s="250"/>
      <c r="AV229" s="124"/>
    </row>
    <row r="230" spans="2:48" s="475" customFormat="1" x14ac:dyDescent="0.2">
      <c r="B230" s="250"/>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124"/>
    </row>
    <row r="231" spans="2:48" s="475" customFormat="1" x14ac:dyDescent="0.2">
      <c r="B231" s="250"/>
      <c r="C231" s="250"/>
      <c r="D231" s="250"/>
      <c r="E231" s="250"/>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124"/>
    </row>
    <row r="232" spans="2:48" s="475" customFormat="1" x14ac:dyDescent="0.2">
      <c r="B232" s="250"/>
      <c r="C232" s="250"/>
      <c r="D232" s="250"/>
      <c r="E232" s="250"/>
      <c r="F232" s="250"/>
      <c r="G232" s="250"/>
      <c r="H232" s="250"/>
      <c r="I232" s="250"/>
      <c r="J232" s="250"/>
      <c r="K232" s="250"/>
      <c r="L232" s="250"/>
      <c r="M232" s="250"/>
      <c r="N232" s="250"/>
      <c r="O232" s="250"/>
      <c r="P232" s="250"/>
      <c r="Q232" s="250"/>
      <c r="R232" s="250"/>
      <c r="S232" s="250"/>
      <c r="T232" s="250"/>
      <c r="U232" s="250"/>
      <c r="V232" s="250"/>
      <c r="W232" s="250"/>
      <c r="X232" s="250"/>
      <c r="Y232" s="250"/>
      <c r="Z232" s="250"/>
      <c r="AA232" s="250"/>
      <c r="AB232" s="250"/>
      <c r="AC232" s="250"/>
      <c r="AD232" s="250"/>
      <c r="AE232" s="250"/>
      <c r="AF232" s="250"/>
      <c r="AG232" s="250"/>
      <c r="AH232" s="250"/>
      <c r="AI232" s="250"/>
      <c r="AJ232" s="250"/>
      <c r="AK232" s="250"/>
      <c r="AL232" s="250"/>
      <c r="AM232" s="250"/>
      <c r="AN232" s="250"/>
      <c r="AO232" s="250"/>
      <c r="AP232" s="250"/>
      <c r="AQ232" s="250"/>
      <c r="AR232" s="250"/>
      <c r="AS232" s="250"/>
      <c r="AT232" s="250"/>
      <c r="AU232" s="250"/>
      <c r="AV232" s="124"/>
    </row>
    <row r="233" spans="2:48" s="475" customFormat="1" x14ac:dyDescent="0.2">
      <c r="B233" s="250"/>
      <c r="C233" s="250"/>
      <c r="D233" s="250"/>
      <c r="E233" s="250"/>
      <c r="F233" s="250"/>
      <c r="G233" s="250"/>
      <c r="H233" s="250"/>
      <c r="I233" s="250"/>
      <c r="J233" s="250"/>
      <c r="K233" s="250"/>
      <c r="L233" s="250"/>
      <c r="M233" s="250"/>
      <c r="N233" s="250"/>
      <c r="O233" s="250"/>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0"/>
      <c r="AM233" s="250"/>
      <c r="AN233" s="250"/>
      <c r="AO233" s="250"/>
      <c r="AP233" s="250"/>
      <c r="AQ233" s="250"/>
      <c r="AR233" s="250"/>
      <c r="AS233" s="250"/>
      <c r="AT233" s="250"/>
      <c r="AU233" s="250"/>
      <c r="AV233" s="124"/>
    </row>
    <row r="234" spans="2:48" s="475" customFormat="1" x14ac:dyDescent="0.2">
      <c r="B234" s="250"/>
      <c r="C234" s="250"/>
      <c r="D234" s="250"/>
      <c r="E234" s="250"/>
      <c r="F234" s="250"/>
      <c r="G234" s="250"/>
      <c r="H234" s="250"/>
      <c r="I234" s="250"/>
      <c r="J234" s="250"/>
      <c r="K234" s="250"/>
      <c r="L234" s="250"/>
      <c r="M234" s="250"/>
      <c r="N234" s="250"/>
      <c r="O234" s="250"/>
      <c r="P234" s="250"/>
      <c r="Q234" s="250"/>
      <c r="R234" s="250"/>
      <c r="S234" s="250"/>
      <c r="T234" s="250"/>
      <c r="U234" s="250"/>
      <c r="V234" s="250"/>
      <c r="W234" s="250"/>
      <c r="X234" s="250"/>
      <c r="Y234" s="250"/>
      <c r="Z234" s="250"/>
      <c r="AA234" s="250"/>
      <c r="AB234" s="250"/>
      <c r="AC234" s="250"/>
      <c r="AD234" s="250"/>
      <c r="AE234" s="250"/>
      <c r="AF234" s="250"/>
      <c r="AG234" s="250"/>
      <c r="AH234" s="250"/>
      <c r="AI234" s="250"/>
      <c r="AJ234" s="250"/>
      <c r="AK234" s="250"/>
      <c r="AL234" s="250"/>
      <c r="AM234" s="250"/>
      <c r="AN234" s="250"/>
      <c r="AO234" s="250"/>
      <c r="AP234" s="250"/>
      <c r="AQ234" s="250"/>
      <c r="AR234" s="250"/>
      <c r="AS234" s="250"/>
      <c r="AT234" s="250"/>
      <c r="AU234" s="250"/>
      <c r="AV234" s="124"/>
    </row>
    <row r="235" spans="2:48" s="475" customFormat="1" x14ac:dyDescent="0.2">
      <c r="B235" s="250"/>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124"/>
    </row>
    <row r="236" spans="2:48" s="475" customFormat="1" x14ac:dyDescent="0.2">
      <c r="B236" s="250"/>
      <c r="C236" s="250"/>
      <c r="D236" s="250"/>
      <c r="E236" s="250"/>
      <c r="F236" s="250"/>
      <c r="G236" s="250"/>
      <c r="H236" s="250"/>
      <c r="I236" s="250"/>
      <c r="J236" s="250"/>
      <c r="K236" s="250"/>
      <c r="L236" s="250"/>
      <c r="M236" s="250"/>
      <c r="N236" s="250"/>
      <c r="O236" s="250"/>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0"/>
      <c r="AM236" s="250"/>
      <c r="AN236" s="250"/>
      <c r="AO236" s="250"/>
      <c r="AP236" s="250"/>
      <c r="AQ236" s="250"/>
      <c r="AR236" s="250"/>
      <c r="AS236" s="250"/>
      <c r="AT236" s="250"/>
      <c r="AU236" s="250"/>
      <c r="AV236" s="124"/>
    </row>
    <row r="237" spans="2:48" s="475" customFormat="1" x14ac:dyDescent="0.2">
      <c r="B237" s="250"/>
      <c r="C237" s="250"/>
      <c r="D237" s="250"/>
      <c r="E237" s="250"/>
      <c r="F237" s="250"/>
      <c r="G237" s="250"/>
      <c r="H237" s="250"/>
      <c r="I237" s="250"/>
      <c r="J237" s="250"/>
      <c r="K237" s="250"/>
      <c r="L237" s="250"/>
      <c r="M237" s="250"/>
      <c r="N237" s="250"/>
      <c r="O237" s="250"/>
      <c r="P237" s="250"/>
      <c r="Q237" s="250"/>
      <c r="R237" s="250"/>
      <c r="S237" s="250"/>
      <c r="T237" s="250"/>
      <c r="U237" s="250"/>
      <c r="V237" s="250"/>
      <c r="W237" s="250"/>
      <c r="X237" s="250"/>
      <c r="Y237" s="250"/>
      <c r="Z237" s="250"/>
      <c r="AA237" s="250"/>
      <c r="AB237" s="250"/>
      <c r="AC237" s="250"/>
      <c r="AD237" s="250"/>
      <c r="AE237" s="250"/>
      <c r="AF237" s="250"/>
      <c r="AG237" s="250"/>
      <c r="AH237" s="250"/>
      <c r="AI237" s="250"/>
      <c r="AJ237" s="250"/>
      <c r="AK237" s="250"/>
      <c r="AL237" s="250"/>
      <c r="AM237" s="250"/>
      <c r="AN237" s="250"/>
      <c r="AO237" s="250"/>
      <c r="AP237" s="250"/>
      <c r="AQ237" s="250"/>
      <c r="AR237" s="250"/>
      <c r="AS237" s="250"/>
      <c r="AT237" s="250"/>
      <c r="AU237" s="250"/>
      <c r="AV237" s="124"/>
    </row>
    <row r="238" spans="2:48" s="475" customFormat="1" x14ac:dyDescent="0.2">
      <c r="B238" s="250"/>
      <c r="C238" s="250"/>
      <c r="D238" s="250"/>
      <c r="E238" s="250"/>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124"/>
    </row>
    <row r="239" spans="2:48" s="475" customFormat="1" x14ac:dyDescent="0.2">
      <c r="B239" s="250"/>
      <c r="C239" s="250"/>
      <c r="D239" s="250"/>
      <c r="E239" s="250"/>
      <c r="F239" s="250"/>
      <c r="G239" s="250"/>
      <c r="H239" s="250"/>
      <c r="I239" s="250"/>
      <c r="J239" s="250"/>
      <c r="K239" s="250"/>
      <c r="L239" s="250"/>
      <c r="M239" s="250"/>
      <c r="N239" s="250"/>
      <c r="O239" s="250"/>
      <c r="P239" s="250"/>
      <c r="Q239" s="250"/>
      <c r="R239" s="250"/>
      <c r="S239" s="250"/>
      <c r="T239" s="250"/>
      <c r="U239" s="250"/>
      <c r="V239" s="250"/>
      <c r="W239" s="250"/>
      <c r="X239" s="250"/>
      <c r="Y239" s="250"/>
      <c r="Z239" s="250"/>
      <c r="AA239" s="250"/>
      <c r="AB239" s="250"/>
      <c r="AC239" s="250"/>
      <c r="AD239" s="250"/>
      <c r="AE239" s="250"/>
      <c r="AF239" s="250"/>
      <c r="AG239" s="250"/>
      <c r="AH239" s="250"/>
      <c r="AI239" s="250"/>
      <c r="AJ239" s="250"/>
      <c r="AK239" s="250"/>
      <c r="AL239" s="250"/>
      <c r="AM239" s="250"/>
      <c r="AN239" s="250"/>
      <c r="AO239" s="250"/>
      <c r="AP239" s="250"/>
      <c r="AQ239" s="250"/>
      <c r="AR239" s="250"/>
      <c r="AS239" s="250"/>
      <c r="AT239" s="250"/>
      <c r="AU239" s="250"/>
      <c r="AV239" s="124"/>
    </row>
    <row r="240" spans="2:48" s="475" customFormat="1" x14ac:dyDescent="0.2">
      <c r="B240" s="250"/>
      <c r="C240" s="250"/>
      <c r="D240" s="250"/>
      <c r="E240" s="250"/>
      <c r="F240" s="250"/>
      <c r="G240" s="250"/>
      <c r="H240" s="250"/>
      <c r="I240" s="250"/>
      <c r="J240" s="250"/>
      <c r="K240" s="250"/>
      <c r="L240" s="250"/>
      <c r="M240" s="250"/>
      <c r="N240" s="250"/>
      <c r="O240" s="250"/>
      <c r="P240" s="250"/>
      <c r="Q240" s="250"/>
      <c r="R240" s="250"/>
      <c r="S240" s="250"/>
      <c r="T240" s="250"/>
      <c r="U240" s="250"/>
      <c r="V240" s="250"/>
      <c r="W240" s="250"/>
      <c r="X240" s="250"/>
      <c r="Y240" s="250"/>
      <c r="Z240" s="250"/>
      <c r="AA240" s="250"/>
      <c r="AB240" s="250"/>
      <c r="AC240" s="250"/>
      <c r="AD240" s="250"/>
      <c r="AE240" s="250"/>
      <c r="AF240" s="250"/>
      <c r="AG240" s="250"/>
      <c r="AH240" s="250"/>
      <c r="AI240" s="250"/>
      <c r="AJ240" s="250"/>
      <c r="AK240" s="250"/>
      <c r="AL240" s="250"/>
      <c r="AM240" s="250"/>
      <c r="AN240" s="250"/>
      <c r="AO240" s="250"/>
      <c r="AP240" s="250"/>
      <c r="AQ240" s="250"/>
      <c r="AR240" s="250"/>
      <c r="AS240" s="250"/>
      <c r="AT240" s="250"/>
      <c r="AU240" s="250"/>
      <c r="AV240" s="124"/>
    </row>
    <row r="241" spans="2:48" s="475" customFormat="1" x14ac:dyDescent="0.2">
      <c r="B241" s="250"/>
      <c r="C241" s="250"/>
      <c r="D241" s="250"/>
      <c r="E241" s="250"/>
      <c r="F241" s="250"/>
      <c r="G241" s="250"/>
      <c r="H241" s="250"/>
      <c r="I241" s="250"/>
      <c r="J241" s="250"/>
      <c r="K241" s="250"/>
      <c r="L241" s="250"/>
      <c r="M241" s="250"/>
      <c r="N241" s="250"/>
      <c r="O241" s="250"/>
      <c r="P241" s="250"/>
      <c r="Q241" s="250"/>
      <c r="R241" s="250"/>
      <c r="S241" s="250"/>
      <c r="T241" s="250"/>
      <c r="U241" s="250"/>
      <c r="V241" s="250"/>
      <c r="W241" s="250"/>
      <c r="X241" s="250"/>
      <c r="Y241" s="250"/>
      <c r="Z241" s="250"/>
      <c r="AA241" s="250"/>
      <c r="AB241" s="250"/>
      <c r="AC241" s="250"/>
      <c r="AD241" s="250"/>
      <c r="AE241" s="250"/>
      <c r="AF241" s="250"/>
      <c r="AG241" s="250"/>
      <c r="AH241" s="250"/>
      <c r="AI241" s="250"/>
      <c r="AJ241" s="250"/>
      <c r="AK241" s="250"/>
      <c r="AL241" s="250"/>
      <c r="AM241" s="250"/>
      <c r="AN241" s="250"/>
      <c r="AO241" s="250"/>
      <c r="AP241" s="250"/>
      <c r="AQ241" s="250"/>
      <c r="AR241" s="250"/>
      <c r="AS241" s="250"/>
      <c r="AT241" s="250"/>
      <c r="AU241" s="250"/>
      <c r="AV241" s="124"/>
    </row>
    <row r="242" spans="2:48" s="475" customFormat="1" x14ac:dyDescent="0.2">
      <c r="B242" s="250"/>
      <c r="C242" s="250"/>
      <c r="D242" s="250"/>
      <c r="E242" s="250"/>
      <c r="F242" s="250"/>
      <c r="G242" s="250"/>
      <c r="H242" s="250"/>
      <c r="I242" s="250"/>
      <c r="J242" s="250"/>
      <c r="K242" s="250"/>
      <c r="L242" s="250"/>
      <c r="M242" s="250"/>
      <c r="N242" s="250"/>
      <c r="O242" s="250"/>
      <c r="P242" s="250"/>
      <c r="Q242" s="250"/>
      <c r="R242" s="250"/>
      <c r="S242" s="250"/>
      <c r="T242" s="250"/>
      <c r="U242" s="250"/>
      <c r="V242" s="250"/>
      <c r="W242" s="250"/>
      <c r="X242" s="250"/>
      <c r="Y242" s="250"/>
      <c r="Z242" s="250"/>
      <c r="AA242" s="250"/>
      <c r="AB242" s="250"/>
      <c r="AC242" s="250"/>
      <c r="AD242" s="250"/>
      <c r="AE242" s="250"/>
      <c r="AF242" s="250"/>
      <c r="AG242" s="250"/>
      <c r="AH242" s="250"/>
      <c r="AI242" s="250"/>
      <c r="AJ242" s="250"/>
      <c r="AK242" s="250"/>
      <c r="AL242" s="250"/>
      <c r="AM242" s="250"/>
      <c r="AN242" s="250"/>
      <c r="AO242" s="250"/>
      <c r="AP242" s="250"/>
      <c r="AQ242" s="250"/>
      <c r="AR242" s="250"/>
      <c r="AS242" s="250"/>
      <c r="AT242" s="250"/>
      <c r="AU242" s="250"/>
      <c r="AV242" s="124"/>
    </row>
    <row r="243" spans="2:48" s="475" customFormat="1" x14ac:dyDescent="0.2">
      <c r="B243" s="250"/>
      <c r="C243" s="250"/>
      <c r="D243" s="250"/>
      <c r="E243" s="250"/>
      <c r="F243" s="250"/>
      <c r="G243" s="250"/>
      <c r="H243" s="250"/>
      <c r="I243" s="250"/>
      <c r="J243" s="250"/>
      <c r="K243" s="250"/>
      <c r="L243" s="250"/>
      <c r="M243" s="250"/>
      <c r="N243" s="250"/>
      <c r="O243" s="250"/>
      <c r="P243" s="250"/>
      <c r="Q243" s="250"/>
      <c r="R243" s="250"/>
      <c r="S243" s="250"/>
      <c r="T243" s="250"/>
      <c r="U243" s="250"/>
      <c r="V243" s="250"/>
      <c r="W243" s="250"/>
      <c r="X243" s="250"/>
      <c r="Y243" s="250"/>
      <c r="Z243" s="250"/>
      <c r="AA243" s="250"/>
      <c r="AB243" s="250"/>
      <c r="AC243" s="250"/>
      <c r="AD243" s="250"/>
      <c r="AE243" s="250"/>
      <c r="AF243" s="250"/>
      <c r="AG243" s="250"/>
      <c r="AH243" s="250"/>
      <c r="AI243" s="250"/>
      <c r="AJ243" s="250"/>
      <c r="AK243" s="250"/>
      <c r="AL243" s="250"/>
      <c r="AM243" s="250"/>
      <c r="AN243" s="250"/>
      <c r="AO243" s="250"/>
      <c r="AP243" s="250"/>
      <c r="AQ243" s="250"/>
      <c r="AR243" s="250"/>
      <c r="AS243" s="250"/>
      <c r="AT243" s="250"/>
      <c r="AU243" s="250"/>
      <c r="AV243" s="124"/>
    </row>
    <row r="244" spans="2:48" s="475" customFormat="1" x14ac:dyDescent="0.2">
      <c r="B244" s="250"/>
      <c r="C244" s="250"/>
      <c r="D244" s="250"/>
      <c r="E244" s="250"/>
      <c r="F244" s="250"/>
      <c r="G244" s="250"/>
      <c r="H244" s="250"/>
      <c r="I244" s="250"/>
      <c r="J244" s="250"/>
      <c r="K244" s="250"/>
      <c r="L244" s="250"/>
      <c r="M244" s="250"/>
      <c r="N244" s="250"/>
      <c r="O244" s="250"/>
      <c r="P244" s="250"/>
      <c r="Q244" s="250"/>
      <c r="R244" s="250"/>
      <c r="S244" s="250"/>
      <c r="T244" s="250"/>
      <c r="U244" s="250"/>
      <c r="V244" s="250"/>
      <c r="W244" s="250"/>
      <c r="X244" s="250"/>
      <c r="Y244" s="250"/>
      <c r="Z244" s="250"/>
      <c r="AA244" s="250"/>
      <c r="AB244" s="250"/>
      <c r="AC244" s="250"/>
      <c r="AD244" s="250"/>
      <c r="AE244" s="250"/>
      <c r="AF244" s="250"/>
      <c r="AG244" s="250"/>
      <c r="AH244" s="250"/>
      <c r="AI244" s="250"/>
      <c r="AJ244" s="250"/>
      <c r="AK244" s="250"/>
      <c r="AL244" s="250"/>
      <c r="AM244" s="250"/>
      <c r="AN244" s="250"/>
      <c r="AO244" s="250"/>
      <c r="AP244" s="250"/>
      <c r="AQ244" s="250"/>
      <c r="AR244" s="250"/>
      <c r="AS244" s="250"/>
      <c r="AT244" s="250"/>
      <c r="AU244" s="250"/>
      <c r="AV244" s="124"/>
    </row>
    <row r="245" spans="2:48" s="475" customFormat="1" x14ac:dyDescent="0.2">
      <c r="B245" s="250"/>
      <c r="C245" s="250"/>
      <c r="D245" s="250"/>
      <c r="E245" s="250"/>
      <c r="F245" s="250"/>
      <c r="G245" s="250"/>
      <c r="H245" s="250"/>
      <c r="I245" s="250"/>
      <c r="J245" s="250"/>
      <c r="K245" s="250"/>
      <c r="L245" s="250"/>
      <c r="M245" s="250"/>
      <c r="N245" s="250"/>
      <c r="O245" s="250"/>
      <c r="P245" s="250"/>
      <c r="Q245" s="250"/>
      <c r="R245" s="250"/>
      <c r="S245" s="250"/>
      <c r="T245" s="250"/>
      <c r="U245" s="250"/>
      <c r="V245" s="250"/>
      <c r="W245" s="250"/>
      <c r="X245" s="250"/>
      <c r="Y245" s="250"/>
      <c r="Z245" s="250"/>
      <c r="AA245" s="250"/>
      <c r="AB245" s="250"/>
      <c r="AC245" s="250"/>
      <c r="AD245" s="250"/>
      <c r="AE245" s="250"/>
      <c r="AF245" s="250"/>
      <c r="AG245" s="250"/>
      <c r="AH245" s="250"/>
      <c r="AI245" s="250"/>
      <c r="AJ245" s="250"/>
      <c r="AK245" s="250"/>
      <c r="AL245" s="250"/>
      <c r="AM245" s="250"/>
      <c r="AN245" s="250"/>
      <c r="AO245" s="250"/>
      <c r="AP245" s="250"/>
      <c r="AQ245" s="250"/>
      <c r="AR245" s="250"/>
      <c r="AS245" s="250"/>
      <c r="AT245" s="250"/>
      <c r="AU245" s="250"/>
      <c r="AV245" s="124"/>
    </row>
    <row r="246" spans="2:48" s="475" customFormat="1" x14ac:dyDescent="0.2">
      <c r="B246" s="250"/>
      <c r="C246" s="250"/>
      <c r="D246" s="250"/>
      <c r="E246" s="250"/>
      <c r="F246" s="250"/>
      <c r="G246" s="250"/>
      <c r="H246" s="250"/>
      <c r="I246" s="250"/>
      <c r="J246" s="250"/>
      <c r="K246" s="250"/>
      <c r="L246" s="250"/>
      <c r="M246" s="250"/>
      <c r="N246" s="250"/>
      <c r="O246" s="250"/>
      <c r="P246" s="250"/>
      <c r="Q246" s="250"/>
      <c r="R246" s="250"/>
      <c r="S246" s="250"/>
      <c r="T246" s="250"/>
      <c r="U246" s="250"/>
      <c r="V246" s="250"/>
      <c r="W246" s="250"/>
      <c r="X246" s="250"/>
      <c r="Y246" s="250"/>
      <c r="Z246" s="250"/>
      <c r="AA246" s="250"/>
      <c r="AB246" s="250"/>
      <c r="AC246" s="250"/>
      <c r="AD246" s="250"/>
      <c r="AE246" s="250"/>
      <c r="AF246" s="250"/>
      <c r="AG246" s="250"/>
      <c r="AH246" s="250"/>
      <c r="AI246" s="250"/>
      <c r="AJ246" s="250"/>
      <c r="AK246" s="250"/>
      <c r="AL246" s="250"/>
      <c r="AM246" s="250"/>
      <c r="AN246" s="250"/>
      <c r="AO246" s="250"/>
      <c r="AP246" s="250"/>
      <c r="AQ246" s="250"/>
      <c r="AR246" s="250"/>
      <c r="AS246" s="250"/>
      <c r="AT246" s="250"/>
      <c r="AU246" s="250"/>
      <c r="AV246" s="124"/>
    </row>
    <row r="247" spans="2:48" s="475" customFormat="1" x14ac:dyDescent="0.2">
      <c r="B247" s="250"/>
      <c r="C247" s="250"/>
      <c r="D247" s="250"/>
      <c r="E247" s="250"/>
      <c r="F247" s="250"/>
      <c r="G247" s="250"/>
      <c r="H247" s="250"/>
      <c r="I247" s="250"/>
      <c r="J247" s="250"/>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0"/>
      <c r="AN247" s="250"/>
      <c r="AO247" s="250"/>
      <c r="AP247" s="250"/>
      <c r="AQ247" s="250"/>
      <c r="AR247" s="250"/>
      <c r="AS247" s="250"/>
      <c r="AT247" s="250"/>
      <c r="AU247" s="250"/>
      <c r="AV247" s="124"/>
    </row>
    <row r="248" spans="2:48" s="475" customFormat="1" x14ac:dyDescent="0.2">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124"/>
    </row>
    <row r="249" spans="2:48" s="475" customFormat="1" x14ac:dyDescent="0.2">
      <c r="B249" s="250"/>
      <c r="C249" s="250"/>
      <c r="D249" s="250"/>
      <c r="E249" s="250"/>
      <c r="F249" s="250"/>
      <c r="G249" s="250"/>
      <c r="H249" s="250"/>
      <c r="I249" s="250"/>
      <c r="J249" s="250"/>
      <c r="K249" s="250"/>
      <c r="L249" s="250"/>
      <c r="M249" s="250"/>
      <c r="N249" s="250"/>
      <c r="O249" s="250"/>
      <c r="P249" s="250"/>
      <c r="Q249" s="250"/>
      <c r="R249" s="250"/>
      <c r="S249" s="250"/>
      <c r="T249" s="250"/>
      <c r="U249" s="250"/>
      <c r="V249" s="250"/>
      <c r="W249" s="250"/>
      <c r="X249" s="250"/>
      <c r="Y249" s="250"/>
      <c r="Z249" s="250"/>
      <c r="AA249" s="250"/>
      <c r="AB249" s="250"/>
      <c r="AC249" s="250"/>
      <c r="AD249" s="250"/>
      <c r="AE249" s="250"/>
      <c r="AF249" s="250"/>
      <c r="AG249" s="250"/>
      <c r="AH249" s="250"/>
      <c r="AI249" s="250"/>
      <c r="AJ249" s="250"/>
      <c r="AK249" s="250"/>
      <c r="AL249" s="250"/>
      <c r="AM249" s="250"/>
      <c r="AN249" s="250"/>
      <c r="AO249" s="250"/>
      <c r="AP249" s="250"/>
      <c r="AQ249" s="250"/>
      <c r="AR249" s="250"/>
      <c r="AS249" s="250"/>
      <c r="AT249" s="250"/>
      <c r="AU249" s="250"/>
      <c r="AV249" s="124"/>
    </row>
    <row r="250" spans="2:48" s="475" customFormat="1" x14ac:dyDescent="0.2">
      <c r="B250" s="250"/>
      <c r="C250" s="250"/>
      <c r="D250" s="250"/>
      <c r="E250" s="250"/>
      <c r="F250" s="250"/>
      <c r="G250" s="250"/>
      <c r="H250" s="250"/>
      <c r="I250" s="250"/>
      <c r="J250" s="250"/>
      <c r="K250" s="250"/>
      <c r="L250" s="250"/>
      <c r="M250" s="250"/>
      <c r="N250" s="250"/>
      <c r="O250" s="250"/>
      <c r="P250" s="250"/>
      <c r="Q250" s="250"/>
      <c r="R250" s="250"/>
      <c r="S250" s="250"/>
      <c r="T250" s="250"/>
      <c r="U250" s="250"/>
      <c r="V250" s="250"/>
      <c r="W250" s="250"/>
      <c r="X250" s="250"/>
      <c r="Y250" s="250"/>
      <c r="Z250" s="250"/>
      <c r="AA250" s="250"/>
      <c r="AB250" s="250"/>
      <c r="AC250" s="250"/>
      <c r="AD250" s="250"/>
      <c r="AE250" s="250"/>
      <c r="AF250" s="250"/>
      <c r="AG250" s="250"/>
      <c r="AH250" s="250"/>
      <c r="AI250" s="250"/>
      <c r="AJ250" s="250"/>
      <c r="AK250" s="250"/>
      <c r="AL250" s="250"/>
      <c r="AM250" s="250"/>
      <c r="AN250" s="250"/>
      <c r="AO250" s="250"/>
      <c r="AP250" s="250"/>
      <c r="AQ250" s="250"/>
      <c r="AR250" s="250"/>
      <c r="AS250" s="250"/>
      <c r="AT250" s="250"/>
      <c r="AU250" s="250"/>
      <c r="AV250" s="124"/>
    </row>
    <row r="251" spans="2:48" s="475" customFormat="1" x14ac:dyDescent="0.2">
      <c r="B251" s="250"/>
      <c r="C251" s="250"/>
      <c r="D251" s="250"/>
      <c r="E251" s="250"/>
      <c r="F251" s="250"/>
      <c r="G251" s="250"/>
      <c r="H251" s="250"/>
      <c r="I251" s="250"/>
      <c r="J251" s="250"/>
      <c r="K251" s="250"/>
      <c r="L251" s="250"/>
      <c r="M251" s="250"/>
      <c r="N251" s="250"/>
      <c r="O251" s="250"/>
      <c r="P251" s="250"/>
      <c r="Q251" s="250"/>
      <c r="R251" s="250"/>
      <c r="S251" s="250"/>
      <c r="T251" s="250"/>
      <c r="U251" s="250"/>
      <c r="V251" s="250"/>
      <c r="W251" s="250"/>
      <c r="X251" s="250"/>
      <c r="Y251" s="250"/>
      <c r="Z251" s="250"/>
      <c r="AA251" s="250"/>
      <c r="AB251" s="250"/>
      <c r="AC251" s="250"/>
      <c r="AD251" s="250"/>
      <c r="AE251" s="250"/>
      <c r="AF251" s="250"/>
      <c r="AG251" s="250"/>
      <c r="AH251" s="250"/>
      <c r="AI251" s="250"/>
      <c r="AJ251" s="250"/>
      <c r="AK251" s="250"/>
      <c r="AL251" s="250"/>
      <c r="AM251" s="250"/>
      <c r="AN251" s="250"/>
      <c r="AO251" s="250"/>
      <c r="AP251" s="250"/>
      <c r="AQ251" s="250"/>
      <c r="AR251" s="250"/>
      <c r="AS251" s="250"/>
      <c r="AT251" s="250"/>
      <c r="AU251" s="250"/>
      <c r="AV251" s="124"/>
    </row>
    <row r="252" spans="2:48" s="475" customFormat="1" x14ac:dyDescent="0.2">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124"/>
    </row>
    <row r="253" spans="2:48" s="475" customFormat="1" x14ac:dyDescent="0.2">
      <c r="B253" s="250"/>
      <c r="C253" s="250"/>
      <c r="D253" s="250"/>
      <c r="E253" s="250"/>
      <c r="F253" s="250"/>
      <c r="G253" s="250"/>
      <c r="H253" s="250"/>
      <c r="I253" s="250"/>
      <c r="J253" s="250"/>
      <c r="K253" s="250"/>
      <c r="L253" s="250"/>
      <c r="M253" s="250"/>
      <c r="N253" s="250"/>
      <c r="O253" s="250"/>
      <c r="P253" s="250"/>
      <c r="Q253" s="250"/>
      <c r="R253" s="250"/>
      <c r="S253" s="250"/>
      <c r="T253" s="250"/>
      <c r="U253" s="250"/>
      <c r="V253" s="250"/>
      <c r="W253" s="250"/>
      <c r="X253" s="250"/>
      <c r="Y253" s="250"/>
      <c r="Z253" s="250"/>
      <c r="AA253" s="250"/>
      <c r="AB253" s="250"/>
      <c r="AC253" s="250"/>
      <c r="AD253" s="250"/>
      <c r="AE253" s="250"/>
      <c r="AF253" s="250"/>
      <c r="AG253" s="250"/>
      <c r="AH253" s="250"/>
      <c r="AI253" s="250"/>
      <c r="AJ253" s="250"/>
      <c r="AK253" s="250"/>
      <c r="AL253" s="250"/>
      <c r="AM253" s="250"/>
      <c r="AN253" s="250"/>
      <c r="AO253" s="250"/>
      <c r="AP253" s="250"/>
      <c r="AQ253" s="250"/>
      <c r="AR253" s="250"/>
      <c r="AS253" s="250"/>
      <c r="AT253" s="250"/>
      <c r="AU253" s="250"/>
      <c r="AV253" s="124"/>
    </row>
    <row r="254" spans="2:48" s="475" customFormat="1" x14ac:dyDescent="0.2">
      <c r="B254" s="250"/>
      <c r="C254" s="250"/>
      <c r="D254" s="250"/>
      <c r="E254" s="250"/>
      <c r="F254" s="250"/>
      <c r="G254" s="250"/>
      <c r="H254" s="250"/>
      <c r="I254" s="250"/>
      <c r="J254" s="250"/>
      <c r="K254" s="250"/>
      <c r="L254" s="250"/>
      <c r="M254" s="250"/>
      <c r="N254" s="250"/>
      <c r="O254" s="250"/>
      <c r="P254" s="250"/>
      <c r="Q254" s="250"/>
      <c r="R254" s="250"/>
      <c r="S254" s="250"/>
      <c r="T254" s="250"/>
      <c r="U254" s="250"/>
      <c r="V254" s="250"/>
      <c r="W254" s="250"/>
      <c r="X254" s="250"/>
      <c r="Y254" s="250"/>
      <c r="Z254" s="250"/>
      <c r="AA254" s="250"/>
      <c r="AB254" s="250"/>
      <c r="AC254" s="250"/>
      <c r="AD254" s="250"/>
      <c r="AE254" s="250"/>
      <c r="AF254" s="250"/>
      <c r="AG254" s="250"/>
      <c r="AH254" s="250"/>
      <c r="AI254" s="250"/>
      <c r="AJ254" s="250"/>
      <c r="AK254" s="250"/>
      <c r="AL254" s="250"/>
      <c r="AM254" s="250"/>
      <c r="AN254" s="250"/>
      <c r="AO254" s="250"/>
      <c r="AP254" s="250"/>
      <c r="AQ254" s="250"/>
      <c r="AR254" s="250"/>
      <c r="AS254" s="250"/>
      <c r="AT254" s="250"/>
      <c r="AU254" s="250"/>
      <c r="AV254" s="124"/>
    </row>
    <row r="255" spans="2:48" s="475" customFormat="1" x14ac:dyDescent="0.2">
      <c r="B255" s="250"/>
      <c r="C255" s="250"/>
      <c r="D255" s="250"/>
      <c r="E255" s="250"/>
      <c r="F255" s="250"/>
      <c r="G255" s="250"/>
      <c r="H255" s="250"/>
      <c r="I255" s="250"/>
      <c r="J255" s="250"/>
      <c r="K255" s="250"/>
      <c r="L255" s="250"/>
      <c r="M255" s="250"/>
      <c r="N255" s="250"/>
      <c r="O255" s="250"/>
      <c r="P255" s="250"/>
      <c r="Q255" s="250"/>
      <c r="R255" s="250"/>
      <c r="S255" s="250"/>
      <c r="T255" s="250"/>
      <c r="U255" s="250"/>
      <c r="V255" s="250"/>
      <c r="W255" s="250"/>
      <c r="X255" s="250"/>
      <c r="Y255" s="250"/>
      <c r="Z255" s="250"/>
      <c r="AA255" s="250"/>
      <c r="AB255" s="250"/>
      <c r="AC255" s="250"/>
      <c r="AD255" s="250"/>
      <c r="AE255" s="250"/>
      <c r="AF255" s="250"/>
      <c r="AG255" s="250"/>
      <c r="AH255" s="250"/>
      <c r="AI255" s="250"/>
      <c r="AJ255" s="250"/>
      <c r="AK255" s="250"/>
      <c r="AL255" s="250"/>
      <c r="AM255" s="250"/>
      <c r="AN255" s="250"/>
      <c r="AO255" s="250"/>
      <c r="AP255" s="250"/>
      <c r="AQ255" s="250"/>
      <c r="AR255" s="250"/>
      <c r="AS255" s="250"/>
      <c r="AT255" s="250"/>
      <c r="AU255" s="250"/>
      <c r="AV255" s="124"/>
    </row>
    <row r="256" spans="2:48" s="475" customFormat="1" x14ac:dyDescent="0.2">
      <c r="B256" s="250"/>
      <c r="C256" s="250"/>
      <c r="D256" s="250"/>
      <c r="E256" s="250"/>
      <c r="F256" s="250"/>
      <c r="G256" s="250"/>
      <c r="H256" s="250"/>
      <c r="I256" s="250"/>
      <c r="J256" s="250"/>
      <c r="K256" s="250"/>
      <c r="L256" s="250"/>
      <c r="M256" s="250"/>
      <c r="N256" s="250"/>
      <c r="O256" s="250"/>
      <c r="P256" s="250"/>
      <c r="Q256" s="250"/>
      <c r="R256" s="250"/>
      <c r="S256" s="250"/>
      <c r="T256" s="250"/>
      <c r="U256" s="250"/>
      <c r="V256" s="250"/>
      <c r="W256" s="250"/>
      <c r="X256" s="250"/>
      <c r="Y256" s="250"/>
      <c r="Z256" s="250"/>
      <c r="AA256" s="250"/>
      <c r="AB256" s="250"/>
      <c r="AC256" s="250"/>
      <c r="AD256" s="250"/>
      <c r="AE256" s="250"/>
      <c r="AF256" s="250"/>
      <c r="AG256" s="250"/>
      <c r="AH256" s="250"/>
      <c r="AI256" s="250"/>
      <c r="AJ256" s="250"/>
      <c r="AK256" s="250"/>
      <c r="AL256" s="250"/>
      <c r="AM256" s="250"/>
      <c r="AN256" s="250"/>
      <c r="AO256" s="250"/>
      <c r="AP256" s="250"/>
      <c r="AQ256" s="250"/>
      <c r="AR256" s="250"/>
      <c r="AS256" s="250"/>
      <c r="AT256" s="250"/>
      <c r="AU256" s="250"/>
      <c r="AV256" s="124"/>
    </row>
    <row r="257" spans="2:48" s="475" customFormat="1" x14ac:dyDescent="0.2">
      <c r="B257" s="250"/>
      <c r="C257" s="250"/>
      <c r="D257" s="250"/>
      <c r="E257" s="250"/>
      <c r="F257" s="250"/>
      <c r="G257" s="250"/>
      <c r="H257" s="250"/>
      <c r="I257" s="250"/>
      <c r="J257" s="250"/>
      <c r="K257" s="250"/>
      <c r="L257" s="250"/>
      <c r="M257" s="250"/>
      <c r="N257" s="250"/>
      <c r="O257" s="250"/>
      <c r="P257" s="250"/>
      <c r="Q257" s="250"/>
      <c r="R257" s="250"/>
      <c r="S257" s="250"/>
      <c r="T257" s="250"/>
      <c r="U257" s="250"/>
      <c r="V257" s="250"/>
      <c r="W257" s="250"/>
      <c r="X257" s="250"/>
      <c r="Y257" s="250"/>
      <c r="Z257" s="250"/>
      <c r="AA257" s="250"/>
      <c r="AB257" s="250"/>
      <c r="AC257" s="250"/>
      <c r="AD257" s="250"/>
      <c r="AE257" s="250"/>
      <c r="AF257" s="250"/>
      <c r="AG257" s="250"/>
      <c r="AH257" s="250"/>
      <c r="AI257" s="250"/>
      <c r="AJ257" s="250"/>
      <c r="AK257" s="250"/>
      <c r="AL257" s="250"/>
      <c r="AM257" s="250"/>
      <c r="AN257" s="250"/>
      <c r="AO257" s="250"/>
      <c r="AP257" s="250"/>
      <c r="AQ257" s="250"/>
      <c r="AR257" s="250"/>
      <c r="AS257" s="250"/>
      <c r="AT257" s="250"/>
      <c r="AU257" s="250"/>
      <c r="AV257" s="124"/>
    </row>
    <row r="258" spans="2:48" s="475" customFormat="1" x14ac:dyDescent="0.2">
      <c r="B258" s="250"/>
      <c r="C258" s="250"/>
      <c r="D258" s="250"/>
      <c r="E258" s="250"/>
      <c r="F258" s="250"/>
      <c r="G258" s="250"/>
      <c r="H258" s="250"/>
      <c r="I258" s="250"/>
      <c r="J258" s="250"/>
      <c r="K258" s="250"/>
      <c r="L258" s="250"/>
      <c r="M258" s="250"/>
      <c r="N258" s="250"/>
      <c r="O258" s="250"/>
      <c r="P258" s="250"/>
      <c r="Q258" s="250"/>
      <c r="R258" s="250"/>
      <c r="S258" s="250"/>
      <c r="T258" s="250"/>
      <c r="U258" s="250"/>
      <c r="V258" s="250"/>
      <c r="W258" s="250"/>
      <c r="X258" s="250"/>
      <c r="Y258" s="250"/>
      <c r="Z258" s="250"/>
      <c r="AA258" s="250"/>
      <c r="AB258" s="250"/>
      <c r="AC258" s="250"/>
      <c r="AD258" s="250"/>
      <c r="AE258" s="250"/>
      <c r="AF258" s="250"/>
      <c r="AG258" s="250"/>
      <c r="AH258" s="250"/>
      <c r="AI258" s="250"/>
      <c r="AJ258" s="250"/>
      <c r="AK258" s="250"/>
      <c r="AL258" s="250"/>
      <c r="AM258" s="250"/>
      <c r="AN258" s="250"/>
      <c r="AO258" s="250"/>
      <c r="AP258" s="250"/>
      <c r="AQ258" s="250"/>
      <c r="AR258" s="250"/>
      <c r="AS258" s="250"/>
      <c r="AT258" s="250"/>
      <c r="AU258" s="250"/>
      <c r="AV258" s="124"/>
    </row>
    <row r="259" spans="2:48" s="475" customFormat="1" x14ac:dyDescent="0.2">
      <c r="B259" s="250"/>
      <c r="C259" s="250"/>
      <c r="D259" s="250"/>
      <c r="E259" s="250"/>
      <c r="F259" s="250"/>
      <c r="G259" s="250"/>
      <c r="H259" s="250"/>
      <c r="I259" s="250"/>
      <c r="J259" s="250"/>
      <c r="K259" s="250"/>
      <c r="L259" s="250"/>
      <c r="M259" s="250"/>
      <c r="N259" s="250"/>
      <c r="O259" s="250"/>
      <c r="P259" s="250"/>
      <c r="Q259" s="250"/>
      <c r="R259" s="250"/>
      <c r="S259" s="250"/>
      <c r="T259" s="250"/>
      <c r="U259" s="250"/>
      <c r="V259" s="250"/>
      <c r="W259" s="250"/>
      <c r="X259" s="250"/>
      <c r="Y259" s="250"/>
      <c r="Z259" s="250"/>
      <c r="AA259" s="250"/>
      <c r="AB259" s="250"/>
      <c r="AC259" s="250"/>
      <c r="AD259" s="250"/>
      <c r="AE259" s="250"/>
      <c r="AF259" s="250"/>
      <c r="AG259" s="250"/>
      <c r="AH259" s="250"/>
      <c r="AI259" s="250"/>
      <c r="AJ259" s="250"/>
      <c r="AK259" s="250"/>
      <c r="AL259" s="250"/>
      <c r="AM259" s="250"/>
      <c r="AN259" s="250"/>
      <c r="AO259" s="250"/>
      <c r="AP259" s="250"/>
      <c r="AQ259" s="250"/>
      <c r="AR259" s="250"/>
      <c r="AS259" s="250"/>
      <c r="AT259" s="250"/>
      <c r="AU259" s="250"/>
      <c r="AV259" s="124"/>
    </row>
    <row r="260" spans="2:48" s="475" customFormat="1" x14ac:dyDescent="0.2">
      <c r="B260" s="250"/>
      <c r="C260" s="250"/>
      <c r="D260" s="250"/>
      <c r="E260" s="250"/>
      <c r="F260" s="250"/>
      <c r="G260" s="250"/>
      <c r="H260" s="250"/>
      <c r="I260" s="250"/>
      <c r="J260" s="250"/>
      <c r="K260" s="250"/>
      <c r="L260" s="250"/>
      <c r="M260" s="250"/>
      <c r="N260" s="250"/>
      <c r="O260" s="250"/>
      <c r="P260" s="250"/>
      <c r="Q260" s="250"/>
      <c r="R260" s="250"/>
      <c r="S260" s="250"/>
      <c r="T260" s="250"/>
      <c r="U260" s="250"/>
      <c r="V260" s="250"/>
      <c r="W260" s="250"/>
      <c r="X260" s="250"/>
      <c r="Y260" s="250"/>
      <c r="Z260" s="250"/>
      <c r="AA260" s="250"/>
      <c r="AB260" s="250"/>
      <c r="AC260" s="250"/>
      <c r="AD260" s="250"/>
      <c r="AE260" s="250"/>
      <c r="AF260" s="250"/>
      <c r="AG260" s="250"/>
      <c r="AH260" s="250"/>
      <c r="AI260" s="250"/>
      <c r="AJ260" s="250"/>
      <c r="AK260" s="250"/>
      <c r="AL260" s="250"/>
      <c r="AM260" s="250"/>
      <c r="AN260" s="250"/>
      <c r="AO260" s="250"/>
      <c r="AP260" s="250"/>
      <c r="AQ260" s="250"/>
      <c r="AR260" s="250"/>
      <c r="AS260" s="250"/>
      <c r="AT260" s="250"/>
      <c r="AU260" s="250"/>
      <c r="AV260" s="124"/>
    </row>
    <row r="261" spans="2:48" s="475" customFormat="1" x14ac:dyDescent="0.2">
      <c r="B261" s="250"/>
      <c r="C261" s="250"/>
      <c r="D261" s="250"/>
      <c r="E261" s="250"/>
      <c r="F261" s="250"/>
      <c r="G261" s="250"/>
      <c r="H261" s="250"/>
      <c r="I261" s="250"/>
      <c r="J261" s="250"/>
      <c r="K261" s="250"/>
      <c r="L261" s="250"/>
      <c r="M261" s="250"/>
      <c r="N261" s="250"/>
      <c r="O261" s="250"/>
      <c r="P261" s="250"/>
      <c r="Q261" s="250"/>
      <c r="R261" s="250"/>
      <c r="S261" s="250"/>
      <c r="T261" s="250"/>
      <c r="U261" s="250"/>
      <c r="V261" s="250"/>
      <c r="W261" s="250"/>
      <c r="X261" s="250"/>
      <c r="Y261" s="250"/>
      <c r="Z261" s="250"/>
      <c r="AA261" s="250"/>
      <c r="AB261" s="250"/>
      <c r="AC261" s="250"/>
      <c r="AD261" s="250"/>
      <c r="AE261" s="250"/>
      <c r="AF261" s="250"/>
      <c r="AG261" s="250"/>
      <c r="AH261" s="250"/>
      <c r="AI261" s="250"/>
      <c r="AJ261" s="250"/>
      <c r="AK261" s="250"/>
      <c r="AL261" s="250"/>
      <c r="AM261" s="250"/>
      <c r="AN261" s="250"/>
      <c r="AO261" s="250"/>
      <c r="AP261" s="250"/>
      <c r="AQ261" s="250"/>
      <c r="AR261" s="250"/>
      <c r="AS261" s="250"/>
      <c r="AT261" s="250"/>
      <c r="AU261" s="250"/>
      <c r="AV261" s="124"/>
    </row>
    <row r="262" spans="2:48" s="475" customFormat="1" x14ac:dyDescent="0.2">
      <c r="B262" s="250"/>
      <c r="C262" s="250"/>
      <c r="D262" s="250"/>
      <c r="E262" s="250"/>
      <c r="F262" s="250"/>
      <c r="G262" s="250"/>
      <c r="H262" s="250"/>
      <c r="I262" s="250"/>
      <c r="J262" s="250"/>
      <c r="K262" s="250"/>
      <c r="L262" s="250"/>
      <c r="M262" s="250"/>
      <c r="N262" s="250"/>
      <c r="O262" s="250"/>
      <c r="P262" s="250"/>
      <c r="Q262" s="250"/>
      <c r="R262" s="250"/>
      <c r="S262" s="250"/>
      <c r="T262" s="250"/>
      <c r="U262" s="250"/>
      <c r="V262" s="250"/>
      <c r="W262" s="250"/>
      <c r="X262" s="250"/>
      <c r="Y262" s="250"/>
      <c r="Z262" s="250"/>
      <c r="AA262" s="250"/>
      <c r="AB262" s="250"/>
      <c r="AC262" s="250"/>
      <c r="AD262" s="250"/>
      <c r="AE262" s="250"/>
      <c r="AF262" s="250"/>
      <c r="AG262" s="250"/>
      <c r="AH262" s="250"/>
      <c r="AI262" s="250"/>
      <c r="AJ262" s="250"/>
      <c r="AK262" s="250"/>
      <c r="AL262" s="250"/>
      <c r="AM262" s="250"/>
      <c r="AN262" s="250"/>
      <c r="AO262" s="250"/>
      <c r="AP262" s="250"/>
      <c r="AQ262" s="250"/>
      <c r="AR262" s="250"/>
      <c r="AS262" s="250"/>
      <c r="AT262" s="250"/>
      <c r="AU262" s="250"/>
      <c r="AV262" s="124"/>
    </row>
    <row r="263" spans="2:48" s="475" customFormat="1" x14ac:dyDescent="0.2">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124"/>
    </row>
    <row r="264" spans="2:48" s="475" customFormat="1" x14ac:dyDescent="0.2">
      <c r="B264" s="250"/>
      <c r="C264" s="250"/>
      <c r="D264" s="250"/>
      <c r="E264" s="250"/>
      <c r="F264" s="250"/>
      <c r="G264" s="250"/>
      <c r="H264" s="250"/>
      <c r="I264" s="250"/>
      <c r="J264" s="250"/>
      <c r="K264" s="250"/>
      <c r="L264" s="250"/>
      <c r="M264" s="250"/>
      <c r="N264" s="250"/>
      <c r="O264" s="250"/>
      <c r="P264" s="250"/>
      <c r="Q264" s="250"/>
      <c r="R264" s="250"/>
      <c r="S264" s="250"/>
      <c r="T264" s="250"/>
      <c r="U264" s="250"/>
      <c r="V264" s="250"/>
      <c r="W264" s="250"/>
      <c r="X264" s="250"/>
      <c r="Y264" s="250"/>
      <c r="Z264" s="250"/>
      <c r="AA264" s="250"/>
      <c r="AB264" s="250"/>
      <c r="AC264" s="250"/>
      <c r="AD264" s="250"/>
      <c r="AE264" s="250"/>
      <c r="AF264" s="250"/>
      <c r="AG264" s="250"/>
      <c r="AH264" s="250"/>
      <c r="AI264" s="250"/>
      <c r="AJ264" s="250"/>
      <c r="AK264" s="250"/>
      <c r="AL264" s="250"/>
      <c r="AM264" s="250"/>
      <c r="AN264" s="250"/>
      <c r="AO264" s="250"/>
      <c r="AP264" s="250"/>
      <c r="AQ264" s="250"/>
      <c r="AR264" s="250"/>
      <c r="AS264" s="250"/>
      <c r="AT264" s="250"/>
      <c r="AU264" s="250"/>
      <c r="AV264" s="124"/>
    </row>
    <row r="265" spans="2:48" s="475" customFormat="1" x14ac:dyDescent="0.2">
      <c r="B265" s="250"/>
      <c r="C265" s="250"/>
      <c r="D265" s="250"/>
      <c r="E265" s="250"/>
      <c r="F265" s="250"/>
      <c r="G265" s="250"/>
      <c r="H265" s="250"/>
      <c r="I265" s="250"/>
      <c r="J265" s="250"/>
      <c r="K265" s="250"/>
      <c r="L265" s="250"/>
      <c r="M265" s="250"/>
      <c r="N265" s="250"/>
      <c r="O265" s="250"/>
      <c r="P265" s="250"/>
      <c r="Q265" s="250"/>
      <c r="R265" s="250"/>
      <c r="S265" s="250"/>
      <c r="T265" s="250"/>
      <c r="U265" s="250"/>
      <c r="V265" s="250"/>
      <c r="W265" s="250"/>
      <c r="X265" s="250"/>
      <c r="Y265" s="250"/>
      <c r="Z265" s="250"/>
      <c r="AA265" s="250"/>
      <c r="AB265" s="250"/>
      <c r="AC265" s="250"/>
      <c r="AD265" s="250"/>
      <c r="AE265" s="250"/>
      <c r="AF265" s="250"/>
      <c r="AG265" s="250"/>
      <c r="AH265" s="250"/>
      <c r="AI265" s="250"/>
      <c r="AJ265" s="250"/>
      <c r="AK265" s="250"/>
      <c r="AL265" s="250"/>
      <c r="AM265" s="250"/>
      <c r="AN265" s="250"/>
      <c r="AO265" s="250"/>
      <c r="AP265" s="250"/>
      <c r="AQ265" s="250"/>
      <c r="AR265" s="250"/>
      <c r="AS265" s="250"/>
      <c r="AT265" s="250"/>
      <c r="AU265" s="250"/>
      <c r="AV265" s="124"/>
    </row>
    <row r="266" spans="2:48" s="475" customFormat="1" x14ac:dyDescent="0.2">
      <c r="B266" s="250"/>
      <c r="C266" s="250"/>
      <c r="D266" s="250"/>
      <c r="E266" s="250"/>
      <c r="F266" s="250"/>
      <c r="G266" s="250"/>
      <c r="H266" s="250"/>
      <c r="I266" s="250"/>
      <c r="J266" s="250"/>
      <c r="K266" s="250"/>
      <c r="L266" s="250"/>
      <c r="M266" s="250"/>
      <c r="N266" s="250"/>
      <c r="O266" s="250"/>
      <c r="P266" s="250"/>
      <c r="Q266" s="250"/>
      <c r="R266" s="250"/>
      <c r="S266" s="250"/>
      <c r="T266" s="250"/>
      <c r="U266" s="250"/>
      <c r="V266" s="250"/>
      <c r="W266" s="250"/>
      <c r="X266" s="250"/>
      <c r="Y266" s="250"/>
      <c r="Z266" s="250"/>
      <c r="AA266" s="250"/>
      <c r="AB266" s="250"/>
      <c r="AC266" s="250"/>
      <c r="AD266" s="250"/>
      <c r="AE266" s="250"/>
      <c r="AF266" s="250"/>
      <c r="AG266" s="250"/>
      <c r="AH266" s="250"/>
      <c r="AI266" s="250"/>
      <c r="AJ266" s="250"/>
      <c r="AK266" s="250"/>
      <c r="AL266" s="250"/>
      <c r="AM266" s="250"/>
      <c r="AN266" s="250"/>
      <c r="AO266" s="250"/>
      <c r="AP266" s="250"/>
      <c r="AQ266" s="250"/>
      <c r="AR266" s="250"/>
      <c r="AS266" s="250"/>
      <c r="AT266" s="250"/>
      <c r="AU266" s="250"/>
      <c r="AV266" s="124"/>
    </row>
    <row r="267" spans="2:48" s="475" customFormat="1" x14ac:dyDescent="0.2">
      <c r="B267" s="250"/>
      <c r="C267" s="250"/>
      <c r="D267" s="250"/>
      <c r="E267" s="250"/>
      <c r="F267" s="250"/>
      <c r="G267" s="250"/>
      <c r="H267" s="250"/>
      <c r="I267" s="250"/>
      <c r="J267" s="250"/>
      <c r="K267" s="250"/>
      <c r="L267" s="250"/>
      <c r="M267" s="250"/>
      <c r="N267" s="250"/>
      <c r="O267" s="250"/>
      <c r="P267" s="250"/>
      <c r="Q267" s="250"/>
      <c r="R267" s="250"/>
      <c r="S267" s="250"/>
      <c r="T267" s="250"/>
      <c r="U267" s="250"/>
      <c r="V267" s="250"/>
      <c r="W267" s="250"/>
      <c r="X267" s="250"/>
      <c r="Y267" s="250"/>
      <c r="Z267" s="250"/>
      <c r="AA267" s="250"/>
      <c r="AB267" s="250"/>
      <c r="AC267" s="250"/>
      <c r="AD267" s="250"/>
      <c r="AE267" s="250"/>
      <c r="AF267" s="250"/>
      <c r="AG267" s="250"/>
      <c r="AH267" s="250"/>
      <c r="AI267" s="250"/>
      <c r="AJ267" s="250"/>
      <c r="AK267" s="250"/>
      <c r="AL267" s="250"/>
      <c r="AM267" s="250"/>
      <c r="AN267" s="250"/>
      <c r="AO267" s="250"/>
      <c r="AP267" s="250"/>
      <c r="AQ267" s="250"/>
      <c r="AR267" s="250"/>
      <c r="AS267" s="250"/>
      <c r="AT267" s="250"/>
      <c r="AU267" s="250"/>
      <c r="AV267" s="124"/>
    </row>
    <row r="268" spans="2:48" s="475" customFormat="1" x14ac:dyDescent="0.2">
      <c r="B268" s="250"/>
      <c r="C268" s="250"/>
      <c r="D268" s="250"/>
      <c r="E268" s="250"/>
      <c r="F268" s="250"/>
      <c r="G268" s="250"/>
      <c r="H268" s="250"/>
      <c r="I268" s="250"/>
      <c r="J268" s="250"/>
      <c r="K268" s="250"/>
      <c r="L268" s="250"/>
      <c r="M268" s="250"/>
      <c r="N268" s="250"/>
      <c r="O268" s="250"/>
      <c r="P268" s="250"/>
      <c r="Q268" s="250"/>
      <c r="R268" s="250"/>
      <c r="S268" s="250"/>
      <c r="T268" s="250"/>
      <c r="U268" s="250"/>
      <c r="V268" s="250"/>
      <c r="W268" s="250"/>
      <c r="X268" s="250"/>
      <c r="Y268" s="250"/>
      <c r="Z268" s="250"/>
      <c r="AA268" s="250"/>
      <c r="AB268" s="250"/>
      <c r="AC268" s="250"/>
      <c r="AD268" s="250"/>
      <c r="AE268" s="250"/>
      <c r="AF268" s="250"/>
      <c r="AG268" s="250"/>
      <c r="AH268" s="250"/>
      <c r="AI268" s="250"/>
      <c r="AJ268" s="250"/>
      <c r="AK268" s="250"/>
      <c r="AL268" s="250"/>
      <c r="AM268" s="250"/>
      <c r="AN268" s="250"/>
      <c r="AO268" s="250"/>
      <c r="AP268" s="250"/>
      <c r="AQ268" s="250"/>
      <c r="AR268" s="250"/>
      <c r="AS268" s="250"/>
      <c r="AT268" s="250"/>
      <c r="AU268" s="250"/>
      <c r="AV268" s="124"/>
    </row>
    <row r="269" spans="2:48" s="475" customFormat="1" x14ac:dyDescent="0.2">
      <c r="B269" s="250"/>
      <c r="C269" s="250"/>
      <c r="D269" s="250"/>
      <c r="E269" s="250"/>
      <c r="F269" s="250"/>
      <c r="G269" s="250"/>
      <c r="H269" s="250"/>
      <c r="I269" s="250"/>
      <c r="J269" s="250"/>
      <c r="K269" s="250"/>
      <c r="L269" s="250"/>
      <c r="M269" s="250"/>
      <c r="N269" s="250"/>
      <c r="O269" s="250"/>
      <c r="P269" s="250"/>
      <c r="Q269" s="250"/>
      <c r="R269" s="250"/>
      <c r="S269" s="250"/>
      <c r="T269" s="250"/>
      <c r="U269" s="250"/>
      <c r="V269" s="250"/>
      <c r="W269" s="250"/>
      <c r="X269" s="250"/>
      <c r="Y269" s="250"/>
      <c r="Z269" s="250"/>
      <c r="AA269" s="250"/>
      <c r="AB269" s="250"/>
      <c r="AC269" s="250"/>
      <c r="AD269" s="250"/>
      <c r="AE269" s="250"/>
      <c r="AF269" s="250"/>
      <c r="AG269" s="250"/>
      <c r="AH269" s="250"/>
      <c r="AI269" s="250"/>
      <c r="AJ269" s="250"/>
      <c r="AK269" s="250"/>
      <c r="AL269" s="250"/>
      <c r="AM269" s="250"/>
      <c r="AN269" s="250"/>
      <c r="AO269" s="250"/>
      <c r="AP269" s="250"/>
      <c r="AQ269" s="250"/>
      <c r="AR269" s="250"/>
      <c r="AS269" s="250"/>
      <c r="AT269" s="250"/>
      <c r="AU269" s="250"/>
      <c r="AV269" s="124"/>
    </row>
    <row r="270" spans="2:48" s="475" customFormat="1" x14ac:dyDescent="0.2">
      <c r="B270" s="250"/>
      <c r="C270" s="250"/>
      <c r="D270" s="250"/>
      <c r="E270" s="250"/>
      <c r="F270" s="250"/>
      <c r="G270" s="250"/>
      <c r="H270" s="250"/>
      <c r="I270" s="250"/>
      <c r="J270" s="250"/>
      <c r="K270" s="250"/>
      <c r="L270" s="250"/>
      <c r="M270" s="250"/>
      <c r="N270" s="250"/>
      <c r="O270" s="250"/>
      <c r="P270" s="250"/>
      <c r="Q270" s="250"/>
      <c r="R270" s="250"/>
      <c r="S270" s="250"/>
      <c r="T270" s="250"/>
      <c r="U270" s="250"/>
      <c r="V270" s="250"/>
      <c r="W270" s="250"/>
      <c r="X270" s="250"/>
      <c r="Y270" s="250"/>
      <c r="Z270" s="250"/>
      <c r="AA270" s="250"/>
      <c r="AB270" s="250"/>
      <c r="AC270" s="250"/>
      <c r="AD270" s="250"/>
      <c r="AE270" s="250"/>
      <c r="AF270" s="250"/>
      <c r="AG270" s="250"/>
      <c r="AH270" s="250"/>
      <c r="AI270" s="250"/>
      <c r="AJ270" s="250"/>
      <c r="AK270" s="250"/>
      <c r="AL270" s="250"/>
      <c r="AM270" s="250"/>
      <c r="AN270" s="250"/>
      <c r="AO270" s="250"/>
      <c r="AP270" s="250"/>
      <c r="AQ270" s="250"/>
      <c r="AR270" s="250"/>
      <c r="AS270" s="250"/>
      <c r="AT270" s="250"/>
      <c r="AU270" s="250"/>
      <c r="AV270" s="124"/>
    </row>
    <row r="271" spans="2:48" s="475" customFormat="1" x14ac:dyDescent="0.2">
      <c r="B271" s="250"/>
      <c r="C271" s="250"/>
      <c r="D271" s="250"/>
      <c r="E271" s="250"/>
      <c r="F271" s="250"/>
      <c r="G271" s="250"/>
      <c r="H271" s="250"/>
      <c r="I271" s="250"/>
      <c r="J271" s="250"/>
      <c r="K271" s="250"/>
      <c r="L271" s="250"/>
      <c r="M271" s="250"/>
      <c r="N271" s="250"/>
      <c r="O271" s="250"/>
      <c r="P271" s="250"/>
      <c r="Q271" s="250"/>
      <c r="R271" s="250"/>
      <c r="S271" s="250"/>
      <c r="T271" s="250"/>
      <c r="U271" s="250"/>
      <c r="V271" s="250"/>
      <c r="W271" s="250"/>
      <c r="X271" s="250"/>
      <c r="Y271" s="250"/>
      <c r="Z271" s="250"/>
      <c r="AA271" s="250"/>
      <c r="AB271" s="250"/>
      <c r="AC271" s="250"/>
      <c r="AD271" s="250"/>
      <c r="AE271" s="250"/>
      <c r="AF271" s="250"/>
      <c r="AG271" s="250"/>
      <c r="AH271" s="250"/>
      <c r="AI271" s="250"/>
      <c r="AJ271" s="250"/>
      <c r="AK271" s="250"/>
      <c r="AL271" s="250"/>
      <c r="AM271" s="250"/>
      <c r="AN271" s="250"/>
      <c r="AO271" s="250"/>
      <c r="AP271" s="250"/>
      <c r="AQ271" s="250"/>
      <c r="AR271" s="250"/>
      <c r="AS271" s="250"/>
      <c r="AT271" s="250"/>
      <c r="AU271" s="250"/>
      <c r="AV271" s="124"/>
    </row>
    <row r="272" spans="2:48" s="475" customFormat="1" x14ac:dyDescent="0.2">
      <c r="B272" s="250"/>
      <c r="C272" s="250"/>
      <c r="D272" s="250"/>
      <c r="E272" s="250"/>
      <c r="F272" s="250"/>
      <c r="G272" s="250"/>
      <c r="H272" s="250"/>
      <c r="I272" s="250"/>
      <c r="J272" s="250"/>
      <c r="K272" s="250"/>
      <c r="L272" s="250"/>
      <c r="M272" s="250"/>
      <c r="N272" s="250"/>
      <c r="O272" s="250"/>
      <c r="P272" s="250"/>
      <c r="Q272" s="250"/>
      <c r="R272" s="250"/>
      <c r="S272" s="250"/>
      <c r="T272" s="250"/>
      <c r="U272" s="250"/>
      <c r="V272" s="250"/>
      <c r="W272" s="250"/>
      <c r="X272" s="250"/>
      <c r="Y272" s="250"/>
      <c r="Z272" s="250"/>
      <c r="AA272" s="250"/>
      <c r="AB272" s="250"/>
      <c r="AC272" s="250"/>
      <c r="AD272" s="250"/>
      <c r="AE272" s="250"/>
      <c r="AF272" s="250"/>
      <c r="AG272" s="250"/>
      <c r="AH272" s="250"/>
      <c r="AI272" s="250"/>
      <c r="AJ272" s="250"/>
      <c r="AK272" s="250"/>
      <c r="AL272" s="250"/>
      <c r="AM272" s="250"/>
      <c r="AN272" s="250"/>
      <c r="AO272" s="250"/>
      <c r="AP272" s="250"/>
      <c r="AQ272" s="250"/>
      <c r="AR272" s="250"/>
      <c r="AS272" s="250"/>
      <c r="AT272" s="250"/>
      <c r="AU272" s="250"/>
      <c r="AV272" s="124"/>
    </row>
    <row r="273" spans="2:48" s="475" customFormat="1" x14ac:dyDescent="0.2">
      <c r="B273" s="250"/>
      <c r="C273" s="250"/>
      <c r="D273" s="250"/>
      <c r="E273" s="250"/>
      <c r="F273" s="250"/>
      <c r="G273" s="250"/>
      <c r="H273" s="250"/>
      <c r="I273" s="250"/>
      <c r="J273" s="250"/>
      <c r="K273" s="250"/>
      <c r="L273" s="250"/>
      <c r="M273" s="250"/>
      <c r="N273" s="250"/>
      <c r="O273" s="250"/>
      <c r="P273" s="250"/>
      <c r="Q273" s="250"/>
      <c r="R273" s="250"/>
      <c r="S273" s="250"/>
      <c r="T273" s="250"/>
      <c r="U273" s="250"/>
      <c r="V273" s="250"/>
      <c r="W273" s="250"/>
      <c r="X273" s="250"/>
      <c r="Y273" s="250"/>
      <c r="Z273" s="250"/>
      <c r="AA273" s="250"/>
      <c r="AB273" s="250"/>
      <c r="AC273" s="250"/>
      <c r="AD273" s="250"/>
      <c r="AE273" s="250"/>
      <c r="AF273" s="250"/>
      <c r="AG273" s="250"/>
      <c r="AH273" s="250"/>
      <c r="AI273" s="250"/>
      <c r="AJ273" s="250"/>
      <c r="AK273" s="250"/>
      <c r="AL273" s="250"/>
      <c r="AM273" s="250"/>
      <c r="AN273" s="250"/>
      <c r="AO273" s="250"/>
      <c r="AP273" s="250"/>
      <c r="AQ273" s="250"/>
      <c r="AR273" s="250"/>
      <c r="AS273" s="250"/>
      <c r="AT273" s="250"/>
      <c r="AU273" s="250"/>
      <c r="AV273" s="124"/>
    </row>
    <row r="274" spans="2:48" s="475" customFormat="1" x14ac:dyDescent="0.2">
      <c r="B274" s="250"/>
      <c r="C274" s="250"/>
      <c r="D274" s="250"/>
      <c r="E274" s="250"/>
      <c r="F274" s="250"/>
      <c r="G274" s="250"/>
      <c r="H274" s="250"/>
      <c r="I274" s="250"/>
      <c r="J274" s="250"/>
      <c r="K274" s="250"/>
      <c r="L274" s="250"/>
      <c r="M274" s="250"/>
      <c r="N274" s="250"/>
      <c r="O274" s="250"/>
      <c r="P274" s="250"/>
      <c r="Q274" s="250"/>
      <c r="R274" s="250"/>
      <c r="S274" s="250"/>
      <c r="T274" s="250"/>
      <c r="U274" s="250"/>
      <c r="V274" s="250"/>
      <c r="W274" s="250"/>
      <c r="X274" s="250"/>
      <c r="Y274" s="250"/>
      <c r="Z274" s="250"/>
      <c r="AA274" s="250"/>
      <c r="AB274" s="250"/>
      <c r="AC274" s="250"/>
      <c r="AD274" s="250"/>
      <c r="AE274" s="250"/>
      <c r="AF274" s="250"/>
      <c r="AG274" s="250"/>
      <c r="AH274" s="250"/>
      <c r="AI274" s="250"/>
      <c r="AJ274" s="250"/>
      <c r="AK274" s="250"/>
      <c r="AL274" s="250"/>
      <c r="AM274" s="250"/>
      <c r="AN274" s="250"/>
      <c r="AO274" s="250"/>
      <c r="AP274" s="250"/>
      <c r="AQ274" s="250"/>
      <c r="AR274" s="250"/>
      <c r="AS274" s="250"/>
      <c r="AT274" s="250"/>
      <c r="AU274" s="250"/>
      <c r="AV274" s="124"/>
    </row>
    <row r="275" spans="2:48" s="475" customFormat="1" x14ac:dyDescent="0.2">
      <c r="B275" s="250"/>
      <c r="C275" s="250"/>
      <c r="D275" s="250"/>
      <c r="E275" s="250"/>
      <c r="F275" s="250"/>
      <c r="G275" s="250"/>
      <c r="H275" s="250"/>
      <c r="I275" s="250"/>
      <c r="J275" s="250"/>
      <c r="K275" s="250"/>
      <c r="L275" s="250"/>
      <c r="M275" s="250"/>
      <c r="N275" s="250"/>
      <c r="O275" s="250"/>
      <c r="P275" s="250"/>
      <c r="Q275" s="250"/>
      <c r="R275" s="250"/>
      <c r="S275" s="250"/>
      <c r="T275" s="250"/>
      <c r="U275" s="250"/>
      <c r="V275" s="250"/>
      <c r="W275" s="250"/>
      <c r="X275" s="250"/>
      <c r="Y275" s="250"/>
      <c r="Z275" s="250"/>
      <c r="AA275" s="250"/>
      <c r="AB275" s="250"/>
      <c r="AC275" s="250"/>
      <c r="AD275" s="250"/>
      <c r="AE275" s="250"/>
      <c r="AF275" s="250"/>
      <c r="AG275" s="250"/>
      <c r="AH275" s="250"/>
      <c r="AI275" s="250"/>
      <c r="AJ275" s="250"/>
      <c r="AK275" s="250"/>
      <c r="AL275" s="250"/>
      <c r="AM275" s="250"/>
      <c r="AN275" s="250"/>
      <c r="AO275" s="250"/>
      <c r="AP275" s="250"/>
      <c r="AQ275" s="250"/>
      <c r="AR275" s="250"/>
      <c r="AS275" s="250"/>
      <c r="AT275" s="250"/>
      <c r="AU275" s="250"/>
      <c r="AV275" s="124"/>
    </row>
    <row r="276" spans="2:48" s="475" customFormat="1" x14ac:dyDescent="0.2">
      <c r="B276" s="250"/>
      <c r="C276" s="250"/>
      <c r="D276" s="250"/>
      <c r="E276" s="250"/>
      <c r="F276" s="250"/>
      <c r="G276" s="250"/>
      <c r="H276" s="250"/>
      <c r="I276" s="250"/>
      <c r="J276" s="250"/>
      <c r="K276" s="250"/>
      <c r="L276" s="250"/>
      <c r="M276" s="250"/>
      <c r="N276" s="250"/>
      <c r="O276" s="250"/>
      <c r="P276" s="250"/>
      <c r="Q276" s="250"/>
      <c r="R276" s="250"/>
      <c r="S276" s="250"/>
      <c r="T276" s="250"/>
      <c r="U276" s="250"/>
      <c r="V276" s="250"/>
      <c r="W276" s="250"/>
      <c r="X276" s="250"/>
      <c r="Y276" s="250"/>
      <c r="Z276" s="250"/>
      <c r="AA276" s="250"/>
      <c r="AB276" s="250"/>
      <c r="AC276" s="250"/>
      <c r="AD276" s="250"/>
      <c r="AE276" s="250"/>
      <c r="AF276" s="250"/>
      <c r="AG276" s="250"/>
      <c r="AH276" s="250"/>
      <c r="AI276" s="250"/>
      <c r="AJ276" s="250"/>
      <c r="AK276" s="250"/>
      <c r="AL276" s="250"/>
      <c r="AM276" s="250"/>
      <c r="AN276" s="250"/>
      <c r="AO276" s="250"/>
      <c r="AP276" s="250"/>
      <c r="AQ276" s="250"/>
      <c r="AR276" s="250"/>
      <c r="AS276" s="250"/>
      <c r="AT276" s="250"/>
      <c r="AU276" s="250"/>
      <c r="AV276" s="124"/>
    </row>
    <row r="277" spans="2:48" s="475" customFormat="1" x14ac:dyDescent="0.2">
      <c r="B277" s="250"/>
      <c r="C277" s="250"/>
      <c r="D277" s="250"/>
      <c r="E277" s="250"/>
      <c r="F277" s="250"/>
      <c r="G277" s="250"/>
      <c r="H277" s="250"/>
      <c r="I277" s="250"/>
      <c r="J277" s="250"/>
      <c r="K277" s="250"/>
      <c r="L277" s="250"/>
      <c r="M277" s="250"/>
      <c r="N277" s="250"/>
      <c r="O277" s="250"/>
      <c r="P277" s="250"/>
      <c r="Q277" s="250"/>
      <c r="R277" s="250"/>
      <c r="S277" s="250"/>
      <c r="T277" s="250"/>
      <c r="U277" s="250"/>
      <c r="V277" s="250"/>
      <c r="W277" s="250"/>
      <c r="X277" s="250"/>
      <c r="Y277" s="250"/>
      <c r="Z277" s="250"/>
      <c r="AA277" s="250"/>
      <c r="AB277" s="250"/>
      <c r="AC277" s="250"/>
      <c r="AD277" s="250"/>
      <c r="AE277" s="250"/>
      <c r="AF277" s="250"/>
      <c r="AG277" s="250"/>
      <c r="AH277" s="250"/>
      <c r="AI277" s="250"/>
      <c r="AJ277" s="250"/>
      <c r="AK277" s="250"/>
      <c r="AL277" s="250"/>
      <c r="AM277" s="250"/>
      <c r="AN277" s="250"/>
      <c r="AO277" s="250"/>
      <c r="AP277" s="250"/>
      <c r="AQ277" s="250"/>
      <c r="AR277" s="250"/>
      <c r="AS277" s="250"/>
      <c r="AT277" s="250"/>
      <c r="AU277" s="250"/>
      <c r="AV277" s="124"/>
    </row>
    <row r="278" spans="2:48" s="475" customFormat="1" x14ac:dyDescent="0.2">
      <c r="B278" s="250"/>
      <c r="C278" s="250"/>
      <c r="D278" s="250"/>
      <c r="E278" s="250"/>
      <c r="F278" s="250"/>
      <c r="G278" s="250"/>
      <c r="H278" s="250"/>
      <c r="I278" s="250"/>
      <c r="J278" s="250"/>
      <c r="K278" s="250"/>
      <c r="L278" s="250"/>
      <c r="M278" s="250"/>
      <c r="N278" s="250"/>
      <c r="O278" s="250"/>
      <c r="P278" s="250"/>
      <c r="Q278" s="250"/>
      <c r="R278" s="250"/>
      <c r="S278" s="250"/>
      <c r="T278" s="250"/>
      <c r="U278" s="250"/>
      <c r="V278" s="250"/>
      <c r="W278" s="250"/>
      <c r="X278" s="250"/>
      <c r="Y278" s="250"/>
      <c r="Z278" s="250"/>
      <c r="AA278" s="250"/>
      <c r="AB278" s="250"/>
      <c r="AC278" s="250"/>
      <c r="AD278" s="250"/>
      <c r="AE278" s="250"/>
      <c r="AF278" s="250"/>
      <c r="AG278" s="250"/>
      <c r="AH278" s="250"/>
      <c r="AI278" s="250"/>
      <c r="AJ278" s="250"/>
      <c r="AK278" s="250"/>
      <c r="AL278" s="250"/>
      <c r="AM278" s="250"/>
      <c r="AN278" s="250"/>
      <c r="AO278" s="250"/>
      <c r="AP278" s="250"/>
      <c r="AQ278" s="250"/>
      <c r="AR278" s="250"/>
      <c r="AS278" s="250"/>
      <c r="AT278" s="250"/>
      <c r="AU278" s="250"/>
      <c r="AV278" s="124"/>
    </row>
    <row r="279" spans="2:48" s="475" customFormat="1" x14ac:dyDescent="0.2">
      <c r="B279" s="250"/>
      <c r="C279" s="250"/>
      <c r="D279" s="250"/>
      <c r="E279" s="250"/>
      <c r="F279" s="250"/>
      <c r="G279" s="250"/>
      <c r="H279" s="250"/>
      <c r="I279" s="250"/>
      <c r="J279" s="250"/>
      <c r="K279" s="250"/>
      <c r="L279" s="250"/>
      <c r="M279" s="250"/>
      <c r="N279" s="250"/>
      <c r="O279" s="250"/>
      <c r="P279" s="250"/>
      <c r="Q279" s="250"/>
      <c r="R279" s="250"/>
      <c r="S279" s="250"/>
      <c r="T279" s="250"/>
      <c r="U279" s="250"/>
      <c r="V279" s="250"/>
      <c r="W279" s="250"/>
      <c r="X279" s="250"/>
      <c r="Y279" s="250"/>
      <c r="Z279" s="250"/>
      <c r="AA279" s="250"/>
      <c r="AB279" s="250"/>
      <c r="AC279" s="250"/>
      <c r="AD279" s="250"/>
      <c r="AE279" s="250"/>
      <c r="AF279" s="250"/>
      <c r="AG279" s="250"/>
      <c r="AH279" s="250"/>
      <c r="AI279" s="250"/>
      <c r="AJ279" s="250"/>
      <c r="AK279" s="250"/>
      <c r="AL279" s="250"/>
      <c r="AM279" s="250"/>
      <c r="AN279" s="250"/>
      <c r="AO279" s="250"/>
      <c r="AP279" s="250"/>
      <c r="AQ279" s="250"/>
      <c r="AR279" s="250"/>
      <c r="AS279" s="250"/>
      <c r="AT279" s="250"/>
      <c r="AU279" s="250"/>
      <c r="AV279" s="124"/>
    </row>
    <row r="280" spans="2:48" s="475" customFormat="1" x14ac:dyDescent="0.2">
      <c r="B280" s="250"/>
      <c r="C280" s="250"/>
      <c r="D280" s="250"/>
      <c r="E280" s="250"/>
      <c r="F280" s="250"/>
      <c r="G280" s="250"/>
      <c r="H280" s="250"/>
      <c r="I280" s="250"/>
      <c r="J280" s="250"/>
      <c r="K280" s="250"/>
      <c r="L280" s="250"/>
      <c r="M280" s="250"/>
      <c r="N280" s="250"/>
      <c r="O280" s="250"/>
      <c r="P280" s="250"/>
      <c r="Q280" s="250"/>
      <c r="R280" s="250"/>
      <c r="S280" s="250"/>
      <c r="T280" s="250"/>
      <c r="U280" s="250"/>
      <c r="V280" s="250"/>
      <c r="W280" s="250"/>
      <c r="X280" s="250"/>
      <c r="Y280" s="250"/>
      <c r="Z280" s="250"/>
      <c r="AA280" s="250"/>
      <c r="AB280" s="250"/>
      <c r="AC280" s="250"/>
      <c r="AD280" s="250"/>
      <c r="AE280" s="250"/>
      <c r="AF280" s="250"/>
      <c r="AG280" s="250"/>
      <c r="AH280" s="250"/>
      <c r="AI280" s="250"/>
      <c r="AJ280" s="250"/>
      <c r="AK280" s="250"/>
      <c r="AL280" s="250"/>
      <c r="AM280" s="250"/>
      <c r="AN280" s="250"/>
      <c r="AO280" s="250"/>
      <c r="AP280" s="250"/>
      <c r="AQ280" s="250"/>
      <c r="AR280" s="250"/>
      <c r="AS280" s="250"/>
      <c r="AT280" s="250"/>
      <c r="AU280" s="250"/>
      <c r="AV280" s="124"/>
    </row>
    <row r="281" spans="2:48" s="475" customFormat="1" x14ac:dyDescent="0.2">
      <c r="B281" s="250"/>
      <c r="C281" s="250"/>
      <c r="D281" s="250"/>
      <c r="E281" s="250"/>
      <c r="F281" s="250"/>
      <c r="G281" s="250"/>
      <c r="H281" s="250"/>
      <c r="I281" s="250"/>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c r="AN281" s="250"/>
      <c r="AO281" s="250"/>
      <c r="AP281" s="250"/>
      <c r="AQ281" s="250"/>
      <c r="AR281" s="250"/>
      <c r="AS281" s="250"/>
      <c r="AT281" s="250"/>
      <c r="AU281" s="250"/>
      <c r="AV281" s="124"/>
    </row>
    <row r="282" spans="2:48" s="475" customFormat="1" x14ac:dyDescent="0.2">
      <c r="B282" s="250"/>
      <c r="C282" s="250"/>
      <c r="D282" s="250"/>
      <c r="E282" s="250"/>
      <c r="F282" s="250"/>
      <c r="G282" s="250"/>
      <c r="H282" s="250"/>
      <c r="I282" s="250"/>
      <c r="J282" s="250"/>
      <c r="K282" s="250"/>
      <c r="L282" s="250"/>
      <c r="M282" s="250"/>
      <c r="N282" s="250"/>
      <c r="O282" s="250"/>
      <c r="P282" s="250"/>
      <c r="Q282" s="250"/>
      <c r="R282" s="250"/>
      <c r="S282" s="250"/>
      <c r="T282" s="250"/>
      <c r="U282" s="250"/>
      <c r="V282" s="250"/>
      <c r="W282" s="250"/>
      <c r="X282" s="250"/>
      <c r="Y282" s="250"/>
      <c r="Z282" s="250"/>
      <c r="AA282" s="250"/>
      <c r="AB282" s="250"/>
      <c r="AC282" s="250"/>
      <c r="AD282" s="250"/>
      <c r="AE282" s="250"/>
      <c r="AF282" s="250"/>
      <c r="AG282" s="250"/>
      <c r="AH282" s="250"/>
      <c r="AI282" s="250"/>
      <c r="AJ282" s="250"/>
      <c r="AK282" s="250"/>
      <c r="AL282" s="250"/>
      <c r="AM282" s="250"/>
      <c r="AN282" s="250"/>
      <c r="AO282" s="250"/>
      <c r="AP282" s="250"/>
      <c r="AQ282" s="250"/>
      <c r="AR282" s="250"/>
      <c r="AS282" s="250"/>
      <c r="AT282" s="250"/>
      <c r="AU282" s="250"/>
      <c r="AV282" s="124"/>
    </row>
    <row r="283" spans="2:48" s="475" customFormat="1" x14ac:dyDescent="0.2">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124"/>
    </row>
    <row r="284" spans="2:48" s="475" customFormat="1" x14ac:dyDescent="0.2">
      <c r="B284" s="250"/>
      <c r="C284" s="250"/>
      <c r="D284" s="250"/>
      <c r="E284" s="250"/>
      <c r="F284" s="250"/>
      <c r="G284" s="250"/>
      <c r="H284" s="250"/>
      <c r="I284" s="250"/>
      <c r="J284" s="250"/>
      <c r="K284" s="250"/>
      <c r="L284" s="250"/>
      <c r="M284" s="250"/>
      <c r="N284" s="250"/>
      <c r="O284" s="250"/>
      <c r="P284" s="250"/>
      <c r="Q284" s="250"/>
      <c r="R284" s="250"/>
      <c r="S284" s="250"/>
      <c r="T284" s="250"/>
      <c r="U284" s="250"/>
      <c r="V284" s="250"/>
      <c r="W284" s="250"/>
      <c r="X284" s="250"/>
      <c r="Y284" s="250"/>
      <c r="Z284" s="250"/>
      <c r="AA284" s="250"/>
      <c r="AB284" s="250"/>
      <c r="AC284" s="250"/>
      <c r="AD284" s="250"/>
      <c r="AE284" s="250"/>
      <c r="AF284" s="250"/>
      <c r="AG284" s="250"/>
      <c r="AH284" s="250"/>
      <c r="AI284" s="250"/>
      <c r="AJ284" s="250"/>
      <c r="AK284" s="250"/>
      <c r="AL284" s="250"/>
      <c r="AM284" s="250"/>
      <c r="AN284" s="250"/>
      <c r="AO284" s="250"/>
      <c r="AP284" s="250"/>
      <c r="AQ284" s="250"/>
      <c r="AR284" s="250"/>
      <c r="AS284" s="250"/>
      <c r="AT284" s="250"/>
      <c r="AU284" s="250"/>
      <c r="AV284" s="124"/>
    </row>
    <row r="285" spans="2:48" s="475" customFormat="1" x14ac:dyDescent="0.2">
      <c r="B285" s="250"/>
      <c r="C285" s="250"/>
      <c r="D285" s="250"/>
      <c r="E285" s="250"/>
      <c r="F285" s="250"/>
      <c r="G285" s="250"/>
      <c r="H285" s="250"/>
      <c r="I285" s="250"/>
      <c r="J285" s="250"/>
      <c r="K285" s="250"/>
      <c r="L285" s="250"/>
      <c r="M285" s="250"/>
      <c r="N285" s="250"/>
      <c r="O285" s="250"/>
      <c r="P285" s="250"/>
      <c r="Q285" s="250"/>
      <c r="R285" s="250"/>
      <c r="S285" s="250"/>
      <c r="T285" s="250"/>
      <c r="U285" s="250"/>
      <c r="V285" s="250"/>
      <c r="W285" s="250"/>
      <c r="X285" s="250"/>
      <c r="Y285" s="250"/>
      <c r="Z285" s="250"/>
      <c r="AA285" s="250"/>
      <c r="AB285" s="250"/>
      <c r="AC285" s="250"/>
      <c r="AD285" s="250"/>
      <c r="AE285" s="250"/>
      <c r="AF285" s="250"/>
      <c r="AG285" s="250"/>
      <c r="AH285" s="250"/>
      <c r="AI285" s="250"/>
      <c r="AJ285" s="250"/>
      <c r="AK285" s="250"/>
      <c r="AL285" s="250"/>
      <c r="AM285" s="250"/>
      <c r="AN285" s="250"/>
      <c r="AO285" s="250"/>
      <c r="AP285" s="250"/>
      <c r="AQ285" s="250"/>
      <c r="AR285" s="250"/>
      <c r="AS285" s="250"/>
      <c r="AT285" s="250"/>
      <c r="AU285" s="250"/>
      <c r="AV285" s="124"/>
    </row>
    <row r="286" spans="2:48" s="475" customFormat="1" x14ac:dyDescent="0.2">
      <c r="B286" s="250"/>
      <c r="C286" s="250"/>
      <c r="D286" s="250"/>
      <c r="E286" s="250"/>
      <c r="F286" s="250"/>
      <c r="G286" s="250"/>
      <c r="H286" s="250"/>
      <c r="I286" s="250"/>
      <c r="J286" s="250"/>
      <c r="K286" s="250"/>
      <c r="L286" s="250"/>
      <c r="M286" s="250"/>
      <c r="N286" s="250"/>
      <c r="O286" s="250"/>
      <c r="P286" s="250"/>
      <c r="Q286" s="250"/>
      <c r="R286" s="250"/>
      <c r="S286" s="250"/>
      <c r="T286" s="250"/>
      <c r="U286" s="250"/>
      <c r="V286" s="250"/>
      <c r="W286" s="250"/>
      <c r="X286" s="250"/>
      <c r="Y286" s="250"/>
      <c r="Z286" s="250"/>
      <c r="AA286" s="250"/>
      <c r="AB286" s="250"/>
      <c r="AC286" s="250"/>
      <c r="AD286" s="250"/>
      <c r="AE286" s="250"/>
      <c r="AF286" s="250"/>
      <c r="AG286" s="250"/>
      <c r="AH286" s="250"/>
      <c r="AI286" s="250"/>
      <c r="AJ286" s="250"/>
      <c r="AK286" s="250"/>
      <c r="AL286" s="250"/>
      <c r="AM286" s="250"/>
      <c r="AN286" s="250"/>
      <c r="AO286" s="250"/>
      <c r="AP286" s="250"/>
      <c r="AQ286" s="250"/>
      <c r="AR286" s="250"/>
      <c r="AS286" s="250"/>
      <c r="AT286" s="250"/>
      <c r="AU286" s="250"/>
      <c r="AV286" s="124"/>
    </row>
    <row r="287" spans="2:48" s="475" customFormat="1" x14ac:dyDescent="0.2">
      <c r="B287" s="250"/>
      <c r="C287" s="250"/>
      <c r="D287" s="250"/>
      <c r="E287" s="250"/>
      <c r="F287" s="250"/>
      <c r="G287" s="250"/>
      <c r="H287" s="250"/>
      <c r="I287" s="250"/>
      <c r="J287" s="250"/>
      <c r="K287" s="250"/>
      <c r="L287" s="250"/>
      <c r="M287" s="250"/>
      <c r="N287" s="250"/>
      <c r="O287" s="250"/>
      <c r="P287" s="250"/>
      <c r="Q287" s="250"/>
      <c r="R287" s="250"/>
      <c r="S287" s="250"/>
      <c r="T287" s="250"/>
      <c r="U287" s="250"/>
      <c r="V287" s="250"/>
      <c r="W287" s="250"/>
      <c r="X287" s="250"/>
      <c r="Y287" s="250"/>
      <c r="Z287" s="250"/>
      <c r="AA287" s="250"/>
      <c r="AB287" s="250"/>
      <c r="AC287" s="250"/>
      <c r="AD287" s="250"/>
      <c r="AE287" s="250"/>
      <c r="AF287" s="250"/>
      <c r="AG287" s="250"/>
      <c r="AH287" s="250"/>
      <c r="AI287" s="250"/>
      <c r="AJ287" s="250"/>
      <c r="AK287" s="250"/>
      <c r="AL287" s="250"/>
      <c r="AM287" s="250"/>
      <c r="AN287" s="250"/>
      <c r="AO287" s="250"/>
      <c r="AP287" s="250"/>
      <c r="AQ287" s="250"/>
      <c r="AR287" s="250"/>
      <c r="AS287" s="250"/>
      <c r="AT287" s="250"/>
      <c r="AU287" s="250"/>
      <c r="AV287" s="124"/>
    </row>
    <row r="288" spans="2:48" s="475" customFormat="1" x14ac:dyDescent="0.2">
      <c r="B288" s="250"/>
      <c r="C288" s="250"/>
      <c r="D288" s="250"/>
      <c r="E288" s="250"/>
      <c r="F288" s="250"/>
      <c r="G288" s="250"/>
      <c r="H288" s="250"/>
      <c r="I288" s="250"/>
      <c r="J288" s="250"/>
      <c r="K288" s="250"/>
      <c r="L288" s="250"/>
      <c r="M288" s="250"/>
      <c r="N288" s="250"/>
      <c r="O288" s="250"/>
      <c r="P288" s="250"/>
      <c r="Q288" s="250"/>
      <c r="R288" s="250"/>
      <c r="S288" s="250"/>
      <c r="T288" s="250"/>
      <c r="U288" s="250"/>
      <c r="V288" s="250"/>
      <c r="W288" s="250"/>
      <c r="X288" s="250"/>
      <c r="Y288" s="250"/>
      <c r="Z288" s="250"/>
      <c r="AA288" s="250"/>
      <c r="AB288" s="250"/>
      <c r="AC288" s="250"/>
      <c r="AD288" s="250"/>
      <c r="AE288" s="250"/>
      <c r="AF288" s="250"/>
      <c r="AG288" s="250"/>
      <c r="AH288" s="250"/>
      <c r="AI288" s="250"/>
      <c r="AJ288" s="250"/>
      <c r="AK288" s="250"/>
      <c r="AL288" s="250"/>
      <c r="AM288" s="250"/>
      <c r="AN288" s="250"/>
      <c r="AO288" s="250"/>
      <c r="AP288" s="250"/>
      <c r="AQ288" s="250"/>
      <c r="AR288" s="250"/>
      <c r="AS288" s="250"/>
      <c r="AT288" s="250"/>
      <c r="AU288" s="250"/>
      <c r="AV288" s="124"/>
    </row>
    <row r="289" spans="2:48" s="475" customFormat="1" x14ac:dyDescent="0.2">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124"/>
    </row>
    <row r="290" spans="2:48" s="475" customFormat="1" x14ac:dyDescent="0.2">
      <c r="B290" s="250"/>
      <c r="C290" s="250"/>
      <c r="D290" s="250"/>
      <c r="E290" s="250"/>
      <c r="F290" s="250"/>
      <c r="G290" s="250"/>
      <c r="H290" s="250"/>
      <c r="I290" s="250"/>
      <c r="J290" s="250"/>
      <c r="K290" s="250"/>
      <c r="L290" s="250"/>
      <c r="M290" s="250"/>
      <c r="N290" s="250"/>
      <c r="O290" s="250"/>
      <c r="P290" s="250"/>
      <c r="Q290" s="250"/>
      <c r="R290" s="250"/>
      <c r="S290" s="250"/>
      <c r="T290" s="250"/>
      <c r="U290" s="250"/>
      <c r="V290" s="250"/>
      <c r="W290" s="250"/>
      <c r="X290" s="250"/>
      <c r="Y290" s="250"/>
      <c r="Z290" s="250"/>
      <c r="AA290" s="250"/>
      <c r="AB290" s="250"/>
      <c r="AC290" s="250"/>
      <c r="AD290" s="250"/>
      <c r="AE290" s="250"/>
      <c r="AF290" s="250"/>
      <c r="AG290" s="250"/>
      <c r="AH290" s="250"/>
      <c r="AI290" s="250"/>
      <c r="AJ290" s="250"/>
      <c r="AK290" s="250"/>
      <c r="AL290" s="250"/>
      <c r="AM290" s="250"/>
      <c r="AN290" s="250"/>
      <c r="AO290" s="250"/>
      <c r="AP290" s="250"/>
      <c r="AQ290" s="250"/>
      <c r="AR290" s="250"/>
      <c r="AS290" s="250"/>
      <c r="AT290" s="250"/>
      <c r="AU290" s="250"/>
      <c r="AV290" s="124"/>
    </row>
    <row r="291" spans="2:48" s="475" customFormat="1" x14ac:dyDescent="0.2">
      <c r="B291" s="250"/>
      <c r="C291" s="250"/>
      <c r="D291" s="250"/>
      <c r="E291" s="250"/>
      <c r="F291" s="250"/>
      <c r="G291" s="250"/>
      <c r="H291" s="250"/>
      <c r="I291" s="250"/>
      <c r="J291" s="250"/>
      <c r="K291" s="250"/>
      <c r="L291" s="250"/>
      <c r="M291" s="250"/>
      <c r="N291" s="250"/>
      <c r="O291" s="250"/>
      <c r="P291" s="250"/>
      <c r="Q291" s="250"/>
      <c r="R291" s="250"/>
      <c r="S291" s="250"/>
      <c r="T291" s="250"/>
      <c r="U291" s="250"/>
      <c r="V291" s="250"/>
      <c r="W291" s="250"/>
      <c r="X291" s="250"/>
      <c r="Y291" s="250"/>
      <c r="Z291" s="250"/>
      <c r="AA291" s="250"/>
      <c r="AB291" s="250"/>
      <c r="AC291" s="250"/>
      <c r="AD291" s="250"/>
      <c r="AE291" s="250"/>
      <c r="AF291" s="250"/>
      <c r="AG291" s="250"/>
      <c r="AH291" s="250"/>
      <c r="AI291" s="250"/>
      <c r="AJ291" s="250"/>
      <c r="AK291" s="250"/>
      <c r="AL291" s="250"/>
      <c r="AM291" s="250"/>
      <c r="AN291" s="250"/>
      <c r="AO291" s="250"/>
      <c r="AP291" s="250"/>
      <c r="AQ291" s="250"/>
      <c r="AR291" s="250"/>
      <c r="AS291" s="250"/>
      <c r="AT291" s="250"/>
      <c r="AU291" s="250"/>
      <c r="AV291" s="124"/>
    </row>
    <row r="292" spans="2:48" s="475" customFormat="1" x14ac:dyDescent="0.2">
      <c r="B292" s="250"/>
      <c r="C292" s="250"/>
      <c r="D292" s="250"/>
      <c r="E292" s="250"/>
      <c r="F292" s="250"/>
      <c r="G292" s="250"/>
      <c r="H292" s="250"/>
      <c r="I292" s="250"/>
      <c r="J292" s="250"/>
      <c r="K292" s="250"/>
      <c r="L292" s="250"/>
      <c r="M292" s="250"/>
      <c r="N292" s="250"/>
      <c r="O292" s="250"/>
      <c r="P292" s="250"/>
      <c r="Q292" s="250"/>
      <c r="R292" s="250"/>
      <c r="S292" s="250"/>
      <c r="T292" s="250"/>
      <c r="U292" s="250"/>
      <c r="V292" s="250"/>
      <c r="W292" s="250"/>
      <c r="X292" s="250"/>
      <c r="Y292" s="250"/>
      <c r="Z292" s="250"/>
      <c r="AA292" s="250"/>
      <c r="AB292" s="250"/>
      <c r="AC292" s="250"/>
      <c r="AD292" s="250"/>
      <c r="AE292" s="250"/>
      <c r="AF292" s="250"/>
      <c r="AG292" s="250"/>
      <c r="AH292" s="250"/>
      <c r="AI292" s="250"/>
      <c r="AJ292" s="250"/>
      <c r="AK292" s="250"/>
      <c r="AL292" s="250"/>
      <c r="AM292" s="250"/>
      <c r="AN292" s="250"/>
      <c r="AO292" s="250"/>
      <c r="AP292" s="250"/>
      <c r="AQ292" s="250"/>
      <c r="AR292" s="250"/>
      <c r="AS292" s="250"/>
      <c r="AT292" s="250"/>
      <c r="AU292" s="250"/>
      <c r="AV292" s="124"/>
    </row>
    <row r="293" spans="2:48" s="475" customFormat="1" x14ac:dyDescent="0.2">
      <c r="B293" s="250"/>
      <c r="C293" s="250"/>
      <c r="D293" s="250"/>
      <c r="E293" s="250"/>
      <c r="F293" s="250"/>
      <c r="G293" s="250"/>
      <c r="H293" s="250"/>
      <c r="I293" s="250"/>
      <c r="J293" s="250"/>
      <c r="K293" s="250"/>
      <c r="L293" s="250"/>
      <c r="M293" s="250"/>
      <c r="N293" s="250"/>
      <c r="O293" s="250"/>
      <c r="P293" s="250"/>
      <c r="Q293" s="250"/>
      <c r="R293" s="250"/>
      <c r="S293" s="250"/>
      <c r="T293" s="250"/>
      <c r="U293" s="250"/>
      <c r="V293" s="250"/>
      <c r="W293" s="250"/>
      <c r="X293" s="250"/>
      <c r="Y293" s="250"/>
      <c r="Z293" s="250"/>
      <c r="AA293" s="250"/>
      <c r="AB293" s="250"/>
      <c r="AC293" s="250"/>
      <c r="AD293" s="250"/>
      <c r="AE293" s="250"/>
      <c r="AF293" s="250"/>
      <c r="AG293" s="250"/>
      <c r="AH293" s="250"/>
      <c r="AI293" s="250"/>
      <c r="AJ293" s="250"/>
      <c r="AK293" s="250"/>
      <c r="AL293" s="250"/>
      <c r="AM293" s="250"/>
      <c r="AN293" s="250"/>
      <c r="AO293" s="250"/>
      <c r="AP293" s="250"/>
      <c r="AQ293" s="250"/>
      <c r="AR293" s="250"/>
      <c r="AS293" s="250"/>
      <c r="AT293" s="250"/>
      <c r="AU293" s="250"/>
      <c r="AV293" s="124"/>
    </row>
    <row r="294" spans="2:48" s="475" customFormat="1" x14ac:dyDescent="0.2">
      <c r="B294" s="250"/>
      <c r="C294" s="250"/>
      <c r="D294" s="250"/>
      <c r="E294" s="250"/>
      <c r="F294" s="250"/>
      <c r="G294" s="250"/>
      <c r="H294" s="250"/>
      <c r="I294" s="250"/>
      <c r="J294" s="250"/>
      <c r="K294" s="250"/>
      <c r="L294" s="250"/>
      <c r="M294" s="250"/>
      <c r="N294" s="250"/>
      <c r="O294" s="250"/>
      <c r="P294" s="250"/>
      <c r="Q294" s="250"/>
      <c r="R294" s="250"/>
      <c r="S294" s="250"/>
      <c r="T294" s="250"/>
      <c r="U294" s="250"/>
      <c r="V294" s="250"/>
      <c r="W294" s="250"/>
      <c r="X294" s="250"/>
      <c r="Y294" s="250"/>
      <c r="Z294" s="250"/>
      <c r="AA294" s="250"/>
      <c r="AB294" s="250"/>
      <c r="AC294" s="250"/>
      <c r="AD294" s="250"/>
      <c r="AE294" s="250"/>
      <c r="AF294" s="250"/>
      <c r="AG294" s="250"/>
      <c r="AH294" s="250"/>
      <c r="AI294" s="250"/>
      <c r="AJ294" s="250"/>
      <c r="AK294" s="250"/>
      <c r="AL294" s="250"/>
      <c r="AM294" s="250"/>
      <c r="AN294" s="250"/>
      <c r="AO294" s="250"/>
      <c r="AP294" s="250"/>
      <c r="AQ294" s="250"/>
      <c r="AR294" s="250"/>
      <c r="AS294" s="250"/>
      <c r="AT294" s="250"/>
      <c r="AU294" s="250"/>
      <c r="AV294" s="124"/>
    </row>
    <row r="295" spans="2:48" s="475" customFormat="1" x14ac:dyDescent="0.2">
      <c r="B295" s="250"/>
      <c r="C295" s="250"/>
      <c r="D295" s="250"/>
      <c r="E295" s="250"/>
      <c r="F295" s="250"/>
      <c r="G295" s="250"/>
      <c r="H295" s="250"/>
      <c r="I295" s="250"/>
      <c r="J295" s="250"/>
      <c r="K295" s="250"/>
      <c r="L295" s="250"/>
      <c r="M295" s="250"/>
      <c r="N295" s="250"/>
      <c r="O295" s="250"/>
      <c r="P295" s="250"/>
      <c r="Q295" s="250"/>
      <c r="R295" s="250"/>
      <c r="S295" s="250"/>
      <c r="T295" s="250"/>
      <c r="U295" s="250"/>
      <c r="V295" s="250"/>
      <c r="W295" s="250"/>
      <c r="X295" s="250"/>
      <c r="Y295" s="250"/>
      <c r="Z295" s="250"/>
      <c r="AA295" s="250"/>
      <c r="AB295" s="250"/>
      <c r="AC295" s="250"/>
      <c r="AD295" s="250"/>
      <c r="AE295" s="250"/>
      <c r="AF295" s="250"/>
      <c r="AG295" s="250"/>
      <c r="AH295" s="250"/>
      <c r="AI295" s="250"/>
      <c r="AJ295" s="250"/>
      <c r="AK295" s="250"/>
      <c r="AL295" s="250"/>
      <c r="AM295" s="250"/>
      <c r="AN295" s="250"/>
      <c r="AO295" s="250"/>
      <c r="AP295" s="250"/>
      <c r="AQ295" s="250"/>
      <c r="AR295" s="250"/>
      <c r="AS295" s="250"/>
      <c r="AT295" s="250"/>
      <c r="AU295" s="250"/>
      <c r="AV295" s="124"/>
    </row>
    <row r="296" spans="2:48" s="475" customFormat="1" x14ac:dyDescent="0.2">
      <c r="B296" s="250"/>
      <c r="C296" s="250"/>
      <c r="D296" s="250"/>
      <c r="E296" s="250"/>
      <c r="F296" s="250"/>
      <c r="G296" s="250"/>
      <c r="H296" s="250"/>
      <c r="I296" s="250"/>
      <c r="J296" s="250"/>
      <c r="K296" s="250"/>
      <c r="L296" s="250"/>
      <c r="M296" s="250"/>
      <c r="N296" s="250"/>
      <c r="O296" s="250"/>
      <c r="P296" s="250"/>
      <c r="Q296" s="250"/>
      <c r="R296" s="250"/>
      <c r="S296" s="250"/>
      <c r="T296" s="250"/>
      <c r="U296" s="250"/>
      <c r="V296" s="250"/>
      <c r="W296" s="250"/>
      <c r="X296" s="250"/>
      <c r="Y296" s="250"/>
      <c r="Z296" s="250"/>
      <c r="AA296" s="250"/>
      <c r="AB296" s="250"/>
      <c r="AC296" s="250"/>
      <c r="AD296" s="250"/>
      <c r="AE296" s="250"/>
      <c r="AF296" s="250"/>
      <c r="AG296" s="250"/>
      <c r="AH296" s="250"/>
      <c r="AI296" s="250"/>
      <c r="AJ296" s="250"/>
      <c r="AK296" s="250"/>
      <c r="AL296" s="250"/>
      <c r="AM296" s="250"/>
      <c r="AN296" s="250"/>
      <c r="AO296" s="250"/>
      <c r="AP296" s="250"/>
      <c r="AQ296" s="250"/>
      <c r="AR296" s="250"/>
      <c r="AS296" s="250"/>
      <c r="AT296" s="250"/>
      <c r="AU296" s="250"/>
      <c r="AV296" s="124"/>
    </row>
    <row r="297" spans="2:48" s="475" customFormat="1" x14ac:dyDescent="0.2">
      <c r="B297" s="250"/>
      <c r="C297" s="250"/>
      <c r="D297" s="250"/>
      <c r="E297" s="250"/>
      <c r="F297" s="250"/>
      <c r="G297" s="250"/>
      <c r="H297" s="250"/>
      <c r="I297" s="250"/>
      <c r="J297" s="250"/>
      <c r="K297" s="250"/>
      <c r="L297" s="250"/>
      <c r="M297" s="250"/>
      <c r="N297" s="250"/>
      <c r="O297" s="250"/>
      <c r="P297" s="250"/>
      <c r="Q297" s="250"/>
      <c r="R297" s="250"/>
      <c r="S297" s="250"/>
      <c r="T297" s="250"/>
      <c r="U297" s="250"/>
      <c r="V297" s="250"/>
      <c r="W297" s="250"/>
      <c r="X297" s="250"/>
      <c r="Y297" s="250"/>
      <c r="Z297" s="250"/>
      <c r="AA297" s="250"/>
      <c r="AB297" s="250"/>
      <c r="AC297" s="250"/>
      <c r="AD297" s="250"/>
      <c r="AE297" s="250"/>
      <c r="AF297" s="250"/>
      <c r="AG297" s="250"/>
      <c r="AH297" s="250"/>
      <c r="AI297" s="250"/>
      <c r="AJ297" s="250"/>
      <c r="AK297" s="250"/>
      <c r="AL297" s="250"/>
      <c r="AM297" s="250"/>
      <c r="AN297" s="250"/>
      <c r="AO297" s="250"/>
      <c r="AP297" s="250"/>
      <c r="AQ297" s="250"/>
      <c r="AR297" s="250"/>
      <c r="AS297" s="250"/>
      <c r="AT297" s="250"/>
      <c r="AU297" s="250"/>
      <c r="AV297" s="124"/>
    </row>
    <row r="298" spans="2:48" s="475" customFormat="1" x14ac:dyDescent="0.2">
      <c r="B298" s="250"/>
      <c r="C298" s="250"/>
      <c r="D298" s="250"/>
      <c r="E298" s="250"/>
      <c r="F298" s="250"/>
      <c r="G298" s="250"/>
      <c r="H298" s="250"/>
      <c r="I298" s="250"/>
      <c r="J298" s="250"/>
      <c r="K298" s="250"/>
      <c r="L298" s="250"/>
      <c r="M298" s="250"/>
      <c r="N298" s="250"/>
      <c r="O298" s="250"/>
      <c r="P298" s="250"/>
      <c r="Q298" s="250"/>
      <c r="R298" s="250"/>
      <c r="S298" s="250"/>
      <c r="T298" s="250"/>
      <c r="U298" s="250"/>
      <c r="V298" s="250"/>
      <c r="W298" s="250"/>
      <c r="X298" s="250"/>
      <c r="Y298" s="250"/>
      <c r="Z298" s="250"/>
      <c r="AA298" s="250"/>
      <c r="AB298" s="250"/>
      <c r="AC298" s="250"/>
      <c r="AD298" s="250"/>
      <c r="AE298" s="250"/>
      <c r="AF298" s="250"/>
      <c r="AG298" s="250"/>
      <c r="AH298" s="250"/>
      <c r="AI298" s="250"/>
      <c r="AJ298" s="250"/>
      <c r="AK298" s="250"/>
      <c r="AL298" s="250"/>
      <c r="AM298" s="250"/>
      <c r="AN298" s="250"/>
      <c r="AO298" s="250"/>
      <c r="AP298" s="250"/>
      <c r="AQ298" s="250"/>
      <c r="AR298" s="250"/>
      <c r="AS298" s="250"/>
      <c r="AT298" s="250"/>
      <c r="AU298" s="250"/>
      <c r="AV298" s="124"/>
    </row>
    <row r="299" spans="2:48" s="475" customFormat="1" x14ac:dyDescent="0.2">
      <c r="B299" s="250"/>
      <c r="C299" s="250"/>
      <c r="D299" s="250"/>
      <c r="E299" s="250"/>
      <c r="F299" s="250"/>
      <c r="G299" s="250"/>
      <c r="H299" s="250"/>
      <c r="I299" s="250"/>
      <c r="J299" s="250"/>
      <c r="K299" s="250"/>
      <c r="L299" s="250"/>
      <c r="M299" s="250"/>
      <c r="N299" s="250"/>
      <c r="O299" s="250"/>
      <c r="P299" s="250"/>
      <c r="Q299" s="250"/>
      <c r="R299" s="250"/>
      <c r="S299" s="250"/>
      <c r="T299" s="250"/>
      <c r="U299" s="250"/>
      <c r="V299" s="250"/>
      <c r="W299" s="250"/>
      <c r="X299" s="250"/>
      <c r="Y299" s="250"/>
      <c r="Z299" s="250"/>
      <c r="AA299" s="250"/>
      <c r="AB299" s="250"/>
      <c r="AC299" s="250"/>
      <c r="AD299" s="250"/>
      <c r="AE299" s="250"/>
      <c r="AF299" s="250"/>
      <c r="AG299" s="250"/>
      <c r="AH299" s="250"/>
      <c r="AI299" s="250"/>
      <c r="AJ299" s="250"/>
      <c r="AK299" s="250"/>
      <c r="AL299" s="250"/>
      <c r="AM299" s="250"/>
      <c r="AN299" s="250"/>
      <c r="AO299" s="250"/>
      <c r="AP299" s="250"/>
      <c r="AQ299" s="250"/>
      <c r="AR299" s="250"/>
      <c r="AS299" s="250"/>
      <c r="AT299" s="250"/>
      <c r="AU299" s="250"/>
      <c r="AV299" s="124"/>
    </row>
    <row r="300" spans="2:48" s="475" customFormat="1" x14ac:dyDescent="0.2">
      <c r="B300" s="250"/>
      <c r="C300" s="250"/>
      <c r="D300" s="250"/>
      <c r="E300" s="250"/>
      <c r="F300" s="250"/>
      <c r="G300" s="250"/>
      <c r="H300" s="250"/>
      <c r="I300" s="250"/>
      <c r="J300" s="250"/>
      <c r="K300" s="250"/>
      <c r="L300" s="250"/>
      <c r="M300" s="250"/>
      <c r="N300" s="250"/>
      <c r="O300" s="250"/>
      <c r="P300" s="250"/>
      <c r="Q300" s="250"/>
      <c r="R300" s="250"/>
      <c r="S300" s="250"/>
      <c r="T300" s="250"/>
      <c r="U300" s="250"/>
      <c r="V300" s="250"/>
      <c r="W300" s="250"/>
      <c r="X300" s="250"/>
      <c r="Y300" s="250"/>
      <c r="Z300" s="250"/>
      <c r="AA300" s="250"/>
      <c r="AB300" s="250"/>
      <c r="AC300" s="250"/>
      <c r="AD300" s="250"/>
      <c r="AE300" s="250"/>
      <c r="AF300" s="250"/>
      <c r="AG300" s="250"/>
      <c r="AH300" s="250"/>
      <c r="AI300" s="250"/>
      <c r="AJ300" s="250"/>
      <c r="AK300" s="250"/>
      <c r="AL300" s="250"/>
      <c r="AM300" s="250"/>
      <c r="AN300" s="250"/>
      <c r="AO300" s="250"/>
      <c r="AP300" s="250"/>
      <c r="AQ300" s="250"/>
      <c r="AR300" s="250"/>
      <c r="AS300" s="250"/>
      <c r="AT300" s="250"/>
      <c r="AU300" s="250"/>
      <c r="AV300" s="124"/>
    </row>
    <row r="301" spans="2:48" s="475" customFormat="1" x14ac:dyDescent="0.2">
      <c r="B301" s="250"/>
      <c r="C301" s="250"/>
      <c r="D301" s="250"/>
      <c r="E301" s="250"/>
      <c r="F301" s="250"/>
      <c r="G301" s="250"/>
      <c r="H301" s="250"/>
      <c r="I301" s="250"/>
      <c r="J301" s="250"/>
      <c r="K301" s="250"/>
      <c r="L301" s="250"/>
      <c r="M301" s="250"/>
      <c r="N301" s="250"/>
      <c r="O301" s="250"/>
      <c r="P301" s="250"/>
      <c r="Q301" s="250"/>
      <c r="R301" s="250"/>
      <c r="S301" s="250"/>
      <c r="T301" s="250"/>
      <c r="U301" s="250"/>
      <c r="V301" s="250"/>
      <c r="W301" s="250"/>
      <c r="X301" s="250"/>
      <c r="Y301" s="250"/>
      <c r="Z301" s="250"/>
      <c r="AA301" s="250"/>
      <c r="AB301" s="250"/>
      <c r="AC301" s="250"/>
      <c r="AD301" s="250"/>
      <c r="AE301" s="250"/>
      <c r="AF301" s="250"/>
      <c r="AG301" s="250"/>
      <c r="AH301" s="250"/>
      <c r="AI301" s="250"/>
      <c r="AJ301" s="250"/>
      <c r="AK301" s="250"/>
      <c r="AL301" s="250"/>
      <c r="AM301" s="250"/>
      <c r="AN301" s="250"/>
      <c r="AO301" s="250"/>
      <c r="AP301" s="250"/>
      <c r="AQ301" s="250"/>
      <c r="AR301" s="250"/>
      <c r="AS301" s="250"/>
      <c r="AT301" s="250"/>
      <c r="AU301" s="250"/>
      <c r="AV301" s="124"/>
    </row>
    <row r="302" spans="2:48" s="475" customFormat="1" ht="13.5" thickBot="1" x14ac:dyDescent="0.25">
      <c r="B302" s="250"/>
      <c r="C302" s="250"/>
      <c r="D302" s="250"/>
      <c r="E302" s="250"/>
      <c r="F302" s="250"/>
      <c r="G302" s="250"/>
      <c r="H302" s="250"/>
      <c r="I302" s="250"/>
      <c r="J302" s="250"/>
      <c r="K302" s="250"/>
      <c r="L302" s="250"/>
      <c r="M302" s="250"/>
      <c r="N302" s="250"/>
      <c r="O302" s="250"/>
      <c r="P302" s="250"/>
      <c r="Q302" s="250"/>
      <c r="R302" s="250"/>
      <c r="S302" s="250"/>
      <c r="T302" s="250"/>
      <c r="U302" s="250"/>
      <c r="V302" s="250"/>
      <c r="W302" s="250"/>
      <c r="X302" s="250"/>
      <c r="Y302" s="250"/>
      <c r="Z302" s="250"/>
      <c r="AA302" s="250"/>
      <c r="AB302" s="250"/>
      <c r="AC302" s="250"/>
      <c r="AD302" s="250"/>
      <c r="AE302" s="250"/>
      <c r="AF302" s="250"/>
      <c r="AG302" s="250"/>
      <c r="AH302" s="250"/>
      <c r="AI302" s="250"/>
      <c r="AJ302" s="250"/>
      <c r="AK302" s="250"/>
      <c r="AL302" s="250"/>
      <c r="AM302" s="250"/>
      <c r="AN302" s="250"/>
      <c r="AO302" s="250"/>
      <c r="AP302" s="250"/>
      <c r="AQ302" s="250"/>
      <c r="AR302" s="250"/>
      <c r="AS302" s="250"/>
      <c r="AT302" s="250"/>
      <c r="AU302" s="250"/>
      <c r="AV302" s="124"/>
    </row>
    <row r="303" spans="2:48" s="475" customFormat="1" ht="13.5" hidden="1" thickBot="1" x14ac:dyDescent="0.25">
      <c r="B303" s="250"/>
      <c r="C303" s="250"/>
      <c r="D303" s="250"/>
      <c r="E303" s="250"/>
      <c r="F303" s="250"/>
      <c r="G303" s="250"/>
      <c r="H303" s="250"/>
      <c r="I303" s="250"/>
      <c r="J303" s="250"/>
      <c r="K303" s="250"/>
      <c r="L303" s="250"/>
      <c r="M303" s="250"/>
      <c r="N303" s="250"/>
      <c r="O303" s="250"/>
      <c r="P303" s="250"/>
      <c r="Q303" s="250"/>
      <c r="R303" s="250"/>
      <c r="S303" s="250"/>
      <c r="T303" s="250"/>
      <c r="U303" s="250"/>
      <c r="V303" s="250"/>
      <c r="W303" s="250"/>
      <c r="X303" s="250"/>
      <c r="Y303" s="250"/>
      <c r="Z303" s="250"/>
      <c r="AA303" s="250"/>
      <c r="AB303" s="250"/>
      <c r="AC303" s="250"/>
      <c r="AD303" s="250"/>
      <c r="AE303" s="250"/>
      <c r="AF303" s="250"/>
      <c r="AG303" s="250"/>
      <c r="AH303" s="250"/>
      <c r="AI303" s="250"/>
      <c r="AJ303" s="250"/>
      <c r="AK303" s="250"/>
      <c r="AL303" s="250"/>
      <c r="AM303" s="250"/>
      <c r="AN303" s="250"/>
      <c r="AO303" s="250"/>
      <c r="AP303" s="250"/>
      <c r="AQ303" s="250"/>
      <c r="AR303" s="250"/>
      <c r="AS303" s="250"/>
      <c r="AT303" s="250"/>
      <c r="AU303" s="250"/>
      <c r="AV303" s="124"/>
    </row>
    <row r="304" spans="2:48" s="475" customFormat="1" ht="30" customHeight="1" thickBot="1" x14ac:dyDescent="0.25">
      <c r="B304" s="250"/>
      <c r="F304" s="1410" t="s">
        <v>457</v>
      </c>
      <c r="G304" s="1411"/>
      <c r="H304" s="1411"/>
      <c r="I304" s="1411"/>
      <c r="J304" s="1411"/>
      <c r="K304" s="1412"/>
      <c r="L304" s="250"/>
      <c r="M304" s="250"/>
      <c r="N304" s="250"/>
      <c r="O304" s="250"/>
      <c r="P304" s="250"/>
      <c r="Q304" s="250"/>
      <c r="R304" s="250"/>
      <c r="S304" s="250"/>
      <c r="T304" s="250"/>
      <c r="U304" s="250"/>
      <c r="V304" s="250"/>
      <c r="W304" s="250"/>
      <c r="X304" s="250"/>
      <c r="Y304" s="250"/>
      <c r="Z304" s="250"/>
      <c r="AA304" s="250"/>
      <c r="AB304" s="250"/>
      <c r="AC304" s="250"/>
      <c r="AD304" s="250"/>
      <c r="AE304" s="250"/>
      <c r="AF304" s="250"/>
      <c r="AG304" s="250"/>
      <c r="AH304" s="250"/>
      <c r="AI304" s="250"/>
      <c r="AJ304" s="250"/>
      <c r="AK304" s="250"/>
      <c r="AL304" s="250"/>
      <c r="AM304" s="250"/>
      <c r="AN304" s="250"/>
      <c r="AO304" s="250"/>
      <c r="AP304" s="250"/>
      <c r="AQ304" s="250"/>
      <c r="AR304" s="250"/>
      <c r="AS304" s="250"/>
      <c r="AT304" s="250"/>
      <c r="AU304" s="250"/>
      <c r="AV304" s="124"/>
    </row>
    <row r="305" spans="2:48" s="475" customFormat="1" ht="12.75" customHeight="1" x14ac:dyDescent="0.2">
      <c r="B305" s="250"/>
      <c r="C305" s="250"/>
      <c r="D305" s="250"/>
      <c r="E305" s="1339"/>
      <c r="F305" s="1335"/>
      <c r="G305" s="1336"/>
      <c r="H305" s="1336"/>
      <c r="I305" s="1336"/>
      <c r="J305" s="1336"/>
      <c r="K305" s="1337"/>
      <c r="L305" s="250"/>
      <c r="M305" s="250"/>
      <c r="N305" s="250"/>
      <c r="O305" s="250"/>
      <c r="P305" s="250"/>
      <c r="Q305" s="250"/>
      <c r="R305" s="250"/>
      <c r="S305" s="250"/>
      <c r="T305" s="250"/>
      <c r="U305" s="250"/>
      <c r="V305" s="250"/>
      <c r="W305" s="250"/>
      <c r="X305" s="250"/>
      <c r="Y305" s="250"/>
      <c r="Z305" s="250"/>
      <c r="AA305" s="250"/>
      <c r="AB305" s="250"/>
      <c r="AC305" s="250"/>
      <c r="AD305" s="250"/>
      <c r="AE305" s="250"/>
      <c r="AF305" s="250"/>
      <c r="AG305" s="250"/>
      <c r="AH305" s="250"/>
      <c r="AI305" s="250"/>
      <c r="AJ305" s="250"/>
      <c r="AK305" s="250"/>
      <c r="AL305" s="250"/>
      <c r="AM305" s="250"/>
      <c r="AN305" s="250"/>
      <c r="AO305" s="250"/>
      <c r="AP305" s="250"/>
      <c r="AQ305" s="250"/>
      <c r="AR305" s="250"/>
      <c r="AS305" s="250"/>
      <c r="AT305" s="250"/>
      <c r="AU305" s="250"/>
      <c r="AV305" s="124"/>
    </row>
    <row r="306" spans="2:48" s="475" customFormat="1" ht="12.75" customHeight="1" x14ac:dyDescent="0.2">
      <c r="B306" s="250"/>
      <c r="C306" s="250"/>
      <c r="D306" s="250"/>
      <c r="E306" s="1339"/>
      <c r="F306" s="1338"/>
      <c r="G306" s="250"/>
      <c r="H306" s="250"/>
      <c r="I306" s="250"/>
      <c r="J306" s="250"/>
      <c r="K306" s="1339"/>
      <c r="L306" s="250"/>
      <c r="M306" s="250"/>
      <c r="N306" s="250"/>
      <c r="O306" s="250"/>
      <c r="P306" s="250"/>
      <c r="Q306" s="250"/>
      <c r="R306" s="250"/>
      <c r="S306" s="250"/>
      <c r="T306" s="250"/>
      <c r="U306" s="250"/>
      <c r="V306" s="250"/>
      <c r="W306" s="250"/>
      <c r="X306" s="250"/>
      <c r="Y306" s="250"/>
      <c r="Z306" s="250"/>
      <c r="AA306" s="250"/>
      <c r="AB306" s="250"/>
      <c r="AC306" s="250"/>
      <c r="AD306" s="250"/>
      <c r="AE306" s="250"/>
      <c r="AF306" s="250"/>
      <c r="AG306" s="250"/>
      <c r="AH306" s="250"/>
      <c r="AI306" s="250"/>
      <c r="AJ306" s="250"/>
      <c r="AK306" s="250"/>
      <c r="AL306" s="250"/>
      <c r="AM306" s="250"/>
      <c r="AN306" s="250"/>
      <c r="AO306" s="250"/>
      <c r="AP306" s="250"/>
      <c r="AQ306" s="250"/>
      <c r="AR306" s="250"/>
      <c r="AS306" s="250"/>
      <c r="AT306" s="250"/>
      <c r="AU306" s="250"/>
      <c r="AV306" s="124"/>
    </row>
    <row r="307" spans="2:48" s="475" customFormat="1" ht="12.75" customHeight="1" x14ac:dyDescent="0.2">
      <c r="B307" s="250"/>
      <c r="C307" s="250"/>
      <c r="D307" s="250"/>
      <c r="E307" s="1339"/>
      <c r="F307" s="1338"/>
      <c r="G307" s="250"/>
      <c r="H307" s="250"/>
      <c r="I307" s="250"/>
      <c r="J307" s="250"/>
      <c r="K307" s="1339"/>
      <c r="L307" s="250"/>
      <c r="M307" s="250"/>
      <c r="N307" s="250"/>
      <c r="O307" s="250"/>
      <c r="P307" s="250"/>
      <c r="Q307" s="250"/>
      <c r="R307" s="250"/>
      <c r="S307" s="250"/>
      <c r="T307" s="250"/>
      <c r="U307" s="250"/>
      <c r="V307" s="250"/>
      <c r="W307" s="250"/>
      <c r="X307" s="250"/>
      <c r="Y307" s="250"/>
      <c r="Z307" s="250"/>
      <c r="AA307" s="250"/>
      <c r="AB307" s="250"/>
      <c r="AC307" s="250"/>
      <c r="AD307" s="250"/>
      <c r="AE307" s="250"/>
      <c r="AF307" s="250"/>
      <c r="AG307" s="250"/>
      <c r="AH307" s="250"/>
      <c r="AI307" s="250"/>
      <c r="AJ307" s="250"/>
      <c r="AK307" s="250"/>
      <c r="AL307" s="250"/>
      <c r="AM307" s="250"/>
      <c r="AN307" s="250"/>
      <c r="AO307" s="250"/>
      <c r="AP307" s="250"/>
      <c r="AQ307" s="250"/>
      <c r="AR307" s="250"/>
      <c r="AS307" s="250"/>
      <c r="AT307" s="250"/>
      <c r="AU307" s="250"/>
      <c r="AV307" s="124"/>
    </row>
    <row r="308" spans="2:48" s="475" customFormat="1" ht="12.75" customHeight="1" x14ac:dyDescent="0.2">
      <c r="B308" s="250"/>
      <c r="C308" s="250"/>
      <c r="D308" s="250"/>
      <c r="E308" s="1339"/>
      <c r="F308" s="1338"/>
      <c r="G308" s="250"/>
      <c r="H308" s="250"/>
      <c r="I308" s="250"/>
      <c r="J308" s="250"/>
      <c r="K308" s="1339"/>
      <c r="L308" s="250"/>
      <c r="M308" s="250"/>
      <c r="N308" s="250"/>
      <c r="O308" s="250"/>
      <c r="P308" s="250"/>
      <c r="Q308" s="250"/>
      <c r="R308" s="250"/>
      <c r="S308" s="250"/>
      <c r="T308" s="250"/>
      <c r="U308" s="250"/>
      <c r="V308" s="250"/>
      <c r="W308" s="250"/>
      <c r="X308" s="250"/>
      <c r="Y308" s="250"/>
      <c r="Z308" s="250"/>
      <c r="AA308" s="250"/>
      <c r="AB308" s="250"/>
      <c r="AC308" s="250"/>
      <c r="AD308" s="250"/>
      <c r="AE308" s="250"/>
      <c r="AF308" s="250"/>
      <c r="AG308" s="250"/>
      <c r="AH308" s="250"/>
      <c r="AI308" s="250"/>
      <c r="AJ308" s="250"/>
      <c r="AK308" s="250"/>
      <c r="AL308" s="250"/>
      <c r="AM308" s="250"/>
      <c r="AN308" s="250"/>
      <c r="AO308" s="250"/>
      <c r="AP308" s="250"/>
      <c r="AQ308" s="250"/>
      <c r="AR308" s="250"/>
      <c r="AS308" s="250"/>
      <c r="AT308" s="250"/>
      <c r="AU308" s="250"/>
      <c r="AV308" s="124"/>
    </row>
    <row r="309" spans="2:48" s="475" customFormat="1" ht="12.75" customHeight="1" x14ac:dyDescent="0.2">
      <c r="B309" s="250"/>
      <c r="C309" s="250"/>
      <c r="D309" s="250"/>
      <c r="E309" s="1339"/>
      <c r="F309" s="1338"/>
      <c r="G309" s="250"/>
      <c r="H309" s="250"/>
      <c r="I309" s="250"/>
      <c r="J309" s="250"/>
      <c r="K309" s="1339"/>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124"/>
    </row>
    <row r="310" spans="2:48" s="475" customFormat="1" ht="12.75" customHeight="1" x14ac:dyDescent="0.2">
      <c r="B310" s="250"/>
      <c r="C310" s="250"/>
      <c r="D310" s="250"/>
      <c r="E310" s="1339"/>
      <c r="F310" s="1338"/>
      <c r="G310" s="250"/>
      <c r="H310" s="250"/>
      <c r="I310" s="250"/>
      <c r="J310" s="250"/>
      <c r="K310" s="1339"/>
      <c r="L310" s="250"/>
      <c r="M310" s="250"/>
      <c r="N310" s="250"/>
      <c r="O310" s="250"/>
      <c r="P310" s="250"/>
      <c r="Q310" s="250"/>
      <c r="R310" s="250"/>
      <c r="S310" s="250"/>
      <c r="T310" s="250"/>
      <c r="U310" s="250"/>
      <c r="V310" s="250"/>
      <c r="W310" s="250"/>
      <c r="X310" s="250"/>
      <c r="Y310" s="250"/>
      <c r="Z310" s="250"/>
      <c r="AA310" s="250"/>
      <c r="AB310" s="250"/>
      <c r="AC310" s="250"/>
      <c r="AD310" s="250"/>
      <c r="AE310" s="250"/>
      <c r="AF310" s="250"/>
      <c r="AG310" s="250"/>
      <c r="AH310" s="250"/>
      <c r="AI310" s="250"/>
      <c r="AJ310" s="250"/>
      <c r="AK310" s="250"/>
      <c r="AL310" s="250"/>
      <c r="AM310" s="250"/>
      <c r="AN310" s="250"/>
      <c r="AO310" s="250"/>
      <c r="AP310" s="250"/>
      <c r="AQ310" s="250"/>
      <c r="AR310" s="250"/>
      <c r="AS310" s="250"/>
      <c r="AT310" s="250"/>
      <c r="AU310" s="250"/>
      <c r="AV310" s="124"/>
    </row>
    <row r="311" spans="2:48" s="475" customFormat="1" ht="12.75" customHeight="1" x14ac:dyDescent="0.2">
      <c r="B311" s="250"/>
      <c r="C311" s="250"/>
      <c r="D311" s="250"/>
      <c r="E311" s="1339"/>
      <c r="F311" s="1338"/>
      <c r="G311" s="250"/>
      <c r="H311" s="250"/>
      <c r="I311" s="250"/>
      <c r="J311" s="250"/>
      <c r="K311" s="1339"/>
      <c r="L311" s="250"/>
      <c r="M311" s="250"/>
      <c r="N311" s="250"/>
      <c r="O311" s="250"/>
      <c r="P311" s="250"/>
      <c r="Q311" s="250"/>
      <c r="R311" s="250"/>
      <c r="S311" s="250"/>
      <c r="T311" s="250"/>
      <c r="U311" s="250"/>
      <c r="V311" s="250"/>
      <c r="W311" s="250"/>
      <c r="X311" s="250"/>
      <c r="Y311" s="250"/>
      <c r="Z311" s="250"/>
      <c r="AA311" s="250"/>
      <c r="AB311" s="250"/>
      <c r="AC311" s="250"/>
      <c r="AD311" s="250"/>
      <c r="AE311" s="250"/>
      <c r="AF311" s="250"/>
      <c r="AG311" s="250"/>
      <c r="AH311" s="250"/>
      <c r="AI311" s="250"/>
      <c r="AJ311" s="250"/>
      <c r="AK311" s="250"/>
      <c r="AL311" s="250"/>
      <c r="AM311" s="250"/>
      <c r="AN311" s="250"/>
      <c r="AO311" s="250"/>
      <c r="AP311" s="250"/>
      <c r="AQ311" s="250"/>
      <c r="AR311" s="250"/>
      <c r="AS311" s="250"/>
      <c r="AT311" s="250"/>
      <c r="AU311" s="250"/>
      <c r="AV311" s="124"/>
    </row>
    <row r="312" spans="2:48" s="475" customFormat="1" ht="12.75" customHeight="1" x14ac:dyDescent="0.2">
      <c r="B312" s="250"/>
      <c r="C312" s="250"/>
      <c r="D312" s="250"/>
      <c r="E312" s="1339"/>
      <c r="F312" s="1338"/>
      <c r="G312" s="250"/>
      <c r="H312" s="250"/>
      <c r="I312" s="250"/>
      <c r="J312" s="250"/>
      <c r="K312" s="1339"/>
      <c r="L312" s="1338"/>
      <c r="M312" s="250"/>
      <c r="N312" s="250"/>
      <c r="O312" s="250"/>
      <c r="P312" s="250"/>
      <c r="Q312" s="250"/>
      <c r="R312" s="250"/>
      <c r="S312" s="250"/>
      <c r="T312" s="250"/>
      <c r="U312" s="250"/>
      <c r="V312" s="250"/>
      <c r="W312" s="250"/>
      <c r="X312" s="250"/>
      <c r="Y312" s="250"/>
      <c r="Z312" s="250"/>
      <c r="AA312" s="250"/>
      <c r="AB312" s="250"/>
      <c r="AC312" s="250"/>
      <c r="AD312" s="250"/>
      <c r="AE312" s="250"/>
      <c r="AF312" s="250"/>
      <c r="AG312" s="250"/>
      <c r="AH312" s="250"/>
      <c r="AI312" s="250"/>
      <c r="AJ312" s="250"/>
      <c r="AK312" s="250"/>
      <c r="AL312" s="250"/>
      <c r="AM312" s="250"/>
      <c r="AN312" s="250"/>
      <c r="AO312" s="250"/>
      <c r="AP312" s="250"/>
      <c r="AQ312" s="250"/>
      <c r="AR312" s="250"/>
      <c r="AS312" s="250"/>
      <c r="AT312" s="250"/>
      <c r="AU312" s="250"/>
      <c r="AV312" s="124"/>
    </row>
    <row r="313" spans="2:48" s="475" customFormat="1" ht="12.75" customHeight="1" x14ac:dyDescent="0.2">
      <c r="B313" s="250"/>
      <c r="C313" s="250"/>
      <c r="D313" s="250"/>
      <c r="E313" s="1339"/>
      <c r="F313" s="1338"/>
      <c r="G313" s="250"/>
      <c r="H313" s="250"/>
      <c r="I313" s="250"/>
      <c r="J313" s="250"/>
      <c r="K313" s="1339"/>
      <c r="L313" s="1338"/>
      <c r="M313" s="250"/>
      <c r="N313" s="250"/>
      <c r="O313" s="250"/>
      <c r="P313" s="250"/>
      <c r="Q313" s="250"/>
      <c r="R313" s="250"/>
      <c r="S313" s="250"/>
      <c r="T313" s="250"/>
      <c r="U313" s="250"/>
      <c r="V313" s="250"/>
      <c r="W313" s="250"/>
      <c r="X313" s="250"/>
      <c r="Y313" s="250"/>
      <c r="Z313" s="250"/>
      <c r="AA313" s="250"/>
      <c r="AB313" s="250"/>
      <c r="AC313" s="250"/>
      <c r="AD313" s="250"/>
      <c r="AE313" s="250"/>
      <c r="AF313" s="250"/>
      <c r="AG313" s="250"/>
      <c r="AH313" s="250"/>
      <c r="AI313" s="250"/>
      <c r="AJ313" s="250"/>
      <c r="AK313" s="250"/>
      <c r="AL313" s="250"/>
      <c r="AM313" s="250"/>
      <c r="AN313" s="250"/>
      <c r="AO313" s="250"/>
      <c r="AP313" s="250"/>
      <c r="AQ313" s="250"/>
      <c r="AR313" s="250"/>
      <c r="AS313" s="250"/>
      <c r="AT313" s="250"/>
      <c r="AU313" s="250"/>
      <c r="AV313" s="124"/>
    </row>
    <row r="314" spans="2:48" s="475" customFormat="1" ht="12.75" customHeight="1" x14ac:dyDescent="0.2">
      <c r="B314" s="250"/>
      <c r="C314" s="250"/>
      <c r="D314" s="250"/>
      <c r="E314" s="1339"/>
      <c r="F314" s="1338"/>
      <c r="G314" s="250"/>
      <c r="H314" s="250"/>
      <c r="I314" s="250"/>
      <c r="J314" s="250"/>
      <c r="K314" s="1339"/>
      <c r="L314" s="1338"/>
      <c r="M314" s="250"/>
      <c r="N314" s="250"/>
      <c r="O314" s="250"/>
      <c r="P314" s="250"/>
      <c r="Q314" s="250"/>
      <c r="R314" s="250"/>
      <c r="S314" s="250"/>
      <c r="T314" s="250"/>
      <c r="U314" s="250"/>
      <c r="V314" s="250"/>
      <c r="W314" s="250"/>
      <c r="X314" s="250"/>
      <c r="Y314" s="250"/>
      <c r="Z314" s="250"/>
      <c r="AA314" s="250"/>
      <c r="AB314" s="250"/>
      <c r="AC314" s="250"/>
      <c r="AD314" s="250"/>
      <c r="AE314" s="250"/>
      <c r="AF314" s="250"/>
      <c r="AG314" s="250"/>
      <c r="AH314" s="250"/>
      <c r="AI314" s="250"/>
      <c r="AJ314" s="250"/>
      <c r="AK314" s="250"/>
      <c r="AL314" s="250"/>
      <c r="AM314" s="250"/>
      <c r="AN314" s="250"/>
      <c r="AO314" s="250"/>
      <c r="AP314" s="250"/>
      <c r="AQ314" s="250"/>
      <c r="AR314" s="250"/>
      <c r="AS314" s="250"/>
      <c r="AT314" s="250"/>
      <c r="AU314" s="250"/>
      <c r="AV314" s="124"/>
    </row>
    <row r="315" spans="2:48" s="475" customFormat="1" ht="12.75" customHeight="1" x14ac:dyDescent="0.2">
      <c r="B315" s="250"/>
      <c r="C315" s="250"/>
      <c r="D315" s="250"/>
      <c r="E315" s="1339"/>
      <c r="F315" s="1338"/>
      <c r="G315" s="250"/>
      <c r="H315" s="250"/>
      <c r="I315" s="250"/>
      <c r="J315" s="250"/>
      <c r="K315" s="1339"/>
      <c r="L315" s="1338"/>
      <c r="M315" s="250"/>
      <c r="N315" s="250"/>
      <c r="O315" s="250"/>
      <c r="P315" s="250"/>
      <c r="Q315" s="250"/>
      <c r="R315" s="250"/>
      <c r="S315" s="250"/>
      <c r="T315" s="250"/>
      <c r="U315" s="250"/>
      <c r="V315" s="250"/>
      <c r="W315" s="250"/>
      <c r="X315" s="250"/>
      <c r="Y315" s="250"/>
      <c r="Z315" s="250"/>
      <c r="AA315" s="250"/>
      <c r="AB315" s="250"/>
      <c r="AC315" s="250"/>
      <c r="AD315" s="250"/>
      <c r="AE315" s="250"/>
      <c r="AF315" s="250"/>
      <c r="AG315" s="250"/>
      <c r="AH315" s="250"/>
      <c r="AI315" s="250"/>
      <c r="AJ315" s="250"/>
      <c r="AK315" s="250"/>
      <c r="AL315" s="250"/>
      <c r="AM315" s="250"/>
      <c r="AN315" s="250"/>
      <c r="AO315" s="250"/>
      <c r="AP315" s="250"/>
      <c r="AQ315" s="250"/>
      <c r="AR315" s="250"/>
      <c r="AS315" s="250"/>
      <c r="AT315" s="250"/>
      <c r="AU315" s="250"/>
      <c r="AV315" s="124"/>
    </row>
    <row r="316" spans="2:48" s="475" customFormat="1" ht="12.75" customHeight="1" x14ac:dyDescent="0.2">
      <c r="B316" s="250"/>
      <c r="C316" s="250"/>
      <c r="D316" s="250"/>
      <c r="E316" s="1339"/>
      <c r="F316" s="1338"/>
      <c r="G316" s="250"/>
      <c r="H316" s="250"/>
      <c r="I316" s="250"/>
      <c r="J316" s="250"/>
      <c r="K316" s="1339"/>
      <c r="L316" s="1338"/>
      <c r="M316" s="250"/>
      <c r="N316" s="250"/>
      <c r="O316" s="250"/>
      <c r="P316" s="250"/>
      <c r="Q316" s="250"/>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124"/>
    </row>
    <row r="317" spans="2:48" s="475" customFormat="1" ht="12.75" customHeight="1" x14ac:dyDescent="0.2">
      <c r="B317" s="250"/>
      <c r="C317" s="250"/>
      <c r="D317" s="250"/>
      <c r="E317" s="1339"/>
      <c r="F317" s="1338"/>
      <c r="G317" s="250"/>
      <c r="H317" s="250"/>
      <c r="I317" s="250"/>
      <c r="J317" s="250"/>
      <c r="K317" s="1339"/>
      <c r="L317" s="1338"/>
      <c r="M317" s="250"/>
      <c r="N317" s="250"/>
      <c r="O317" s="250"/>
      <c r="P317" s="250"/>
      <c r="Q317" s="250"/>
      <c r="R317" s="250"/>
      <c r="S317" s="250"/>
      <c r="T317" s="250"/>
      <c r="U317" s="250"/>
      <c r="V317" s="250"/>
      <c r="W317" s="250"/>
      <c r="X317" s="250"/>
      <c r="Y317" s="250"/>
      <c r="Z317" s="250"/>
      <c r="AA317" s="250"/>
      <c r="AB317" s="250"/>
      <c r="AC317" s="250"/>
      <c r="AD317" s="250"/>
      <c r="AE317" s="250"/>
      <c r="AF317" s="250"/>
      <c r="AG317" s="250"/>
      <c r="AH317" s="250"/>
      <c r="AI317" s="250"/>
      <c r="AJ317" s="250"/>
      <c r="AK317" s="250"/>
      <c r="AL317" s="250"/>
      <c r="AM317" s="250"/>
      <c r="AN317" s="250"/>
      <c r="AO317" s="250"/>
      <c r="AP317" s="250"/>
      <c r="AQ317" s="250"/>
      <c r="AR317" s="250"/>
      <c r="AS317" s="250"/>
      <c r="AT317" s="250"/>
      <c r="AU317" s="250"/>
      <c r="AV317" s="124"/>
    </row>
    <row r="318" spans="2:48" s="475" customFormat="1" ht="12.75" customHeight="1" x14ac:dyDescent="0.2">
      <c r="B318" s="250"/>
      <c r="C318" s="250"/>
      <c r="D318" s="250"/>
      <c r="E318" s="1339"/>
      <c r="F318" s="1338"/>
      <c r="G318" s="250"/>
      <c r="H318" s="250"/>
      <c r="I318" s="250"/>
      <c r="J318" s="250"/>
      <c r="K318" s="1339"/>
      <c r="L318" s="1338"/>
      <c r="M318" s="250"/>
      <c r="N318" s="250"/>
      <c r="O318" s="250"/>
      <c r="P318" s="250"/>
      <c r="Q318" s="250"/>
      <c r="R318" s="250"/>
      <c r="S318" s="250"/>
      <c r="T318" s="250"/>
      <c r="U318" s="250"/>
      <c r="V318" s="250"/>
      <c r="W318" s="250"/>
      <c r="X318" s="250"/>
      <c r="Y318" s="250"/>
      <c r="Z318" s="250"/>
      <c r="AA318" s="250"/>
      <c r="AB318" s="250"/>
      <c r="AC318" s="250"/>
      <c r="AD318" s="250"/>
      <c r="AE318" s="250"/>
      <c r="AF318" s="250"/>
      <c r="AG318" s="250"/>
      <c r="AH318" s="250"/>
      <c r="AI318" s="250"/>
      <c r="AJ318" s="250"/>
      <c r="AK318" s="250"/>
      <c r="AL318" s="250"/>
      <c r="AM318" s="250"/>
      <c r="AN318" s="250"/>
      <c r="AO318" s="250"/>
      <c r="AP318" s="250"/>
      <c r="AQ318" s="250"/>
      <c r="AR318" s="250"/>
      <c r="AS318" s="250"/>
      <c r="AT318" s="250"/>
      <c r="AU318" s="250"/>
      <c r="AV318" s="124"/>
    </row>
    <row r="319" spans="2:48" s="475" customFormat="1" ht="12.75" customHeight="1" x14ac:dyDescent="0.2">
      <c r="B319" s="250"/>
      <c r="C319" s="250"/>
      <c r="D319" s="250"/>
      <c r="E319" s="1339"/>
      <c r="F319" s="1338"/>
      <c r="G319" s="250"/>
      <c r="H319" s="250"/>
      <c r="I319" s="250"/>
      <c r="J319" s="250"/>
      <c r="K319" s="1339"/>
      <c r="L319" s="1338"/>
      <c r="M319" s="250"/>
      <c r="N319" s="250"/>
      <c r="O319" s="250"/>
      <c r="P319" s="250"/>
      <c r="Q319" s="250"/>
      <c r="R319" s="250"/>
      <c r="S319" s="250"/>
      <c r="T319" s="250"/>
      <c r="U319" s="250"/>
      <c r="V319" s="250"/>
      <c r="W319" s="250"/>
      <c r="X319" s="250"/>
      <c r="Y319" s="250"/>
      <c r="Z319" s="250"/>
      <c r="AA319" s="250"/>
      <c r="AB319" s="250"/>
      <c r="AC319" s="250"/>
      <c r="AD319" s="250"/>
      <c r="AE319" s="250"/>
      <c r="AF319" s="250"/>
      <c r="AG319" s="250"/>
      <c r="AH319" s="250"/>
      <c r="AI319" s="250"/>
      <c r="AJ319" s="250"/>
      <c r="AK319" s="250"/>
      <c r="AL319" s="250"/>
      <c r="AM319" s="250"/>
      <c r="AN319" s="250"/>
      <c r="AO319" s="250"/>
      <c r="AP319" s="250"/>
      <c r="AQ319" s="250"/>
      <c r="AR319" s="250"/>
      <c r="AS319" s="250"/>
      <c r="AT319" s="250"/>
      <c r="AU319" s="250"/>
      <c r="AV319" s="124"/>
    </row>
    <row r="320" spans="2:48" s="475" customFormat="1" ht="12.75" customHeight="1" x14ac:dyDescent="0.2">
      <c r="B320" s="250"/>
      <c r="C320" s="250"/>
      <c r="D320" s="250"/>
      <c r="E320" s="1339"/>
      <c r="F320" s="1338"/>
      <c r="G320" s="250"/>
      <c r="H320" s="250"/>
      <c r="I320" s="250"/>
      <c r="J320" s="250"/>
      <c r="K320" s="1339"/>
      <c r="L320" s="1338"/>
      <c r="M320" s="250"/>
      <c r="N320" s="250"/>
      <c r="O320" s="250"/>
      <c r="P320" s="250"/>
      <c r="Q320" s="250"/>
      <c r="R320" s="250"/>
      <c r="S320" s="250"/>
      <c r="T320" s="250"/>
      <c r="U320" s="250"/>
      <c r="V320" s="250"/>
      <c r="W320" s="250"/>
      <c r="X320" s="250"/>
      <c r="Y320" s="250"/>
      <c r="Z320" s="250"/>
      <c r="AA320" s="250"/>
      <c r="AB320" s="250"/>
      <c r="AC320" s="250"/>
      <c r="AD320" s="250"/>
      <c r="AE320" s="250"/>
      <c r="AF320" s="250"/>
      <c r="AG320" s="250"/>
      <c r="AH320" s="250"/>
      <c r="AI320" s="250"/>
      <c r="AJ320" s="250"/>
      <c r="AK320" s="250"/>
      <c r="AL320" s="250"/>
      <c r="AM320" s="250"/>
      <c r="AN320" s="250"/>
      <c r="AO320" s="250"/>
      <c r="AP320" s="250"/>
      <c r="AQ320" s="250"/>
      <c r="AR320" s="250"/>
      <c r="AS320" s="250"/>
      <c r="AT320" s="250"/>
      <c r="AU320" s="250"/>
      <c r="AV320" s="124"/>
    </row>
    <row r="321" spans="2:48" s="475" customFormat="1" ht="12.75" customHeight="1" x14ac:dyDescent="0.2">
      <c r="B321" s="250"/>
      <c r="C321" s="250"/>
      <c r="D321" s="250"/>
      <c r="E321" s="1339"/>
      <c r="F321" s="1338"/>
      <c r="G321" s="250"/>
      <c r="H321" s="250"/>
      <c r="I321" s="250"/>
      <c r="J321" s="250"/>
      <c r="K321" s="1339"/>
      <c r="L321" s="1338"/>
      <c r="M321" s="250"/>
      <c r="N321" s="250"/>
      <c r="O321" s="250"/>
      <c r="P321" s="250"/>
      <c r="Q321" s="250"/>
      <c r="R321" s="250"/>
      <c r="S321" s="250"/>
      <c r="T321" s="250"/>
      <c r="U321" s="250"/>
      <c r="V321" s="250"/>
      <c r="W321" s="250"/>
      <c r="X321" s="250"/>
      <c r="Y321" s="250"/>
      <c r="Z321" s="250"/>
      <c r="AA321" s="250"/>
      <c r="AB321" s="250"/>
      <c r="AC321" s="250"/>
      <c r="AD321" s="250"/>
      <c r="AE321" s="250"/>
      <c r="AF321" s="250"/>
      <c r="AG321" s="250"/>
      <c r="AH321" s="250"/>
      <c r="AI321" s="250"/>
      <c r="AJ321" s="250"/>
      <c r="AK321" s="250"/>
      <c r="AL321" s="250"/>
      <c r="AM321" s="250"/>
      <c r="AN321" s="250"/>
      <c r="AO321" s="250"/>
      <c r="AP321" s="250"/>
      <c r="AQ321" s="250"/>
      <c r="AR321" s="250"/>
      <c r="AS321" s="250"/>
      <c r="AT321" s="250"/>
      <c r="AU321" s="250"/>
      <c r="AV321" s="124"/>
    </row>
    <row r="322" spans="2:48" s="475" customFormat="1" ht="12.75" customHeight="1" x14ac:dyDescent="0.2">
      <c r="B322" s="250"/>
      <c r="C322" s="250"/>
      <c r="D322" s="250"/>
      <c r="E322" s="1339"/>
      <c r="F322" s="1338"/>
      <c r="G322" s="250"/>
      <c r="H322" s="250"/>
      <c r="I322" s="250"/>
      <c r="J322" s="250"/>
      <c r="K322" s="1339"/>
      <c r="L322" s="1338"/>
      <c r="M322" s="250"/>
      <c r="N322" s="250"/>
      <c r="O322" s="250"/>
      <c r="P322" s="250"/>
      <c r="Q322" s="250"/>
      <c r="R322" s="250"/>
      <c r="S322" s="250"/>
      <c r="T322" s="250"/>
      <c r="U322" s="250"/>
      <c r="V322" s="250"/>
      <c r="W322" s="250"/>
      <c r="X322" s="250"/>
      <c r="Y322" s="250"/>
      <c r="Z322" s="250"/>
      <c r="AA322" s="250"/>
      <c r="AB322" s="250"/>
      <c r="AC322" s="250"/>
      <c r="AD322" s="250"/>
      <c r="AE322" s="250"/>
      <c r="AF322" s="250"/>
      <c r="AG322" s="250"/>
      <c r="AH322" s="250"/>
      <c r="AI322" s="250"/>
      <c r="AJ322" s="250"/>
      <c r="AK322" s="250"/>
      <c r="AL322" s="250"/>
      <c r="AM322" s="250"/>
      <c r="AN322" s="250"/>
      <c r="AO322" s="250"/>
      <c r="AP322" s="250"/>
      <c r="AQ322" s="250"/>
      <c r="AR322" s="250"/>
      <c r="AS322" s="250"/>
      <c r="AT322" s="250"/>
      <c r="AU322" s="250"/>
      <c r="AV322" s="124"/>
    </row>
    <row r="323" spans="2:48" s="475" customFormat="1" ht="12.75" customHeight="1" x14ac:dyDescent="0.2">
      <c r="B323" s="250"/>
      <c r="C323" s="250"/>
      <c r="D323" s="250"/>
      <c r="E323" s="1339"/>
      <c r="F323" s="1338"/>
      <c r="G323" s="250"/>
      <c r="H323" s="250"/>
      <c r="I323" s="250"/>
      <c r="J323" s="250"/>
      <c r="K323" s="1339"/>
      <c r="L323" s="1338"/>
      <c r="M323" s="250"/>
      <c r="N323" s="250"/>
      <c r="O323" s="250"/>
      <c r="P323" s="250"/>
      <c r="Q323" s="250"/>
      <c r="R323" s="250"/>
      <c r="S323" s="250"/>
      <c r="T323" s="250"/>
      <c r="U323" s="250"/>
      <c r="V323" s="250"/>
      <c r="W323" s="250"/>
      <c r="X323" s="250"/>
      <c r="Y323" s="250"/>
      <c r="Z323" s="250"/>
      <c r="AA323" s="250"/>
      <c r="AB323" s="250"/>
      <c r="AC323" s="250"/>
      <c r="AD323" s="250"/>
      <c r="AE323" s="250"/>
      <c r="AF323" s="250"/>
      <c r="AG323" s="250"/>
      <c r="AH323" s="250"/>
      <c r="AI323" s="250"/>
      <c r="AJ323" s="250"/>
      <c r="AK323" s="250"/>
      <c r="AL323" s="250"/>
      <c r="AM323" s="250"/>
      <c r="AN323" s="250"/>
      <c r="AO323" s="250"/>
      <c r="AP323" s="250"/>
      <c r="AQ323" s="250"/>
      <c r="AR323" s="250"/>
      <c r="AS323" s="250"/>
      <c r="AT323" s="250"/>
      <c r="AU323" s="250"/>
      <c r="AV323" s="124"/>
    </row>
    <row r="324" spans="2:48" s="475" customFormat="1" ht="12.75" customHeight="1" x14ac:dyDescent="0.2">
      <c r="B324" s="250"/>
      <c r="C324" s="250"/>
      <c r="D324" s="250"/>
      <c r="E324" s="1339"/>
      <c r="F324" s="1338"/>
      <c r="G324" s="250"/>
      <c r="H324" s="250"/>
      <c r="I324" s="250"/>
      <c r="J324" s="250"/>
      <c r="K324" s="1339"/>
      <c r="L324" s="1338"/>
      <c r="M324" s="250"/>
      <c r="N324" s="250"/>
      <c r="O324" s="250"/>
      <c r="P324" s="250"/>
      <c r="Q324" s="250"/>
      <c r="R324" s="250"/>
      <c r="S324" s="250"/>
      <c r="T324" s="250"/>
      <c r="U324" s="250"/>
      <c r="V324" s="250"/>
      <c r="W324" s="250"/>
      <c r="X324" s="250"/>
      <c r="Y324" s="250"/>
      <c r="Z324" s="250"/>
      <c r="AA324" s="250"/>
      <c r="AB324" s="250"/>
      <c r="AC324" s="250"/>
      <c r="AD324" s="250"/>
      <c r="AE324" s="250"/>
      <c r="AF324" s="250"/>
      <c r="AG324" s="250"/>
      <c r="AH324" s="250"/>
      <c r="AI324" s="250"/>
      <c r="AJ324" s="250"/>
      <c r="AK324" s="250"/>
      <c r="AL324" s="250"/>
      <c r="AM324" s="250"/>
      <c r="AN324" s="250"/>
      <c r="AO324" s="250"/>
      <c r="AP324" s="250"/>
      <c r="AQ324" s="250"/>
      <c r="AR324" s="250"/>
      <c r="AS324" s="250"/>
      <c r="AT324" s="250"/>
      <c r="AU324" s="250"/>
      <c r="AV324" s="124"/>
    </row>
    <row r="325" spans="2:48" s="475" customFormat="1" ht="12.75" customHeight="1" x14ac:dyDescent="0.2">
      <c r="B325" s="250"/>
      <c r="C325" s="250"/>
      <c r="D325" s="250"/>
      <c r="E325" s="1339"/>
      <c r="F325" s="1338"/>
      <c r="G325" s="250"/>
      <c r="H325" s="250"/>
      <c r="I325" s="250"/>
      <c r="J325" s="250"/>
      <c r="K325" s="1339"/>
      <c r="L325" s="1338"/>
      <c r="M325" s="250"/>
      <c r="N325" s="250"/>
      <c r="O325" s="250"/>
      <c r="P325" s="250"/>
      <c r="Q325" s="250"/>
      <c r="R325" s="250"/>
      <c r="S325" s="250"/>
      <c r="T325" s="250"/>
      <c r="U325" s="250"/>
      <c r="V325" s="250"/>
      <c r="W325" s="250"/>
      <c r="X325" s="250"/>
      <c r="Y325" s="250"/>
      <c r="Z325" s="250"/>
      <c r="AA325" s="250"/>
      <c r="AB325" s="250"/>
      <c r="AC325" s="250"/>
      <c r="AD325" s="250"/>
      <c r="AE325" s="250"/>
      <c r="AF325" s="250"/>
      <c r="AG325" s="250"/>
      <c r="AH325" s="250"/>
      <c r="AI325" s="250"/>
      <c r="AJ325" s="250"/>
      <c r="AK325" s="250"/>
      <c r="AL325" s="250"/>
      <c r="AM325" s="250"/>
      <c r="AN325" s="250"/>
      <c r="AO325" s="250"/>
      <c r="AP325" s="250"/>
      <c r="AQ325" s="250"/>
      <c r="AR325" s="250"/>
      <c r="AS325" s="250"/>
      <c r="AT325" s="250"/>
      <c r="AU325" s="250"/>
      <c r="AV325" s="124"/>
    </row>
    <row r="326" spans="2:48" s="475" customFormat="1" ht="12.75" customHeight="1" x14ac:dyDescent="0.2">
      <c r="B326" s="250"/>
      <c r="C326" s="250"/>
      <c r="D326" s="250"/>
      <c r="E326" s="1339"/>
      <c r="F326" s="1338"/>
      <c r="G326" s="250"/>
      <c r="H326" s="250"/>
      <c r="I326" s="250"/>
      <c r="J326" s="250"/>
      <c r="K326" s="1339"/>
      <c r="L326" s="1338"/>
      <c r="M326" s="250"/>
      <c r="N326" s="250"/>
      <c r="O326" s="250"/>
      <c r="P326" s="250"/>
      <c r="Q326" s="250"/>
      <c r="R326" s="250"/>
      <c r="S326" s="250"/>
      <c r="T326" s="250"/>
      <c r="U326" s="250"/>
      <c r="V326" s="250"/>
      <c r="W326" s="250"/>
      <c r="X326" s="250"/>
      <c r="Y326" s="250"/>
      <c r="Z326" s="250"/>
      <c r="AA326" s="250"/>
      <c r="AB326" s="250"/>
      <c r="AC326" s="250"/>
      <c r="AD326" s="250"/>
      <c r="AE326" s="250"/>
      <c r="AF326" s="250"/>
      <c r="AG326" s="250"/>
      <c r="AH326" s="250"/>
      <c r="AI326" s="250"/>
      <c r="AJ326" s="250"/>
      <c r="AK326" s="250"/>
      <c r="AL326" s="250"/>
      <c r="AM326" s="250"/>
      <c r="AN326" s="250"/>
      <c r="AO326" s="250"/>
      <c r="AP326" s="250"/>
      <c r="AQ326" s="250"/>
      <c r="AR326" s="250"/>
      <c r="AS326" s="250"/>
      <c r="AT326" s="250"/>
      <c r="AU326" s="250"/>
      <c r="AV326" s="124"/>
    </row>
    <row r="327" spans="2:48" s="475" customFormat="1" ht="12.75" customHeight="1" x14ac:dyDescent="0.2">
      <c r="B327" s="250"/>
      <c r="C327" s="250"/>
      <c r="D327" s="250"/>
      <c r="E327" s="1339"/>
      <c r="F327" s="1338"/>
      <c r="G327" s="250"/>
      <c r="H327" s="250"/>
      <c r="I327" s="250"/>
      <c r="J327" s="250"/>
      <c r="K327" s="1339"/>
      <c r="L327" s="1338"/>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c r="AN327" s="250"/>
      <c r="AO327" s="250"/>
      <c r="AP327" s="250"/>
      <c r="AQ327" s="250"/>
      <c r="AR327" s="250"/>
      <c r="AS327" s="250"/>
      <c r="AT327" s="250"/>
      <c r="AU327" s="250"/>
      <c r="AV327" s="124"/>
    </row>
    <row r="328" spans="2:48" s="475" customFormat="1" ht="12.75" customHeight="1" x14ac:dyDescent="0.2">
      <c r="B328" s="250"/>
      <c r="C328" s="250"/>
      <c r="D328" s="250"/>
      <c r="E328" s="1339"/>
      <c r="F328" s="1338"/>
      <c r="G328" s="250"/>
      <c r="H328" s="250"/>
      <c r="I328" s="250"/>
      <c r="J328" s="250"/>
      <c r="K328" s="1339"/>
      <c r="L328" s="1338"/>
      <c r="M328" s="250"/>
      <c r="N328" s="250"/>
      <c r="O328" s="250"/>
      <c r="P328" s="250"/>
      <c r="Q328" s="250"/>
      <c r="R328" s="250"/>
      <c r="S328" s="250"/>
      <c r="T328" s="250"/>
      <c r="U328" s="250"/>
      <c r="V328" s="250"/>
      <c r="W328" s="250"/>
      <c r="X328" s="250"/>
      <c r="Y328" s="250"/>
      <c r="Z328" s="250"/>
      <c r="AA328" s="250"/>
      <c r="AB328" s="250"/>
      <c r="AC328" s="250"/>
      <c r="AD328" s="250"/>
      <c r="AE328" s="250"/>
      <c r="AF328" s="250"/>
      <c r="AG328" s="250"/>
      <c r="AH328" s="250"/>
      <c r="AI328" s="250"/>
      <c r="AJ328" s="250"/>
      <c r="AK328" s="250"/>
      <c r="AL328" s="250"/>
      <c r="AM328" s="250"/>
      <c r="AN328" s="250"/>
      <c r="AO328" s="250"/>
      <c r="AP328" s="250"/>
      <c r="AQ328" s="250"/>
      <c r="AR328" s="250"/>
      <c r="AS328" s="250"/>
      <c r="AT328" s="250"/>
      <c r="AU328" s="250"/>
      <c r="AV328" s="124"/>
    </row>
    <row r="329" spans="2:48" s="475" customFormat="1" ht="12.75" customHeight="1" x14ac:dyDescent="0.2">
      <c r="B329" s="250"/>
      <c r="C329" s="250"/>
      <c r="D329" s="250"/>
      <c r="E329" s="1339"/>
      <c r="F329" s="1338"/>
      <c r="G329" s="250"/>
      <c r="H329" s="250"/>
      <c r="I329" s="250"/>
      <c r="J329" s="250"/>
      <c r="K329" s="1339"/>
      <c r="L329" s="1338"/>
      <c r="M329" s="250"/>
      <c r="N329" s="250"/>
      <c r="O329" s="250"/>
      <c r="P329" s="250"/>
      <c r="Q329" s="250"/>
      <c r="R329" s="250"/>
      <c r="S329" s="250"/>
      <c r="T329" s="250"/>
      <c r="U329" s="250"/>
      <c r="V329" s="250"/>
      <c r="W329" s="250"/>
      <c r="X329" s="250"/>
      <c r="Y329" s="250"/>
      <c r="Z329" s="250"/>
      <c r="AA329" s="250"/>
      <c r="AB329" s="250"/>
      <c r="AC329" s="250"/>
      <c r="AD329" s="250"/>
      <c r="AE329" s="250"/>
      <c r="AF329" s="250"/>
      <c r="AG329" s="250"/>
      <c r="AH329" s="250"/>
      <c r="AI329" s="250"/>
      <c r="AJ329" s="250"/>
      <c r="AK329" s="250"/>
      <c r="AL329" s="250"/>
      <c r="AM329" s="250"/>
      <c r="AN329" s="250"/>
      <c r="AO329" s="250"/>
      <c r="AP329" s="250"/>
      <c r="AQ329" s="250"/>
      <c r="AR329" s="250"/>
      <c r="AS329" s="250"/>
      <c r="AT329" s="250"/>
      <c r="AU329" s="250"/>
      <c r="AV329" s="124"/>
    </row>
    <row r="330" spans="2:48" s="475" customFormat="1" ht="12.75" customHeight="1" thickBot="1" x14ac:dyDescent="0.25">
      <c r="B330" s="250"/>
      <c r="C330" s="250"/>
      <c r="D330" s="250"/>
      <c r="E330" s="1339"/>
      <c r="F330" s="1343"/>
      <c r="G330" s="1344"/>
      <c r="H330" s="1344"/>
      <c r="I330" s="1344"/>
      <c r="J330" s="1344"/>
      <c r="K330" s="1345"/>
      <c r="L330" s="1338"/>
      <c r="M330" s="250"/>
      <c r="N330" s="250"/>
      <c r="O330" s="250"/>
      <c r="P330" s="250"/>
      <c r="Q330" s="250"/>
      <c r="R330" s="250"/>
      <c r="S330" s="250"/>
      <c r="T330" s="250"/>
      <c r="U330" s="250"/>
      <c r="V330" s="250"/>
      <c r="W330" s="250"/>
      <c r="X330" s="250"/>
      <c r="Y330" s="250"/>
      <c r="Z330" s="250"/>
      <c r="AA330" s="250"/>
      <c r="AB330" s="250"/>
      <c r="AC330" s="250"/>
      <c r="AD330" s="250"/>
      <c r="AE330" s="250"/>
      <c r="AF330" s="250"/>
      <c r="AG330" s="250"/>
      <c r="AH330" s="250"/>
      <c r="AI330" s="250"/>
      <c r="AJ330" s="250"/>
      <c r="AK330" s="250"/>
      <c r="AL330" s="250"/>
      <c r="AM330" s="250"/>
      <c r="AN330" s="250"/>
      <c r="AO330" s="250"/>
      <c r="AP330" s="250"/>
      <c r="AQ330" s="250"/>
      <c r="AR330" s="250"/>
      <c r="AS330" s="250"/>
      <c r="AT330" s="250"/>
      <c r="AU330" s="250"/>
      <c r="AV330" s="124"/>
    </row>
    <row r="331" spans="2:48" s="475" customFormat="1" ht="12.75" customHeight="1" x14ac:dyDescent="0.2">
      <c r="B331" s="250"/>
      <c r="C331" s="250"/>
      <c r="D331" s="250"/>
      <c r="E331" s="1339"/>
      <c r="F331" s="1335"/>
      <c r="G331" s="1336"/>
      <c r="H331" s="1336"/>
      <c r="I331" s="1336"/>
      <c r="J331" s="1336"/>
      <c r="K331" s="1337"/>
      <c r="L331" s="1338"/>
      <c r="M331" s="250"/>
      <c r="N331" s="250"/>
      <c r="O331" s="250"/>
      <c r="P331" s="250"/>
      <c r="Q331" s="250"/>
      <c r="R331" s="250"/>
      <c r="S331" s="250"/>
      <c r="T331" s="250"/>
      <c r="U331" s="250"/>
      <c r="V331" s="250"/>
      <c r="W331" s="250"/>
      <c r="X331" s="250"/>
      <c r="Y331" s="250"/>
      <c r="Z331" s="250"/>
      <c r="AA331" s="250"/>
      <c r="AB331" s="250"/>
      <c r="AC331" s="250"/>
      <c r="AD331" s="250"/>
      <c r="AE331" s="250"/>
      <c r="AF331" s="250"/>
      <c r="AG331" s="250"/>
      <c r="AH331" s="250"/>
      <c r="AI331" s="250"/>
      <c r="AJ331" s="250"/>
      <c r="AK331" s="250"/>
      <c r="AL331" s="250"/>
      <c r="AM331" s="250"/>
      <c r="AN331" s="250"/>
      <c r="AO331" s="250"/>
      <c r="AP331" s="250"/>
      <c r="AQ331" s="250"/>
      <c r="AR331" s="250"/>
      <c r="AS331" s="250"/>
      <c r="AT331" s="250"/>
      <c r="AU331" s="250"/>
      <c r="AV331" s="124"/>
    </row>
    <row r="332" spans="2:48" s="475" customFormat="1" ht="12.75" customHeight="1" x14ac:dyDescent="0.2">
      <c r="B332" s="250"/>
      <c r="C332" s="250"/>
      <c r="D332" s="250"/>
      <c r="E332" s="1339"/>
      <c r="F332" s="1338"/>
      <c r="G332" s="250"/>
      <c r="H332" s="250"/>
      <c r="I332" s="250"/>
      <c r="J332" s="250"/>
      <c r="K332" s="1339"/>
      <c r="L332" s="1338"/>
      <c r="M332" s="250"/>
      <c r="N332" s="250"/>
      <c r="O332" s="250"/>
      <c r="P332" s="250"/>
      <c r="Q332" s="250"/>
      <c r="R332" s="250"/>
      <c r="S332" s="250"/>
      <c r="T332" s="250"/>
      <c r="U332" s="250"/>
      <c r="V332" s="250"/>
      <c r="W332" s="250"/>
      <c r="X332" s="250"/>
      <c r="Y332" s="250"/>
      <c r="Z332" s="250"/>
      <c r="AA332" s="250"/>
      <c r="AB332" s="250"/>
      <c r="AC332" s="250"/>
      <c r="AD332" s="250"/>
      <c r="AE332" s="250"/>
      <c r="AF332" s="250"/>
      <c r="AG332" s="250"/>
      <c r="AH332" s="250"/>
      <c r="AI332" s="250"/>
      <c r="AJ332" s="250"/>
      <c r="AK332" s="250"/>
      <c r="AL332" s="250"/>
      <c r="AM332" s="250"/>
      <c r="AN332" s="250"/>
      <c r="AO332" s="250"/>
      <c r="AP332" s="250"/>
      <c r="AQ332" s="250"/>
      <c r="AR332" s="250"/>
      <c r="AS332" s="250"/>
      <c r="AT332" s="250"/>
      <c r="AU332" s="250"/>
      <c r="AV332" s="124"/>
    </row>
    <row r="333" spans="2:48" s="475" customFormat="1" ht="12.75" customHeight="1" x14ac:dyDescent="0.2">
      <c r="B333" s="250"/>
      <c r="C333" s="250"/>
      <c r="D333" s="250"/>
      <c r="E333" s="1339"/>
      <c r="F333" s="1338"/>
      <c r="G333" s="250"/>
      <c r="H333" s="250"/>
      <c r="I333" s="250"/>
      <c r="J333" s="250"/>
      <c r="K333" s="1339"/>
      <c r="L333" s="1338"/>
      <c r="M333" s="250"/>
      <c r="N333" s="250"/>
      <c r="O333" s="250"/>
      <c r="P333" s="250"/>
      <c r="Q333" s="250"/>
      <c r="R333" s="250"/>
      <c r="S333" s="250"/>
      <c r="T333" s="250"/>
      <c r="U333" s="250"/>
      <c r="V333" s="250"/>
      <c r="W333" s="250"/>
      <c r="X333" s="250"/>
      <c r="Y333" s="250"/>
      <c r="Z333" s="250"/>
      <c r="AA333" s="250"/>
      <c r="AB333" s="250"/>
      <c r="AC333" s="250"/>
      <c r="AD333" s="250"/>
      <c r="AE333" s="250"/>
      <c r="AF333" s="250"/>
      <c r="AG333" s="250"/>
      <c r="AH333" s="250"/>
      <c r="AI333" s="250"/>
      <c r="AJ333" s="250"/>
      <c r="AK333" s="250"/>
      <c r="AL333" s="250"/>
      <c r="AM333" s="250"/>
      <c r="AN333" s="250"/>
      <c r="AO333" s="250"/>
      <c r="AP333" s="250"/>
      <c r="AQ333" s="250"/>
      <c r="AR333" s="250"/>
      <c r="AS333" s="250"/>
      <c r="AT333" s="250"/>
      <c r="AU333" s="250"/>
      <c r="AV333" s="124"/>
    </row>
    <row r="334" spans="2:48" s="475" customFormat="1" ht="12.75" customHeight="1" x14ac:dyDescent="0.2">
      <c r="B334" s="250"/>
      <c r="C334" s="250"/>
      <c r="D334" s="250"/>
      <c r="E334" s="1339"/>
      <c r="F334" s="1338"/>
      <c r="G334" s="250"/>
      <c r="H334" s="250"/>
      <c r="I334" s="250"/>
      <c r="J334" s="250"/>
      <c r="K334" s="1339"/>
      <c r="L334" s="1338"/>
      <c r="M334" s="250"/>
      <c r="N334" s="250"/>
      <c r="O334" s="250"/>
      <c r="P334" s="250"/>
      <c r="Q334" s="250"/>
      <c r="R334" s="250"/>
      <c r="S334" s="250"/>
      <c r="T334" s="250"/>
      <c r="U334" s="250"/>
      <c r="V334" s="250"/>
      <c r="W334" s="250"/>
      <c r="X334" s="250"/>
      <c r="Y334" s="250"/>
      <c r="Z334" s="250"/>
      <c r="AA334" s="250"/>
      <c r="AB334" s="250"/>
      <c r="AC334" s="250"/>
      <c r="AD334" s="250"/>
      <c r="AE334" s="250"/>
      <c r="AF334" s="250"/>
      <c r="AG334" s="250"/>
      <c r="AH334" s="250"/>
      <c r="AI334" s="250"/>
      <c r="AJ334" s="250"/>
      <c r="AK334" s="250"/>
      <c r="AL334" s="250"/>
      <c r="AM334" s="250"/>
      <c r="AN334" s="250"/>
      <c r="AO334" s="250"/>
      <c r="AP334" s="250"/>
      <c r="AQ334" s="250"/>
      <c r="AR334" s="250"/>
      <c r="AS334" s="250"/>
      <c r="AT334" s="250"/>
      <c r="AU334" s="250"/>
      <c r="AV334" s="124"/>
    </row>
    <row r="335" spans="2:48" s="475" customFormat="1" ht="12.75" customHeight="1" x14ac:dyDescent="0.2">
      <c r="B335" s="250"/>
      <c r="C335" s="250"/>
      <c r="D335" s="250"/>
      <c r="E335" s="1339"/>
      <c r="F335" s="1338"/>
      <c r="G335" s="250"/>
      <c r="H335" s="250"/>
      <c r="I335" s="250"/>
      <c r="J335" s="250"/>
      <c r="K335" s="1339"/>
      <c r="L335" s="1338"/>
      <c r="M335" s="250"/>
      <c r="N335" s="250"/>
      <c r="O335" s="250"/>
      <c r="P335" s="250"/>
      <c r="Q335" s="250"/>
      <c r="R335" s="250"/>
      <c r="S335" s="250"/>
      <c r="T335" s="250"/>
      <c r="U335" s="250"/>
      <c r="V335" s="250"/>
      <c r="W335" s="250"/>
      <c r="X335" s="250"/>
      <c r="Y335" s="250"/>
      <c r="Z335" s="250"/>
      <c r="AA335" s="250"/>
      <c r="AB335" s="250"/>
      <c r="AC335" s="250"/>
      <c r="AD335" s="250"/>
      <c r="AE335" s="250"/>
      <c r="AF335" s="250"/>
      <c r="AG335" s="250"/>
      <c r="AH335" s="250"/>
      <c r="AI335" s="250"/>
      <c r="AJ335" s="250"/>
      <c r="AK335" s="250"/>
      <c r="AL335" s="250"/>
      <c r="AM335" s="250"/>
      <c r="AN335" s="250"/>
      <c r="AO335" s="250"/>
      <c r="AP335" s="250"/>
      <c r="AQ335" s="250"/>
      <c r="AR335" s="250"/>
      <c r="AS335" s="250"/>
      <c r="AT335" s="250"/>
      <c r="AU335" s="250"/>
      <c r="AV335" s="124"/>
    </row>
    <row r="336" spans="2:48" s="475" customFormat="1" ht="12.75" customHeight="1" x14ac:dyDescent="0.2">
      <c r="B336" s="250"/>
      <c r="C336" s="250"/>
      <c r="D336" s="250"/>
      <c r="E336" s="1339"/>
      <c r="F336" s="1338"/>
      <c r="G336" s="250"/>
      <c r="H336" s="250"/>
      <c r="I336" s="250"/>
      <c r="J336" s="250"/>
      <c r="K336" s="1339"/>
      <c r="L336" s="1338"/>
      <c r="M336" s="250"/>
      <c r="N336" s="250"/>
      <c r="O336" s="250"/>
      <c r="P336" s="250"/>
      <c r="Q336" s="250"/>
      <c r="R336" s="250"/>
      <c r="S336" s="250"/>
      <c r="T336" s="250"/>
      <c r="U336" s="250"/>
      <c r="V336" s="250"/>
      <c r="W336" s="250"/>
      <c r="X336" s="250"/>
      <c r="Y336" s="250"/>
      <c r="Z336" s="250"/>
      <c r="AA336" s="250"/>
      <c r="AB336" s="250"/>
      <c r="AC336" s="250"/>
      <c r="AD336" s="250"/>
      <c r="AE336" s="250"/>
      <c r="AF336" s="250"/>
      <c r="AG336" s="250"/>
      <c r="AH336" s="250"/>
      <c r="AI336" s="250"/>
      <c r="AJ336" s="250"/>
      <c r="AK336" s="250"/>
      <c r="AL336" s="250"/>
      <c r="AM336" s="250"/>
      <c r="AN336" s="250"/>
      <c r="AO336" s="250"/>
      <c r="AP336" s="250"/>
      <c r="AQ336" s="250"/>
      <c r="AR336" s="250"/>
      <c r="AS336" s="250"/>
      <c r="AT336" s="250"/>
      <c r="AU336" s="250"/>
      <c r="AV336" s="124"/>
    </row>
    <row r="337" spans="2:48" s="475" customFormat="1" ht="12.75" customHeight="1" x14ac:dyDescent="0.2">
      <c r="B337" s="250"/>
      <c r="C337" s="250"/>
      <c r="D337" s="250"/>
      <c r="E337" s="1339"/>
      <c r="F337" s="1338"/>
      <c r="G337" s="250"/>
      <c r="H337" s="250"/>
      <c r="I337" s="250"/>
      <c r="J337" s="250"/>
      <c r="K337" s="1339"/>
      <c r="L337" s="1338"/>
      <c r="M337" s="250"/>
      <c r="N337" s="250"/>
      <c r="O337" s="250"/>
      <c r="P337" s="250"/>
      <c r="Q337" s="250"/>
      <c r="R337" s="250"/>
      <c r="S337" s="250"/>
      <c r="T337" s="250"/>
      <c r="U337" s="250"/>
      <c r="V337" s="250"/>
      <c r="W337" s="250"/>
      <c r="X337" s="250"/>
      <c r="Y337" s="250"/>
      <c r="Z337" s="250"/>
      <c r="AA337" s="250"/>
      <c r="AB337" s="250"/>
      <c r="AC337" s="250"/>
      <c r="AD337" s="250"/>
      <c r="AE337" s="250"/>
      <c r="AF337" s="250"/>
      <c r="AG337" s="250"/>
      <c r="AH337" s="250"/>
      <c r="AI337" s="250"/>
      <c r="AJ337" s="250"/>
      <c r="AK337" s="250"/>
      <c r="AL337" s="250"/>
      <c r="AM337" s="250"/>
      <c r="AN337" s="250"/>
      <c r="AO337" s="250"/>
      <c r="AP337" s="250"/>
      <c r="AQ337" s="250"/>
      <c r="AR337" s="250"/>
      <c r="AS337" s="250"/>
      <c r="AT337" s="250"/>
      <c r="AU337" s="250"/>
      <c r="AV337" s="124"/>
    </row>
    <row r="338" spans="2:48" s="475" customFormat="1" ht="12.75" customHeight="1" x14ac:dyDescent="0.2">
      <c r="B338" s="250"/>
      <c r="C338" s="250"/>
      <c r="D338" s="250"/>
      <c r="E338" s="1339"/>
      <c r="F338" s="1338"/>
      <c r="G338" s="250"/>
      <c r="H338" s="250"/>
      <c r="I338" s="250"/>
      <c r="J338" s="250"/>
      <c r="K338" s="1339"/>
      <c r="L338" s="1338"/>
      <c r="M338" s="250"/>
      <c r="N338" s="250"/>
      <c r="O338" s="250"/>
      <c r="P338" s="250"/>
      <c r="Q338" s="250"/>
      <c r="R338" s="250"/>
      <c r="S338" s="250"/>
      <c r="T338" s="250"/>
      <c r="U338" s="250"/>
      <c r="V338" s="250"/>
      <c r="W338" s="250"/>
      <c r="X338" s="250"/>
      <c r="Y338" s="250"/>
      <c r="Z338" s="250"/>
      <c r="AA338" s="250"/>
      <c r="AB338" s="250"/>
      <c r="AC338" s="250"/>
      <c r="AD338" s="250"/>
      <c r="AE338" s="250"/>
      <c r="AF338" s="250"/>
      <c r="AG338" s="250"/>
      <c r="AH338" s="250"/>
      <c r="AI338" s="250"/>
      <c r="AJ338" s="250"/>
      <c r="AK338" s="250"/>
      <c r="AL338" s="250"/>
      <c r="AM338" s="250"/>
      <c r="AN338" s="250"/>
      <c r="AO338" s="250"/>
      <c r="AP338" s="250"/>
      <c r="AQ338" s="250"/>
      <c r="AR338" s="250"/>
      <c r="AS338" s="250"/>
      <c r="AT338" s="250"/>
      <c r="AU338" s="250"/>
      <c r="AV338" s="124"/>
    </row>
    <row r="339" spans="2:48" s="475" customFormat="1" ht="12.75" customHeight="1" x14ac:dyDescent="0.2">
      <c r="B339" s="250"/>
      <c r="C339" s="250"/>
      <c r="D339" s="250"/>
      <c r="E339" s="1339"/>
      <c r="F339" s="1338"/>
      <c r="G339" s="250"/>
      <c r="H339" s="250"/>
      <c r="I339" s="250"/>
      <c r="J339" s="250"/>
      <c r="K339" s="1339"/>
      <c r="L339" s="1338"/>
      <c r="M339" s="250"/>
      <c r="N339" s="250"/>
      <c r="O339" s="250"/>
      <c r="P339" s="250"/>
      <c r="Q339" s="250"/>
      <c r="R339" s="250"/>
      <c r="S339" s="250"/>
      <c r="T339" s="250"/>
      <c r="U339" s="250"/>
      <c r="V339" s="250"/>
      <c r="W339" s="250"/>
      <c r="X339" s="250"/>
      <c r="Y339" s="250"/>
      <c r="Z339" s="250"/>
      <c r="AA339" s="250"/>
      <c r="AB339" s="250"/>
      <c r="AC339" s="250"/>
      <c r="AD339" s="250"/>
      <c r="AE339" s="250"/>
      <c r="AF339" s="250"/>
      <c r="AG339" s="250"/>
      <c r="AH339" s="250"/>
      <c r="AI339" s="250"/>
      <c r="AJ339" s="250"/>
      <c r="AK339" s="250"/>
      <c r="AL339" s="250"/>
      <c r="AM339" s="250"/>
      <c r="AN339" s="250"/>
      <c r="AO339" s="250"/>
      <c r="AP339" s="250"/>
      <c r="AQ339" s="250"/>
      <c r="AR339" s="250"/>
      <c r="AS339" s="250"/>
      <c r="AT339" s="250"/>
      <c r="AU339" s="250"/>
      <c r="AV339" s="124"/>
    </row>
    <row r="340" spans="2:48" s="475" customFormat="1" ht="12.75" customHeight="1" x14ac:dyDescent="0.2">
      <c r="B340" s="250"/>
      <c r="C340" s="250"/>
      <c r="D340" s="250"/>
      <c r="E340" s="1339"/>
      <c r="F340" s="1338"/>
      <c r="G340" s="250"/>
      <c r="H340" s="250"/>
      <c r="I340" s="250"/>
      <c r="J340" s="250"/>
      <c r="K340" s="1339"/>
      <c r="L340" s="1338"/>
      <c r="M340" s="250"/>
      <c r="N340" s="250"/>
      <c r="O340" s="250"/>
      <c r="P340" s="250"/>
      <c r="Q340" s="250"/>
      <c r="R340" s="250"/>
      <c r="S340" s="250"/>
      <c r="T340" s="250"/>
      <c r="U340" s="250"/>
      <c r="V340" s="250"/>
      <c r="W340" s="250"/>
      <c r="X340" s="250"/>
      <c r="Y340" s="250"/>
      <c r="Z340" s="250"/>
      <c r="AA340" s="250"/>
      <c r="AB340" s="250"/>
      <c r="AC340" s="250"/>
      <c r="AD340" s="250"/>
      <c r="AE340" s="250"/>
      <c r="AF340" s="250"/>
      <c r="AG340" s="250"/>
      <c r="AH340" s="250"/>
      <c r="AI340" s="250"/>
      <c r="AJ340" s="250"/>
      <c r="AK340" s="250"/>
      <c r="AL340" s="250"/>
      <c r="AM340" s="250"/>
      <c r="AN340" s="250"/>
      <c r="AO340" s="250"/>
      <c r="AP340" s="250"/>
      <c r="AQ340" s="250"/>
      <c r="AR340" s="250"/>
      <c r="AS340" s="250"/>
      <c r="AT340" s="250"/>
      <c r="AU340" s="250"/>
      <c r="AV340" s="124"/>
    </row>
    <row r="341" spans="2:48" s="475" customFormat="1" ht="12.75" customHeight="1" x14ac:dyDescent="0.2">
      <c r="B341" s="250"/>
      <c r="C341" s="250"/>
      <c r="D341" s="250"/>
      <c r="E341" s="1339"/>
      <c r="F341" s="1338"/>
      <c r="G341" s="250"/>
      <c r="H341" s="250"/>
      <c r="I341" s="250"/>
      <c r="J341" s="250"/>
      <c r="K341" s="1339"/>
      <c r="L341" s="1338"/>
      <c r="M341" s="250"/>
      <c r="N341" s="250"/>
      <c r="O341" s="250"/>
      <c r="P341" s="250"/>
      <c r="Q341" s="250"/>
      <c r="R341" s="250"/>
      <c r="S341" s="250"/>
      <c r="T341" s="250"/>
      <c r="U341" s="250"/>
      <c r="V341" s="250"/>
      <c r="W341" s="250"/>
      <c r="X341" s="250"/>
      <c r="Y341" s="250"/>
      <c r="Z341" s="250"/>
      <c r="AA341" s="250"/>
      <c r="AB341" s="250"/>
      <c r="AC341" s="250"/>
      <c r="AD341" s="250"/>
      <c r="AE341" s="250"/>
      <c r="AF341" s="250"/>
      <c r="AG341" s="250"/>
      <c r="AH341" s="250"/>
      <c r="AI341" s="250"/>
      <c r="AJ341" s="250"/>
      <c r="AK341" s="250"/>
      <c r="AL341" s="250"/>
      <c r="AM341" s="250"/>
      <c r="AN341" s="250"/>
      <c r="AO341" s="250"/>
      <c r="AP341" s="250"/>
      <c r="AQ341" s="250"/>
      <c r="AR341" s="250"/>
      <c r="AS341" s="250"/>
      <c r="AT341" s="250"/>
      <c r="AU341" s="250"/>
      <c r="AV341" s="124"/>
    </row>
    <row r="342" spans="2:48" s="475" customFormat="1" ht="12.75" customHeight="1" x14ac:dyDescent="0.2">
      <c r="B342" s="250"/>
      <c r="C342" s="250"/>
      <c r="D342" s="250"/>
      <c r="E342" s="1339"/>
      <c r="F342" s="1338"/>
      <c r="G342" s="250"/>
      <c r="H342" s="250"/>
      <c r="I342" s="250"/>
      <c r="J342" s="250"/>
      <c r="K342" s="1339"/>
      <c r="L342" s="1338"/>
      <c r="M342" s="250"/>
      <c r="N342" s="250"/>
      <c r="O342" s="250"/>
      <c r="P342" s="250"/>
      <c r="Q342" s="250"/>
      <c r="R342" s="250"/>
      <c r="S342" s="250"/>
      <c r="T342" s="250"/>
      <c r="U342" s="250"/>
      <c r="V342" s="250"/>
      <c r="W342" s="250"/>
      <c r="X342" s="250"/>
      <c r="Y342" s="250"/>
      <c r="Z342" s="250"/>
      <c r="AA342" s="250"/>
      <c r="AB342" s="250"/>
      <c r="AC342" s="250"/>
      <c r="AD342" s="250"/>
      <c r="AE342" s="250"/>
      <c r="AF342" s="250"/>
      <c r="AG342" s="250"/>
      <c r="AH342" s="250"/>
      <c r="AI342" s="250"/>
      <c r="AJ342" s="250"/>
      <c r="AK342" s="250"/>
      <c r="AL342" s="250"/>
      <c r="AM342" s="250"/>
      <c r="AN342" s="250"/>
      <c r="AO342" s="250"/>
      <c r="AP342" s="250"/>
      <c r="AQ342" s="250"/>
      <c r="AR342" s="250"/>
      <c r="AS342" s="250"/>
      <c r="AT342" s="250"/>
      <c r="AU342" s="250"/>
      <c r="AV342" s="124"/>
    </row>
    <row r="343" spans="2:48" s="475" customFormat="1" ht="12.75" customHeight="1" x14ac:dyDescent="0.2">
      <c r="B343" s="250"/>
      <c r="C343" s="250"/>
      <c r="D343" s="250"/>
      <c r="E343" s="1339"/>
      <c r="F343" s="1338"/>
      <c r="G343" s="250"/>
      <c r="H343" s="250"/>
      <c r="I343" s="250"/>
      <c r="J343" s="250"/>
      <c r="K343" s="1339"/>
      <c r="L343" s="1338"/>
      <c r="M343" s="250"/>
      <c r="N343" s="250"/>
      <c r="O343" s="250"/>
      <c r="P343" s="250"/>
      <c r="Q343" s="250"/>
      <c r="R343" s="250"/>
      <c r="S343" s="250"/>
      <c r="T343" s="250"/>
      <c r="U343" s="250"/>
      <c r="V343" s="250"/>
      <c r="W343" s="250"/>
      <c r="X343" s="250"/>
      <c r="Y343" s="250"/>
      <c r="Z343" s="250"/>
      <c r="AA343" s="250"/>
      <c r="AB343" s="250"/>
      <c r="AC343" s="250"/>
      <c r="AD343" s="250"/>
      <c r="AE343" s="250"/>
      <c r="AF343" s="250"/>
      <c r="AG343" s="250"/>
      <c r="AH343" s="250"/>
      <c r="AI343" s="250"/>
      <c r="AJ343" s="250"/>
      <c r="AK343" s="250"/>
      <c r="AL343" s="250"/>
      <c r="AM343" s="250"/>
      <c r="AN343" s="250"/>
      <c r="AO343" s="250"/>
      <c r="AP343" s="250"/>
      <c r="AQ343" s="250"/>
      <c r="AR343" s="250"/>
      <c r="AS343" s="250"/>
      <c r="AT343" s="250"/>
      <c r="AU343" s="250"/>
      <c r="AV343" s="124"/>
    </row>
    <row r="344" spans="2:48" s="475" customFormat="1" ht="12.75" customHeight="1" x14ac:dyDescent="0.2">
      <c r="B344" s="250"/>
      <c r="C344" s="250"/>
      <c r="D344" s="250"/>
      <c r="E344" s="1339"/>
      <c r="F344" s="1338"/>
      <c r="G344" s="250"/>
      <c r="H344" s="250"/>
      <c r="I344" s="250"/>
      <c r="J344" s="250"/>
      <c r="K344" s="1339"/>
      <c r="L344" s="1338"/>
      <c r="M344" s="250"/>
      <c r="N344" s="250"/>
      <c r="O344" s="250"/>
      <c r="P344" s="250"/>
      <c r="Q344" s="250"/>
      <c r="R344" s="250"/>
      <c r="S344" s="250"/>
      <c r="T344" s="250"/>
      <c r="U344" s="250"/>
      <c r="V344" s="250"/>
      <c r="W344" s="250"/>
      <c r="X344" s="250"/>
      <c r="Y344" s="250"/>
      <c r="Z344" s="250"/>
      <c r="AA344" s="250"/>
      <c r="AB344" s="250"/>
      <c r="AC344" s="250"/>
      <c r="AD344" s="250"/>
      <c r="AE344" s="250"/>
      <c r="AF344" s="250"/>
      <c r="AG344" s="250"/>
      <c r="AH344" s="250"/>
      <c r="AI344" s="250"/>
      <c r="AJ344" s="250"/>
      <c r="AK344" s="250"/>
      <c r="AL344" s="250"/>
      <c r="AM344" s="250"/>
      <c r="AN344" s="250"/>
      <c r="AO344" s="250"/>
      <c r="AP344" s="250"/>
      <c r="AQ344" s="250"/>
      <c r="AR344" s="250"/>
      <c r="AS344" s="250"/>
      <c r="AT344" s="250"/>
      <c r="AU344" s="250"/>
      <c r="AV344" s="124"/>
    </row>
    <row r="345" spans="2:48" s="475" customFormat="1" ht="12.75" customHeight="1" x14ac:dyDescent="0.2">
      <c r="B345" s="250"/>
      <c r="C345" s="250"/>
      <c r="D345" s="250"/>
      <c r="E345" s="1339"/>
      <c r="F345" s="1338"/>
      <c r="G345" s="250"/>
      <c r="H345" s="250"/>
      <c r="I345" s="250"/>
      <c r="J345" s="250"/>
      <c r="K345" s="1339"/>
      <c r="L345" s="1338"/>
      <c r="M345" s="250"/>
      <c r="N345" s="250"/>
      <c r="O345" s="250"/>
      <c r="P345" s="250"/>
      <c r="Q345" s="250"/>
      <c r="R345" s="250"/>
      <c r="S345" s="250"/>
      <c r="T345" s="250"/>
      <c r="U345" s="250"/>
      <c r="V345" s="250"/>
      <c r="W345" s="250"/>
      <c r="X345" s="250"/>
      <c r="Y345" s="250"/>
      <c r="Z345" s="250"/>
      <c r="AA345" s="250"/>
      <c r="AB345" s="250"/>
      <c r="AC345" s="250"/>
      <c r="AD345" s="250"/>
      <c r="AE345" s="250"/>
      <c r="AF345" s="250"/>
      <c r="AG345" s="250"/>
      <c r="AH345" s="250"/>
      <c r="AI345" s="250"/>
      <c r="AJ345" s="250"/>
      <c r="AK345" s="250"/>
      <c r="AL345" s="250"/>
      <c r="AM345" s="250"/>
      <c r="AN345" s="250"/>
      <c r="AO345" s="250"/>
      <c r="AP345" s="250"/>
      <c r="AQ345" s="250"/>
      <c r="AR345" s="250"/>
      <c r="AS345" s="250"/>
      <c r="AT345" s="250"/>
      <c r="AU345" s="250"/>
      <c r="AV345" s="124"/>
    </row>
    <row r="346" spans="2:48" s="475" customFormat="1" ht="12.75" customHeight="1" x14ac:dyDescent="0.2">
      <c r="B346" s="250"/>
      <c r="C346" s="250"/>
      <c r="D346" s="250"/>
      <c r="E346" s="1339"/>
      <c r="F346" s="1338"/>
      <c r="G346" s="250"/>
      <c r="H346" s="250"/>
      <c r="I346" s="250"/>
      <c r="J346" s="250"/>
      <c r="K346" s="1339"/>
      <c r="L346" s="1338"/>
      <c r="M346" s="250"/>
      <c r="N346" s="250"/>
      <c r="O346" s="250"/>
      <c r="P346" s="250"/>
      <c r="Q346" s="250"/>
      <c r="R346" s="250"/>
      <c r="S346" s="250"/>
      <c r="T346" s="250"/>
      <c r="U346" s="250"/>
      <c r="V346" s="250"/>
      <c r="W346" s="250"/>
      <c r="X346" s="250"/>
      <c r="Y346" s="250"/>
      <c r="Z346" s="250"/>
      <c r="AA346" s="250"/>
      <c r="AB346" s="250"/>
      <c r="AC346" s="250"/>
      <c r="AD346" s="250"/>
      <c r="AE346" s="250"/>
      <c r="AF346" s="250"/>
      <c r="AG346" s="250"/>
      <c r="AH346" s="250"/>
      <c r="AI346" s="250"/>
      <c r="AJ346" s="250"/>
      <c r="AK346" s="250"/>
      <c r="AL346" s="250"/>
      <c r="AM346" s="250"/>
      <c r="AN346" s="250"/>
      <c r="AO346" s="250"/>
      <c r="AP346" s="250"/>
      <c r="AQ346" s="250"/>
      <c r="AR346" s="250"/>
      <c r="AS346" s="250"/>
      <c r="AT346" s="250"/>
      <c r="AU346" s="250"/>
      <c r="AV346" s="124"/>
    </row>
    <row r="347" spans="2:48" s="475" customFormat="1" ht="12.75" customHeight="1" x14ac:dyDescent="0.2">
      <c r="B347" s="250"/>
      <c r="C347" s="250"/>
      <c r="D347" s="250"/>
      <c r="E347" s="1339"/>
      <c r="F347" s="1338"/>
      <c r="G347" s="250"/>
      <c r="H347" s="250"/>
      <c r="I347" s="250"/>
      <c r="J347" s="250"/>
      <c r="K347" s="1339"/>
      <c r="L347" s="1338"/>
      <c r="M347" s="250"/>
      <c r="N347" s="250"/>
      <c r="O347" s="250"/>
      <c r="P347" s="250"/>
      <c r="Q347" s="250"/>
      <c r="R347" s="250"/>
      <c r="S347" s="250"/>
      <c r="T347" s="250"/>
      <c r="U347" s="250"/>
      <c r="V347" s="250"/>
      <c r="W347" s="250"/>
      <c r="X347" s="250"/>
      <c r="Y347" s="250"/>
      <c r="Z347" s="250"/>
      <c r="AA347" s="250"/>
      <c r="AB347" s="250"/>
      <c r="AC347" s="250"/>
      <c r="AD347" s="250"/>
      <c r="AE347" s="250"/>
      <c r="AF347" s="250"/>
      <c r="AG347" s="250"/>
      <c r="AH347" s="250"/>
      <c r="AI347" s="250"/>
      <c r="AJ347" s="250"/>
      <c r="AK347" s="250"/>
      <c r="AL347" s="250"/>
      <c r="AM347" s="250"/>
      <c r="AN347" s="250"/>
      <c r="AO347" s="250"/>
      <c r="AP347" s="250"/>
      <c r="AQ347" s="250"/>
      <c r="AR347" s="250"/>
      <c r="AS347" s="250"/>
      <c r="AT347" s="250"/>
      <c r="AU347" s="250"/>
      <c r="AV347" s="124"/>
    </row>
    <row r="348" spans="2:48" s="475" customFormat="1" ht="12.75" customHeight="1" x14ac:dyDescent="0.2">
      <c r="B348" s="250"/>
      <c r="C348" s="250"/>
      <c r="D348" s="250"/>
      <c r="E348" s="1339"/>
      <c r="F348" s="1338"/>
      <c r="G348" s="250"/>
      <c r="H348" s="250"/>
      <c r="I348" s="250"/>
      <c r="J348" s="250"/>
      <c r="K348" s="1339"/>
      <c r="L348" s="1338"/>
      <c r="M348" s="250"/>
      <c r="N348" s="250"/>
      <c r="O348" s="250"/>
      <c r="P348" s="250"/>
      <c r="Q348" s="250"/>
      <c r="R348" s="250"/>
      <c r="S348" s="250"/>
      <c r="T348" s="250"/>
      <c r="U348" s="250"/>
      <c r="V348" s="250"/>
      <c r="W348" s="250"/>
      <c r="X348" s="250"/>
      <c r="Y348" s="250"/>
      <c r="Z348" s="250"/>
      <c r="AA348" s="250"/>
      <c r="AB348" s="250"/>
      <c r="AC348" s="250"/>
      <c r="AD348" s="250"/>
      <c r="AE348" s="250"/>
      <c r="AF348" s="250"/>
      <c r="AG348" s="250"/>
      <c r="AH348" s="250"/>
      <c r="AI348" s="250"/>
      <c r="AJ348" s="250"/>
      <c r="AK348" s="250"/>
      <c r="AL348" s="250"/>
      <c r="AM348" s="250"/>
      <c r="AN348" s="250"/>
      <c r="AO348" s="250"/>
      <c r="AP348" s="250"/>
      <c r="AQ348" s="250"/>
      <c r="AR348" s="250"/>
      <c r="AS348" s="250"/>
      <c r="AT348" s="250"/>
      <c r="AU348" s="250"/>
      <c r="AV348" s="124"/>
    </row>
    <row r="349" spans="2:48" s="475" customFormat="1" ht="12.75" customHeight="1" x14ac:dyDescent="0.2">
      <c r="B349" s="250"/>
      <c r="C349" s="250"/>
      <c r="D349" s="250"/>
      <c r="E349" s="1339"/>
      <c r="F349" s="1338"/>
      <c r="G349" s="250"/>
      <c r="H349" s="250"/>
      <c r="I349" s="250"/>
      <c r="J349" s="250"/>
      <c r="K349" s="1339"/>
      <c r="L349" s="1338"/>
      <c r="M349" s="250"/>
      <c r="N349" s="250"/>
      <c r="O349" s="250"/>
      <c r="P349" s="250"/>
      <c r="Q349" s="250"/>
      <c r="R349" s="250"/>
      <c r="S349" s="250"/>
      <c r="T349" s="250"/>
      <c r="U349" s="250"/>
      <c r="V349" s="250"/>
      <c r="W349" s="250"/>
      <c r="X349" s="250"/>
      <c r="Y349" s="250"/>
      <c r="Z349" s="250"/>
      <c r="AA349" s="250"/>
      <c r="AB349" s="250"/>
      <c r="AC349" s="250"/>
      <c r="AD349" s="250"/>
      <c r="AE349" s="250"/>
      <c r="AF349" s="250"/>
      <c r="AG349" s="250"/>
      <c r="AH349" s="250"/>
      <c r="AI349" s="250"/>
      <c r="AJ349" s="250"/>
      <c r="AK349" s="250"/>
      <c r="AL349" s="250"/>
      <c r="AM349" s="250"/>
      <c r="AN349" s="250"/>
      <c r="AO349" s="250"/>
      <c r="AP349" s="250"/>
      <c r="AQ349" s="250"/>
      <c r="AR349" s="250"/>
      <c r="AS349" s="250"/>
      <c r="AT349" s="250"/>
      <c r="AU349" s="250"/>
      <c r="AV349" s="124"/>
    </row>
    <row r="350" spans="2:48" s="475" customFormat="1" ht="12.75" customHeight="1" x14ac:dyDescent="0.2">
      <c r="B350" s="250"/>
      <c r="C350" s="250"/>
      <c r="D350" s="250"/>
      <c r="E350" s="1339"/>
      <c r="F350" s="1338"/>
      <c r="G350" s="250"/>
      <c r="H350" s="250"/>
      <c r="I350" s="250"/>
      <c r="J350" s="250"/>
      <c r="K350" s="1339"/>
      <c r="L350" s="1338"/>
      <c r="M350" s="250"/>
      <c r="N350" s="250"/>
      <c r="O350" s="250"/>
      <c r="P350" s="250"/>
      <c r="Q350" s="250"/>
      <c r="R350" s="250"/>
      <c r="S350" s="250"/>
      <c r="T350" s="250"/>
      <c r="U350" s="250"/>
      <c r="V350" s="250"/>
      <c r="W350" s="250"/>
      <c r="X350" s="250"/>
      <c r="Y350" s="250"/>
      <c r="Z350" s="250"/>
      <c r="AA350" s="250"/>
      <c r="AB350" s="250"/>
      <c r="AC350" s="250"/>
      <c r="AD350" s="250"/>
      <c r="AE350" s="250"/>
      <c r="AF350" s="250"/>
      <c r="AG350" s="250"/>
      <c r="AH350" s="250"/>
      <c r="AI350" s="250"/>
      <c r="AJ350" s="250"/>
      <c r="AK350" s="250"/>
      <c r="AL350" s="250"/>
      <c r="AM350" s="250"/>
      <c r="AN350" s="250"/>
      <c r="AO350" s="250"/>
      <c r="AP350" s="250"/>
      <c r="AQ350" s="250"/>
      <c r="AR350" s="250"/>
      <c r="AS350" s="250"/>
      <c r="AT350" s="250"/>
      <c r="AU350" s="250"/>
      <c r="AV350" s="124"/>
    </row>
    <row r="351" spans="2:48" s="475" customFormat="1" ht="12.75" customHeight="1" x14ac:dyDescent="0.2">
      <c r="B351" s="250"/>
      <c r="C351" s="250"/>
      <c r="D351" s="250"/>
      <c r="E351" s="1339"/>
      <c r="F351" s="1338"/>
      <c r="G351" s="250"/>
      <c r="H351" s="250"/>
      <c r="I351" s="250"/>
      <c r="J351" s="250"/>
      <c r="K351" s="1339"/>
      <c r="L351" s="1338"/>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250"/>
      <c r="AP351" s="250"/>
      <c r="AQ351" s="250"/>
      <c r="AR351" s="250"/>
      <c r="AS351" s="250"/>
      <c r="AT351" s="250"/>
      <c r="AU351" s="250"/>
      <c r="AV351" s="124"/>
    </row>
    <row r="352" spans="2:48" s="475" customFormat="1" ht="12.75" customHeight="1" x14ac:dyDescent="0.2">
      <c r="B352" s="250"/>
      <c r="C352" s="250"/>
      <c r="D352" s="250"/>
      <c r="E352" s="1339"/>
      <c r="F352" s="1338"/>
      <c r="G352" s="250"/>
      <c r="H352" s="250"/>
      <c r="I352" s="250"/>
      <c r="J352" s="250"/>
      <c r="K352" s="1339"/>
      <c r="L352" s="1338"/>
      <c r="M352" s="250"/>
      <c r="N352" s="250"/>
      <c r="O352" s="250"/>
      <c r="P352" s="250"/>
      <c r="Q352" s="250"/>
      <c r="R352" s="250"/>
      <c r="S352" s="250"/>
      <c r="T352" s="250"/>
      <c r="U352" s="250"/>
      <c r="V352" s="250"/>
      <c r="W352" s="250"/>
      <c r="X352" s="250"/>
      <c r="Y352" s="250"/>
      <c r="Z352" s="250"/>
      <c r="AA352" s="250"/>
      <c r="AB352" s="250"/>
      <c r="AC352" s="250"/>
      <c r="AD352" s="250"/>
      <c r="AE352" s="250"/>
      <c r="AF352" s="250"/>
      <c r="AG352" s="250"/>
      <c r="AH352" s="250"/>
      <c r="AI352" s="250"/>
      <c r="AJ352" s="250"/>
      <c r="AK352" s="250"/>
      <c r="AL352" s="250"/>
      <c r="AM352" s="250"/>
      <c r="AN352" s="250"/>
      <c r="AO352" s="250"/>
      <c r="AP352" s="250"/>
      <c r="AQ352" s="250"/>
      <c r="AR352" s="250"/>
      <c r="AS352" s="250"/>
      <c r="AT352" s="250"/>
      <c r="AU352" s="250"/>
      <c r="AV352" s="124"/>
    </row>
    <row r="353" spans="2:48" s="475" customFormat="1" ht="12.75" customHeight="1" x14ac:dyDescent="0.2">
      <c r="B353" s="250"/>
      <c r="C353" s="250"/>
      <c r="D353" s="250"/>
      <c r="E353" s="1339"/>
      <c r="F353" s="1338"/>
      <c r="G353" s="250"/>
      <c r="H353" s="250"/>
      <c r="I353" s="250"/>
      <c r="J353" s="250"/>
      <c r="K353" s="1339"/>
      <c r="L353" s="1338"/>
      <c r="M353" s="250"/>
      <c r="N353" s="250"/>
      <c r="O353" s="250"/>
      <c r="P353" s="250"/>
      <c r="Q353" s="250"/>
      <c r="R353" s="250"/>
      <c r="S353" s="250"/>
      <c r="T353" s="250"/>
      <c r="U353" s="250"/>
      <c r="V353" s="250"/>
      <c r="W353" s="250"/>
      <c r="X353" s="250"/>
      <c r="Y353" s="250"/>
      <c r="Z353" s="250"/>
      <c r="AA353" s="250"/>
      <c r="AB353" s="250"/>
      <c r="AC353" s="250"/>
      <c r="AD353" s="250"/>
      <c r="AE353" s="250"/>
      <c r="AF353" s="250"/>
      <c r="AG353" s="250"/>
      <c r="AH353" s="250"/>
      <c r="AI353" s="250"/>
      <c r="AJ353" s="250"/>
      <c r="AK353" s="250"/>
      <c r="AL353" s="250"/>
      <c r="AM353" s="250"/>
      <c r="AN353" s="250"/>
      <c r="AO353" s="250"/>
      <c r="AP353" s="250"/>
      <c r="AQ353" s="250"/>
      <c r="AR353" s="250"/>
      <c r="AS353" s="250"/>
      <c r="AT353" s="250"/>
      <c r="AU353" s="250"/>
      <c r="AV353" s="124"/>
    </row>
    <row r="354" spans="2:48" s="475" customFormat="1" ht="12.75" customHeight="1" x14ac:dyDescent="0.2">
      <c r="B354" s="250"/>
      <c r="C354" s="250"/>
      <c r="D354" s="250"/>
      <c r="E354" s="1339"/>
      <c r="F354" s="1338"/>
      <c r="G354" s="250"/>
      <c r="H354" s="250"/>
      <c r="I354" s="250"/>
      <c r="J354" s="250"/>
      <c r="K354" s="1339"/>
      <c r="L354" s="1338"/>
      <c r="M354" s="250"/>
      <c r="N354" s="250"/>
      <c r="O354" s="250"/>
      <c r="P354" s="250"/>
      <c r="Q354" s="250"/>
      <c r="R354" s="250"/>
      <c r="S354" s="250"/>
      <c r="T354" s="250"/>
      <c r="U354" s="250"/>
      <c r="V354" s="250"/>
      <c r="W354" s="250"/>
      <c r="X354" s="250"/>
      <c r="Y354" s="250"/>
      <c r="Z354" s="250"/>
      <c r="AA354" s="250"/>
      <c r="AB354" s="250"/>
      <c r="AC354" s="250"/>
      <c r="AD354" s="250"/>
      <c r="AE354" s="250"/>
      <c r="AF354" s="250"/>
      <c r="AG354" s="250"/>
      <c r="AH354" s="250"/>
      <c r="AI354" s="250"/>
      <c r="AJ354" s="250"/>
      <c r="AK354" s="250"/>
      <c r="AL354" s="250"/>
      <c r="AM354" s="250"/>
      <c r="AN354" s="250"/>
      <c r="AO354" s="250"/>
      <c r="AP354" s="250"/>
      <c r="AQ354" s="250"/>
      <c r="AR354" s="250"/>
      <c r="AS354" s="250"/>
      <c r="AT354" s="250"/>
      <c r="AU354" s="250"/>
      <c r="AV354" s="124"/>
    </row>
    <row r="355" spans="2:48" s="475" customFormat="1" ht="12.75" customHeight="1" x14ac:dyDescent="0.2">
      <c r="B355" s="250"/>
      <c r="C355" s="250"/>
      <c r="D355" s="250"/>
      <c r="E355" s="1339"/>
      <c r="F355" s="1338"/>
      <c r="G355" s="250"/>
      <c r="H355" s="250"/>
      <c r="I355" s="250"/>
      <c r="J355" s="250"/>
      <c r="K355" s="1339"/>
      <c r="L355" s="1338"/>
      <c r="M355" s="250"/>
      <c r="N355" s="250"/>
      <c r="O355" s="250"/>
      <c r="P355" s="250"/>
      <c r="Q355" s="250"/>
      <c r="R355" s="250"/>
      <c r="S355" s="250"/>
      <c r="T355" s="250"/>
      <c r="U355" s="250"/>
      <c r="V355" s="250"/>
      <c r="W355" s="250"/>
      <c r="X355" s="250"/>
      <c r="Y355" s="250"/>
      <c r="Z355" s="250"/>
      <c r="AA355" s="250"/>
      <c r="AB355" s="250"/>
      <c r="AC355" s="250"/>
      <c r="AD355" s="250"/>
      <c r="AE355" s="250"/>
      <c r="AF355" s="250"/>
      <c r="AG355" s="250"/>
      <c r="AH355" s="250"/>
      <c r="AI355" s="250"/>
      <c r="AJ355" s="250"/>
      <c r="AK355" s="250"/>
      <c r="AL355" s="250"/>
      <c r="AM355" s="250"/>
      <c r="AN355" s="250"/>
      <c r="AO355" s="250"/>
      <c r="AP355" s="250"/>
      <c r="AQ355" s="250"/>
      <c r="AR355" s="250"/>
      <c r="AS355" s="250"/>
      <c r="AT355" s="250"/>
      <c r="AU355" s="250"/>
      <c r="AV355" s="124"/>
    </row>
    <row r="356" spans="2:48" s="475" customFormat="1" ht="12.75" customHeight="1" x14ac:dyDescent="0.2">
      <c r="B356" s="250"/>
      <c r="C356" s="250"/>
      <c r="D356" s="250"/>
      <c r="E356" s="1339"/>
      <c r="F356" s="1340"/>
      <c r="G356" s="1341"/>
      <c r="H356" s="1341"/>
      <c r="I356" s="1341"/>
      <c r="J356" s="1341"/>
      <c r="K356" s="1342"/>
      <c r="L356" s="1338"/>
      <c r="M356" s="250"/>
      <c r="N356" s="250"/>
      <c r="O356" s="250"/>
      <c r="P356" s="250"/>
      <c r="Q356" s="250"/>
      <c r="R356" s="250"/>
      <c r="S356" s="250"/>
      <c r="T356" s="250"/>
      <c r="U356" s="250"/>
      <c r="V356" s="250"/>
      <c r="W356" s="250"/>
      <c r="X356" s="250"/>
      <c r="Y356" s="250"/>
      <c r="Z356" s="250"/>
      <c r="AA356" s="250"/>
      <c r="AB356" s="250"/>
      <c r="AC356" s="250"/>
      <c r="AD356" s="250"/>
      <c r="AE356" s="250"/>
      <c r="AF356" s="250"/>
      <c r="AG356" s="250"/>
      <c r="AH356" s="250"/>
      <c r="AI356" s="250"/>
      <c r="AJ356" s="250"/>
      <c r="AK356" s="250"/>
      <c r="AL356" s="250"/>
      <c r="AM356" s="250"/>
      <c r="AN356" s="250"/>
      <c r="AO356" s="250"/>
      <c r="AP356" s="250"/>
      <c r="AQ356" s="250"/>
      <c r="AR356" s="250"/>
      <c r="AS356" s="250"/>
      <c r="AT356" s="250"/>
      <c r="AU356" s="250"/>
      <c r="AV356" s="124"/>
    </row>
    <row r="357" spans="2:48" s="475" customFormat="1" x14ac:dyDescent="0.2">
      <c r="B357" s="250"/>
      <c r="C357" s="250"/>
      <c r="D357" s="250"/>
      <c r="E357" s="250"/>
      <c r="F357" s="250"/>
      <c r="G357" s="250"/>
      <c r="H357" s="250"/>
      <c r="I357" s="250"/>
      <c r="J357" s="250"/>
      <c r="K357" s="250"/>
      <c r="L357" s="250"/>
      <c r="M357" s="250"/>
      <c r="N357" s="250"/>
      <c r="O357" s="250"/>
      <c r="P357" s="250"/>
      <c r="Q357" s="250"/>
      <c r="R357" s="250"/>
      <c r="S357" s="250"/>
      <c r="T357" s="250"/>
      <c r="U357" s="250"/>
      <c r="V357" s="250"/>
      <c r="W357" s="250"/>
      <c r="X357" s="250"/>
      <c r="Y357" s="250"/>
      <c r="Z357" s="250"/>
      <c r="AA357" s="250"/>
      <c r="AB357" s="250"/>
      <c r="AC357" s="250"/>
      <c r="AD357" s="250"/>
      <c r="AE357" s="250"/>
      <c r="AF357" s="250"/>
      <c r="AG357" s="250"/>
      <c r="AH357" s="250"/>
      <c r="AI357" s="250"/>
      <c r="AJ357" s="250"/>
      <c r="AK357" s="250"/>
      <c r="AL357" s="250"/>
      <c r="AM357" s="250"/>
      <c r="AN357" s="250"/>
      <c r="AO357" s="250"/>
      <c r="AP357" s="250"/>
      <c r="AQ357" s="250"/>
      <c r="AR357" s="250"/>
      <c r="AS357" s="250"/>
      <c r="AT357" s="250"/>
      <c r="AU357" s="250"/>
      <c r="AV357" s="124"/>
    </row>
    <row r="358" spans="2:48" s="475" customFormat="1" x14ac:dyDescent="0.2">
      <c r="B358" s="250"/>
      <c r="C358" s="250"/>
      <c r="D358" s="250"/>
      <c r="E358" s="250"/>
      <c r="F358" s="250"/>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250"/>
      <c r="AE358" s="250"/>
      <c r="AF358" s="250"/>
      <c r="AG358" s="250"/>
      <c r="AH358" s="250"/>
      <c r="AI358" s="250"/>
      <c r="AJ358" s="250"/>
      <c r="AK358" s="250"/>
      <c r="AL358" s="250"/>
      <c r="AM358" s="250"/>
      <c r="AN358" s="250"/>
      <c r="AO358" s="250"/>
      <c r="AP358" s="250"/>
      <c r="AQ358" s="250"/>
      <c r="AR358" s="250"/>
      <c r="AS358" s="250"/>
      <c r="AT358" s="250"/>
      <c r="AU358" s="250"/>
      <c r="AV358" s="124"/>
    </row>
    <row r="359" spans="2:48" s="475" customFormat="1" x14ac:dyDescent="0.2">
      <c r="B359" s="250"/>
      <c r="C359" s="250"/>
      <c r="D359" s="250"/>
      <c r="E359" s="250"/>
      <c r="F359" s="250"/>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250"/>
      <c r="AE359" s="250"/>
      <c r="AF359" s="250"/>
      <c r="AG359" s="250"/>
      <c r="AH359" s="250"/>
      <c r="AI359" s="250"/>
      <c r="AJ359" s="250"/>
      <c r="AK359" s="250"/>
      <c r="AL359" s="250"/>
      <c r="AM359" s="250"/>
      <c r="AN359" s="250"/>
      <c r="AO359" s="250"/>
      <c r="AP359" s="250"/>
      <c r="AQ359" s="250"/>
      <c r="AR359" s="250"/>
      <c r="AS359" s="250"/>
      <c r="AT359" s="250"/>
      <c r="AU359" s="250"/>
      <c r="AV359" s="124"/>
    </row>
    <row r="360" spans="2:48" s="475" customFormat="1" x14ac:dyDescent="0.2">
      <c r="B360" s="250"/>
      <c r="C360" s="250"/>
      <c r="D360" s="250"/>
      <c r="E360" s="250"/>
      <c r="F360" s="250"/>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250"/>
      <c r="AE360" s="250"/>
      <c r="AF360" s="250"/>
      <c r="AG360" s="250"/>
      <c r="AH360" s="250"/>
      <c r="AI360" s="250"/>
      <c r="AJ360" s="250"/>
      <c r="AK360" s="250"/>
      <c r="AL360" s="250"/>
      <c r="AM360" s="250"/>
      <c r="AN360" s="250"/>
      <c r="AO360" s="250"/>
      <c r="AP360" s="250"/>
      <c r="AQ360" s="250"/>
      <c r="AR360" s="250"/>
      <c r="AS360" s="250"/>
      <c r="AT360" s="250"/>
      <c r="AU360" s="250"/>
      <c r="AV360" s="124"/>
    </row>
    <row r="361" spans="2:48" s="475" customFormat="1" x14ac:dyDescent="0.2">
      <c r="B361" s="250"/>
      <c r="C361" s="250"/>
      <c r="D361" s="250"/>
      <c r="E361" s="250"/>
      <c r="F361" s="250"/>
      <c r="G361" s="250"/>
      <c r="H361" s="250"/>
      <c r="I361" s="250"/>
      <c r="J361" s="250"/>
      <c r="K361" s="250"/>
      <c r="L361" s="250"/>
      <c r="M361" s="250"/>
      <c r="N361" s="250"/>
      <c r="O361" s="250"/>
      <c r="P361" s="250"/>
      <c r="Q361" s="250"/>
      <c r="R361" s="250"/>
      <c r="S361" s="250"/>
      <c r="T361" s="250"/>
      <c r="U361" s="250"/>
      <c r="V361" s="250"/>
      <c r="W361" s="250"/>
      <c r="X361" s="250"/>
      <c r="Y361" s="250"/>
      <c r="Z361" s="250"/>
      <c r="AA361" s="250"/>
      <c r="AB361" s="250"/>
      <c r="AC361" s="250"/>
      <c r="AD361" s="250"/>
      <c r="AE361" s="250"/>
      <c r="AF361" s="250"/>
      <c r="AG361" s="250"/>
      <c r="AH361" s="250"/>
      <c r="AI361" s="250"/>
      <c r="AJ361" s="250"/>
      <c r="AK361" s="250"/>
      <c r="AL361" s="250"/>
      <c r="AM361" s="250"/>
      <c r="AN361" s="250"/>
      <c r="AO361" s="250"/>
      <c r="AP361" s="250"/>
      <c r="AQ361" s="250"/>
      <c r="AR361" s="250"/>
      <c r="AS361" s="250"/>
      <c r="AT361" s="250"/>
      <c r="AU361" s="250"/>
      <c r="AV361" s="124"/>
    </row>
    <row r="362" spans="2:48" s="475" customFormat="1" x14ac:dyDescent="0.2">
      <c r="B362" s="250"/>
      <c r="C362" s="250"/>
      <c r="D362" s="250"/>
      <c r="E362" s="250"/>
      <c r="F362" s="250"/>
      <c r="G362" s="250"/>
      <c r="H362" s="250"/>
      <c r="I362" s="250"/>
      <c r="J362" s="250"/>
      <c r="K362" s="250"/>
      <c r="L362" s="250"/>
      <c r="M362" s="250"/>
      <c r="N362" s="250"/>
      <c r="O362" s="250"/>
      <c r="P362" s="250"/>
      <c r="Q362" s="250"/>
      <c r="R362" s="250"/>
      <c r="S362" s="250"/>
      <c r="T362" s="250"/>
      <c r="U362" s="250"/>
      <c r="V362" s="250"/>
      <c r="W362" s="250"/>
      <c r="X362" s="250"/>
      <c r="Y362" s="250"/>
      <c r="Z362" s="250"/>
      <c r="AA362" s="250"/>
      <c r="AB362" s="250"/>
      <c r="AC362" s="250"/>
      <c r="AD362" s="250"/>
      <c r="AE362" s="250"/>
      <c r="AF362" s="250"/>
      <c r="AG362" s="250"/>
      <c r="AH362" s="250"/>
      <c r="AI362" s="250"/>
      <c r="AJ362" s="250"/>
      <c r="AK362" s="250"/>
      <c r="AL362" s="250"/>
      <c r="AM362" s="250"/>
      <c r="AN362" s="250"/>
      <c r="AO362" s="250"/>
      <c r="AP362" s="250"/>
      <c r="AQ362" s="250"/>
      <c r="AR362" s="250"/>
      <c r="AS362" s="250"/>
      <c r="AT362" s="250"/>
      <c r="AU362" s="250"/>
      <c r="AV362" s="124"/>
    </row>
    <row r="363" spans="2:48" s="475" customFormat="1" x14ac:dyDescent="0.2">
      <c r="B363" s="250"/>
      <c r="C363" s="250"/>
      <c r="D363" s="250"/>
      <c r="E363" s="250"/>
      <c r="F363" s="250"/>
      <c r="G363" s="250"/>
      <c r="H363" s="250"/>
      <c r="I363" s="250"/>
      <c r="J363" s="250"/>
      <c r="K363" s="250"/>
      <c r="L363" s="250"/>
      <c r="M363" s="250"/>
      <c r="N363" s="250"/>
      <c r="O363" s="250"/>
      <c r="P363" s="250"/>
      <c r="Q363" s="250"/>
      <c r="R363" s="250"/>
      <c r="S363" s="250"/>
      <c r="T363" s="250"/>
      <c r="U363" s="250"/>
      <c r="V363" s="250"/>
      <c r="W363" s="250"/>
      <c r="X363" s="250"/>
      <c r="Y363" s="250"/>
      <c r="Z363" s="250"/>
      <c r="AA363" s="250"/>
      <c r="AB363" s="250"/>
      <c r="AC363" s="250"/>
      <c r="AD363" s="250"/>
      <c r="AE363" s="250"/>
      <c r="AF363" s="250"/>
      <c r="AG363" s="250"/>
      <c r="AH363" s="250"/>
      <c r="AI363" s="250"/>
      <c r="AJ363" s="250"/>
      <c r="AK363" s="250"/>
      <c r="AL363" s="250"/>
      <c r="AM363" s="250"/>
      <c r="AN363" s="250"/>
      <c r="AO363" s="250"/>
      <c r="AP363" s="250"/>
      <c r="AQ363" s="250"/>
      <c r="AR363" s="250"/>
      <c r="AS363" s="250"/>
      <c r="AT363" s="250"/>
      <c r="AU363" s="250"/>
      <c r="AV363" s="124"/>
    </row>
    <row r="364" spans="2:48" s="475" customFormat="1" x14ac:dyDescent="0.2">
      <c r="B364" s="250"/>
      <c r="C364" s="250"/>
      <c r="D364" s="250"/>
      <c r="E364" s="250"/>
      <c r="F364" s="250"/>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124"/>
    </row>
    <row r="365" spans="2:48" s="475" customFormat="1" x14ac:dyDescent="0.2">
      <c r="B365" s="250"/>
      <c r="C365" s="250"/>
      <c r="D365" s="250"/>
      <c r="E365" s="250"/>
      <c r="F365" s="250"/>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124"/>
    </row>
    <row r="366" spans="2:48" s="475" customFormat="1" x14ac:dyDescent="0.2">
      <c r="B366" s="250"/>
      <c r="C366" s="250"/>
      <c r="D366" s="250"/>
      <c r="E366" s="250"/>
      <c r="F366" s="250"/>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124"/>
    </row>
    <row r="367" spans="2:48" s="475" customFormat="1" x14ac:dyDescent="0.2">
      <c r="B367" s="250"/>
      <c r="C367" s="250"/>
      <c r="D367" s="250"/>
      <c r="E367" s="250"/>
      <c r="F367" s="250"/>
      <c r="G367" s="250"/>
      <c r="H367" s="250"/>
      <c r="I367" s="250"/>
      <c r="J367" s="250"/>
      <c r="K367" s="250"/>
      <c r="L367" s="250"/>
      <c r="M367" s="250"/>
      <c r="N367" s="250"/>
      <c r="O367" s="250"/>
      <c r="P367" s="250"/>
      <c r="Q367" s="250"/>
      <c r="R367" s="250"/>
      <c r="S367" s="250"/>
      <c r="T367" s="250"/>
      <c r="U367" s="250"/>
      <c r="V367" s="250"/>
      <c r="W367" s="250"/>
      <c r="X367" s="250"/>
      <c r="Y367" s="250"/>
      <c r="Z367" s="250"/>
      <c r="AA367" s="250"/>
      <c r="AB367" s="250"/>
      <c r="AC367" s="250"/>
      <c r="AD367" s="250"/>
      <c r="AE367" s="250"/>
      <c r="AF367" s="250"/>
      <c r="AG367" s="250"/>
      <c r="AH367" s="250"/>
      <c r="AI367" s="250"/>
      <c r="AJ367" s="250"/>
      <c r="AK367" s="250"/>
      <c r="AL367" s="250"/>
      <c r="AM367" s="250"/>
      <c r="AN367" s="250"/>
      <c r="AO367" s="250"/>
      <c r="AP367" s="250"/>
      <c r="AQ367" s="250"/>
      <c r="AR367" s="250"/>
      <c r="AS367" s="250"/>
      <c r="AT367" s="250"/>
      <c r="AU367" s="250"/>
      <c r="AV367" s="124"/>
    </row>
    <row r="368" spans="2:48" s="475" customFormat="1" x14ac:dyDescent="0.2">
      <c r="B368" s="250"/>
      <c r="C368" s="250"/>
      <c r="D368" s="250"/>
      <c r="E368" s="250"/>
      <c r="F368" s="250"/>
      <c r="G368" s="250"/>
      <c r="H368" s="250"/>
      <c r="I368" s="250"/>
      <c r="J368" s="250"/>
      <c r="K368" s="250"/>
      <c r="L368" s="250"/>
      <c r="M368" s="250"/>
      <c r="N368" s="250"/>
      <c r="O368" s="250"/>
      <c r="P368" s="250"/>
      <c r="Q368" s="250"/>
      <c r="R368" s="250"/>
      <c r="S368" s="250"/>
      <c r="T368" s="250"/>
      <c r="U368" s="250"/>
      <c r="V368" s="250"/>
      <c r="W368" s="250"/>
      <c r="X368" s="250"/>
      <c r="Y368" s="250"/>
      <c r="Z368" s="250"/>
      <c r="AA368" s="250"/>
      <c r="AB368" s="250"/>
      <c r="AC368" s="250"/>
      <c r="AD368" s="250"/>
      <c r="AE368" s="250"/>
      <c r="AF368" s="250"/>
      <c r="AG368" s="250"/>
      <c r="AH368" s="250"/>
      <c r="AI368" s="250"/>
      <c r="AJ368" s="250"/>
      <c r="AK368" s="250"/>
      <c r="AL368" s="250"/>
      <c r="AM368" s="250"/>
      <c r="AN368" s="250"/>
      <c r="AO368" s="250"/>
      <c r="AP368" s="250"/>
      <c r="AQ368" s="250"/>
      <c r="AR368" s="250"/>
      <c r="AS368" s="250"/>
      <c r="AT368" s="250"/>
      <c r="AU368" s="250"/>
      <c r="AV368" s="124"/>
    </row>
    <row r="369" spans="2:48" s="475" customFormat="1" x14ac:dyDescent="0.2">
      <c r="B369" s="250"/>
      <c r="C369" s="250"/>
      <c r="D369" s="250"/>
      <c r="E369" s="250"/>
      <c r="F369" s="250"/>
      <c r="G369" s="250"/>
      <c r="H369" s="250"/>
      <c r="I369" s="250"/>
      <c r="J369" s="250"/>
      <c r="K369" s="250"/>
      <c r="L369" s="250"/>
      <c r="M369" s="250"/>
      <c r="N369" s="250"/>
      <c r="O369" s="250"/>
      <c r="P369" s="250"/>
      <c r="Q369" s="250"/>
      <c r="R369" s="250"/>
      <c r="S369" s="250"/>
      <c r="T369" s="250"/>
      <c r="U369" s="250"/>
      <c r="V369" s="250"/>
      <c r="W369" s="250"/>
      <c r="X369" s="250"/>
      <c r="Y369" s="250"/>
      <c r="Z369" s="250"/>
      <c r="AA369" s="250"/>
      <c r="AB369" s="250"/>
      <c r="AC369" s="250"/>
      <c r="AD369" s="250"/>
      <c r="AE369" s="250"/>
      <c r="AF369" s="250"/>
      <c r="AG369" s="250"/>
      <c r="AH369" s="250"/>
      <c r="AI369" s="250"/>
      <c r="AJ369" s="250"/>
      <c r="AK369" s="250"/>
      <c r="AL369" s="250"/>
      <c r="AM369" s="250"/>
      <c r="AN369" s="250"/>
      <c r="AO369" s="250"/>
      <c r="AP369" s="250"/>
      <c r="AQ369" s="250"/>
      <c r="AR369" s="250"/>
      <c r="AS369" s="250"/>
      <c r="AT369" s="250"/>
      <c r="AU369" s="250"/>
      <c r="AV369" s="124"/>
    </row>
    <row r="370" spans="2:48" s="475" customFormat="1" x14ac:dyDescent="0.2">
      <c r="B370" s="250"/>
      <c r="C370" s="250"/>
      <c r="D370" s="250"/>
      <c r="E370" s="250"/>
      <c r="F370" s="250"/>
      <c r="G370" s="250"/>
      <c r="H370" s="250"/>
      <c r="I370" s="250"/>
      <c r="J370" s="250"/>
      <c r="K370" s="250"/>
      <c r="L370" s="250"/>
      <c r="M370" s="250"/>
      <c r="N370" s="250"/>
      <c r="O370" s="250"/>
      <c r="P370" s="250"/>
      <c r="Q370" s="250"/>
      <c r="R370" s="250"/>
      <c r="S370" s="250"/>
      <c r="T370" s="250"/>
      <c r="U370" s="250"/>
      <c r="V370" s="250"/>
      <c r="W370" s="250"/>
      <c r="X370" s="250"/>
      <c r="Y370" s="250"/>
      <c r="Z370" s="250"/>
      <c r="AA370" s="250"/>
      <c r="AB370" s="250"/>
      <c r="AC370" s="250"/>
      <c r="AD370" s="250"/>
      <c r="AE370" s="250"/>
      <c r="AF370" s="250"/>
      <c r="AG370" s="250"/>
      <c r="AH370" s="250"/>
      <c r="AI370" s="250"/>
      <c r="AJ370" s="250"/>
      <c r="AK370" s="250"/>
      <c r="AL370" s="250"/>
      <c r="AM370" s="250"/>
      <c r="AN370" s="250"/>
      <c r="AO370" s="250"/>
      <c r="AP370" s="250"/>
      <c r="AQ370" s="250"/>
      <c r="AR370" s="250"/>
      <c r="AS370" s="250"/>
      <c r="AT370" s="250"/>
      <c r="AU370" s="250"/>
      <c r="AV370" s="124"/>
    </row>
    <row r="371" spans="2:48" s="475" customFormat="1" x14ac:dyDescent="0.2">
      <c r="B371" s="250"/>
      <c r="C371" s="250"/>
      <c r="D371" s="250"/>
      <c r="E371" s="250"/>
      <c r="F371" s="250"/>
      <c r="G371" s="250"/>
      <c r="H371" s="250"/>
      <c r="I371" s="250"/>
      <c r="J371" s="250"/>
      <c r="K371" s="250"/>
      <c r="L371" s="250"/>
      <c r="M371" s="250"/>
      <c r="N371" s="250"/>
      <c r="O371" s="250"/>
      <c r="P371" s="250"/>
      <c r="Q371" s="250"/>
      <c r="R371" s="250"/>
      <c r="S371" s="250"/>
      <c r="T371" s="250"/>
      <c r="U371" s="250"/>
      <c r="V371" s="250"/>
      <c r="W371" s="250"/>
      <c r="X371" s="250"/>
      <c r="Y371" s="250"/>
      <c r="Z371" s="250"/>
      <c r="AA371" s="250"/>
      <c r="AB371" s="250"/>
      <c r="AC371" s="250"/>
      <c r="AD371" s="250"/>
      <c r="AE371" s="250"/>
      <c r="AF371" s="250"/>
      <c r="AG371" s="250"/>
      <c r="AH371" s="250"/>
      <c r="AI371" s="250"/>
      <c r="AJ371" s="250"/>
      <c r="AK371" s="250"/>
      <c r="AL371" s="250"/>
      <c r="AM371" s="250"/>
      <c r="AN371" s="250"/>
      <c r="AO371" s="250"/>
      <c r="AP371" s="250"/>
      <c r="AQ371" s="250"/>
      <c r="AR371" s="250"/>
      <c r="AS371" s="250"/>
      <c r="AT371" s="250"/>
      <c r="AU371" s="250"/>
      <c r="AV371" s="124"/>
    </row>
    <row r="372" spans="2:48" s="475" customFormat="1" x14ac:dyDescent="0.2">
      <c r="B372" s="250"/>
      <c r="C372" s="250"/>
      <c r="D372" s="250"/>
      <c r="E372" s="250"/>
      <c r="F372" s="250"/>
      <c r="G372" s="250"/>
      <c r="H372" s="250"/>
      <c r="I372" s="250"/>
      <c r="J372" s="250"/>
      <c r="K372" s="250"/>
      <c r="L372" s="250"/>
      <c r="M372" s="250"/>
      <c r="N372" s="250"/>
      <c r="O372" s="250"/>
      <c r="P372" s="250"/>
      <c r="Q372" s="250"/>
      <c r="R372" s="250"/>
      <c r="S372" s="250"/>
      <c r="T372" s="250"/>
      <c r="U372" s="250"/>
      <c r="V372" s="250"/>
      <c r="W372" s="250"/>
      <c r="X372" s="250"/>
      <c r="Y372" s="250"/>
      <c r="Z372" s="250"/>
      <c r="AA372" s="250"/>
      <c r="AB372" s="250"/>
      <c r="AC372" s="250"/>
      <c r="AD372" s="250"/>
      <c r="AE372" s="250"/>
      <c r="AF372" s="250"/>
      <c r="AG372" s="250"/>
      <c r="AH372" s="250"/>
      <c r="AI372" s="250"/>
      <c r="AJ372" s="250"/>
      <c r="AK372" s="250"/>
      <c r="AL372" s="250"/>
      <c r="AM372" s="250"/>
      <c r="AN372" s="250"/>
      <c r="AO372" s="250"/>
      <c r="AP372" s="250"/>
      <c r="AQ372" s="250"/>
      <c r="AR372" s="250"/>
      <c r="AS372" s="250"/>
      <c r="AT372" s="250"/>
      <c r="AU372" s="250"/>
      <c r="AV372" s="124"/>
    </row>
    <row r="373" spans="2:48" s="475" customFormat="1" x14ac:dyDescent="0.2">
      <c r="B373" s="250"/>
      <c r="C373" s="250"/>
      <c r="D373" s="250"/>
      <c r="E373" s="250"/>
      <c r="F373" s="250"/>
      <c r="G373" s="250"/>
      <c r="H373" s="250"/>
      <c r="I373" s="250"/>
      <c r="J373" s="250"/>
      <c r="K373" s="250"/>
      <c r="L373" s="250"/>
      <c r="M373" s="250"/>
      <c r="N373" s="250"/>
      <c r="O373" s="250"/>
      <c r="P373" s="250"/>
      <c r="Q373" s="250"/>
      <c r="R373" s="250"/>
      <c r="S373" s="250"/>
      <c r="T373" s="250"/>
      <c r="U373" s="250"/>
      <c r="V373" s="250"/>
      <c r="W373" s="250"/>
      <c r="X373" s="250"/>
      <c r="Y373" s="250"/>
      <c r="Z373" s="250"/>
      <c r="AA373" s="250"/>
      <c r="AB373" s="250"/>
      <c r="AC373" s="250"/>
      <c r="AD373" s="250"/>
      <c r="AE373" s="250"/>
      <c r="AF373" s="250"/>
      <c r="AG373" s="250"/>
      <c r="AH373" s="250"/>
      <c r="AI373" s="250"/>
      <c r="AJ373" s="250"/>
      <c r="AK373" s="250"/>
      <c r="AL373" s="250"/>
      <c r="AM373" s="250"/>
      <c r="AN373" s="250"/>
      <c r="AO373" s="250"/>
      <c r="AP373" s="250"/>
      <c r="AQ373" s="250"/>
      <c r="AR373" s="250"/>
      <c r="AS373" s="250"/>
      <c r="AT373" s="250"/>
      <c r="AU373" s="250"/>
      <c r="AV373" s="124"/>
    </row>
    <row r="374" spans="2:48" s="475" customFormat="1" x14ac:dyDescent="0.2">
      <c r="B374" s="250"/>
      <c r="C374" s="250"/>
      <c r="D374" s="250"/>
      <c r="E374" s="250"/>
      <c r="F374" s="250"/>
      <c r="G374" s="250"/>
      <c r="H374" s="250"/>
      <c r="I374" s="250"/>
      <c r="J374" s="250"/>
      <c r="K374" s="250"/>
      <c r="L374" s="250"/>
      <c r="M374" s="250"/>
      <c r="N374" s="250"/>
      <c r="O374" s="250"/>
      <c r="P374" s="250"/>
      <c r="Q374" s="250"/>
      <c r="R374" s="250"/>
      <c r="S374" s="250"/>
      <c r="T374" s="250"/>
      <c r="U374" s="250"/>
      <c r="V374" s="250"/>
      <c r="W374" s="250"/>
      <c r="X374" s="250"/>
      <c r="Y374" s="250"/>
      <c r="Z374" s="250"/>
      <c r="AA374" s="250"/>
      <c r="AB374" s="250"/>
      <c r="AC374" s="250"/>
      <c r="AD374" s="250"/>
      <c r="AE374" s="250"/>
      <c r="AF374" s="250"/>
      <c r="AG374" s="250"/>
      <c r="AH374" s="250"/>
      <c r="AI374" s="250"/>
      <c r="AJ374" s="250"/>
      <c r="AK374" s="250"/>
      <c r="AL374" s="250"/>
      <c r="AM374" s="250"/>
      <c r="AN374" s="250"/>
      <c r="AO374" s="250"/>
      <c r="AP374" s="250"/>
      <c r="AQ374" s="250"/>
      <c r="AR374" s="250"/>
      <c r="AS374" s="250"/>
      <c r="AT374" s="250"/>
      <c r="AU374" s="250"/>
      <c r="AV374" s="124"/>
    </row>
    <row r="375" spans="2:48" s="475" customFormat="1" x14ac:dyDescent="0.2">
      <c r="B375" s="250"/>
      <c r="C375" s="250"/>
      <c r="D375" s="250"/>
      <c r="E375" s="250"/>
      <c r="F375" s="250"/>
      <c r="G375" s="250"/>
      <c r="H375" s="250"/>
      <c r="I375" s="250"/>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c r="AN375" s="250"/>
      <c r="AO375" s="250"/>
      <c r="AP375" s="250"/>
      <c r="AQ375" s="250"/>
      <c r="AR375" s="250"/>
      <c r="AS375" s="250"/>
      <c r="AT375" s="250"/>
      <c r="AU375" s="250"/>
      <c r="AV375" s="124"/>
    </row>
    <row r="376" spans="2:48" s="475" customFormat="1" x14ac:dyDescent="0.2">
      <c r="B376" s="250"/>
      <c r="C376" s="250"/>
      <c r="D376" s="250"/>
      <c r="E376" s="250"/>
      <c r="F376" s="250"/>
      <c r="G376" s="250"/>
      <c r="H376" s="250"/>
      <c r="I376" s="250"/>
      <c r="J376" s="250"/>
      <c r="K376" s="250"/>
      <c r="L376" s="250"/>
      <c r="M376" s="250"/>
      <c r="N376" s="250"/>
      <c r="O376" s="250"/>
      <c r="P376" s="250"/>
      <c r="Q376" s="250"/>
      <c r="R376" s="250"/>
      <c r="S376" s="250"/>
      <c r="T376" s="250"/>
      <c r="U376" s="250"/>
      <c r="V376" s="250"/>
      <c r="W376" s="250"/>
      <c r="X376" s="250"/>
      <c r="Y376" s="250"/>
      <c r="Z376" s="250"/>
      <c r="AA376" s="250"/>
      <c r="AB376" s="250"/>
      <c r="AC376" s="250"/>
      <c r="AD376" s="250"/>
      <c r="AE376" s="250"/>
      <c r="AF376" s="250"/>
      <c r="AG376" s="250"/>
      <c r="AH376" s="250"/>
      <c r="AI376" s="250"/>
      <c r="AJ376" s="250"/>
      <c r="AK376" s="250"/>
      <c r="AL376" s="250"/>
      <c r="AM376" s="250"/>
      <c r="AN376" s="250"/>
      <c r="AO376" s="250"/>
      <c r="AP376" s="250"/>
      <c r="AQ376" s="250"/>
      <c r="AR376" s="250"/>
      <c r="AS376" s="250"/>
      <c r="AT376" s="250"/>
      <c r="AU376" s="250"/>
      <c r="AV376" s="124"/>
    </row>
    <row r="377" spans="2:48" s="475" customFormat="1" x14ac:dyDescent="0.2">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c r="AA377" s="250"/>
      <c r="AB377" s="250"/>
      <c r="AC377" s="250"/>
      <c r="AD377" s="250"/>
      <c r="AE377" s="250"/>
      <c r="AF377" s="250"/>
      <c r="AG377" s="250"/>
      <c r="AH377" s="250"/>
      <c r="AI377" s="250"/>
      <c r="AJ377" s="250"/>
      <c r="AK377" s="250"/>
      <c r="AL377" s="250"/>
      <c r="AM377" s="250"/>
      <c r="AN377" s="250"/>
      <c r="AO377" s="250"/>
      <c r="AP377" s="250"/>
      <c r="AQ377" s="250"/>
      <c r="AR377" s="250"/>
      <c r="AS377" s="250"/>
      <c r="AT377" s="250"/>
      <c r="AU377" s="250"/>
      <c r="AV377" s="124"/>
    </row>
    <row r="378" spans="2:48" s="475" customFormat="1" x14ac:dyDescent="0.2">
      <c r="B378" s="250"/>
      <c r="C378" s="250"/>
      <c r="D378" s="250"/>
      <c r="E378" s="250"/>
      <c r="F378" s="250"/>
      <c r="G378" s="250"/>
      <c r="H378" s="250"/>
      <c r="I378" s="250"/>
      <c r="J378" s="250"/>
      <c r="K378" s="250"/>
      <c r="L378" s="250"/>
      <c r="M378" s="250"/>
      <c r="N378" s="250"/>
      <c r="O378" s="250"/>
      <c r="P378" s="250"/>
      <c r="Q378" s="250"/>
      <c r="R378" s="250"/>
      <c r="S378" s="250"/>
      <c r="T378" s="250"/>
      <c r="U378" s="250"/>
      <c r="V378" s="250"/>
      <c r="W378" s="250"/>
      <c r="X378" s="250"/>
      <c r="Y378" s="250"/>
      <c r="Z378" s="250"/>
      <c r="AA378" s="250"/>
      <c r="AB378" s="250"/>
      <c r="AC378" s="250"/>
      <c r="AD378" s="250"/>
      <c r="AE378" s="250"/>
      <c r="AF378" s="250"/>
      <c r="AG378" s="250"/>
      <c r="AH378" s="250"/>
      <c r="AI378" s="250"/>
      <c r="AJ378" s="250"/>
      <c r="AK378" s="250"/>
      <c r="AL378" s="250"/>
      <c r="AM378" s="250"/>
      <c r="AN378" s="250"/>
      <c r="AO378" s="250"/>
      <c r="AP378" s="250"/>
      <c r="AQ378" s="250"/>
      <c r="AR378" s="250"/>
      <c r="AS378" s="250"/>
      <c r="AT378" s="250"/>
      <c r="AU378" s="250"/>
      <c r="AV378" s="124"/>
    </row>
    <row r="379" spans="2:48" s="475" customFormat="1" x14ac:dyDescent="0.2">
      <c r="B379" s="250"/>
      <c r="C379" s="250"/>
      <c r="D379" s="250"/>
      <c r="E379" s="250"/>
      <c r="F379" s="250"/>
      <c r="G379" s="250"/>
      <c r="H379" s="250"/>
      <c r="I379" s="250"/>
      <c r="J379" s="250"/>
      <c r="K379" s="250"/>
      <c r="L379" s="250"/>
      <c r="M379" s="250"/>
      <c r="N379" s="250"/>
      <c r="O379" s="250"/>
      <c r="P379" s="250"/>
      <c r="Q379" s="250"/>
      <c r="R379" s="250"/>
      <c r="S379" s="250"/>
      <c r="T379" s="250"/>
      <c r="U379" s="250"/>
      <c r="V379" s="250"/>
      <c r="W379" s="250"/>
      <c r="X379" s="250"/>
      <c r="Y379" s="250"/>
      <c r="Z379" s="250"/>
      <c r="AA379" s="250"/>
      <c r="AB379" s="250"/>
      <c r="AC379" s="250"/>
      <c r="AD379" s="250"/>
      <c r="AE379" s="250"/>
      <c r="AF379" s="250"/>
      <c r="AG379" s="250"/>
      <c r="AH379" s="250"/>
      <c r="AI379" s="250"/>
      <c r="AJ379" s="250"/>
      <c r="AK379" s="250"/>
      <c r="AL379" s="250"/>
      <c r="AM379" s="250"/>
      <c r="AN379" s="250"/>
      <c r="AO379" s="250"/>
      <c r="AP379" s="250"/>
      <c r="AQ379" s="250"/>
      <c r="AR379" s="250"/>
      <c r="AS379" s="250"/>
      <c r="AT379" s="250"/>
      <c r="AU379" s="250"/>
      <c r="AV379" s="124"/>
    </row>
    <row r="380" spans="2:48" s="475" customFormat="1" x14ac:dyDescent="0.2">
      <c r="B380" s="250"/>
      <c r="C380" s="250"/>
      <c r="D380" s="250"/>
      <c r="E380" s="250"/>
      <c r="F380" s="250"/>
      <c r="G380" s="250"/>
      <c r="H380" s="250"/>
      <c r="I380" s="250"/>
      <c r="J380" s="250"/>
      <c r="K380" s="250"/>
      <c r="L380" s="250"/>
      <c r="M380" s="250"/>
      <c r="N380" s="250"/>
      <c r="O380" s="250"/>
      <c r="P380" s="250"/>
      <c r="Q380" s="250"/>
      <c r="R380" s="250"/>
      <c r="S380" s="250"/>
      <c r="T380" s="250"/>
      <c r="U380" s="250"/>
      <c r="V380" s="250"/>
      <c r="W380" s="250"/>
      <c r="X380" s="250"/>
      <c r="Y380" s="250"/>
      <c r="Z380" s="250"/>
      <c r="AA380" s="250"/>
      <c r="AB380" s="250"/>
      <c r="AC380" s="250"/>
      <c r="AD380" s="250"/>
      <c r="AE380" s="250"/>
      <c r="AF380" s="250"/>
      <c r="AG380" s="250"/>
      <c r="AH380" s="250"/>
      <c r="AI380" s="250"/>
      <c r="AJ380" s="250"/>
      <c r="AK380" s="250"/>
      <c r="AL380" s="250"/>
      <c r="AM380" s="250"/>
      <c r="AN380" s="250"/>
      <c r="AO380" s="250"/>
      <c r="AP380" s="250"/>
      <c r="AQ380" s="250"/>
      <c r="AR380" s="250"/>
      <c r="AS380" s="250"/>
      <c r="AT380" s="250"/>
      <c r="AU380" s="250"/>
      <c r="AV380" s="124"/>
    </row>
    <row r="381" spans="2:48" s="475" customFormat="1" x14ac:dyDescent="0.2">
      <c r="B381" s="250"/>
      <c r="C381" s="250"/>
      <c r="D381" s="250"/>
      <c r="E381" s="250"/>
      <c r="F381" s="250"/>
      <c r="G381" s="250"/>
      <c r="H381" s="250"/>
      <c r="I381" s="250"/>
      <c r="J381" s="250"/>
      <c r="K381" s="250"/>
      <c r="L381" s="250"/>
      <c r="M381" s="250"/>
      <c r="N381" s="250"/>
      <c r="O381" s="250"/>
      <c r="P381" s="250"/>
      <c r="Q381" s="250"/>
      <c r="R381" s="250"/>
      <c r="S381" s="250"/>
      <c r="T381" s="250"/>
      <c r="U381" s="250"/>
      <c r="V381" s="250"/>
      <c r="W381" s="250"/>
      <c r="X381" s="250"/>
      <c r="Y381" s="250"/>
      <c r="Z381" s="250"/>
      <c r="AA381" s="250"/>
      <c r="AB381" s="250"/>
      <c r="AC381" s="250"/>
      <c r="AD381" s="250"/>
      <c r="AE381" s="250"/>
      <c r="AF381" s="250"/>
      <c r="AG381" s="250"/>
      <c r="AH381" s="250"/>
      <c r="AI381" s="250"/>
      <c r="AJ381" s="250"/>
      <c r="AK381" s="250"/>
      <c r="AL381" s="250"/>
      <c r="AM381" s="250"/>
      <c r="AN381" s="250"/>
      <c r="AO381" s="250"/>
      <c r="AP381" s="250"/>
      <c r="AQ381" s="250"/>
      <c r="AR381" s="250"/>
      <c r="AS381" s="250"/>
      <c r="AT381" s="250"/>
      <c r="AU381" s="250"/>
      <c r="AV381" s="124"/>
    </row>
    <row r="382" spans="2:48" s="475" customFormat="1" x14ac:dyDescent="0.2">
      <c r="B382" s="250"/>
      <c r="C382" s="250"/>
      <c r="D382" s="250"/>
      <c r="E382" s="250"/>
      <c r="F382" s="250"/>
      <c r="G382" s="250"/>
      <c r="H382" s="250"/>
      <c r="I382" s="250"/>
      <c r="J382" s="250"/>
      <c r="K382" s="250"/>
      <c r="L382" s="250"/>
      <c r="M382" s="250"/>
      <c r="N382" s="250"/>
      <c r="O382" s="250"/>
      <c r="P382" s="250"/>
      <c r="Q382" s="250"/>
      <c r="R382" s="250"/>
      <c r="S382" s="250"/>
      <c r="T382" s="250"/>
      <c r="U382" s="250"/>
      <c r="V382" s="250"/>
      <c r="W382" s="250"/>
      <c r="X382" s="250"/>
      <c r="Y382" s="250"/>
      <c r="Z382" s="250"/>
      <c r="AA382" s="250"/>
      <c r="AB382" s="250"/>
      <c r="AC382" s="250"/>
      <c r="AD382" s="250"/>
      <c r="AE382" s="250"/>
      <c r="AF382" s="250"/>
      <c r="AG382" s="250"/>
      <c r="AH382" s="250"/>
      <c r="AI382" s="250"/>
      <c r="AJ382" s="250"/>
      <c r="AK382" s="250"/>
      <c r="AL382" s="250"/>
      <c r="AM382" s="250"/>
      <c r="AN382" s="250"/>
      <c r="AO382" s="250"/>
      <c r="AP382" s="250"/>
      <c r="AQ382" s="250"/>
      <c r="AR382" s="250"/>
      <c r="AS382" s="250"/>
      <c r="AT382" s="250"/>
      <c r="AU382" s="250"/>
      <c r="AV382" s="124"/>
    </row>
    <row r="383" spans="2:48" s="475" customFormat="1" x14ac:dyDescent="0.2">
      <c r="B383" s="250"/>
      <c r="C383" s="250"/>
      <c r="D383" s="250"/>
      <c r="E383" s="250"/>
      <c r="F383" s="250"/>
      <c r="G383" s="250"/>
      <c r="H383" s="250"/>
      <c r="I383" s="250"/>
      <c r="J383" s="250"/>
      <c r="K383" s="250"/>
      <c r="L383" s="250"/>
      <c r="M383" s="250"/>
      <c r="N383" s="250"/>
      <c r="O383" s="250"/>
      <c r="P383" s="250"/>
      <c r="Q383" s="250"/>
      <c r="R383" s="250"/>
      <c r="S383" s="250"/>
      <c r="T383" s="250"/>
      <c r="U383" s="250"/>
      <c r="V383" s="250"/>
      <c r="W383" s="250"/>
      <c r="X383" s="250"/>
      <c r="Y383" s="250"/>
      <c r="Z383" s="250"/>
      <c r="AA383" s="250"/>
      <c r="AB383" s="250"/>
      <c r="AC383" s="250"/>
      <c r="AD383" s="250"/>
      <c r="AE383" s="250"/>
      <c r="AF383" s="250"/>
      <c r="AG383" s="250"/>
      <c r="AH383" s="250"/>
      <c r="AI383" s="250"/>
      <c r="AJ383" s="250"/>
      <c r="AK383" s="250"/>
      <c r="AL383" s="250"/>
      <c r="AM383" s="250"/>
      <c r="AN383" s="250"/>
      <c r="AO383" s="250"/>
      <c r="AP383" s="250"/>
      <c r="AQ383" s="250"/>
      <c r="AR383" s="250"/>
      <c r="AS383" s="250"/>
      <c r="AT383" s="250"/>
      <c r="AU383" s="250"/>
      <c r="AV383" s="124"/>
    </row>
    <row r="384" spans="2:48" s="475" customFormat="1" x14ac:dyDescent="0.2">
      <c r="B384" s="250"/>
      <c r="C384" s="250"/>
      <c r="D384" s="250"/>
      <c r="E384" s="250"/>
      <c r="F384" s="250"/>
      <c r="G384" s="250"/>
      <c r="H384" s="250"/>
      <c r="I384" s="250"/>
      <c r="J384" s="250"/>
      <c r="K384" s="250"/>
      <c r="L384" s="250"/>
      <c r="M384" s="250"/>
      <c r="N384" s="250"/>
      <c r="O384" s="250"/>
      <c r="P384" s="250"/>
      <c r="Q384" s="250"/>
      <c r="R384" s="250"/>
      <c r="S384" s="250"/>
      <c r="T384" s="250"/>
      <c r="U384" s="250"/>
      <c r="V384" s="250"/>
      <c r="W384" s="250"/>
      <c r="X384" s="250"/>
      <c r="Y384" s="250"/>
      <c r="Z384" s="250"/>
      <c r="AA384" s="250"/>
      <c r="AB384" s="250"/>
      <c r="AC384" s="250"/>
      <c r="AD384" s="250"/>
      <c r="AE384" s="250"/>
      <c r="AF384" s="250"/>
      <c r="AG384" s="250"/>
      <c r="AH384" s="250"/>
      <c r="AI384" s="250"/>
      <c r="AJ384" s="250"/>
      <c r="AK384" s="250"/>
      <c r="AL384" s="250"/>
      <c r="AM384" s="250"/>
      <c r="AN384" s="250"/>
      <c r="AO384" s="250"/>
      <c r="AP384" s="250"/>
      <c r="AQ384" s="250"/>
      <c r="AR384" s="250"/>
      <c r="AS384" s="250"/>
      <c r="AT384" s="250"/>
      <c r="AU384" s="250"/>
      <c r="AV384" s="124"/>
    </row>
    <row r="385" spans="2:48" s="475" customFormat="1" x14ac:dyDescent="0.2">
      <c r="B385" s="250"/>
      <c r="C385" s="250"/>
      <c r="D385" s="250"/>
      <c r="E385" s="250"/>
      <c r="F385" s="250"/>
      <c r="G385" s="250"/>
      <c r="H385" s="250"/>
      <c r="I385" s="250"/>
      <c r="J385" s="250"/>
      <c r="K385" s="250"/>
      <c r="L385" s="250"/>
      <c r="M385" s="250"/>
      <c r="N385" s="250"/>
      <c r="O385" s="250"/>
      <c r="P385" s="250"/>
      <c r="Q385" s="250"/>
      <c r="R385" s="250"/>
      <c r="S385" s="250"/>
      <c r="T385" s="250"/>
      <c r="U385" s="250"/>
      <c r="V385" s="250"/>
      <c r="W385" s="250"/>
      <c r="X385" s="250"/>
      <c r="Y385" s="250"/>
      <c r="Z385" s="250"/>
      <c r="AA385" s="250"/>
      <c r="AB385" s="250"/>
      <c r="AC385" s="250"/>
      <c r="AD385" s="250"/>
      <c r="AE385" s="250"/>
      <c r="AF385" s="250"/>
      <c r="AG385" s="250"/>
      <c r="AH385" s="250"/>
      <c r="AI385" s="250"/>
      <c r="AJ385" s="250"/>
      <c r="AK385" s="250"/>
      <c r="AL385" s="250"/>
      <c r="AM385" s="250"/>
      <c r="AN385" s="250"/>
      <c r="AO385" s="250"/>
      <c r="AP385" s="250"/>
      <c r="AQ385" s="250"/>
      <c r="AR385" s="250"/>
      <c r="AS385" s="250"/>
      <c r="AT385" s="250"/>
      <c r="AU385" s="250"/>
      <c r="AV385" s="124"/>
    </row>
    <row r="386" spans="2:48" s="475" customFormat="1" x14ac:dyDescent="0.2">
      <c r="B386" s="250"/>
      <c r="C386" s="250"/>
      <c r="D386" s="250"/>
      <c r="E386" s="250"/>
      <c r="F386" s="250"/>
      <c r="G386" s="250"/>
      <c r="H386" s="250"/>
      <c r="I386" s="250"/>
      <c r="J386" s="250"/>
      <c r="K386" s="250"/>
      <c r="L386" s="250"/>
      <c r="M386" s="250"/>
      <c r="N386" s="250"/>
      <c r="O386" s="250"/>
      <c r="P386" s="250"/>
      <c r="Q386" s="250"/>
      <c r="R386" s="250"/>
      <c r="S386" s="250"/>
      <c r="T386" s="250"/>
      <c r="U386" s="250"/>
      <c r="V386" s="250"/>
      <c r="W386" s="250"/>
      <c r="X386" s="250"/>
      <c r="Y386" s="250"/>
      <c r="Z386" s="250"/>
      <c r="AA386" s="250"/>
      <c r="AB386" s="250"/>
      <c r="AC386" s="250"/>
      <c r="AD386" s="250"/>
      <c r="AE386" s="250"/>
      <c r="AF386" s="250"/>
      <c r="AG386" s="250"/>
      <c r="AH386" s="250"/>
      <c r="AI386" s="250"/>
      <c r="AJ386" s="250"/>
      <c r="AK386" s="250"/>
      <c r="AL386" s="250"/>
      <c r="AM386" s="250"/>
      <c r="AN386" s="250"/>
      <c r="AO386" s="250"/>
      <c r="AP386" s="250"/>
      <c r="AQ386" s="250"/>
      <c r="AR386" s="250"/>
      <c r="AS386" s="250"/>
      <c r="AT386" s="250"/>
      <c r="AU386" s="250"/>
      <c r="AV386" s="124"/>
    </row>
    <row r="387" spans="2:48" s="475" customFormat="1" x14ac:dyDescent="0.2">
      <c r="B387" s="250"/>
      <c r="C387" s="250"/>
      <c r="D387" s="250"/>
      <c r="E387" s="250"/>
      <c r="F387" s="250"/>
      <c r="G387" s="250"/>
      <c r="H387" s="250"/>
      <c r="I387" s="250"/>
      <c r="J387" s="250"/>
      <c r="K387" s="250"/>
      <c r="L387" s="250"/>
      <c r="M387" s="250"/>
      <c r="N387" s="250"/>
      <c r="O387" s="250"/>
      <c r="P387" s="250"/>
      <c r="Q387" s="250"/>
      <c r="R387" s="250"/>
      <c r="S387" s="250"/>
      <c r="T387" s="250"/>
      <c r="U387" s="250"/>
      <c r="V387" s="250"/>
      <c r="W387" s="250"/>
      <c r="X387" s="250"/>
      <c r="Y387" s="250"/>
      <c r="Z387" s="250"/>
      <c r="AA387" s="250"/>
      <c r="AB387" s="250"/>
      <c r="AC387" s="250"/>
      <c r="AD387" s="250"/>
      <c r="AE387" s="250"/>
      <c r="AF387" s="250"/>
      <c r="AG387" s="250"/>
      <c r="AH387" s="250"/>
      <c r="AI387" s="250"/>
      <c r="AJ387" s="250"/>
      <c r="AK387" s="250"/>
      <c r="AL387" s="250"/>
      <c r="AM387" s="250"/>
      <c r="AN387" s="250"/>
      <c r="AO387" s="250"/>
      <c r="AP387" s="250"/>
      <c r="AQ387" s="250"/>
      <c r="AR387" s="250"/>
      <c r="AS387" s="250"/>
      <c r="AT387" s="250"/>
      <c r="AU387" s="250"/>
      <c r="AV387" s="124"/>
    </row>
    <row r="388" spans="2:48" s="475" customFormat="1" x14ac:dyDescent="0.2">
      <c r="B388" s="250"/>
      <c r="C388" s="250"/>
      <c r="D388" s="250"/>
      <c r="E388" s="250"/>
      <c r="F388" s="250"/>
      <c r="G388" s="250"/>
      <c r="H388" s="250"/>
      <c r="I388" s="250"/>
      <c r="J388" s="250"/>
      <c r="K388" s="250"/>
      <c r="L388" s="250"/>
      <c r="M388" s="250"/>
      <c r="N388" s="250"/>
      <c r="O388" s="250"/>
      <c r="P388" s="250"/>
      <c r="Q388" s="250"/>
      <c r="R388" s="250"/>
      <c r="S388" s="250"/>
      <c r="T388" s="250"/>
      <c r="U388" s="250"/>
      <c r="V388" s="250"/>
      <c r="W388" s="250"/>
      <c r="X388" s="250"/>
      <c r="Y388" s="250"/>
      <c r="Z388" s="250"/>
      <c r="AA388" s="250"/>
      <c r="AB388" s="250"/>
      <c r="AC388" s="250"/>
      <c r="AD388" s="250"/>
      <c r="AE388" s="250"/>
      <c r="AF388" s="250"/>
      <c r="AG388" s="250"/>
      <c r="AH388" s="250"/>
      <c r="AI388" s="250"/>
      <c r="AJ388" s="250"/>
      <c r="AK388" s="250"/>
      <c r="AL388" s="250"/>
      <c r="AM388" s="250"/>
      <c r="AN388" s="250"/>
      <c r="AO388" s="250"/>
      <c r="AP388" s="250"/>
      <c r="AQ388" s="250"/>
      <c r="AR388" s="250"/>
      <c r="AS388" s="250"/>
      <c r="AT388" s="250"/>
      <c r="AU388" s="250"/>
      <c r="AV388" s="124"/>
    </row>
    <row r="389" spans="2:48" s="475" customFormat="1" x14ac:dyDescent="0.2">
      <c r="B389" s="250"/>
      <c r="C389" s="250"/>
      <c r="D389" s="250"/>
      <c r="E389" s="250"/>
      <c r="F389" s="250"/>
      <c r="G389" s="250"/>
      <c r="H389" s="250"/>
      <c r="I389" s="250"/>
      <c r="J389" s="250"/>
      <c r="K389" s="250"/>
      <c r="L389" s="250"/>
      <c r="M389" s="250"/>
      <c r="N389" s="250"/>
      <c r="O389" s="250"/>
      <c r="P389" s="250"/>
      <c r="Q389" s="250"/>
      <c r="R389" s="250"/>
      <c r="S389" s="250"/>
      <c r="T389" s="250"/>
      <c r="U389" s="250"/>
      <c r="V389" s="250"/>
      <c r="W389" s="250"/>
      <c r="X389" s="250"/>
      <c r="Y389" s="250"/>
      <c r="Z389" s="250"/>
      <c r="AA389" s="250"/>
      <c r="AB389" s="250"/>
      <c r="AC389" s="250"/>
      <c r="AD389" s="250"/>
      <c r="AE389" s="250"/>
      <c r="AF389" s="250"/>
      <c r="AG389" s="250"/>
      <c r="AH389" s="250"/>
      <c r="AI389" s="250"/>
      <c r="AJ389" s="250"/>
      <c r="AK389" s="250"/>
      <c r="AL389" s="250"/>
      <c r="AM389" s="250"/>
      <c r="AN389" s="250"/>
      <c r="AO389" s="250"/>
      <c r="AP389" s="250"/>
      <c r="AQ389" s="250"/>
      <c r="AR389" s="250"/>
      <c r="AS389" s="250"/>
      <c r="AT389" s="250"/>
      <c r="AU389" s="250"/>
      <c r="AV389" s="124"/>
    </row>
    <row r="390" spans="2:48" s="475" customFormat="1" x14ac:dyDescent="0.2">
      <c r="B390" s="250"/>
      <c r="C390" s="250"/>
      <c r="D390" s="250"/>
      <c r="E390" s="250"/>
      <c r="F390" s="250"/>
      <c r="G390" s="250"/>
      <c r="H390" s="250"/>
      <c r="I390" s="250"/>
      <c r="J390" s="250"/>
      <c r="K390" s="250"/>
      <c r="L390" s="250"/>
      <c r="M390" s="250"/>
      <c r="N390" s="250"/>
      <c r="O390" s="250"/>
      <c r="P390" s="250"/>
      <c r="Q390" s="250"/>
      <c r="R390" s="250"/>
      <c r="S390" s="250"/>
      <c r="T390" s="250"/>
      <c r="U390" s="250"/>
      <c r="V390" s="250"/>
      <c r="W390" s="250"/>
      <c r="X390" s="250"/>
      <c r="Y390" s="250"/>
      <c r="Z390" s="250"/>
      <c r="AA390" s="250"/>
      <c r="AB390" s="250"/>
      <c r="AC390" s="250"/>
      <c r="AD390" s="250"/>
      <c r="AE390" s="250"/>
      <c r="AF390" s="250"/>
      <c r="AG390" s="250"/>
      <c r="AH390" s="250"/>
      <c r="AI390" s="250"/>
      <c r="AJ390" s="250"/>
      <c r="AK390" s="250"/>
      <c r="AL390" s="250"/>
      <c r="AM390" s="250"/>
      <c r="AN390" s="250"/>
      <c r="AO390" s="250"/>
      <c r="AP390" s="250"/>
      <c r="AQ390" s="250"/>
      <c r="AR390" s="250"/>
      <c r="AS390" s="250"/>
      <c r="AT390" s="250"/>
      <c r="AU390" s="250"/>
      <c r="AV390" s="124"/>
    </row>
    <row r="391" spans="2:48" s="475" customFormat="1" x14ac:dyDescent="0.2">
      <c r="B391" s="250"/>
      <c r="C391" s="250"/>
      <c r="D391" s="250"/>
      <c r="E391" s="250"/>
      <c r="F391" s="250"/>
      <c r="G391" s="250"/>
      <c r="H391" s="250"/>
      <c r="I391" s="250"/>
      <c r="J391" s="250"/>
      <c r="K391" s="250"/>
      <c r="L391" s="250"/>
      <c r="M391" s="250"/>
      <c r="N391" s="250"/>
      <c r="O391" s="250"/>
      <c r="P391" s="250"/>
      <c r="Q391" s="250"/>
      <c r="R391" s="250"/>
      <c r="S391" s="250"/>
      <c r="T391" s="250"/>
      <c r="U391" s="250"/>
      <c r="V391" s="250"/>
      <c r="W391" s="250"/>
      <c r="X391" s="250"/>
      <c r="Y391" s="250"/>
      <c r="Z391" s="250"/>
      <c r="AA391" s="250"/>
      <c r="AB391" s="250"/>
      <c r="AC391" s="250"/>
      <c r="AD391" s="250"/>
      <c r="AE391" s="250"/>
      <c r="AF391" s="250"/>
      <c r="AG391" s="250"/>
      <c r="AH391" s="250"/>
      <c r="AI391" s="250"/>
      <c r="AJ391" s="250"/>
      <c r="AK391" s="250"/>
      <c r="AL391" s="250"/>
      <c r="AM391" s="250"/>
      <c r="AN391" s="250"/>
      <c r="AO391" s="250"/>
      <c r="AP391" s="250"/>
      <c r="AQ391" s="250"/>
      <c r="AR391" s="250"/>
      <c r="AS391" s="250"/>
      <c r="AT391" s="250"/>
      <c r="AU391" s="250"/>
      <c r="AV391" s="124"/>
    </row>
    <row r="392" spans="2:48" s="475" customFormat="1" x14ac:dyDescent="0.2">
      <c r="B392" s="250"/>
      <c r="C392" s="250"/>
      <c r="D392" s="250"/>
      <c r="E392" s="250"/>
      <c r="F392" s="250"/>
      <c r="G392" s="250"/>
      <c r="H392" s="250"/>
      <c r="I392" s="250"/>
      <c r="J392" s="250"/>
      <c r="K392" s="250"/>
      <c r="L392" s="250"/>
      <c r="M392" s="250"/>
      <c r="N392" s="250"/>
      <c r="O392" s="250"/>
      <c r="P392" s="250"/>
      <c r="Q392" s="250"/>
      <c r="R392" s="250"/>
      <c r="S392" s="250"/>
      <c r="T392" s="250"/>
      <c r="U392" s="250"/>
      <c r="V392" s="250"/>
      <c r="W392" s="250"/>
      <c r="X392" s="250"/>
      <c r="Y392" s="250"/>
      <c r="Z392" s="250"/>
      <c r="AA392" s="250"/>
      <c r="AB392" s="250"/>
      <c r="AC392" s="250"/>
      <c r="AD392" s="250"/>
      <c r="AE392" s="250"/>
      <c r="AF392" s="250"/>
      <c r="AG392" s="250"/>
      <c r="AH392" s="250"/>
      <c r="AI392" s="250"/>
      <c r="AJ392" s="250"/>
      <c r="AK392" s="250"/>
      <c r="AL392" s="250"/>
      <c r="AM392" s="250"/>
      <c r="AN392" s="250"/>
      <c r="AO392" s="250"/>
      <c r="AP392" s="250"/>
      <c r="AQ392" s="250"/>
      <c r="AR392" s="250"/>
      <c r="AS392" s="250"/>
      <c r="AT392" s="250"/>
      <c r="AU392" s="250"/>
      <c r="AV392" s="124"/>
    </row>
    <row r="393" spans="2:48" s="475" customFormat="1" x14ac:dyDescent="0.2">
      <c r="B393" s="250"/>
      <c r="C393" s="250"/>
      <c r="D393" s="250"/>
      <c r="E393" s="250"/>
      <c r="F393" s="250"/>
      <c r="G393" s="250"/>
      <c r="H393" s="250"/>
      <c r="I393" s="250"/>
      <c r="J393" s="250"/>
      <c r="K393" s="250"/>
      <c r="L393" s="250"/>
      <c r="M393" s="250"/>
      <c r="N393" s="250"/>
      <c r="O393" s="250"/>
      <c r="P393" s="250"/>
      <c r="Q393" s="250"/>
      <c r="R393" s="250"/>
      <c r="S393" s="250"/>
      <c r="T393" s="250"/>
      <c r="U393" s="250"/>
      <c r="V393" s="250"/>
      <c r="W393" s="250"/>
      <c r="X393" s="250"/>
      <c r="Y393" s="250"/>
      <c r="Z393" s="250"/>
      <c r="AA393" s="250"/>
      <c r="AB393" s="250"/>
      <c r="AC393" s="250"/>
      <c r="AD393" s="250"/>
      <c r="AE393" s="250"/>
      <c r="AF393" s="250"/>
      <c r="AG393" s="250"/>
      <c r="AH393" s="250"/>
      <c r="AI393" s="250"/>
      <c r="AJ393" s="250"/>
      <c r="AK393" s="250"/>
      <c r="AL393" s="250"/>
      <c r="AM393" s="250"/>
      <c r="AN393" s="250"/>
      <c r="AO393" s="250"/>
      <c r="AP393" s="250"/>
      <c r="AQ393" s="250"/>
      <c r="AR393" s="250"/>
      <c r="AS393" s="250"/>
      <c r="AT393" s="250"/>
      <c r="AU393" s="250"/>
      <c r="AV393" s="124"/>
    </row>
    <row r="394" spans="2:48" s="475" customFormat="1" x14ac:dyDescent="0.2">
      <c r="B394" s="250"/>
      <c r="C394" s="250"/>
      <c r="D394" s="250"/>
      <c r="E394" s="250"/>
      <c r="F394" s="250"/>
      <c r="G394" s="250"/>
      <c r="H394" s="250"/>
      <c r="I394" s="250"/>
      <c r="J394" s="250"/>
      <c r="K394" s="250"/>
      <c r="L394" s="250"/>
      <c r="M394" s="250"/>
      <c r="N394" s="250"/>
      <c r="O394" s="250"/>
      <c r="P394" s="250"/>
      <c r="Q394" s="250"/>
      <c r="R394" s="250"/>
      <c r="S394" s="250"/>
      <c r="T394" s="250"/>
      <c r="U394" s="250"/>
      <c r="V394" s="250"/>
      <c r="W394" s="250"/>
      <c r="X394" s="250"/>
      <c r="Y394" s="250"/>
      <c r="Z394" s="250"/>
      <c r="AA394" s="250"/>
      <c r="AB394" s="250"/>
      <c r="AC394" s="250"/>
      <c r="AD394" s="250"/>
      <c r="AE394" s="250"/>
      <c r="AF394" s="250"/>
      <c r="AG394" s="250"/>
      <c r="AH394" s="250"/>
      <c r="AI394" s="250"/>
      <c r="AJ394" s="250"/>
      <c r="AK394" s="250"/>
      <c r="AL394" s="250"/>
      <c r="AM394" s="250"/>
      <c r="AN394" s="250"/>
      <c r="AO394" s="250"/>
      <c r="AP394" s="250"/>
      <c r="AQ394" s="250"/>
      <c r="AR394" s="250"/>
      <c r="AS394" s="250"/>
      <c r="AT394" s="250"/>
      <c r="AU394" s="250"/>
      <c r="AV394" s="124"/>
    </row>
    <row r="395" spans="2:48" s="475" customFormat="1" x14ac:dyDescent="0.2">
      <c r="B395" s="250"/>
      <c r="C395" s="250"/>
      <c r="D395" s="250"/>
      <c r="E395" s="250"/>
      <c r="F395" s="250"/>
      <c r="G395" s="250"/>
      <c r="H395" s="250"/>
      <c r="I395" s="250"/>
      <c r="J395" s="250"/>
      <c r="K395" s="250"/>
      <c r="L395" s="250"/>
      <c r="M395" s="250"/>
      <c r="N395" s="250"/>
      <c r="O395" s="250"/>
      <c r="P395" s="250"/>
      <c r="Q395" s="250"/>
      <c r="R395" s="250"/>
      <c r="S395" s="250"/>
      <c r="T395" s="250"/>
      <c r="U395" s="250"/>
      <c r="V395" s="250"/>
      <c r="W395" s="250"/>
      <c r="X395" s="250"/>
      <c r="Y395" s="250"/>
      <c r="Z395" s="250"/>
      <c r="AA395" s="250"/>
      <c r="AB395" s="250"/>
      <c r="AC395" s="250"/>
      <c r="AD395" s="250"/>
      <c r="AE395" s="250"/>
      <c r="AF395" s="250"/>
      <c r="AG395" s="250"/>
      <c r="AH395" s="250"/>
      <c r="AI395" s="250"/>
      <c r="AJ395" s="250"/>
      <c r="AK395" s="250"/>
      <c r="AL395" s="250"/>
      <c r="AM395" s="250"/>
      <c r="AN395" s="250"/>
      <c r="AO395" s="250"/>
      <c r="AP395" s="250"/>
      <c r="AQ395" s="250"/>
      <c r="AR395" s="250"/>
      <c r="AS395" s="250"/>
      <c r="AT395" s="250"/>
      <c r="AU395" s="250"/>
      <c r="AV395" s="124"/>
    </row>
    <row r="396" spans="2:48" s="475" customFormat="1" x14ac:dyDescent="0.2">
      <c r="B396" s="250"/>
      <c r="C396" s="250"/>
      <c r="D396" s="250"/>
      <c r="E396" s="250"/>
      <c r="F396" s="250"/>
      <c r="G396" s="250"/>
      <c r="H396" s="250"/>
      <c r="I396" s="250"/>
      <c r="J396" s="250"/>
      <c r="K396" s="250"/>
      <c r="L396" s="250"/>
      <c r="M396" s="250"/>
      <c r="N396" s="250"/>
      <c r="O396" s="250"/>
      <c r="P396" s="250"/>
      <c r="Q396" s="250"/>
      <c r="R396" s="250"/>
      <c r="S396" s="250"/>
      <c r="T396" s="250"/>
      <c r="U396" s="250"/>
      <c r="V396" s="250"/>
      <c r="W396" s="250"/>
      <c r="X396" s="250"/>
      <c r="Y396" s="250"/>
      <c r="Z396" s="250"/>
      <c r="AA396" s="250"/>
      <c r="AB396" s="250"/>
      <c r="AC396" s="250"/>
      <c r="AD396" s="250"/>
      <c r="AE396" s="250"/>
      <c r="AF396" s="250"/>
      <c r="AG396" s="250"/>
      <c r="AH396" s="250"/>
      <c r="AI396" s="250"/>
      <c r="AJ396" s="250"/>
      <c r="AK396" s="250"/>
      <c r="AL396" s="250"/>
      <c r="AM396" s="250"/>
      <c r="AN396" s="250"/>
      <c r="AO396" s="250"/>
      <c r="AP396" s="250"/>
      <c r="AQ396" s="250"/>
      <c r="AR396" s="250"/>
      <c r="AS396" s="250"/>
      <c r="AT396" s="250"/>
      <c r="AU396" s="250"/>
      <c r="AV396" s="124"/>
    </row>
    <row r="397" spans="2:48" s="475" customFormat="1" x14ac:dyDescent="0.2">
      <c r="B397" s="250"/>
      <c r="C397" s="250"/>
      <c r="D397" s="250"/>
      <c r="E397" s="250"/>
      <c r="F397" s="250"/>
      <c r="G397" s="250"/>
      <c r="H397" s="250"/>
      <c r="I397" s="250"/>
      <c r="J397" s="250"/>
      <c r="K397" s="250"/>
      <c r="L397" s="250"/>
      <c r="M397" s="250"/>
      <c r="N397" s="250"/>
      <c r="O397" s="250"/>
      <c r="P397" s="250"/>
      <c r="Q397" s="250"/>
      <c r="R397" s="250"/>
      <c r="S397" s="250"/>
      <c r="T397" s="250"/>
      <c r="U397" s="250"/>
      <c r="V397" s="250"/>
      <c r="W397" s="250"/>
      <c r="X397" s="250"/>
      <c r="Y397" s="250"/>
      <c r="Z397" s="250"/>
      <c r="AA397" s="250"/>
      <c r="AB397" s="250"/>
      <c r="AC397" s="250"/>
      <c r="AD397" s="250"/>
      <c r="AE397" s="250"/>
      <c r="AF397" s="250"/>
      <c r="AG397" s="250"/>
      <c r="AH397" s="250"/>
      <c r="AI397" s="250"/>
      <c r="AJ397" s="250"/>
      <c r="AK397" s="250"/>
      <c r="AL397" s="250"/>
      <c r="AM397" s="250"/>
      <c r="AN397" s="250"/>
      <c r="AO397" s="250"/>
      <c r="AP397" s="250"/>
      <c r="AQ397" s="250"/>
      <c r="AR397" s="250"/>
      <c r="AS397" s="250"/>
      <c r="AT397" s="250"/>
      <c r="AU397" s="250"/>
      <c r="AV397" s="124"/>
    </row>
    <row r="398" spans="2:48" s="475" customFormat="1" x14ac:dyDescent="0.2">
      <c r="B398" s="250"/>
      <c r="C398" s="250"/>
      <c r="D398" s="250"/>
      <c r="E398" s="250"/>
      <c r="F398" s="250"/>
      <c r="G398" s="250"/>
      <c r="H398" s="250"/>
      <c r="I398" s="250"/>
      <c r="J398" s="250"/>
      <c r="K398" s="250"/>
      <c r="L398" s="250"/>
      <c r="M398" s="250"/>
      <c r="N398" s="250"/>
      <c r="O398" s="250"/>
      <c r="P398" s="250"/>
      <c r="Q398" s="250"/>
      <c r="R398" s="250"/>
      <c r="S398" s="250"/>
      <c r="T398" s="250"/>
      <c r="U398" s="250"/>
      <c r="V398" s="250"/>
      <c r="W398" s="250"/>
      <c r="X398" s="250"/>
      <c r="Y398" s="250"/>
      <c r="Z398" s="250"/>
      <c r="AA398" s="250"/>
      <c r="AB398" s="250"/>
      <c r="AC398" s="250"/>
      <c r="AD398" s="250"/>
      <c r="AE398" s="250"/>
      <c r="AF398" s="250"/>
      <c r="AG398" s="250"/>
      <c r="AH398" s="250"/>
      <c r="AI398" s="250"/>
      <c r="AJ398" s="250"/>
      <c r="AK398" s="250"/>
      <c r="AL398" s="250"/>
      <c r="AM398" s="250"/>
      <c r="AN398" s="250"/>
      <c r="AO398" s="250"/>
      <c r="AP398" s="250"/>
      <c r="AQ398" s="250"/>
      <c r="AR398" s="250"/>
      <c r="AS398" s="250"/>
      <c r="AT398" s="250"/>
      <c r="AU398" s="250"/>
      <c r="AV398" s="124"/>
    </row>
    <row r="399" spans="2:48" s="475" customFormat="1" x14ac:dyDescent="0.2">
      <c r="B399" s="250"/>
      <c r="C399" s="250"/>
      <c r="D399" s="250"/>
      <c r="E399" s="25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250"/>
      <c r="AF399" s="250"/>
      <c r="AG399" s="250"/>
      <c r="AH399" s="250"/>
      <c r="AI399" s="250"/>
      <c r="AJ399" s="250"/>
      <c r="AK399" s="250"/>
      <c r="AL399" s="250"/>
      <c r="AM399" s="250"/>
      <c r="AN399" s="250"/>
      <c r="AO399" s="250"/>
      <c r="AP399" s="250"/>
      <c r="AQ399" s="250"/>
      <c r="AR399" s="250"/>
      <c r="AS399" s="250"/>
      <c r="AT399" s="250"/>
      <c r="AU399" s="250"/>
      <c r="AV399" s="124"/>
    </row>
    <row r="400" spans="2:48" s="475" customFormat="1" x14ac:dyDescent="0.2">
      <c r="B400" s="250"/>
      <c r="C400" s="250"/>
      <c r="D400" s="250"/>
      <c r="E400" s="250"/>
      <c r="F400" s="250"/>
      <c r="G400" s="250"/>
      <c r="H400" s="250"/>
      <c r="I400" s="250"/>
      <c r="J400" s="250"/>
      <c r="K400" s="250"/>
      <c r="L400" s="250"/>
      <c r="M400" s="250"/>
      <c r="N400" s="250"/>
      <c r="O400" s="250"/>
      <c r="P400" s="250"/>
      <c r="Q400" s="250"/>
      <c r="R400" s="250"/>
      <c r="S400" s="250"/>
      <c r="T400" s="250"/>
      <c r="U400" s="250"/>
      <c r="V400" s="250"/>
      <c r="W400" s="250"/>
      <c r="X400" s="250"/>
      <c r="Y400" s="250"/>
      <c r="Z400" s="250"/>
      <c r="AA400" s="250"/>
      <c r="AB400" s="250"/>
      <c r="AC400" s="250"/>
      <c r="AD400" s="250"/>
      <c r="AE400" s="250"/>
      <c r="AF400" s="250"/>
      <c r="AG400" s="250"/>
      <c r="AH400" s="250"/>
      <c r="AI400" s="250"/>
      <c r="AJ400" s="250"/>
      <c r="AK400" s="250"/>
      <c r="AL400" s="250"/>
      <c r="AM400" s="250"/>
      <c r="AN400" s="250"/>
      <c r="AO400" s="250"/>
      <c r="AP400" s="250"/>
      <c r="AQ400" s="250"/>
      <c r="AR400" s="250"/>
      <c r="AS400" s="250"/>
      <c r="AT400" s="250"/>
      <c r="AU400" s="250"/>
      <c r="AV400" s="124"/>
    </row>
    <row r="401" spans="2:48" s="475" customFormat="1" x14ac:dyDescent="0.2">
      <c r="B401" s="250"/>
      <c r="C401" s="250"/>
      <c r="D401" s="250"/>
      <c r="E401" s="250"/>
      <c r="F401" s="250"/>
      <c r="G401" s="250"/>
      <c r="H401" s="250"/>
      <c r="I401" s="250"/>
      <c r="J401" s="250"/>
      <c r="K401" s="250"/>
      <c r="L401" s="250"/>
      <c r="M401" s="250"/>
      <c r="N401" s="250"/>
      <c r="O401" s="250"/>
      <c r="P401" s="250"/>
      <c r="Q401" s="250"/>
      <c r="R401" s="250"/>
      <c r="S401" s="250"/>
      <c r="T401" s="250"/>
      <c r="U401" s="250"/>
      <c r="V401" s="250"/>
      <c r="W401" s="250"/>
      <c r="X401" s="250"/>
      <c r="Y401" s="250"/>
      <c r="Z401" s="250"/>
      <c r="AA401" s="250"/>
      <c r="AB401" s="250"/>
      <c r="AC401" s="250"/>
      <c r="AD401" s="250"/>
      <c r="AE401" s="250"/>
      <c r="AF401" s="250"/>
      <c r="AG401" s="250"/>
      <c r="AH401" s="250"/>
      <c r="AI401" s="250"/>
      <c r="AJ401" s="250"/>
      <c r="AK401" s="250"/>
      <c r="AL401" s="250"/>
      <c r="AM401" s="250"/>
      <c r="AN401" s="250"/>
      <c r="AO401" s="250"/>
      <c r="AP401" s="250"/>
      <c r="AQ401" s="250"/>
      <c r="AR401" s="250"/>
      <c r="AS401" s="250"/>
      <c r="AT401" s="250"/>
      <c r="AU401" s="250"/>
      <c r="AV401" s="124"/>
    </row>
    <row r="402" spans="2:48" s="475" customFormat="1" x14ac:dyDescent="0.2">
      <c r="B402" s="250"/>
      <c r="C402" s="250"/>
      <c r="D402" s="250"/>
      <c r="E402" s="250"/>
      <c r="F402" s="250"/>
      <c r="G402" s="250"/>
      <c r="H402" s="250"/>
      <c r="I402" s="250"/>
      <c r="J402" s="250"/>
      <c r="K402" s="250"/>
      <c r="L402" s="250"/>
      <c r="M402" s="250"/>
      <c r="N402" s="250"/>
      <c r="O402" s="250"/>
      <c r="P402" s="250"/>
      <c r="Q402" s="250"/>
      <c r="R402" s="250"/>
      <c r="S402" s="250"/>
      <c r="T402" s="250"/>
      <c r="U402" s="250"/>
      <c r="V402" s="250"/>
      <c r="W402" s="250"/>
      <c r="X402" s="250"/>
      <c r="Y402" s="250"/>
      <c r="Z402" s="250"/>
      <c r="AA402" s="250"/>
      <c r="AB402" s="250"/>
      <c r="AC402" s="250"/>
      <c r="AD402" s="250"/>
      <c r="AE402" s="250"/>
      <c r="AF402" s="250"/>
      <c r="AG402" s="250"/>
      <c r="AH402" s="250"/>
      <c r="AI402" s="250"/>
      <c r="AJ402" s="250"/>
      <c r="AK402" s="250"/>
      <c r="AL402" s="250"/>
      <c r="AM402" s="250"/>
      <c r="AN402" s="250"/>
      <c r="AO402" s="250"/>
      <c r="AP402" s="250"/>
      <c r="AQ402" s="250"/>
      <c r="AR402" s="250"/>
      <c r="AS402" s="250"/>
      <c r="AT402" s="250"/>
      <c r="AU402" s="250"/>
      <c r="AV402" s="124"/>
    </row>
    <row r="403" spans="2:48" s="475" customFormat="1" x14ac:dyDescent="0.2">
      <c r="B403" s="250"/>
      <c r="C403" s="250"/>
      <c r="D403" s="250"/>
      <c r="E403" s="250"/>
      <c r="F403" s="250"/>
      <c r="G403" s="250"/>
      <c r="H403" s="250"/>
      <c r="I403" s="250"/>
      <c r="J403" s="250"/>
      <c r="K403" s="250"/>
      <c r="L403" s="250"/>
      <c r="M403" s="250"/>
      <c r="N403" s="250"/>
      <c r="O403" s="250"/>
      <c r="P403" s="250"/>
      <c r="Q403" s="250"/>
      <c r="R403" s="250"/>
      <c r="S403" s="250"/>
      <c r="T403" s="250"/>
      <c r="U403" s="250"/>
      <c r="V403" s="250"/>
      <c r="W403" s="250"/>
      <c r="X403" s="250"/>
      <c r="Y403" s="250"/>
      <c r="Z403" s="250"/>
      <c r="AA403" s="250"/>
      <c r="AB403" s="250"/>
      <c r="AC403" s="250"/>
      <c r="AD403" s="250"/>
      <c r="AE403" s="250"/>
      <c r="AF403" s="250"/>
      <c r="AG403" s="250"/>
      <c r="AH403" s="250"/>
      <c r="AI403" s="250"/>
      <c r="AJ403" s="250"/>
      <c r="AK403" s="250"/>
      <c r="AL403" s="250"/>
      <c r="AM403" s="250"/>
      <c r="AN403" s="250"/>
      <c r="AO403" s="250"/>
      <c r="AP403" s="250"/>
      <c r="AQ403" s="250"/>
      <c r="AR403" s="250"/>
      <c r="AS403" s="250"/>
      <c r="AT403" s="250"/>
      <c r="AU403" s="250"/>
      <c r="AV403" s="124"/>
    </row>
    <row r="404" spans="2:48" s="475" customFormat="1" x14ac:dyDescent="0.2">
      <c r="B404" s="250"/>
      <c r="C404" s="250"/>
      <c r="D404" s="250"/>
      <c r="E404" s="250"/>
      <c r="F404" s="250"/>
      <c r="G404" s="250"/>
      <c r="H404" s="250"/>
      <c r="I404" s="250"/>
      <c r="J404" s="250"/>
      <c r="K404" s="250"/>
      <c r="L404" s="250"/>
      <c r="M404" s="250"/>
      <c r="N404" s="250"/>
      <c r="O404" s="250"/>
      <c r="P404" s="250"/>
      <c r="Q404" s="250"/>
      <c r="R404" s="250"/>
      <c r="S404" s="250"/>
      <c r="T404" s="250"/>
      <c r="U404" s="250"/>
      <c r="V404" s="250"/>
      <c r="W404" s="250"/>
      <c r="X404" s="250"/>
      <c r="Y404" s="250"/>
      <c r="Z404" s="250"/>
      <c r="AA404" s="250"/>
      <c r="AB404" s="250"/>
      <c r="AC404" s="250"/>
      <c r="AD404" s="250"/>
      <c r="AE404" s="250"/>
      <c r="AF404" s="250"/>
      <c r="AG404" s="250"/>
      <c r="AH404" s="250"/>
      <c r="AI404" s="250"/>
      <c r="AJ404" s="250"/>
      <c r="AK404" s="250"/>
      <c r="AL404" s="250"/>
      <c r="AM404" s="250"/>
      <c r="AN404" s="250"/>
      <c r="AO404" s="250"/>
      <c r="AP404" s="250"/>
      <c r="AQ404" s="250"/>
      <c r="AR404" s="250"/>
      <c r="AS404" s="250"/>
      <c r="AT404" s="250"/>
      <c r="AU404" s="250"/>
      <c r="AV404" s="124"/>
    </row>
    <row r="405" spans="2:48" s="475" customFormat="1" x14ac:dyDescent="0.2">
      <c r="B405" s="250"/>
      <c r="C405" s="250"/>
      <c r="D405" s="250"/>
      <c r="E405" s="250"/>
      <c r="F405" s="250"/>
      <c r="G405" s="250"/>
      <c r="H405" s="250"/>
      <c r="I405" s="250"/>
      <c r="J405" s="250"/>
      <c r="K405" s="250"/>
      <c r="L405" s="250"/>
      <c r="M405" s="250"/>
      <c r="N405" s="250"/>
      <c r="O405" s="250"/>
      <c r="P405" s="250"/>
      <c r="Q405" s="250"/>
      <c r="R405" s="250"/>
      <c r="S405" s="250"/>
      <c r="T405" s="250"/>
      <c r="U405" s="250"/>
      <c r="V405" s="250"/>
      <c r="W405" s="250"/>
      <c r="X405" s="250"/>
      <c r="Y405" s="250"/>
      <c r="Z405" s="250"/>
      <c r="AA405" s="250"/>
      <c r="AB405" s="250"/>
      <c r="AC405" s="250"/>
      <c r="AD405" s="250"/>
      <c r="AE405" s="250"/>
      <c r="AF405" s="250"/>
      <c r="AG405" s="250"/>
      <c r="AH405" s="250"/>
      <c r="AI405" s="250"/>
      <c r="AJ405" s="250"/>
      <c r="AK405" s="250"/>
      <c r="AL405" s="250"/>
      <c r="AM405" s="250"/>
      <c r="AN405" s="250"/>
      <c r="AO405" s="250"/>
      <c r="AP405" s="250"/>
      <c r="AQ405" s="250"/>
      <c r="AR405" s="250"/>
      <c r="AS405" s="250"/>
      <c r="AT405" s="250"/>
      <c r="AU405" s="250"/>
      <c r="AV405" s="124"/>
    </row>
    <row r="406" spans="2:48" s="475" customFormat="1" x14ac:dyDescent="0.2">
      <c r="B406" s="250"/>
      <c r="C406" s="250"/>
      <c r="D406" s="250"/>
      <c r="E406" s="250"/>
      <c r="F406" s="250"/>
      <c r="G406" s="250"/>
      <c r="H406" s="250"/>
      <c r="I406" s="250"/>
      <c r="J406" s="250"/>
      <c r="K406" s="250"/>
      <c r="L406" s="250"/>
      <c r="M406" s="250"/>
      <c r="N406" s="250"/>
      <c r="O406" s="250"/>
      <c r="P406" s="250"/>
      <c r="Q406" s="250"/>
      <c r="R406" s="250"/>
      <c r="S406" s="250"/>
      <c r="T406" s="250"/>
      <c r="U406" s="250"/>
      <c r="V406" s="250"/>
      <c r="W406" s="250"/>
      <c r="X406" s="250"/>
      <c r="Y406" s="250"/>
      <c r="Z406" s="250"/>
      <c r="AA406" s="250"/>
      <c r="AB406" s="250"/>
      <c r="AC406" s="250"/>
      <c r="AD406" s="250"/>
      <c r="AE406" s="250"/>
      <c r="AF406" s="250"/>
      <c r="AG406" s="250"/>
      <c r="AH406" s="250"/>
      <c r="AI406" s="250"/>
      <c r="AJ406" s="250"/>
      <c r="AK406" s="250"/>
      <c r="AL406" s="250"/>
      <c r="AM406" s="250"/>
      <c r="AN406" s="250"/>
      <c r="AO406" s="250"/>
      <c r="AP406" s="250"/>
      <c r="AQ406" s="250"/>
      <c r="AR406" s="250"/>
      <c r="AS406" s="250"/>
      <c r="AT406" s="250"/>
      <c r="AU406" s="250"/>
      <c r="AV406" s="124"/>
    </row>
    <row r="407" spans="2:48" s="475" customFormat="1" x14ac:dyDescent="0.2">
      <c r="B407" s="250"/>
      <c r="C407" s="250"/>
      <c r="D407" s="250"/>
      <c r="E407" s="250"/>
      <c r="F407" s="250"/>
      <c r="G407" s="250"/>
      <c r="H407" s="250"/>
      <c r="I407" s="250"/>
      <c r="J407" s="250"/>
      <c r="K407" s="250"/>
      <c r="L407" s="250"/>
      <c r="M407" s="250"/>
      <c r="N407" s="250"/>
      <c r="O407" s="250"/>
      <c r="P407" s="250"/>
      <c r="Q407" s="250"/>
      <c r="R407" s="250"/>
      <c r="S407" s="250"/>
      <c r="T407" s="250"/>
      <c r="U407" s="250"/>
      <c r="V407" s="250"/>
      <c r="W407" s="250"/>
      <c r="X407" s="250"/>
      <c r="Y407" s="250"/>
      <c r="Z407" s="250"/>
      <c r="AA407" s="250"/>
      <c r="AB407" s="250"/>
      <c r="AC407" s="250"/>
      <c r="AD407" s="250"/>
      <c r="AE407" s="250"/>
      <c r="AF407" s="250"/>
      <c r="AG407" s="250"/>
      <c r="AH407" s="250"/>
      <c r="AI407" s="250"/>
      <c r="AJ407" s="250"/>
      <c r="AK407" s="250"/>
      <c r="AL407" s="250"/>
      <c r="AM407" s="250"/>
      <c r="AN407" s="250"/>
      <c r="AO407" s="250"/>
      <c r="AP407" s="250"/>
      <c r="AQ407" s="250"/>
      <c r="AR407" s="250"/>
      <c r="AS407" s="250"/>
      <c r="AT407" s="250"/>
      <c r="AU407" s="250"/>
      <c r="AV407" s="124"/>
    </row>
    <row r="408" spans="2:48" s="475" customFormat="1" x14ac:dyDescent="0.2">
      <c r="B408" s="250"/>
      <c r="C408" s="250"/>
      <c r="D408" s="250"/>
      <c r="E408" s="250"/>
      <c r="F408" s="250"/>
      <c r="G408" s="250"/>
      <c r="H408" s="250"/>
      <c r="I408" s="250"/>
      <c r="J408" s="250"/>
      <c r="K408" s="250"/>
      <c r="L408" s="250"/>
      <c r="M408" s="250"/>
      <c r="N408" s="250"/>
      <c r="O408" s="250"/>
      <c r="P408" s="250"/>
      <c r="Q408" s="250"/>
      <c r="R408" s="250"/>
      <c r="S408" s="250"/>
      <c r="T408" s="250"/>
      <c r="U408" s="250"/>
      <c r="V408" s="250"/>
      <c r="W408" s="250"/>
      <c r="X408" s="250"/>
      <c r="Y408" s="250"/>
      <c r="Z408" s="250"/>
      <c r="AA408" s="250"/>
      <c r="AB408" s="250"/>
      <c r="AC408" s="250"/>
      <c r="AD408" s="250"/>
      <c r="AE408" s="250"/>
      <c r="AF408" s="250"/>
      <c r="AG408" s="250"/>
      <c r="AH408" s="250"/>
      <c r="AI408" s="250"/>
      <c r="AJ408" s="250"/>
      <c r="AK408" s="250"/>
      <c r="AL408" s="250"/>
      <c r="AM408" s="250"/>
      <c r="AN408" s="250"/>
      <c r="AO408" s="250"/>
      <c r="AP408" s="250"/>
      <c r="AQ408" s="250"/>
      <c r="AR408" s="250"/>
      <c r="AS408" s="250"/>
      <c r="AT408" s="250"/>
      <c r="AU408" s="250"/>
      <c r="AV408" s="124"/>
    </row>
    <row r="409" spans="2:48" s="475" customFormat="1" x14ac:dyDescent="0.2">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c r="AA409" s="250"/>
      <c r="AB409" s="250"/>
      <c r="AC409" s="250"/>
      <c r="AD409" s="250"/>
      <c r="AE409" s="250"/>
      <c r="AF409" s="250"/>
      <c r="AG409" s="250"/>
      <c r="AH409" s="250"/>
      <c r="AI409" s="250"/>
      <c r="AJ409" s="250"/>
      <c r="AK409" s="250"/>
      <c r="AL409" s="250"/>
      <c r="AM409" s="250"/>
      <c r="AN409" s="250"/>
      <c r="AO409" s="250"/>
      <c r="AP409" s="250"/>
      <c r="AQ409" s="250"/>
      <c r="AR409" s="250"/>
      <c r="AS409" s="250"/>
      <c r="AT409" s="250"/>
      <c r="AU409" s="250"/>
      <c r="AV409" s="124"/>
    </row>
    <row r="410" spans="2:48" s="475" customFormat="1" x14ac:dyDescent="0.2">
      <c r="B410" s="250"/>
      <c r="C410" s="250"/>
      <c r="D410" s="250"/>
      <c r="E410" s="250"/>
      <c r="F410" s="250"/>
      <c r="G410" s="250"/>
      <c r="H410" s="250"/>
      <c r="I410" s="250"/>
      <c r="J410" s="250"/>
      <c r="K410" s="250"/>
      <c r="L410" s="250"/>
      <c r="M410" s="250"/>
      <c r="N410" s="250"/>
      <c r="O410" s="250"/>
      <c r="P410" s="250"/>
      <c r="Q410" s="250"/>
      <c r="R410" s="250"/>
      <c r="S410" s="250"/>
      <c r="T410" s="250"/>
      <c r="U410" s="250"/>
      <c r="V410" s="250"/>
      <c r="W410" s="250"/>
      <c r="X410" s="250"/>
      <c r="Y410" s="250"/>
      <c r="Z410" s="250"/>
      <c r="AA410" s="250"/>
      <c r="AB410" s="250"/>
      <c r="AC410" s="250"/>
      <c r="AD410" s="250"/>
      <c r="AE410" s="250"/>
      <c r="AF410" s="250"/>
      <c r="AG410" s="250"/>
      <c r="AH410" s="250"/>
      <c r="AI410" s="250"/>
      <c r="AJ410" s="250"/>
      <c r="AK410" s="250"/>
      <c r="AL410" s="250"/>
      <c r="AM410" s="250"/>
      <c r="AN410" s="250"/>
      <c r="AO410" s="250"/>
      <c r="AP410" s="250"/>
      <c r="AQ410" s="250"/>
      <c r="AR410" s="250"/>
      <c r="AS410" s="250"/>
      <c r="AT410" s="250"/>
      <c r="AU410" s="250"/>
      <c r="AV410" s="124"/>
    </row>
    <row r="411" spans="2:48" s="475" customFormat="1" x14ac:dyDescent="0.2">
      <c r="B411" s="250"/>
      <c r="C411" s="250"/>
      <c r="D411" s="250"/>
      <c r="E411" s="250"/>
      <c r="F411" s="250"/>
      <c r="G411" s="250"/>
      <c r="H411" s="250"/>
      <c r="I411" s="250"/>
      <c r="J411" s="250"/>
      <c r="K411" s="250"/>
      <c r="L411" s="250"/>
      <c r="M411" s="250"/>
      <c r="N411" s="250"/>
      <c r="O411" s="250"/>
      <c r="P411" s="250"/>
      <c r="Q411" s="250"/>
      <c r="R411" s="250"/>
      <c r="S411" s="250"/>
      <c r="T411" s="250"/>
      <c r="U411" s="250"/>
      <c r="V411" s="250"/>
      <c r="W411" s="250"/>
      <c r="X411" s="250"/>
      <c r="Y411" s="250"/>
      <c r="Z411" s="250"/>
      <c r="AA411" s="250"/>
      <c r="AB411" s="250"/>
      <c r="AC411" s="250"/>
      <c r="AD411" s="250"/>
      <c r="AE411" s="250"/>
      <c r="AF411" s="250"/>
      <c r="AG411" s="250"/>
      <c r="AH411" s="250"/>
      <c r="AI411" s="250"/>
      <c r="AJ411" s="250"/>
      <c r="AK411" s="250"/>
      <c r="AL411" s="250"/>
      <c r="AM411" s="250"/>
      <c r="AN411" s="250"/>
      <c r="AO411" s="250"/>
      <c r="AP411" s="250"/>
      <c r="AQ411" s="250"/>
      <c r="AR411" s="250"/>
      <c r="AS411" s="250"/>
      <c r="AT411" s="250"/>
      <c r="AU411" s="250"/>
      <c r="AV411" s="124"/>
    </row>
    <row r="412" spans="2:48" s="475" customFormat="1" x14ac:dyDescent="0.2">
      <c r="B412" s="250"/>
      <c r="C412" s="250"/>
      <c r="D412" s="250"/>
      <c r="E412" s="250"/>
      <c r="F412" s="250"/>
      <c r="G412" s="250"/>
      <c r="H412" s="250"/>
      <c r="I412" s="250"/>
      <c r="J412" s="250"/>
      <c r="K412" s="250"/>
      <c r="L412" s="250"/>
      <c r="M412" s="250"/>
      <c r="N412" s="250"/>
      <c r="O412" s="250"/>
      <c r="P412" s="250"/>
      <c r="Q412" s="250"/>
      <c r="R412" s="250"/>
      <c r="S412" s="250"/>
      <c r="T412" s="250"/>
      <c r="U412" s="250"/>
      <c r="V412" s="250"/>
      <c r="W412" s="250"/>
      <c r="X412" s="250"/>
      <c r="Y412" s="250"/>
      <c r="Z412" s="250"/>
      <c r="AA412" s="250"/>
      <c r="AB412" s="250"/>
      <c r="AC412" s="250"/>
      <c r="AD412" s="250"/>
      <c r="AE412" s="250"/>
      <c r="AF412" s="250"/>
      <c r="AG412" s="250"/>
      <c r="AH412" s="250"/>
      <c r="AI412" s="250"/>
      <c r="AJ412" s="250"/>
      <c r="AK412" s="250"/>
      <c r="AL412" s="250"/>
      <c r="AM412" s="250"/>
      <c r="AN412" s="250"/>
      <c r="AO412" s="250"/>
      <c r="AP412" s="250"/>
      <c r="AQ412" s="250"/>
      <c r="AR412" s="250"/>
      <c r="AS412" s="250"/>
      <c r="AT412" s="250"/>
      <c r="AU412" s="250"/>
      <c r="AV412" s="124"/>
    </row>
    <row r="413" spans="2:48" s="475" customFormat="1" x14ac:dyDescent="0.2">
      <c r="B413" s="250"/>
      <c r="C413" s="250"/>
      <c r="D413" s="250"/>
      <c r="E413" s="250"/>
      <c r="F413" s="250"/>
      <c r="G413" s="250"/>
      <c r="H413" s="250"/>
      <c r="I413" s="250"/>
      <c r="J413" s="250"/>
      <c r="K413" s="250"/>
      <c r="L413" s="250"/>
      <c r="M413" s="250"/>
      <c r="N413" s="250"/>
      <c r="O413" s="250"/>
      <c r="P413" s="250"/>
      <c r="Q413" s="250"/>
      <c r="R413" s="250"/>
      <c r="S413" s="250"/>
      <c r="T413" s="250"/>
      <c r="U413" s="250"/>
      <c r="V413" s="250"/>
      <c r="W413" s="250"/>
      <c r="X413" s="250"/>
      <c r="Y413" s="250"/>
      <c r="Z413" s="250"/>
      <c r="AA413" s="250"/>
      <c r="AB413" s="250"/>
      <c r="AC413" s="250"/>
      <c r="AD413" s="250"/>
      <c r="AE413" s="250"/>
      <c r="AF413" s="250"/>
      <c r="AG413" s="250"/>
      <c r="AH413" s="250"/>
      <c r="AI413" s="250"/>
      <c r="AJ413" s="250"/>
      <c r="AK413" s="250"/>
      <c r="AL413" s="250"/>
      <c r="AM413" s="250"/>
      <c r="AN413" s="250"/>
      <c r="AO413" s="250"/>
      <c r="AP413" s="250"/>
      <c r="AQ413" s="250"/>
      <c r="AR413" s="250"/>
      <c r="AS413" s="250"/>
      <c r="AT413" s="250"/>
      <c r="AU413" s="250"/>
      <c r="AV413" s="124"/>
    </row>
    <row r="414" spans="2:48" s="475" customFormat="1" x14ac:dyDescent="0.2">
      <c r="B414" s="250"/>
      <c r="C414" s="250"/>
      <c r="D414" s="250"/>
      <c r="E414" s="250"/>
      <c r="F414" s="250"/>
      <c r="G414" s="250"/>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250"/>
      <c r="AP414" s="250"/>
      <c r="AQ414" s="250"/>
      <c r="AR414" s="250"/>
      <c r="AS414" s="250"/>
      <c r="AT414" s="250"/>
      <c r="AU414" s="250"/>
      <c r="AV414" s="124"/>
    </row>
    <row r="415" spans="2:48" s="475" customFormat="1" x14ac:dyDescent="0.2">
      <c r="B415" s="250"/>
      <c r="C415" s="250"/>
      <c r="D415" s="250"/>
      <c r="E415" s="250"/>
      <c r="F415" s="250"/>
      <c r="G415" s="250"/>
      <c r="H415" s="250"/>
      <c r="I415" s="250"/>
      <c r="J415" s="250"/>
      <c r="K415" s="250"/>
      <c r="L415" s="250"/>
      <c r="M415" s="250"/>
      <c r="N415" s="250"/>
      <c r="O415" s="250"/>
      <c r="P415" s="250"/>
      <c r="Q415" s="250"/>
      <c r="R415" s="250"/>
      <c r="S415" s="250"/>
      <c r="T415" s="250"/>
      <c r="U415" s="250"/>
      <c r="V415" s="250"/>
      <c r="W415" s="250"/>
      <c r="X415" s="250"/>
      <c r="Y415" s="250"/>
      <c r="Z415" s="250"/>
      <c r="AA415" s="250"/>
      <c r="AB415" s="250"/>
      <c r="AC415" s="250"/>
      <c r="AD415" s="250"/>
      <c r="AE415" s="250"/>
      <c r="AF415" s="250"/>
      <c r="AG415" s="250"/>
      <c r="AH415" s="250"/>
      <c r="AI415" s="250"/>
      <c r="AJ415" s="250"/>
      <c r="AK415" s="250"/>
      <c r="AL415" s="250"/>
      <c r="AM415" s="250"/>
      <c r="AN415" s="250"/>
      <c r="AO415" s="250"/>
      <c r="AP415" s="250"/>
      <c r="AQ415" s="250"/>
      <c r="AR415" s="250"/>
      <c r="AS415" s="250"/>
      <c r="AT415" s="250"/>
      <c r="AU415" s="250"/>
      <c r="AV415" s="124"/>
    </row>
    <row r="416" spans="2:48" s="475" customFormat="1" x14ac:dyDescent="0.2">
      <c r="B416" s="250"/>
      <c r="C416" s="250"/>
      <c r="D416" s="250"/>
      <c r="E416" s="250"/>
      <c r="F416" s="250"/>
      <c r="G416" s="250"/>
      <c r="H416" s="250"/>
      <c r="I416" s="250"/>
      <c r="J416" s="250"/>
      <c r="K416" s="250"/>
      <c r="L416" s="250"/>
      <c r="M416" s="250"/>
      <c r="N416" s="250"/>
      <c r="O416" s="250"/>
      <c r="P416" s="250"/>
      <c r="Q416" s="250"/>
      <c r="R416" s="250"/>
      <c r="S416" s="250"/>
      <c r="T416" s="250"/>
      <c r="U416" s="250"/>
      <c r="V416" s="250"/>
      <c r="W416" s="250"/>
      <c r="X416" s="250"/>
      <c r="Y416" s="250"/>
      <c r="Z416" s="250"/>
      <c r="AA416" s="250"/>
      <c r="AB416" s="250"/>
      <c r="AC416" s="250"/>
      <c r="AD416" s="250"/>
      <c r="AE416" s="250"/>
      <c r="AF416" s="250"/>
      <c r="AG416" s="250"/>
      <c r="AH416" s="250"/>
      <c r="AI416" s="250"/>
      <c r="AJ416" s="250"/>
      <c r="AK416" s="250"/>
      <c r="AL416" s="250"/>
      <c r="AM416" s="250"/>
      <c r="AN416" s="250"/>
      <c r="AO416" s="250"/>
      <c r="AP416" s="250"/>
      <c r="AQ416" s="250"/>
      <c r="AR416" s="250"/>
      <c r="AS416" s="250"/>
      <c r="AT416" s="250"/>
      <c r="AU416" s="250"/>
      <c r="AV416" s="124"/>
    </row>
    <row r="417" spans="2:48" s="475" customFormat="1" x14ac:dyDescent="0.2">
      <c r="B417" s="250"/>
      <c r="C417" s="250"/>
      <c r="D417" s="250"/>
      <c r="E417" s="250"/>
      <c r="F417" s="250"/>
      <c r="G417" s="250"/>
      <c r="H417" s="250"/>
      <c r="I417" s="250"/>
      <c r="J417" s="250"/>
      <c r="K417" s="250"/>
      <c r="L417" s="250"/>
      <c r="M417" s="250"/>
      <c r="N417" s="250"/>
      <c r="O417" s="250"/>
      <c r="P417" s="250"/>
      <c r="Q417" s="250"/>
      <c r="R417" s="250"/>
      <c r="S417" s="250"/>
      <c r="T417" s="250"/>
      <c r="U417" s="250"/>
      <c r="V417" s="250"/>
      <c r="W417" s="250"/>
      <c r="X417" s="250"/>
      <c r="Y417" s="250"/>
      <c r="Z417" s="250"/>
      <c r="AA417" s="250"/>
      <c r="AB417" s="250"/>
      <c r="AC417" s="250"/>
      <c r="AD417" s="250"/>
      <c r="AE417" s="250"/>
      <c r="AF417" s="250"/>
      <c r="AG417" s="250"/>
      <c r="AH417" s="250"/>
      <c r="AI417" s="250"/>
      <c r="AJ417" s="250"/>
      <c r="AK417" s="250"/>
      <c r="AL417" s="250"/>
      <c r="AM417" s="250"/>
      <c r="AN417" s="250"/>
      <c r="AO417" s="250"/>
      <c r="AP417" s="250"/>
      <c r="AQ417" s="250"/>
      <c r="AR417" s="250"/>
      <c r="AS417" s="250"/>
      <c r="AT417" s="250"/>
      <c r="AU417" s="250"/>
      <c r="AV417" s="124"/>
    </row>
    <row r="418" spans="2:48" s="475" customFormat="1" x14ac:dyDescent="0.2">
      <c r="B418" s="250"/>
      <c r="C418" s="250"/>
      <c r="D418" s="250"/>
      <c r="E418" s="250"/>
      <c r="F418" s="250"/>
      <c r="G418" s="250"/>
      <c r="H418" s="250"/>
      <c r="I418" s="250"/>
      <c r="J418" s="250"/>
      <c r="K418" s="250"/>
      <c r="L418" s="250"/>
      <c r="M418" s="250"/>
      <c r="N418" s="250"/>
      <c r="O418" s="250"/>
      <c r="P418" s="250"/>
      <c r="Q418" s="250"/>
      <c r="R418" s="250"/>
      <c r="S418" s="250"/>
      <c r="T418" s="250"/>
      <c r="U418" s="250"/>
      <c r="V418" s="250"/>
      <c r="W418" s="250"/>
      <c r="X418" s="250"/>
      <c r="Y418" s="250"/>
      <c r="Z418" s="250"/>
      <c r="AA418" s="250"/>
      <c r="AB418" s="250"/>
      <c r="AC418" s="250"/>
      <c r="AD418" s="250"/>
      <c r="AE418" s="250"/>
      <c r="AF418" s="250"/>
      <c r="AG418" s="250"/>
      <c r="AH418" s="250"/>
      <c r="AI418" s="250"/>
      <c r="AJ418" s="250"/>
      <c r="AK418" s="250"/>
      <c r="AL418" s="250"/>
      <c r="AM418" s="250"/>
      <c r="AN418" s="250"/>
      <c r="AO418" s="250"/>
      <c r="AP418" s="250"/>
      <c r="AQ418" s="250"/>
      <c r="AR418" s="250"/>
      <c r="AS418" s="250"/>
      <c r="AT418" s="250"/>
      <c r="AU418" s="250"/>
      <c r="AV418" s="124"/>
    </row>
    <row r="419" spans="2:48" s="475" customFormat="1" x14ac:dyDescent="0.2">
      <c r="B419" s="250"/>
      <c r="C419" s="250"/>
      <c r="D419" s="250"/>
      <c r="E419" s="250"/>
      <c r="F419" s="250"/>
      <c r="G419" s="250"/>
      <c r="H419" s="250"/>
      <c r="I419" s="250"/>
      <c r="J419" s="250"/>
      <c r="K419" s="250"/>
      <c r="L419" s="250"/>
      <c r="M419" s="250"/>
      <c r="N419" s="250"/>
      <c r="O419" s="250"/>
      <c r="P419" s="250"/>
      <c r="Q419" s="250"/>
      <c r="R419" s="250"/>
      <c r="S419" s="250"/>
      <c r="T419" s="250"/>
      <c r="U419" s="250"/>
      <c r="V419" s="250"/>
      <c r="W419" s="250"/>
      <c r="X419" s="250"/>
      <c r="Y419" s="250"/>
      <c r="Z419" s="250"/>
      <c r="AA419" s="250"/>
      <c r="AB419" s="250"/>
      <c r="AC419" s="250"/>
      <c r="AD419" s="250"/>
      <c r="AE419" s="250"/>
      <c r="AF419" s="250"/>
      <c r="AG419" s="250"/>
      <c r="AH419" s="250"/>
      <c r="AI419" s="250"/>
      <c r="AJ419" s="250"/>
      <c r="AK419" s="250"/>
      <c r="AL419" s="250"/>
      <c r="AM419" s="250"/>
      <c r="AN419" s="250"/>
      <c r="AO419" s="250"/>
      <c r="AP419" s="250"/>
      <c r="AQ419" s="250"/>
      <c r="AR419" s="250"/>
      <c r="AS419" s="250"/>
      <c r="AT419" s="250"/>
      <c r="AU419" s="250"/>
      <c r="AV419" s="124"/>
    </row>
    <row r="420" spans="2:48" s="475" customFormat="1" x14ac:dyDescent="0.2">
      <c r="B420" s="250"/>
      <c r="C420" s="250"/>
      <c r="D420" s="250"/>
      <c r="E420" s="250"/>
      <c r="F420" s="250"/>
      <c r="G420" s="250"/>
      <c r="H420" s="250"/>
      <c r="I420" s="250"/>
      <c r="J420" s="250"/>
      <c r="K420" s="250"/>
      <c r="L420" s="250"/>
      <c r="M420" s="250"/>
      <c r="N420" s="250"/>
      <c r="O420" s="250"/>
      <c r="P420" s="250"/>
      <c r="Q420" s="250"/>
      <c r="R420" s="250"/>
      <c r="S420" s="250"/>
      <c r="T420" s="250"/>
      <c r="U420" s="250"/>
      <c r="V420" s="250"/>
      <c r="W420" s="250"/>
      <c r="X420" s="250"/>
      <c r="Y420" s="250"/>
      <c r="Z420" s="250"/>
      <c r="AA420" s="250"/>
      <c r="AB420" s="250"/>
      <c r="AC420" s="250"/>
      <c r="AD420" s="250"/>
      <c r="AE420" s="250"/>
      <c r="AF420" s="250"/>
      <c r="AG420" s="250"/>
      <c r="AH420" s="250"/>
      <c r="AI420" s="250"/>
      <c r="AJ420" s="250"/>
      <c r="AK420" s="250"/>
      <c r="AL420" s="250"/>
      <c r="AM420" s="250"/>
      <c r="AN420" s="250"/>
      <c r="AO420" s="250"/>
      <c r="AP420" s="250"/>
      <c r="AQ420" s="250"/>
      <c r="AR420" s="250"/>
      <c r="AS420" s="250"/>
      <c r="AT420" s="250"/>
      <c r="AU420" s="250"/>
      <c r="AV420" s="124"/>
    </row>
    <row r="421" spans="2:48" s="475" customFormat="1" x14ac:dyDescent="0.2">
      <c r="B421" s="250"/>
      <c r="C421" s="250"/>
      <c r="D421" s="250"/>
      <c r="E421" s="250"/>
      <c r="F421" s="250"/>
      <c r="G421" s="250"/>
      <c r="H421" s="250"/>
      <c r="I421" s="250"/>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c r="AN421" s="250"/>
      <c r="AO421" s="250"/>
      <c r="AP421" s="250"/>
      <c r="AQ421" s="250"/>
      <c r="AR421" s="250"/>
      <c r="AS421" s="250"/>
      <c r="AT421" s="250"/>
      <c r="AU421" s="250"/>
      <c r="AV421" s="124"/>
    </row>
    <row r="422" spans="2:48" s="475" customFormat="1" x14ac:dyDescent="0.2">
      <c r="B422" s="250"/>
      <c r="C422" s="250"/>
      <c r="D422" s="250"/>
      <c r="E422" s="250"/>
      <c r="F422" s="250"/>
      <c r="G422" s="250"/>
      <c r="H422" s="250"/>
      <c r="I422" s="250"/>
      <c r="J422" s="250"/>
      <c r="K422" s="250"/>
      <c r="L422" s="250"/>
      <c r="M422" s="250"/>
      <c r="N422" s="250"/>
      <c r="O422" s="250"/>
      <c r="P422" s="250"/>
      <c r="Q422" s="250"/>
      <c r="R422" s="250"/>
      <c r="S422" s="250"/>
      <c r="T422" s="250"/>
      <c r="U422" s="250"/>
      <c r="V422" s="250"/>
      <c r="W422" s="250"/>
      <c r="X422" s="250"/>
      <c r="Y422" s="250"/>
      <c r="Z422" s="250"/>
      <c r="AA422" s="250"/>
      <c r="AB422" s="250"/>
      <c r="AC422" s="250"/>
      <c r="AD422" s="250"/>
      <c r="AE422" s="250"/>
      <c r="AF422" s="250"/>
      <c r="AG422" s="250"/>
      <c r="AH422" s="250"/>
      <c r="AI422" s="250"/>
      <c r="AJ422" s="250"/>
      <c r="AK422" s="250"/>
      <c r="AL422" s="250"/>
      <c r="AM422" s="250"/>
      <c r="AN422" s="250"/>
      <c r="AO422" s="250"/>
      <c r="AP422" s="250"/>
      <c r="AQ422" s="250"/>
      <c r="AR422" s="250"/>
      <c r="AS422" s="250"/>
      <c r="AT422" s="250"/>
      <c r="AU422" s="250"/>
      <c r="AV422" s="124"/>
    </row>
    <row r="423" spans="2:48" s="475" customFormat="1" x14ac:dyDescent="0.2">
      <c r="B423" s="250"/>
      <c r="C423" s="250"/>
      <c r="D423" s="250"/>
      <c r="E423" s="250"/>
      <c r="F423" s="250"/>
      <c r="G423" s="250"/>
      <c r="H423" s="250"/>
      <c r="I423" s="250"/>
      <c r="J423" s="250"/>
      <c r="K423" s="250"/>
      <c r="L423" s="250"/>
      <c r="M423" s="250"/>
      <c r="N423" s="250"/>
      <c r="O423" s="250"/>
      <c r="P423" s="250"/>
      <c r="Q423" s="250"/>
      <c r="R423" s="250"/>
      <c r="S423" s="250"/>
      <c r="T423" s="250"/>
      <c r="U423" s="250"/>
      <c r="V423" s="250"/>
      <c r="W423" s="250"/>
      <c r="X423" s="250"/>
      <c r="Y423" s="250"/>
      <c r="Z423" s="250"/>
      <c r="AA423" s="250"/>
      <c r="AB423" s="250"/>
      <c r="AC423" s="250"/>
      <c r="AD423" s="250"/>
      <c r="AE423" s="250"/>
      <c r="AF423" s="250"/>
      <c r="AG423" s="250"/>
      <c r="AH423" s="250"/>
      <c r="AI423" s="250"/>
      <c r="AJ423" s="250"/>
      <c r="AK423" s="250"/>
      <c r="AL423" s="250"/>
      <c r="AM423" s="250"/>
      <c r="AN423" s="250"/>
      <c r="AO423" s="250"/>
      <c r="AP423" s="250"/>
      <c r="AQ423" s="250"/>
      <c r="AR423" s="250"/>
      <c r="AS423" s="250"/>
      <c r="AT423" s="250"/>
      <c r="AU423" s="250"/>
      <c r="AV423" s="124"/>
    </row>
    <row r="424" spans="2:48" s="475" customFormat="1" x14ac:dyDescent="0.2">
      <c r="B424" s="250"/>
      <c r="C424" s="250"/>
      <c r="D424" s="250"/>
      <c r="E424" s="250"/>
      <c r="F424" s="250"/>
      <c r="G424" s="250"/>
      <c r="H424" s="250"/>
      <c r="I424" s="250"/>
      <c r="J424" s="250"/>
      <c r="K424" s="250"/>
      <c r="L424" s="250"/>
      <c r="M424" s="250"/>
      <c r="N424" s="250"/>
      <c r="O424" s="250"/>
      <c r="P424" s="250"/>
      <c r="Q424" s="250"/>
      <c r="R424" s="250"/>
      <c r="S424" s="250"/>
      <c r="T424" s="250"/>
      <c r="U424" s="250"/>
      <c r="V424" s="250"/>
      <c r="W424" s="250"/>
      <c r="X424" s="250"/>
      <c r="Y424" s="250"/>
      <c r="Z424" s="250"/>
      <c r="AA424" s="250"/>
      <c r="AB424" s="250"/>
      <c r="AC424" s="250"/>
      <c r="AD424" s="250"/>
      <c r="AE424" s="250"/>
      <c r="AF424" s="250"/>
      <c r="AG424" s="250"/>
      <c r="AH424" s="250"/>
      <c r="AI424" s="250"/>
      <c r="AJ424" s="250"/>
      <c r="AK424" s="250"/>
      <c r="AL424" s="250"/>
      <c r="AM424" s="250"/>
      <c r="AN424" s="250"/>
      <c r="AO424" s="250"/>
      <c r="AP424" s="250"/>
      <c r="AQ424" s="250"/>
      <c r="AR424" s="250"/>
      <c r="AS424" s="250"/>
      <c r="AT424" s="250"/>
      <c r="AU424" s="250"/>
      <c r="AV424" s="124"/>
    </row>
    <row r="425" spans="2:48" s="475" customFormat="1" x14ac:dyDescent="0.2">
      <c r="B425" s="250"/>
      <c r="C425" s="250"/>
      <c r="D425" s="250"/>
      <c r="E425" s="250"/>
      <c r="F425" s="250"/>
      <c r="G425" s="250"/>
      <c r="H425" s="250"/>
      <c r="I425" s="250"/>
      <c r="J425" s="250"/>
      <c r="K425" s="250"/>
      <c r="L425" s="250"/>
      <c r="M425" s="250"/>
      <c r="N425" s="250"/>
      <c r="O425" s="250"/>
      <c r="P425" s="250"/>
      <c r="Q425" s="250"/>
      <c r="R425" s="250"/>
      <c r="S425" s="250"/>
      <c r="T425" s="250"/>
      <c r="U425" s="250"/>
      <c r="V425" s="250"/>
      <c r="W425" s="250"/>
      <c r="X425" s="250"/>
      <c r="Y425" s="250"/>
      <c r="Z425" s="250"/>
      <c r="AA425" s="250"/>
      <c r="AB425" s="250"/>
      <c r="AC425" s="250"/>
      <c r="AD425" s="250"/>
      <c r="AE425" s="250"/>
      <c r="AF425" s="250"/>
      <c r="AG425" s="250"/>
      <c r="AH425" s="250"/>
      <c r="AI425" s="250"/>
      <c r="AJ425" s="250"/>
      <c r="AK425" s="250"/>
      <c r="AL425" s="250"/>
      <c r="AM425" s="250"/>
      <c r="AN425" s="250"/>
      <c r="AO425" s="250"/>
      <c r="AP425" s="250"/>
      <c r="AQ425" s="250"/>
      <c r="AR425" s="250"/>
      <c r="AS425" s="250"/>
      <c r="AT425" s="250"/>
      <c r="AU425" s="250"/>
      <c r="AV425" s="124"/>
    </row>
    <row r="426" spans="2:48" s="475" customFormat="1" x14ac:dyDescent="0.2">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250"/>
      <c r="AE426" s="250"/>
      <c r="AF426" s="250"/>
      <c r="AG426" s="250"/>
      <c r="AH426" s="250"/>
      <c r="AI426" s="250"/>
      <c r="AJ426" s="250"/>
      <c r="AK426" s="250"/>
      <c r="AL426" s="250"/>
      <c r="AM426" s="250"/>
      <c r="AN426" s="250"/>
      <c r="AO426" s="250"/>
      <c r="AP426" s="250"/>
      <c r="AQ426" s="250"/>
      <c r="AR426" s="250"/>
      <c r="AS426" s="250"/>
      <c r="AT426" s="250"/>
      <c r="AU426" s="250"/>
      <c r="AV426" s="124"/>
    </row>
    <row r="427" spans="2:48" s="475" customFormat="1" x14ac:dyDescent="0.2">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250"/>
      <c r="AE427" s="250"/>
      <c r="AF427" s="250"/>
      <c r="AG427" s="250"/>
      <c r="AH427" s="250"/>
      <c r="AI427" s="250"/>
      <c r="AJ427" s="250"/>
      <c r="AK427" s="250"/>
      <c r="AL427" s="250"/>
      <c r="AM427" s="250"/>
      <c r="AN427" s="250"/>
      <c r="AO427" s="250"/>
      <c r="AP427" s="250"/>
      <c r="AQ427" s="250"/>
      <c r="AR427" s="250"/>
      <c r="AS427" s="250"/>
      <c r="AT427" s="250"/>
      <c r="AU427" s="250"/>
      <c r="AV427" s="124"/>
    </row>
    <row r="428" spans="2:48" s="475" customFormat="1" x14ac:dyDescent="0.2">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250"/>
      <c r="AE428" s="250"/>
      <c r="AF428" s="250"/>
      <c r="AG428" s="250"/>
      <c r="AH428" s="250"/>
      <c r="AI428" s="250"/>
      <c r="AJ428" s="250"/>
      <c r="AK428" s="250"/>
      <c r="AL428" s="250"/>
      <c r="AM428" s="250"/>
      <c r="AN428" s="250"/>
      <c r="AO428" s="250"/>
      <c r="AP428" s="250"/>
      <c r="AQ428" s="250"/>
      <c r="AR428" s="250"/>
      <c r="AS428" s="250"/>
      <c r="AT428" s="250"/>
      <c r="AU428" s="250"/>
      <c r="AV428" s="124"/>
    </row>
    <row r="429" spans="2:48" s="475" customFormat="1" x14ac:dyDescent="0.2">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c r="AA429" s="250"/>
      <c r="AB429" s="250"/>
      <c r="AC429" s="250"/>
      <c r="AD429" s="250"/>
      <c r="AE429" s="250"/>
      <c r="AF429" s="250"/>
      <c r="AG429" s="250"/>
      <c r="AH429" s="250"/>
      <c r="AI429" s="250"/>
      <c r="AJ429" s="250"/>
      <c r="AK429" s="250"/>
      <c r="AL429" s="250"/>
      <c r="AM429" s="250"/>
      <c r="AN429" s="250"/>
      <c r="AO429" s="250"/>
      <c r="AP429" s="250"/>
      <c r="AQ429" s="250"/>
      <c r="AR429" s="250"/>
      <c r="AS429" s="250"/>
      <c r="AT429" s="250"/>
      <c r="AU429" s="250"/>
      <c r="AV429" s="124"/>
    </row>
    <row r="430" spans="2:48" s="475" customFormat="1" x14ac:dyDescent="0.2">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c r="AA430" s="250"/>
      <c r="AB430" s="250"/>
      <c r="AC430" s="250"/>
      <c r="AD430" s="250"/>
      <c r="AE430" s="250"/>
      <c r="AF430" s="250"/>
      <c r="AG430" s="250"/>
      <c r="AH430" s="250"/>
      <c r="AI430" s="250"/>
      <c r="AJ430" s="250"/>
      <c r="AK430" s="250"/>
      <c r="AL430" s="250"/>
      <c r="AM430" s="250"/>
      <c r="AN430" s="250"/>
      <c r="AO430" s="250"/>
      <c r="AP430" s="250"/>
      <c r="AQ430" s="250"/>
      <c r="AR430" s="250"/>
      <c r="AS430" s="250"/>
      <c r="AT430" s="250"/>
      <c r="AU430" s="250"/>
      <c r="AV430" s="124"/>
    </row>
    <row r="431" spans="2:48" s="475" customFormat="1" x14ac:dyDescent="0.2">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250"/>
      <c r="AE431" s="250"/>
      <c r="AF431" s="250"/>
      <c r="AG431" s="250"/>
      <c r="AH431" s="250"/>
      <c r="AI431" s="250"/>
      <c r="AJ431" s="250"/>
      <c r="AK431" s="250"/>
      <c r="AL431" s="250"/>
      <c r="AM431" s="250"/>
      <c r="AN431" s="250"/>
      <c r="AO431" s="250"/>
      <c r="AP431" s="250"/>
      <c r="AQ431" s="250"/>
      <c r="AR431" s="250"/>
      <c r="AS431" s="250"/>
      <c r="AT431" s="250"/>
      <c r="AU431" s="250"/>
      <c r="AV431" s="124"/>
    </row>
    <row r="432" spans="2:48" s="475" customFormat="1" x14ac:dyDescent="0.2">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124"/>
    </row>
    <row r="433" spans="2:48" s="475" customFormat="1" x14ac:dyDescent="0.2">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124"/>
    </row>
    <row r="434" spans="2:48" s="475" customFormat="1" x14ac:dyDescent="0.2">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124"/>
    </row>
    <row r="435" spans="2:48" s="475" customFormat="1" x14ac:dyDescent="0.2">
      <c r="B435" s="250"/>
      <c r="C435" s="250"/>
      <c r="D435" s="250"/>
      <c r="E435" s="250"/>
      <c r="F435" s="250"/>
      <c r="G435" s="250"/>
      <c r="H435" s="250"/>
      <c r="I435" s="250"/>
      <c r="J435" s="250"/>
      <c r="K435" s="250"/>
      <c r="L435" s="250"/>
      <c r="M435" s="250"/>
      <c r="N435" s="250"/>
      <c r="O435" s="250"/>
      <c r="P435" s="250"/>
      <c r="Q435" s="250"/>
      <c r="R435" s="250"/>
      <c r="S435" s="250"/>
      <c r="T435" s="250"/>
      <c r="U435" s="250"/>
      <c r="V435" s="250"/>
      <c r="W435" s="250"/>
      <c r="X435" s="250"/>
      <c r="Y435" s="250"/>
      <c r="Z435" s="250"/>
      <c r="AA435" s="250"/>
      <c r="AB435" s="250"/>
      <c r="AC435" s="250"/>
      <c r="AD435" s="250"/>
      <c r="AE435" s="250"/>
      <c r="AF435" s="250"/>
      <c r="AG435" s="250"/>
      <c r="AH435" s="250"/>
      <c r="AI435" s="250"/>
      <c r="AJ435" s="250"/>
      <c r="AK435" s="250"/>
      <c r="AL435" s="250"/>
      <c r="AM435" s="250"/>
      <c r="AN435" s="250"/>
      <c r="AO435" s="250"/>
      <c r="AP435" s="250"/>
      <c r="AQ435" s="250"/>
      <c r="AR435" s="250"/>
      <c r="AS435" s="250"/>
      <c r="AT435" s="250"/>
      <c r="AU435" s="250"/>
      <c r="AV435" s="124"/>
    </row>
    <row r="436" spans="2:48" s="475" customFormat="1" x14ac:dyDescent="0.2">
      <c r="B436" s="250"/>
      <c r="C436" s="250"/>
      <c r="D436" s="250"/>
      <c r="E436" s="250"/>
      <c r="F436" s="250"/>
      <c r="G436" s="250"/>
      <c r="H436" s="250"/>
      <c r="I436" s="250"/>
      <c r="J436" s="250"/>
      <c r="K436" s="250"/>
      <c r="L436" s="250"/>
      <c r="M436" s="250"/>
      <c r="N436" s="250"/>
      <c r="O436" s="250"/>
      <c r="P436" s="250"/>
      <c r="Q436" s="250"/>
      <c r="R436" s="250"/>
      <c r="S436" s="250"/>
      <c r="T436" s="250"/>
      <c r="U436" s="250"/>
      <c r="V436" s="250"/>
      <c r="W436" s="250"/>
      <c r="X436" s="250"/>
      <c r="Y436" s="250"/>
      <c r="Z436" s="250"/>
      <c r="AA436" s="250"/>
      <c r="AB436" s="250"/>
      <c r="AC436" s="250"/>
      <c r="AD436" s="250"/>
      <c r="AE436" s="250"/>
      <c r="AF436" s="250"/>
      <c r="AG436" s="250"/>
      <c r="AH436" s="250"/>
      <c r="AI436" s="250"/>
      <c r="AJ436" s="250"/>
      <c r="AK436" s="250"/>
      <c r="AL436" s="250"/>
      <c r="AM436" s="250"/>
      <c r="AN436" s="250"/>
      <c r="AO436" s="250"/>
      <c r="AP436" s="250"/>
      <c r="AQ436" s="250"/>
      <c r="AR436" s="250"/>
      <c r="AS436" s="250"/>
      <c r="AT436" s="250"/>
      <c r="AU436" s="250"/>
      <c r="AV436" s="124"/>
    </row>
    <row r="437" spans="2:48" s="475" customFormat="1" x14ac:dyDescent="0.2">
      <c r="B437" s="250"/>
      <c r="C437" s="250"/>
      <c r="D437" s="250"/>
      <c r="E437" s="250"/>
      <c r="F437" s="250"/>
      <c r="G437" s="250"/>
      <c r="H437" s="250"/>
      <c r="I437" s="250"/>
      <c r="J437" s="250"/>
      <c r="K437" s="250"/>
      <c r="L437" s="250"/>
      <c r="M437" s="250"/>
      <c r="N437" s="250"/>
      <c r="O437" s="250"/>
      <c r="P437" s="250"/>
      <c r="Q437" s="250"/>
      <c r="R437" s="250"/>
      <c r="S437" s="250"/>
      <c r="T437" s="250"/>
      <c r="U437" s="250"/>
      <c r="V437" s="250"/>
      <c r="W437" s="250"/>
      <c r="X437" s="250"/>
      <c r="Y437" s="250"/>
      <c r="Z437" s="250"/>
      <c r="AA437" s="250"/>
      <c r="AB437" s="250"/>
      <c r="AC437" s="250"/>
      <c r="AD437" s="250"/>
      <c r="AE437" s="250"/>
      <c r="AF437" s="250"/>
      <c r="AG437" s="250"/>
      <c r="AH437" s="250"/>
      <c r="AI437" s="250"/>
      <c r="AJ437" s="250"/>
      <c r="AK437" s="250"/>
      <c r="AL437" s="250"/>
      <c r="AM437" s="250"/>
      <c r="AN437" s="250"/>
      <c r="AO437" s="250"/>
      <c r="AP437" s="250"/>
      <c r="AQ437" s="250"/>
      <c r="AR437" s="250"/>
      <c r="AS437" s="250"/>
      <c r="AT437" s="250"/>
      <c r="AU437" s="250"/>
      <c r="AV437" s="124"/>
    </row>
    <row r="438" spans="2:48" s="475" customFormat="1" x14ac:dyDescent="0.2">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s="250"/>
      <c r="AG438" s="250"/>
      <c r="AH438" s="250"/>
      <c r="AI438" s="250"/>
      <c r="AJ438" s="250"/>
      <c r="AK438" s="250"/>
      <c r="AL438" s="250"/>
      <c r="AM438" s="250"/>
      <c r="AN438" s="250"/>
      <c r="AO438" s="250"/>
      <c r="AP438" s="250"/>
      <c r="AQ438" s="250"/>
      <c r="AR438" s="250"/>
      <c r="AS438" s="250"/>
      <c r="AT438" s="250"/>
      <c r="AU438" s="250"/>
      <c r="AV438" s="124"/>
    </row>
    <row r="439" spans="2:48" s="475" customFormat="1" x14ac:dyDescent="0.2">
      <c r="B439" s="250"/>
      <c r="C439" s="250"/>
      <c r="D439" s="250"/>
      <c r="E439" s="250"/>
      <c r="F439" s="250"/>
      <c r="G439" s="250"/>
      <c r="H439" s="250"/>
      <c r="I439" s="250"/>
      <c r="J439" s="250"/>
      <c r="K439" s="250"/>
      <c r="L439" s="250"/>
      <c r="M439" s="250"/>
      <c r="N439" s="250"/>
      <c r="O439" s="250"/>
      <c r="P439" s="250"/>
      <c r="Q439" s="250"/>
      <c r="R439" s="250"/>
      <c r="S439" s="250"/>
      <c r="T439" s="250"/>
      <c r="U439" s="250"/>
      <c r="V439" s="250"/>
      <c r="W439" s="250"/>
      <c r="X439" s="250"/>
      <c r="Y439" s="250"/>
      <c r="Z439" s="250"/>
      <c r="AA439" s="250"/>
      <c r="AB439" s="250"/>
      <c r="AC439" s="250"/>
      <c r="AD439" s="250"/>
      <c r="AE439" s="250"/>
      <c r="AF439" s="250"/>
      <c r="AG439" s="250"/>
      <c r="AH439" s="250"/>
      <c r="AI439" s="250"/>
      <c r="AJ439" s="250"/>
      <c r="AK439" s="250"/>
      <c r="AL439" s="250"/>
      <c r="AM439" s="250"/>
      <c r="AN439" s="250"/>
      <c r="AO439" s="250"/>
      <c r="AP439" s="250"/>
      <c r="AQ439" s="250"/>
      <c r="AR439" s="250"/>
      <c r="AS439" s="250"/>
      <c r="AT439" s="250"/>
      <c r="AU439" s="250"/>
      <c r="AV439" s="124"/>
    </row>
    <row r="440" spans="2:48" s="475" customFormat="1" x14ac:dyDescent="0.2">
      <c r="B440" s="250"/>
      <c r="C440" s="250"/>
      <c r="D440" s="250"/>
      <c r="E440" s="250"/>
      <c r="F440" s="250"/>
      <c r="G440" s="250"/>
      <c r="H440" s="250"/>
      <c r="I440" s="250"/>
      <c r="J440" s="250"/>
      <c r="K440" s="250"/>
      <c r="L440" s="250"/>
      <c r="M440" s="250"/>
      <c r="N440" s="250"/>
      <c r="O440" s="250"/>
      <c r="P440" s="250"/>
      <c r="Q440" s="250"/>
      <c r="R440" s="250"/>
      <c r="S440" s="250"/>
      <c r="T440" s="250"/>
      <c r="U440" s="250"/>
      <c r="V440" s="250"/>
      <c r="W440" s="250"/>
      <c r="X440" s="250"/>
      <c r="Y440" s="250"/>
      <c r="Z440" s="250"/>
      <c r="AA440" s="250"/>
      <c r="AB440" s="250"/>
      <c r="AC440" s="250"/>
      <c r="AD440" s="250"/>
      <c r="AE440" s="250"/>
      <c r="AF440" s="250"/>
      <c r="AG440" s="250"/>
      <c r="AH440" s="250"/>
      <c r="AI440" s="250"/>
      <c r="AJ440" s="250"/>
      <c r="AK440" s="250"/>
      <c r="AL440" s="250"/>
      <c r="AM440" s="250"/>
      <c r="AN440" s="250"/>
      <c r="AO440" s="250"/>
      <c r="AP440" s="250"/>
      <c r="AQ440" s="250"/>
      <c r="AR440" s="250"/>
      <c r="AS440" s="250"/>
      <c r="AT440" s="250"/>
      <c r="AU440" s="250"/>
      <c r="AV440" s="124"/>
    </row>
    <row r="441" spans="2:48" s="475" customFormat="1" x14ac:dyDescent="0.2">
      <c r="B441" s="250"/>
      <c r="C441" s="250"/>
      <c r="D441" s="250"/>
      <c r="E441" s="250"/>
      <c r="F441" s="250"/>
      <c r="G441" s="250"/>
      <c r="H441" s="250"/>
      <c r="I441" s="250"/>
      <c r="J441" s="250"/>
      <c r="K441" s="250"/>
      <c r="L441" s="250"/>
      <c r="M441" s="250"/>
      <c r="N441" s="250"/>
      <c r="O441" s="250"/>
      <c r="P441" s="250"/>
      <c r="Q441" s="250"/>
      <c r="R441" s="250"/>
      <c r="S441" s="250"/>
      <c r="T441" s="250"/>
      <c r="U441" s="250"/>
      <c r="V441" s="250"/>
      <c r="W441" s="250"/>
      <c r="X441" s="250"/>
      <c r="Y441" s="250"/>
      <c r="Z441" s="250"/>
      <c r="AA441" s="250"/>
      <c r="AB441" s="250"/>
      <c r="AC441" s="250"/>
      <c r="AD441" s="250"/>
      <c r="AE441" s="250"/>
      <c r="AF441" s="250"/>
      <c r="AG441" s="250"/>
      <c r="AH441" s="250"/>
      <c r="AI441" s="250"/>
      <c r="AJ441" s="250"/>
      <c r="AK441" s="250"/>
      <c r="AL441" s="250"/>
      <c r="AM441" s="250"/>
      <c r="AN441" s="250"/>
      <c r="AO441" s="250"/>
      <c r="AP441" s="250"/>
      <c r="AQ441" s="250"/>
      <c r="AR441" s="250"/>
      <c r="AS441" s="250"/>
      <c r="AT441" s="250"/>
      <c r="AU441" s="250"/>
      <c r="AV441" s="124"/>
    </row>
    <row r="442" spans="2:48" s="475" customFormat="1" x14ac:dyDescent="0.2">
      <c r="B442" s="250"/>
      <c r="C442" s="250"/>
      <c r="D442" s="250"/>
      <c r="E442" s="250"/>
      <c r="F442" s="250"/>
      <c r="G442" s="250"/>
      <c r="H442" s="250"/>
      <c r="I442" s="250"/>
      <c r="J442" s="250"/>
      <c r="K442" s="250"/>
      <c r="L442" s="250"/>
      <c r="M442" s="250"/>
      <c r="N442" s="250"/>
      <c r="O442" s="250"/>
      <c r="P442" s="250"/>
      <c r="Q442" s="250"/>
      <c r="R442" s="250"/>
      <c r="S442" s="250"/>
      <c r="T442" s="250"/>
      <c r="U442" s="250"/>
      <c r="V442" s="250"/>
      <c r="W442" s="250"/>
      <c r="X442" s="250"/>
      <c r="Y442" s="250"/>
      <c r="Z442" s="250"/>
      <c r="AA442" s="250"/>
      <c r="AB442" s="250"/>
      <c r="AC442" s="250"/>
      <c r="AD442" s="250"/>
      <c r="AE442" s="250"/>
      <c r="AF442" s="250"/>
      <c r="AG442" s="250"/>
      <c r="AH442" s="250"/>
      <c r="AI442" s="250"/>
      <c r="AJ442" s="250"/>
      <c r="AK442" s="250"/>
      <c r="AL442" s="250"/>
      <c r="AM442" s="250"/>
      <c r="AN442" s="250"/>
      <c r="AO442" s="250"/>
      <c r="AP442" s="250"/>
      <c r="AQ442" s="250"/>
      <c r="AR442" s="250"/>
      <c r="AS442" s="250"/>
      <c r="AT442" s="250"/>
      <c r="AU442" s="250"/>
      <c r="AV442" s="124"/>
    </row>
    <row r="443" spans="2:48" s="475" customFormat="1" x14ac:dyDescent="0.2">
      <c r="B443" s="250"/>
      <c r="C443" s="250"/>
      <c r="D443" s="250"/>
      <c r="E443" s="250"/>
      <c r="F443" s="250"/>
      <c r="G443" s="250"/>
      <c r="H443" s="250"/>
      <c r="I443" s="250"/>
      <c r="J443" s="250"/>
      <c r="K443" s="250"/>
      <c r="L443" s="250"/>
      <c r="M443" s="250"/>
      <c r="N443" s="250"/>
      <c r="O443" s="250"/>
      <c r="P443" s="250"/>
      <c r="Q443" s="250"/>
      <c r="R443" s="250"/>
      <c r="S443" s="250"/>
      <c r="T443" s="250"/>
      <c r="U443" s="250"/>
      <c r="V443" s="250"/>
      <c r="W443" s="250"/>
      <c r="X443" s="250"/>
      <c r="Y443" s="250"/>
      <c r="Z443" s="250"/>
      <c r="AA443" s="250"/>
      <c r="AB443" s="250"/>
      <c r="AC443" s="250"/>
      <c r="AD443" s="250"/>
      <c r="AE443" s="250"/>
      <c r="AF443" s="250"/>
      <c r="AG443" s="250"/>
      <c r="AH443" s="250"/>
      <c r="AI443" s="250"/>
      <c r="AJ443" s="250"/>
      <c r="AK443" s="250"/>
      <c r="AL443" s="250"/>
      <c r="AM443" s="250"/>
      <c r="AN443" s="250"/>
      <c r="AO443" s="250"/>
      <c r="AP443" s="250"/>
      <c r="AQ443" s="250"/>
      <c r="AR443" s="250"/>
      <c r="AS443" s="250"/>
      <c r="AT443" s="250"/>
      <c r="AU443" s="250"/>
      <c r="AV443" s="124"/>
    </row>
    <row r="444" spans="2:48" s="475" customFormat="1" x14ac:dyDescent="0.2">
      <c r="B444" s="250"/>
      <c r="C444" s="250"/>
      <c r="D444" s="250"/>
      <c r="E444" s="250"/>
      <c r="F444" s="250"/>
      <c r="G444" s="250"/>
      <c r="H444" s="250"/>
      <c r="I444" s="250"/>
      <c r="J444" s="250"/>
      <c r="K444" s="250"/>
      <c r="L444" s="250"/>
      <c r="M444" s="250"/>
      <c r="N444" s="250"/>
      <c r="O444" s="250"/>
      <c r="P444" s="250"/>
      <c r="Q444" s="250"/>
      <c r="R444" s="250"/>
      <c r="S444" s="250"/>
      <c r="T444" s="250"/>
      <c r="U444" s="250"/>
      <c r="V444" s="250"/>
      <c r="W444" s="250"/>
      <c r="X444" s="250"/>
      <c r="Y444" s="250"/>
      <c r="Z444" s="250"/>
      <c r="AA444" s="250"/>
      <c r="AB444" s="250"/>
      <c r="AC444" s="250"/>
      <c r="AD444" s="250"/>
      <c r="AE444" s="250"/>
      <c r="AF444" s="250"/>
      <c r="AG444" s="250"/>
      <c r="AH444" s="250"/>
      <c r="AI444" s="250"/>
      <c r="AJ444" s="250"/>
      <c r="AK444" s="250"/>
      <c r="AL444" s="250"/>
      <c r="AM444" s="250"/>
      <c r="AN444" s="250"/>
      <c r="AO444" s="250"/>
      <c r="AP444" s="250"/>
      <c r="AQ444" s="250"/>
      <c r="AR444" s="250"/>
      <c r="AS444" s="250"/>
      <c r="AT444" s="250"/>
      <c r="AU444" s="250"/>
      <c r="AV444" s="124"/>
    </row>
    <row r="445" spans="2:48" s="475" customFormat="1" x14ac:dyDescent="0.2">
      <c r="B445" s="250"/>
      <c r="C445" s="250"/>
      <c r="D445" s="250"/>
      <c r="E445" s="250"/>
      <c r="F445" s="250"/>
      <c r="G445" s="250"/>
      <c r="H445" s="250"/>
      <c r="I445" s="250"/>
      <c r="J445" s="250"/>
      <c r="K445" s="250"/>
      <c r="L445" s="250"/>
      <c r="M445" s="250"/>
      <c r="N445" s="250"/>
      <c r="O445" s="250"/>
      <c r="P445" s="250"/>
      <c r="Q445" s="250"/>
      <c r="R445" s="250"/>
      <c r="S445" s="250"/>
      <c r="T445" s="250"/>
      <c r="U445" s="250"/>
      <c r="V445" s="250"/>
      <c r="W445" s="250"/>
      <c r="X445" s="250"/>
      <c r="Y445" s="250"/>
      <c r="Z445" s="250"/>
      <c r="AA445" s="250"/>
      <c r="AB445" s="250"/>
      <c r="AC445" s="250"/>
      <c r="AD445" s="250"/>
      <c r="AE445" s="250"/>
      <c r="AF445" s="250"/>
      <c r="AG445" s="250"/>
      <c r="AH445" s="250"/>
      <c r="AI445" s="250"/>
      <c r="AJ445" s="250"/>
      <c r="AK445" s="250"/>
      <c r="AL445" s="250"/>
      <c r="AM445" s="250"/>
      <c r="AN445" s="250"/>
      <c r="AO445" s="250"/>
      <c r="AP445" s="250"/>
      <c r="AQ445" s="250"/>
      <c r="AR445" s="250"/>
      <c r="AS445" s="250"/>
      <c r="AT445" s="250"/>
      <c r="AU445" s="250"/>
      <c r="AV445" s="124"/>
    </row>
    <row r="446" spans="2:48" s="475" customFormat="1" x14ac:dyDescent="0.2">
      <c r="B446" s="250"/>
      <c r="C446" s="250"/>
      <c r="D446" s="250"/>
      <c r="E446" s="250"/>
      <c r="F446" s="250"/>
      <c r="G446" s="250"/>
      <c r="H446" s="250"/>
      <c r="I446" s="250"/>
      <c r="J446" s="250"/>
      <c r="K446" s="250"/>
      <c r="L446" s="250"/>
      <c r="M446" s="250"/>
      <c r="N446" s="250"/>
      <c r="O446" s="250"/>
      <c r="P446" s="250"/>
      <c r="Q446" s="250"/>
      <c r="R446" s="250"/>
      <c r="S446" s="250"/>
      <c r="T446" s="250"/>
      <c r="U446" s="250"/>
      <c r="V446" s="250"/>
      <c r="W446" s="250"/>
      <c r="X446" s="250"/>
      <c r="Y446" s="250"/>
      <c r="Z446" s="250"/>
      <c r="AA446" s="250"/>
      <c r="AB446" s="250"/>
      <c r="AC446" s="250"/>
      <c r="AD446" s="250"/>
      <c r="AE446" s="250"/>
      <c r="AF446" s="250"/>
      <c r="AG446" s="250"/>
      <c r="AH446" s="250"/>
      <c r="AI446" s="250"/>
      <c r="AJ446" s="250"/>
      <c r="AK446" s="250"/>
      <c r="AL446" s="250"/>
      <c r="AM446" s="250"/>
      <c r="AN446" s="250"/>
      <c r="AO446" s="250"/>
      <c r="AP446" s="250"/>
      <c r="AQ446" s="250"/>
      <c r="AR446" s="250"/>
      <c r="AS446" s="250"/>
      <c r="AT446" s="250"/>
      <c r="AU446" s="250"/>
      <c r="AV446" s="124"/>
    </row>
    <row r="447" spans="2:48" s="475" customFormat="1" x14ac:dyDescent="0.2">
      <c r="B447" s="250"/>
      <c r="C447" s="250"/>
      <c r="D447" s="250"/>
      <c r="E447" s="250"/>
      <c r="F447" s="250"/>
      <c r="G447" s="250"/>
      <c r="H447" s="250"/>
      <c r="I447" s="250"/>
      <c r="J447" s="250"/>
      <c r="K447" s="250"/>
      <c r="L447" s="250"/>
      <c r="M447" s="250"/>
      <c r="N447" s="250"/>
      <c r="O447" s="250"/>
      <c r="P447" s="250"/>
      <c r="Q447" s="250"/>
      <c r="R447" s="250"/>
      <c r="S447" s="250"/>
      <c r="T447" s="250"/>
      <c r="U447" s="250"/>
      <c r="V447" s="250"/>
      <c r="W447" s="250"/>
      <c r="X447" s="250"/>
      <c r="Y447" s="250"/>
      <c r="Z447" s="250"/>
      <c r="AA447" s="250"/>
      <c r="AB447" s="250"/>
      <c r="AC447" s="250"/>
      <c r="AD447" s="250"/>
      <c r="AE447" s="250"/>
      <c r="AF447" s="250"/>
      <c r="AG447" s="250"/>
      <c r="AH447" s="250"/>
      <c r="AI447" s="250"/>
      <c r="AJ447" s="250"/>
      <c r="AK447" s="250"/>
      <c r="AL447" s="250"/>
      <c r="AM447" s="250"/>
      <c r="AN447" s="250"/>
      <c r="AO447" s="250"/>
      <c r="AP447" s="250"/>
      <c r="AQ447" s="250"/>
      <c r="AR447" s="250"/>
      <c r="AS447" s="250"/>
      <c r="AT447" s="250"/>
      <c r="AU447" s="250"/>
      <c r="AV447" s="124"/>
    </row>
    <row r="448" spans="2:48" s="475" customFormat="1" x14ac:dyDescent="0.2">
      <c r="B448" s="250"/>
      <c r="C448" s="250"/>
      <c r="D448" s="250"/>
      <c r="E448" s="250"/>
      <c r="F448" s="250"/>
      <c r="G448" s="250"/>
      <c r="H448" s="250"/>
      <c r="I448" s="250"/>
      <c r="J448" s="250"/>
      <c r="K448" s="250"/>
      <c r="L448" s="250"/>
      <c r="M448" s="250"/>
      <c r="N448" s="250"/>
      <c r="O448" s="250"/>
      <c r="P448" s="250"/>
      <c r="Q448" s="250"/>
      <c r="R448" s="250"/>
      <c r="S448" s="250"/>
      <c r="T448" s="250"/>
      <c r="U448" s="250"/>
      <c r="V448" s="250"/>
      <c r="W448" s="250"/>
      <c r="X448" s="250"/>
      <c r="Y448" s="250"/>
      <c r="Z448" s="250"/>
      <c r="AA448" s="250"/>
      <c r="AB448" s="250"/>
      <c r="AC448" s="250"/>
      <c r="AD448" s="250"/>
      <c r="AE448" s="250"/>
      <c r="AF448" s="250"/>
      <c r="AG448" s="250"/>
      <c r="AH448" s="250"/>
      <c r="AI448" s="250"/>
      <c r="AJ448" s="250"/>
      <c r="AK448" s="250"/>
      <c r="AL448" s="250"/>
      <c r="AM448" s="250"/>
      <c r="AN448" s="250"/>
      <c r="AO448" s="250"/>
      <c r="AP448" s="250"/>
      <c r="AQ448" s="250"/>
      <c r="AR448" s="250"/>
      <c r="AS448" s="250"/>
      <c r="AT448" s="250"/>
      <c r="AU448" s="250"/>
      <c r="AV448" s="124"/>
    </row>
    <row r="449" spans="2:48" s="475" customFormat="1" x14ac:dyDescent="0.2">
      <c r="B449" s="250"/>
      <c r="C449" s="250"/>
      <c r="D449" s="250"/>
      <c r="E449" s="250"/>
      <c r="F449" s="250"/>
      <c r="G449" s="250"/>
      <c r="H449" s="250"/>
      <c r="I449" s="250"/>
      <c r="J449" s="250"/>
      <c r="K449" s="250"/>
      <c r="L449" s="250"/>
      <c r="M449" s="250"/>
      <c r="N449" s="250"/>
      <c r="O449" s="250"/>
      <c r="P449" s="250"/>
      <c r="Q449" s="250"/>
      <c r="R449" s="250"/>
      <c r="S449" s="250"/>
      <c r="T449" s="250"/>
      <c r="U449" s="250"/>
      <c r="V449" s="250"/>
      <c r="W449" s="250"/>
      <c r="X449" s="250"/>
      <c r="Y449" s="250"/>
      <c r="Z449" s="250"/>
      <c r="AA449" s="250"/>
      <c r="AB449" s="250"/>
      <c r="AC449" s="250"/>
      <c r="AD449" s="250"/>
      <c r="AE449" s="250"/>
      <c r="AF449" s="250"/>
      <c r="AG449" s="250"/>
      <c r="AH449" s="250"/>
      <c r="AI449" s="250"/>
      <c r="AJ449" s="250"/>
      <c r="AK449" s="250"/>
      <c r="AL449" s="250"/>
      <c r="AM449" s="250"/>
      <c r="AN449" s="250"/>
      <c r="AO449" s="250"/>
      <c r="AP449" s="250"/>
      <c r="AQ449" s="250"/>
      <c r="AR449" s="250"/>
      <c r="AS449" s="250"/>
      <c r="AT449" s="250"/>
      <c r="AU449" s="250"/>
      <c r="AV449" s="124"/>
    </row>
    <row r="450" spans="2:48" s="475" customFormat="1" x14ac:dyDescent="0.2">
      <c r="B450" s="250"/>
      <c r="C450" s="250"/>
      <c r="D450" s="250"/>
      <c r="E450" s="250"/>
      <c r="F450" s="250"/>
      <c r="G450" s="250"/>
      <c r="H450" s="250"/>
      <c r="I450" s="250"/>
      <c r="J450" s="250"/>
      <c r="K450" s="250"/>
      <c r="L450" s="250"/>
      <c r="M450" s="250"/>
      <c r="N450" s="250"/>
      <c r="O450" s="250"/>
      <c r="P450" s="250"/>
      <c r="Q450" s="250"/>
      <c r="R450" s="250"/>
      <c r="S450" s="250"/>
      <c r="T450" s="250"/>
      <c r="U450" s="250"/>
      <c r="V450" s="250"/>
      <c r="W450" s="250"/>
      <c r="X450" s="250"/>
      <c r="Y450" s="250"/>
      <c r="Z450" s="250"/>
      <c r="AA450" s="250"/>
      <c r="AB450" s="250"/>
      <c r="AC450" s="250"/>
      <c r="AD450" s="250"/>
      <c r="AE450" s="250"/>
      <c r="AF450" s="250"/>
      <c r="AG450" s="250"/>
      <c r="AH450" s="250"/>
      <c r="AI450" s="250"/>
      <c r="AJ450" s="250"/>
      <c r="AK450" s="250"/>
      <c r="AL450" s="250"/>
      <c r="AM450" s="250"/>
      <c r="AN450" s="250"/>
      <c r="AO450" s="250"/>
      <c r="AP450" s="250"/>
      <c r="AQ450" s="250"/>
      <c r="AR450" s="250"/>
      <c r="AS450" s="250"/>
      <c r="AT450" s="250"/>
      <c r="AU450" s="250"/>
      <c r="AV450" s="124"/>
    </row>
    <row r="451" spans="2:48" s="475" customFormat="1" x14ac:dyDescent="0.2">
      <c r="B451" s="250"/>
      <c r="C451" s="250"/>
      <c r="D451" s="250"/>
      <c r="E451" s="250"/>
      <c r="F451" s="250"/>
      <c r="G451" s="250"/>
      <c r="H451" s="250"/>
      <c r="I451" s="250"/>
      <c r="J451" s="250"/>
      <c r="K451" s="250"/>
      <c r="L451" s="250"/>
      <c r="M451" s="250"/>
      <c r="N451" s="250"/>
      <c r="O451" s="250"/>
      <c r="P451" s="250"/>
      <c r="Q451" s="250"/>
      <c r="R451" s="250"/>
      <c r="S451" s="250"/>
      <c r="T451" s="250"/>
      <c r="U451" s="250"/>
      <c r="V451" s="250"/>
      <c r="W451" s="250"/>
      <c r="X451" s="250"/>
      <c r="Y451" s="250"/>
      <c r="Z451" s="250"/>
      <c r="AA451" s="250"/>
      <c r="AB451" s="250"/>
      <c r="AC451" s="250"/>
      <c r="AD451" s="250"/>
      <c r="AE451" s="250"/>
      <c r="AF451" s="250"/>
      <c r="AG451" s="250"/>
      <c r="AH451" s="250"/>
      <c r="AI451" s="250"/>
      <c r="AJ451" s="250"/>
      <c r="AK451" s="250"/>
      <c r="AL451" s="250"/>
      <c r="AM451" s="250"/>
      <c r="AN451" s="250"/>
      <c r="AO451" s="250"/>
      <c r="AP451" s="250"/>
      <c r="AQ451" s="250"/>
      <c r="AR451" s="250"/>
      <c r="AS451" s="250"/>
      <c r="AT451" s="250"/>
      <c r="AU451" s="250"/>
      <c r="AV451" s="124"/>
    </row>
    <row r="452" spans="2:48" s="475" customFormat="1" x14ac:dyDescent="0.2">
      <c r="B452" s="250"/>
      <c r="C452" s="250"/>
      <c r="D452" s="250"/>
      <c r="E452" s="250"/>
      <c r="F452" s="250"/>
      <c r="G452" s="250"/>
      <c r="H452" s="250"/>
      <c r="I452" s="250"/>
      <c r="J452" s="250"/>
      <c r="K452" s="250"/>
      <c r="L452" s="250"/>
      <c r="M452" s="250"/>
      <c r="N452" s="250"/>
      <c r="O452" s="250"/>
      <c r="P452" s="250"/>
      <c r="Q452" s="250"/>
      <c r="R452" s="250"/>
      <c r="S452" s="250"/>
      <c r="T452" s="250"/>
      <c r="U452" s="250"/>
      <c r="V452" s="250"/>
      <c r="W452" s="250"/>
      <c r="X452" s="250"/>
      <c r="Y452" s="250"/>
      <c r="Z452" s="250"/>
      <c r="AA452" s="250"/>
      <c r="AB452" s="250"/>
      <c r="AC452" s="250"/>
      <c r="AD452" s="250"/>
      <c r="AE452" s="250"/>
      <c r="AF452" s="250"/>
      <c r="AG452" s="250"/>
      <c r="AH452" s="250"/>
      <c r="AI452" s="250"/>
      <c r="AJ452" s="250"/>
      <c r="AK452" s="250"/>
      <c r="AL452" s="250"/>
      <c r="AM452" s="250"/>
      <c r="AN452" s="250"/>
      <c r="AO452" s="250"/>
      <c r="AP452" s="250"/>
      <c r="AQ452" s="250"/>
      <c r="AR452" s="250"/>
      <c r="AS452" s="250"/>
      <c r="AT452" s="250"/>
      <c r="AU452" s="250"/>
      <c r="AV452" s="124"/>
    </row>
    <row r="453" spans="2:48" s="475" customFormat="1" x14ac:dyDescent="0.2">
      <c r="B453" s="250"/>
      <c r="C453" s="250"/>
      <c r="D453" s="250"/>
      <c r="E453" s="250"/>
      <c r="F453" s="250"/>
      <c r="G453" s="250"/>
      <c r="H453" s="250"/>
      <c r="I453" s="250"/>
      <c r="J453" s="250"/>
      <c r="K453" s="250"/>
      <c r="L453" s="250"/>
      <c r="M453" s="250"/>
      <c r="N453" s="250"/>
      <c r="O453" s="250"/>
      <c r="P453" s="250"/>
      <c r="Q453" s="250"/>
      <c r="R453" s="250"/>
      <c r="S453" s="250"/>
      <c r="T453" s="250"/>
      <c r="U453" s="250"/>
      <c r="V453" s="250"/>
      <c r="W453" s="250"/>
      <c r="X453" s="250"/>
      <c r="Y453" s="250"/>
      <c r="Z453" s="250"/>
      <c r="AA453" s="250"/>
      <c r="AB453" s="250"/>
      <c r="AC453" s="250"/>
      <c r="AD453" s="250"/>
      <c r="AE453" s="250"/>
      <c r="AF453" s="250"/>
      <c r="AG453" s="250"/>
      <c r="AH453" s="250"/>
      <c r="AI453" s="250"/>
      <c r="AJ453" s="250"/>
      <c r="AK453" s="250"/>
      <c r="AL453" s="250"/>
      <c r="AM453" s="250"/>
      <c r="AN453" s="250"/>
      <c r="AO453" s="250"/>
      <c r="AP453" s="250"/>
      <c r="AQ453" s="250"/>
      <c r="AR453" s="250"/>
      <c r="AS453" s="250"/>
      <c r="AT453" s="250"/>
      <c r="AU453" s="250"/>
      <c r="AV453" s="124"/>
    </row>
    <row r="454" spans="2:48" s="475" customFormat="1" x14ac:dyDescent="0.2">
      <c r="B454" s="250"/>
      <c r="C454" s="250"/>
      <c r="D454" s="250"/>
      <c r="E454" s="250"/>
      <c r="F454" s="250"/>
      <c r="G454" s="250"/>
      <c r="H454" s="250"/>
      <c r="I454" s="250"/>
      <c r="J454" s="250"/>
      <c r="K454" s="250"/>
      <c r="L454" s="250"/>
      <c r="M454" s="250"/>
      <c r="N454" s="250"/>
      <c r="O454" s="250"/>
      <c r="P454" s="250"/>
      <c r="Q454" s="250"/>
      <c r="R454" s="250"/>
      <c r="S454" s="250"/>
      <c r="T454" s="250"/>
      <c r="U454" s="250"/>
      <c r="V454" s="250"/>
      <c r="W454" s="250"/>
      <c r="X454" s="250"/>
      <c r="Y454" s="250"/>
      <c r="Z454" s="250"/>
      <c r="AA454" s="250"/>
      <c r="AB454" s="250"/>
      <c r="AC454" s="250"/>
      <c r="AD454" s="250"/>
      <c r="AE454" s="250"/>
      <c r="AF454" s="250"/>
      <c r="AG454" s="250"/>
      <c r="AH454" s="250"/>
      <c r="AI454" s="250"/>
      <c r="AJ454" s="250"/>
      <c r="AK454" s="250"/>
      <c r="AL454" s="250"/>
      <c r="AM454" s="250"/>
      <c r="AN454" s="250"/>
      <c r="AO454" s="250"/>
      <c r="AP454" s="250"/>
      <c r="AQ454" s="250"/>
      <c r="AR454" s="250"/>
      <c r="AS454" s="250"/>
      <c r="AT454" s="250"/>
      <c r="AU454" s="250"/>
      <c r="AV454" s="124"/>
    </row>
    <row r="455" spans="2:48" s="475" customFormat="1" x14ac:dyDescent="0.2">
      <c r="B455" s="250"/>
      <c r="C455" s="250"/>
      <c r="D455" s="250"/>
      <c r="E455" s="250"/>
      <c r="F455" s="250"/>
      <c r="G455" s="250"/>
      <c r="H455" s="250"/>
      <c r="I455" s="250"/>
      <c r="J455" s="250"/>
      <c r="K455" s="250"/>
      <c r="L455" s="250"/>
      <c r="M455" s="250"/>
      <c r="N455" s="250"/>
      <c r="O455" s="250"/>
      <c r="P455" s="250"/>
      <c r="Q455" s="250"/>
      <c r="R455" s="250"/>
      <c r="S455" s="250"/>
      <c r="T455" s="250"/>
      <c r="U455" s="250"/>
      <c r="V455" s="250"/>
      <c r="W455" s="250"/>
      <c r="X455" s="250"/>
      <c r="Y455" s="250"/>
      <c r="Z455" s="250"/>
      <c r="AA455" s="250"/>
      <c r="AB455" s="250"/>
      <c r="AC455" s="250"/>
      <c r="AD455" s="250"/>
      <c r="AE455" s="250"/>
      <c r="AF455" s="250"/>
      <c r="AG455" s="250"/>
      <c r="AH455" s="250"/>
      <c r="AI455" s="250"/>
      <c r="AJ455" s="250"/>
      <c r="AK455" s="250"/>
      <c r="AL455" s="250"/>
      <c r="AM455" s="250"/>
      <c r="AN455" s="250"/>
      <c r="AO455" s="250"/>
      <c r="AP455" s="250"/>
      <c r="AQ455" s="250"/>
      <c r="AR455" s="250"/>
      <c r="AS455" s="250"/>
      <c r="AT455" s="250"/>
      <c r="AU455" s="250"/>
      <c r="AV455" s="124"/>
    </row>
    <row r="456" spans="2:48" s="475" customFormat="1" x14ac:dyDescent="0.2">
      <c r="B456" s="250"/>
      <c r="C456" s="250"/>
      <c r="D456" s="250"/>
      <c r="E456" s="250"/>
      <c r="F456" s="250"/>
      <c r="G456" s="250"/>
      <c r="H456" s="250"/>
      <c r="I456" s="250"/>
      <c r="J456" s="250"/>
      <c r="K456" s="250"/>
      <c r="L456" s="250"/>
      <c r="M456" s="250"/>
      <c r="N456" s="250"/>
      <c r="O456" s="250"/>
      <c r="P456" s="250"/>
      <c r="Q456" s="250"/>
      <c r="R456" s="250"/>
      <c r="S456" s="250"/>
      <c r="T456" s="250"/>
      <c r="U456" s="250"/>
      <c r="V456" s="250"/>
      <c r="W456" s="250"/>
      <c r="X456" s="250"/>
      <c r="Y456" s="250"/>
      <c r="Z456" s="250"/>
      <c r="AA456" s="250"/>
      <c r="AB456" s="250"/>
      <c r="AC456" s="250"/>
      <c r="AD456" s="250"/>
      <c r="AE456" s="250"/>
      <c r="AF456" s="250"/>
      <c r="AG456" s="250"/>
      <c r="AH456" s="250"/>
      <c r="AI456" s="250"/>
      <c r="AJ456" s="250"/>
      <c r="AK456" s="250"/>
      <c r="AL456" s="250"/>
      <c r="AM456" s="250"/>
      <c r="AN456" s="250"/>
      <c r="AO456" s="250"/>
      <c r="AP456" s="250"/>
      <c r="AQ456" s="250"/>
      <c r="AR456" s="250"/>
      <c r="AS456" s="250"/>
      <c r="AT456" s="250"/>
      <c r="AU456" s="250"/>
      <c r="AV456" s="124"/>
    </row>
    <row r="457" spans="2:48" s="475" customFormat="1" x14ac:dyDescent="0.2">
      <c r="B457" s="250"/>
      <c r="C457" s="250"/>
      <c r="D457" s="250"/>
      <c r="E457" s="250"/>
      <c r="F457" s="250"/>
      <c r="G457" s="250"/>
      <c r="H457" s="250"/>
      <c r="I457" s="250"/>
      <c r="J457" s="250"/>
      <c r="K457" s="250"/>
      <c r="L457" s="250"/>
      <c r="M457" s="250"/>
      <c r="N457" s="250"/>
      <c r="O457" s="250"/>
      <c r="P457" s="250"/>
      <c r="Q457" s="250"/>
      <c r="R457" s="250"/>
      <c r="S457" s="250"/>
      <c r="T457" s="250"/>
      <c r="U457" s="250"/>
      <c r="V457" s="250"/>
      <c r="W457" s="250"/>
      <c r="X457" s="250"/>
      <c r="Y457" s="250"/>
      <c r="Z457" s="250"/>
      <c r="AA457" s="250"/>
      <c r="AB457" s="250"/>
      <c r="AC457" s="250"/>
      <c r="AD457" s="250"/>
      <c r="AE457" s="250"/>
      <c r="AF457" s="250"/>
      <c r="AG457" s="250"/>
      <c r="AH457" s="250"/>
      <c r="AI457" s="250"/>
      <c r="AJ457" s="250"/>
      <c r="AK457" s="250"/>
      <c r="AL457" s="250"/>
      <c r="AM457" s="250"/>
      <c r="AN457" s="250"/>
      <c r="AO457" s="250"/>
      <c r="AP457" s="250"/>
      <c r="AQ457" s="250"/>
      <c r="AR457" s="250"/>
      <c r="AS457" s="250"/>
      <c r="AT457" s="250"/>
      <c r="AU457" s="250"/>
      <c r="AV457" s="124"/>
    </row>
    <row r="458" spans="2:48" s="475" customFormat="1" x14ac:dyDescent="0.2">
      <c r="B458" s="250"/>
      <c r="C458" s="250"/>
      <c r="D458" s="250"/>
      <c r="E458" s="250"/>
      <c r="F458" s="250"/>
      <c r="G458" s="250"/>
      <c r="H458" s="250"/>
      <c r="I458" s="250"/>
      <c r="J458" s="250"/>
      <c r="K458" s="250"/>
      <c r="L458" s="250"/>
      <c r="M458" s="250"/>
      <c r="N458" s="250"/>
      <c r="O458" s="250"/>
      <c r="P458" s="250"/>
      <c r="Q458" s="250"/>
      <c r="R458" s="250"/>
      <c r="S458" s="250"/>
      <c r="T458" s="250"/>
      <c r="U458" s="250"/>
      <c r="V458" s="250"/>
      <c r="W458" s="250"/>
      <c r="X458" s="250"/>
      <c r="Y458" s="250"/>
      <c r="Z458" s="250"/>
      <c r="AA458" s="250"/>
      <c r="AB458" s="250"/>
      <c r="AC458" s="250"/>
      <c r="AD458" s="250"/>
      <c r="AE458" s="250"/>
      <c r="AF458" s="250"/>
      <c r="AG458" s="250"/>
      <c r="AH458" s="250"/>
      <c r="AI458" s="250"/>
      <c r="AJ458" s="250"/>
      <c r="AK458" s="250"/>
      <c r="AL458" s="250"/>
      <c r="AM458" s="250"/>
      <c r="AN458" s="250"/>
      <c r="AO458" s="250"/>
      <c r="AP458" s="250"/>
      <c r="AQ458" s="250"/>
      <c r="AR458" s="250"/>
      <c r="AS458" s="250"/>
      <c r="AT458" s="250"/>
      <c r="AU458" s="250"/>
      <c r="AV458" s="124"/>
    </row>
    <row r="459" spans="2:48" s="475" customFormat="1" x14ac:dyDescent="0.2">
      <c r="B459" s="250"/>
      <c r="C459" s="250"/>
      <c r="D459" s="250"/>
      <c r="E459" s="250"/>
      <c r="F459" s="250"/>
      <c r="G459" s="250"/>
      <c r="H459" s="250"/>
      <c r="I459" s="250"/>
      <c r="J459" s="250"/>
      <c r="K459" s="250"/>
      <c r="L459" s="250"/>
      <c r="M459" s="250"/>
      <c r="N459" s="250"/>
      <c r="O459" s="250"/>
      <c r="P459" s="250"/>
      <c r="Q459" s="250"/>
      <c r="R459" s="250"/>
      <c r="S459" s="250"/>
      <c r="T459" s="250"/>
      <c r="U459" s="250"/>
      <c r="V459" s="250"/>
      <c r="W459" s="250"/>
      <c r="X459" s="250"/>
      <c r="Y459" s="250"/>
      <c r="Z459" s="250"/>
      <c r="AA459" s="250"/>
      <c r="AB459" s="250"/>
      <c r="AC459" s="250"/>
      <c r="AD459" s="250"/>
      <c r="AE459" s="250"/>
      <c r="AF459" s="250"/>
      <c r="AG459" s="250"/>
      <c r="AH459" s="250"/>
      <c r="AI459" s="250"/>
      <c r="AJ459" s="250"/>
      <c r="AK459" s="250"/>
      <c r="AL459" s="250"/>
      <c r="AM459" s="250"/>
      <c r="AN459" s="250"/>
      <c r="AO459" s="250"/>
      <c r="AP459" s="250"/>
      <c r="AQ459" s="250"/>
      <c r="AR459" s="250"/>
      <c r="AS459" s="250"/>
      <c r="AT459" s="250"/>
      <c r="AU459" s="250"/>
      <c r="AV459" s="124"/>
    </row>
    <row r="460" spans="2:48" s="475" customFormat="1" x14ac:dyDescent="0.2">
      <c r="B460" s="250"/>
      <c r="C460" s="250"/>
      <c r="D460" s="250"/>
      <c r="E460" s="250"/>
      <c r="F460" s="250"/>
      <c r="G460" s="250"/>
      <c r="H460" s="250"/>
      <c r="I460" s="250"/>
      <c r="J460" s="250"/>
      <c r="K460" s="250"/>
      <c r="L460" s="250"/>
      <c r="M460" s="250"/>
      <c r="N460" s="250"/>
      <c r="O460" s="250"/>
      <c r="P460" s="250"/>
      <c r="Q460" s="250"/>
      <c r="R460" s="250"/>
      <c r="S460" s="250"/>
      <c r="T460" s="250"/>
      <c r="U460" s="250"/>
      <c r="V460" s="250"/>
      <c r="W460" s="250"/>
      <c r="X460" s="250"/>
      <c r="Y460" s="250"/>
      <c r="Z460" s="250"/>
      <c r="AA460" s="250"/>
      <c r="AB460" s="250"/>
      <c r="AC460" s="250"/>
      <c r="AD460" s="250"/>
      <c r="AE460" s="250"/>
      <c r="AF460" s="250"/>
      <c r="AG460" s="250"/>
      <c r="AH460" s="250"/>
      <c r="AI460" s="250"/>
      <c r="AJ460" s="250"/>
      <c r="AK460" s="250"/>
      <c r="AL460" s="250"/>
      <c r="AM460" s="250"/>
      <c r="AN460" s="250"/>
      <c r="AO460" s="250"/>
      <c r="AP460" s="250"/>
      <c r="AQ460" s="250"/>
      <c r="AR460" s="250"/>
      <c r="AS460" s="250"/>
      <c r="AT460" s="250"/>
      <c r="AU460" s="250"/>
      <c r="AV460" s="124"/>
    </row>
    <row r="461" spans="2:48" s="475" customFormat="1" x14ac:dyDescent="0.2">
      <c r="B461" s="250"/>
      <c r="C461" s="250"/>
      <c r="D461" s="250"/>
      <c r="E461" s="250"/>
      <c r="F461" s="250"/>
      <c r="G461" s="250"/>
      <c r="H461" s="250"/>
      <c r="I461" s="250"/>
      <c r="J461" s="250"/>
      <c r="K461" s="250"/>
      <c r="L461" s="250"/>
      <c r="M461" s="250"/>
      <c r="N461" s="250"/>
      <c r="O461" s="250"/>
      <c r="P461" s="250"/>
      <c r="Q461" s="250"/>
      <c r="R461" s="250"/>
      <c r="S461" s="250"/>
      <c r="T461" s="250"/>
      <c r="U461" s="250"/>
      <c r="V461" s="250"/>
      <c r="W461" s="250"/>
      <c r="X461" s="250"/>
      <c r="Y461" s="250"/>
      <c r="Z461" s="250"/>
      <c r="AA461" s="250"/>
      <c r="AB461" s="250"/>
      <c r="AC461" s="250"/>
      <c r="AD461" s="250"/>
      <c r="AE461" s="250"/>
      <c r="AF461" s="250"/>
      <c r="AG461" s="250"/>
      <c r="AH461" s="250"/>
      <c r="AI461" s="250"/>
      <c r="AJ461" s="250"/>
      <c r="AK461" s="250"/>
      <c r="AL461" s="250"/>
      <c r="AM461" s="250"/>
      <c r="AN461" s="250"/>
      <c r="AO461" s="250"/>
      <c r="AP461" s="250"/>
      <c r="AQ461" s="250"/>
      <c r="AR461" s="250"/>
      <c r="AS461" s="250"/>
      <c r="AT461" s="250"/>
      <c r="AU461" s="250"/>
      <c r="AV461" s="124"/>
    </row>
    <row r="462" spans="2:48" s="475" customFormat="1" x14ac:dyDescent="0.2">
      <c r="B462" s="250"/>
      <c r="C462" s="250"/>
      <c r="D462" s="250"/>
      <c r="E462" s="250"/>
      <c r="F462" s="250"/>
      <c r="G462" s="250"/>
      <c r="H462" s="250"/>
      <c r="I462" s="250"/>
      <c r="J462" s="250"/>
      <c r="K462" s="250"/>
      <c r="L462" s="250"/>
      <c r="M462" s="250"/>
      <c r="N462" s="250"/>
      <c r="O462" s="250"/>
      <c r="P462" s="250"/>
      <c r="Q462" s="250"/>
      <c r="R462" s="250"/>
      <c r="S462" s="250"/>
      <c r="T462" s="250"/>
      <c r="U462" s="250"/>
      <c r="V462" s="250"/>
      <c r="W462" s="250"/>
      <c r="X462" s="250"/>
      <c r="Y462" s="250"/>
      <c r="Z462" s="250"/>
      <c r="AA462" s="250"/>
      <c r="AB462" s="250"/>
      <c r="AC462" s="250"/>
      <c r="AD462" s="250"/>
      <c r="AE462" s="250"/>
      <c r="AF462" s="250"/>
      <c r="AG462" s="250"/>
      <c r="AH462" s="250"/>
      <c r="AI462" s="250"/>
      <c r="AJ462" s="250"/>
      <c r="AK462" s="250"/>
      <c r="AL462" s="250"/>
      <c r="AM462" s="250"/>
      <c r="AN462" s="250"/>
      <c r="AO462" s="250"/>
      <c r="AP462" s="250"/>
      <c r="AQ462" s="250"/>
      <c r="AR462" s="250"/>
      <c r="AS462" s="250"/>
      <c r="AT462" s="250"/>
      <c r="AU462" s="250"/>
      <c r="AV462" s="124"/>
    </row>
    <row r="463" spans="2:48" s="475" customFormat="1" x14ac:dyDescent="0.2">
      <c r="B463" s="250"/>
      <c r="C463" s="250"/>
      <c r="D463" s="250"/>
      <c r="E463" s="250"/>
      <c r="F463" s="250"/>
      <c r="G463" s="250"/>
      <c r="H463" s="250"/>
      <c r="I463" s="250"/>
      <c r="J463" s="250"/>
      <c r="K463" s="250"/>
      <c r="L463" s="250"/>
      <c r="M463" s="250"/>
      <c r="N463" s="250"/>
      <c r="O463" s="250"/>
      <c r="P463" s="250"/>
      <c r="Q463" s="250"/>
      <c r="R463" s="250"/>
      <c r="S463" s="250"/>
      <c r="T463" s="250"/>
      <c r="U463" s="250"/>
      <c r="V463" s="250"/>
      <c r="W463" s="250"/>
      <c r="X463" s="250"/>
      <c r="Y463" s="250"/>
      <c r="Z463" s="250"/>
      <c r="AA463" s="250"/>
      <c r="AB463" s="250"/>
      <c r="AC463" s="250"/>
      <c r="AD463" s="250"/>
      <c r="AE463" s="250"/>
      <c r="AF463" s="250"/>
      <c r="AG463" s="250"/>
      <c r="AH463" s="250"/>
      <c r="AI463" s="250"/>
      <c r="AJ463" s="250"/>
      <c r="AK463" s="250"/>
      <c r="AL463" s="250"/>
      <c r="AM463" s="250"/>
      <c r="AN463" s="250"/>
      <c r="AO463" s="250"/>
      <c r="AP463" s="250"/>
      <c r="AQ463" s="250"/>
      <c r="AR463" s="250"/>
      <c r="AS463" s="250"/>
      <c r="AT463" s="250"/>
      <c r="AU463" s="250"/>
      <c r="AV463" s="124"/>
    </row>
    <row r="464" spans="2:48" s="475" customFormat="1" x14ac:dyDescent="0.2">
      <c r="B464" s="250"/>
      <c r="C464" s="250"/>
      <c r="D464" s="250"/>
      <c r="E464" s="250"/>
      <c r="F464" s="250"/>
      <c r="G464" s="250"/>
      <c r="H464" s="250"/>
      <c r="I464" s="250"/>
      <c r="J464" s="250"/>
      <c r="K464" s="250"/>
      <c r="L464" s="250"/>
      <c r="M464" s="250"/>
      <c r="N464" s="250"/>
      <c r="O464" s="250"/>
      <c r="P464" s="250"/>
      <c r="Q464" s="250"/>
      <c r="R464" s="250"/>
      <c r="S464" s="250"/>
      <c r="T464" s="250"/>
      <c r="U464" s="250"/>
      <c r="V464" s="250"/>
      <c r="W464" s="250"/>
      <c r="X464" s="250"/>
      <c r="Y464" s="250"/>
      <c r="Z464" s="250"/>
      <c r="AA464" s="250"/>
      <c r="AB464" s="250"/>
      <c r="AC464" s="250"/>
      <c r="AD464" s="250"/>
      <c r="AE464" s="250"/>
      <c r="AF464" s="250"/>
      <c r="AG464" s="250"/>
      <c r="AH464" s="250"/>
      <c r="AI464" s="250"/>
      <c r="AJ464" s="250"/>
      <c r="AK464" s="250"/>
      <c r="AL464" s="250"/>
      <c r="AM464" s="250"/>
      <c r="AN464" s="250"/>
      <c r="AO464" s="250"/>
      <c r="AP464" s="250"/>
      <c r="AQ464" s="250"/>
      <c r="AR464" s="250"/>
      <c r="AS464" s="250"/>
      <c r="AT464" s="250"/>
      <c r="AU464" s="250"/>
      <c r="AV464" s="124"/>
    </row>
    <row r="465" spans="2:48" s="475" customFormat="1" x14ac:dyDescent="0.2">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250"/>
      <c r="AE465" s="250"/>
      <c r="AF465" s="250"/>
      <c r="AG465" s="250"/>
      <c r="AH465" s="250"/>
      <c r="AI465" s="250"/>
      <c r="AJ465" s="250"/>
      <c r="AK465" s="250"/>
      <c r="AL465" s="250"/>
      <c r="AM465" s="250"/>
      <c r="AN465" s="250"/>
      <c r="AO465" s="250"/>
      <c r="AP465" s="250"/>
      <c r="AQ465" s="250"/>
      <c r="AR465" s="250"/>
      <c r="AS465" s="250"/>
      <c r="AT465" s="250"/>
      <c r="AU465" s="250"/>
      <c r="AV465" s="124"/>
    </row>
    <row r="466" spans="2:48" s="475" customFormat="1" x14ac:dyDescent="0.2">
      <c r="B466" s="250"/>
      <c r="C466" s="250"/>
      <c r="D466" s="250"/>
      <c r="E466" s="250"/>
      <c r="F466" s="250"/>
      <c r="G466" s="250"/>
      <c r="H466" s="250"/>
      <c r="I466" s="250"/>
      <c r="J466" s="250"/>
      <c r="K466" s="250"/>
      <c r="L466" s="250"/>
      <c r="M466" s="250"/>
      <c r="N466" s="250"/>
      <c r="O466" s="250"/>
      <c r="P466" s="250"/>
      <c r="Q466" s="250"/>
      <c r="R466" s="250"/>
      <c r="S466" s="250"/>
      <c r="T466" s="250"/>
      <c r="U466" s="250"/>
      <c r="V466" s="250"/>
      <c r="W466" s="250"/>
      <c r="X466" s="250"/>
      <c r="Y466" s="250"/>
      <c r="Z466" s="250"/>
      <c r="AA466" s="250"/>
      <c r="AB466" s="250"/>
      <c r="AC466" s="250"/>
      <c r="AD466" s="250"/>
      <c r="AE466" s="250"/>
      <c r="AF466" s="250"/>
      <c r="AG466" s="250"/>
      <c r="AH466" s="250"/>
      <c r="AI466" s="250"/>
      <c r="AJ466" s="250"/>
      <c r="AK466" s="250"/>
      <c r="AL466" s="250"/>
      <c r="AM466" s="250"/>
      <c r="AN466" s="250"/>
      <c r="AO466" s="250"/>
      <c r="AP466" s="250"/>
      <c r="AQ466" s="250"/>
      <c r="AR466" s="250"/>
      <c r="AS466" s="250"/>
      <c r="AT466" s="250"/>
      <c r="AU466" s="250"/>
      <c r="AV466" s="124"/>
    </row>
    <row r="467" spans="2:48" s="475" customFormat="1" x14ac:dyDescent="0.2">
      <c r="B467" s="250"/>
      <c r="C467" s="250"/>
      <c r="D467" s="250"/>
      <c r="E467" s="250"/>
      <c r="F467" s="250"/>
      <c r="G467" s="250"/>
      <c r="H467" s="250"/>
      <c r="I467" s="250"/>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c r="AN467" s="250"/>
      <c r="AO467" s="250"/>
      <c r="AP467" s="250"/>
      <c r="AQ467" s="250"/>
      <c r="AR467" s="250"/>
      <c r="AS467" s="250"/>
      <c r="AT467" s="250"/>
      <c r="AU467" s="250"/>
      <c r="AV467" s="124"/>
    </row>
    <row r="468" spans="2:48" s="475" customFormat="1" x14ac:dyDescent="0.2">
      <c r="B468" s="250"/>
      <c r="C468" s="250"/>
      <c r="D468" s="250"/>
      <c r="E468" s="250"/>
      <c r="F468" s="250"/>
      <c r="G468" s="250"/>
      <c r="H468" s="250"/>
      <c r="I468" s="250"/>
      <c r="J468" s="250"/>
      <c r="K468" s="250"/>
      <c r="L468" s="250"/>
      <c r="M468" s="250"/>
      <c r="N468" s="250"/>
      <c r="O468" s="250"/>
      <c r="P468" s="250"/>
      <c r="Q468" s="250"/>
      <c r="R468" s="250"/>
      <c r="S468" s="250"/>
      <c r="T468" s="250"/>
      <c r="U468" s="250"/>
      <c r="V468" s="250"/>
      <c r="W468" s="250"/>
      <c r="X468" s="250"/>
      <c r="Y468" s="250"/>
      <c r="Z468" s="250"/>
      <c r="AA468" s="250"/>
      <c r="AB468" s="250"/>
      <c r="AC468" s="250"/>
      <c r="AD468" s="250"/>
      <c r="AE468" s="250"/>
      <c r="AF468" s="250"/>
      <c r="AG468" s="250"/>
      <c r="AH468" s="250"/>
      <c r="AI468" s="250"/>
      <c r="AJ468" s="250"/>
      <c r="AK468" s="250"/>
      <c r="AL468" s="250"/>
      <c r="AM468" s="250"/>
      <c r="AN468" s="250"/>
      <c r="AO468" s="250"/>
      <c r="AP468" s="250"/>
      <c r="AQ468" s="250"/>
      <c r="AR468" s="250"/>
      <c r="AS468" s="250"/>
      <c r="AT468" s="250"/>
      <c r="AU468" s="250"/>
      <c r="AV468" s="124"/>
    </row>
    <row r="469" spans="2:48" s="475" customFormat="1" x14ac:dyDescent="0.2">
      <c r="B469" s="250"/>
      <c r="C469" s="250"/>
      <c r="D469" s="250"/>
      <c r="E469" s="250"/>
      <c r="F469" s="250"/>
      <c r="G469" s="250"/>
      <c r="H469" s="250"/>
      <c r="I469" s="250"/>
      <c r="J469" s="250"/>
      <c r="K469" s="250"/>
      <c r="L469" s="250"/>
      <c r="M469" s="250"/>
      <c r="N469" s="250"/>
      <c r="O469" s="250"/>
      <c r="P469" s="250"/>
      <c r="Q469" s="250"/>
      <c r="R469" s="250"/>
      <c r="S469" s="250"/>
      <c r="T469" s="250"/>
      <c r="U469" s="250"/>
      <c r="V469" s="250"/>
      <c r="W469" s="250"/>
      <c r="X469" s="250"/>
      <c r="Y469" s="250"/>
      <c r="Z469" s="250"/>
      <c r="AA469" s="250"/>
      <c r="AB469" s="250"/>
      <c r="AC469" s="250"/>
      <c r="AD469" s="250"/>
      <c r="AE469" s="250"/>
      <c r="AF469" s="250"/>
      <c r="AG469" s="250"/>
      <c r="AH469" s="250"/>
      <c r="AI469" s="250"/>
      <c r="AJ469" s="250"/>
      <c r="AK469" s="250"/>
      <c r="AL469" s="250"/>
      <c r="AM469" s="250"/>
      <c r="AN469" s="250"/>
      <c r="AO469" s="250"/>
      <c r="AP469" s="250"/>
      <c r="AQ469" s="250"/>
      <c r="AR469" s="250"/>
      <c r="AS469" s="250"/>
      <c r="AT469" s="250"/>
      <c r="AU469" s="250"/>
      <c r="AV469" s="124"/>
    </row>
    <row r="470" spans="2:48" s="475" customFormat="1" x14ac:dyDescent="0.2">
      <c r="B470" s="250"/>
      <c r="C470" s="250"/>
      <c r="D470" s="250"/>
      <c r="E470" s="250"/>
      <c r="F470" s="250"/>
      <c r="G470" s="250"/>
      <c r="H470" s="250"/>
      <c r="I470" s="250"/>
      <c r="J470" s="250"/>
      <c r="K470" s="250"/>
      <c r="L470" s="250"/>
      <c r="M470" s="250"/>
      <c r="N470" s="250"/>
      <c r="O470" s="250"/>
      <c r="P470" s="250"/>
      <c r="Q470" s="250"/>
      <c r="R470" s="250"/>
      <c r="S470" s="250"/>
      <c r="T470" s="250"/>
      <c r="U470" s="250"/>
      <c r="V470" s="250"/>
      <c r="W470" s="250"/>
      <c r="X470" s="250"/>
      <c r="Y470" s="250"/>
      <c r="Z470" s="250"/>
      <c r="AA470" s="250"/>
      <c r="AB470" s="250"/>
      <c r="AC470" s="250"/>
      <c r="AD470" s="250"/>
      <c r="AE470" s="250"/>
      <c r="AF470" s="250"/>
      <c r="AG470" s="250"/>
      <c r="AH470" s="250"/>
      <c r="AI470" s="250"/>
      <c r="AJ470" s="250"/>
      <c r="AK470" s="250"/>
      <c r="AL470" s="250"/>
      <c r="AM470" s="250"/>
      <c r="AN470" s="250"/>
      <c r="AO470" s="250"/>
      <c r="AP470" s="250"/>
      <c r="AQ470" s="250"/>
      <c r="AR470" s="250"/>
      <c r="AS470" s="250"/>
      <c r="AT470" s="250"/>
      <c r="AU470" s="250"/>
      <c r="AV470" s="124"/>
    </row>
    <row r="471" spans="2:48" s="475" customFormat="1" x14ac:dyDescent="0.2">
      <c r="B471" s="250"/>
      <c r="C471" s="250"/>
      <c r="D471" s="250"/>
      <c r="E471" s="250"/>
      <c r="F471" s="250"/>
      <c r="G471" s="250"/>
      <c r="H471" s="250"/>
      <c r="I471" s="250"/>
      <c r="J471" s="250"/>
      <c r="K471" s="250"/>
      <c r="L471" s="250"/>
      <c r="M471" s="250"/>
      <c r="N471" s="250"/>
      <c r="O471" s="250"/>
      <c r="P471" s="250"/>
      <c r="Q471" s="250"/>
      <c r="R471" s="250"/>
      <c r="S471" s="250"/>
      <c r="T471" s="250"/>
      <c r="U471" s="250"/>
      <c r="V471" s="250"/>
      <c r="W471" s="250"/>
      <c r="X471" s="250"/>
      <c r="Y471" s="250"/>
      <c r="Z471" s="250"/>
      <c r="AA471" s="250"/>
      <c r="AB471" s="250"/>
      <c r="AC471" s="250"/>
      <c r="AD471" s="250"/>
      <c r="AE471" s="250"/>
      <c r="AF471" s="250"/>
      <c r="AG471" s="250"/>
      <c r="AH471" s="250"/>
      <c r="AI471" s="250"/>
      <c r="AJ471" s="250"/>
      <c r="AK471" s="250"/>
      <c r="AL471" s="250"/>
      <c r="AM471" s="250"/>
      <c r="AN471" s="250"/>
      <c r="AO471" s="250"/>
      <c r="AP471" s="250"/>
      <c r="AQ471" s="250"/>
      <c r="AR471" s="250"/>
      <c r="AS471" s="250"/>
      <c r="AT471" s="250"/>
      <c r="AU471" s="250"/>
      <c r="AV471" s="124"/>
    </row>
    <row r="472" spans="2:48" s="475" customFormat="1" x14ac:dyDescent="0.2">
      <c r="B472" s="250"/>
      <c r="C472" s="250"/>
      <c r="D472" s="250"/>
      <c r="E472" s="250"/>
      <c r="F472" s="250"/>
      <c r="G472" s="250"/>
      <c r="H472" s="250"/>
      <c r="I472" s="250"/>
      <c r="J472" s="250"/>
      <c r="K472" s="250"/>
      <c r="L472" s="250"/>
      <c r="M472" s="250"/>
      <c r="N472" s="250"/>
      <c r="O472" s="250"/>
      <c r="P472" s="250"/>
      <c r="Q472" s="250"/>
      <c r="R472" s="250"/>
      <c r="S472" s="250"/>
      <c r="T472" s="250"/>
      <c r="U472" s="250"/>
      <c r="V472" s="250"/>
      <c r="W472" s="250"/>
      <c r="X472" s="250"/>
      <c r="Y472" s="250"/>
      <c r="Z472" s="250"/>
      <c r="AA472" s="250"/>
      <c r="AB472" s="250"/>
      <c r="AC472" s="250"/>
      <c r="AD472" s="250"/>
      <c r="AE472" s="250"/>
      <c r="AF472" s="250"/>
      <c r="AG472" s="250"/>
      <c r="AH472" s="250"/>
      <c r="AI472" s="250"/>
      <c r="AJ472" s="250"/>
      <c r="AK472" s="250"/>
      <c r="AL472" s="250"/>
      <c r="AM472" s="250"/>
      <c r="AN472" s="250"/>
      <c r="AO472" s="250"/>
      <c r="AP472" s="250"/>
      <c r="AQ472" s="250"/>
      <c r="AR472" s="250"/>
      <c r="AS472" s="250"/>
      <c r="AT472" s="250"/>
      <c r="AU472" s="250"/>
      <c r="AV472" s="124"/>
    </row>
    <row r="473" spans="2:48" s="475" customFormat="1" x14ac:dyDescent="0.2">
      <c r="B473" s="250"/>
      <c r="C473" s="250"/>
      <c r="D473" s="250"/>
      <c r="E473" s="250"/>
      <c r="F473" s="250"/>
      <c r="G473" s="250"/>
      <c r="H473" s="250"/>
      <c r="I473" s="250"/>
      <c r="J473" s="250"/>
      <c r="K473" s="250"/>
      <c r="L473" s="250"/>
      <c r="M473" s="250"/>
      <c r="N473" s="250"/>
      <c r="O473" s="250"/>
      <c r="P473" s="250"/>
      <c r="Q473" s="250"/>
      <c r="R473" s="250"/>
      <c r="S473" s="250"/>
      <c r="T473" s="250"/>
      <c r="U473" s="250"/>
      <c r="V473" s="250"/>
      <c r="W473" s="250"/>
      <c r="X473" s="250"/>
      <c r="Y473" s="250"/>
      <c r="Z473" s="250"/>
      <c r="AA473" s="250"/>
      <c r="AB473" s="250"/>
      <c r="AC473" s="250"/>
      <c r="AD473" s="250"/>
      <c r="AE473" s="250"/>
      <c r="AF473" s="250"/>
      <c r="AG473" s="250"/>
      <c r="AH473" s="250"/>
      <c r="AI473" s="250"/>
      <c r="AJ473" s="250"/>
      <c r="AK473" s="250"/>
      <c r="AL473" s="250"/>
      <c r="AM473" s="250"/>
      <c r="AN473" s="250"/>
      <c r="AO473" s="250"/>
      <c r="AP473" s="250"/>
      <c r="AQ473" s="250"/>
      <c r="AR473" s="250"/>
      <c r="AS473" s="250"/>
      <c r="AT473" s="250"/>
      <c r="AU473" s="250"/>
      <c r="AV473" s="124"/>
    </row>
    <row r="474" spans="2:48" s="475" customFormat="1" x14ac:dyDescent="0.2">
      <c r="B474" s="250"/>
      <c r="C474" s="250"/>
      <c r="D474" s="250"/>
      <c r="E474" s="250"/>
      <c r="F474" s="250"/>
      <c r="G474" s="250"/>
      <c r="H474" s="250"/>
      <c r="I474" s="250"/>
      <c r="J474" s="250"/>
      <c r="K474" s="250"/>
      <c r="L474" s="250"/>
      <c r="M474" s="250"/>
      <c r="N474" s="250"/>
      <c r="O474" s="250"/>
      <c r="P474" s="250"/>
      <c r="Q474" s="250"/>
      <c r="R474" s="250"/>
      <c r="S474" s="250"/>
      <c r="T474" s="250"/>
      <c r="U474" s="250"/>
      <c r="V474" s="250"/>
      <c r="W474" s="250"/>
      <c r="X474" s="250"/>
      <c r="Y474" s="250"/>
      <c r="Z474" s="250"/>
      <c r="AA474" s="250"/>
      <c r="AB474" s="250"/>
      <c r="AC474" s="250"/>
      <c r="AD474" s="250"/>
      <c r="AE474" s="250"/>
      <c r="AF474" s="250"/>
      <c r="AG474" s="250"/>
      <c r="AH474" s="250"/>
      <c r="AI474" s="250"/>
      <c r="AJ474" s="250"/>
      <c r="AK474" s="250"/>
      <c r="AL474" s="250"/>
      <c r="AM474" s="250"/>
      <c r="AN474" s="250"/>
      <c r="AO474" s="250"/>
      <c r="AP474" s="250"/>
      <c r="AQ474" s="250"/>
      <c r="AR474" s="250"/>
      <c r="AS474" s="250"/>
      <c r="AT474" s="250"/>
      <c r="AU474" s="250"/>
      <c r="AV474" s="124"/>
    </row>
    <row r="475" spans="2:48" s="475" customFormat="1" x14ac:dyDescent="0.2">
      <c r="B475" s="250"/>
      <c r="C475" s="250"/>
      <c r="D475" s="250"/>
      <c r="E475" s="250"/>
      <c r="F475" s="250"/>
      <c r="G475" s="250"/>
      <c r="H475" s="250"/>
      <c r="I475" s="250"/>
      <c r="J475" s="250"/>
      <c r="K475" s="250"/>
      <c r="L475" s="250"/>
      <c r="M475" s="250"/>
      <c r="N475" s="250"/>
      <c r="O475" s="250"/>
      <c r="P475" s="250"/>
      <c r="Q475" s="250"/>
      <c r="R475" s="250"/>
      <c r="S475" s="250"/>
      <c r="T475" s="250"/>
      <c r="U475" s="250"/>
      <c r="V475" s="250"/>
      <c r="W475" s="250"/>
      <c r="X475" s="250"/>
      <c r="Y475" s="250"/>
      <c r="Z475" s="250"/>
      <c r="AA475" s="250"/>
      <c r="AB475" s="250"/>
      <c r="AC475" s="250"/>
      <c r="AD475" s="250"/>
      <c r="AE475" s="250"/>
      <c r="AF475" s="250"/>
      <c r="AG475" s="250"/>
      <c r="AH475" s="250"/>
      <c r="AI475" s="250"/>
      <c r="AJ475" s="250"/>
      <c r="AK475" s="250"/>
      <c r="AL475" s="250"/>
      <c r="AM475" s="250"/>
      <c r="AN475" s="250"/>
      <c r="AO475" s="250"/>
      <c r="AP475" s="250"/>
      <c r="AQ475" s="250"/>
      <c r="AR475" s="250"/>
      <c r="AS475" s="250"/>
      <c r="AT475" s="250"/>
      <c r="AU475" s="250"/>
      <c r="AV475" s="124"/>
    </row>
    <row r="476" spans="2:48" s="475" customFormat="1" x14ac:dyDescent="0.2">
      <c r="B476" s="250"/>
      <c r="C476" s="250"/>
      <c r="D476" s="250"/>
      <c r="E476" s="250"/>
      <c r="F476" s="250"/>
      <c r="G476" s="250"/>
      <c r="H476" s="250"/>
      <c r="I476" s="250"/>
      <c r="J476" s="250"/>
      <c r="K476" s="250"/>
      <c r="L476" s="250"/>
      <c r="M476" s="250"/>
      <c r="N476" s="250"/>
      <c r="O476" s="250"/>
      <c r="P476" s="250"/>
      <c r="Q476" s="250"/>
      <c r="R476" s="250"/>
      <c r="S476" s="250"/>
      <c r="T476" s="250"/>
      <c r="U476" s="250"/>
      <c r="V476" s="250"/>
      <c r="W476" s="250"/>
      <c r="X476" s="250"/>
      <c r="Y476" s="250"/>
      <c r="Z476" s="250"/>
      <c r="AA476" s="250"/>
      <c r="AB476" s="250"/>
      <c r="AC476" s="250"/>
      <c r="AD476" s="250"/>
      <c r="AE476" s="250"/>
      <c r="AF476" s="250"/>
      <c r="AG476" s="250"/>
      <c r="AH476" s="250"/>
      <c r="AI476" s="250"/>
      <c r="AJ476" s="250"/>
      <c r="AK476" s="250"/>
      <c r="AL476" s="250"/>
      <c r="AM476" s="250"/>
      <c r="AN476" s="250"/>
      <c r="AO476" s="250"/>
      <c r="AP476" s="250"/>
      <c r="AQ476" s="250"/>
      <c r="AR476" s="250"/>
      <c r="AS476" s="250"/>
      <c r="AT476" s="250"/>
      <c r="AU476" s="250"/>
      <c r="AV476" s="124"/>
    </row>
    <row r="477" spans="2:48" s="475" customFormat="1" x14ac:dyDescent="0.2">
      <c r="B477" s="250"/>
      <c r="C477" s="250"/>
      <c r="D477" s="250"/>
      <c r="E477" s="250"/>
      <c r="F477" s="250"/>
      <c r="G477" s="250"/>
      <c r="H477" s="250"/>
      <c r="I477" s="250"/>
      <c r="J477" s="250"/>
      <c r="K477" s="250"/>
      <c r="L477" s="250"/>
      <c r="M477" s="250"/>
      <c r="N477" s="250"/>
      <c r="O477" s="250"/>
      <c r="P477" s="250"/>
      <c r="Q477" s="250"/>
      <c r="R477" s="250"/>
      <c r="S477" s="250"/>
      <c r="T477" s="250"/>
      <c r="U477" s="250"/>
      <c r="V477" s="250"/>
      <c r="W477" s="250"/>
      <c r="X477" s="250"/>
      <c r="Y477" s="250"/>
      <c r="Z477" s="250"/>
      <c r="AA477" s="250"/>
      <c r="AB477" s="250"/>
      <c r="AC477" s="250"/>
      <c r="AD477" s="250"/>
      <c r="AE477" s="250"/>
      <c r="AF477" s="250"/>
      <c r="AG477" s="250"/>
      <c r="AH477" s="250"/>
      <c r="AI477" s="250"/>
      <c r="AJ477" s="250"/>
      <c r="AK477" s="250"/>
      <c r="AL477" s="250"/>
      <c r="AM477" s="250"/>
      <c r="AN477" s="250"/>
      <c r="AO477" s="250"/>
      <c r="AP477" s="250"/>
      <c r="AQ477" s="250"/>
      <c r="AR477" s="250"/>
      <c r="AS477" s="250"/>
      <c r="AT477" s="250"/>
      <c r="AU477" s="250"/>
      <c r="AV477" s="124"/>
    </row>
    <row r="478" spans="2:48" s="475" customFormat="1" x14ac:dyDescent="0.2">
      <c r="B478" s="250"/>
      <c r="C478" s="250"/>
      <c r="D478" s="250"/>
      <c r="E478" s="250"/>
      <c r="F478" s="250"/>
      <c r="G478" s="250"/>
      <c r="H478" s="250"/>
      <c r="I478" s="250"/>
      <c r="J478" s="250"/>
      <c r="K478" s="250"/>
      <c r="L478" s="250"/>
      <c r="M478" s="250"/>
      <c r="N478" s="250"/>
      <c r="O478" s="250"/>
      <c r="P478" s="250"/>
      <c r="Q478" s="250"/>
      <c r="R478" s="250"/>
      <c r="S478" s="250"/>
      <c r="T478" s="250"/>
      <c r="U478" s="250"/>
      <c r="V478" s="250"/>
      <c r="W478" s="250"/>
      <c r="X478" s="250"/>
      <c r="Y478" s="250"/>
      <c r="Z478" s="250"/>
      <c r="AA478" s="250"/>
      <c r="AB478" s="250"/>
      <c r="AC478" s="250"/>
      <c r="AD478" s="250"/>
      <c r="AE478" s="250"/>
      <c r="AF478" s="250"/>
      <c r="AG478" s="250"/>
      <c r="AH478" s="250"/>
      <c r="AI478" s="250"/>
      <c r="AJ478" s="250"/>
      <c r="AK478" s="250"/>
      <c r="AL478" s="250"/>
      <c r="AM478" s="250"/>
      <c r="AN478" s="250"/>
      <c r="AO478" s="250"/>
      <c r="AP478" s="250"/>
      <c r="AQ478" s="250"/>
      <c r="AR478" s="250"/>
      <c r="AS478" s="250"/>
      <c r="AT478" s="250"/>
      <c r="AU478" s="250"/>
      <c r="AV478" s="124"/>
    </row>
    <row r="479" spans="2:48" s="475" customFormat="1" x14ac:dyDescent="0.2">
      <c r="B479" s="250"/>
      <c r="C479" s="250"/>
      <c r="D479" s="250"/>
      <c r="E479" s="250"/>
      <c r="F479" s="250"/>
      <c r="G479" s="250"/>
      <c r="H479" s="250"/>
      <c r="I479" s="250"/>
      <c r="J479" s="250"/>
      <c r="K479" s="250"/>
      <c r="L479" s="250"/>
      <c r="M479" s="250"/>
      <c r="N479" s="250"/>
      <c r="O479" s="250"/>
      <c r="P479" s="250"/>
      <c r="Q479" s="250"/>
      <c r="R479" s="250"/>
      <c r="S479" s="250"/>
      <c r="T479" s="250"/>
      <c r="U479" s="250"/>
      <c r="V479" s="250"/>
      <c r="W479" s="250"/>
      <c r="X479" s="250"/>
      <c r="Y479" s="250"/>
      <c r="Z479" s="250"/>
      <c r="AA479" s="250"/>
      <c r="AB479" s="250"/>
      <c r="AC479" s="250"/>
      <c r="AD479" s="250"/>
      <c r="AE479" s="250"/>
      <c r="AF479" s="250"/>
      <c r="AG479" s="250"/>
      <c r="AH479" s="250"/>
      <c r="AI479" s="250"/>
      <c r="AJ479" s="250"/>
      <c r="AK479" s="250"/>
      <c r="AL479" s="250"/>
      <c r="AM479" s="250"/>
      <c r="AN479" s="250"/>
      <c r="AO479" s="250"/>
      <c r="AP479" s="250"/>
      <c r="AQ479" s="250"/>
      <c r="AR479" s="250"/>
      <c r="AS479" s="250"/>
      <c r="AT479" s="250"/>
      <c r="AU479" s="250"/>
      <c r="AV479" s="124"/>
    </row>
    <row r="480" spans="2:48" s="475" customFormat="1" x14ac:dyDescent="0.2">
      <c r="B480" s="250"/>
      <c r="C480" s="250"/>
      <c r="D480" s="250"/>
      <c r="E480" s="250"/>
      <c r="F480" s="250"/>
      <c r="G480" s="250"/>
      <c r="H480" s="250"/>
      <c r="I480" s="250"/>
      <c r="J480" s="250"/>
      <c r="K480" s="250"/>
      <c r="L480" s="250"/>
      <c r="M480" s="250"/>
      <c r="N480" s="250"/>
      <c r="O480" s="250"/>
      <c r="P480" s="250"/>
      <c r="Q480" s="250"/>
      <c r="R480" s="250"/>
      <c r="S480" s="250"/>
      <c r="T480" s="250"/>
      <c r="U480" s="250"/>
      <c r="V480" s="250"/>
      <c r="W480" s="250"/>
      <c r="X480" s="250"/>
      <c r="Y480" s="250"/>
      <c r="Z480" s="250"/>
      <c r="AA480" s="250"/>
      <c r="AB480" s="250"/>
      <c r="AC480" s="250"/>
      <c r="AD480" s="250"/>
      <c r="AE480" s="250"/>
      <c r="AF480" s="250"/>
      <c r="AG480" s="250"/>
      <c r="AH480" s="250"/>
      <c r="AI480" s="250"/>
      <c r="AJ480" s="250"/>
      <c r="AK480" s="250"/>
      <c r="AL480" s="250"/>
      <c r="AM480" s="250"/>
      <c r="AN480" s="250"/>
      <c r="AO480" s="250"/>
      <c r="AP480" s="250"/>
      <c r="AQ480" s="250"/>
      <c r="AR480" s="250"/>
      <c r="AS480" s="250"/>
      <c r="AT480" s="250"/>
      <c r="AU480" s="250"/>
      <c r="AV480" s="124"/>
    </row>
    <row r="481" spans="2:48" s="475" customFormat="1" x14ac:dyDescent="0.2">
      <c r="B481" s="250"/>
      <c r="C481" s="250"/>
      <c r="D481" s="250"/>
      <c r="E481" s="250"/>
      <c r="F481" s="250"/>
      <c r="G481" s="250"/>
      <c r="H481" s="250"/>
      <c r="I481" s="250"/>
      <c r="J481" s="250"/>
      <c r="K481" s="250"/>
      <c r="L481" s="250"/>
      <c r="M481" s="250"/>
      <c r="N481" s="250"/>
      <c r="O481" s="250"/>
      <c r="P481" s="250"/>
      <c r="Q481" s="250"/>
      <c r="R481" s="250"/>
      <c r="S481" s="250"/>
      <c r="T481" s="250"/>
      <c r="U481" s="250"/>
      <c r="V481" s="250"/>
      <c r="W481" s="250"/>
      <c r="X481" s="250"/>
      <c r="Y481" s="250"/>
      <c r="Z481" s="250"/>
      <c r="AA481" s="250"/>
      <c r="AB481" s="250"/>
      <c r="AC481" s="250"/>
      <c r="AD481" s="250"/>
      <c r="AE481" s="250"/>
      <c r="AF481" s="250"/>
      <c r="AG481" s="250"/>
      <c r="AH481" s="250"/>
      <c r="AI481" s="250"/>
      <c r="AJ481" s="250"/>
      <c r="AK481" s="250"/>
      <c r="AL481" s="250"/>
      <c r="AM481" s="250"/>
      <c r="AN481" s="250"/>
      <c r="AO481" s="250"/>
      <c r="AP481" s="250"/>
      <c r="AQ481" s="250"/>
      <c r="AR481" s="250"/>
      <c r="AS481" s="250"/>
      <c r="AT481" s="250"/>
      <c r="AU481" s="250"/>
      <c r="AV481" s="124"/>
    </row>
    <row r="482" spans="2:48" s="475" customFormat="1" x14ac:dyDescent="0.2">
      <c r="B482" s="250"/>
      <c r="C482" s="250"/>
      <c r="D482" s="250"/>
      <c r="E482" s="250"/>
      <c r="F482" s="250"/>
      <c r="G482" s="250"/>
      <c r="H482" s="250"/>
      <c r="I482" s="250"/>
      <c r="J482" s="250"/>
      <c r="K482" s="250"/>
      <c r="L482" s="250"/>
      <c r="M482" s="250"/>
      <c r="N482" s="250"/>
      <c r="O482" s="250"/>
      <c r="P482" s="250"/>
      <c r="Q482" s="250"/>
      <c r="R482" s="250"/>
      <c r="S482" s="250"/>
      <c r="T482" s="250"/>
      <c r="U482" s="250"/>
      <c r="V482" s="250"/>
      <c r="W482" s="250"/>
      <c r="X482" s="250"/>
      <c r="Y482" s="250"/>
      <c r="Z482" s="250"/>
      <c r="AA482" s="250"/>
      <c r="AB482" s="250"/>
      <c r="AC482" s="250"/>
      <c r="AD482" s="250"/>
      <c r="AE482" s="250"/>
      <c r="AF482" s="250"/>
      <c r="AG482" s="250"/>
      <c r="AH482" s="250"/>
      <c r="AI482" s="250"/>
      <c r="AJ482" s="250"/>
      <c r="AK482" s="250"/>
      <c r="AL482" s="250"/>
      <c r="AM482" s="250"/>
      <c r="AN482" s="250"/>
      <c r="AO482" s="250"/>
      <c r="AP482" s="250"/>
      <c r="AQ482" s="250"/>
      <c r="AR482" s="250"/>
      <c r="AS482" s="250"/>
      <c r="AT482" s="250"/>
      <c r="AU482" s="250"/>
      <c r="AV482" s="124"/>
    </row>
    <row r="483" spans="2:48" s="475" customFormat="1" x14ac:dyDescent="0.2">
      <c r="B483" s="250"/>
      <c r="C483" s="250"/>
      <c r="D483" s="250"/>
      <c r="E483" s="250"/>
      <c r="F483" s="250"/>
      <c r="G483" s="250"/>
      <c r="H483" s="250"/>
      <c r="I483" s="250"/>
      <c r="J483" s="250"/>
      <c r="K483" s="250"/>
      <c r="L483" s="250"/>
      <c r="M483" s="250"/>
      <c r="N483" s="250"/>
      <c r="O483" s="250"/>
      <c r="P483" s="250"/>
      <c r="Q483" s="250"/>
      <c r="R483" s="250"/>
      <c r="S483" s="250"/>
      <c r="T483" s="250"/>
      <c r="U483" s="250"/>
      <c r="V483" s="250"/>
      <c r="W483" s="250"/>
      <c r="X483" s="250"/>
      <c r="Y483" s="250"/>
      <c r="Z483" s="250"/>
      <c r="AA483" s="250"/>
      <c r="AB483" s="250"/>
      <c r="AC483" s="250"/>
      <c r="AD483" s="250"/>
      <c r="AE483" s="250"/>
      <c r="AF483" s="250"/>
      <c r="AG483" s="250"/>
      <c r="AH483" s="250"/>
      <c r="AI483" s="250"/>
      <c r="AJ483" s="250"/>
      <c r="AK483" s="250"/>
      <c r="AL483" s="250"/>
      <c r="AM483" s="250"/>
      <c r="AN483" s="250"/>
      <c r="AO483" s="250"/>
      <c r="AP483" s="250"/>
      <c r="AQ483" s="250"/>
      <c r="AR483" s="250"/>
      <c r="AS483" s="250"/>
      <c r="AT483" s="250"/>
      <c r="AU483" s="250"/>
      <c r="AV483" s="124"/>
    </row>
    <row r="484" spans="2:48" s="475" customFormat="1" x14ac:dyDescent="0.2">
      <c r="B484" s="250"/>
      <c r="C484" s="250"/>
      <c r="D484" s="250"/>
      <c r="E484" s="250"/>
      <c r="F484" s="250"/>
      <c r="G484" s="250"/>
      <c r="H484" s="250"/>
      <c r="I484" s="250"/>
      <c r="J484" s="250"/>
      <c r="K484" s="250"/>
      <c r="L484" s="250"/>
      <c r="M484" s="250"/>
      <c r="N484" s="250"/>
      <c r="O484" s="250"/>
      <c r="P484" s="250"/>
      <c r="Q484" s="250"/>
      <c r="R484" s="250"/>
      <c r="S484" s="250"/>
      <c r="T484" s="250"/>
      <c r="U484" s="250"/>
      <c r="V484" s="250"/>
      <c r="W484" s="250"/>
      <c r="X484" s="250"/>
      <c r="Y484" s="250"/>
      <c r="Z484" s="250"/>
      <c r="AA484" s="250"/>
      <c r="AB484" s="250"/>
      <c r="AC484" s="250"/>
      <c r="AD484" s="250"/>
      <c r="AE484" s="250"/>
      <c r="AF484" s="250"/>
      <c r="AG484" s="250"/>
      <c r="AH484" s="250"/>
      <c r="AI484" s="250"/>
      <c r="AJ484" s="250"/>
      <c r="AK484" s="250"/>
      <c r="AL484" s="250"/>
      <c r="AM484" s="250"/>
      <c r="AN484" s="250"/>
      <c r="AO484" s="250"/>
      <c r="AP484" s="250"/>
      <c r="AQ484" s="250"/>
      <c r="AR484" s="250"/>
      <c r="AS484" s="250"/>
      <c r="AT484" s="250"/>
      <c r="AU484" s="250"/>
      <c r="AV484" s="124"/>
    </row>
    <row r="485" spans="2:48" s="475" customFormat="1" x14ac:dyDescent="0.2">
      <c r="B485" s="250"/>
      <c r="C485" s="250"/>
      <c r="D485" s="250"/>
      <c r="E485" s="250"/>
      <c r="F485" s="250"/>
      <c r="G485" s="250"/>
      <c r="H485" s="250"/>
      <c r="I485" s="250"/>
      <c r="J485" s="250"/>
      <c r="K485" s="250"/>
      <c r="L485" s="250"/>
      <c r="M485" s="250"/>
      <c r="N485" s="250"/>
      <c r="O485" s="250"/>
      <c r="P485" s="250"/>
      <c r="Q485" s="250"/>
      <c r="R485" s="250"/>
      <c r="S485" s="250"/>
      <c r="T485" s="250"/>
      <c r="U485" s="250"/>
      <c r="V485" s="250"/>
      <c r="W485" s="250"/>
      <c r="X485" s="250"/>
      <c r="Y485" s="250"/>
      <c r="Z485" s="250"/>
      <c r="AA485" s="250"/>
      <c r="AB485" s="250"/>
      <c r="AC485" s="250"/>
      <c r="AD485" s="250"/>
      <c r="AE485" s="250"/>
      <c r="AF485" s="250"/>
      <c r="AG485" s="250"/>
      <c r="AH485" s="250"/>
      <c r="AI485" s="250"/>
      <c r="AJ485" s="250"/>
      <c r="AK485" s="250"/>
      <c r="AL485" s="250"/>
      <c r="AM485" s="250"/>
      <c r="AN485" s="250"/>
      <c r="AO485" s="250"/>
      <c r="AP485" s="250"/>
      <c r="AQ485" s="250"/>
      <c r="AR485" s="250"/>
      <c r="AS485" s="250"/>
      <c r="AT485" s="250"/>
      <c r="AU485" s="250"/>
      <c r="AV485" s="124"/>
    </row>
    <row r="486" spans="2:48" s="475" customFormat="1" ht="13.5" thickBot="1" x14ac:dyDescent="0.25">
      <c r="B486" s="250"/>
      <c r="C486" s="178"/>
      <c r="D486" s="178"/>
      <c r="E486" s="178"/>
      <c r="F486" s="178"/>
      <c r="G486" s="178"/>
      <c r="H486" s="178"/>
      <c r="I486" s="178"/>
      <c r="J486" s="178"/>
      <c r="K486" s="178"/>
      <c r="L486" s="178"/>
      <c r="M486" s="178"/>
      <c r="N486" s="178"/>
      <c r="O486" s="178"/>
      <c r="P486" s="178"/>
      <c r="Q486" s="178"/>
      <c r="R486" s="250"/>
      <c r="S486" s="250"/>
      <c r="T486" s="250"/>
      <c r="U486" s="250"/>
      <c r="V486" s="250"/>
      <c r="W486" s="250"/>
      <c r="X486" s="250"/>
      <c r="Y486" s="250"/>
      <c r="Z486" s="250"/>
      <c r="AA486" s="250"/>
      <c r="AB486" s="250"/>
      <c r="AC486" s="250"/>
      <c r="AD486" s="250"/>
      <c r="AE486" s="250"/>
      <c r="AF486" s="250"/>
      <c r="AG486" s="250"/>
      <c r="AH486" s="250"/>
      <c r="AI486" s="250"/>
      <c r="AJ486" s="250"/>
      <c r="AK486" s="250"/>
      <c r="AL486" s="250"/>
      <c r="AM486" s="250"/>
      <c r="AN486" s="250"/>
      <c r="AO486" s="250"/>
      <c r="AP486" s="250"/>
      <c r="AQ486" s="250"/>
      <c r="AR486" s="250"/>
      <c r="AS486" s="250"/>
      <c r="AT486" s="250"/>
      <c r="AU486" s="250"/>
      <c r="AV486" s="124"/>
    </row>
    <row r="487" spans="2:48" ht="30" customHeight="1" thickBot="1" x14ac:dyDescent="0.25">
      <c r="B487" s="250"/>
      <c r="C487" s="1414" t="s">
        <v>775</v>
      </c>
      <c r="D487" s="1415"/>
      <c r="E487" s="1415"/>
      <c r="F487" s="1415"/>
      <c r="G487" s="1415"/>
      <c r="H487" s="1415"/>
      <c r="I487" s="1415"/>
      <c r="J487" s="1415"/>
      <c r="K487" s="1415"/>
      <c r="L487" s="1415"/>
      <c r="M487" s="1415"/>
      <c r="N487" s="962"/>
      <c r="O487" s="962"/>
      <c r="P487" s="962"/>
      <c r="Q487" s="963"/>
      <c r="R487" s="250"/>
      <c r="S487" s="250"/>
      <c r="T487" s="250"/>
      <c r="U487" s="250"/>
      <c r="V487" s="250"/>
      <c r="W487" s="250"/>
      <c r="X487" s="250"/>
      <c r="Y487" s="250"/>
      <c r="Z487" s="250"/>
      <c r="AA487" s="250"/>
      <c r="AB487" s="250"/>
      <c r="AC487" s="250"/>
      <c r="AD487" s="250"/>
      <c r="AE487" s="250"/>
      <c r="AF487" s="250"/>
      <c r="AG487" s="250"/>
      <c r="AH487" s="250"/>
      <c r="AI487" s="250"/>
      <c r="AJ487" s="250"/>
      <c r="AK487" s="250"/>
      <c r="AL487" s="250"/>
      <c r="AM487" s="250"/>
      <c r="AN487" s="250"/>
      <c r="AO487" s="250"/>
      <c r="AP487" s="250"/>
      <c r="AQ487" s="250"/>
      <c r="AR487" s="250"/>
      <c r="AS487" s="250"/>
      <c r="AT487" s="250"/>
      <c r="AU487" s="250"/>
      <c r="AV487" s="124"/>
    </row>
    <row r="488" spans="2:48" x14ac:dyDescent="0.2">
      <c r="B488" s="250"/>
      <c r="C488" s="149"/>
      <c r="D488" s="150"/>
      <c r="E488" s="150"/>
      <c r="F488" s="150"/>
      <c r="G488" s="150"/>
      <c r="H488" s="150"/>
      <c r="I488" s="150"/>
      <c r="J488" s="150"/>
      <c r="K488" s="150"/>
      <c r="L488" s="150"/>
      <c r="M488" s="150"/>
      <c r="N488" s="150"/>
      <c r="O488" s="150"/>
      <c r="P488" s="150"/>
      <c r="Q488" s="151"/>
      <c r="R488" s="250"/>
      <c r="S488" s="250"/>
      <c r="T488" s="250"/>
      <c r="U488" s="250"/>
      <c r="V488" s="250"/>
      <c r="W488" s="250"/>
      <c r="X488" s="250"/>
      <c r="Y488" s="250"/>
      <c r="Z488" s="250"/>
      <c r="AA488" s="250"/>
      <c r="AB488" s="250"/>
      <c r="AC488" s="250"/>
      <c r="AD488" s="250"/>
      <c r="AE488" s="250"/>
      <c r="AF488" s="250"/>
      <c r="AG488" s="250"/>
      <c r="AH488" s="250"/>
      <c r="AI488" s="250"/>
      <c r="AJ488" s="250"/>
      <c r="AK488" s="250"/>
      <c r="AL488" s="250"/>
      <c r="AM488" s="250"/>
      <c r="AN488" s="250"/>
      <c r="AO488" s="250"/>
      <c r="AP488" s="250"/>
      <c r="AQ488" s="250"/>
      <c r="AR488" s="250"/>
      <c r="AS488" s="250"/>
      <c r="AT488" s="250"/>
      <c r="AU488" s="250"/>
      <c r="AV488" s="124"/>
    </row>
    <row r="489" spans="2:48" ht="18" x14ac:dyDescent="0.25">
      <c r="B489" s="250"/>
      <c r="C489" s="149"/>
      <c r="D489" s="150"/>
      <c r="E489" s="150"/>
      <c r="F489" s="153" t="s">
        <v>924</v>
      </c>
      <c r="G489" s="150"/>
      <c r="H489" s="150"/>
      <c r="I489" s="150"/>
      <c r="J489" s="150"/>
      <c r="K489" s="150"/>
      <c r="L489" s="150"/>
      <c r="M489" s="150"/>
      <c r="N489" s="150"/>
      <c r="O489" s="150"/>
      <c r="P489" s="150"/>
      <c r="Q489" s="151"/>
      <c r="R489" s="250"/>
      <c r="S489" s="250"/>
      <c r="T489" s="250"/>
      <c r="U489" s="250"/>
      <c r="V489" s="250"/>
      <c r="W489" s="250"/>
      <c r="X489" s="250"/>
      <c r="Y489" s="250"/>
      <c r="Z489" s="250"/>
      <c r="AA489" s="250"/>
      <c r="AB489" s="250"/>
      <c r="AC489" s="250"/>
      <c r="AD489" s="250"/>
      <c r="AE489" s="250"/>
      <c r="AF489" s="250"/>
      <c r="AG489" s="250"/>
      <c r="AH489" s="250"/>
      <c r="AI489" s="250"/>
      <c r="AJ489" s="250"/>
      <c r="AK489" s="250"/>
      <c r="AL489" s="250"/>
      <c r="AM489" s="250"/>
      <c r="AN489" s="250"/>
      <c r="AO489" s="250"/>
      <c r="AP489" s="250"/>
      <c r="AQ489" s="250"/>
      <c r="AR489" s="250"/>
      <c r="AS489" s="250"/>
      <c r="AT489" s="250"/>
      <c r="AU489" s="250"/>
      <c r="AV489" s="124"/>
    </row>
    <row r="490" spans="2:48" ht="18" x14ac:dyDescent="0.25">
      <c r="B490" s="250"/>
      <c r="C490" s="149"/>
      <c r="D490" s="150"/>
      <c r="E490" s="150"/>
      <c r="F490" s="159" t="s">
        <v>761</v>
      </c>
      <c r="G490" s="150"/>
      <c r="H490" s="150"/>
      <c r="I490" s="150"/>
      <c r="J490" s="150"/>
      <c r="K490" s="150"/>
      <c r="L490" s="150"/>
      <c r="M490" s="150"/>
      <c r="N490" s="150"/>
      <c r="O490" s="150"/>
      <c r="P490" s="150"/>
      <c r="Q490" s="151"/>
      <c r="R490" s="250"/>
      <c r="S490" s="250"/>
      <c r="T490" s="250"/>
      <c r="U490" s="250"/>
      <c r="V490" s="250"/>
      <c r="W490" s="250"/>
      <c r="X490" s="250"/>
      <c r="Y490" s="250"/>
      <c r="Z490" s="250"/>
      <c r="AA490" s="250"/>
      <c r="AB490" s="250"/>
      <c r="AC490" s="250"/>
      <c r="AD490" s="250"/>
      <c r="AE490" s="250"/>
      <c r="AF490" s="250"/>
      <c r="AG490" s="250"/>
      <c r="AH490" s="250"/>
      <c r="AI490" s="250"/>
      <c r="AJ490" s="250"/>
      <c r="AK490" s="250"/>
      <c r="AL490" s="250"/>
      <c r="AM490" s="250"/>
      <c r="AN490" s="250"/>
      <c r="AO490" s="250"/>
      <c r="AP490" s="250"/>
      <c r="AQ490" s="250"/>
      <c r="AR490" s="250"/>
      <c r="AS490" s="250"/>
      <c r="AT490" s="250"/>
      <c r="AU490" s="250"/>
      <c r="AV490" s="124"/>
    </row>
    <row r="491" spans="2:48" ht="18.75" thickBot="1" x14ac:dyDescent="0.3">
      <c r="B491" s="250"/>
      <c r="C491" s="149"/>
      <c r="D491" s="150"/>
      <c r="E491" s="150"/>
      <c r="F491" s="153"/>
      <c r="G491" s="150"/>
      <c r="H491" s="150"/>
      <c r="I491" s="150"/>
      <c r="J491" s="150"/>
      <c r="K491" s="150"/>
      <c r="L491" s="150"/>
      <c r="M491" s="150"/>
      <c r="N491" s="150"/>
      <c r="O491" s="150"/>
      <c r="P491" s="150"/>
      <c r="Q491" s="151"/>
      <c r="R491" s="250"/>
      <c r="S491" s="250"/>
      <c r="T491" s="250"/>
      <c r="U491" s="250"/>
      <c r="V491" s="250"/>
      <c r="W491" s="250"/>
      <c r="X491" s="250"/>
      <c r="Y491" s="250"/>
      <c r="Z491" s="250"/>
      <c r="AA491" s="250"/>
      <c r="AB491" s="250"/>
      <c r="AC491" s="250"/>
      <c r="AD491" s="250"/>
      <c r="AE491" s="250"/>
      <c r="AF491" s="250"/>
      <c r="AG491" s="250"/>
      <c r="AH491" s="250"/>
      <c r="AI491" s="250"/>
      <c r="AJ491" s="250"/>
      <c r="AK491" s="250"/>
      <c r="AL491" s="250"/>
      <c r="AM491" s="250"/>
      <c r="AN491" s="250"/>
      <c r="AO491" s="250"/>
      <c r="AP491" s="250"/>
      <c r="AQ491" s="250"/>
      <c r="AR491" s="250"/>
      <c r="AS491" s="250"/>
      <c r="AT491" s="250"/>
      <c r="AU491" s="250"/>
      <c r="AV491" s="124"/>
    </row>
    <row r="492" spans="2:48" ht="15.75" thickBot="1" x14ac:dyDescent="0.25">
      <c r="B492" s="250"/>
      <c r="C492" s="149"/>
      <c r="D492" s="150"/>
      <c r="E492" s="150"/>
      <c r="F492" s="1402" t="s">
        <v>1604</v>
      </c>
      <c r="G492" s="1403"/>
      <c r="H492" s="150"/>
      <c r="I492" s="150"/>
      <c r="J492" s="150"/>
      <c r="K492" s="150"/>
      <c r="L492" s="150"/>
      <c r="M492" s="150"/>
      <c r="N492" s="150"/>
      <c r="O492" s="150"/>
      <c r="P492" s="150"/>
      <c r="Q492" s="151"/>
      <c r="R492" s="250"/>
      <c r="S492" s="250"/>
      <c r="T492" s="250"/>
      <c r="U492" s="250"/>
      <c r="V492" s="250"/>
      <c r="W492" s="250"/>
      <c r="X492" s="250"/>
      <c r="Y492" s="250"/>
      <c r="Z492" s="250"/>
      <c r="AA492" s="250"/>
      <c r="AB492" s="250"/>
      <c r="AC492" s="250"/>
      <c r="AD492" s="250"/>
      <c r="AE492" s="250"/>
      <c r="AF492" s="250"/>
      <c r="AG492" s="250"/>
      <c r="AH492" s="250"/>
      <c r="AI492" s="250"/>
      <c r="AJ492" s="250"/>
      <c r="AK492" s="250"/>
      <c r="AL492" s="250"/>
      <c r="AM492" s="250"/>
      <c r="AN492" s="250"/>
      <c r="AO492" s="250"/>
      <c r="AP492" s="250"/>
      <c r="AQ492" s="250"/>
      <c r="AR492" s="250"/>
      <c r="AS492" s="250"/>
      <c r="AT492" s="250"/>
      <c r="AU492" s="250"/>
      <c r="AV492" s="124"/>
    </row>
    <row r="493" spans="2:48" ht="15" x14ac:dyDescent="0.2">
      <c r="B493" s="250"/>
      <c r="C493" s="149"/>
      <c r="D493" s="150"/>
      <c r="E493" s="150"/>
      <c r="F493" s="167" t="s">
        <v>759</v>
      </c>
      <c r="G493" s="150"/>
      <c r="H493" s="150"/>
      <c r="I493" s="150"/>
      <c r="J493" s="150"/>
      <c r="K493" s="150"/>
      <c r="L493" s="150"/>
      <c r="M493" s="150"/>
      <c r="N493" s="150"/>
      <c r="O493" s="150"/>
      <c r="P493" s="150"/>
      <c r="Q493" s="151"/>
      <c r="R493" s="250"/>
      <c r="S493" s="250"/>
      <c r="T493" s="250"/>
      <c r="U493" s="250"/>
      <c r="V493" s="250"/>
      <c r="W493" s="250"/>
      <c r="X493" s="250"/>
      <c r="Y493" s="250"/>
      <c r="Z493" s="250"/>
      <c r="AA493" s="250"/>
      <c r="AB493" s="250"/>
      <c r="AC493" s="250"/>
      <c r="AD493" s="250"/>
      <c r="AE493" s="250"/>
      <c r="AF493" s="250"/>
      <c r="AG493" s="250"/>
      <c r="AH493" s="250"/>
      <c r="AI493" s="250"/>
      <c r="AJ493" s="250"/>
      <c r="AK493" s="250"/>
      <c r="AL493" s="250"/>
      <c r="AM493" s="250"/>
      <c r="AN493" s="250"/>
      <c r="AO493" s="250"/>
      <c r="AP493" s="250"/>
      <c r="AQ493" s="250"/>
      <c r="AR493" s="250"/>
      <c r="AS493" s="250"/>
      <c r="AT493" s="250"/>
      <c r="AU493" s="250"/>
      <c r="AV493" s="124"/>
    </row>
    <row r="494" spans="2:48" ht="15" x14ac:dyDescent="0.2">
      <c r="B494" s="250"/>
      <c r="C494" s="149"/>
      <c r="D494" s="150"/>
      <c r="E494" s="150"/>
      <c r="F494" s="156" t="s">
        <v>760</v>
      </c>
      <c r="G494" s="150"/>
      <c r="H494" s="150"/>
      <c r="I494" s="150"/>
      <c r="J494" s="150"/>
      <c r="K494" s="150"/>
      <c r="L494" s="150"/>
      <c r="M494" s="150"/>
      <c r="N494" s="150"/>
      <c r="O494" s="150"/>
      <c r="P494" s="150"/>
      <c r="Q494" s="151"/>
      <c r="R494" s="250"/>
      <c r="S494" s="250"/>
      <c r="T494" s="250"/>
      <c r="U494" s="250"/>
      <c r="V494" s="250"/>
      <c r="W494" s="250"/>
      <c r="X494" s="250"/>
      <c r="Y494" s="250"/>
      <c r="Z494" s="250"/>
      <c r="AA494" s="250"/>
      <c r="AB494" s="250"/>
      <c r="AC494" s="250"/>
      <c r="AD494" s="250"/>
      <c r="AE494" s="250"/>
      <c r="AF494" s="250"/>
      <c r="AG494" s="250"/>
      <c r="AH494" s="250"/>
      <c r="AI494" s="250"/>
      <c r="AJ494" s="250"/>
      <c r="AK494" s="250"/>
      <c r="AL494" s="250"/>
      <c r="AM494" s="250"/>
      <c r="AN494" s="250"/>
      <c r="AO494" s="250"/>
      <c r="AP494" s="250"/>
      <c r="AQ494" s="250"/>
      <c r="AR494" s="250"/>
      <c r="AS494" s="250"/>
      <c r="AT494" s="250"/>
      <c r="AU494" s="250"/>
      <c r="AV494" s="124"/>
    </row>
    <row r="495" spans="2:48" ht="15" x14ac:dyDescent="0.2">
      <c r="B495" s="250"/>
      <c r="C495" s="149"/>
      <c r="D495" s="150"/>
      <c r="E495" s="150"/>
      <c r="F495" s="156" t="s">
        <v>204</v>
      </c>
      <c r="G495" s="150"/>
      <c r="H495" s="150"/>
      <c r="I495" s="150"/>
      <c r="J495" s="150"/>
      <c r="K495" s="150"/>
      <c r="L495" s="150"/>
      <c r="M495" s="150"/>
      <c r="N495" s="150"/>
      <c r="O495" s="150"/>
      <c r="P495" s="150"/>
      <c r="Q495" s="151"/>
      <c r="R495" s="250"/>
      <c r="S495" s="250"/>
      <c r="T495" s="250"/>
      <c r="U495" s="250"/>
      <c r="V495" s="250"/>
      <c r="W495" s="250"/>
      <c r="X495" s="250"/>
      <c r="Y495" s="250"/>
      <c r="Z495" s="250"/>
      <c r="AA495" s="250"/>
      <c r="AB495" s="250"/>
      <c r="AC495" s="250"/>
      <c r="AD495" s="250"/>
      <c r="AE495" s="250"/>
      <c r="AF495" s="250"/>
      <c r="AG495" s="250"/>
      <c r="AH495" s="250"/>
      <c r="AI495" s="250"/>
      <c r="AJ495" s="250"/>
      <c r="AK495" s="250"/>
      <c r="AL495" s="250"/>
      <c r="AM495" s="250"/>
      <c r="AN495" s="250"/>
      <c r="AO495" s="250"/>
      <c r="AP495" s="250"/>
      <c r="AQ495" s="250"/>
      <c r="AR495" s="250"/>
      <c r="AS495" s="250"/>
      <c r="AT495" s="250"/>
      <c r="AU495" s="250"/>
      <c r="AV495" s="124"/>
    </row>
    <row r="496" spans="2:48" ht="15.75" thickBot="1" x14ac:dyDescent="0.25">
      <c r="B496" s="250"/>
      <c r="C496" s="149"/>
      <c r="D496" s="150"/>
      <c r="E496" s="150"/>
      <c r="F496" s="156"/>
      <c r="G496" s="150"/>
      <c r="H496" s="150"/>
      <c r="I496" s="150"/>
      <c r="J496" s="150"/>
      <c r="K496" s="150"/>
      <c r="L496" s="150"/>
      <c r="M496" s="150"/>
      <c r="N496" s="150"/>
      <c r="O496" s="150"/>
      <c r="P496" s="150"/>
      <c r="Q496" s="151"/>
      <c r="R496" s="250"/>
      <c r="S496" s="250"/>
      <c r="T496" s="250"/>
      <c r="U496" s="250"/>
      <c r="V496" s="250"/>
      <c r="W496" s="250"/>
      <c r="X496" s="250"/>
      <c r="Y496" s="250"/>
      <c r="Z496" s="250"/>
      <c r="AA496" s="250"/>
      <c r="AB496" s="250"/>
      <c r="AC496" s="250"/>
      <c r="AD496" s="250"/>
      <c r="AE496" s="250"/>
      <c r="AF496" s="250"/>
      <c r="AG496" s="250"/>
      <c r="AH496" s="250"/>
      <c r="AI496" s="250"/>
      <c r="AJ496" s="250"/>
      <c r="AK496" s="250"/>
      <c r="AL496" s="250"/>
      <c r="AM496" s="250"/>
      <c r="AN496" s="250"/>
      <c r="AO496" s="250"/>
      <c r="AP496" s="250"/>
      <c r="AQ496" s="250"/>
      <c r="AR496" s="250"/>
      <c r="AS496" s="250"/>
      <c r="AT496" s="250"/>
      <c r="AU496" s="250"/>
      <c r="AV496" s="124"/>
    </row>
    <row r="497" spans="2:65" ht="15.75" thickBot="1" x14ac:dyDescent="0.25">
      <c r="B497" s="250"/>
      <c r="C497" s="149"/>
      <c r="D497" s="150"/>
      <c r="E497" s="150"/>
      <c r="F497" s="1402" t="s">
        <v>1607</v>
      </c>
      <c r="G497" s="1403"/>
      <c r="H497" s="150"/>
      <c r="I497" s="150"/>
      <c r="J497" s="150"/>
      <c r="K497" s="150"/>
      <c r="L497" s="150"/>
      <c r="M497" s="150"/>
      <c r="N497" s="150"/>
      <c r="O497" s="150"/>
      <c r="P497" s="150"/>
      <c r="Q497" s="151"/>
      <c r="R497" s="250"/>
      <c r="S497" s="250"/>
      <c r="T497" s="250"/>
      <c r="U497" s="250"/>
      <c r="V497" s="250"/>
      <c r="W497" s="250"/>
      <c r="X497" s="250"/>
      <c r="Y497" s="250"/>
      <c r="Z497" s="250"/>
      <c r="AA497" s="250"/>
      <c r="AB497" s="250"/>
      <c r="AC497" s="250"/>
      <c r="AD497" s="250"/>
      <c r="AE497" s="250"/>
      <c r="AF497" s="250"/>
      <c r="AG497" s="250"/>
      <c r="AH497" s="250"/>
      <c r="AI497" s="250"/>
      <c r="AJ497" s="250"/>
      <c r="AK497" s="250"/>
      <c r="AL497" s="250"/>
      <c r="AM497" s="250"/>
      <c r="AN497" s="250"/>
      <c r="AO497" s="250"/>
      <c r="AP497" s="250"/>
      <c r="AQ497" s="250"/>
      <c r="AR497" s="250"/>
      <c r="AS497" s="250"/>
      <c r="AT497" s="250"/>
      <c r="AU497" s="250"/>
      <c r="AV497" s="124"/>
    </row>
    <row r="498" spans="2:65" ht="18" x14ac:dyDescent="0.25">
      <c r="B498" s="250"/>
      <c r="C498" s="152"/>
      <c r="D498" s="154"/>
      <c r="E498" s="153"/>
      <c r="F498" s="167" t="s">
        <v>762</v>
      </c>
      <c r="G498" s="154"/>
      <c r="H498" s="154"/>
      <c r="I498" s="154"/>
      <c r="J498" s="154"/>
      <c r="K498" s="154"/>
      <c r="L498" s="154"/>
      <c r="M498" s="154"/>
      <c r="N498" s="154"/>
      <c r="O498" s="154"/>
      <c r="P498" s="154"/>
      <c r="Q498" s="155"/>
      <c r="R498" s="250"/>
      <c r="S498" s="250"/>
      <c r="T498" s="250"/>
      <c r="U498" s="250"/>
      <c r="V498" s="250"/>
      <c r="W498" s="250"/>
      <c r="X498" s="250"/>
      <c r="Y498" s="250"/>
      <c r="Z498" s="250"/>
      <c r="AA498" s="250"/>
      <c r="AB498" s="250"/>
      <c r="AC498" s="250"/>
      <c r="AD498" s="250"/>
      <c r="AE498" s="250"/>
      <c r="AF498" s="250"/>
      <c r="AG498" s="250"/>
      <c r="AH498" s="250"/>
      <c r="AI498" s="250"/>
      <c r="AJ498" s="250"/>
      <c r="AK498" s="250"/>
      <c r="AL498" s="250"/>
      <c r="AM498" s="250"/>
      <c r="AN498" s="250"/>
      <c r="AO498" s="250"/>
      <c r="AP498" s="250"/>
      <c r="AQ498" s="250"/>
      <c r="AR498" s="250"/>
      <c r="AS498" s="250"/>
      <c r="AT498" s="250"/>
      <c r="AU498" s="250"/>
      <c r="AV498" s="124"/>
    </row>
    <row r="499" spans="2:65" ht="15" x14ac:dyDescent="0.2">
      <c r="B499" s="250"/>
      <c r="C499" s="152"/>
      <c r="D499" s="154"/>
      <c r="E499" s="156"/>
      <c r="F499" s="156" t="s">
        <v>1145</v>
      </c>
      <c r="G499" s="154"/>
      <c r="H499" s="154"/>
      <c r="I499" s="154"/>
      <c r="J499" s="154"/>
      <c r="K499" s="154"/>
      <c r="L499" s="154"/>
      <c r="M499" s="154"/>
      <c r="N499" s="154"/>
      <c r="O499" s="154"/>
      <c r="P499" s="154"/>
      <c r="Q499" s="155"/>
      <c r="R499" s="250"/>
      <c r="S499" s="250"/>
      <c r="T499" s="250"/>
      <c r="U499" s="250"/>
      <c r="V499" s="250"/>
      <c r="W499" s="250"/>
      <c r="X499" s="250"/>
      <c r="Y499" s="250"/>
      <c r="Z499" s="250"/>
      <c r="AA499" s="250"/>
      <c r="AB499" s="250"/>
      <c r="AC499" s="250"/>
      <c r="AD499" s="250"/>
      <c r="AE499" s="250"/>
      <c r="AF499" s="250"/>
      <c r="AG499" s="250"/>
      <c r="AH499" s="250"/>
      <c r="AI499" s="250"/>
      <c r="AJ499" s="250"/>
      <c r="AK499" s="250"/>
      <c r="AL499" s="250"/>
      <c r="AM499" s="250"/>
      <c r="AN499" s="250"/>
      <c r="AO499" s="250"/>
      <c r="AP499" s="250"/>
      <c r="AQ499" s="250"/>
      <c r="AR499" s="250"/>
      <c r="AS499" s="250"/>
      <c r="AT499" s="250"/>
      <c r="AU499" s="250"/>
      <c r="AV499" s="124"/>
    </row>
    <row r="500" spans="2:65" ht="9.75" customHeight="1" x14ac:dyDescent="0.25">
      <c r="B500" s="250"/>
      <c r="C500" s="152"/>
      <c r="D500" s="154"/>
      <c r="E500" s="156"/>
      <c r="F500" s="1091"/>
      <c r="G500" s="154"/>
      <c r="H500" s="154"/>
      <c r="I500" s="154"/>
      <c r="J500" s="154"/>
      <c r="K500" s="154"/>
      <c r="L500" s="154"/>
      <c r="M500" s="154"/>
      <c r="N500" s="154"/>
      <c r="O500" s="154"/>
      <c r="P500" s="154"/>
      <c r="Q500" s="155"/>
      <c r="R500" s="250"/>
      <c r="S500" s="250"/>
      <c r="T500" s="250"/>
      <c r="U500" s="250"/>
      <c r="V500" s="250"/>
      <c r="W500" s="250"/>
      <c r="X500" s="250"/>
      <c r="Y500" s="250"/>
      <c r="Z500" s="250"/>
      <c r="AA500" s="250"/>
      <c r="AB500" s="250"/>
      <c r="AC500" s="250"/>
      <c r="AD500" s="250"/>
      <c r="AE500" s="250"/>
      <c r="AF500" s="250"/>
      <c r="AG500" s="250"/>
      <c r="AH500" s="250"/>
      <c r="AI500" s="250"/>
      <c r="AJ500" s="250"/>
      <c r="AK500" s="250"/>
      <c r="AL500" s="250"/>
      <c r="AM500" s="250"/>
      <c r="AN500" s="250"/>
      <c r="AO500" s="250"/>
      <c r="AP500" s="250"/>
      <c r="AQ500" s="250"/>
      <c r="AR500" s="250"/>
      <c r="AS500" s="250"/>
      <c r="AT500" s="250"/>
      <c r="AU500" s="250"/>
      <c r="AV500" s="124"/>
    </row>
    <row r="501" spans="2:65" ht="15" x14ac:dyDescent="0.2">
      <c r="B501" s="250"/>
      <c r="C501" s="152"/>
      <c r="D501" s="154"/>
      <c r="E501" s="156"/>
      <c r="F501" s="167" t="s">
        <v>86</v>
      </c>
      <c r="G501" s="154"/>
      <c r="H501" s="154"/>
      <c r="I501" s="154"/>
      <c r="J501" s="154"/>
      <c r="K501" s="154"/>
      <c r="L501" s="154"/>
      <c r="M501" s="154"/>
      <c r="N501" s="154"/>
      <c r="O501" s="154"/>
      <c r="P501" s="154"/>
      <c r="Q501" s="155"/>
      <c r="R501" s="250"/>
      <c r="S501" s="250"/>
      <c r="T501" s="250"/>
      <c r="U501" s="250"/>
      <c r="V501" s="250"/>
      <c r="W501" s="250"/>
      <c r="X501" s="250"/>
      <c r="Y501" s="250"/>
      <c r="Z501" s="250"/>
      <c r="AA501" s="250"/>
      <c r="AB501" s="250"/>
      <c r="AC501" s="250"/>
      <c r="AD501" s="250"/>
      <c r="AE501" s="250"/>
      <c r="AF501" s="250"/>
      <c r="AG501" s="250"/>
      <c r="AH501" s="250"/>
      <c r="AI501" s="250"/>
      <c r="AJ501" s="250"/>
      <c r="AK501" s="250"/>
      <c r="AL501" s="250"/>
      <c r="AM501" s="250"/>
      <c r="AN501" s="250"/>
      <c r="AO501" s="250"/>
      <c r="AP501" s="250"/>
      <c r="AQ501" s="250"/>
      <c r="AR501" s="250"/>
      <c r="AS501" s="250"/>
      <c r="AT501" s="250"/>
      <c r="AU501" s="250"/>
      <c r="AV501" s="124"/>
    </row>
    <row r="502" spans="2:65" s="39" customFormat="1" ht="14.25" x14ac:dyDescent="0.2">
      <c r="B502" s="478"/>
      <c r="C502" s="149"/>
      <c r="D502" s="1092"/>
      <c r="E502" s="168"/>
      <c r="F502" s="163" t="s">
        <v>1146</v>
      </c>
      <c r="G502" s="1092"/>
      <c r="H502" s="1092"/>
      <c r="I502" s="1092"/>
      <c r="J502" s="1092"/>
      <c r="K502" s="1092"/>
      <c r="L502" s="1092"/>
      <c r="M502" s="1092"/>
      <c r="N502" s="1092"/>
      <c r="O502" s="1092"/>
      <c r="P502" s="1092"/>
      <c r="Q502" s="151"/>
      <c r="R502" s="478"/>
      <c r="S502" s="478"/>
      <c r="T502" s="478"/>
      <c r="U502" s="478"/>
      <c r="V502" s="478"/>
      <c r="W502" s="478"/>
      <c r="X502" s="478"/>
      <c r="Y502" s="478"/>
      <c r="Z502" s="478"/>
      <c r="AA502" s="478"/>
      <c r="AB502" s="478"/>
      <c r="AC502" s="478"/>
      <c r="AD502" s="478"/>
      <c r="AE502" s="478"/>
      <c r="AF502" s="478"/>
      <c r="AG502" s="478"/>
      <c r="AH502" s="478"/>
      <c r="AI502" s="478"/>
      <c r="AJ502" s="478"/>
      <c r="AK502" s="478"/>
      <c r="AL502" s="478"/>
      <c r="AM502" s="478"/>
      <c r="AN502" s="478"/>
      <c r="AO502" s="478"/>
      <c r="AP502" s="478"/>
      <c r="AQ502" s="478"/>
      <c r="AR502" s="478"/>
      <c r="AS502" s="478"/>
      <c r="AT502" s="478"/>
      <c r="AU502" s="478"/>
      <c r="AV502" s="888"/>
      <c r="AW502" s="468"/>
      <c r="AX502" s="468"/>
      <c r="AY502" s="468"/>
      <c r="AZ502" s="468"/>
      <c r="BA502" s="468"/>
      <c r="BB502" s="468"/>
      <c r="BC502" s="468"/>
      <c r="BD502" s="468"/>
      <c r="BE502" s="468"/>
      <c r="BF502" s="468"/>
      <c r="BG502" s="468"/>
      <c r="BH502" s="468"/>
      <c r="BI502" s="468"/>
      <c r="BJ502" s="468"/>
      <c r="BK502" s="468"/>
      <c r="BL502" s="468"/>
      <c r="BM502" s="468"/>
    </row>
    <row r="503" spans="2:65" ht="20.100000000000001" customHeight="1" x14ac:dyDescent="0.2">
      <c r="B503" s="250"/>
      <c r="C503" s="152"/>
      <c r="D503" s="154"/>
      <c r="E503" s="156"/>
      <c r="F503" s="167" t="s">
        <v>1046</v>
      </c>
      <c r="G503" s="154"/>
      <c r="H503" s="154"/>
      <c r="I503" s="154"/>
      <c r="J503" s="154"/>
      <c r="K503" s="154"/>
      <c r="L503" s="154"/>
      <c r="M503" s="154"/>
      <c r="N503" s="154"/>
      <c r="O503" s="154"/>
      <c r="P503" s="154"/>
      <c r="Q503" s="155"/>
      <c r="R503" s="250"/>
      <c r="S503" s="250"/>
      <c r="T503" s="250"/>
      <c r="U503" s="250"/>
      <c r="V503" s="250"/>
      <c r="W503" s="250"/>
      <c r="X503" s="250"/>
      <c r="Y503" s="250"/>
      <c r="Z503" s="250"/>
      <c r="AA503" s="250"/>
      <c r="AB503" s="250"/>
      <c r="AC503" s="250"/>
      <c r="AD503" s="250"/>
      <c r="AE503" s="250"/>
      <c r="AF503" s="250"/>
      <c r="AG503" s="250"/>
      <c r="AH503" s="250"/>
      <c r="AI503" s="250"/>
      <c r="AJ503" s="250"/>
      <c r="AK503" s="250"/>
      <c r="AL503" s="250"/>
      <c r="AM503" s="250"/>
      <c r="AN503" s="250"/>
      <c r="AO503" s="250"/>
      <c r="AP503" s="250"/>
      <c r="AQ503" s="250"/>
      <c r="AR503" s="250"/>
      <c r="AS503" s="250"/>
      <c r="AT503" s="250"/>
      <c r="AU503" s="250"/>
      <c r="AV503" s="124"/>
    </row>
    <row r="504" spans="2:65" ht="20.100000000000001" customHeight="1" x14ac:dyDescent="0.2">
      <c r="B504" s="250"/>
      <c r="C504" s="152"/>
      <c r="D504" s="154"/>
      <c r="E504" s="156"/>
      <c r="F504" s="167" t="s">
        <v>87</v>
      </c>
      <c r="G504" s="154"/>
      <c r="H504" s="154"/>
      <c r="I504" s="154"/>
      <c r="J504" s="154"/>
      <c r="K504" s="154"/>
      <c r="L504" s="154"/>
      <c r="M504" s="154"/>
      <c r="N504" s="154"/>
      <c r="O504" s="154"/>
      <c r="P504" s="154"/>
      <c r="Q504" s="155"/>
      <c r="R504" s="250"/>
      <c r="S504" s="250"/>
      <c r="T504" s="250"/>
      <c r="U504" s="250"/>
      <c r="V504" s="250"/>
      <c r="W504" s="250"/>
      <c r="X504" s="920"/>
      <c r="Y504" s="250"/>
      <c r="Z504" s="250"/>
      <c r="AA504" s="250"/>
      <c r="AB504" s="250"/>
      <c r="AC504" s="250"/>
      <c r="AD504" s="250"/>
      <c r="AE504" s="250"/>
      <c r="AF504" s="250"/>
      <c r="AG504" s="250"/>
      <c r="AH504" s="250"/>
      <c r="AI504" s="250"/>
      <c r="AJ504" s="250"/>
      <c r="AK504" s="250"/>
      <c r="AL504" s="250"/>
      <c r="AM504" s="250"/>
      <c r="AN504" s="250"/>
      <c r="AO504" s="250"/>
      <c r="AP504" s="250"/>
      <c r="AQ504" s="250"/>
      <c r="AR504" s="250"/>
      <c r="AS504" s="250"/>
      <c r="AT504" s="250"/>
      <c r="AU504" s="250"/>
      <c r="AV504" s="124"/>
    </row>
    <row r="505" spans="2:65" ht="13.5" customHeight="1" x14ac:dyDescent="0.2">
      <c r="B505" s="250"/>
      <c r="C505" s="152"/>
      <c r="D505" s="154"/>
      <c r="E505" s="156"/>
      <c r="F505" s="163" t="s">
        <v>1047</v>
      </c>
      <c r="G505" s="154"/>
      <c r="H505" s="154"/>
      <c r="I505" s="154"/>
      <c r="J505" s="154"/>
      <c r="K505" s="154"/>
      <c r="L505" s="154"/>
      <c r="M505" s="154"/>
      <c r="N505" s="154"/>
      <c r="O505" s="154"/>
      <c r="P505" s="154"/>
      <c r="Q505" s="155"/>
      <c r="R505" s="250"/>
      <c r="S505" s="250"/>
      <c r="T505" s="250"/>
      <c r="U505" s="250"/>
      <c r="V505" s="250"/>
      <c r="W505" s="250"/>
      <c r="X505" s="250"/>
      <c r="Y505" s="250"/>
      <c r="Z505" s="250"/>
      <c r="AA505" s="250"/>
      <c r="AB505" s="250"/>
      <c r="AC505" s="250"/>
      <c r="AD505" s="250"/>
      <c r="AE505" s="250"/>
      <c r="AF505" s="250"/>
      <c r="AG505" s="250"/>
      <c r="AH505" s="250"/>
      <c r="AI505" s="250"/>
      <c r="AJ505" s="250"/>
      <c r="AK505" s="250"/>
      <c r="AL505" s="250"/>
      <c r="AM505" s="250"/>
      <c r="AN505" s="250"/>
      <c r="AO505" s="250"/>
      <c r="AP505" s="250"/>
      <c r="AQ505" s="250"/>
      <c r="AR505" s="250"/>
      <c r="AS505" s="250"/>
      <c r="AT505" s="250"/>
      <c r="AU505" s="250"/>
      <c r="AV505" s="124"/>
    </row>
    <row r="506" spans="2:65" ht="15" x14ac:dyDescent="0.2">
      <c r="B506" s="250"/>
      <c r="C506" s="149"/>
      <c r="D506" s="158"/>
      <c r="E506" s="156"/>
      <c r="F506" s="163" t="s">
        <v>1048</v>
      </c>
      <c r="G506" s="158"/>
      <c r="H506" s="158"/>
      <c r="I506" s="158"/>
      <c r="J506" s="158"/>
      <c r="K506" s="158"/>
      <c r="L506" s="158"/>
      <c r="M506" s="158"/>
      <c r="N506" s="158"/>
      <c r="O506" s="158"/>
      <c r="P506" s="158"/>
      <c r="Q506" s="151"/>
      <c r="R506" s="250"/>
      <c r="S506" s="250"/>
      <c r="T506" s="250"/>
      <c r="U506" s="250"/>
      <c r="V506" s="250"/>
      <c r="W506" s="250"/>
      <c r="X506" s="250"/>
      <c r="Y506" s="250"/>
      <c r="Z506" s="250"/>
      <c r="AA506" s="250"/>
      <c r="AB506" s="250"/>
      <c r="AC506" s="250"/>
      <c r="AD506" s="250"/>
      <c r="AE506" s="250"/>
      <c r="AF506" s="250"/>
      <c r="AG506" s="250"/>
      <c r="AH506" s="250"/>
      <c r="AI506" s="250"/>
      <c r="AJ506" s="250"/>
      <c r="AK506" s="250"/>
      <c r="AL506" s="250"/>
      <c r="AM506" s="250"/>
      <c r="AN506" s="250"/>
      <c r="AO506" s="250"/>
      <c r="AP506" s="250"/>
      <c r="AQ506" s="250"/>
      <c r="AR506" s="250"/>
      <c r="AS506" s="250"/>
      <c r="AT506" s="250"/>
      <c r="AU506" s="250"/>
      <c r="AV506" s="124"/>
    </row>
    <row r="507" spans="2:65" ht="15" x14ac:dyDescent="0.2">
      <c r="B507" s="250"/>
      <c r="C507" s="149"/>
      <c r="D507" s="158"/>
      <c r="E507" s="156"/>
      <c r="F507" s="156"/>
      <c r="G507" s="158"/>
      <c r="H507" s="158"/>
      <c r="I507" s="158"/>
      <c r="J507" s="158"/>
      <c r="K507" s="158"/>
      <c r="L507" s="158"/>
      <c r="M507" s="158"/>
      <c r="N507" s="158"/>
      <c r="O507" s="158"/>
      <c r="P507" s="158"/>
      <c r="Q507" s="151"/>
      <c r="R507" s="250"/>
      <c r="S507" s="250"/>
      <c r="T507" s="250"/>
      <c r="U507" s="250"/>
      <c r="V507" s="250"/>
      <c r="W507" s="250"/>
      <c r="X507" s="250"/>
      <c r="Y507" s="250"/>
      <c r="Z507" s="250"/>
      <c r="AA507" s="250"/>
      <c r="AB507" s="250"/>
      <c r="AC507" s="250"/>
      <c r="AD507" s="250"/>
      <c r="AE507" s="250"/>
      <c r="AF507" s="250"/>
      <c r="AG507" s="250"/>
      <c r="AH507" s="250"/>
      <c r="AI507" s="250"/>
      <c r="AJ507" s="250"/>
      <c r="AK507" s="250"/>
      <c r="AL507" s="250"/>
      <c r="AM507" s="250"/>
      <c r="AN507" s="250"/>
      <c r="AO507" s="250"/>
      <c r="AP507" s="250"/>
      <c r="AQ507" s="250"/>
      <c r="AR507" s="250"/>
      <c r="AS507" s="250"/>
      <c r="AT507" s="250"/>
      <c r="AU507" s="250"/>
      <c r="AV507" s="124"/>
    </row>
    <row r="508" spans="2:65" ht="24" customHeight="1" x14ac:dyDescent="0.2">
      <c r="B508" s="250"/>
      <c r="C508" s="149"/>
      <c r="D508" s="158"/>
      <c r="E508" s="156"/>
      <c r="F508" s="156"/>
      <c r="G508" s="158"/>
      <c r="H508" s="158"/>
      <c r="I508" s="158"/>
      <c r="J508" s="158"/>
      <c r="K508" s="158"/>
      <c r="L508" s="158"/>
      <c r="M508" s="158"/>
      <c r="N508" s="158"/>
      <c r="O508" s="158"/>
      <c r="P508" s="158"/>
      <c r="Q508" s="151"/>
      <c r="R508" s="250"/>
      <c r="S508" s="250"/>
      <c r="T508" s="250"/>
      <c r="U508" s="250"/>
      <c r="V508" s="250"/>
      <c r="W508" s="250"/>
      <c r="X508" s="250"/>
      <c r="Y508" s="250"/>
      <c r="Z508" s="250"/>
      <c r="AA508" s="250"/>
      <c r="AB508" s="250"/>
      <c r="AC508" s="250"/>
      <c r="AD508" s="250"/>
      <c r="AE508" s="250"/>
      <c r="AF508" s="250"/>
      <c r="AG508" s="250"/>
      <c r="AH508" s="250"/>
      <c r="AI508" s="250"/>
      <c r="AJ508" s="250"/>
      <c r="AK508" s="250"/>
      <c r="AL508" s="250"/>
      <c r="AM508" s="250"/>
      <c r="AN508" s="250"/>
      <c r="AO508" s="250"/>
      <c r="AP508" s="250"/>
      <c r="AQ508" s="250"/>
      <c r="AR508" s="250"/>
      <c r="AS508" s="250"/>
      <c r="AT508" s="250"/>
      <c r="AU508" s="250"/>
      <c r="AV508" s="124"/>
    </row>
    <row r="509" spans="2:65" ht="15" x14ac:dyDescent="0.2">
      <c r="B509" s="250"/>
      <c r="C509" s="149"/>
      <c r="D509" s="158"/>
      <c r="E509" s="156"/>
      <c r="F509" s="156"/>
      <c r="G509" s="158"/>
      <c r="H509" s="158"/>
      <c r="I509" s="158"/>
      <c r="J509" s="158"/>
      <c r="K509" s="158"/>
      <c r="L509" s="158"/>
      <c r="M509" s="158"/>
      <c r="N509" s="158"/>
      <c r="O509" s="158"/>
      <c r="P509" s="158"/>
      <c r="Q509" s="151"/>
      <c r="R509" s="250"/>
      <c r="S509" s="250"/>
      <c r="T509" s="250"/>
      <c r="U509" s="250"/>
      <c r="V509" s="250"/>
      <c r="W509" s="250"/>
      <c r="X509" s="250"/>
      <c r="Y509" s="250"/>
      <c r="Z509" s="250"/>
      <c r="AA509" s="250"/>
      <c r="AB509" s="250"/>
      <c r="AC509" s="250"/>
      <c r="AD509" s="250"/>
      <c r="AE509" s="250"/>
      <c r="AF509" s="250"/>
      <c r="AG509" s="250"/>
      <c r="AH509" s="250"/>
      <c r="AI509" s="250"/>
      <c r="AJ509" s="250"/>
      <c r="AK509" s="250"/>
      <c r="AL509" s="250"/>
      <c r="AM509" s="250"/>
      <c r="AN509" s="250"/>
      <c r="AO509" s="250"/>
      <c r="AP509" s="250"/>
      <c r="AQ509" s="250"/>
      <c r="AR509" s="250"/>
      <c r="AS509" s="250"/>
      <c r="AT509" s="250"/>
      <c r="AU509" s="250"/>
      <c r="AV509" s="124"/>
    </row>
    <row r="510" spans="2:65" ht="15" x14ac:dyDescent="0.2">
      <c r="B510" s="250"/>
      <c r="C510" s="149"/>
      <c r="D510" s="158"/>
      <c r="E510" s="156"/>
      <c r="F510" s="156"/>
      <c r="G510" s="158"/>
      <c r="H510" s="158"/>
      <c r="I510" s="158"/>
      <c r="J510" s="158"/>
      <c r="K510" s="158"/>
      <c r="L510" s="158"/>
      <c r="M510" s="158"/>
      <c r="N510" s="158"/>
      <c r="O510" s="158"/>
      <c r="P510" s="158"/>
      <c r="Q510" s="151"/>
      <c r="R510" s="250"/>
      <c r="S510" s="250"/>
      <c r="T510" s="250"/>
      <c r="U510" s="250"/>
      <c r="V510" s="250"/>
      <c r="W510" s="250"/>
      <c r="X510" s="250"/>
      <c r="Y510" s="250"/>
      <c r="Z510" s="250"/>
      <c r="AA510" s="250"/>
      <c r="AB510" s="250"/>
      <c r="AC510" s="250"/>
      <c r="AD510" s="250"/>
      <c r="AE510" s="250"/>
      <c r="AF510" s="250"/>
      <c r="AG510" s="250"/>
      <c r="AH510" s="250"/>
      <c r="AI510" s="250"/>
      <c r="AJ510" s="250"/>
      <c r="AK510" s="250"/>
      <c r="AL510" s="250"/>
      <c r="AM510" s="250"/>
      <c r="AN510" s="250"/>
      <c r="AO510" s="250"/>
      <c r="AP510" s="250"/>
      <c r="AQ510" s="250"/>
      <c r="AR510" s="250"/>
      <c r="AS510" s="250"/>
      <c r="AT510" s="250"/>
      <c r="AU510" s="250"/>
      <c r="AV510" s="124"/>
    </row>
    <row r="511" spans="2:65" ht="15" x14ac:dyDescent="0.2">
      <c r="B511" s="250"/>
      <c r="C511" s="149"/>
      <c r="D511" s="158"/>
      <c r="E511" s="156"/>
      <c r="F511" s="156"/>
      <c r="G511" s="158"/>
      <c r="H511" s="158"/>
      <c r="I511" s="158"/>
      <c r="J511" s="158"/>
      <c r="K511" s="158"/>
      <c r="L511" s="158"/>
      <c r="M511" s="158"/>
      <c r="N511" s="158"/>
      <c r="O511" s="158"/>
      <c r="P511" s="158"/>
      <c r="Q511" s="151"/>
      <c r="R511" s="250"/>
      <c r="S511" s="250"/>
      <c r="T511" s="250"/>
      <c r="U511" s="250"/>
      <c r="V511" s="250"/>
      <c r="W511" s="250"/>
      <c r="X511" s="250"/>
      <c r="Y511" s="250"/>
      <c r="Z511" s="250"/>
      <c r="AA511" s="250"/>
      <c r="AB511" s="250"/>
      <c r="AC511" s="250"/>
      <c r="AD511" s="250"/>
      <c r="AE511" s="250"/>
      <c r="AF511" s="250"/>
      <c r="AG511" s="250"/>
      <c r="AH511" s="250"/>
      <c r="AI511" s="250"/>
      <c r="AJ511" s="250"/>
      <c r="AK511" s="250"/>
      <c r="AL511" s="250"/>
      <c r="AM511" s="250"/>
      <c r="AN511" s="250"/>
      <c r="AO511" s="250"/>
      <c r="AP511" s="250"/>
      <c r="AQ511" s="250"/>
      <c r="AR511" s="250"/>
      <c r="AS511" s="250"/>
      <c r="AT511" s="250"/>
      <c r="AU511" s="250"/>
      <c r="AV511" s="124"/>
    </row>
    <row r="512" spans="2:65" ht="15" x14ac:dyDescent="0.2">
      <c r="B512" s="250"/>
      <c r="C512" s="149"/>
      <c r="D512" s="158"/>
      <c r="E512" s="156"/>
      <c r="F512" s="156"/>
      <c r="G512" s="158"/>
      <c r="H512" s="158"/>
      <c r="I512" s="158"/>
      <c r="J512" s="158"/>
      <c r="K512" s="158"/>
      <c r="L512" s="158"/>
      <c r="M512" s="158"/>
      <c r="N512" s="158"/>
      <c r="O512" s="158"/>
      <c r="P512" s="158"/>
      <c r="Q512" s="151"/>
      <c r="R512" s="250"/>
      <c r="S512" s="250"/>
      <c r="T512" s="250"/>
      <c r="U512" s="250"/>
      <c r="V512" s="250"/>
      <c r="W512" s="250"/>
      <c r="X512" s="250"/>
      <c r="Y512" s="250"/>
      <c r="Z512" s="250"/>
      <c r="AA512" s="250"/>
      <c r="AB512" s="250"/>
      <c r="AC512" s="250"/>
      <c r="AD512" s="250"/>
      <c r="AE512" s="250"/>
      <c r="AF512" s="250"/>
      <c r="AG512" s="250"/>
      <c r="AH512" s="250"/>
      <c r="AI512" s="250"/>
      <c r="AJ512" s="250"/>
      <c r="AK512" s="250"/>
      <c r="AL512" s="250"/>
      <c r="AM512" s="250"/>
      <c r="AN512" s="250"/>
      <c r="AO512" s="250"/>
      <c r="AP512" s="250"/>
      <c r="AQ512" s="250"/>
      <c r="AR512" s="250"/>
      <c r="AS512" s="250"/>
      <c r="AT512" s="250"/>
      <c r="AU512" s="250"/>
      <c r="AV512" s="124"/>
    </row>
    <row r="513" spans="2:48" ht="15" x14ac:dyDescent="0.2">
      <c r="B513" s="250"/>
      <c r="C513" s="149"/>
      <c r="D513" s="158"/>
      <c r="E513" s="156"/>
      <c r="F513" s="156"/>
      <c r="G513" s="158"/>
      <c r="H513" s="158"/>
      <c r="I513" s="158"/>
      <c r="J513" s="158"/>
      <c r="K513" s="158"/>
      <c r="L513" s="158"/>
      <c r="M513" s="158"/>
      <c r="N513" s="158"/>
      <c r="O513" s="158"/>
      <c r="P513" s="158"/>
      <c r="Q513" s="151"/>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c r="AN513" s="250"/>
      <c r="AO513" s="250"/>
      <c r="AP513" s="250"/>
      <c r="AQ513" s="250"/>
      <c r="AR513" s="250"/>
      <c r="AS513" s="250"/>
      <c r="AT513" s="250"/>
      <c r="AU513" s="250"/>
      <c r="AV513" s="124"/>
    </row>
    <row r="514" spans="2:48" ht="15" x14ac:dyDescent="0.2">
      <c r="B514" s="250"/>
      <c r="C514" s="149"/>
      <c r="D514" s="158"/>
      <c r="E514" s="156"/>
      <c r="F514" s="156"/>
      <c r="G514" s="158"/>
      <c r="H514" s="158"/>
      <c r="I514" s="158"/>
      <c r="J514" s="158"/>
      <c r="K514" s="158"/>
      <c r="L514" s="158"/>
      <c r="M514" s="158"/>
      <c r="N514" s="158"/>
      <c r="O514" s="158"/>
      <c r="P514" s="158"/>
      <c r="Q514" s="151"/>
      <c r="R514" s="250"/>
      <c r="S514" s="250"/>
      <c r="T514" s="250"/>
      <c r="U514" s="250"/>
      <c r="V514" s="250"/>
      <c r="W514" s="250"/>
      <c r="X514" s="250"/>
      <c r="Y514" s="250"/>
      <c r="Z514" s="250"/>
      <c r="AA514" s="250"/>
      <c r="AB514" s="250"/>
      <c r="AC514" s="250"/>
      <c r="AD514" s="250"/>
      <c r="AE514" s="250"/>
      <c r="AF514" s="250"/>
      <c r="AG514" s="250"/>
      <c r="AH514" s="250"/>
      <c r="AI514" s="250"/>
      <c r="AJ514" s="250"/>
      <c r="AK514" s="250"/>
      <c r="AL514" s="250"/>
      <c r="AM514" s="250"/>
      <c r="AN514" s="250"/>
      <c r="AO514" s="250"/>
      <c r="AP514" s="250"/>
      <c r="AQ514" s="250"/>
      <c r="AR514" s="250"/>
      <c r="AS514" s="250"/>
      <c r="AT514" s="250"/>
      <c r="AU514" s="250"/>
      <c r="AV514" s="124"/>
    </row>
    <row r="515" spans="2:48" ht="15" x14ac:dyDescent="0.2">
      <c r="B515" s="250"/>
      <c r="C515" s="149"/>
      <c r="D515" s="158"/>
      <c r="E515" s="156"/>
      <c r="F515" s="156"/>
      <c r="G515" s="158"/>
      <c r="H515" s="158"/>
      <c r="I515" s="158"/>
      <c r="J515" s="158"/>
      <c r="K515" s="158"/>
      <c r="L515" s="158"/>
      <c r="M515" s="158"/>
      <c r="N515" s="158"/>
      <c r="O515" s="158"/>
      <c r="P515" s="158"/>
      <c r="Q515" s="151"/>
      <c r="R515" s="250"/>
      <c r="S515" s="250"/>
      <c r="T515" s="250"/>
      <c r="U515" s="250"/>
      <c r="V515" s="250"/>
      <c r="W515" s="250"/>
      <c r="X515" s="250"/>
      <c r="Y515" s="250"/>
      <c r="Z515" s="250"/>
      <c r="AA515" s="250"/>
      <c r="AB515" s="250"/>
      <c r="AC515" s="250"/>
      <c r="AD515" s="250"/>
      <c r="AE515" s="250"/>
      <c r="AF515" s="250"/>
      <c r="AG515" s="250"/>
      <c r="AH515" s="250"/>
      <c r="AI515" s="250"/>
      <c r="AJ515" s="250"/>
      <c r="AK515" s="250"/>
      <c r="AL515" s="250"/>
      <c r="AM515" s="250"/>
      <c r="AN515" s="250"/>
      <c r="AO515" s="250"/>
      <c r="AP515" s="250"/>
      <c r="AQ515" s="250"/>
      <c r="AR515" s="250"/>
      <c r="AS515" s="250"/>
      <c r="AT515" s="250"/>
      <c r="AU515" s="250"/>
      <c r="AV515" s="124"/>
    </row>
    <row r="516" spans="2:48" ht="15" x14ac:dyDescent="0.2">
      <c r="B516" s="250"/>
      <c r="C516" s="149"/>
      <c r="D516" s="158"/>
      <c r="E516" s="156"/>
      <c r="F516" s="156"/>
      <c r="G516" s="158"/>
      <c r="H516" s="158"/>
      <c r="I516" s="158"/>
      <c r="J516" s="158"/>
      <c r="K516" s="158"/>
      <c r="L516" s="158"/>
      <c r="M516" s="158"/>
      <c r="N516" s="158"/>
      <c r="O516" s="158"/>
      <c r="P516" s="158"/>
      <c r="Q516" s="151"/>
      <c r="R516" s="250"/>
      <c r="S516" s="250"/>
      <c r="T516" s="250"/>
      <c r="U516" s="250"/>
      <c r="V516" s="250"/>
      <c r="W516" s="250"/>
      <c r="X516" s="250"/>
      <c r="Y516" s="250"/>
      <c r="Z516" s="250"/>
      <c r="AA516" s="250"/>
      <c r="AB516" s="250"/>
      <c r="AC516" s="250"/>
      <c r="AD516" s="250"/>
      <c r="AE516" s="250"/>
      <c r="AF516" s="250"/>
      <c r="AG516" s="250"/>
      <c r="AH516" s="250"/>
      <c r="AI516" s="250"/>
      <c r="AJ516" s="250"/>
      <c r="AK516" s="250"/>
      <c r="AL516" s="250"/>
      <c r="AM516" s="250"/>
      <c r="AN516" s="250"/>
      <c r="AO516" s="250"/>
      <c r="AP516" s="250"/>
      <c r="AQ516" s="250"/>
      <c r="AR516" s="250"/>
      <c r="AS516" s="250"/>
      <c r="AT516" s="250"/>
      <c r="AU516" s="250"/>
      <c r="AV516" s="124"/>
    </row>
    <row r="517" spans="2:48" ht="15" x14ac:dyDescent="0.2">
      <c r="B517" s="250"/>
      <c r="C517" s="149"/>
      <c r="D517" s="158"/>
      <c r="E517" s="156"/>
      <c r="F517" s="156"/>
      <c r="G517" s="158"/>
      <c r="H517" s="158"/>
      <c r="I517" s="158"/>
      <c r="J517" s="158"/>
      <c r="K517" s="158"/>
      <c r="L517" s="158"/>
      <c r="M517" s="158"/>
      <c r="N517" s="158"/>
      <c r="O517" s="158"/>
      <c r="P517" s="158"/>
      <c r="Q517" s="151"/>
      <c r="R517" s="250"/>
      <c r="S517" s="250"/>
      <c r="T517" s="250"/>
      <c r="U517" s="250"/>
      <c r="V517" s="250"/>
      <c r="W517" s="250"/>
      <c r="X517" s="250"/>
      <c r="Y517" s="250"/>
      <c r="Z517" s="250"/>
      <c r="AA517" s="250"/>
      <c r="AB517" s="250"/>
      <c r="AC517" s="250"/>
      <c r="AD517" s="250"/>
      <c r="AE517" s="250"/>
      <c r="AF517" s="250"/>
      <c r="AG517" s="250"/>
      <c r="AH517" s="250"/>
      <c r="AI517" s="250"/>
      <c r="AJ517" s="250"/>
      <c r="AK517" s="250"/>
      <c r="AL517" s="250"/>
      <c r="AM517" s="250"/>
      <c r="AN517" s="250"/>
      <c r="AO517" s="250"/>
      <c r="AP517" s="250"/>
      <c r="AQ517" s="250"/>
      <c r="AR517" s="250"/>
      <c r="AS517" s="250"/>
      <c r="AT517" s="250"/>
      <c r="AU517" s="250"/>
      <c r="AV517" s="124"/>
    </row>
    <row r="518" spans="2:48" ht="15" x14ac:dyDescent="0.2">
      <c r="B518" s="250"/>
      <c r="C518" s="149"/>
      <c r="D518" s="158"/>
      <c r="E518" s="156"/>
      <c r="F518" s="156"/>
      <c r="G518" s="158"/>
      <c r="H518" s="158"/>
      <c r="I518" s="158"/>
      <c r="J518" s="158"/>
      <c r="K518" s="158"/>
      <c r="L518" s="158"/>
      <c r="M518" s="158"/>
      <c r="N518" s="158"/>
      <c r="O518" s="158"/>
      <c r="P518" s="158"/>
      <c r="Q518" s="151"/>
      <c r="R518" s="250"/>
      <c r="S518" s="250"/>
      <c r="T518" s="250"/>
      <c r="U518" s="250"/>
      <c r="V518" s="250"/>
      <c r="W518" s="250"/>
      <c r="X518" s="250"/>
      <c r="Y518" s="250"/>
      <c r="Z518" s="250"/>
      <c r="AA518" s="250"/>
      <c r="AB518" s="250"/>
      <c r="AC518" s="250"/>
      <c r="AD518" s="250"/>
      <c r="AE518" s="250"/>
      <c r="AF518" s="250"/>
      <c r="AG518" s="250"/>
      <c r="AH518" s="250"/>
      <c r="AI518" s="250"/>
      <c r="AJ518" s="250"/>
      <c r="AK518" s="250"/>
      <c r="AL518" s="250"/>
      <c r="AM518" s="250"/>
      <c r="AN518" s="250"/>
      <c r="AO518" s="250"/>
      <c r="AP518" s="250"/>
      <c r="AQ518" s="250"/>
      <c r="AR518" s="250"/>
      <c r="AS518" s="250"/>
      <c r="AT518" s="250"/>
      <c r="AU518" s="250"/>
      <c r="AV518" s="124"/>
    </row>
    <row r="519" spans="2:48" ht="15" x14ac:dyDescent="0.2">
      <c r="B519" s="250"/>
      <c r="C519" s="149"/>
      <c r="D519" s="158"/>
      <c r="E519" s="156"/>
      <c r="F519" s="156"/>
      <c r="G519" s="158"/>
      <c r="H519" s="158"/>
      <c r="I519" s="158"/>
      <c r="J519" s="158"/>
      <c r="K519" s="158"/>
      <c r="L519" s="158"/>
      <c r="M519" s="158"/>
      <c r="N519" s="158"/>
      <c r="O519" s="158"/>
      <c r="P519" s="158"/>
      <c r="Q519" s="151"/>
      <c r="R519" s="250"/>
      <c r="S519" s="250"/>
      <c r="T519" s="250"/>
      <c r="U519" s="250"/>
      <c r="V519" s="250"/>
      <c r="W519" s="250"/>
      <c r="X519" s="250"/>
      <c r="Y519" s="250"/>
      <c r="Z519" s="250"/>
      <c r="AA519" s="250"/>
      <c r="AB519" s="250"/>
      <c r="AC519" s="250"/>
      <c r="AD519" s="250"/>
      <c r="AE519" s="250"/>
      <c r="AF519" s="250"/>
      <c r="AG519" s="250"/>
      <c r="AH519" s="250"/>
      <c r="AI519" s="250"/>
      <c r="AJ519" s="250"/>
      <c r="AK519" s="250"/>
      <c r="AL519" s="250"/>
      <c r="AM519" s="250"/>
      <c r="AN519" s="250"/>
      <c r="AO519" s="250"/>
      <c r="AP519" s="250"/>
      <c r="AQ519" s="250"/>
      <c r="AR519" s="250"/>
      <c r="AS519" s="250"/>
      <c r="AT519" s="250"/>
      <c r="AU519" s="250"/>
      <c r="AV519" s="124"/>
    </row>
    <row r="520" spans="2:48" ht="15" x14ac:dyDescent="0.2">
      <c r="B520" s="250"/>
      <c r="C520" s="149"/>
      <c r="D520" s="158"/>
      <c r="E520" s="156"/>
      <c r="F520" s="156"/>
      <c r="G520" s="158"/>
      <c r="H520" s="158"/>
      <c r="I520" s="158"/>
      <c r="J520" s="158"/>
      <c r="K520" s="158"/>
      <c r="L520" s="158"/>
      <c r="M520" s="158"/>
      <c r="N520" s="158"/>
      <c r="O520" s="158"/>
      <c r="P520" s="158"/>
      <c r="Q520" s="151"/>
      <c r="R520" s="250"/>
      <c r="S520" s="250"/>
      <c r="T520" s="250"/>
      <c r="U520" s="250"/>
      <c r="V520" s="250"/>
      <c r="W520" s="250"/>
      <c r="X520" s="250"/>
      <c r="Y520" s="250"/>
      <c r="Z520" s="250"/>
      <c r="AA520" s="250"/>
      <c r="AB520" s="250"/>
      <c r="AC520" s="250"/>
      <c r="AD520" s="250"/>
      <c r="AE520" s="250"/>
      <c r="AF520" s="250"/>
      <c r="AG520" s="250"/>
      <c r="AH520" s="250"/>
      <c r="AI520" s="250"/>
      <c r="AJ520" s="250"/>
      <c r="AK520" s="250"/>
      <c r="AL520" s="250"/>
      <c r="AM520" s="250"/>
      <c r="AN520" s="250"/>
      <c r="AO520" s="250"/>
      <c r="AP520" s="250"/>
      <c r="AQ520" s="250"/>
      <c r="AR520" s="250"/>
      <c r="AS520" s="250"/>
      <c r="AT520" s="250"/>
      <c r="AU520" s="250"/>
      <c r="AV520" s="124"/>
    </row>
    <row r="521" spans="2:48" ht="15" x14ac:dyDescent="0.2">
      <c r="B521" s="250"/>
      <c r="C521" s="149"/>
      <c r="D521" s="158"/>
      <c r="E521" s="156"/>
      <c r="F521" s="156"/>
      <c r="G521" s="158"/>
      <c r="H521" s="158"/>
      <c r="I521" s="158"/>
      <c r="J521" s="158"/>
      <c r="K521" s="158"/>
      <c r="L521" s="158"/>
      <c r="M521" s="158"/>
      <c r="N521" s="158"/>
      <c r="O521" s="158"/>
      <c r="P521" s="158"/>
      <c r="Q521" s="151"/>
      <c r="R521" s="250"/>
      <c r="S521" s="250"/>
      <c r="T521" s="250"/>
      <c r="U521" s="250"/>
      <c r="V521" s="250"/>
      <c r="W521" s="250"/>
      <c r="X521" s="250"/>
      <c r="Y521" s="250"/>
      <c r="Z521" s="250"/>
      <c r="AA521" s="250"/>
      <c r="AB521" s="250"/>
      <c r="AC521" s="250"/>
      <c r="AD521" s="250"/>
      <c r="AE521" s="250"/>
      <c r="AF521" s="250"/>
      <c r="AG521" s="250"/>
      <c r="AH521" s="250"/>
      <c r="AI521" s="250"/>
      <c r="AJ521" s="250"/>
      <c r="AK521" s="250"/>
      <c r="AL521" s="250"/>
      <c r="AM521" s="250"/>
      <c r="AN521" s="250"/>
      <c r="AO521" s="250"/>
      <c r="AP521" s="250"/>
      <c r="AQ521" s="250"/>
      <c r="AR521" s="250"/>
      <c r="AS521" s="250"/>
      <c r="AT521" s="250"/>
      <c r="AU521" s="250"/>
      <c r="AV521" s="124"/>
    </row>
    <row r="522" spans="2:48" ht="15" x14ac:dyDescent="0.2">
      <c r="B522" s="250"/>
      <c r="C522" s="149"/>
      <c r="D522" s="158"/>
      <c r="E522" s="156"/>
      <c r="F522" s="156"/>
      <c r="G522" s="158"/>
      <c r="H522" s="158"/>
      <c r="I522" s="158"/>
      <c r="J522" s="158"/>
      <c r="K522" s="158"/>
      <c r="L522" s="158"/>
      <c r="M522" s="158"/>
      <c r="N522" s="158"/>
      <c r="O522" s="158"/>
      <c r="P522" s="158"/>
      <c r="Q522" s="151"/>
      <c r="R522" s="250"/>
      <c r="S522" s="250"/>
      <c r="T522" s="250"/>
      <c r="U522" s="250"/>
      <c r="V522" s="250"/>
      <c r="W522" s="250"/>
      <c r="X522" s="250"/>
      <c r="Y522" s="250"/>
      <c r="Z522" s="250"/>
      <c r="AA522" s="250"/>
      <c r="AB522" s="250"/>
      <c r="AC522" s="250"/>
      <c r="AD522" s="250"/>
      <c r="AE522" s="250"/>
      <c r="AF522" s="250"/>
      <c r="AG522" s="250"/>
      <c r="AH522" s="250"/>
      <c r="AI522" s="250"/>
      <c r="AJ522" s="250"/>
      <c r="AK522" s="250"/>
      <c r="AL522" s="250"/>
      <c r="AM522" s="250"/>
      <c r="AN522" s="250"/>
      <c r="AO522" s="250"/>
      <c r="AP522" s="250"/>
      <c r="AQ522" s="250"/>
      <c r="AR522" s="250"/>
      <c r="AS522" s="250"/>
      <c r="AT522" s="250"/>
      <c r="AU522" s="250"/>
      <c r="AV522" s="124"/>
    </row>
    <row r="523" spans="2:48" ht="15" x14ac:dyDescent="0.2">
      <c r="B523" s="250"/>
      <c r="C523" s="1093"/>
      <c r="D523" s="1094"/>
      <c r="E523" s="1095"/>
      <c r="F523" s="1095"/>
      <c r="G523" s="1094"/>
      <c r="H523" s="1094"/>
      <c r="I523" s="1094"/>
      <c r="J523" s="1094"/>
      <c r="K523" s="1094"/>
      <c r="L523" s="1094"/>
      <c r="M523" s="1094"/>
      <c r="N523" s="1094"/>
      <c r="O523" s="1094"/>
      <c r="P523" s="1094"/>
      <c r="Q523" s="1096"/>
      <c r="R523" s="250"/>
      <c r="S523" s="250"/>
      <c r="T523" s="250"/>
      <c r="U523" s="250"/>
      <c r="V523" s="250"/>
      <c r="W523" s="250"/>
      <c r="X523" s="250"/>
      <c r="Y523" s="250"/>
      <c r="Z523" s="250"/>
      <c r="AA523" s="250"/>
      <c r="AB523" s="250"/>
      <c r="AC523" s="250"/>
      <c r="AD523" s="250"/>
      <c r="AE523" s="250"/>
      <c r="AF523" s="250"/>
      <c r="AG523" s="250"/>
      <c r="AH523" s="250"/>
      <c r="AI523" s="250"/>
      <c r="AJ523" s="250"/>
      <c r="AK523" s="250"/>
      <c r="AL523" s="250"/>
      <c r="AM523" s="250"/>
      <c r="AN523" s="250"/>
      <c r="AO523" s="250"/>
      <c r="AP523" s="250"/>
      <c r="AQ523" s="250"/>
      <c r="AR523" s="250"/>
      <c r="AS523" s="250"/>
      <c r="AT523" s="250"/>
      <c r="AU523" s="250"/>
      <c r="AV523" s="124"/>
    </row>
    <row r="524" spans="2:48" ht="15" x14ac:dyDescent="0.2">
      <c r="B524" s="250"/>
      <c r="C524" s="150"/>
      <c r="D524" s="158"/>
      <c r="E524" s="156"/>
      <c r="F524" s="156"/>
      <c r="G524" s="158"/>
      <c r="H524" s="158"/>
      <c r="I524" s="158"/>
      <c r="J524" s="158"/>
      <c r="K524" s="158"/>
      <c r="L524" s="158"/>
      <c r="M524" s="158"/>
      <c r="N524" s="158"/>
      <c r="O524" s="158"/>
      <c r="P524" s="158"/>
      <c r="Q524" s="150"/>
      <c r="R524" s="250"/>
      <c r="S524" s="250"/>
      <c r="T524" s="250"/>
      <c r="U524" s="250"/>
      <c r="V524" s="250"/>
      <c r="W524" s="250"/>
      <c r="X524" s="250"/>
      <c r="Y524" s="250"/>
      <c r="Z524" s="250"/>
      <c r="AA524" s="250"/>
      <c r="AB524" s="250"/>
      <c r="AC524" s="250"/>
      <c r="AD524" s="250"/>
      <c r="AE524" s="250"/>
      <c r="AF524" s="250"/>
      <c r="AG524" s="250"/>
      <c r="AH524" s="250"/>
      <c r="AI524" s="250"/>
      <c r="AJ524" s="250"/>
      <c r="AK524" s="250"/>
      <c r="AL524" s="250"/>
      <c r="AM524" s="250"/>
      <c r="AN524" s="250"/>
      <c r="AO524" s="250"/>
      <c r="AP524" s="250"/>
      <c r="AQ524" s="250"/>
      <c r="AR524" s="250"/>
      <c r="AS524" s="250"/>
      <c r="AT524" s="250"/>
      <c r="AU524" s="250"/>
      <c r="AV524" s="124"/>
    </row>
    <row r="525" spans="2:48" ht="15" x14ac:dyDescent="0.2">
      <c r="B525" s="250"/>
      <c r="C525" s="150"/>
      <c r="D525" s="158"/>
      <c r="E525" s="156"/>
      <c r="F525" s="156"/>
      <c r="G525" s="158"/>
      <c r="H525" s="158"/>
      <c r="I525" s="158"/>
      <c r="J525" s="158"/>
      <c r="K525" s="158"/>
      <c r="L525" s="158"/>
      <c r="M525" s="158"/>
      <c r="N525" s="158"/>
      <c r="O525" s="158"/>
      <c r="P525" s="158"/>
      <c r="Q525" s="150"/>
      <c r="R525" s="250"/>
      <c r="S525" s="250"/>
      <c r="T525" s="250"/>
      <c r="U525" s="250"/>
      <c r="V525" s="250"/>
      <c r="W525" s="250"/>
      <c r="X525" s="250"/>
      <c r="Y525" s="250"/>
      <c r="Z525" s="250"/>
      <c r="AA525" s="250"/>
      <c r="AB525" s="250"/>
      <c r="AC525" s="250"/>
      <c r="AD525" s="250"/>
      <c r="AE525" s="250"/>
      <c r="AF525" s="250"/>
      <c r="AG525" s="250"/>
      <c r="AH525" s="250"/>
      <c r="AI525" s="250"/>
      <c r="AJ525" s="250"/>
      <c r="AK525" s="250"/>
      <c r="AL525" s="250"/>
      <c r="AM525" s="250"/>
      <c r="AN525" s="250"/>
      <c r="AO525" s="250"/>
      <c r="AP525" s="250"/>
      <c r="AQ525" s="250"/>
      <c r="AR525" s="250"/>
      <c r="AS525" s="250"/>
      <c r="AT525" s="250"/>
      <c r="AU525" s="250"/>
      <c r="AV525" s="124"/>
    </row>
    <row r="526" spans="2:48" ht="15" x14ac:dyDescent="0.2">
      <c r="B526" s="250"/>
      <c r="C526" s="150"/>
      <c r="D526" s="158"/>
      <c r="E526" s="156"/>
      <c r="F526" s="156"/>
      <c r="G526" s="158"/>
      <c r="H526" s="158"/>
      <c r="I526" s="158"/>
      <c r="J526" s="158"/>
      <c r="K526" s="158"/>
      <c r="L526" s="158"/>
      <c r="M526" s="158"/>
      <c r="N526" s="158"/>
      <c r="O526" s="158"/>
      <c r="P526" s="158"/>
      <c r="Q526" s="150"/>
      <c r="R526" s="250"/>
      <c r="S526" s="250"/>
      <c r="T526" s="250"/>
      <c r="U526" s="250"/>
      <c r="V526" s="250"/>
      <c r="W526" s="250"/>
      <c r="X526" s="250"/>
      <c r="Y526" s="250"/>
      <c r="Z526" s="250"/>
      <c r="AA526" s="250"/>
      <c r="AB526" s="250"/>
      <c r="AC526" s="250"/>
      <c r="AD526" s="250"/>
      <c r="AE526" s="250"/>
      <c r="AF526" s="250"/>
      <c r="AG526" s="250"/>
      <c r="AH526" s="250"/>
      <c r="AI526" s="250"/>
      <c r="AJ526" s="250"/>
      <c r="AK526" s="250"/>
      <c r="AL526" s="250"/>
      <c r="AM526" s="250"/>
      <c r="AN526" s="250"/>
      <c r="AO526" s="250"/>
      <c r="AP526" s="250"/>
      <c r="AQ526" s="250"/>
      <c r="AR526" s="250"/>
      <c r="AS526" s="250"/>
      <c r="AT526" s="250"/>
      <c r="AU526" s="250"/>
      <c r="AV526" s="124"/>
    </row>
    <row r="527" spans="2:48" ht="15" x14ac:dyDescent="0.2">
      <c r="B527" s="250"/>
      <c r="C527" s="150"/>
      <c r="D527" s="158"/>
      <c r="E527" s="156"/>
      <c r="F527" s="156"/>
      <c r="G527" s="158"/>
      <c r="H527" s="158"/>
      <c r="I527" s="158"/>
      <c r="J527" s="158"/>
      <c r="K527" s="158"/>
      <c r="L527" s="158"/>
      <c r="M527" s="158"/>
      <c r="N527" s="158"/>
      <c r="O527" s="158"/>
      <c r="P527" s="158"/>
      <c r="Q527" s="150"/>
      <c r="R527" s="250"/>
      <c r="S527" s="250"/>
      <c r="T527" s="250"/>
      <c r="U527" s="250"/>
      <c r="V527" s="250"/>
      <c r="W527" s="250"/>
      <c r="X527" s="250"/>
      <c r="Y527" s="250"/>
      <c r="Z527" s="250"/>
      <c r="AA527" s="250"/>
      <c r="AB527" s="250"/>
      <c r="AC527" s="250"/>
      <c r="AD527" s="250"/>
      <c r="AE527" s="250"/>
      <c r="AF527" s="250"/>
      <c r="AG527" s="250"/>
      <c r="AH527" s="250"/>
      <c r="AI527" s="250"/>
      <c r="AJ527" s="250"/>
      <c r="AK527" s="250"/>
      <c r="AL527" s="250"/>
      <c r="AM527" s="250"/>
      <c r="AN527" s="250"/>
      <c r="AO527" s="250"/>
      <c r="AP527" s="250"/>
      <c r="AQ527" s="250"/>
      <c r="AR527" s="250"/>
      <c r="AS527" s="250"/>
      <c r="AT527" s="250"/>
      <c r="AU527" s="250"/>
      <c r="AV527" s="124"/>
    </row>
    <row r="528" spans="2:48" ht="15" x14ac:dyDescent="0.2">
      <c r="B528" s="250"/>
      <c r="C528" s="150"/>
      <c r="D528" s="158"/>
      <c r="E528" s="156"/>
      <c r="F528" s="156"/>
      <c r="G528" s="158"/>
      <c r="H528" s="158"/>
      <c r="I528" s="158"/>
      <c r="J528" s="158"/>
      <c r="K528" s="158"/>
      <c r="L528" s="158"/>
      <c r="M528" s="158"/>
      <c r="N528" s="158"/>
      <c r="O528" s="158"/>
      <c r="P528" s="158"/>
      <c r="Q528" s="150"/>
      <c r="R528" s="250"/>
      <c r="S528" s="250"/>
      <c r="T528" s="250"/>
      <c r="U528" s="250"/>
      <c r="V528" s="250"/>
      <c r="W528" s="250"/>
      <c r="X528" s="250"/>
      <c r="Y528" s="250"/>
      <c r="Z528" s="250"/>
      <c r="AA528" s="250"/>
      <c r="AB528" s="250"/>
      <c r="AC528" s="250"/>
      <c r="AD528" s="250"/>
      <c r="AE528" s="250"/>
      <c r="AF528" s="250"/>
      <c r="AG528" s="250"/>
      <c r="AH528" s="250"/>
      <c r="AI528" s="250"/>
      <c r="AJ528" s="250"/>
      <c r="AK528" s="250"/>
      <c r="AL528" s="250"/>
      <c r="AM528" s="250"/>
      <c r="AN528" s="250"/>
      <c r="AO528" s="250"/>
      <c r="AP528" s="250"/>
      <c r="AQ528" s="250"/>
      <c r="AR528" s="250"/>
      <c r="AS528" s="250"/>
      <c r="AT528" s="250"/>
      <c r="AU528" s="250"/>
      <c r="AV528" s="124"/>
    </row>
    <row r="529" spans="2:48" ht="15" x14ac:dyDescent="0.2">
      <c r="B529" s="250"/>
      <c r="C529" s="150"/>
      <c r="D529" s="158"/>
      <c r="E529" s="156"/>
      <c r="F529" s="156"/>
      <c r="G529" s="158"/>
      <c r="H529" s="158"/>
      <c r="I529" s="158"/>
      <c r="J529" s="158"/>
      <c r="K529" s="158"/>
      <c r="L529" s="158"/>
      <c r="M529" s="158"/>
      <c r="N529" s="158"/>
      <c r="O529" s="158"/>
      <c r="P529" s="158"/>
      <c r="Q529" s="150"/>
      <c r="R529" s="250"/>
      <c r="S529" s="250"/>
      <c r="T529" s="250"/>
      <c r="U529" s="250"/>
      <c r="V529" s="250"/>
      <c r="W529" s="250"/>
      <c r="X529" s="250"/>
      <c r="Y529" s="250"/>
      <c r="Z529" s="250"/>
      <c r="AA529" s="250"/>
      <c r="AB529" s="250"/>
      <c r="AC529" s="250"/>
      <c r="AD529" s="250"/>
      <c r="AE529" s="250"/>
      <c r="AF529" s="250"/>
      <c r="AG529" s="250"/>
      <c r="AH529" s="250"/>
      <c r="AI529" s="250"/>
      <c r="AJ529" s="250"/>
      <c r="AK529" s="250"/>
      <c r="AL529" s="250"/>
      <c r="AM529" s="250"/>
      <c r="AN529" s="250"/>
      <c r="AO529" s="250"/>
      <c r="AP529" s="250"/>
      <c r="AQ529" s="250"/>
      <c r="AR529" s="250"/>
      <c r="AS529" s="250"/>
      <c r="AT529" s="250"/>
      <c r="AU529" s="250"/>
      <c r="AV529" s="124"/>
    </row>
    <row r="530" spans="2:48" ht="15" x14ac:dyDescent="0.2">
      <c r="B530" s="250"/>
      <c r="C530" s="150"/>
      <c r="D530" s="158"/>
      <c r="E530" s="156"/>
      <c r="F530" s="156"/>
      <c r="G530" s="158"/>
      <c r="H530" s="158"/>
      <c r="I530" s="158"/>
      <c r="J530" s="158"/>
      <c r="K530" s="158"/>
      <c r="L530" s="158"/>
      <c r="M530" s="158"/>
      <c r="N530" s="158"/>
      <c r="O530" s="158"/>
      <c r="P530" s="158"/>
      <c r="Q530" s="150"/>
      <c r="R530" s="250"/>
      <c r="S530" s="250"/>
      <c r="T530" s="250"/>
      <c r="U530" s="250"/>
      <c r="V530" s="250"/>
      <c r="W530" s="250"/>
      <c r="X530" s="250"/>
      <c r="Y530" s="250"/>
      <c r="Z530" s="250"/>
      <c r="AA530" s="250"/>
      <c r="AB530" s="250"/>
      <c r="AC530" s="250"/>
      <c r="AD530" s="250"/>
      <c r="AE530" s="250"/>
      <c r="AF530" s="250"/>
      <c r="AG530" s="250"/>
      <c r="AH530" s="250"/>
      <c r="AI530" s="250"/>
      <c r="AJ530" s="250"/>
      <c r="AK530" s="250"/>
      <c r="AL530" s="250"/>
      <c r="AM530" s="250"/>
      <c r="AN530" s="250"/>
      <c r="AO530" s="250"/>
      <c r="AP530" s="250"/>
      <c r="AQ530" s="250"/>
      <c r="AR530" s="250"/>
      <c r="AS530" s="250"/>
      <c r="AT530" s="250"/>
      <c r="AU530" s="250"/>
      <c r="AV530" s="124"/>
    </row>
    <row r="531" spans="2:48" ht="15" x14ac:dyDescent="0.2">
      <c r="B531" s="250"/>
      <c r="C531" s="150"/>
      <c r="D531" s="158"/>
      <c r="E531" s="156"/>
      <c r="F531" s="156"/>
      <c r="G531" s="158"/>
      <c r="H531" s="158"/>
      <c r="I531" s="158"/>
      <c r="J531" s="158"/>
      <c r="K531" s="158"/>
      <c r="L531" s="158"/>
      <c r="M531" s="158"/>
      <c r="N531" s="158"/>
      <c r="O531" s="158"/>
      <c r="P531" s="158"/>
      <c r="Q531" s="150"/>
      <c r="R531" s="250"/>
      <c r="S531" s="250"/>
      <c r="T531" s="250"/>
      <c r="U531" s="250"/>
      <c r="V531" s="250"/>
      <c r="W531" s="250"/>
      <c r="X531" s="250"/>
      <c r="Y531" s="250"/>
      <c r="Z531" s="250"/>
      <c r="AA531" s="250"/>
      <c r="AB531" s="250"/>
      <c r="AC531" s="250"/>
      <c r="AD531" s="250"/>
      <c r="AE531" s="250"/>
      <c r="AF531" s="250"/>
      <c r="AG531" s="250"/>
      <c r="AH531" s="250"/>
      <c r="AI531" s="250"/>
      <c r="AJ531" s="250"/>
      <c r="AK531" s="250"/>
      <c r="AL531" s="250"/>
      <c r="AM531" s="250"/>
      <c r="AN531" s="250"/>
      <c r="AO531" s="250"/>
      <c r="AP531" s="250"/>
      <c r="AQ531" s="250"/>
      <c r="AR531" s="250"/>
      <c r="AS531" s="250"/>
      <c r="AT531" s="250"/>
      <c r="AU531" s="250"/>
      <c r="AV531" s="124"/>
    </row>
    <row r="532" spans="2:48" ht="15" x14ac:dyDescent="0.2">
      <c r="B532" s="250"/>
      <c r="C532" s="150"/>
      <c r="D532" s="158"/>
      <c r="E532" s="156"/>
      <c r="F532" s="156"/>
      <c r="G532" s="158"/>
      <c r="H532" s="158"/>
      <c r="I532" s="158"/>
      <c r="J532" s="158"/>
      <c r="K532" s="158"/>
      <c r="L532" s="158"/>
      <c r="M532" s="158"/>
      <c r="N532" s="158"/>
      <c r="O532" s="158"/>
      <c r="P532" s="158"/>
      <c r="Q532" s="150"/>
      <c r="R532" s="250"/>
      <c r="S532" s="250"/>
      <c r="T532" s="250"/>
      <c r="U532" s="250"/>
      <c r="V532" s="250"/>
      <c r="W532" s="250"/>
      <c r="X532" s="250"/>
      <c r="Y532" s="250"/>
      <c r="Z532" s="250"/>
      <c r="AA532" s="250"/>
      <c r="AB532" s="250"/>
      <c r="AC532" s="250"/>
      <c r="AD532" s="250"/>
      <c r="AE532" s="250"/>
      <c r="AF532" s="250"/>
      <c r="AG532" s="250"/>
      <c r="AH532" s="250"/>
      <c r="AI532" s="250"/>
      <c r="AJ532" s="250"/>
      <c r="AK532" s="250"/>
      <c r="AL532" s="250"/>
      <c r="AM532" s="250"/>
      <c r="AN532" s="250"/>
      <c r="AO532" s="250"/>
      <c r="AP532" s="250"/>
      <c r="AQ532" s="250"/>
      <c r="AR532" s="250"/>
      <c r="AS532" s="250"/>
      <c r="AT532" s="250"/>
      <c r="AU532" s="250"/>
      <c r="AV532" s="124"/>
    </row>
    <row r="533" spans="2:48" ht="15" x14ac:dyDescent="0.2">
      <c r="B533" s="250"/>
      <c r="C533" s="150"/>
      <c r="D533" s="158"/>
      <c r="E533" s="156"/>
      <c r="F533" s="156"/>
      <c r="G533" s="158"/>
      <c r="H533" s="158"/>
      <c r="I533" s="158"/>
      <c r="J533" s="158"/>
      <c r="K533" s="158"/>
      <c r="L533" s="158"/>
      <c r="M533" s="158"/>
      <c r="N533" s="158"/>
      <c r="O533" s="158"/>
      <c r="P533" s="158"/>
      <c r="Q533" s="150"/>
      <c r="R533" s="250"/>
      <c r="S533" s="250"/>
      <c r="T533" s="250"/>
      <c r="U533" s="250"/>
      <c r="V533" s="250"/>
      <c r="W533" s="250"/>
      <c r="X533" s="250"/>
      <c r="Y533" s="250"/>
      <c r="Z533" s="250"/>
      <c r="AA533" s="250"/>
      <c r="AB533" s="250"/>
      <c r="AC533" s="250"/>
      <c r="AD533" s="250"/>
      <c r="AE533" s="250"/>
      <c r="AF533" s="250"/>
      <c r="AG533" s="250"/>
      <c r="AH533" s="250"/>
      <c r="AI533" s="250"/>
      <c r="AJ533" s="250"/>
      <c r="AK533" s="250"/>
      <c r="AL533" s="250"/>
      <c r="AM533" s="250"/>
      <c r="AN533" s="250"/>
      <c r="AO533" s="250"/>
      <c r="AP533" s="250"/>
      <c r="AQ533" s="250"/>
      <c r="AR533" s="250"/>
      <c r="AS533" s="250"/>
      <c r="AT533" s="250"/>
      <c r="AU533" s="250"/>
      <c r="AV533" s="124"/>
    </row>
    <row r="534" spans="2:48" ht="15" x14ac:dyDescent="0.2">
      <c r="B534" s="250"/>
      <c r="C534" s="150"/>
      <c r="D534" s="158"/>
      <c r="E534" s="156"/>
      <c r="F534" s="156"/>
      <c r="G534" s="158"/>
      <c r="H534" s="158"/>
      <c r="I534" s="158"/>
      <c r="J534" s="158"/>
      <c r="K534" s="158"/>
      <c r="L534" s="158"/>
      <c r="M534" s="158"/>
      <c r="N534" s="158"/>
      <c r="O534" s="158"/>
      <c r="P534" s="158"/>
      <c r="Q534" s="150"/>
      <c r="R534" s="250"/>
      <c r="S534" s="250"/>
      <c r="T534" s="250"/>
      <c r="U534" s="250"/>
      <c r="V534" s="250"/>
      <c r="W534" s="250"/>
      <c r="X534" s="250"/>
      <c r="Y534" s="250"/>
      <c r="Z534" s="250"/>
      <c r="AA534" s="250"/>
      <c r="AB534" s="250"/>
      <c r="AC534" s="250"/>
      <c r="AD534" s="250"/>
      <c r="AE534" s="250"/>
      <c r="AF534" s="250"/>
      <c r="AG534" s="250"/>
      <c r="AH534" s="250"/>
      <c r="AI534" s="250"/>
      <c r="AJ534" s="250"/>
      <c r="AK534" s="250"/>
      <c r="AL534" s="250"/>
      <c r="AM534" s="250"/>
      <c r="AN534" s="250"/>
      <c r="AO534" s="250"/>
      <c r="AP534" s="250"/>
      <c r="AQ534" s="250"/>
      <c r="AR534" s="250"/>
      <c r="AS534" s="250"/>
      <c r="AT534" s="250"/>
      <c r="AU534" s="250"/>
      <c r="AV534" s="124"/>
    </row>
    <row r="535" spans="2:48" ht="15" customHeight="1" x14ac:dyDescent="0.2">
      <c r="B535" s="250"/>
      <c r="C535" s="166"/>
      <c r="D535" s="166"/>
      <c r="E535" s="166"/>
      <c r="F535" s="166"/>
      <c r="G535" s="166"/>
      <c r="H535" s="166"/>
      <c r="I535" s="166"/>
      <c r="J535" s="166"/>
      <c r="K535" s="166"/>
      <c r="L535" s="166"/>
      <c r="M535" s="166"/>
      <c r="N535" s="166"/>
      <c r="O535" s="166"/>
      <c r="P535" s="166"/>
      <c r="Q535" s="166"/>
      <c r="R535" s="250"/>
      <c r="S535" s="250"/>
      <c r="T535" s="250"/>
      <c r="U535" s="250"/>
      <c r="V535" s="250"/>
      <c r="W535" s="250"/>
      <c r="X535" s="250"/>
      <c r="Y535" s="250"/>
      <c r="Z535" s="250"/>
      <c r="AA535" s="250"/>
      <c r="AB535" s="250"/>
      <c r="AC535" s="250"/>
      <c r="AD535" s="250"/>
      <c r="AE535" s="250"/>
      <c r="AF535" s="250"/>
      <c r="AG535" s="250"/>
      <c r="AH535" s="250"/>
      <c r="AI535" s="250"/>
      <c r="AJ535" s="250"/>
      <c r="AK535" s="250"/>
      <c r="AL535" s="250"/>
      <c r="AM535" s="250"/>
      <c r="AN535" s="250"/>
      <c r="AO535" s="250"/>
      <c r="AP535" s="250"/>
      <c r="AQ535" s="250"/>
      <c r="AR535" s="250"/>
      <c r="AS535" s="250"/>
      <c r="AT535" s="250"/>
      <c r="AU535" s="250"/>
      <c r="AV535" s="124"/>
    </row>
    <row r="536" spans="2:48" s="475" customFormat="1" x14ac:dyDescent="0.2">
      <c r="B536" s="250"/>
      <c r="C536" s="250"/>
      <c r="D536" s="250"/>
      <c r="E536" s="250"/>
      <c r="F536" s="250"/>
      <c r="G536" s="250"/>
      <c r="H536" s="250"/>
      <c r="I536" s="250"/>
      <c r="J536" s="250"/>
      <c r="K536" s="250"/>
      <c r="L536" s="250"/>
      <c r="M536" s="250"/>
      <c r="N536" s="250"/>
      <c r="O536" s="250"/>
      <c r="P536" s="250"/>
      <c r="Q536" s="250"/>
      <c r="R536" s="250"/>
      <c r="S536" s="250"/>
      <c r="T536" s="250"/>
      <c r="U536" s="250"/>
      <c r="V536" s="250"/>
      <c r="W536" s="250"/>
      <c r="X536" s="250"/>
      <c r="Y536" s="250"/>
      <c r="Z536" s="250"/>
      <c r="AA536" s="250"/>
      <c r="AB536" s="250"/>
      <c r="AC536" s="250"/>
      <c r="AD536" s="250"/>
      <c r="AE536" s="250"/>
      <c r="AF536" s="250"/>
      <c r="AG536" s="250"/>
      <c r="AH536" s="250"/>
      <c r="AI536" s="250"/>
      <c r="AJ536" s="250"/>
      <c r="AK536" s="250"/>
      <c r="AL536" s="250"/>
      <c r="AM536" s="250"/>
      <c r="AN536" s="250"/>
      <c r="AO536" s="250"/>
      <c r="AP536" s="250"/>
      <c r="AQ536" s="250"/>
      <c r="AR536" s="250"/>
      <c r="AS536" s="250"/>
      <c r="AT536" s="250"/>
      <c r="AU536" s="250"/>
      <c r="AV536" s="124"/>
    </row>
    <row r="537" spans="2:48" s="475" customFormat="1" x14ac:dyDescent="0.2">
      <c r="B537" s="250"/>
      <c r="C537" s="250"/>
      <c r="D537" s="250"/>
      <c r="E537" s="250"/>
      <c r="F537" s="250"/>
      <c r="G537" s="250"/>
      <c r="H537" s="250"/>
      <c r="I537" s="250"/>
      <c r="J537" s="250"/>
      <c r="K537" s="889"/>
      <c r="L537" s="250"/>
      <c r="M537" s="250"/>
      <c r="N537" s="250"/>
      <c r="O537" s="250"/>
      <c r="P537" s="250"/>
      <c r="Q537" s="250"/>
      <c r="R537" s="250"/>
      <c r="S537" s="250"/>
      <c r="T537" s="250"/>
      <c r="U537" s="250"/>
      <c r="V537" s="250"/>
      <c r="W537" s="250"/>
      <c r="X537" s="250"/>
      <c r="Y537" s="250"/>
      <c r="Z537" s="250"/>
      <c r="AA537" s="250"/>
      <c r="AB537" s="250"/>
      <c r="AC537" s="250"/>
      <c r="AD537" s="250"/>
      <c r="AE537" s="250"/>
      <c r="AF537" s="250"/>
      <c r="AG537" s="250"/>
      <c r="AH537" s="250"/>
      <c r="AI537" s="250"/>
      <c r="AJ537" s="250"/>
      <c r="AK537" s="250"/>
      <c r="AL537" s="250"/>
      <c r="AM537" s="250"/>
      <c r="AN537" s="250"/>
      <c r="AO537" s="250"/>
      <c r="AP537" s="250"/>
      <c r="AQ537" s="250"/>
      <c r="AR537" s="250"/>
      <c r="AS537" s="250"/>
      <c r="AT537" s="250"/>
      <c r="AU537" s="250"/>
      <c r="AV537" s="124"/>
    </row>
    <row r="538" spans="2:48" s="475" customFormat="1" x14ac:dyDescent="0.2">
      <c r="B538" s="250"/>
      <c r="C538" s="250"/>
      <c r="D538" s="250"/>
      <c r="E538" s="250"/>
      <c r="F538" s="250"/>
      <c r="G538" s="250"/>
      <c r="H538" s="250"/>
      <c r="I538" s="250"/>
      <c r="J538" s="250"/>
      <c r="K538" s="250"/>
      <c r="L538" s="250"/>
      <c r="M538" s="250"/>
      <c r="N538" s="250"/>
      <c r="O538" s="250"/>
      <c r="P538" s="250"/>
      <c r="Q538" s="250"/>
      <c r="R538" s="250"/>
      <c r="S538" s="250"/>
      <c r="T538" s="250"/>
      <c r="U538" s="250"/>
      <c r="V538" s="250"/>
      <c r="W538" s="250"/>
      <c r="X538" s="250"/>
      <c r="Y538" s="250"/>
      <c r="Z538" s="250"/>
      <c r="AA538" s="250"/>
      <c r="AB538" s="250"/>
      <c r="AC538" s="250"/>
      <c r="AD538" s="250"/>
      <c r="AE538" s="250"/>
      <c r="AF538" s="250"/>
      <c r="AG538" s="250"/>
      <c r="AH538" s="250"/>
      <c r="AI538" s="250"/>
      <c r="AJ538" s="250"/>
      <c r="AK538" s="250"/>
      <c r="AL538" s="250"/>
      <c r="AM538" s="250"/>
      <c r="AN538" s="250"/>
      <c r="AO538" s="250"/>
      <c r="AP538" s="250"/>
      <c r="AQ538" s="250"/>
      <c r="AR538" s="250"/>
      <c r="AS538" s="250"/>
      <c r="AT538" s="250"/>
      <c r="AU538" s="250"/>
      <c r="AV538" s="124"/>
    </row>
    <row r="539" spans="2:48" s="475" customFormat="1" x14ac:dyDescent="0.2">
      <c r="B539" s="250"/>
      <c r="C539" s="250"/>
      <c r="D539" s="250"/>
      <c r="E539" s="250"/>
      <c r="F539" s="250"/>
      <c r="G539" s="250"/>
      <c r="H539" s="250"/>
      <c r="I539" s="250"/>
      <c r="J539" s="250"/>
      <c r="K539" s="250"/>
      <c r="L539" s="250"/>
      <c r="M539" s="250"/>
      <c r="N539" s="250"/>
      <c r="O539" s="250"/>
      <c r="P539" s="250"/>
      <c r="Q539" s="250"/>
      <c r="R539" s="250"/>
      <c r="S539" s="250"/>
      <c r="T539" s="250"/>
      <c r="U539" s="250"/>
      <c r="V539" s="250"/>
      <c r="W539" s="250"/>
      <c r="X539" s="250"/>
      <c r="Y539" s="250"/>
      <c r="Z539" s="250"/>
      <c r="AA539" s="250"/>
      <c r="AB539" s="250"/>
      <c r="AC539" s="250"/>
      <c r="AD539" s="250"/>
      <c r="AE539" s="250"/>
      <c r="AF539" s="250"/>
      <c r="AG539" s="250"/>
      <c r="AH539" s="250"/>
      <c r="AI539" s="250"/>
      <c r="AJ539" s="250"/>
      <c r="AK539" s="250"/>
      <c r="AL539" s="250"/>
      <c r="AM539" s="250"/>
      <c r="AN539" s="250"/>
      <c r="AO539" s="250"/>
      <c r="AP539" s="250"/>
      <c r="AQ539" s="250"/>
      <c r="AR539" s="250"/>
      <c r="AS539" s="250"/>
      <c r="AT539" s="250"/>
      <c r="AU539" s="250"/>
      <c r="AV539" s="124"/>
    </row>
    <row r="540" spans="2:48" s="475" customFormat="1" x14ac:dyDescent="0.2">
      <c r="B540" s="250"/>
      <c r="C540" s="250"/>
      <c r="D540" s="250"/>
      <c r="E540" s="250"/>
      <c r="F540" s="250"/>
      <c r="G540" s="250"/>
      <c r="H540" s="250"/>
      <c r="I540" s="250"/>
      <c r="J540" s="250"/>
      <c r="K540" s="250"/>
      <c r="L540" s="250"/>
      <c r="M540" s="250"/>
      <c r="N540" s="250"/>
      <c r="O540" s="250"/>
      <c r="P540" s="250"/>
      <c r="Q540" s="250"/>
      <c r="R540" s="250"/>
      <c r="S540" s="250"/>
      <c r="T540" s="250"/>
      <c r="U540" s="250"/>
      <c r="V540" s="250"/>
      <c r="W540" s="250"/>
      <c r="X540" s="250"/>
      <c r="Y540" s="250"/>
      <c r="Z540" s="250"/>
      <c r="AA540" s="250"/>
      <c r="AB540" s="250"/>
      <c r="AC540" s="250"/>
      <c r="AD540" s="250"/>
      <c r="AE540" s="250"/>
      <c r="AF540" s="250"/>
      <c r="AG540" s="250"/>
      <c r="AH540" s="250"/>
      <c r="AI540" s="250"/>
      <c r="AJ540" s="250"/>
      <c r="AK540" s="250"/>
      <c r="AL540" s="250"/>
      <c r="AM540" s="250"/>
      <c r="AN540" s="250"/>
      <c r="AO540" s="250"/>
      <c r="AP540" s="250"/>
      <c r="AQ540" s="250"/>
      <c r="AR540" s="250"/>
      <c r="AS540" s="250"/>
      <c r="AT540" s="250"/>
      <c r="AU540" s="250"/>
      <c r="AV540" s="124"/>
    </row>
    <row r="541" spans="2:48" s="475" customFormat="1" x14ac:dyDescent="0.2">
      <c r="B541" s="250"/>
      <c r="C541" s="250"/>
      <c r="D541" s="250"/>
      <c r="E541" s="250"/>
      <c r="F541" s="250"/>
      <c r="G541" s="250"/>
      <c r="H541" s="250"/>
      <c r="I541" s="250"/>
      <c r="J541" s="250"/>
      <c r="K541" s="250"/>
      <c r="L541" s="250"/>
      <c r="M541" s="250"/>
      <c r="N541" s="250"/>
      <c r="O541" s="250"/>
      <c r="P541" s="250"/>
      <c r="Q541" s="250"/>
      <c r="R541" s="250"/>
      <c r="S541" s="250"/>
      <c r="T541" s="250"/>
      <c r="U541" s="250"/>
      <c r="V541" s="250"/>
      <c r="W541" s="250"/>
      <c r="X541" s="250"/>
      <c r="Y541" s="250"/>
      <c r="Z541" s="250"/>
      <c r="AA541" s="250"/>
      <c r="AB541" s="250"/>
      <c r="AC541" s="250"/>
      <c r="AD541" s="250"/>
      <c r="AE541" s="250"/>
      <c r="AF541" s="250"/>
      <c r="AG541" s="250"/>
      <c r="AH541" s="250"/>
      <c r="AI541" s="250"/>
      <c r="AJ541" s="250"/>
      <c r="AK541" s="250"/>
      <c r="AL541" s="250"/>
      <c r="AM541" s="250"/>
      <c r="AN541" s="250"/>
      <c r="AO541" s="250"/>
      <c r="AP541" s="250"/>
      <c r="AQ541" s="250"/>
      <c r="AR541" s="250"/>
      <c r="AS541" s="250"/>
      <c r="AT541" s="250"/>
      <c r="AU541" s="250"/>
      <c r="AV541" s="124"/>
    </row>
    <row r="542" spans="2:48" s="475" customFormat="1" x14ac:dyDescent="0.2">
      <c r="B542" s="250"/>
      <c r="C542" s="250"/>
      <c r="D542" s="250"/>
      <c r="E542" s="250"/>
      <c r="F542" s="250"/>
      <c r="G542" s="250"/>
      <c r="H542" s="250"/>
      <c r="I542" s="250"/>
      <c r="J542" s="250"/>
      <c r="K542" s="250"/>
      <c r="L542" s="250"/>
      <c r="M542" s="250"/>
      <c r="N542" s="250"/>
      <c r="O542" s="250"/>
      <c r="P542" s="250"/>
      <c r="Q542" s="250"/>
      <c r="R542" s="250"/>
      <c r="S542" s="250"/>
      <c r="T542" s="250"/>
      <c r="U542" s="250"/>
      <c r="V542" s="250"/>
      <c r="W542" s="250"/>
      <c r="X542" s="250"/>
      <c r="Y542" s="250"/>
      <c r="Z542" s="250"/>
      <c r="AA542" s="250"/>
      <c r="AB542" s="250"/>
      <c r="AC542" s="250"/>
      <c r="AD542" s="250"/>
      <c r="AE542" s="250"/>
      <c r="AF542" s="250"/>
      <c r="AG542" s="250"/>
      <c r="AH542" s="250"/>
      <c r="AI542" s="250"/>
      <c r="AJ542" s="250"/>
      <c r="AK542" s="250"/>
      <c r="AL542" s="250"/>
      <c r="AM542" s="250"/>
      <c r="AN542" s="250"/>
      <c r="AO542" s="250"/>
      <c r="AP542" s="250"/>
      <c r="AQ542" s="250"/>
      <c r="AR542" s="250"/>
      <c r="AS542" s="250"/>
      <c r="AT542" s="250"/>
      <c r="AU542" s="250"/>
      <c r="AV542" s="124"/>
    </row>
    <row r="543" spans="2:48" s="475" customFormat="1" x14ac:dyDescent="0.2">
      <c r="B543" s="250"/>
      <c r="C543" s="250"/>
      <c r="D543" s="250"/>
      <c r="E543" s="250"/>
      <c r="F543" s="250"/>
      <c r="G543" s="250"/>
      <c r="H543" s="250"/>
      <c r="I543" s="250"/>
      <c r="J543" s="250"/>
      <c r="K543" s="250"/>
      <c r="L543" s="250"/>
      <c r="M543" s="250"/>
      <c r="N543" s="250"/>
      <c r="O543" s="250"/>
      <c r="P543" s="250"/>
      <c r="Q543" s="250"/>
      <c r="R543" s="250"/>
      <c r="S543" s="250"/>
      <c r="T543" s="250"/>
      <c r="U543" s="250"/>
      <c r="V543" s="250"/>
      <c r="W543" s="250"/>
      <c r="X543" s="250"/>
      <c r="Y543" s="250"/>
      <c r="Z543" s="250"/>
      <c r="AA543" s="250"/>
      <c r="AB543" s="250"/>
      <c r="AC543" s="250"/>
      <c r="AD543" s="250"/>
      <c r="AE543" s="250"/>
      <c r="AF543" s="250"/>
      <c r="AG543" s="250"/>
      <c r="AH543" s="250"/>
      <c r="AI543" s="250"/>
      <c r="AJ543" s="250"/>
      <c r="AK543" s="250"/>
      <c r="AL543" s="250"/>
      <c r="AM543" s="250"/>
      <c r="AN543" s="250"/>
      <c r="AO543" s="250"/>
      <c r="AP543" s="250"/>
      <c r="AQ543" s="250"/>
      <c r="AR543" s="250"/>
      <c r="AS543" s="250"/>
      <c r="AT543" s="250"/>
      <c r="AU543" s="250"/>
      <c r="AV543" s="124"/>
    </row>
    <row r="544" spans="2:48" s="475" customFormat="1" x14ac:dyDescent="0.2">
      <c r="B544" s="250"/>
      <c r="C544" s="250"/>
      <c r="D544" s="250"/>
      <c r="E544" s="250"/>
      <c r="F544" s="250"/>
      <c r="G544" s="250"/>
      <c r="H544" s="250"/>
      <c r="I544" s="250"/>
      <c r="J544" s="250"/>
      <c r="K544" s="250"/>
      <c r="L544" s="250"/>
      <c r="M544" s="250"/>
      <c r="N544" s="250"/>
      <c r="O544" s="250"/>
      <c r="P544" s="250"/>
      <c r="Q544" s="250"/>
      <c r="R544" s="250"/>
      <c r="S544" s="250"/>
      <c r="T544" s="250"/>
      <c r="U544" s="250"/>
      <c r="V544" s="250"/>
      <c r="W544" s="250"/>
      <c r="X544" s="250"/>
      <c r="Y544" s="250"/>
      <c r="Z544" s="250"/>
      <c r="AA544" s="250"/>
      <c r="AB544" s="250"/>
      <c r="AC544" s="250"/>
      <c r="AD544" s="250"/>
      <c r="AE544" s="250"/>
      <c r="AF544" s="250"/>
      <c r="AG544" s="250"/>
      <c r="AH544" s="250"/>
      <c r="AI544" s="250"/>
      <c r="AJ544" s="250"/>
      <c r="AK544" s="250"/>
      <c r="AL544" s="250"/>
      <c r="AM544" s="250"/>
      <c r="AN544" s="250"/>
      <c r="AO544" s="250"/>
      <c r="AP544" s="250"/>
      <c r="AQ544" s="250"/>
      <c r="AR544" s="250"/>
      <c r="AS544" s="250"/>
      <c r="AT544" s="250"/>
      <c r="AU544" s="250"/>
      <c r="AV544" s="124"/>
    </row>
    <row r="545" spans="2:48" s="475" customFormat="1" x14ac:dyDescent="0.2">
      <c r="B545" s="250"/>
      <c r="C545" s="250"/>
      <c r="D545" s="250"/>
      <c r="E545" s="250"/>
      <c r="F545" s="250"/>
      <c r="G545" s="250"/>
      <c r="H545" s="250"/>
      <c r="I545" s="250"/>
      <c r="J545" s="250"/>
      <c r="K545" s="250"/>
      <c r="L545" s="250"/>
      <c r="M545" s="250"/>
      <c r="N545" s="250"/>
      <c r="O545" s="250"/>
      <c r="P545" s="250"/>
      <c r="Q545" s="250"/>
      <c r="R545" s="250"/>
      <c r="S545" s="250"/>
      <c r="T545" s="250"/>
      <c r="U545" s="250"/>
      <c r="V545" s="250"/>
      <c r="W545" s="250"/>
      <c r="X545" s="250"/>
      <c r="Y545" s="250"/>
      <c r="Z545" s="250"/>
      <c r="AA545" s="250"/>
      <c r="AB545" s="250"/>
      <c r="AC545" s="250"/>
      <c r="AD545" s="250"/>
      <c r="AE545" s="250"/>
      <c r="AF545" s="250"/>
      <c r="AG545" s="250"/>
      <c r="AH545" s="250"/>
      <c r="AI545" s="250"/>
      <c r="AJ545" s="250"/>
      <c r="AK545" s="250"/>
      <c r="AL545" s="250"/>
      <c r="AM545" s="250"/>
      <c r="AN545" s="250"/>
      <c r="AO545" s="250"/>
      <c r="AP545" s="250"/>
      <c r="AQ545" s="250"/>
      <c r="AR545" s="250"/>
      <c r="AS545" s="250"/>
      <c r="AT545" s="250"/>
      <c r="AU545" s="250"/>
      <c r="AV545" s="124"/>
    </row>
    <row r="546" spans="2:48" s="475" customFormat="1" x14ac:dyDescent="0.2">
      <c r="B546" s="250"/>
      <c r="C546" s="250"/>
      <c r="D546" s="250"/>
      <c r="E546" s="250"/>
      <c r="F546" s="250"/>
      <c r="G546" s="250"/>
      <c r="H546" s="250"/>
      <c r="I546" s="250"/>
      <c r="J546" s="250"/>
      <c r="K546" s="250"/>
      <c r="L546" s="250"/>
      <c r="M546" s="250"/>
      <c r="N546" s="250"/>
      <c r="O546" s="250"/>
      <c r="P546" s="250"/>
      <c r="Q546" s="250"/>
      <c r="R546" s="250"/>
      <c r="S546" s="250"/>
      <c r="T546" s="250"/>
      <c r="U546" s="250"/>
      <c r="V546" s="250"/>
      <c r="W546" s="250"/>
      <c r="X546" s="250"/>
      <c r="Y546" s="250"/>
      <c r="Z546" s="250"/>
      <c r="AA546" s="250"/>
      <c r="AB546" s="250"/>
      <c r="AC546" s="250"/>
      <c r="AD546" s="250"/>
      <c r="AE546" s="250"/>
      <c r="AF546" s="250"/>
      <c r="AG546" s="250"/>
      <c r="AH546" s="250"/>
      <c r="AI546" s="250"/>
      <c r="AJ546" s="250"/>
      <c r="AK546" s="250"/>
      <c r="AL546" s="250"/>
      <c r="AM546" s="250"/>
      <c r="AN546" s="250"/>
      <c r="AO546" s="250"/>
      <c r="AP546" s="250"/>
      <c r="AQ546" s="250"/>
      <c r="AR546" s="250"/>
      <c r="AS546" s="250"/>
      <c r="AT546" s="250"/>
      <c r="AU546" s="250"/>
      <c r="AV546" s="124"/>
    </row>
    <row r="547" spans="2:48" s="475" customFormat="1" x14ac:dyDescent="0.2">
      <c r="B547" s="250"/>
      <c r="C547" s="250"/>
      <c r="D547" s="250"/>
      <c r="E547" s="250"/>
      <c r="F547" s="250"/>
      <c r="G547" s="250"/>
      <c r="H547" s="250"/>
      <c r="I547" s="250"/>
      <c r="J547" s="250"/>
      <c r="K547" s="250"/>
      <c r="L547" s="250"/>
      <c r="M547" s="250"/>
      <c r="N547" s="250"/>
      <c r="O547" s="250"/>
      <c r="P547" s="250"/>
      <c r="Q547" s="250"/>
      <c r="R547" s="250"/>
      <c r="S547" s="250"/>
      <c r="T547" s="250"/>
      <c r="U547" s="250"/>
      <c r="V547" s="250"/>
      <c r="W547" s="250"/>
      <c r="X547" s="250"/>
      <c r="Y547" s="250"/>
      <c r="Z547" s="250"/>
      <c r="AA547" s="250"/>
      <c r="AB547" s="250"/>
      <c r="AC547" s="250"/>
      <c r="AD547" s="250"/>
      <c r="AE547" s="250"/>
      <c r="AF547" s="250"/>
      <c r="AG547" s="250"/>
      <c r="AH547" s="250"/>
      <c r="AI547" s="250"/>
      <c r="AJ547" s="250"/>
      <c r="AK547" s="250"/>
      <c r="AL547" s="250"/>
      <c r="AM547" s="250"/>
      <c r="AN547" s="250"/>
      <c r="AO547" s="250"/>
      <c r="AP547" s="250"/>
      <c r="AQ547" s="250"/>
      <c r="AR547" s="250"/>
      <c r="AS547" s="250"/>
      <c r="AT547" s="250"/>
      <c r="AU547" s="250"/>
      <c r="AV547" s="124"/>
    </row>
    <row r="548" spans="2:48" s="475" customFormat="1" x14ac:dyDescent="0.2">
      <c r="B548" s="250"/>
      <c r="C548" s="250"/>
      <c r="D548" s="250"/>
      <c r="E548" s="250"/>
      <c r="F548" s="250"/>
      <c r="G548" s="250"/>
      <c r="H548" s="250"/>
      <c r="I548" s="250"/>
      <c r="J548" s="250"/>
      <c r="K548" s="250"/>
      <c r="L548" s="250"/>
      <c r="M548" s="250"/>
      <c r="N548" s="250"/>
      <c r="O548" s="250"/>
      <c r="P548" s="250"/>
      <c r="Q548" s="250"/>
      <c r="R548" s="250"/>
      <c r="S548" s="250"/>
      <c r="T548" s="250"/>
      <c r="U548" s="250"/>
      <c r="V548" s="250"/>
      <c r="W548" s="250"/>
      <c r="X548" s="250"/>
      <c r="Y548" s="250"/>
      <c r="Z548" s="250"/>
      <c r="AA548" s="250"/>
      <c r="AB548" s="250"/>
      <c r="AC548" s="250"/>
      <c r="AD548" s="250"/>
      <c r="AE548" s="250"/>
      <c r="AF548" s="250"/>
      <c r="AG548" s="250"/>
      <c r="AH548" s="250"/>
      <c r="AI548" s="250"/>
      <c r="AJ548" s="250"/>
      <c r="AK548" s="250"/>
      <c r="AL548" s="250"/>
      <c r="AM548" s="250"/>
      <c r="AN548" s="250"/>
      <c r="AO548" s="250"/>
      <c r="AP548" s="250"/>
      <c r="AQ548" s="250"/>
      <c r="AR548" s="250"/>
      <c r="AS548" s="250"/>
      <c r="AT548" s="250"/>
      <c r="AU548" s="250"/>
      <c r="AV548" s="124"/>
    </row>
    <row r="549" spans="2:48" s="475" customFormat="1" x14ac:dyDescent="0.2">
      <c r="B549" s="250"/>
      <c r="C549" s="250"/>
      <c r="D549" s="250"/>
      <c r="E549" s="250"/>
      <c r="F549" s="250"/>
      <c r="G549" s="250"/>
      <c r="H549" s="250"/>
      <c r="I549" s="250"/>
      <c r="J549" s="250"/>
      <c r="K549" s="250"/>
      <c r="L549" s="250"/>
      <c r="M549" s="250"/>
      <c r="N549" s="250"/>
      <c r="O549" s="250"/>
      <c r="P549" s="250"/>
      <c r="Q549" s="250"/>
      <c r="R549" s="250"/>
      <c r="S549" s="250"/>
      <c r="T549" s="250"/>
      <c r="U549" s="250"/>
      <c r="V549" s="250"/>
      <c r="W549" s="250"/>
      <c r="X549" s="250"/>
      <c r="Y549" s="250"/>
      <c r="Z549" s="250"/>
      <c r="AA549" s="250"/>
      <c r="AB549" s="250"/>
      <c r="AC549" s="250"/>
      <c r="AD549" s="250"/>
      <c r="AE549" s="250"/>
      <c r="AF549" s="250"/>
      <c r="AG549" s="250"/>
      <c r="AH549" s="250"/>
      <c r="AI549" s="250"/>
      <c r="AJ549" s="250"/>
      <c r="AK549" s="250"/>
      <c r="AL549" s="250"/>
      <c r="AM549" s="250"/>
      <c r="AN549" s="250"/>
      <c r="AO549" s="250"/>
      <c r="AP549" s="250"/>
      <c r="AQ549" s="250"/>
      <c r="AR549" s="250"/>
      <c r="AS549" s="250"/>
      <c r="AT549" s="250"/>
      <c r="AU549" s="250"/>
      <c r="AV549" s="124"/>
    </row>
    <row r="550" spans="2:48" s="475" customFormat="1" x14ac:dyDescent="0.2">
      <c r="B550" s="250"/>
      <c r="C550" s="250"/>
      <c r="D550" s="250"/>
      <c r="E550" s="250"/>
      <c r="F550" s="250"/>
      <c r="G550" s="250"/>
      <c r="H550" s="250"/>
      <c r="I550" s="250"/>
      <c r="J550" s="250"/>
      <c r="K550" s="250"/>
      <c r="L550" s="250"/>
      <c r="M550" s="250"/>
      <c r="N550" s="250"/>
      <c r="O550" s="250"/>
      <c r="P550" s="250"/>
      <c r="Q550" s="250"/>
      <c r="R550" s="250"/>
      <c r="S550" s="250"/>
      <c r="T550" s="250"/>
      <c r="U550" s="250"/>
      <c r="V550" s="250"/>
      <c r="W550" s="250"/>
      <c r="X550" s="250"/>
      <c r="Y550" s="250"/>
      <c r="Z550" s="250"/>
      <c r="AA550" s="250"/>
      <c r="AB550" s="250"/>
      <c r="AC550" s="250"/>
      <c r="AD550" s="250"/>
      <c r="AE550" s="250"/>
      <c r="AF550" s="250"/>
      <c r="AG550" s="250"/>
      <c r="AH550" s="250"/>
      <c r="AI550" s="250"/>
      <c r="AJ550" s="250"/>
      <c r="AK550" s="250"/>
      <c r="AL550" s="250"/>
      <c r="AM550" s="250"/>
      <c r="AN550" s="250"/>
      <c r="AO550" s="250"/>
      <c r="AP550" s="250"/>
      <c r="AQ550" s="250"/>
      <c r="AR550" s="250"/>
      <c r="AS550" s="250"/>
      <c r="AT550" s="250"/>
      <c r="AU550" s="250"/>
      <c r="AV550" s="124"/>
    </row>
    <row r="551" spans="2:48" s="475" customFormat="1" x14ac:dyDescent="0.2">
      <c r="B551" s="250"/>
      <c r="C551" s="250"/>
      <c r="D551" s="250"/>
      <c r="E551" s="250"/>
      <c r="F551" s="250"/>
      <c r="G551" s="250"/>
      <c r="H551" s="250"/>
      <c r="I551" s="250"/>
      <c r="J551" s="250"/>
      <c r="K551" s="250"/>
      <c r="L551" s="250"/>
      <c r="M551" s="250"/>
      <c r="N551" s="250"/>
      <c r="O551" s="250"/>
      <c r="P551" s="250"/>
      <c r="Q551" s="250"/>
      <c r="R551" s="250"/>
      <c r="S551" s="250"/>
      <c r="T551" s="250"/>
      <c r="U551" s="250"/>
      <c r="V551" s="250"/>
      <c r="W551" s="250"/>
      <c r="X551" s="250"/>
      <c r="Y551" s="250"/>
      <c r="Z551" s="250"/>
      <c r="AA551" s="250"/>
      <c r="AB551" s="250"/>
      <c r="AC551" s="250"/>
      <c r="AD551" s="250"/>
      <c r="AE551" s="250"/>
      <c r="AF551" s="250"/>
      <c r="AG551" s="250"/>
      <c r="AH551" s="250"/>
      <c r="AI551" s="250"/>
      <c r="AJ551" s="250"/>
      <c r="AK551" s="250"/>
      <c r="AL551" s="250"/>
      <c r="AM551" s="250"/>
      <c r="AN551" s="250"/>
      <c r="AO551" s="250"/>
      <c r="AP551" s="250"/>
      <c r="AQ551" s="250"/>
      <c r="AR551" s="250"/>
      <c r="AS551" s="250"/>
      <c r="AT551" s="250"/>
      <c r="AU551" s="250"/>
      <c r="AV551" s="124"/>
    </row>
    <row r="552" spans="2:48" s="475" customFormat="1" x14ac:dyDescent="0.2">
      <c r="B552" s="250"/>
      <c r="C552" s="250"/>
      <c r="D552" s="250"/>
      <c r="E552" s="250"/>
      <c r="F552" s="250"/>
      <c r="G552" s="250"/>
      <c r="H552" s="250"/>
      <c r="I552" s="250"/>
      <c r="J552" s="250"/>
      <c r="K552" s="250"/>
      <c r="L552" s="250"/>
      <c r="M552" s="250"/>
      <c r="N552" s="250"/>
      <c r="O552" s="250"/>
      <c r="P552" s="250"/>
      <c r="Q552" s="250"/>
      <c r="R552" s="250"/>
      <c r="S552" s="250"/>
      <c r="T552" s="250"/>
      <c r="U552" s="250"/>
      <c r="V552" s="250"/>
      <c r="W552" s="250"/>
      <c r="X552" s="250"/>
      <c r="Y552" s="250"/>
      <c r="Z552" s="250"/>
      <c r="AA552" s="250"/>
      <c r="AB552" s="250"/>
      <c r="AC552" s="250"/>
      <c r="AD552" s="250"/>
      <c r="AE552" s="250"/>
      <c r="AF552" s="250"/>
      <c r="AG552" s="250"/>
      <c r="AH552" s="250"/>
      <c r="AI552" s="250"/>
      <c r="AJ552" s="250"/>
      <c r="AK552" s="250"/>
      <c r="AL552" s="250"/>
      <c r="AM552" s="250"/>
      <c r="AN552" s="250"/>
      <c r="AO552" s="250"/>
      <c r="AP552" s="250"/>
      <c r="AQ552" s="250"/>
      <c r="AR552" s="250"/>
      <c r="AS552" s="250"/>
      <c r="AT552" s="250"/>
      <c r="AU552" s="250"/>
      <c r="AV552" s="124"/>
    </row>
    <row r="553" spans="2:48" s="475" customFormat="1" x14ac:dyDescent="0.2">
      <c r="B553" s="250"/>
      <c r="C553" s="250"/>
      <c r="D553" s="250"/>
      <c r="E553" s="250"/>
      <c r="F553" s="250"/>
      <c r="G553" s="250"/>
      <c r="H553" s="250"/>
      <c r="I553" s="250"/>
      <c r="J553" s="250"/>
      <c r="K553" s="250"/>
      <c r="L553" s="250"/>
      <c r="M553" s="250"/>
      <c r="N553" s="250"/>
      <c r="O553" s="250"/>
      <c r="P553" s="250"/>
      <c r="Q553" s="250"/>
      <c r="R553" s="250"/>
      <c r="S553" s="250"/>
      <c r="T553" s="250"/>
      <c r="U553" s="250"/>
      <c r="V553" s="250"/>
      <c r="W553" s="250"/>
      <c r="X553" s="250"/>
      <c r="Y553" s="250"/>
      <c r="Z553" s="250"/>
      <c r="AA553" s="250"/>
      <c r="AB553" s="250"/>
      <c r="AC553" s="250"/>
      <c r="AD553" s="250"/>
      <c r="AE553" s="250"/>
      <c r="AF553" s="250"/>
      <c r="AG553" s="250"/>
      <c r="AH553" s="250"/>
      <c r="AI553" s="250"/>
      <c r="AJ553" s="250"/>
      <c r="AK553" s="250"/>
      <c r="AL553" s="250"/>
      <c r="AM553" s="250"/>
      <c r="AN553" s="250"/>
      <c r="AO553" s="250"/>
      <c r="AP553" s="250"/>
      <c r="AQ553" s="250"/>
      <c r="AR553" s="250"/>
      <c r="AS553" s="250"/>
      <c r="AT553" s="250"/>
      <c r="AU553" s="250"/>
      <c r="AV553" s="124"/>
    </row>
    <row r="554" spans="2:48" s="475" customFormat="1" x14ac:dyDescent="0.2">
      <c r="B554" s="250"/>
      <c r="C554" s="250"/>
      <c r="D554" s="250"/>
      <c r="E554" s="250"/>
      <c r="F554" s="250"/>
      <c r="G554" s="250"/>
      <c r="H554" s="250"/>
      <c r="I554" s="250"/>
      <c r="J554" s="250"/>
      <c r="K554" s="250"/>
      <c r="L554" s="250"/>
      <c r="M554" s="250"/>
      <c r="N554" s="250"/>
      <c r="O554" s="250"/>
      <c r="P554" s="250"/>
      <c r="Q554" s="250"/>
      <c r="R554" s="250"/>
      <c r="S554" s="250"/>
      <c r="T554" s="250"/>
      <c r="U554" s="250"/>
      <c r="V554" s="250"/>
      <c r="W554" s="250"/>
      <c r="X554" s="250"/>
      <c r="Y554" s="250"/>
      <c r="Z554" s="250"/>
      <c r="AA554" s="250"/>
      <c r="AB554" s="250"/>
      <c r="AC554" s="250"/>
      <c r="AD554" s="250"/>
      <c r="AE554" s="250"/>
      <c r="AF554" s="250"/>
      <c r="AG554" s="250"/>
      <c r="AH554" s="250"/>
      <c r="AI554" s="250"/>
      <c r="AJ554" s="250"/>
      <c r="AK554" s="250"/>
      <c r="AL554" s="250"/>
      <c r="AM554" s="250"/>
      <c r="AN554" s="250"/>
      <c r="AO554" s="250"/>
      <c r="AP554" s="250"/>
      <c r="AQ554" s="250"/>
      <c r="AR554" s="250"/>
      <c r="AS554" s="250"/>
      <c r="AT554" s="250"/>
      <c r="AU554" s="250"/>
      <c r="AV554" s="124"/>
    </row>
    <row r="555" spans="2:48" s="475" customFormat="1" x14ac:dyDescent="0.2">
      <c r="B555" s="250"/>
      <c r="C555" s="250"/>
      <c r="D555" s="250"/>
      <c r="E555" s="250"/>
      <c r="F555" s="250"/>
      <c r="G555" s="250"/>
      <c r="H555" s="250"/>
      <c r="I555" s="250"/>
      <c r="J555" s="250"/>
      <c r="K555" s="250"/>
      <c r="L555" s="250"/>
      <c r="M555" s="250"/>
      <c r="N555" s="250"/>
      <c r="O555" s="250"/>
      <c r="P555" s="250"/>
      <c r="Q555" s="250"/>
      <c r="R555" s="250"/>
      <c r="S555" s="250"/>
      <c r="T555" s="250"/>
      <c r="U555" s="250"/>
      <c r="V555" s="250"/>
      <c r="W555" s="250"/>
      <c r="X555" s="250"/>
      <c r="Y555" s="250"/>
      <c r="Z555" s="250"/>
      <c r="AA555" s="250"/>
      <c r="AB555" s="250"/>
      <c r="AC555" s="250"/>
      <c r="AD555" s="250"/>
      <c r="AE555" s="250"/>
      <c r="AF555" s="250"/>
      <c r="AG555" s="250"/>
      <c r="AH555" s="250"/>
      <c r="AI555" s="250"/>
      <c r="AJ555" s="250"/>
      <c r="AK555" s="250"/>
      <c r="AL555" s="250"/>
      <c r="AM555" s="250"/>
      <c r="AN555" s="250"/>
      <c r="AO555" s="250"/>
      <c r="AP555" s="250"/>
      <c r="AQ555" s="250"/>
      <c r="AR555" s="250"/>
      <c r="AS555" s="250"/>
      <c r="AT555" s="250"/>
      <c r="AU555" s="250"/>
      <c r="AV555" s="124"/>
    </row>
    <row r="556" spans="2:48" s="475" customFormat="1" x14ac:dyDescent="0.2">
      <c r="B556" s="250"/>
      <c r="C556" s="250"/>
      <c r="D556" s="250"/>
      <c r="E556" s="250"/>
      <c r="F556" s="250"/>
      <c r="G556" s="250"/>
      <c r="H556" s="250"/>
      <c r="I556" s="250"/>
      <c r="J556" s="250"/>
      <c r="K556" s="250"/>
      <c r="L556" s="250"/>
      <c r="M556" s="250"/>
      <c r="N556" s="250"/>
      <c r="O556" s="250"/>
      <c r="P556" s="250"/>
      <c r="Q556" s="250"/>
      <c r="R556" s="250"/>
      <c r="S556" s="250"/>
      <c r="T556" s="250"/>
      <c r="U556" s="250"/>
      <c r="V556" s="250"/>
      <c r="W556" s="250"/>
      <c r="X556" s="250"/>
      <c r="Y556" s="250"/>
      <c r="Z556" s="250"/>
      <c r="AA556" s="250"/>
      <c r="AB556" s="250"/>
      <c r="AC556" s="250"/>
      <c r="AD556" s="250"/>
      <c r="AE556" s="250"/>
      <c r="AF556" s="250"/>
      <c r="AG556" s="250"/>
      <c r="AH556" s="250"/>
      <c r="AI556" s="250"/>
      <c r="AJ556" s="250"/>
      <c r="AK556" s="250"/>
      <c r="AL556" s="250"/>
      <c r="AM556" s="250"/>
      <c r="AN556" s="250"/>
      <c r="AO556" s="250"/>
      <c r="AP556" s="250"/>
      <c r="AQ556" s="250"/>
      <c r="AR556" s="250"/>
      <c r="AS556" s="250"/>
      <c r="AT556" s="250"/>
      <c r="AU556" s="250"/>
      <c r="AV556" s="124"/>
    </row>
    <row r="557" spans="2:48" s="475" customFormat="1" x14ac:dyDescent="0.2">
      <c r="B557" s="250"/>
      <c r="C557" s="250"/>
      <c r="D557" s="250"/>
      <c r="E557" s="250"/>
      <c r="F557" s="250"/>
      <c r="G557" s="250"/>
      <c r="H557" s="250"/>
      <c r="I557" s="250"/>
      <c r="J557" s="250"/>
      <c r="K557" s="250"/>
      <c r="L557" s="250"/>
      <c r="M557" s="250"/>
      <c r="N557" s="250"/>
      <c r="O557" s="250"/>
      <c r="P557" s="250"/>
      <c r="Q557" s="250"/>
      <c r="R557" s="250"/>
      <c r="S557" s="250"/>
      <c r="T557" s="250"/>
      <c r="U557" s="250"/>
      <c r="V557" s="250"/>
      <c r="W557" s="250"/>
      <c r="X557" s="250"/>
      <c r="Y557" s="250"/>
      <c r="Z557" s="250"/>
      <c r="AA557" s="250"/>
      <c r="AB557" s="250"/>
      <c r="AC557" s="250"/>
      <c r="AD557" s="250"/>
      <c r="AE557" s="250"/>
      <c r="AF557" s="250"/>
      <c r="AG557" s="250"/>
      <c r="AH557" s="250"/>
      <c r="AI557" s="250"/>
      <c r="AJ557" s="250"/>
      <c r="AK557" s="250"/>
      <c r="AL557" s="250"/>
      <c r="AM557" s="250"/>
      <c r="AN557" s="250"/>
      <c r="AO557" s="250"/>
      <c r="AP557" s="250"/>
      <c r="AQ557" s="250"/>
      <c r="AR557" s="250"/>
      <c r="AS557" s="250"/>
      <c r="AT557" s="250"/>
      <c r="AU557" s="250"/>
      <c r="AV557" s="124"/>
    </row>
    <row r="558" spans="2:48" s="475" customFormat="1" x14ac:dyDescent="0.2">
      <c r="B558" s="250"/>
      <c r="C558" s="250"/>
      <c r="D558" s="250"/>
      <c r="E558" s="250"/>
      <c r="F558" s="250"/>
      <c r="G558" s="250"/>
      <c r="H558" s="250"/>
      <c r="I558" s="250"/>
      <c r="J558" s="250"/>
      <c r="K558" s="250"/>
      <c r="L558" s="250"/>
      <c r="M558" s="250"/>
      <c r="N558" s="250"/>
      <c r="O558" s="250"/>
      <c r="P558" s="250"/>
      <c r="Q558" s="250"/>
      <c r="R558" s="250"/>
      <c r="S558" s="250"/>
      <c r="T558" s="250"/>
      <c r="U558" s="250"/>
      <c r="V558" s="250"/>
      <c r="W558" s="250"/>
      <c r="X558" s="250"/>
      <c r="Y558" s="250"/>
      <c r="Z558" s="250"/>
      <c r="AA558" s="250"/>
      <c r="AB558" s="250"/>
      <c r="AC558" s="250"/>
      <c r="AD558" s="250"/>
      <c r="AE558" s="250"/>
      <c r="AF558" s="250"/>
      <c r="AG558" s="250"/>
      <c r="AH558" s="250"/>
      <c r="AI558" s="250"/>
      <c r="AJ558" s="250"/>
      <c r="AK558" s="250"/>
      <c r="AL558" s="250"/>
      <c r="AM558" s="250"/>
      <c r="AN558" s="250"/>
      <c r="AO558" s="250"/>
      <c r="AP558" s="250"/>
      <c r="AQ558" s="250"/>
      <c r="AR558" s="250"/>
      <c r="AS558" s="250"/>
      <c r="AT558" s="250"/>
      <c r="AU558" s="250"/>
      <c r="AV558" s="124"/>
    </row>
    <row r="559" spans="2:48" s="475" customFormat="1" x14ac:dyDescent="0.2">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c r="AN559" s="250"/>
      <c r="AO559" s="250"/>
      <c r="AP559" s="250"/>
      <c r="AQ559" s="250"/>
      <c r="AR559" s="250"/>
      <c r="AS559" s="250"/>
      <c r="AT559" s="250"/>
      <c r="AU559" s="250"/>
      <c r="AV559" s="124"/>
    </row>
    <row r="560" spans="2:48" s="475" customFormat="1" x14ac:dyDescent="0.2">
      <c r="B560" s="250"/>
      <c r="C560" s="250"/>
      <c r="D560" s="250"/>
      <c r="E560" s="250"/>
      <c r="F560" s="250"/>
      <c r="G560" s="250"/>
      <c r="H560" s="250"/>
      <c r="I560" s="250"/>
      <c r="J560" s="250"/>
      <c r="K560" s="250"/>
      <c r="L560" s="250"/>
      <c r="M560" s="250"/>
      <c r="N560" s="250"/>
      <c r="O560" s="250"/>
      <c r="P560" s="250"/>
      <c r="Q560" s="250"/>
      <c r="R560" s="250"/>
      <c r="S560" s="250"/>
      <c r="T560" s="250"/>
      <c r="U560" s="250"/>
      <c r="V560" s="250"/>
      <c r="W560" s="250"/>
      <c r="X560" s="250"/>
      <c r="Y560" s="250"/>
      <c r="Z560" s="250"/>
      <c r="AA560" s="250"/>
      <c r="AB560" s="250"/>
      <c r="AC560" s="250"/>
      <c r="AD560" s="250"/>
      <c r="AE560" s="250"/>
      <c r="AF560" s="250"/>
      <c r="AG560" s="250"/>
      <c r="AH560" s="250"/>
      <c r="AI560" s="250"/>
      <c r="AJ560" s="250"/>
      <c r="AK560" s="250"/>
      <c r="AL560" s="250"/>
      <c r="AM560" s="250"/>
      <c r="AN560" s="250"/>
      <c r="AO560" s="250"/>
      <c r="AP560" s="250"/>
      <c r="AQ560" s="250"/>
      <c r="AR560" s="250"/>
      <c r="AS560" s="250"/>
      <c r="AT560" s="250"/>
      <c r="AU560" s="250"/>
      <c r="AV560" s="124"/>
    </row>
    <row r="561" spans="2:48" s="475" customFormat="1" x14ac:dyDescent="0.2">
      <c r="B561" s="250"/>
      <c r="C561" s="250"/>
      <c r="D561" s="250"/>
      <c r="E561" s="250"/>
      <c r="F561" s="250"/>
      <c r="G561" s="250"/>
      <c r="H561" s="250"/>
      <c r="I561" s="250"/>
      <c r="J561" s="250"/>
      <c r="K561" s="250"/>
      <c r="L561" s="250"/>
      <c r="M561" s="250"/>
      <c r="N561" s="250"/>
      <c r="O561" s="250"/>
      <c r="P561" s="250"/>
      <c r="Q561" s="250"/>
      <c r="R561" s="250"/>
      <c r="S561" s="250"/>
      <c r="T561" s="250"/>
      <c r="U561" s="250"/>
      <c r="V561" s="250"/>
      <c r="W561" s="250"/>
      <c r="X561" s="250"/>
      <c r="Y561" s="250"/>
      <c r="Z561" s="250"/>
      <c r="AA561" s="250"/>
      <c r="AB561" s="250"/>
      <c r="AC561" s="250"/>
      <c r="AD561" s="250"/>
      <c r="AE561" s="250"/>
      <c r="AF561" s="250"/>
      <c r="AG561" s="250"/>
      <c r="AH561" s="250"/>
      <c r="AI561" s="250"/>
      <c r="AJ561" s="250"/>
      <c r="AK561" s="250"/>
      <c r="AL561" s="250"/>
      <c r="AM561" s="250"/>
      <c r="AN561" s="250"/>
      <c r="AO561" s="250"/>
      <c r="AP561" s="250"/>
      <c r="AQ561" s="250"/>
      <c r="AR561" s="250"/>
      <c r="AS561" s="250"/>
      <c r="AT561" s="250"/>
      <c r="AU561" s="250"/>
      <c r="AV561" s="124"/>
    </row>
    <row r="562" spans="2:48" s="475" customFormat="1" x14ac:dyDescent="0.2">
      <c r="B562" s="250"/>
      <c r="C562" s="250"/>
      <c r="D562" s="250"/>
      <c r="E562" s="250"/>
      <c r="F562" s="250"/>
      <c r="G562" s="250"/>
      <c r="H562" s="250"/>
      <c r="I562" s="250"/>
      <c r="J562" s="250"/>
      <c r="K562" s="250"/>
      <c r="L562" s="250"/>
      <c r="M562" s="250"/>
      <c r="N562" s="250"/>
      <c r="O562" s="250"/>
      <c r="P562" s="250"/>
      <c r="Q562" s="250"/>
      <c r="R562" s="250"/>
      <c r="S562" s="250"/>
      <c r="T562" s="250"/>
      <c r="U562" s="250"/>
      <c r="V562" s="250"/>
      <c r="W562" s="250"/>
      <c r="X562" s="250"/>
      <c r="Y562" s="250"/>
      <c r="Z562" s="250"/>
      <c r="AA562" s="250"/>
      <c r="AB562" s="250"/>
      <c r="AC562" s="250"/>
      <c r="AD562" s="250"/>
      <c r="AE562" s="250"/>
      <c r="AF562" s="250"/>
      <c r="AG562" s="250"/>
      <c r="AH562" s="250"/>
      <c r="AI562" s="250"/>
      <c r="AJ562" s="250"/>
      <c r="AK562" s="250"/>
      <c r="AL562" s="250"/>
      <c r="AM562" s="250"/>
      <c r="AN562" s="250"/>
      <c r="AO562" s="250"/>
      <c r="AP562" s="250"/>
      <c r="AQ562" s="250"/>
      <c r="AR562" s="250"/>
      <c r="AS562" s="250"/>
      <c r="AT562" s="250"/>
      <c r="AU562" s="250"/>
      <c r="AV562" s="124"/>
    </row>
    <row r="563" spans="2:48" s="475" customFormat="1" x14ac:dyDescent="0.2">
      <c r="B563" s="250"/>
      <c r="C563" s="250"/>
      <c r="D563" s="250"/>
      <c r="E563" s="250"/>
      <c r="F563" s="250"/>
      <c r="G563" s="250"/>
      <c r="H563" s="250"/>
      <c r="I563" s="250"/>
      <c r="J563" s="250"/>
      <c r="K563" s="250"/>
      <c r="L563" s="250"/>
      <c r="M563" s="250"/>
      <c r="N563" s="250"/>
      <c r="O563" s="250"/>
      <c r="P563" s="250"/>
      <c r="Q563" s="250"/>
      <c r="R563" s="250"/>
      <c r="S563" s="250"/>
      <c r="T563" s="250"/>
      <c r="U563" s="250"/>
      <c r="V563" s="250"/>
      <c r="W563" s="250"/>
      <c r="X563" s="250"/>
      <c r="Y563" s="250"/>
      <c r="Z563" s="250"/>
      <c r="AA563" s="250"/>
      <c r="AB563" s="250"/>
      <c r="AC563" s="250"/>
      <c r="AD563" s="250"/>
      <c r="AE563" s="250"/>
      <c r="AF563" s="250"/>
      <c r="AG563" s="250"/>
      <c r="AH563" s="250"/>
      <c r="AI563" s="250"/>
      <c r="AJ563" s="250"/>
      <c r="AK563" s="250"/>
      <c r="AL563" s="250"/>
      <c r="AM563" s="250"/>
      <c r="AN563" s="250"/>
      <c r="AO563" s="250"/>
      <c r="AP563" s="250"/>
      <c r="AQ563" s="250"/>
      <c r="AR563" s="250"/>
      <c r="AS563" s="250"/>
      <c r="AT563" s="250"/>
      <c r="AU563" s="250"/>
      <c r="AV563" s="124"/>
    </row>
    <row r="564" spans="2:48" s="475" customFormat="1" x14ac:dyDescent="0.2">
      <c r="B564" s="250"/>
      <c r="C564" s="250"/>
      <c r="D564" s="250"/>
      <c r="E564" s="250"/>
      <c r="F564" s="250"/>
      <c r="G564" s="250"/>
      <c r="H564" s="250"/>
      <c r="I564" s="250"/>
      <c r="J564" s="250"/>
      <c r="K564" s="250"/>
      <c r="L564" s="250"/>
      <c r="M564" s="250"/>
      <c r="N564" s="250"/>
      <c r="O564" s="250"/>
      <c r="P564" s="250"/>
      <c r="Q564" s="250"/>
      <c r="R564" s="250"/>
      <c r="S564" s="250"/>
      <c r="T564" s="250"/>
      <c r="U564" s="250"/>
      <c r="V564" s="250"/>
      <c r="W564" s="250"/>
      <c r="X564" s="250"/>
      <c r="Y564" s="250"/>
      <c r="Z564" s="250"/>
      <c r="AA564" s="250"/>
      <c r="AB564" s="250"/>
      <c r="AC564" s="250"/>
      <c r="AD564" s="250"/>
      <c r="AE564" s="250"/>
      <c r="AF564" s="250"/>
      <c r="AG564" s="250"/>
      <c r="AH564" s="250"/>
      <c r="AI564" s="250"/>
      <c r="AJ564" s="250"/>
      <c r="AK564" s="250"/>
      <c r="AL564" s="250"/>
      <c r="AM564" s="250"/>
      <c r="AN564" s="250"/>
      <c r="AO564" s="250"/>
      <c r="AP564" s="250"/>
      <c r="AQ564" s="250"/>
      <c r="AR564" s="250"/>
      <c r="AS564" s="250"/>
      <c r="AT564" s="250"/>
      <c r="AU564" s="250"/>
      <c r="AV564" s="124"/>
    </row>
    <row r="565" spans="2:48" s="475" customFormat="1" x14ac:dyDescent="0.2">
      <c r="B565" s="250"/>
      <c r="C565" s="250"/>
      <c r="D565" s="250"/>
      <c r="E565" s="250"/>
      <c r="F565" s="250"/>
      <c r="G565" s="250"/>
      <c r="H565" s="250"/>
      <c r="I565" s="250"/>
      <c r="J565" s="250"/>
      <c r="K565" s="250"/>
      <c r="L565" s="250"/>
      <c r="M565" s="250"/>
      <c r="N565" s="250"/>
      <c r="O565" s="250"/>
      <c r="P565" s="250"/>
      <c r="Q565" s="250"/>
      <c r="R565" s="250"/>
      <c r="S565" s="250"/>
      <c r="T565" s="250"/>
      <c r="U565" s="250"/>
      <c r="V565" s="250"/>
      <c r="W565" s="250"/>
      <c r="X565" s="250"/>
      <c r="Y565" s="250"/>
      <c r="Z565" s="250"/>
      <c r="AA565" s="250"/>
      <c r="AB565" s="250"/>
      <c r="AC565" s="250"/>
      <c r="AD565" s="250"/>
      <c r="AE565" s="250"/>
      <c r="AF565" s="250"/>
      <c r="AG565" s="250"/>
      <c r="AH565" s="250"/>
      <c r="AI565" s="250"/>
      <c r="AJ565" s="250"/>
      <c r="AK565" s="250"/>
      <c r="AL565" s="250"/>
      <c r="AM565" s="250"/>
      <c r="AN565" s="250"/>
      <c r="AO565" s="250"/>
      <c r="AP565" s="250"/>
      <c r="AQ565" s="250"/>
      <c r="AR565" s="250"/>
      <c r="AS565" s="250"/>
      <c r="AT565" s="250"/>
      <c r="AU565" s="250"/>
      <c r="AV565" s="124"/>
    </row>
    <row r="566" spans="2:48" s="475" customFormat="1" x14ac:dyDescent="0.2">
      <c r="B566" s="250"/>
      <c r="C566" s="250"/>
      <c r="D566" s="250"/>
      <c r="E566" s="250"/>
      <c r="F566" s="250"/>
      <c r="G566" s="250"/>
      <c r="H566" s="250"/>
      <c r="I566" s="250"/>
      <c r="J566" s="250"/>
      <c r="K566" s="250"/>
      <c r="L566" s="250"/>
      <c r="M566" s="250"/>
      <c r="N566" s="250"/>
      <c r="O566" s="250"/>
      <c r="P566" s="250"/>
      <c r="Q566" s="250"/>
      <c r="R566" s="250"/>
      <c r="S566" s="250"/>
      <c r="T566" s="250"/>
      <c r="U566" s="250"/>
      <c r="V566" s="250"/>
      <c r="W566" s="250"/>
      <c r="X566" s="250"/>
      <c r="Y566" s="250"/>
      <c r="Z566" s="250"/>
      <c r="AA566" s="250"/>
      <c r="AB566" s="250"/>
      <c r="AC566" s="250"/>
      <c r="AD566" s="250"/>
      <c r="AE566" s="250"/>
      <c r="AF566" s="250"/>
      <c r="AG566" s="250"/>
      <c r="AH566" s="250"/>
      <c r="AI566" s="250"/>
      <c r="AJ566" s="250"/>
      <c r="AK566" s="250"/>
      <c r="AL566" s="250"/>
      <c r="AM566" s="250"/>
      <c r="AN566" s="250"/>
      <c r="AO566" s="250"/>
      <c r="AP566" s="250"/>
      <c r="AQ566" s="250"/>
      <c r="AR566" s="250"/>
      <c r="AS566" s="250"/>
      <c r="AT566" s="250"/>
      <c r="AU566" s="250"/>
      <c r="AV566" s="124"/>
    </row>
    <row r="567" spans="2:48" s="475" customFormat="1" x14ac:dyDescent="0.2">
      <c r="B567" s="250"/>
      <c r="C567" s="250"/>
      <c r="D567" s="250"/>
      <c r="E567" s="250"/>
      <c r="F567" s="250"/>
      <c r="G567" s="250"/>
      <c r="H567" s="250"/>
      <c r="I567" s="250"/>
      <c r="J567" s="250"/>
      <c r="K567" s="250"/>
      <c r="L567" s="250"/>
      <c r="M567" s="250"/>
      <c r="N567" s="250"/>
      <c r="O567" s="250"/>
      <c r="P567" s="250"/>
      <c r="Q567" s="250"/>
      <c r="R567" s="250"/>
      <c r="S567" s="250"/>
      <c r="T567" s="250"/>
      <c r="U567" s="250"/>
      <c r="V567" s="250"/>
      <c r="W567" s="250"/>
      <c r="X567" s="250"/>
      <c r="Y567" s="250"/>
      <c r="Z567" s="250"/>
      <c r="AA567" s="250"/>
      <c r="AB567" s="250"/>
      <c r="AC567" s="250"/>
      <c r="AD567" s="250"/>
      <c r="AE567" s="250"/>
      <c r="AF567" s="250"/>
      <c r="AG567" s="250"/>
      <c r="AH567" s="250"/>
      <c r="AI567" s="250"/>
      <c r="AJ567" s="250"/>
      <c r="AK567" s="250"/>
      <c r="AL567" s="250"/>
      <c r="AM567" s="250"/>
      <c r="AN567" s="250"/>
      <c r="AO567" s="250"/>
      <c r="AP567" s="250"/>
      <c r="AQ567" s="250"/>
      <c r="AR567" s="250"/>
      <c r="AS567" s="250"/>
      <c r="AT567" s="250"/>
      <c r="AU567" s="250"/>
      <c r="AV567" s="124"/>
    </row>
    <row r="568" spans="2:48" s="475" customFormat="1" x14ac:dyDescent="0.2">
      <c r="B568" s="250"/>
      <c r="C568" s="250"/>
      <c r="D568" s="250"/>
      <c r="E568" s="250"/>
      <c r="F568" s="250"/>
      <c r="G568" s="250"/>
      <c r="H568" s="250"/>
      <c r="I568" s="250"/>
      <c r="J568" s="250"/>
      <c r="K568" s="250"/>
      <c r="L568" s="250"/>
      <c r="M568" s="250"/>
      <c r="N568" s="250"/>
      <c r="O568" s="250"/>
      <c r="P568" s="250"/>
      <c r="Q568" s="250"/>
      <c r="R568" s="250"/>
      <c r="S568" s="250"/>
      <c r="T568" s="250"/>
      <c r="U568" s="250"/>
      <c r="V568" s="250"/>
      <c r="W568" s="250"/>
      <c r="X568" s="250"/>
      <c r="Y568" s="250"/>
      <c r="Z568" s="250"/>
      <c r="AA568" s="250"/>
      <c r="AB568" s="250"/>
      <c r="AC568" s="250"/>
      <c r="AD568" s="250"/>
      <c r="AE568" s="250"/>
      <c r="AF568" s="250"/>
      <c r="AG568" s="250"/>
      <c r="AH568" s="250"/>
      <c r="AI568" s="250"/>
      <c r="AJ568" s="250"/>
      <c r="AK568" s="250"/>
      <c r="AL568" s="250"/>
      <c r="AM568" s="250"/>
      <c r="AN568" s="250"/>
      <c r="AO568" s="250"/>
      <c r="AP568" s="250"/>
      <c r="AQ568" s="250"/>
      <c r="AR568" s="250"/>
      <c r="AS568" s="250"/>
      <c r="AT568" s="250"/>
      <c r="AU568" s="250"/>
      <c r="AV568" s="124"/>
    </row>
    <row r="569" spans="2:48" s="475" customFormat="1" x14ac:dyDescent="0.2">
      <c r="B569" s="250"/>
      <c r="C569" s="250"/>
      <c r="D569" s="250"/>
      <c r="E569" s="250"/>
      <c r="F569" s="250"/>
      <c r="G569" s="250"/>
      <c r="H569" s="250"/>
      <c r="I569" s="250"/>
      <c r="J569" s="250"/>
      <c r="K569" s="250"/>
      <c r="L569" s="250"/>
      <c r="M569" s="250"/>
      <c r="N569" s="250"/>
      <c r="O569" s="250"/>
      <c r="P569" s="250"/>
      <c r="Q569" s="250"/>
      <c r="R569" s="250"/>
      <c r="S569" s="250"/>
      <c r="T569" s="250"/>
      <c r="U569" s="250"/>
      <c r="V569" s="250"/>
      <c r="W569" s="250"/>
      <c r="X569" s="250"/>
      <c r="Y569" s="250"/>
      <c r="Z569" s="250"/>
      <c r="AA569" s="250"/>
      <c r="AB569" s="250"/>
      <c r="AC569" s="250"/>
      <c r="AD569" s="250"/>
      <c r="AE569" s="250"/>
      <c r="AF569" s="250"/>
      <c r="AG569" s="250"/>
      <c r="AH569" s="250"/>
      <c r="AI569" s="250"/>
      <c r="AJ569" s="250"/>
      <c r="AK569" s="250"/>
      <c r="AL569" s="250"/>
      <c r="AM569" s="250"/>
      <c r="AN569" s="250"/>
      <c r="AO569" s="250"/>
      <c r="AP569" s="250"/>
      <c r="AQ569" s="250"/>
      <c r="AR569" s="250"/>
      <c r="AS569" s="250"/>
      <c r="AT569" s="250"/>
      <c r="AU569" s="250"/>
      <c r="AV569" s="124"/>
    </row>
    <row r="570" spans="2:48" s="475" customFormat="1" x14ac:dyDescent="0.2">
      <c r="B570" s="250"/>
      <c r="C570" s="250"/>
      <c r="D570" s="250"/>
      <c r="E570" s="250"/>
      <c r="F570" s="250"/>
      <c r="G570" s="250"/>
      <c r="H570" s="250"/>
      <c r="I570" s="250"/>
      <c r="J570" s="250"/>
      <c r="K570" s="250"/>
      <c r="L570" s="250"/>
      <c r="M570" s="250"/>
      <c r="N570" s="250"/>
      <c r="O570" s="250"/>
      <c r="P570" s="250"/>
      <c r="Q570" s="250"/>
      <c r="R570" s="250"/>
      <c r="S570" s="250"/>
      <c r="T570" s="250"/>
      <c r="U570" s="250"/>
      <c r="V570" s="250"/>
      <c r="W570" s="250"/>
      <c r="X570" s="250"/>
      <c r="Y570" s="250"/>
      <c r="Z570" s="250"/>
      <c r="AA570" s="250"/>
      <c r="AB570" s="250"/>
      <c r="AC570" s="250"/>
      <c r="AD570" s="250"/>
      <c r="AE570" s="250"/>
      <c r="AF570" s="250"/>
      <c r="AG570" s="250"/>
      <c r="AH570" s="250"/>
      <c r="AI570" s="250"/>
      <c r="AJ570" s="250"/>
      <c r="AK570" s="250"/>
      <c r="AL570" s="250"/>
      <c r="AM570" s="250"/>
      <c r="AN570" s="250"/>
      <c r="AO570" s="250"/>
      <c r="AP570" s="250"/>
      <c r="AQ570" s="250"/>
      <c r="AR570" s="250"/>
      <c r="AS570" s="250"/>
      <c r="AT570" s="250"/>
      <c r="AU570" s="250"/>
      <c r="AV570" s="124"/>
    </row>
    <row r="571" spans="2:48" s="475" customFormat="1" x14ac:dyDescent="0.2">
      <c r="B571" s="250"/>
      <c r="C571" s="250"/>
      <c r="D571" s="250"/>
      <c r="E571" s="250"/>
      <c r="F571" s="250"/>
      <c r="G571" s="250"/>
      <c r="H571" s="250"/>
      <c r="I571" s="250"/>
      <c r="J571" s="250"/>
      <c r="K571" s="250"/>
      <c r="L571" s="250"/>
      <c r="M571" s="250"/>
      <c r="N571" s="250"/>
      <c r="O571" s="250"/>
      <c r="P571" s="250"/>
      <c r="Q571" s="250"/>
      <c r="R571" s="250"/>
      <c r="S571" s="250"/>
      <c r="T571" s="250"/>
      <c r="U571" s="250"/>
      <c r="V571" s="250"/>
      <c r="W571" s="250"/>
      <c r="X571" s="250"/>
      <c r="Y571" s="250"/>
      <c r="Z571" s="250"/>
      <c r="AA571" s="250"/>
      <c r="AB571" s="250"/>
      <c r="AC571" s="250"/>
      <c r="AD571" s="250"/>
      <c r="AE571" s="250"/>
      <c r="AF571" s="250"/>
      <c r="AG571" s="250"/>
      <c r="AH571" s="250"/>
      <c r="AI571" s="250"/>
      <c r="AJ571" s="250"/>
      <c r="AK571" s="250"/>
      <c r="AL571" s="250"/>
      <c r="AM571" s="250"/>
      <c r="AN571" s="250"/>
      <c r="AO571" s="250"/>
      <c r="AP571" s="250"/>
      <c r="AQ571" s="250"/>
      <c r="AR571" s="250"/>
      <c r="AS571" s="250"/>
      <c r="AT571" s="250"/>
      <c r="AU571" s="250"/>
      <c r="AV571" s="124"/>
    </row>
    <row r="572" spans="2:48" s="475" customFormat="1" x14ac:dyDescent="0.2">
      <c r="B572" s="250"/>
      <c r="C572" s="250"/>
      <c r="D572" s="250"/>
      <c r="E572" s="250"/>
      <c r="F572" s="250"/>
      <c r="G572" s="250"/>
      <c r="H572" s="250"/>
      <c r="I572" s="250"/>
      <c r="J572" s="250"/>
      <c r="K572" s="250"/>
      <c r="L572" s="250"/>
      <c r="M572" s="250"/>
      <c r="N572" s="250"/>
      <c r="O572" s="250"/>
      <c r="P572" s="250"/>
      <c r="Q572" s="250"/>
      <c r="R572" s="250"/>
      <c r="S572" s="250"/>
      <c r="T572" s="250"/>
      <c r="U572" s="250"/>
      <c r="V572" s="250"/>
      <c r="W572" s="250"/>
      <c r="X572" s="250"/>
      <c r="Y572" s="250"/>
      <c r="Z572" s="250"/>
      <c r="AA572" s="250"/>
      <c r="AB572" s="250"/>
      <c r="AC572" s="250"/>
      <c r="AD572" s="250"/>
      <c r="AE572" s="250"/>
      <c r="AF572" s="250"/>
      <c r="AG572" s="250"/>
      <c r="AH572" s="250"/>
      <c r="AI572" s="250"/>
      <c r="AJ572" s="250"/>
      <c r="AK572" s="250"/>
      <c r="AL572" s="250"/>
      <c r="AM572" s="250"/>
      <c r="AN572" s="250"/>
      <c r="AO572" s="250"/>
      <c r="AP572" s="250"/>
      <c r="AQ572" s="250"/>
      <c r="AR572" s="250"/>
      <c r="AS572" s="250"/>
      <c r="AT572" s="250"/>
      <c r="AU572" s="250"/>
      <c r="AV572" s="124"/>
    </row>
    <row r="573" spans="2:48" s="475" customFormat="1" x14ac:dyDescent="0.2">
      <c r="B573" s="250"/>
      <c r="C573" s="250"/>
      <c r="D573" s="250"/>
      <c r="E573" s="250"/>
      <c r="F573" s="250"/>
      <c r="G573" s="250"/>
      <c r="H573" s="250"/>
      <c r="I573" s="250"/>
      <c r="J573" s="250"/>
      <c r="K573" s="250"/>
      <c r="L573" s="250"/>
      <c r="M573" s="250"/>
      <c r="N573" s="250"/>
      <c r="O573" s="250"/>
      <c r="P573" s="250"/>
      <c r="Q573" s="250"/>
      <c r="R573" s="250"/>
      <c r="S573" s="250"/>
      <c r="T573" s="250"/>
      <c r="U573" s="250"/>
      <c r="V573" s="250"/>
      <c r="W573" s="250"/>
      <c r="X573" s="250"/>
      <c r="Y573" s="250"/>
      <c r="Z573" s="250"/>
      <c r="AA573" s="250"/>
      <c r="AB573" s="250"/>
      <c r="AC573" s="250"/>
      <c r="AD573" s="250"/>
      <c r="AE573" s="250"/>
      <c r="AF573" s="250"/>
      <c r="AG573" s="250"/>
      <c r="AH573" s="250"/>
      <c r="AI573" s="250"/>
      <c r="AJ573" s="250"/>
      <c r="AK573" s="250"/>
      <c r="AL573" s="250"/>
      <c r="AM573" s="250"/>
      <c r="AN573" s="250"/>
      <c r="AO573" s="250"/>
      <c r="AP573" s="250"/>
      <c r="AQ573" s="250"/>
      <c r="AR573" s="250"/>
      <c r="AS573" s="250"/>
      <c r="AT573" s="250"/>
      <c r="AU573" s="250"/>
      <c r="AV573" s="124"/>
    </row>
    <row r="574" spans="2:48" s="475" customFormat="1" x14ac:dyDescent="0.2">
      <c r="B574" s="250"/>
      <c r="C574" s="250"/>
      <c r="D574" s="250"/>
      <c r="E574" s="250"/>
      <c r="F574" s="250"/>
      <c r="G574" s="250"/>
      <c r="H574" s="250"/>
      <c r="I574" s="250"/>
      <c r="J574" s="250"/>
      <c r="K574" s="250"/>
      <c r="L574" s="250"/>
      <c r="M574" s="250"/>
      <c r="N574" s="250"/>
      <c r="O574" s="250"/>
      <c r="P574" s="250"/>
      <c r="Q574" s="250"/>
      <c r="R574" s="250"/>
      <c r="S574" s="250"/>
      <c r="T574" s="250"/>
      <c r="U574" s="250"/>
      <c r="V574" s="250"/>
      <c r="W574" s="250"/>
      <c r="X574" s="250"/>
      <c r="Y574" s="250"/>
      <c r="Z574" s="250"/>
      <c r="AA574" s="250"/>
      <c r="AB574" s="250"/>
      <c r="AC574" s="250"/>
      <c r="AD574" s="250"/>
      <c r="AE574" s="250"/>
      <c r="AF574" s="250"/>
      <c r="AG574" s="250"/>
      <c r="AH574" s="250"/>
      <c r="AI574" s="250"/>
      <c r="AJ574" s="250"/>
      <c r="AK574" s="250"/>
      <c r="AL574" s="250"/>
      <c r="AM574" s="250"/>
      <c r="AN574" s="250"/>
      <c r="AO574" s="250"/>
      <c r="AP574" s="250"/>
      <c r="AQ574" s="250"/>
      <c r="AR574" s="250"/>
      <c r="AS574" s="250"/>
      <c r="AT574" s="250"/>
      <c r="AU574" s="250"/>
      <c r="AV574" s="124"/>
    </row>
    <row r="575" spans="2:48" s="475" customFormat="1" x14ac:dyDescent="0.2">
      <c r="B575" s="250"/>
      <c r="C575" s="250"/>
      <c r="D575" s="250"/>
      <c r="E575" s="250"/>
      <c r="F575" s="250"/>
      <c r="G575" s="250"/>
      <c r="H575" s="250"/>
      <c r="I575" s="250"/>
      <c r="J575" s="250"/>
      <c r="K575" s="250"/>
      <c r="L575" s="250"/>
      <c r="M575" s="250"/>
      <c r="N575" s="250"/>
      <c r="O575" s="250"/>
      <c r="P575" s="250"/>
      <c r="Q575" s="250"/>
      <c r="R575" s="250"/>
      <c r="S575" s="250"/>
      <c r="T575" s="250"/>
      <c r="U575" s="250"/>
      <c r="V575" s="250"/>
      <c r="W575" s="250"/>
      <c r="X575" s="250"/>
      <c r="Y575" s="250"/>
      <c r="Z575" s="250"/>
      <c r="AA575" s="250"/>
      <c r="AB575" s="250"/>
      <c r="AC575" s="250"/>
      <c r="AD575" s="250"/>
      <c r="AE575" s="250"/>
      <c r="AF575" s="250"/>
      <c r="AG575" s="250"/>
      <c r="AH575" s="250"/>
      <c r="AI575" s="250"/>
      <c r="AJ575" s="250"/>
      <c r="AK575" s="250"/>
      <c r="AL575" s="250"/>
      <c r="AM575" s="250"/>
      <c r="AN575" s="250"/>
      <c r="AO575" s="250"/>
      <c r="AP575" s="250"/>
      <c r="AQ575" s="250"/>
      <c r="AR575" s="250"/>
      <c r="AS575" s="250"/>
      <c r="AT575" s="250"/>
      <c r="AU575" s="250"/>
      <c r="AV575" s="124"/>
    </row>
    <row r="576" spans="2:48" s="475" customFormat="1" x14ac:dyDescent="0.2">
      <c r="B576" s="250"/>
      <c r="C576" s="250"/>
      <c r="D576" s="250"/>
      <c r="E576" s="250"/>
      <c r="F576" s="250"/>
      <c r="G576" s="250"/>
      <c r="H576" s="250"/>
      <c r="I576" s="250"/>
      <c r="J576" s="250"/>
      <c r="K576" s="250"/>
      <c r="L576" s="250"/>
      <c r="M576" s="250"/>
      <c r="N576" s="250"/>
      <c r="O576" s="250"/>
      <c r="P576" s="250"/>
      <c r="Q576" s="250"/>
      <c r="R576" s="250"/>
      <c r="S576" s="250"/>
      <c r="T576" s="250"/>
      <c r="U576" s="250"/>
      <c r="V576" s="250"/>
      <c r="W576" s="250"/>
      <c r="X576" s="250"/>
      <c r="Y576" s="250"/>
      <c r="Z576" s="250"/>
      <c r="AA576" s="250"/>
      <c r="AB576" s="250"/>
      <c r="AC576" s="250"/>
      <c r="AD576" s="250"/>
      <c r="AE576" s="250"/>
      <c r="AF576" s="250"/>
      <c r="AG576" s="250"/>
      <c r="AH576" s="250"/>
      <c r="AI576" s="250"/>
      <c r="AJ576" s="250"/>
      <c r="AK576" s="250"/>
      <c r="AL576" s="250"/>
      <c r="AM576" s="250"/>
      <c r="AN576" s="250"/>
      <c r="AO576" s="250"/>
      <c r="AP576" s="250"/>
      <c r="AQ576" s="250"/>
      <c r="AR576" s="250"/>
      <c r="AS576" s="250"/>
      <c r="AT576" s="250"/>
      <c r="AU576" s="250"/>
      <c r="AV576" s="124"/>
    </row>
    <row r="577" spans="2:48" s="475" customFormat="1" x14ac:dyDescent="0.2">
      <c r="B577" s="250"/>
      <c r="C577" s="250"/>
      <c r="D577" s="250"/>
      <c r="E577" s="250"/>
      <c r="F577" s="250"/>
      <c r="G577" s="250"/>
      <c r="H577" s="250"/>
      <c r="I577" s="250"/>
      <c r="J577" s="250"/>
      <c r="K577" s="250"/>
      <c r="L577" s="250"/>
      <c r="M577" s="250"/>
      <c r="N577" s="250"/>
      <c r="O577" s="250"/>
      <c r="P577" s="250"/>
      <c r="Q577" s="250"/>
      <c r="R577" s="250"/>
      <c r="S577" s="250"/>
      <c r="T577" s="250"/>
      <c r="U577" s="250"/>
      <c r="V577" s="250"/>
      <c r="W577" s="250"/>
      <c r="X577" s="250"/>
      <c r="Y577" s="250"/>
      <c r="Z577" s="250"/>
      <c r="AA577" s="250"/>
      <c r="AB577" s="250"/>
      <c r="AC577" s="250"/>
      <c r="AD577" s="250"/>
      <c r="AE577" s="250"/>
      <c r="AF577" s="250"/>
      <c r="AG577" s="250"/>
      <c r="AH577" s="250"/>
      <c r="AI577" s="250"/>
      <c r="AJ577" s="250"/>
      <c r="AK577" s="250"/>
      <c r="AL577" s="250"/>
      <c r="AM577" s="250"/>
      <c r="AN577" s="250"/>
      <c r="AO577" s="250"/>
      <c r="AP577" s="250"/>
      <c r="AQ577" s="250"/>
      <c r="AR577" s="250"/>
      <c r="AS577" s="250"/>
      <c r="AT577" s="250"/>
      <c r="AU577" s="250"/>
      <c r="AV577" s="124"/>
    </row>
    <row r="578" spans="2:48" s="475" customFormat="1" x14ac:dyDescent="0.2">
      <c r="B578" s="250"/>
      <c r="C578" s="250"/>
      <c r="D578" s="250"/>
      <c r="E578" s="250"/>
      <c r="F578" s="250"/>
      <c r="G578" s="250"/>
      <c r="H578" s="250"/>
      <c r="I578" s="250"/>
      <c r="J578" s="250"/>
      <c r="K578" s="250"/>
      <c r="L578" s="250"/>
      <c r="M578" s="250"/>
      <c r="N578" s="250"/>
      <c r="O578" s="250"/>
      <c r="P578" s="250"/>
      <c r="Q578" s="250"/>
      <c r="R578" s="250"/>
      <c r="S578" s="250"/>
      <c r="T578" s="250"/>
      <c r="U578" s="250"/>
      <c r="V578" s="250"/>
      <c r="W578" s="250"/>
      <c r="X578" s="250"/>
      <c r="Y578" s="250"/>
      <c r="Z578" s="250"/>
      <c r="AA578" s="250"/>
      <c r="AB578" s="250"/>
      <c r="AC578" s="250"/>
      <c r="AD578" s="250"/>
      <c r="AE578" s="250"/>
      <c r="AF578" s="250"/>
      <c r="AG578" s="250"/>
      <c r="AH578" s="250"/>
      <c r="AI578" s="250"/>
      <c r="AJ578" s="250"/>
      <c r="AK578" s="250"/>
      <c r="AL578" s="250"/>
      <c r="AM578" s="250"/>
      <c r="AN578" s="250"/>
      <c r="AO578" s="250"/>
      <c r="AP578" s="250"/>
      <c r="AQ578" s="250"/>
      <c r="AR578" s="250"/>
      <c r="AS578" s="250"/>
      <c r="AT578" s="250"/>
      <c r="AU578" s="250"/>
      <c r="AV578" s="124"/>
    </row>
    <row r="579" spans="2:48" s="475" customFormat="1" x14ac:dyDescent="0.2">
      <c r="B579" s="250"/>
      <c r="C579" s="250"/>
      <c r="D579" s="250"/>
      <c r="E579" s="250"/>
      <c r="F579" s="250"/>
      <c r="G579" s="250"/>
      <c r="H579" s="250"/>
      <c r="I579" s="250"/>
      <c r="J579" s="250"/>
      <c r="K579" s="250"/>
      <c r="L579" s="250"/>
      <c r="M579" s="250"/>
      <c r="N579" s="250"/>
      <c r="O579" s="250"/>
      <c r="P579" s="250"/>
      <c r="Q579" s="250"/>
      <c r="R579" s="250"/>
      <c r="S579" s="250"/>
      <c r="T579" s="250"/>
      <c r="U579" s="250"/>
      <c r="V579" s="250"/>
      <c r="W579" s="250"/>
      <c r="X579" s="250"/>
      <c r="Y579" s="250"/>
      <c r="Z579" s="250"/>
      <c r="AA579" s="250"/>
      <c r="AB579" s="250"/>
      <c r="AC579" s="250"/>
      <c r="AD579" s="250"/>
      <c r="AE579" s="250"/>
      <c r="AF579" s="250"/>
      <c r="AG579" s="250"/>
      <c r="AH579" s="250"/>
      <c r="AI579" s="250"/>
      <c r="AJ579" s="250"/>
      <c r="AK579" s="250"/>
      <c r="AL579" s="250"/>
      <c r="AM579" s="250"/>
      <c r="AN579" s="250"/>
      <c r="AO579" s="250"/>
      <c r="AP579" s="250"/>
      <c r="AQ579" s="250"/>
      <c r="AR579" s="250"/>
      <c r="AS579" s="250"/>
      <c r="AT579" s="250"/>
      <c r="AU579" s="250"/>
      <c r="AV579" s="124"/>
    </row>
    <row r="580" spans="2:48" s="475" customFormat="1" x14ac:dyDescent="0.2">
      <c r="B580" s="250"/>
      <c r="C580" s="250"/>
      <c r="D580" s="250"/>
      <c r="E580" s="250"/>
      <c r="F580" s="250"/>
      <c r="G580" s="250"/>
      <c r="H580" s="250"/>
      <c r="I580" s="250"/>
      <c r="J580" s="250"/>
      <c r="K580" s="250"/>
      <c r="L580" s="250"/>
      <c r="M580" s="250"/>
      <c r="N580" s="250"/>
      <c r="O580" s="250"/>
      <c r="P580" s="250"/>
      <c r="Q580" s="250"/>
      <c r="R580" s="250"/>
      <c r="S580" s="250"/>
      <c r="T580" s="250"/>
      <c r="U580" s="250"/>
      <c r="V580" s="250"/>
      <c r="W580" s="250"/>
      <c r="X580" s="250"/>
      <c r="Y580" s="250"/>
      <c r="Z580" s="250"/>
      <c r="AA580" s="250"/>
      <c r="AB580" s="250"/>
      <c r="AC580" s="250"/>
      <c r="AD580" s="250"/>
      <c r="AE580" s="250"/>
      <c r="AF580" s="250"/>
      <c r="AG580" s="250"/>
      <c r="AH580" s="250"/>
      <c r="AI580" s="250"/>
      <c r="AJ580" s="250"/>
      <c r="AK580" s="250"/>
      <c r="AL580" s="250"/>
      <c r="AM580" s="250"/>
      <c r="AN580" s="250"/>
      <c r="AO580" s="250"/>
      <c r="AP580" s="250"/>
      <c r="AQ580" s="250"/>
      <c r="AR580" s="250"/>
      <c r="AS580" s="250"/>
      <c r="AT580" s="250"/>
      <c r="AU580" s="250"/>
      <c r="AV580" s="124"/>
    </row>
    <row r="581" spans="2:48" s="475" customFormat="1" x14ac:dyDescent="0.2">
      <c r="B581" s="250"/>
      <c r="C581" s="250"/>
      <c r="D581" s="250"/>
      <c r="E581" s="250"/>
      <c r="F581" s="250"/>
      <c r="G581" s="250"/>
      <c r="H581" s="250"/>
      <c r="I581" s="250"/>
      <c r="J581" s="250"/>
      <c r="K581" s="250"/>
      <c r="L581" s="250"/>
      <c r="M581" s="250"/>
      <c r="N581" s="250"/>
      <c r="O581" s="250"/>
      <c r="P581" s="250"/>
      <c r="Q581" s="250"/>
      <c r="R581" s="250"/>
      <c r="S581" s="250"/>
      <c r="T581" s="250"/>
      <c r="U581" s="250"/>
      <c r="V581" s="250"/>
      <c r="W581" s="250"/>
      <c r="X581" s="250"/>
      <c r="Y581" s="250"/>
      <c r="Z581" s="250"/>
      <c r="AA581" s="250"/>
      <c r="AB581" s="250"/>
      <c r="AC581" s="250"/>
      <c r="AD581" s="250"/>
      <c r="AE581" s="250"/>
      <c r="AF581" s="250"/>
      <c r="AG581" s="250"/>
      <c r="AH581" s="250"/>
      <c r="AI581" s="250"/>
      <c r="AJ581" s="250"/>
      <c r="AK581" s="250"/>
      <c r="AL581" s="250"/>
      <c r="AM581" s="250"/>
      <c r="AN581" s="250"/>
      <c r="AO581" s="250"/>
      <c r="AP581" s="250"/>
      <c r="AQ581" s="250"/>
      <c r="AR581" s="250"/>
      <c r="AS581" s="250"/>
      <c r="AT581" s="250"/>
      <c r="AU581" s="250"/>
      <c r="AV581" s="124"/>
    </row>
    <row r="582" spans="2:48" s="475" customFormat="1" x14ac:dyDescent="0.2">
      <c r="B582" s="250"/>
      <c r="C582" s="250"/>
      <c r="D582" s="250"/>
      <c r="E582" s="250"/>
      <c r="F582" s="250"/>
      <c r="G582" s="250"/>
      <c r="H582" s="250"/>
      <c r="I582" s="250"/>
      <c r="J582" s="250"/>
      <c r="K582" s="250"/>
      <c r="L582" s="250"/>
      <c r="M582" s="250"/>
      <c r="N582" s="250"/>
      <c r="O582" s="250"/>
      <c r="P582" s="250"/>
      <c r="Q582" s="250"/>
      <c r="R582" s="250"/>
      <c r="S582" s="250"/>
      <c r="T582" s="250"/>
      <c r="U582" s="250"/>
      <c r="V582" s="250"/>
      <c r="W582" s="250"/>
      <c r="X582" s="250"/>
      <c r="Y582" s="250"/>
      <c r="Z582" s="250"/>
      <c r="AA582" s="250"/>
      <c r="AB582" s="250"/>
      <c r="AC582" s="250"/>
      <c r="AD582" s="250"/>
      <c r="AE582" s="250"/>
      <c r="AF582" s="250"/>
      <c r="AG582" s="250"/>
      <c r="AH582" s="250"/>
      <c r="AI582" s="250"/>
      <c r="AJ582" s="250"/>
      <c r="AK582" s="250"/>
      <c r="AL582" s="250"/>
      <c r="AM582" s="250"/>
      <c r="AN582" s="250"/>
      <c r="AO582" s="250"/>
      <c r="AP582" s="250"/>
      <c r="AQ582" s="250"/>
      <c r="AR582" s="250"/>
      <c r="AS582" s="250"/>
      <c r="AT582" s="250"/>
      <c r="AU582" s="250"/>
      <c r="AV582" s="124"/>
    </row>
    <row r="583" spans="2:48" s="475" customFormat="1" x14ac:dyDescent="0.2">
      <c r="B583" s="250"/>
      <c r="C583" s="250"/>
      <c r="D583" s="250"/>
      <c r="E583" s="250"/>
      <c r="F583" s="250"/>
      <c r="G583" s="250"/>
      <c r="H583" s="250"/>
      <c r="I583" s="250"/>
      <c r="J583" s="250"/>
      <c r="K583" s="250"/>
      <c r="L583" s="250"/>
      <c r="M583" s="250"/>
      <c r="N583" s="250"/>
      <c r="O583" s="250"/>
      <c r="P583" s="250"/>
      <c r="Q583" s="250"/>
      <c r="R583" s="250"/>
      <c r="S583" s="250"/>
      <c r="T583" s="250"/>
      <c r="U583" s="250"/>
      <c r="V583" s="250"/>
      <c r="W583" s="250"/>
      <c r="X583" s="250"/>
      <c r="Y583" s="250"/>
      <c r="Z583" s="250"/>
      <c r="AA583" s="250"/>
      <c r="AB583" s="250"/>
      <c r="AC583" s="250"/>
      <c r="AD583" s="250"/>
      <c r="AE583" s="250"/>
      <c r="AF583" s="250"/>
      <c r="AG583" s="250"/>
      <c r="AH583" s="250"/>
      <c r="AI583" s="250"/>
      <c r="AJ583" s="250"/>
      <c r="AK583" s="250"/>
      <c r="AL583" s="250"/>
      <c r="AM583" s="250"/>
      <c r="AN583" s="250"/>
      <c r="AO583" s="250"/>
      <c r="AP583" s="250"/>
      <c r="AQ583" s="250"/>
      <c r="AR583" s="250"/>
      <c r="AS583" s="250"/>
      <c r="AT583" s="250"/>
      <c r="AU583" s="250"/>
      <c r="AV583" s="124"/>
    </row>
    <row r="584" spans="2:48" s="475" customFormat="1" x14ac:dyDescent="0.2">
      <c r="B584" s="250"/>
      <c r="C584" s="250"/>
      <c r="D584" s="250"/>
      <c r="E584" s="250"/>
      <c r="F584" s="250"/>
      <c r="G584" s="250"/>
      <c r="H584" s="250"/>
      <c r="I584" s="250"/>
      <c r="J584" s="250"/>
      <c r="K584" s="250"/>
      <c r="L584" s="250"/>
      <c r="M584" s="250"/>
      <c r="N584" s="250"/>
      <c r="O584" s="250"/>
      <c r="P584" s="250"/>
      <c r="Q584" s="250"/>
      <c r="R584" s="250"/>
      <c r="S584" s="250"/>
      <c r="T584" s="250"/>
      <c r="U584" s="250"/>
      <c r="V584" s="250"/>
      <c r="W584" s="250"/>
      <c r="X584" s="250"/>
      <c r="Y584" s="250"/>
      <c r="Z584" s="250"/>
      <c r="AA584" s="250"/>
      <c r="AB584" s="250"/>
      <c r="AC584" s="250"/>
      <c r="AD584" s="250"/>
      <c r="AE584" s="250"/>
      <c r="AF584" s="250"/>
      <c r="AG584" s="250"/>
      <c r="AH584" s="250"/>
      <c r="AI584" s="250"/>
      <c r="AJ584" s="250"/>
      <c r="AK584" s="250"/>
      <c r="AL584" s="250"/>
      <c r="AM584" s="250"/>
      <c r="AN584" s="250"/>
      <c r="AO584" s="250"/>
      <c r="AP584" s="250"/>
      <c r="AQ584" s="250"/>
      <c r="AR584" s="250"/>
      <c r="AS584" s="250"/>
      <c r="AT584" s="250"/>
      <c r="AU584" s="250"/>
      <c r="AV584" s="124"/>
    </row>
    <row r="585" spans="2:48" s="475" customFormat="1" x14ac:dyDescent="0.2">
      <c r="B585" s="250"/>
      <c r="C585" s="250"/>
      <c r="D585" s="250"/>
      <c r="E585" s="250"/>
      <c r="F585" s="250"/>
      <c r="G585" s="250"/>
      <c r="H585" s="250"/>
      <c r="I585" s="250"/>
      <c r="J585" s="250"/>
      <c r="K585" s="250"/>
      <c r="L585" s="250"/>
      <c r="M585" s="250"/>
      <c r="N585" s="250"/>
      <c r="O585" s="250"/>
      <c r="P585" s="250"/>
      <c r="Q585" s="250"/>
      <c r="R585" s="250"/>
      <c r="S585" s="250"/>
      <c r="T585" s="250"/>
      <c r="U585" s="250"/>
      <c r="V585" s="250"/>
      <c r="W585" s="250"/>
      <c r="X585" s="250"/>
      <c r="Y585" s="250"/>
      <c r="Z585" s="250"/>
      <c r="AA585" s="250"/>
      <c r="AB585" s="250"/>
      <c r="AC585" s="250"/>
      <c r="AD585" s="250"/>
      <c r="AE585" s="250"/>
      <c r="AF585" s="250"/>
      <c r="AG585" s="250"/>
      <c r="AH585" s="250"/>
      <c r="AI585" s="250"/>
      <c r="AJ585" s="250"/>
      <c r="AK585" s="250"/>
      <c r="AL585" s="250"/>
      <c r="AM585" s="250"/>
      <c r="AN585" s="250"/>
      <c r="AO585" s="250"/>
      <c r="AP585" s="250"/>
      <c r="AQ585" s="250"/>
      <c r="AR585" s="250"/>
      <c r="AS585" s="250"/>
      <c r="AT585" s="250"/>
      <c r="AU585" s="250"/>
      <c r="AV585" s="124"/>
    </row>
    <row r="586" spans="2:48" s="475" customFormat="1" x14ac:dyDescent="0.2">
      <c r="B586" s="250"/>
      <c r="C586" s="250"/>
      <c r="D586" s="250"/>
      <c r="E586" s="250"/>
      <c r="F586" s="250"/>
      <c r="G586" s="250"/>
      <c r="H586" s="250"/>
      <c r="I586" s="250"/>
      <c r="J586" s="250"/>
      <c r="K586" s="250"/>
      <c r="L586" s="250"/>
      <c r="M586" s="250"/>
      <c r="N586" s="250"/>
      <c r="O586" s="250"/>
      <c r="P586" s="250"/>
      <c r="Q586" s="250"/>
      <c r="R586" s="250"/>
      <c r="S586" s="250"/>
      <c r="T586" s="250"/>
      <c r="U586" s="250"/>
      <c r="V586" s="250"/>
      <c r="W586" s="250"/>
      <c r="X586" s="250"/>
      <c r="Y586" s="250"/>
      <c r="Z586" s="250"/>
      <c r="AA586" s="250"/>
      <c r="AB586" s="250"/>
      <c r="AC586" s="250"/>
      <c r="AD586" s="250"/>
      <c r="AE586" s="250"/>
      <c r="AF586" s="250"/>
      <c r="AG586" s="250"/>
      <c r="AH586" s="250"/>
      <c r="AI586" s="250"/>
      <c r="AJ586" s="250"/>
      <c r="AK586" s="250"/>
      <c r="AL586" s="250"/>
      <c r="AM586" s="250"/>
      <c r="AN586" s="250"/>
      <c r="AO586" s="250"/>
      <c r="AP586" s="250"/>
      <c r="AQ586" s="250"/>
      <c r="AR586" s="250"/>
      <c r="AS586" s="250"/>
      <c r="AT586" s="250"/>
      <c r="AU586" s="250"/>
      <c r="AV586" s="124"/>
    </row>
    <row r="587" spans="2:48" s="475" customFormat="1" x14ac:dyDescent="0.2">
      <c r="B587" s="250"/>
      <c r="C587" s="250"/>
      <c r="D587" s="250"/>
      <c r="E587" s="250"/>
      <c r="F587" s="250"/>
      <c r="G587" s="250"/>
      <c r="H587" s="250"/>
      <c r="I587" s="250"/>
      <c r="J587" s="250"/>
      <c r="K587" s="250"/>
      <c r="L587" s="250"/>
      <c r="M587" s="250"/>
      <c r="N587" s="250"/>
      <c r="O587" s="250"/>
      <c r="P587" s="250"/>
      <c r="Q587" s="250"/>
      <c r="R587" s="250"/>
      <c r="S587" s="250"/>
      <c r="T587" s="250"/>
      <c r="U587" s="250"/>
      <c r="V587" s="250"/>
      <c r="W587" s="250"/>
      <c r="X587" s="250"/>
      <c r="Y587" s="250"/>
      <c r="Z587" s="250"/>
      <c r="AA587" s="250"/>
      <c r="AB587" s="250"/>
      <c r="AC587" s="250"/>
      <c r="AD587" s="250"/>
      <c r="AE587" s="250"/>
      <c r="AF587" s="250"/>
      <c r="AG587" s="250"/>
      <c r="AH587" s="250"/>
      <c r="AI587" s="250"/>
      <c r="AJ587" s="250"/>
      <c r="AK587" s="250"/>
      <c r="AL587" s="250"/>
      <c r="AM587" s="250"/>
      <c r="AN587" s="250"/>
      <c r="AO587" s="250"/>
      <c r="AP587" s="250"/>
      <c r="AQ587" s="250"/>
      <c r="AR587" s="250"/>
      <c r="AS587" s="250"/>
      <c r="AT587" s="250"/>
      <c r="AU587" s="250"/>
      <c r="AV587" s="124"/>
    </row>
    <row r="588" spans="2:48" s="475" customFormat="1" x14ac:dyDescent="0.2">
      <c r="B588" s="250"/>
      <c r="C588" s="250"/>
      <c r="D588" s="250"/>
      <c r="E588" s="250"/>
      <c r="F588" s="250"/>
      <c r="G588" s="250"/>
      <c r="H588" s="250"/>
      <c r="I588" s="250"/>
      <c r="J588" s="250"/>
      <c r="K588" s="250"/>
      <c r="L588" s="250"/>
      <c r="M588" s="250"/>
      <c r="N588" s="250"/>
      <c r="O588" s="250"/>
      <c r="P588" s="250"/>
      <c r="Q588" s="250"/>
      <c r="R588" s="250"/>
      <c r="S588" s="250"/>
      <c r="T588" s="250"/>
      <c r="U588" s="250"/>
      <c r="V588" s="250"/>
      <c r="W588" s="250"/>
      <c r="X588" s="250"/>
      <c r="Y588" s="250"/>
      <c r="Z588" s="250"/>
      <c r="AA588" s="250"/>
      <c r="AB588" s="250"/>
      <c r="AC588" s="250"/>
      <c r="AD588" s="250"/>
      <c r="AE588" s="250"/>
      <c r="AF588" s="250"/>
      <c r="AG588" s="250"/>
      <c r="AH588" s="250"/>
      <c r="AI588" s="250"/>
      <c r="AJ588" s="250"/>
      <c r="AK588" s="250"/>
      <c r="AL588" s="250"/>
      <c r="AM588" s="250"/>
      <c r="AN588" s="250"/>
      <c r="AO588" s="250"/>
      <c r="AP588" s="250"/>
      <c r="AQ588" s="250"/>
      <c r="AR588" s="250"/>
      <c r="AS588" s="250"/>
      <c r="AT588" s="250"/>
      <c r="AU588" s="250"/>
      <c r="AV588" s="124"/>
    </row>
    <row r="589" spans="2:48" s="475" customFormat="1" x14ac:dyDescent="0.2">
      <c r="B589" s="250"/>
      <c r="C589" s="250"/>
      <c r="D589" s="250"/>
      <c r="E589" s="250"/>
      <c r="F589" s="250"/>
      <c r="G589" s="250"/>
      <c r="H589" s="250"/>
      <c r="I589" s="250"/>
      <c r="J589" s="250"/>
      <c r="K589" s="250"/>
      <c r="L589" s="250"/>
      <c r="M589" s="250"/>
      <c r="N589" s="250"/>
      <c r="O589" s="250"/>
      <c r="P589" s="250"/>
      <c r="Q589" s="250"/>
      <c r="R589" s="250"/>
      <c r="S589" s="250"/>
      <c r="T589" s="250"/>
      <c r="U589" s="250"/>
      <c r="V589" s="250"/>
      <c r="W589" s="250"/>
      <c r="X589" s="250"/>
      <c r="Y589" s="250"/>
      <c r="Z589" s="250"/>
      <c r="AA589" s="250"/>
      <c r="AB589" s="250"/>
      <c r="AC589" s="250"/>
      <c r="AD589" s="250"/>
      <c r="AE589" s="250"/>
      <c r="AF589" s="250"/>
      <c r="AG589" s="250"/>
      <c r="AH589" s="250"/>
      <c r="AI589" s="250"/>
      <c r="AJ589" s="250"/>
      <c r="AK589" s="250"/>
      <c r="AL589" s="250"/>
      <c r="AM589" s="250"/>
      <c r="AN589" s="250"/>
      <c r="AO589" s="250"/>
      <c r="AP589" s="250"/>
      <c r="AQ589" s="250"/>
      <c r="AR589" s="250"/>
      <c r="AS589" s="250"/>
      <c r="AT589" s="250"/>
      <c r="AU589" s="250"/>
      <c r="AV589" s="124"/>
    </row>
    <row r="590" spans="2:48" s="475" customFormat="1" x14ac:dyDescent="0.2">
      <c r="B590" s="250"/>
      <c r="C590" s="250"/>
      <c r="D590" s="250"/>
      <c r="E590" s="250"/>
      <c r="F590" s="250"/>
      <c r="G590" s="250"/>
      <c r="H590" s="250"/>
      <c r="I590" s="250"/>
      <c r="J590" s="250"/>
      <c r="K590" s="250"/>
      <c r="L590" s="250"/>
      <c r="M590" s="250"/>
      <c r="N590" s="250"/>
      <c r="O590" s="250"/>
      <c r="P590" s="250"/>
      <c r="Q590" s="250"/>
      <c r="R590" s="250"/>
      <c r="S590" s="250"/>
      <c r="T590" s="250"/>
      <c r="U590" s="250"/>
      <c r="V590" s="250"/>
      <c r="W590" s="250"/>
      <c r="X590" s="250"/>
      <c r="Y590" s="250"/>
      <c r="Z590" s="250"/>
      <c r="AA590" s="250"/>
      <c r="AB590" s="250"/>
      <c r="AC590" s="250"/>
      <c r="AD590" s="250"/>
      <c r="AE590" s="250"/>
      <c r="AF590" s="250"/>
      <c r="AG590" s="250"/>
      <c r="AH590" s="250"/>
      <c r="AI590" s="250"/>
      <c r="AJ590" s="250"/>
      <c r="AK590" s="250"/>
      <c r="AL590" s="250"/>
      <c r="AM590" s="250"/>
      <c r="AN590" s="250"/>
      <c r="AO590" s="250"/>
      <c r="AP590" s="250"/>
      <c r="AQ590" s="250"/>
      <c r="AR590" s="250"/>
      <c r="AS590" s="250"/>
      <c r="AT590" s="250"/>
      <c r="AU590" s="250"/>
      <c r="AV590" s="124"/>
    </row>
    <row r="591" spans="2:48" s="475" customFormat="1" x14ac:dyDescent="0.2">
      <c r="B591" s="250"/>
      <c r="C591" s="250"/>
      <c r="D591" s="250"/>
      <c r="E591" s="250"/>
      <c r="F591" s="250"/>
      <c r="G591" s="250"/>
      <c r="H591" s="250"/>
      <c r="I591" s="250"/>
      <c r="J591" s="250"/>
      <c r="K591" s="250"/>
      <c r="L591" s="250"/>
      <c r="M591" s="250"/>
      <c r="N591" s="250"/>
      <c r="O591" s="250"/>
      <c r="P591" s="250"/>
      <c r="Q591" s="250"/>
      <c r="R591" s="250"/>
      <c r="S591" s="250"/>
      <c r="T591" s="250"/>
      <c r="U591" s="250"/>
      <c r="V591" s="250"/>
      <c r="W591" s="250"/>
      <c r="X591" s="250"/>
      <c r="Y591" s="250"/>
      <c r="Z591" s="250"/>
      <c r="AA591" s="250"/>
      <c r="AB591" s="250"/>
      <c r="AC591" s="250"/>
      <c r="AD591" s="250"/>
      <c r="AE591" s="250"/>
      <c r="AF591" s="250"/>
      <c r="AG591" s="250"/>
      <c r="AH591" s="250"/>
      <c r="AI591" s="250"/>
      <c r="AJ591" s="250"/>
      <c r="AK591" s="250"/>
      <c r="AL591" s="250"/>
      <c r="AM591" s="250"/>
      <c r="AN591" s="250"/>
      <c r="AO591" s="250"/>
      <c r="AP591" s="250"/>
      <c r="AQ591" s="250"/>
      <c r="AR591" s="250"/>
      <c r="AS591" s="250"/>
      <c r="AT591" s="250"/>
      <c r="AU591" s="250"/>
      <c r="AV591" s="124"/>
    </row>
    <row r="592" spans="2:48" s="475" customFormat="1" x14ac:dyDescent="0.2">
      <c r="B592" s="250"/>
      <c r="C592" s="250"/>
      <c r="D592" s="250"/>
      <c r="E592" s="250"/>
      <c r="F592" s="250"/>
      <c r="G592" s="250"/>
      <c r="H592" s="250"/>
      <c r="I592" s="250"/>
      <c r="J592" s="250"/>
      <c r="K592" s="250"/>
      <c r="L592" s="250"/>
      <c r="M592" s="250"/>
      <c r="N592" s="250"/>
      <c r="O592" s="250"/>
      <c r="P592" s="250"/>
      <c r="Q592" s="250"/>
      <c r="R592" s="250"/>
      <c r="S592" s="250"/>
      <c r="T592" s="250"/>
      <c r="U592" s="250"/>
      <c r="V592" s="250"/>
      <c r="W592" s="250"/>
      <c r="X592" s="250"/>
      <c r="Y592" s="250"/>
      <c r="Z592" s="250"/>
      <c r="AA592" s="250"/>
      <c r="AB592" s="250"/>
      <c r="AC592" s="250"/>
      <c r="AD592" s="250"/>
      <c r="AE592" s="250"/>
      <c r="AF592" s="250"/>
      <c r="AG592" s="250"/>
      <c r="AH592" s="250"/>
      <c r="AI592" s="250"/>
      <c r="AJ592" s="250"/>
      <c r="AK592" s="250"/>
      <c r="AL592" s="250"/>
      <c r="AM592" s="250"/>
      <c r="AN592" s="250"/>
      <c r="AO592" s="250"/>
      <c r="AP592" s="250"/>
      <c r="AQ592" s="250"/>
      <c r="AR592" s="250"/>
      <c r="AS592" s="250"/>
      <c r="AT592" s="250"/>
      <c r="AU592" s="250"/>
      <c r="AV592" s="124"/>
    </row>
    <row r="593" spans="2:48" s="475" customFormat="1" x14ac:dyDescent="0.2">
      <c r="B593" s="250"/>
      <c r="C593" s="250"/>
      <c r="D593" s="250"/>
      <c r="E593" s="250"/>
      <c r="F593" s="250"/>
      <c r="G593" s="250"/>
      <c r="H593" s="250"/>
      <c r="I593" s="250"/>
      <c r="J593" s="250"/>
      <c r="K593" s="250"/>
      <c r="L593" s="250"/>
      <c r="M593" s="250"/>
      <c r="N593" s="250"/>
      <c r="O593" s="250"/>
      <c r="P593" s="250"/>
      <c r="Q593" s="250"/>
      <c r="R593" s="250"/>
      <c r="S593" s="250"/>
      <c r="T593" s="250"/>
      <c r="U593" s="250"/>
      <c r="V593" s="250"/>
      <c r="W593" s="250"/>
      <c r="X593" s="250"/>
      <c r="Y593" s="250"/>
      <c r="Z593" s="250"/>
      <c r="AA593" s="250"/>
      <c r="AB593" s="250"/>
      <c r="AC593" s="250"/>
      <c r="AD593" s="250"/>
      <c r="AE593" s="250"/>
      <c r="AF593" s="250"/>
      <c r="AG593" s="250"/>
      <c r="AH593" s="250"/>
      <c r="AI593" s="250"/>
      <c r="AJ593" s="250"/>
      <c r="AK593" s="250"/>
      <c r="AL593" s="250"/>
      <c r="AM593" s="250"/>
      <c r="AN593" s="250"/>
      <c r="AO593" s="250"/>
      <c r="AP593" s="250"/>
      <c r="AQ593" s="250"/>
      <c r="AR593" s="250"/>
      <c r="AS593" s="250"/>
      <c r="AT593" s="250"/>
      <c r="AU593" s="250"/>
      <c r="AV593" s="124"/>
    </row>
    <row r="594" spans="2:48" s="475" customFormat="1" x14ac:dyDescent="0.2">
      <c r="B594" s="250"/>
      <c r="C594" s="250"/>
      <c r="D594" s="250"/>
      <c r="E594" s="250"/>
      <c r="F594" s="250"/>
      <c r="G594" s="250"/>
      <c r="H594" s="250"/>
      <c r="I594" s="250"/>
      <c r="J594" s="250"/>
      <c r="K594" s="250"/>
      <c r="L594" s="250"/>
      <c r="M594" s="250"/>
      <c r="N594" s="250"/>
      <c r="O594" s="250"/>
      <c r="P594" s="250"/>
      <c r="Q594" s="250"/>
      <c r="R594" s="250"/>
      <c r="S594" s="250"/>
      <c r="T594" s="250"/>
      <c r="U594" s="250"/>
      <c r="V594" s="250"/>
      <c r="W594" s="250"/>
      <c r="X594" s="250"/>
      <c r="Y594" s="250"/>
      <c r="Z594" s="250"/>
      <c r="AA594" s="250"/>
      <c r="AB594" s="250"/>
      <c r="AC594" s="250"/>
      <c r="AD594" s="250"/>
      <c r="AE594" s="250"/>
      <c r="AF594" s="250"/>
      <c r="AG594" s="250"/>
      <c r="AH594" s="250"/>
      <c r="AI594" s="250"/>
      <c r="AJ594" s="250"/>
      <c r="AK594" s="250"/>
      <c r="AL594" s="250"/>
      <c r="AM594" s="250"/>
      <c r="AN594" s="250"/>
      <c r="AO594" s="250"/>
      <c r="AP594" s="250"/>
      <c r="AQ594" s="250"/>
      <c r="AR594" s="250"/>
      <c r="AS594" s="250"/>
      <c r="AT594" s="250"/>
      <c r="AU594" s="250"/>
      <c r="AV594" s="124"/>
    </row>
    <row r="595" spans="2:48" s="475" customFormat="1" x14ac:dyDescent="0.2">
      <c r="B595" s="250"/>
      <c r="C595" s="250"/>
      <c r="D595" s="250"/>
      <c r="E595" s="250"/>
      <c r="F595" s="250"/>
      <c r="G595" s="250"/>
      <c r="H595" s="250"/>
      <c r="I595" s="250"/>
      <c r="J595" s="250"/>
      <c r="K595" s="250"/>
      <c r="L595" s="250"/>
      <c r="M595" s="250"/>
      <c r="N595" s="250"/>
      <c r="O595" s="250"/>
      <c r="P595" s="250"/>
      <c r="Q595" s="250"/>
      <c r="R595" s="250"/>
      <c r="S595" s="250"/>
      <c r="T595" s="250"/>
      <c r="U595" s="250"/>
      <c r="V595" s="250"/>
      <c r="W595" s="250"/>
      <c r="X595" s="250"/>
      <c r="Y595" s="250"/>
      <c r="Z595" s="250"/>
      <c r="AA595" s="250"/>
      <c r="AB595" s="250"/>
      <c r="AC595" s="250"/>
      <c r="AD595" s="250"/>
      <c r="AE595" s="250"/>
      <c r="AF595" s="250"/>
      <c r="AG595" s="250"/>
      <c r="AH595" s="250"/>
      <c r="AI595" s="250"/>
      <c r="AJ595" s="250"/>
      <c r="AK595" s="250"/>
      <c r="AL595" s="250"/>
      <c r="AM595" s="250"/>
      <c r="AN595" s="250"/>
      <c r="AO595" s="250"/>
      <c r="AP595" s="250"/>
      <c r="AQ595" s="250"/>
      <c r="AR595" s="250"/>
      <c r="AS595" s="250"/>
      <c r="AT595" s="250"/>
      <c r="AU595" s="250"/>
      <c r="AV595" s="124"/>
    </row>
    <row r="596" spans="2:48" s="475" customFormat="1" x14ac:dyDescent="0.2">
      <c r="B596" s="250"/>
      <c r="C596" s="250"/>
      <c r="D596" s="250"/>
      <c r="E596" s="250"/>
      <c r="F596" s="250"/>
      <c r="G596" s="250"/>
      <c r="H596" s="250"/>
      <c r="I596" s="250"/>
      <c r="J596" s="250"/>
      <c r="K596" s="250"/>
      <c r="L596" s="250"/>
      <c r="M596" s="250"/>
      <c r="N596" s="250"/>
      <c r="O596" s="250"/>
      <c r="P596" s="250"/>
      <c r="Q596" s="250"/>
      <c r="R596" s="250"/>
      <c r="S596" s="250"/>
      <c r="T596" s="250"/>
      <c r="U596" s="250"/>
      <c r="V596" s="250"/>
      <c r="W596" s="250"/>
      <c r="X596" s="250"/>
      <c r="Y596" s="250"/>
      <c r="Z596" s="250"/>
      <c r="AA596" s="250"/>
      <c r="AB596" s="250"/>
      <c r="AC596" s="250"/>
      <c r="AD596" s="250"/>
      <c r="AE596" s="250"/>
      <c r="AF596" s="250"/>
      <c r="AG596" s="250"/>
      <c r="AH596" s="250"/>
      <c r="AI596" s="250"/>
      <c r="AJ596" s="250"/>
      <c r="AK596" s="250"/>
      <c r="AL596" s="250"/>
      <c r="AM596" s="250"/>
      <c r="AN596" s="250"/>
      <c r="AO596" s="250"/>
      <c r="AP596" s="250"/>
      <c r="AQ596" s="250"/>
      <c r="AR596" s="250"/>
      <c r="AS596" s="250"/>
      <c r="AT596" s="250"/>
      <c r="AU596" s="250"/>
      <c r="AV596" s="124"/>
    </row>
    <row r="597" spans="2:48" s="475" customFormat="1" x14ac:dyDescent="0.2">
      <c r="B597" s="250"/>
      <c r="C597" s="250"/>
      <c r="D597" s="250"/>
      <c r="E597" s="250"/>
      <c r="F597" s="250"/>
      <c r="G597" s="250"/>
      <c r="H597" s="250"/>
      <c r="I597" s="250"/>
      <c r="J597" s="250"/>
      <c r="K597" s="250"/>
      <c r="L597" s="250"/>
      <c r="M597" s="250"/>
      <c r="N597" s="250"/>
      <c r="O597" s="250"/>
      <c r="P597" s="250"/>
      <c r="Q597" s="250"/>
      <c r="R597" s="250"/>
      <c r="S597" s="250"/>
      <c r="T597" s="250"/>
      <c r="U597" s="250"/>
      <c r="V597" s="250"/>
      <c r="W597" s="250"/>
      <c r="X597" s="250"/>
      <c r="Y597" s="250"/>
      <c r="Z597" s="250"/>
      <c r="AA597" s="250"/>
      <c r="AB597" s="250"/>
      <c r="AC597" s="250"/>
      <c r="AD597" s="250"/>
      <c r="AE597" s="250"/>
      <c r="AF597" s="250"/>
      <c r="AG597" s="250"/>
      <c r="AH597" s="250"/>
      <c r="AI597" s="250"/>
      <c r="AJ597" s="250"/>
      <c r="AK597" s="250"/>
      <c r="AL597" s="250"/>
      <c r="AM597" s="250"/>
      <c r="AN597" s="250"/>
      <c r="AO597" s="250"/>
      <c r="AP597" s="250"/>
      <c r="AQ597" s="250"/>
      <c r="AR597" s="250"/>
      <c r="AS597" s="250"/>
      <c r="AT597" s="250"/>
      <c r="AU597" s="250"/>
      <c r="AV597" s="124"/>
    </row>
    <row r="598" spans="2:48" s="475" customFormat="1" x14ac:dyDescent="0.2">
      <c r="B598" s="250"/>
      <c r="C598" s="250"/>
      <c r="D598" s="250"/>
      <c r="E598" s="250"/>
      <c r="F598" s="250"/>
      <c r="G598" s="250"/>
      <c r="H598" s="250"/>
      <c r="I598" s="250"/>
      <c r="J598" s="250"/>
      <c r="K598" s="250"/>
      <c r="L598" s="250"/>
      <c r="M598" s="250"/>
      <c r="N598" s="250"/>
      <c r="O598" s="250"/>
      <c r="P598" s="250"/>
      <c r="Q598" s="250"/>
      <c r="R598" s="250"/>
      <c r="S598" s="250"/>
      <c r="T598" s="250"/>
      <c r="U598" s="250"/>
      <c r="V598" s="250"/>
      <c r="W598" s="250"/>
      <c r="X598" s="250"/>
      <c r="Y598" s="250"/>
      <c r="Z598" s="250"/>
      <c r="AA598" s="250"/>
      <c r="AB598" s="250"/>
      <c r="AC598" s="250"/>
      <c r="AD598" s="250"/>
      <c r="AE598" s="250"/>
      <c r="AF598" s="250"/>
      <c r="AG598" s="250"/>
      <c r="AH598" s="250"/>
      <c r="AI598" s="250"/>
      <c r="AJ598" s="250"/>
      <c r="AK598" s="250"/>
      <c r="AL598" s="250"/>
      <c r="AM598" s="250"/>
      <c r="AN598" s="250"/>
      <c r="AO598" s="250"/>
      <c r="AP598" s="250"/>
      <c r="AQ598" s="250"/>
      <c r="AR598" s="250"/>
      <c r="AS598" s="250"/>
      <c r="AT598" s="250"/>
      <c r="AU598" s="250"/>
      <c r="AV598" s="124"/>
    </row>
    <row r="599" spans="2:48" s="475" customFormat="1" x14ac:dyDescent="0.2">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F599" s="250"/>
      <c r="AG599" s="250"/>
      <c r="AH599" s="250"/>
      <c r="AI599" s="250"/>
      <c r="AJ599" s="250"/>
      <c r="AK599" s="250"/>
      <c r="AL599" s="250"/>
      <c r="AM599" s="250"/>
      <c r="AN599" s="250"/>
      <c r="AO599" s="250"/>
      <c r="AP599" s="250"/>
      <c r="AQ599" s="250"/>
      <c r="AR599" s="250"/>
      <c r="AS599" s="250"/>
      <c r="AT599" s="250"/>
      <c r="AU599" s="250"/>
      <c r="AV599" s="124"/>
    </row>
    <row r="600" spans="2:48" s="475" customFormat="1" x14ac:dyDescent="0.2">
      <c r="B600" s="250"/>
      <c r="C600" s="250"/>
      <c r="D600" s="250"/>
      <c r="E600" s="250"/>
      <c r="F600" s="250"/>
      <c r="G600" s="250"/>
      <c r="H600" s="250"/>
      <c r="I600" s="250"/>
      <c r="J600" s="250"/>
      <c r="K600" s="250"/>
      <c r="L600" s="250"/>
      <c r="M600" s="250"/>
      <c r="N600" s="250"/>
      <c r="O600" s="250"/>
      <c r="P600" s="250"/>
      <c r="Q600" s="250"/>
      <c r="R600" s="250"/>
      <c r="S600" s="250"/>
      <c r="T600" s="250"/>
      <c r="U600" s="250"/>
      <c r="V600" s="250"/>
      <c r="W600" s="250"/>
      <c r="X600" s="250"/>
      <c r="Y600" s="250"/>
      <c r="Z600" s="250"/>
      <c r="AA600" s="250"/>
      <c r="AB600" s="250"/>
      <c r="AC600" s="250"/>
      <c r="AD600" s="250"/>
      <c r="AE600" s="250"/>
      <c r="AF600" s="250"/>
      <c r="AG600" s="250"/>
      <c r="AH600" s="250"/>
      <c r="AI600" s="250"/>
      <c r="AJ600" s="250"/>
      <c r="AK600" s="250"/>
      <c r="AL600" s="250"/>
      <c r="AM600" s="250"/>
      <c r="AN600" s="250"/>
      <c r="AO600" s="250"/>
      <c r="AP600" s="250"/>
      <c r="AQ600" s="250"/>
      <c r="AR600" s="250"/>
      <c r="AS600" s="250"/>
      <c r="AT600" s="250"/>
      <c r="AU600" s="250"/>
      <c r="AV600" s="124"/>
    </row>
    <row r="601" spans="2:48" s="475" customFormat="1" x14ac:dyDescent="0.2">
      <c r="B601" s="250"/>
      <c r="C601" s="250"/>
      <c r="D601" s="250"/>
      <c r="E601" s="250"/>
      <c r="F601" s="250"/>
      <c r="G601" s="250"/>
      <c r="H601" s="250"/>
      <c r="I601" s="250"/>
      <c r="J601" s="250"/>
      <c r="K601" s="250"/>
      <c r="L601" s="250"/>
      <c r="M601" s="250"/>
      <c r="N601" s="250"/>
      <c r="O601" s="250"/>
      <c r="P601" s="250"/>
      <c r="Q601" s="250"/>
      <c r="R601" s="250"/>
      <c r="S601" s="250"/>
      <c r="T601" s="250"/>
      <c r="U601" s="250"/>
      <c r="V601" s="250"/>
      <c r="W601" s="250"/>
      <c r="X601" s="250"/>
      <c r="Y601" s="250"/>
      <c r="Z601" s="250"/>
      <c r="AA601" s="250"/>
      <c r="AB601" s="250"/>
      <c r="AC601" s="250"/>
      <c r="AD601" s="250"/>
      <c r="AE601" s="250"/>
      <c r="AF601" s="250"/>
      <c r="AG601" s="250"/>
      <c r="AH601" s="250"/>
      <c r="AI601" s="250"/>
      <c r="AJ601" s="250"/>
      <c r="AK601" s="250"/>
      <c r="AL601" s="250"/>
      <c r="AM601" s="250"/>
      <c r="AN601" s="250"/>
      <c r="AO601" s="250"/>
      <c r="AP601" s="250"/>
      <c r="AQ601" s="250"/>
      <c r="AR601" s="250"/>
      <c r="AS601" s="250"/>
      <c r="AT601" s="250"/>
      <c r="AU601" s="250"/>
      <c r="AV601" s="124"/>
    </row>
    <row r="602" spans="2:48" s="475" customFormat="1" x14ac:dyDescent="0.2">
      <c r="B602" s="250"/>
      <c r="C602" s="250"/>
      <c r="D602" s="250"/>
      <c r="E602" s="250"/>
      <c r="F602" s="250"/>
      <c r="G602" s="250"/>
      <c r="H602" s="250"/>
      <c r="I602" s="250"/>
      <c r="J602" s="250"/>
      <c r="K602" s="250"/>
      <c r="L602" s="250"/>
      <c r="M602" s="250"/>
      <c r="N602" s="250"/>
      <c r="O602" s="250"/>
      <c r="P602" s="250"/>
      <c r="Q602" s="250"/>
      <c r="R602" s="250"/>
      <c r="S602" s="250"/>
      <c r="T602" s="250"/>
      <c r="U602" s="250"/>
      <c r="V602" s="250"/>
      <c r="W602" s="250"/>
      <c r="X602" s="250"/>
      <c r="Y602" s="250"/>
      <c r="Z602" s="250"/>
      <c r="AA602" s="250"/>
      <c r="AB602" s="250"/>
      <c r="AC602" s="250"/>
      <c r="AD602" s="250"/>
      <c r="AE602" s="250"/>
      <c r="AF602" s="250"/>
      <c r="AG602" s="250"/>
      <c r="AH602" s="250"/>
      <c r="AI602" s="250"/>
      <c r="AJ602" s="250"/>
      <c r="AK602" s="250"/>
      <c r="AL602" s="250"/>
      <c r="AM602" s="250"/>
      <c r="AN602" s="250"/>
      <c r="AO602" s="250"/>
      <c r="AP602" s="250"/>
      <c r="AQ602" s="250"/>
      <c r="AR602" s="250"/>
      <c r="AS602" s="250"/>
      <c r="AT602" s="250"/>
      <c r="AU602" s="250"/>
      <c r="AV602" s="124"/>
    </row>
    <row r="603" spans="2:48" s="475" customFormat="1" x14ac:dyDescent="0.2">
      <c r="B603" s="250"/>
      <c r="C603" s="250"/>
      <c r="D603" s="250"/>
      <c r="E603" s="250"/>
      <c r="F603" s="250"/>
      <c r="G603" s="250"/>
      <c r="H603" s="250"/>
      <c r="I603" s="250"/>
      <c r="J603" s="250"/>
      <c r="K603" s="250"/>
      <c r="L603" s="250"/>
      <c r="M603" s="250"/>
      <c r="N603" s="250"/>
      <c r="O603" s="250"/>
      <c r="P603" s="250"/>
      <c r="Q603" s="250"/>
      <c r="R603" s="250"/>
      <c r="S603" s="250"/>
      <c r="T603" s="250"/>
      <c r="U603" s="250"/>
      <c r="V603" s="250"/>
      <c r="W603" s="250"/>
      <c r="X603" s="250"/>
      <c r="Y603" s="250"/>
      <c r="Z603" s="250"/>
      <c r="AA603" s="250"/>
      <c r="AB603" s="250"/>
      <c r="AC603" s="250"/>
      <c r="AD603" s="250"/>
      <c r="AE603" s="250"/>
      <c r="AF603" s="250"/>
      <c r="AG603" s="250"/>
      <c r="AH603" s="250"/>
      <c r="AI603" s="250"/>
      <c r="AJ603" s="250"/>
      <c r="AK603" s="250"/>
      <c r="AL603" s="250"/>
      <c r="AM603" s="250"/>
      <c r="AN603" s="250"/>
      <c r="AO603" s="250"/>
      <c r="AP603" s="250"/>
      <c r="AQ603" s="250"/>
      <c r="AR603" s="250"/>
      <c r="AS603" s="250"/>
      <c r="AT603" s="250"/>
      <c r="AU603" s="250"/>
      <c r="AV603" s="124"/>
    </row>
    <row r="604" spans="2:48" s="475" customFormat="1" x14ac:dyDescent="0.2">
      <c r="B604" s="250"/>
      <c r="C604" s="250"/>
      <c r="D604" s="250"/>
      <c r="E604" s="250"/>
      <c r="F604" s="250"/>
      <c r="G604" s="250"/>
      <c r="H604" s="250"/>
      <c r="I604" s="250"/>
      <c r="J604" s="250"/>
      <c r="K604" s="250"/>
      <c r="L604" s="250"/>
      <c r="M604" s="250"/>
      <c r="N604" s="250"/>
      <c r="O604" s="250"/>
      <c r="P604" s="250"/>
      <c r="Q604" s="250"/>
      <c r="R604" s="250"/>
      <c r="S604" s="250"/>
      <c r="T604" s="250"/>
      <c r="U604" s="250"/>
      <c r="V604" s="250"/>
      <c r="W604" s="250"/>
      <c r="X604" s="250"/>
      <c r="Y604" s="250"/>
      <c r="Z604" s="250"/>
      <c r="AA604" s="250"/>
      <c r="AB604" s="250"/>
      <c r="AC604" s="250"/>
      <c r="AD604" s="250"/>
      <c r="AE604" s="250"/>
      <c r="AF604" s="250"/>
      <c r="AG604" s="250"/>
      <c r="AH604" s="250"/>
      <c r="AI604" s="250"/>
      <c r="AJ604" s="250"/>
      <c r="AK604" s="250"/>
      <c r="AL604" s="250"/>
      <c r="AM604" s="250"/>
      <c r="AN604" s="250"/>
      <c r="AO604" s="250"/>
      <c r="AP604" s="250"/>
      <c r="AQ604" s="250"/>
      <c r="AR604" s="250"/>
      <c r="AS604" s="250"/>
      <c r="AT604" s="250"/>
      <c r="AU604" s="250"/>
      <c r="AV604" s="124"/>
    </row>
    <row r="605" spans="2:48" s="475" customFormat="1" x14ac:dyDescent="0.2">
      <c r="B605" s="250"/>
      <c r="C605" s="250"/>
      <c r="D605" s="250"/>
      <c r="E605" s="250"/>
      <c r="F605" s="250"/>
      <c r="G605" s="250"/>
      <c r="H605" s="250"/>
      <c r="I605" s="250"/>
      <c r="J605" s="250"/>
      <c r="K605" s="250"/>
      <c r="L605" s="250"/>
      <c r="M605" s="250"/>
      <c r="N605" s="250"/>
      <c r="O605" s="250"/>
      <c r="P605" s="250"/>
      <c r="Q605" s="250"/>
      <c r="R605" s="250"/>
      <c r="S605" s="250"/>
      <c r="T605" s="250"/>
      <c r="U605" s="250"/>
      <c r="V605" s="250"/>
      <c r="W605" s="250"/>
      <c r="X605" s="250"/>
      <c r="Y605" s="250"/>
      <c r="Z605" s="250"/>
      <c r="AA605" s="250"/>
      <c r="AB605" s="250"/>
      <c r="AC605" s="250"/>
      <c r="AD605" s="250"/>
      <c r="AE605" s="250"/>
      <c r="AF605" s="250"/>
      <c r="AG605" s="250"/>
      <c r="AH605" s="250"/>
      <c r="AI605" s="250"/>
      <c r="AJ605" s="250"/>
      <c r="AK605" s="250"/>
      <c r="AL605" s="250"/>
      <c r="AM605" s="250"/>
      <c r="AN605" s="250"/>
      <c r="AO605" s="250"/>
      <c r="AP605" s="250"/>
      <c r="AQ605" s="250"/>
      <c r="AR605" s="250"/>
      <c r="AS605" s="250"/>
      <c r="AT605" s="250"/>
      <c r="AU605" s="250"/>
      <c r="AV605" s="124"/>
    </row>
    <row r="606" spans="2:48" s="475" customFormat="1" x14ac:dyDescent="0.2">
      <c r="B606" s="250"/>
      <c r="C606" s="250"/>
      <c r="D606" s="250"/>
      <c r="E606" s="250"/>
      <c r="F606" s="250"/>
      <c r="G606" s="250"/>
      <c r="H606" s="250"/>
      <c r="I606" s="250"/>
      <c r="J606" s="250"/>
      <c r="K606" s="250"/>
      <c r="L606" s="250"/>
      <c r="M606" s="250"/>
      <c r="N606" s="250"/>
      <c r="O606" s="250"/>
      <c r="P606" s="250"/>
      <c r="Q606" s="250"/>
      <c r="R606" s="250"/>
      <c r="S606" s="250"/>
      <c r="T606" s="250"/>
      <c r="U606" s="250"/>
      <c r="V606" s="250"/>
      <c r="W606" s="250"/>
      <c r="X606" s="250"/>
      <c r="Y606" s="250"/>
      <c r="Z606" s="250"/>
      <c r="AA606" s="250"/>
      <c r="AB606" s="250"/>
      <c r="AC606" s="250"/>
      <c r="AD606" s="250"/>
      <c r="AE606" s="250"/>
      <c r="AF606" s="250"/>
      <c r="AG606" s="250"/>
      <c r="AH606" s="250"/>
      <c r="AI606" s="250"/>
      <c r="AJ606" s="250"/>
      <c r="AK606" s="250"/>
      <c r="AL606" s="250"/>
      <c r="AM606" s="250"/>
      <c r="AN606" s="250"/>
      <c r="AO606" s="250"/>
      <c r="AP606" s="250"/>
      <c r="AQ606" s="250"/>
      <c r="AR606" s="250"/>
      <c r="AS606" s="250"/>
      <c r="AT606" s="250"/>
      <c r="AU606" s="250"/>
      <c r="AV606" s="124"/>
    </row>
    <row r="607" spans="2:48" s="475" customFormat="1" x14ac:dyDescent="0.2">
      <c r="B607" s="250"/>
      <c r="C607" s="250"/>
      <c r="D607" s="250"/>
      <c r="E607" s="250"/>
      <c r="F607" s="250"/>
      <c r="G607" s="250"/>
      <c r="H607" s="250"/>
      <c r="I607" s="250"/>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c r="AN607" s="250"/>
      <c r="AO607" s="250"/>
      <c r="AP607" s="250"/>
      <c r="AQ607" s="250"/>
      <c r="AR607" s="250"/>
      <c r="AS607" s="250"/>
      <c r="AT607" s="250"/>
      <c r="AU607" s="250"/>
      <c r="AV607" s="124"/>
    </row>
    <row r="608" spans="2:48" s="475" customFormat="1" x14ac:dyDescent="0.2">
      <c r="B608" s="250"/>
      <c r="C608" s="250"/>
      <c r="D608" s="250"/>
      <c r="E608" s="250"/>
      <c r="F608" s="250"/>
      <c r="G608" s="250"/>
      <c r="H608" s="250"/>
      <c r="I608" s="250"/>
      <c r="J608" s="250"/>
      <c r="K608" s="250"/>
      <c r="L608" s="250"/>
      <c r="M608" s="250"/>
      <c r="N608" s="250"/>
      <c r="O608" s="250"/>
      <c r="P608" s="250"/>
      <c r="Q608" s="250"/>
      <c r="R608" s="250"/>
      <c r="S608" s="250"/>
      <c r="T608" s="250"/>
      <c r="U608" s="250"/>
      <c r="V608" s="250"/>
      <c r="W608" s="250"/>
      <c r="X608" s="250"/>
      <c r="Y608" s="250"/>
      <c r="Z608" s="250"/>
      <c r="AA608" s="250"/>
      <c r="AB608" s="250"/>
      <c r="AC608" s="250"/>
      <c r="AD608" s="250"/>
      <c r="AE608" s="250"/>
      <c r="AF608" s="250"/>
      <c r="AG608" s="250"/>
      <c r="AH608" s="250"/>
      <c r="AI608" s="250"/>
      <c r="AJ608" s="250"/>
      <c r="AK608" s="250"/>
      <c r="AL608" s="250"/>
      <c r="AM608" s="250"/>
      <c r="AN608" s="250"/>
      <c r="AO608" s="250"/>
      <c r="AP608" s="250"/>
      <c r="AQ608" s="250"/>
      <c r="AR608" s="250"/>
      <c r="AS608" s="250"/>
      <c r="AT608" s="250"/>
      <c r="AU608" s="250"/>
      <c r="AV608" s="124"/>
    </row>
    <row r="609" spans="2:48" s="475" customFormat="1" x14ac:dyDescent="0.2">
      <c r="B609" s="250"/>
      <c r="C609" s="250"/>
      <c r="D609" s="250"/>
      <c r="E609" s="250"/>
      <c r="F609" s="250"/>
      <c r="G609" s="250"/>
      <c r="H609" s="250"/>
      <c r="I609" s="250"/>
      <c r="J609" s="250"/>
      <c r="K609" s="250"/>
      <c r="L609" s="250"/>
      <c r="M609" s="250"/>
      <c r="N609" s="250"/>
      <c r="O609" s="250"/>
      <c r="P609" s="250"/>
      <c r="Q609" s="250"/>
      <c r="R609" s="250"/>
      <c r="S609" s="250"/>
      <c r="T609" s="250"/>
      <c r="U609" s="250"/>
      <c r="V609" s="250"/>
      <c r="W609" s="250"/>
      <c r="X609" s="250"/>
      <c r="Y609" s="250"/>
      <c r="Z609" s="250"/>
      <c r="AA609" s="250"/>
      <c r="AB609" s="250"/>
      <c r="AC609" s="250"/>
      <c r="AD609" s="250"/>
      <c r="AE609" s="250"/>
      <c r="AF609" s="250"/>
      <c r="AG609" s="250"/>
      <c r="AH609" s="250"/>
      <c r="AI609" s="250"/>
      <c r="AJ609" s="250"/>
      <c r="AK609" s="250"/>
      <c r="AL609" s="250"/>
      <c r="AM609" s="250"/>
      <c r="AN609" s="250"/>
      <c r="AO609" s="250"/>
      <c r="AP609" s="250"/>
      <c r="AQ609" s="250"/>
      <c r="AR609" s="250"/>
      <c r="AS609" s="250"/>
      <c r="AT609" s="250"/>
      <c r="AU609" s="250"/>
      <c r="AV609" s="124"/>
    </row>
    <row r="610" spans="2:48" s="475" customFormat="1" x14ac:dyDescent="0.2">
      <c r="B610" s="250"/>
      <c r="C610" s="250"/>
      <c r="D610" s="250"/>
      <c r="E610" s="250"/>
      <c r="F610" s="250"/>
      <c r="G610" s="250"/>
      <c r="H610" s="250"/>
      <c r="I610" s="250"/>
      <c r="J610" s="250"/>
      <c r="K610" s="250"/>
      <c r="L610" s="250"/>
      <c r="M610" s="250"/>
      <c r="N610" s="250"/>
      <c r="O610" s="250"/>
      <c r="P610" s="250"/>
      <c r="Q610" s="250"/>
      <c r="R610" s="250"/>
      <c r="S610" s="250"/>
      <c r="T610" s="250"/>
      <c r="U610" s="250"/>
      <c r="V610" s="250"/>
      <c r="W610" s="250"/>
      <c r="X610" s="250"/>
      <c r="Y610" s="250"/>
      <c r="Z610" s="250"/>
      <c r="AA610" s="250"/>
      <c r="AB610" s="250"/>
      <c r="AC610" s="250"/>
      <c r="AD610" s="250"/>
      <c r="AE610" s="250"/>
      <c r="AF610" s="250"/>
      <c r="AG610" s="250"/>
      <c r="AH610" s="250"/>
      <c r="AI610" s="250"/>
      <c r="AJ610" s="250"/>
      <c r="AK610" s="250"/>
      <c r="AL610" s="250"/>
      <c r="AM610" s="250"/>
      <c r="AN610" s="250"/>
      <c r="AO610" s="250"/>
      <c r="AP610" s="250"/>
      <c r="AQ610" s="250"/>
      <c r="AR610" s="250"/>
      <c r="AS610" s="250"/>
      <c r="AT610" s="250"/>
      <c r="AU610" s="250"/>
      <c r="AV610" s="124"/>
    </row>
    <row r="611" spans="2:48" s="475" customFormat="1" x14ac:dyDescent="0.2">
      <c r="B611" s="250"/>
      <c r="C611" s="250"/>
      <c r="D611" s="250"/>
      <c r="E611" s="250"/>
      <c r="F611" s="250"/>
      <c r="G611" s="250"/>
      <c r="H611" s="250"/>
      <c r="I611" s="250"/>
      <c r="J611" s="250"/>
      <c r="K611" s="250"/>
      <c r="L611" s="250"/>
      <c r="M611" s="250"/>
      <c r="N611" s="250"/>
      <c r="O611" s="250"/>
      <c r="P611" s="250"/>
      <c r="Q611" s="250"/>
      <c r="R611" s="250"/>
      <c r="S611" s="250"/>
      <c r="T611" s="250"/>
      <c r="U611" s="250"/>
      <c r="V611" s="250"/>
      <c r="W611" s="250"/>
      <c r="X611" s="250"/>
      <c r="Y611" s="250"/>
      <c r="Z611" s="250"/>
      <c r="AA611" s="250"/>
      <c r="AB611" s="250"/>
      <c r="AC611" s="250"/>
      <c r="AD611" s="250"/>
      <c r="AE611" s="250"/>
      <c r="AF611" s="250"/>
      <c r="AG611" s="250"/>
      <c r="AH611" s="250"/>
      <c r="AI611" s="250"/>
      <c r="AJ611" s="250"/>
      <c r="AK611" s="250"/>
      <c r="AL611" s="250"/>
      <c r="AM611" s="250"/>
      <c r="AN611" s="250"/>
      <c r="AO611" s="250"/>
      <c r="AP611" s="250"/>
      <c r="AQ611" s="250"/>
      <c r="AR611" s="250"/>
      <c r="AS611" s="250"/>
      <c r="AT611" s="250"/>
      <c r="AU611" s="250"/>
      <c r="AV611" s="124"/>
    </row>
    <row r="612" spans="2:48" s="475" customFormat="1" x14ac:dyDescent="0.2">
      <c r="B612" s="250"/>
      <c r="C612" s="250"/>
      <c r="D612" s="250"/>
      <c r="E612" s="250"/>
      <c r="F612" s="250"/>
      <c r="G612" s="250"/>
      <c r="H612" s="250"/>
      <c r="I612" s="250"/>
      <c r="J612" s="250"/>
      <c r="K612" s="250"/>
      <c r="L612" s="250"/>
      <c r="M612" s="250"/>
      <c r="N612" s="250"/>
      <c r="O612" s="250"/>
      <c r="P612" s="250"/>
      <c r="Q612" s="250"/>
      <c r="R612" s="250"/>
      <c r="S612" s="250"/>
      <c r="T612" s="250"/>
      <c r="U612" s="250"/>
      <c r="V612" s="250"/>
      <c r="W612" s="250"/>
      <c r="X612" s="250"/>
      <c r="Y612" s="250"/>
      <c r="Z612" s="250"/>
      <c r="AA612" s="250"/>
      <c r="AB612" s="250"/>
      <c r="AC612" s="250"/>
      <c r="AD612" s="250"/>
      <c r="AE612" s="250"/>
      <c r="AF612" s="250"/>
      <c r="AG612" s="250"/>
      <c r="AH612" s="250"/>
      <c r="AI612" s="250"/>
      <c r="AJ612" s="250"/>
      <c r="AK612" s="250"/>
      <c r="AL612" s="250"/>
      <c r="AM612" s="250"/>
      <c r="AN612" s="250"/>
      <c r="AO612" s="250"/>
      <c r="AP612" s="250"/>
      <c r="AQ612" s="250"/>
      <c r="AR612" s="250"/>
      <c r="AS612" s="250"/>
      <c r="AT612" s="250"/>
      <c r="AU612" s="250"/>
      <c r="AV612" s="124"/>
    </row>
    <row r="613" spans="2:48" s="475" customFormat="1" x14ac:dyDescent="0.2">
      <c r="B613" s="250"/>
      <c r="C613" s="250"/>
      <c r="D613" s="250"/>
      <c r="E613" s="250"/>
      <c r="F613" s="250"/>
      <c r="G613" s="250"/>
      <c r="H613" s="250"/>
      <c r="I613" s="250"/>
      <c r="J613" s="250"/>
      <c r="K613" s="250"/>
      <c r="L613" s="250"/>
      <c r="M613" s="250"/>
      <c r="N613" s="250"/>
      <c r="O613" s="250"/>
      <c r="P613" s="250"/>
      <c r="Q613" s="250"/>
      <c r="R613" s="250"/>
      <c r="S613" s="250"/>
      <c r="T613" s="250"/>
      <c r="U613" s="250"/>
      <c r="V613" s="250"/>
      <c r="W613" s="250"/>
      <c r="X613" s="250"/>
      <c r="Y613" s="250"/>
      <c r="Z613" s="250"/>
      <c r="AA613" s="250"/>
      <c r="AB613" s="250"/>
      <c r="AC613" s="250"/>
      <c r="AD613" s="250"/>
      <c r="AE613" s="250"/>
      <c r="AF613" s="250"/>
      <c r="AG613" s="250"/>
      <c r="AH613" s="250"/>
      <c r="AI613" s="250"/>
      <c r="AJ613" s="250"/>
      <c r="AK613" s="250"/>
      <c r="AL613" s="250"/>
      <c r="AM613" s="250"/>
      <c r="AN613" s="250"/>
      <c r="AO613" s="250"/>
      <c r="AP613" s="250"/>
      <c r="AQ613" s="250"/>
      <c r="AR613" s="250"/>
      <c r="AS613" s="250"/>
      <c r="AT613" s="250"/>
      <c r="AU613" s="250"/>
      <c r="AV613" s="124"/>
    </row>
    <row r="614" spans="2:48" s="475" customFormat="1" x14ac:dyDescent="0.2">
      <c r="B614" s="250"/>
      <c r="C614" s="250"/>
      <c r="D614" s="250"/>
      <c r="E614" s="250"/>
      <c r="F614" s="250"/>
      <c r="G614" s="250"/>
      <c r="H614" s="250"/>
      <c r="I614" s="250"/>
      <c r="J614" s="250"/>
      <c r="K614" s="250"/>
      <c r="L614" s="250"/>
      <c r="M614" s="250"/>
      <c r="N614" s="250"/>
      <c r="O614" s="250"/>
      <c r="P614" s="250"/>
      <c r="Q614" s="250"/>
      <c r="R614" s="250"/>
      <c r="S614" s="250"/>
      <c r="T614" s="250"/>
      <c r="U614" s="250"/>
      <c r="V614" s="250"/>
      <c r="W614" s="250"/>
      <c r="X614" s="250"/>
      <c r="Y614" s="250"/>
      <c r="Z614" s="250"/>
      <c r="AA614" s="250"/>
      <c r="AB614" s="250"/>
      <c r="AC614" s="250"/>
      <c r="AD614" s="250"/>
      <c r="AE614" s="250"/>
      <c r="AF614" s="250"/>
      <c r="AG614" s="250"/>
      <c r="AH614" s="250"/>
      <c r="AI614" s="250"/>
      <c r="AJ614" s="250"/>
      <c r="AK614" s="250"/>
      <c r="AL614" s="250"/>
      <c r="AM614" s="250"/>
      <c r="AN614" s="250"/>
      <c r="AO614" s="250"/>
      <c r="AP614" s="250"/>
      <c r="AQ614" s="250"/>
      <c r="AR614" s="250"/>
      <c r="AS614" s="250"/>
      <c r="AT614" s="250"/>
      <c r="AU614" s="250"/>
      <c r="AV614" s="124"/>
    </row>
    <row r="615" spans="2:48" s="475" customFormat="1" x14ac:dyDescent="0.2">
      <c r="B615" s="250"/>
      <c r="C615" s="250"/>
      <c r="D615" s="250"/>
      <c r="E615" s="250"/>
      <c r="F615" s="250"/>
      <c r="G615" s="250"/>
      <c r="H615" s="250"/>
      <c r="I615" s="250"/>
      <c r="J615" s="250"/>
      <c r="K615" s="250"/>
      <c r="L615" s="250"/>
      <c r="M615" s="250"/>
      <c r="N615" s="250"/>
      <c r="O615" s="250"/>
      <c r="P615" s="250"/>
      <c r="Q615" s="250"/>
      <c r="R615" s="250"/>
      <c r="S615" s="250"/>
      <c r="T615" s="250"/>
      <c r="U615" s="250"/>
      <c r="V615" s="250"/>
      <c r="W615" s="250"/>
      <c r="X615" s="250"/>
      <c r="Y615" s="250"/>
      <c r="Z615" s="250"/>
      <c r="AA615" s="250"/>
      <c r="AB615" s="250"/>
      <c r="AC615" s="250"/>
      <c r="AD615" s="250"/>
      <c r="AE615" s="250"/>
      <c r="AF615" s="250"/>
      <c r="AG615" s="250"/>
      <c r="AH615" s="250"/>
      <c r="AI615" s="250"/>
      <c r="AJ615" s="250"/>
      <c r="AK615" s="250"/>
      <c r="AL615" s="250"/>
      <c r="AM615" s="250"/>
      <c r="AN615" s="250"/>
      <c r="AO615" s="250"/>
      <c r="AP615" s="250"/>
      <c r="AQ615" s="250"/>
      <c r="AR615" s="250"/>
      <c r="AS615" s="250"/>
      <c r="AT615" s="250"/>
      <c r="AU615" s="250"/>
      <c r="AV615" s="124"/>
    </row>
    <row r="616" spans="2:48" s="475" customFormat="1" x14ac:dyDescent="0.2">
      <c r="B616" s="250"/>
      <c r="C616" s="250"/>
      <c r="D616" s="250"/>
      <c r="E616" s="250"/>
      <c r="F616" s="250"/>
      <c r="G616" s="250"/>
      <c r="H616" s="250"/>
      <c r="I616" s="250"/>
      <c r="J616" s="250"/>
      <c r="K616" s="250"/>
      <c r="L616" s="250"/>
      <c r="M616" s="250"/>
      <c r="N616" s="250"/>
      <c r="O616" s="250"/>
      <c r="P616" s="250"/>
      <c r="Q616" s="250"/>
      <c r="R616" s="250"/>
      <c r="S616" s="250"/>
      <c r="T616" s="250"/>
      <c r="U616" s="250"/>
      <c r="V616" s="250"/>
      <c r="W616" s="250"/>
      <c r="X616" s="250"/>
      <c r="Y616" s="250"/>
      <c r="Z616" s="250"/>
      <c r="AA616" s="250"/>
      <c r="AB616" s="250"/>
      <c r="AC616" s="250"/>
      <c r="AD616" s="250"/>
      <c r="AE616" s="250"/>
      <c r="AF616" s="250"/>
      <c r="AG616" s="250"/>
      <c r="AH616" s="250"/>
      <c r="AI616" s="250"/>
      <c r="AJ616" s="250"/>
      <c r="AK616" s="250"/>
      <c r="AL616" s="250"/>
      <c r="AM616" s="250"/>
      <c r="AN616" s="250"/>
      <c r="AO616" s="250"/>
      <c r="AP616" s="250"/>
      <c r="AQ616" s="250"/>
      <c r="AR616" s="250"/>
      <c r="AS616" s="250"/>
      <c r="AT616" s="250"/>
      <c r="AU616" s="250"/>
      <c r="AV616" s="124"/>
    </row>
    <row r="617" spans="2:48" s="475" customFormat="1" x14ac:dyDescent="0.2">
      <c r="B617" s="250"/>
      <c r="C617" s="250"/>
      <c r="D617" s="250"/>
      <c r="E617" s="250"/>
      <c r="F617" s="250"/>
      <c r="G617" s="250"/>
      <c r="H617" s="250"/>
      <c r="I617" s="250"/>
      <c r="J617" s="250"/>
      <c r="K617" s="250"/>
      <c r="L617" s="250"/>
      <c r="M617" s="250"/>
      <c r="N617" s="250"/>
      <c r="O617" s="250"/>
      <c r="P617" s="250"/>
      <c r="Q617" s="250"/>
      <c r="R617" s="250"/>
      <c r="S617" s="250"/>
      <c r="T617" s="250"/>
      <c r="U617" s="250"/>
      <c r="V617" s="250"/>
      <c r="W617" s="250"/>
      <c r="X617" s="250"/>
      <c r="Y617" s="250"/>
      <c r="Z617" s="250"/>
      <c r="AA617" s="250"/>
      <c r="AB617" s="250"/>
      <c r="AC617" s="250"/>
      <c r="AD617" s="250"/>
      <c r="AE617" s="250"/>
      <c r="AF617" s="250"/>
      <c r="AG617" s="250"/>
      <c r="AH617" s="250"/>
      <c r="AI617" s="250"/>
      <c r="AJ617" s="250"/>
      <c r="AK617" s="250"/>
      <c r="AL617" s="250"/>
      <c r="AM617" s="250"/>
      <c r="AN617" s="250"/>
      <c r="AO617" s="250"/>
      <c r="AP617" s="250"/>
      <c r="AQ617" s="250"/>
      <c r="AR617" s="250"/>
      <c r="AS617" s="250"/>
      <c r="AT617" s="250"/>
      <c r="AU617" s="250"/>
      <c r="AV617" s="124"/>
    </row>
    <row r="618" spans="2:48" s="475" customFormat="1" x14ac:dyDescent="0.2">
      <c r="B618" s="250"/>
      <c r="C618" s="250"/>
      <c r="D618" s="250"/>
      <c r="E618" s="250"/>
      <c r="F618" s="250"/>
      <c r="G618" s="250"/>
      <c r="H618" s="250"/>
      <c r="I618" s="250"/>
      <c r="J618" s="250"/>
      <c r="K618" s="250"/>
      <c r="L618" s="250"/>
      <c r="M618" s="250"/>
      <c r="N618" s="250"/>
      <c r="O618" s="250"/>
      <c r="P618" s="250"/>
      <c r="Q618" s="250"/>
      <c r="R618" s="250"/>
      <c r="S618" s="250"/>
      <c r="T618" s="250"/>
      <c r="U618" s="250"/>
      <c r="V618" s="250"/>
      <c r="W618" s="250"/>
      <c r="X618" s="250"/>
      <c r="Y618" s="250"/>
      <c r="Z618" s="250"/>
      <c r="AA618" s="250"/>
      <c r="AB618" s="250"/>
      <c r="AC618" s="250"/>
      <c r="AD618" s="250"/>
      <c r="AE618" s="250"/>
      <c r="AF618" s="250"/>
      <c r="AG618" s="250"/>
      <c r="AH618" s="250"/>
      <c r="AI618" s="250"/>
      <c r="AJ618" s="250"/>
      <c r="AK618" s="250"/>
      <c r="AL618" s="250"/>
      <c r="AM618" s="250"/>
      <c r="AN618" s="250"/>
      <c r="AO618" s="250"/>
      <c r="AP618" s="250"/>
      <c r="AQ618" s="250"/>
      <c r="AR618" s="250"/>
      <c r="AS618" s="250"/>
      <c r="AT618" s="250"/>
      <c r="AU618" s="250"/>
      <c r="AV618" s="124"/>
    </row>
    <row r="619" spans="2:48" s="475" customFormat="1" x14ac:dyDescent="0.2">
      <c r="B619" s="250"/>
      <c r="C619" s="250"/>
      <c r="D619" s="250"/>
      <c r="E619" s="250"/>
      <c r="F619" s="250"/>
      <c r="G619" s="250"/>
      <c r="H619" s="250"/>
      <c r="I619" s="250"/>
      <c r="J619" s="250"/>
      <c r="K619" s="250"/>
      <c r="L619" s="250"/>
      <c r="M619" s="250"/>
      <c r="N619" s="250"/>
      <c r="O619" s="250"/>
      <c r="P619" s="250"/>
      <c r="Q619" s="250"/>
      <c r="R619" s="250"/>
      <c r="S619" s="250"/>
      <c r="T619" s="250"/>
      <c r="U619" s="250"/>
      <c r="V619" s="250"/>
      <c r="W619" s="250"/>
      <c r="X619" s="250"/>
      <c r="Y619" s="250"/>
      <c r="Z619" s="250"/>
      <c r="AA619" s="250"/>
      <c r="AB619" s="250"/>
      <c r="AC619" s="250"/>
      <c r="AD619" s="250"/>
      <c r="AE619" s="250"/>
      <c r="AF619" s="250"/>
      <c r="AG619" s="250"/>
      <c r="AH619" s="250"/>
      <c r="AI619" s="250"/>
      <c r="AJ619" s="250"/>
      <c r="AK619" s="250"/>
      <c r="AL619" s="250"/>
      <c r="AM619" s="250"/>
      <c r="AN619" s="250"/>
      <c r="AO619" s="250"/>
      <c r="AP619" s="250"/>
      <c r="AQ619" s="250"/>
      <c r="AR619" s="250"/>
      <c r="AS619" s="250"/>
      <c r="AT619" s="250"/>
      <c r="AU619" s="250"/>
      <c r="AV619" s="124"/>
    </row>
    <row r="620" spans="2:48" s="475" customFormat="1" x14ac:dyDescent="0.2">
      <c r="B620" s="250"/>
      <c r="C620" s="250"/>
      <c r="D620" s="250"/>
      <c r="E620" s="250"/>
      <c r="F620" s="250"/>
      <c r="G620" s="250"/>
      <c r="H620" s="250"/>
      <c r="I620" s="250"/>
      <c r="J620" s="250"/>
      <c r="K620" s="250"/>
      <c r="L620" s="250"/>
      <c r="M620" s="250"/>
      <c r="N620" s="250"/>
      <c r="O620" s="250"/>
      <c r="P620" s="250"/>
      <c r="Q620" s="250"/>
      <c r="R620" s="250"/>
      <c r="S620" s="250"/>
      <c r="T620" s="250"/>
      <c r="U620" s="250"/>
      <c r="V620" s="250"/>
      <c r="W620" s="250"/>
      <c r="X620" s="250"/>
      <c r="Y620" s="250"/>
      <c r="Z620" s="250"/>
      <c r="AA620" s="250"/>
      <c r="AB620" s="250"/>
      <c r="AC620" s="250"/>
      <c r="AD620" s="250"/>
      <c r="AE620" s="250"/>
      <c r="AF620" s="250"/>
      <c r="AG620" s="250"/>
      <c r="AH620" s="250"/>
      <c r="AI620" s="250"/>
      <c r="AJ620" s="250"/>
      <c r="AK620" s="250"/>
      <c r="AL620" s="250"/>
      <c r="AM620" s="250"/>
      <c r="AN620" s="250"/>
      <c r="AO620" s="250"/>
      <c r="AP620" s="250"/>
      <c r="AQ620" s="250"/>
      <c r="AR620" s="250"/>
      <c r="AS620" s="250"/>
      <c r="AT620" s="250"/>
      <c r="AU620" s="250"/>
      <c r="AV620" s="124"/>
    </row>
    <row r="621" spans="2:48" s="475" customFormat="1" x14ac:dyDescent="0.2">
      <c r="B621" s="250"/>
      <c r="C621" s="250"/>
      <c r="D621" s="250"/>
      <c r="E621" s="250"/>
      <c r="F621" s="250"/>
      <c r="G621" s="250"/>
      <c r="H621" s="250"/>
      <c r="I621" s="250"/>
      <c r="J621" s="250"/>
      <c r="K621" s="250"/>
      <c r="L621" s="250"/>
      <c r="M621" s="250"/>
      <c r="N621" s="250"/>
      <c r="O621" s="250"/>
      <c r="P621" s="250"/>
      <c r="Q621" s="250"/>
      <c r="R621" s="250"/>
      <c r="S621" s="250"/>
      <c r="T621" s="250"/>
      <c r="U621" s="250"/>
      <c r="V621" s="250"/>
      <c r="W621" s="250"/>
      <c r="X621" s="250"/>
      <c r="Y621" s="250"/>
      <c r="Z621" s="250"/>
      <c r="AA621" s="250"/>
      <c r="AB621" s="250"/>
      <c r="AC621" s="250"/>
      <c r="AD621" s="250"/>
      <c r="AE621" s="250"/>
      <c r="AF621" s="250"/>
      <c r="AG621" s="250"/>
      <c r="AH621" s="250"/>
      <c r="AI621" s="250"/>
      <c r="AJ621" s="250"/>
      <c r="AK621" s="250"/>
      <c r="AL621" s="250"/>
      <c r="AM621" s="250"/>
      <c r="AN621" s="250"/>
      <c r="AO621" s="250"/>
      <c r="AP621" s="250"/>
      <c r="AQ621" s="250"/>
      <c r="AR621" s="250"/>
      <c r="AS621" s="250"/>
      <c r="AT621" s="250"/>
      <c r="AU621" s="250"/>
      <c r="AV621" s="124"/>
    </row>
    <row r="622" spans="2:48" s="475" customFormat="1" x14ac:dyDescent="0.2">
      <c r="B622" s="250"/>
      <c r="C622" s="250"/>
      <c r="D622" s="250"/>
      <c r="E622" s="250"/>
      <c r="F622" s="250"/>
      <c r="G622" s="250"/>
      <c r="H622" s="250"/>
      <c r="I622" s="250"/>
      <c r="J622" s="250"/>
      <c r="K622" s="250"/>
      <c r="L622" s="250"/>
      <c r="M622" s="250"/>
      <c r="N622" s="250"/>
      <c r="O622" s="250"/>
      <c r="P622" s="250"/>
      <c r="Q622" s="250"/>
      <c r="R622" s="250"/>
      <c r="S622" s="250"/>
      <c r="T622" s="250"/>
      <c r="U622" s="250"/>
      <c r="V622" s="250"/>
      <c r="W622" s="250"/>
      <c r="X622" s="250"/>
      <c r="Y622" s="250"/>
      <c r="Z622" s="250"/>
      <c r="AA622" s="250"/>
      <c r="AB622" s="250"/>
      <c r="AC622" s="250"/>
      <c r="AD622" s="250"/>
      <c r="AE622" s="250"/>
      <c r="AF622" s="250"/>
      <c r="AG622" s="250"/>
      <c r="AH622" s="250"/>
      <c r="AI622" s="250"/>
      <c r="AJ622" s="250"/>
      <c r="AK622" s="250"/>
      <c r="AL622" s="250"/>
      <c r="AM622" s="250"/>
      <c r="AN622" s="250"/>
      <c r="AO622" s="250"/>
      <c r="AP622" s="250"/>
      <c r="AQ622" s="250"/>
      <c r="AR622" s="250"/>
      <c r="AS622" s="250"/>
      <c r="AT622" s="250"/>
      <c r="AU622" s="250"/>
      <c r="AV622" s="124"/>
    </row>
    <row r="623" spans="2:48" s="475" customFormat="1" x14ac:dyDescent="0.2">
      <c r="B623" s="250"/>
      <c r="C623" s="250"/>
      <c r="D623" s="250"/>
      <c r="E623" s="250"/>
      <c r="F623" s="250"/>
      <c r="G623" s="250"/>
      <c r="H623" s="250"/>
      <c r="I623" s="250"/>
      <c r="J623" s="250"/>
      <c r="K623" s="250"/>
      <c r="L623" s="250"/>
      <c r="M623" s="250"/>
      <c r="N623" s="250"/>
      <c r="O623" s="250"/>
      <c r="P623" s="250"/>
      <c r="Q623" s="250"/>
      <c r="R623" s="250"/>
      <c r="S623" s="250"/>
      <c r="T623" s="250"/>
      <c r="U623" s="250"/>
      <c r="V623" s="250"/>
      <c r="W623" s="250"/>
      <c r="X623" s="250"/>
      <c r="Y623" s="250"/>
      <c r="Z623" s="250"/>
      <c r="AA623" s="250"/>
      <c r="AB623" s="250"/>
      <c r="AC623" s="250"/>
      <c r="AD623" s="250"/>
      <c r="AE623" s="250"/>
      <c r="AF623" s="250"/>
      <c r="AG623" s="250"/>
      <c r="AH623" s="250"/>
      <c r="AI623" s="250"/>
      <c r="AJ623" s="250"/>
      <c r="AK623" s="250"/>
      <c r="AL623" s="250"/>
      <c r="AM623" s="250"/>
      <c r="AN623" s="250"/>
      <c r="AO623" s="250"/>
      <c r="AP623" s="250"/>
      <c r="AQ623" s="250"/>
      <c r="AR623" s="250"/>
      <c r="AS623" s="250"/>
      <c r="AT623" s="250"/>
      <c r="AU623" s="250"/>
      <c r="AV623" s="124"/>
    </row>
    <row r="624" spans="2:48" s="475" customFormat="1" x14ac:dyDescent="0.2">
      <c r="B624" s="250"/>
      <c r="C624" s="250"/>
      <c r="D624" s="250"/>
      <c r="E624" s="250"/>
      <c r="F624" s="250"/>
      <c r="G624" s="250"/>
      <c r="H624" s="250"/>
      <c r="I624" s="250"/>
      <c r="J624" s="250"/>
      <c r="K624" s="250"/>
      <c r="L624" s="250"/>
      <c r="M624" s="250"/>
      <c r="N624" s="250"/>
      <c r="O624" s="250"/>
      <c r="P624" s="250"/>
      <c r="Q624" s="250"/>
      <c r="R624" s="250"/>
      <c r="S624" s="250"/>
      <c r="T624" s="250"/>
      <c r="U624" s="250"/>
      <c r="V624" s="250"/>
      <c r="W624" s="250"/>
      <c r="X624" s="250"/>
      <c r="Y624" s="250"/>
      <c r="Z624" s="250"/>
      <c r="AA624" s="250"/>
      <c r="AB624" s="250"/>
      <c r="AC624" s="250"/>
      <c r="AD624" s="250"/>
      <c r="AE624" s="250"/>
      <c r="AF624" s="250"/>
      <c r="AG624" s="250"/>
      <c r="AH624" s="250"/>
      <c r="AI624" s="250"/>
      <c r="AJ624" s="250"/>
      <c r="AK624" s="250"/>
      <c r="AL624" s="250"/>
      <c r="AM624" s="250"/>
      <c r="AN624" s="250"/>
      <c r="AO624" s="250"/>
      <c r="AP624" s="250"/>
      <c r="AQ624" s="250"/>
      <c r="AR624" s="250"/>
      <c r="AS624" s="250"/>
      <c r="AT624" s="250"/>
      <c r="AU624" s="250"/>
      <c r="AV624" s="124"/>
    </row>
    <row r="625" spans="2:48" s="475" customFormat="1" x14ac:dyDescent="0.2">
      <c r="B625" s="250"/>
      <c r="C625" s="250"/>
      <c r="D625" s="250"/>
      <c r="E625" s="250"/>
      <c r="F625" s="250"/>
      <c r="G625" s="250"/>
      <c r="H625" s="250"/>
      <c r="I625" s="250"/>
      <c r="J625" s="250"/>
      <c r="K625" s="250"/>
      <c r="L625" s="250"/>
      <c r="M625" s="250"/>
      <c r="N625" s="250"/>
      <c r="O625" s="250"/>
      <c r="P625" s="250"/>
      <c r="Q625" s="250"/>
      <c r="R625" s="250"/>
      <c r="S625" s="250"/>
      <c r="T625" s="250"/>
      <c r="U625" s="250"/>
      <c r="V625" s="250"/>
      <c r="W625" s="250"/>
      <c r="X625" s="250"/>
      <c r="Y625" s="250"/>
      <c r="Z625" s="250"/>
      <c r="AA625" s="250"/>
      <c r="AB625" s="250"/>
      <c r="AC625" s="250"/>
      <c r="AD625" s="250"/>
      <c r="AE625" s="250"/>
      <c r="AF625" s="250"/>
      <c r="AG625" s="250"/>
      <c r="AH625" s="250"/>
      <c r="AI625" s="250"/>
      <c r="AJ625" s="250"/>
      <c r="AK625" s="250"/>
      <c r="AL625" s="250"/>
      <c r="AM625" s="250"/>
      <c r="AN625" s="250"/>
      <c r="AO625" s="250"/>
      <c r="AP625" s="250"/>
      <c r="AQ625" s="250"/>
      <c r="AR625" s="250"/>
      <c r="AS625" s="250"/>
      <c r="AT625" s="250"/>
      <c r="AU625" s="250"/>
      <c r="AV625" s="124"/>
    </row>
    <row r="626" spans="2:48" s="475" customFormat="1" x14ac:dyDescent="0.2">
      <c r="B626" s="250"/>
      <c r="C626" s="250"/>
      <c r="D626" s="250"/>
      <c r="E626" s="250"/>
      <c r="F626" s="250"/>
      <c r="G626" s="250"/>
      <c r="H626" s="250"/>
      <c r="I626" s="250"/>
      <c r="J626" s="250"/>
      <c r="K626" s="250"/>
      <c r="L626" s="250"/>
      <c r="M626" s="250"/>
      <c r="N626" s="250"/>
      <c r="O626" s="250"/>
      <c r="P626" s="250"/>
      <c r="Q626" s="250"/>
      <c r="R626" s="250"/>
      <c r="S626" s="250"/>
      <c r="T626" s="250"/>
      <c r="U626" s="250"/>
      <c r="V626" s="250"/>
      <c r="W626" s="250"/>
      <c r="X626" s="250"/>
      <c r="Y626" s="250"/>
      <c r="Z626" s="250"/>
      <c r="AA626" s="250"/>
      <c r="AB626" s="250"/>
      <c r="AC626" s="250"/>
      <c r="AD626" s="250"/>
      <c r="AE626" s="250"/>
      <c r="AF626" s="250"/>
      <c r="AG626" s="250"/>
      <c r="AH626" s="250"/>
      <c r="AI626" s="250"/>
      <c r="AJ626" s="250"/>
      <c r="AK626" s="250"/>
      <c r="AL626" s="250"/>
      <c r="AM626" s="250"/>
      <c r="AN626" s="250"/>
      <c r="AO626" s="250"/>
      <c r="AP626" s="250"/>
      <c r="AQ626" s="250"/>
      <c r="AR626" s="250"/>
      <c r="AS626" s="250"/>
      <c r="AT626" s="250"/>
      <c r="AU626" s="250"/>
      <c r="AV626" s="124"/>
    </row>
    <row r="627" spans="2:48" s="475" customFormat="1" x14ac:dyDescent="0.2">
      <c r="B627" s="250"/>
      <c r="C627" s="250"/>
      <c r="D627" s="250"/>
      <c r="E627" s="250"/>
      <c r="F627" s="250"/>
      <c r="G627" s="250"/>
      <c r="H627" s="250"/>
      <c r="I627" s="250"/>
      <c r="J627" s="250"/>
      <c r="K627" s="250"/>
      <c r="L627" s="250"/>
      <c r="M627" s="250"/>
      <c r="N627" s="250"/>
      <c r="O627" s="250"/>
      <c r="P627" s="250"/>
      <c r="Q627" s="250"/>
      <c r="R627" s="250"/>
      <c r="S627" s="250"/>
      <c r="T627" s="250"/>
      <c r="U627" s="250"/>
      <c r="V627" s="250"/>
      <c r="W627" s="250"/>
      <c r="X627" s="250"/>
      <c r="Y627" s="250"/>
      <c r="Z627" s="250"/>
      <c r="AA627" s="250"/>
      <c r="AB627" s="250"/>
      <c r="AC627" s="250"/>
      <c r="AD627" s="250"/>
      <c r="AE627" s="250"/>
      <c r="AF627" s="250"/>
      <c r="AG627" s="250"/>
      <c r="AH627" s="250"/>
      <c r="AI627" s="250"/>
      <c r="AJ627" s="250"/>
      <c r="AK627" s="250"/>
      <c r="AL627" s="250"/>
      <c r="AM627" s="250"/>
      <c r="AN627" s="250"/>
      <c r="AO627" s="250"/>
      <c r="AP627" s="250"/>
      <c r="AQ627" s="250"/>
      <c r="AR627" s="250"/>
      <c r="AS627" s="250"/>
      <c r="AT627" s="250"/>
      <c r="AU627" s="250"/>
      <c r="AV627" s="124"/>
    </row>
    <row r="628" spans="2:48" s="475" customFormat="1" x14ac:dyDescent="0.2">
      <c r="B628" s="250"/>
      <c r="C628" s="250"/>
      <c r="D628" s="250"/>
      <c r="E628" s="250"/>
      <c r="F628" s="250"/>
      <c r="G628" s="250"/>
      <c r="H628" s="250"/>
      <c r="I628" s="250"/>
      <c r="J628" s="250"/>
      <c r="K628" s="250"/>
      <c r="L628" s="250"/>
      <c r="M628" s="250"/>
      <c r="N628" s="250"/>
      <c r="O628" s="250"/>
      <c r="P628" s="250"/>
      <c r="Q628" s="250"/>
      <c r="R628" s="250"/>
      <c r="S628" s="250"/>
      <c r="T628" s="250"/>
      <c r="U628" s="250"/>
      <c r="V628" s="250"/>
      <c r="W628" s="250"/>
      <c r="X628" s="250"/>
      <c r="Y628" s="250"/>
      <c r="Z628" s="250"/>
      <c r="AA628" s="250"/>
      <c r="AB628" s="250"/>
      <c r="AC628" s="250"/>
      <c r="AD628" s="250"/>
      <c r="AE628" s="250"/>
      <c r="AF628" s="250"/>
      <c r="AG628" s="250"/>
      <c r="AH628" s="250"/>
      <c r="AI628" s="250"/>
      <c r="AJ628" s="250"/>
      <c r="AK628" s="250"/>
      <c r="AL628" s="250"/>
      <c r="AM628" s="250"/>
      <c r="AN628" s="250"/>
      <c r="AO628" s="250"/>
      <c r="AP628" s="250"/>
      <c r="AQ628" s="250"/>
      <c r="AR628" s="250"/>
      <c r="AS628" s="250"/>
      <c r="AT628" s="250"/>
      <c r="AU628" s="250"/>
      <c r="AV628" s="124"/>
    </row>
    <row r="629" spans="2:48" s="475" customFormat="1" x14ac:dyDescent="0.2">
      <c r="B629" s="250"/>
      <c r="C629" s="250"/>
      <c r="D629" s="250"/>
      <c r="E629" s="250"/>
      <c r="F629" s="250"/>
      <c r="G629" s="250"/>
      <c r="H629" s="250"/>
      <c r="I629" s="250"/>
      <c r="J629" s="250"/>
      <c r="K629" s="250"/>
      <c r="L629" s="250"/>
      <c r="M629" s="250"/>
      <c r="N629" s="250"/>
      <c r="O629" s="250"/>
      <c r="P629" s="250"/>
      <c r="Q629" s="250"/>
      <c r="R629" s="250"/>
      <c r="S629" s="250"/>
      <c r="T629" s="250"/>
      <c r="U629" s="250"/>
      <c r="V629" s="250"/>
      <c r="W629" s="250"/>
      <c r="X629" s="250"/>
      <c r="Y629" s="250"/>
      <c r="Z629" s="250"/>
      <c r="AA629" s="250"/>
      <c r="AB629" s="250"/>
      <c r="AC629" s="250"/>
      <c r="AD629" s="250"/>
      <c r="AE629" s="250"/>
      <c r="AF629" s="250"/>
      <c r="AG629" s="250"/>
      <c r="AH629" s="250"/>
      <c r="AI629" s="250"/>
      <c r="AJ629" s="250"/>
      <c r="AK629" s="250"/>
      <c r="AL629" s="250"/>
      <c r="AM629" s="250"/>
      <c r="AN629" s="250"/>
      <c r="AO629" s="250"/>
      <c r="AP629" s="250"/>
      <c r="AQ629" s="250"/>
      <c r="AR629" s="250"/>
      <c r="AS629" s="250"/>
      <c r="AT629" s="250"/>
      <c r="AU629" s="250"/>
      <c r="AV629" s="124"/>
    </row>
    <row r="630" spans="2:48" s="475" customFormat="1" x14ac:dyDescent="0.2">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c r="AB630" s="250"/>
      <c r="AC630" s="250"/>
      <c r="AD630" s="250"/>
      <c r="AE630" s="250"/>
      <c r="AF630" s="250"/>
      <c r="AG630" s="250"/>
      <c r="AH630" s="250"/>
      <c r="AI630" s="250"/>
      <c r="AJ630" s="250"/>
      <c r="AK630" s="250"/>
      <c r="AL630" s="250"/>
      <c r="AM630" s="250"/>
      <c r="AN630" s="250"/>
      <c r="AO630" s="250"/>
      <c r="AP630" s="250"/>
      <c r="AQ630" s="250"/>
      <c r="AR630" s="250"/>
      <c r="AS630" s="250"/>
      <c r="AT630" s="250"/>
      <c r="AU630" s="250"/>
      <c r="AV630" s="124"/>
    </row>
    <row r="631" spans="2:48" s="475" customFormat="1" x14ac:dyDescent="0.2">
      <c r="B631" s="250"/>
      <c r="C631" s="250"/>
      <c r="D631" s="250"/>
      <c r="E631" s="250"/>
      <c r="F631" s="250"/>
      <c r="G631" s="250"/>
      <c r="H631" s="250"/>
      <c r="I631" s="250"/>
      <c r="J631" s="250"/>
      <c r="K631" s="250"/>
      <c r="L631" s="250"/>
      <c r="M631" s="250"/>
      <c r="N631" s="250"/>
      <c r="O631" s="250"/>
      <c r="P631" s="250"/>
      <c r="Q631" s="250"/>
      <c r="R631" s="250"/>
      <c r="S631" s="250"/>
      <c r="T631" s="250"/>
      <c r="U631" s="250"/>
      <c r="V631" s="250"/>
      <c r="W631" s="250"/>
      <c r="X631" s="250"/>
      <c r="Y631" s="250"/>
      <c r="Z631" s="250"/>
      <c r="AA631" s="250"/>
      <c r="AB631" s="250"/>
      <c r="AC631" s="250"/>
      <c r="AD631" s="250"/>
      <c r="AE631" s="250"/>
      <c r="AF631" s="250"/>
      <c r="AG631" s="250"/>
      <c r="AH631" s="250"/>
      <c r="AI631" s="250"/>
      <c r="AJ631" s="250"/>
      <c r="AK631" s="250"/>
      <c r="AL631" s="250"/>
      <c r="AM631" s="250"/>
      <c r="AN631" s="250"/>
      <c r="AO631" s="250"/>
      <c r="AP631" s="250"/>
      <c r="AQ631" s="250"/>
      <c r="AR631" s="250"/>
      <c r="AS631" s="250"/>
      <c r="AT631" s="250"/>
      <c r="AU631" s="250"/>
      <c r="AV631" s="124"/>
    </row>
    <row r="632" spans="2:48" s="475" customFormat="1" x14ac:dyDescent="0.2">
      <c r="B632" s="250"/>
      <c r="C632" s="250"/>
      <c r="D632" s="250"/>
      <c r="E632" s="250"/>
      <c r="F632" s="250"/>
      <c r="G632" s="250"/>
      <c r="H632" s="250"/>
      <c r="I632" s="250"/>
      <c r="J632" s="250"/>
      <c r="K632" s="250"/>
      <c r="L632" s="250"/>
      <c r="M632" s="250"/>
      <c r="N632" s="250"/>
      <c r="O632" s="250"/>
      <c r="P632" s="250"/>
      <c r="Q632" s="250"/>
      <c r="R632" s="250"/>
      <c r="S632" s="250"/>
      <c r="T632" s="250"/>
      <c r="U632" s="250"/>
      <c r="V632" s="250"/>
      <c r="W632" s="250"/>
      <c r="X632" s="250"/>
      <c r="Y632" s="250"/>
      <c r="Z632" s="250"/>
      <c r="AA632" s="250"/>
      <c r="AB632" s="250"/>
      <c r="AC632" s="250"/>
      <c r="AD632" s="250"/>
      <c r="AE632" s="250"/>
      <c r="AF632" s="250"/>
      <c r="AG632" s="250"/>
      <c r="AH632" s="250"/>
      <c r="AI632" s="250"/>
      <c r="AJ632" s="250"/>
      <c r="AK632" s="250"/>
      <c r="AL632" s="250"/>
      <c r="AM632" s="250"/>
      <c r="AN632" s="250"/>
      <c r="AO632" s="250"/>
      <c r="AP632" s="250"/>
      <c r="AQ632" s="250"/>
      <c r="AR632" s="250"/>
      <c r="AS632" s="250"/>
      <c r="AT632" s="250"/>
      <c r="AU632" s="250"/>
      <c r="AV632" s="124"/>
    </row>
    <row r="633" spans="2:48" s="475" customFormat="1" x14ac:dyDescent="0.2">
      <c r="B633" s="250"/>
      <c r="C633" s="250"/>
      <c r="D633" s="250"/>
      <c r="E633" s="250"/>
      <c r="F633" s="250"/>
      <c r="G633" s="250"/>
      <c r="H633" s="250"/>
      <c r="I633" s="250"/>
      <c r="J633" s="250"/>
      <c r="K633" s="250"/>
      <c r="L633" s="250"/>
      <c r="M633" s="250"/>
      <c r="N633" s="250"/>
      <c r="O633" s="250"/>
      <c r="P633" s="250"/>
      <c r="Q633" s="250"/>
      <c r="R633" s="250"/>
      <c r="S633" s="250"/>
      <c r="T633" s="250"/>
      <c r="U633" s="250"/>
      <c r="V633" s="250"/>
      <c r="W633" s="250"/>
      <c r="X633" s="250"/>
      <c r="Y633" s="250"/>
      <c r="Z633" s="250"/>
      <c r="AA633" s="250"/>
      <c r="AB633" s="250"/>
      <c r="AC633" s="250"/>
      <c r="AD633" s="250"/>
      <c r="AE633" s="250"/>
      <c r="AF633" s="250"/>
      <c r="AG633" s="250"/>
      <c r="AH633" s="250"/>
      <c r="AI633" s="250"/>
      <c r="AJ633" s="250"/>
      <c r="AK633" s="250"/>
      <c r="AL633" s="250"/>
      <c r="AM633" s="250"/>
      <c r="AN633" s="250"/>
      <c r="AO633" s="250"/>
      <c r="AP633" s="250"/>
      <c r="AQ633" s="250"/>
      <c r="AR633" s="250"/>
      <c r="AS633" s="250"/>
      <c r="AT633" s="250"/>
      <c r="AU633" s="250"/>
      <c r="AV633" s="124"/>
    </row>
    <row r="634" spans="2:48" s="475" customFormat="1" x14ac:dyDescent="0.2">
      <c r="B634" s="250"/>
      <c r="C634" s="250"/>
      <c r="D634" s="250"/>
      <c r="E634" s="250"/>
      <c r="F634" s="250"/>
      <c r="G634" s="250"/>
      <c r="H634" s="250"/>
      <c r="I634" s="250"/>
      <c r="J634" s="250"/>
      <c r="K634" s="250"/>
      <c r="L634" s="250"/>
      <c r="M634" s="250"/>
      <c r="N634" s="250"/>
      <c r="O634" s="250"/>
      <c r="P634" s="250"/>
      <c r="Q634" s="250"/>
      <c r="R634" s="250"/>
      <c r="S634" s="250"/>
      <c r="T634" s="250"/>
      <c r="U634" s="250"/>
      <c r="V634" s="250"/>
      <c r="W634" s="250"/>
      <c r="X634" s="250"/>
      <c r="Y634" s="250"/>
      <c r="Z634" s="250"/>
      <c r="AA634" s="250"/>
      <c r="AB634" s="250"/>
      <c r="AC634" s="250"/>
      <c r="AD634" s="250"/>
      <c r="AE634" s="250"/>
      <c r="AF634" s="250"/>
      <c r="AG634" s="250"/>
      <c r="AH634" s="250"/>
      <c r="AI634" s="250"/>
      <c r="AJ634" s="250"/>
      <c r="AK634" s="250"/>
      <c r="AL634" s="250"/>
      <c r="AM634" s="250"/>
      <c r="AN634" s="250"/>
      <c r="AO634" s="250"/>
      <c r="AP634" s="250"/>
      <c r="AQ634" s="250"/>
      <c r="AR634" s="250"/>
      <c r="AS634" s="250"/>
      <c r="AT634" s="250"/>
      <c r="AU634" s="250"/>
      <c r="AV634" s="124"/>
    </row>
    <row r="635" spans="2:48" s="475" customFormat="1" x14ac:dyDescent="0.2">
      <c r="B635" s="250"/>
      <c r="C635" s="250"/>
      <c r="D635" s="250"/>
      <c r="E635" s="250"/>
      <c r="F635" s="250"/>
      <c r="G635" s="250"/>
      <c r="H635" s="250"/>
      <c r="I635" s="250"/>
      <c r="J635" s="250"/>
      <c r="K635" s="250"/>
      <c r="L635" s="250"/>
      <c r="M635" s="250"/>
      <c r="N635" s="250"/>
      <c r="O635" s="250"/>
      <c r="P635" s="250"/>
      <c r="Q635" s="250"/>
      <c r="R635" s="250"/>
      <c r="S635" s="250"/>
      <c r="T635" s="250"/>
      <c r="U635" s="250"/>
      <c r="V635" s="250"/>
      <c r="W635" s="250"/>
      <c r="X635" s="250"/>
      <c r="Y635" s="250"/>
      <c r="Z635" s="250"/>
      <c r="AA635" s="250"/>
      <c r="AB635" s="250"/>
      <c r="AC635" s="250"/>
      <c r="AD635" s="250"/>
      <c r="AE635" s="250"/>
      <c r="AF635" s="250"/>
      <c r="AG635" s="250"/>
      <c r="AH635" s="250"/>
      <c r="AI635" s="250"/>
      <c r="AJ635" s="250"/>
      <c r="AK635" s="250"/>
      <c r="AL635" s="250"/>
      <c r="AM635" s="250"/>
      <c r="AN635" s="250"/>
      <c r="AO635" s="250"/>
      <c r="AP635" s="250"/>
      <c r="AQ635" s="250"/>
      <c r="AR635" s="250"/>
      <c r="AS635" s="250"/>
      <c r="AT635" s="250"/>
      <c r="AU635" s="250"/>
      <c r="AV635" s="124"/>
    </row>
    <row r="636" spans="2:48" s="475" customFormat="1" x14ac:dyDescent="0.2">
      <c r="B636" s="250"/>
      <c r="C636" s="250"/>
      <c r="D636" s="250"/>
      <c r="E636" s="250"/>
      <c r="F636" s="250"/>
      <c r="G636" s="250"/>
      <c r="H636" s="250"/>
      <c r="I636" s="250"/>
      <c r="J636" s="250"/>
      <c r="K636" s="250"/>
      <c r="L636" s="250"/>
      <c r="M636" s="250"/>
      <c r="N636" s="250"/>
      <c r="O636" s="250"/>
      <c r="P636" s="250"/>
      <c r="Q636" s="250"/>
      <c r="R636" s="250"/>
      <c r="S636" s="250"/>
      <c r="T636" s="250"/>
      <c r="U636" s="250"/>
      <c r="V636" s="250"/>
      <c r="W636" s="250"/>
      <c r="X636" s="250"/>
      <c r="Y636" s="250"/>
      <c r="Z636" s="250"/>
      <c r="AA636" s="250"/>
      <c r="AB636" s="250"/>
      <c r="AC636" s="250"/>
      <c r="AD636" s="250"/>
      <c r="AE636" s="250"/>
      <c r="AF636" s="250"/>
      <c r="AG636" s="250"/>
      <c r="AH636" s="250"/>
      <c r="AI636" s="250"/>
      <c r="AJ636" s="250"/>
      <c r="AK636" s="250"/>
      <c r="AL636" s="250"/>
      <c r="AM636" s="250"/>
      <c r="AN636" s="250"/>
      <c r="AO636" s="250"/>
      <c r="AP636" s="250"/>
      <c r="AQ636" s="250"/>
      <c r="AR636" s="250"/>
      <c r="AS636" s="250"/>
      <c r="AT636" s="250"/>
      <c r="AU636" s="250"/>
      <c r="AV636" s="124"/>
    </row>
    <row r="637" spans="2:48" s="475" customFormat="1" x14ac:dyDescent="0.2">
      <c r="B637" s="250"/>
      <c r="C637" s="250"/>
      <c r="D637" s="250"/>
      <c r="E637" s="250"/>
      <c r="F637" s="250"/>
      <c r="G637" s="250"/>
      <c r="H637" s="250"/>
      <c r="I637" s="250"/>
      <c r="J637" s="250"/>
      <c r="K637" s="250"/>
      <c r="L637" s="250"/>
      <c r="M637" s="250"/>
      <c r="N637" s="250"/>
      <c r="O637" s="250"/>
      <c r="P637" s="250"/>
      <c r="Q637" s="250"/>
      <c r="R637" s="250"/>
      <c r="S637" s="250"/>
      <c r="T637" s="250"/>
      <c r="U637" s="250"/>
      <c r="V637" s="250"/>
      <c r="W637" s="250"/>
      <c r="X637" s="250"/>
      <c r="Y637" s="250"/>
      <c r="Z637" s="250"/>
      <c r="AA637" s="250"/>
      <c r="AB637" s="250"/>
      <c r="AC637" s="250"/>
      <c r="AD637" s="250"/>
      <c r="AE637" s="250"/>
      <c r="AF637" s="250"/>
      <c r="AG637" s="250"/>
      <c r="AH637" s="250"/>
      <c r="AI637" s="250"/>
      <c r="AJ637" s="250"/>
      <c r="AK637" s="250"/>
      <c r="AL637" s="250"/>
      <c r="AM637" s="250"/>
      <c r="AN637" s="250"/>
      <c r="AO637" s="250"/>
      <c r="AP637" s="250"/>
      <c r="AQ637" s="250"/>
      <c r="AR637" s="250"/>
      <c r="AS637" s="250"/>
      <c r="AT637" s="250"/>
      <c r="AU637" s="250"/>
      <c r="AV637" s="124"/>
    </row>
    <row r="638" spans="2:48" s="475" customFormat="1" x14ac:dyDescent="0.2">
      <c r="B638" s="250"/>
      <c r="C638" s="250"/>
      <c r="D638" s="250"/>
      <c r="E638" s="250"/>
      <c r="F638" s="250"/>
      <c r="G638" s="250"/>
      <c r="H638" s="250"/>
      <c r="I638" s="250"/>
      <c r="J638" s="250"/>
      <c r="K638" s="250"/>
      <c r="L638" s="250"/>
      <c r="M638" s="250"/>
      <c r="N638" s="250"/>
      <c r="O638" s="250"/>
      <c r="P638" s="250"/>
      <c r="Q638" s="250"/>
      <c r="R638" s="250"/>
      <c r="S638" s="250"/>
      <c r="T638" s="250"/>
      <c r="U638" s="250"/>
      <c r="V638" s="250"/>
      <c r="W638" s="250"/>
      <c r="X638" s="250"/>
      <c r="Y638" s="250"/>
      <c r="Z638" s="250"/>
      <c r="AA638" s="250"/>
      <c r="AB638" s="250"/>
      <c r="AC638" s="250"/>
      <c r="AD638" s="250"/>
      <c r="AE638" s="250"/>
      <c r="AF638" s="250"/>
      <c r="AG638" s="250"/>
      <c r="AH638" s="250"/>
      <c r="AI638" s="250"/>
      <c r="AJ638" s="250"/>
      <c r="AK638" s="250"/>
      <c r="AL638" s="250"/>
      <c r="AM638" s="250"/>
      <c r="AN638" s="250"/>
      <c r="AO638" s="250"/>
      <c r="AP638" s="250"/>
      <c r="AQ638" s="250"/>
      <c r="AR638" s="250"/>
      <c r="AS638" s="250"/>
      <c r="AT638" s="250"/>
      <c r="AU638" s="250"/>
      <c r="AV638" s="124"/>
    </row>
    <row r="639" spans="2:48" s="475" customFormat="1" x14ac:dyDescent="0.2">
      <c r="B639" s="250"/>
      <c r="C639" s="250"/>
      <c r="D639" s="250"/>
      <c r="E639" s="250"/>
      <c r="F639" s="250"/>
      <c r="G639" s="250"/>
      <c r="H639" s="250"/>
      <c r="I639" s="250"/>
      <c r="J639" s="250"/>
      <c r="K639" s="250"/>
      <c r="L639" s="250"/>
      <c r="M639" s="250"/>
      <c r="N639" s="250"/>
      <c r="O639" s="250"/>
      <c r="P639" s="250"/>
      <c r="Q639" s="250"/>
      <c r="R639" s="250"/>
      <c r="S639" s="250"/>
      <c r="T639" s="250"/>
      <c r="U639" s="250"/>
      <c r="V639" s="250"/>
      <c r="W639" s="250"/>
      <c r="X639" s="250"/>
      <c r="Y639" s="250"/>
      <c r="Z639" s="250"/>
      <c r="AA639" s="250"/>
      <c r="AB639" s="250"/>
      <c r="AC639" s="250"/>
      <c r="AD639" s="250"/>
      <c r="AE639" s="250"/>
      <c r="AF639" s="250"/>
      <c r="AG639" s="250"/>
      <c r="AH639" s="250"/>
      <c r="AI639" s="250"/>
      <c r="AJ639" s="250"/>
      <c r="AK639" s="250"/>
      <c r="AL639" s="250"/>
      <c r="AM639" s="250"/>
      <c r="AN639" s="250"/>
      <c r="AO639" s="250"/>
      <c r="AP639" s="250"/>
      <c r="AQ639" s="250"/>
      <c r="AR639" s="250"/>
      <c r="AS639" s="250"/>
      <c r="AT639" s="250"/>
      <c r="AU639" s="250"/>
      <c r="AV639" s="124"/>
    </row>
    <row r="640" spans="2:48" s="475" customFormat="1" x14ac:dyDescent="0.2">
      <c r="B640" s="250"/>
      <c r="C640" s="250"/>
      <c r="D640" s="250"/>
      <c r="E640" s="250"/>
      <c r="F640" s="250"/>
      <c r="G640" s="250"/>
      <c r="H640" s="250"/>
      <c r="I640" s="250"/>
      <c r="J640" s="250"/>
      <c r="K640" s="250"/>
      <c r="L640" s="250"/>
      <c r="M640" s="250"/>
      <c r="N640" s="250"/>
      <c r="O640" s="250"/>
      <c r="P640" s="250"/>
      <c r="Q640" s="250"/>
      <c r="R640" s="250"/>
      <c r="S640" s="250"/>
      <c r="T640" s="250"/>
      <c r="U640" s="250"/>
      <c r="V640" s="250"/>
      <c r="W640" s="250"/>
      <c r="X640" s="250"/>
      <c r="Y640" s="250"/>
      <c r="Z640" s="250"/>
      <c r="AA640" s="250"/>
      <c r="AB640" s="250"/>
      <c r="AC640" s="250"/>
      <c r="AD640" s="250"/>
      <c r="AE640" s="250"/>
      <c r="AF640" s="250"/>
      <c r="AG640" s="250"/>
      <c r="AH640" s="250"/>
      <c r="AI640" s="250"/>
      <c r="AJ640" s="250"/>
      <c r="AK640" s="250"/>
      <c r="AL640" s="250"/>
      <c r="AM640" s="250"/>
      <c r="AN640" s="250"/>
      <c r="AO640" s="250"/>
      <c r="AP640" s="250"/>
      <c r="AQ640" s="250"/>
      <c r="AR640" s="250"/>
      <c r="AS640" s="250"/>
      <c r="AT640" s="250"/>
      <c r="AU640" s="250"/>
      <c r="AV640" s="124"/>
    </row>
    <row r="641" spans="2:48" s="475" customFormat="1" x14ac:dyDescent="0.2">
      <c r="B641" s="250"/>
      <c r="C641" s="250"/>
      <c r="D641" s="250"/>
      <c r="E641" s="250"/>
      <c r="F641" s="250"/>
      <c r="G641" s="250"/>
      <c r="H641" s="250"/>
      <c r="I641" s="250"/>
      <c r="J641" s="250"/>
      <c r="K641" s="250"/>
      <c r="L641" s="250"/>
      <c r="M641" s="250"/>
      <c r="N641" s="250"/>
      <c r="O641" s="250"/>
      <c r="P641" s="250"/>
      <c r="Q641" s="250"/>
      <c r="R641" s="250"/>
      <c r="S641" s="250"/>
      <c r="T641" s="250"/>
      <c r="U641" s="250"/>
      <c r="V641" s="250"/>
      <c r="W641" s="250"/>
      <c r="X641" s="250"/>
      <c r="Y641" s="250"/>
      <c r="Z641" s="250"/>
      <c r="AA641" s="250"/>
      <c r="AB641" s="250"/>
      <c r="AC641" s="250"/>
      <c r="AD641" s="250"/>
      <c r="AE641" s="250"/>
      <c r="AF641" s="250"/>
      <c r="AG641" s="250"/>
      <c r="AH641" s="250"/>
      <c r="AI641" s="250"/>
      <c r="AJ641" s="250"/>
      <c r="AK641" s="250"/>
      <c r="AL641" s="250"/>
      <c r="AM641" s="250"/>
      <c r="AN641" s="250"/>
      <c r="AO641" s="250"/>
      <c r="AP641" s="250"/>
      <c r="AQ641" s="250"/>
      <c r="AR641" s="250"/>
      <c r="AS641" s="250"/>
      <c r="AT641" s="250"/>
      <c r="AU641" s="250"/>
      <c r="AV641" s="124"/>
    </row>
    <row r="642" spans="2:48" s="475" customFormat="1" x14ac:dyDescent="0.2">
      <c r="B642" s="250"/>
      <c r="C642" s="250"/>
      <c r="D642" s="250"/>
      <c r="E642" s="250"/>
      <c r="F642" s="250"/>
      <c r="G642" s="250"/>
      <c r="H642" s="250"/>
      <c r="I642" s="250"/>
      <c r="J642" s="250"/>
      <c r="K642" s="250"/>
      <c r="L642" s="250"/>
      <c r="M642" s="250"/>
      <c r="N642" s="250"/>
      <c r="O642" s="250"/>
      <c r="P642" s="250"/>
      <c r="Q642" s="250"/>
      <c r="R642" s="250"/>
      <c r="S642" s="250"/>
      <c r="T642" s="250"/>
      <c r="U642" s="250"/>
      <c r="V642" s="250"/>
      <c r="W642" s="250"/>
      <c r="X642" s="250"/>
      <c r="Y642" s="250"/>
      <c r="Z642" s="250"/>
      <c r="AA642" s="250"/>
      <c r="AB642" s="250"/>
      <c r="AC642" s="250"/>
      <c r="AD642" s="250"/>
      <c r="AE642" s="250"/>
      <c r="AF642" s="250"/>
      <c r="AG642" s="250"/>
      <c r="AH642" s="250"/>
      <c r="AI642" s="250"/>
      <c r="AJ642" s="250"/>
      <c r="AK642" s="250"/>
      <c r="AL642" s="250"/>
      <c r="AM642" s="250"/>
      <c r="AN642" s="250"/>
      <c r="AO642" s="250"/>
      <c r="AP642" s="250"/>
      <c r="AQ642" s="250"/>
      <c r="AR642" s="250"/>
      <c r="AS642" s="250"/>
      <c r="AT642" s="250"/>
      <c r="AU642" s="250"/>
      <c r="AV642" s="124"/>
    </row>
    <row r="643" spans="2:48" s="475" customFormat="1" x14ac:dyDescent="0.2">
      <c r="B643" s="250"/>
      <c r="C643" s="250"/>
      <c r="D643" s="250"/>
      <c r="E643" s="250"/>
      <c r="F643" s="250"/>
      <c r="G643" s="250"/>
      <c r="H643" s="250"/>
      <c r="I643" s="250"/>
      <c r="J643" s="250"/>
      <c r="K643" s="250"/>
      <c r="L643" s="250"/>
      <c r="M643" s="250"/>
      <c r="N643" s="250"/>
      <c r="O643" s="250"/>
      <c r="P643" s="250"/>
      <c r="Q643" s="250"/>
      <c r="R643" s="250"/>
      <c r="S643" s="250"/>
      <c r="T643" s="250"/>
      <c r="U643" s="250"/>
      <c r="V643" s="250"/>
      <c r="W643" s="250"/>
      <c r="X643" s="250"/>
      <c r="Y643" s="250"/>
      <c r="Z643" s="250"/>
      <c r="AA643" s="250"/>
      <c r="AB643" s="250"/>
      <c r="AC643" s="250"/>
      <c r="AD643" s="250"/>
      <c r="AE643" s="250"/>
      <c r="AF643" s="250"/>
      <c r="AG643" s="250"/>
      <c r="AH643" s="250"/>
      <c r="AI643" s="250"/>
      <c r="AJ643" s="250"/>
      <c r="AK643" s="250"/>
      <c r="AL643" s="250"/>
      <c r="AM643" s="250"/>
      <c r="AN643" s="250"/>
      <c r="AO643" s="250"/>
      <c r="AP643" s="250"/>
      <c r="AQ643" s="250"/>
      <c r="AR643" s="250"/>
      <c r="AS643" s="250"/>
      <c r="AT643" s="250"/>
      <c r="AU643" s="250"/>
      <c r="AV643" s="124"/>
    </row>
    <row r="644" spans="2:48" s="475" customFormat="1" x14ac:dyDescent="0.2">
      <c r="B644" s="250"/>
      <c r="C644" s="250"/>
      <c r="D644" s="250"/>
      <c r="E644" s="250"/>
      <c r="F644" s="250"/>
      <c r="G644" s="250"/>
      <c r="H644" s="250"/>
      <c r="I644" s="250"/>
      <c r="J644" s="250"/>
      <c r="K644" s="250"/>
      <c r="L644" s="250"/>
      <c r="M644" s="250"/>
      <c r="N644" s="250"/>
      <c r="O644" s="250"/>
      <c r="P644" s="250"/>
      <c r="Q644" s="250"/>
      <c r="R644" s="250"/>
      <c r="S644" s="250"/>
      <c r="T644" s="250"/>
      <c r="U644" s="250"/>
      <c r="V644" s="250"/>
      <c r="W644" s="250"/>
      <c r="X644" s="250"/>
      <c r="Y644" s="250"/>
      <c r="Z644" s="250"/>
      <c r="AA644" s="250"/>
      <c r="AB644" s="250"/>
      <c r="AC644" s="250"/>
      <c r="AD644" s="250"/>
      <c r="AE644" s="250"/>
      <c r="AF644" s="250"/>
      <c r="AG644" s="250"/>
      <c r="AH644" s="250"/>
      <c r="AI644" s="250"/>
      <c r="AJ644" s="250"/>
      <c r="AK644" s="250"/>
      <c r="AL644" s="250"/>
      <c r="AM644" s="250"/>
      <c r="AN644" s="250"/>
      <c r="AO644" s="250"/>
      <c r="AP644" s="250"/>
      <c r="AQ644" s="250"/>
      <c r="AR644" s="250"/>
      <c r="AS644" s="250"/>
      <c r="AT644" s="250"/>
      <c r="AU644" s="250"/>
      <c r="AV644" s="124"/>
    </row>
    <row r="645" spans="2:48" s="475" customFormat="1" x14ac:dyDescent="0.2">
      <c r="B645" s="250"/>
      <c r="C645" s="250"/>
      <c r="D645" s="250"/>
      <c r="E645" s="250"/>
      <c r="F645" s="250"/>
      <c r="G645" s="250"/>
      <c r="H645" s="250"/>
      <c r="I645" s="250"/>
      <c r="J645" s="250"/>
      <c r="K645" s="250"/>
      <c r="L645" s="250"/>
      <c r="M645" s="250"/>
      <c r="N645" s="250"/>
      <c r="O645" s="250"/>
      <c r="P645" s="250"/>
      <c r="Q645" s="250"/>
      <c r="R645" s="250"/>
      <c r="S645" s="250"/>
      <c r="T645" s="250"/>
      <c r="U645" s="250"/>
      <c r="V645" s="250"/>
      <c r="W645" s="250"/>
      <c r="X645" s="250"/>
      <c r="Y645" s="250"/>
      <c r="Z645" s="250"/>
      <c r="AA645" s="250"/>
      <c r="AB645" s="250"/>
      <c r="AC645" s="250"/>
      <c r="AD645" s="250"/>
      <c r="AE645" s="250"/>
      <c r="AF645" s="250"/>
      <c r="AG645" s="250"/>
      <c r="AH645" s="250"/>
      <c r="AI645" s="250"/>
      <c r="AJ645" s="250"/>
      <c r="AK645" s="250"/>
      <c r="AL645" s="250"/>
      <c r="AM645" s="250"/>
      <c r="AN645" s="250"/>
      <c r="AO645" s="250"/>
      <c r="AP645" s="250"/>
      <c r="AQ645" s="250"/>
      <c r="AR645" s="250"/>
      <c r="AS645" s="250"/>
      <c r="AT645" s="250"/>
      <c r="AU645" s="250"/>
      <c r="AV645" s="124"/>
    </row>
    <row r="646" spans="2:48" s="475" customFormat="1" x14ac:dyDescent="0.2">
      <c r="B646" s="250"/>
      <c r="C646" s="250"/>
      <c r="D646" s="250"/>
      <c r="E646" s="250"/>
      <c r="F646" s="250"/>
      <c r="G646" s="250"/>
      <c r="H646" s="250"/>
      <c r="I646" s="250"/>
      <c r="J646" s="250"/>
      <c r="K646" s="250"/>
      <c r="L646" s="250"/>
      <c r="M646" s="250"/>
      <c r="N646" s="250"/>
      <c r="O646" s="250"/>
      <c r="P646" s="250"/>
      <c r="Q646" s="250"/>
      <c r="R646" s="250"/>
      <c r="S646" s="250"/>
      <c r="T646" s="250"/>
      <c r="U646" s="250"/>
      <c r="V646" s="250"/>
      <c r="W646" s="250"/>
      <c r="X646" s="250"/>
      <c r="Y646" s="250"/>
      <c r="Z646" s="250"/>
      <c r="AA646" s="250"/>
      <c r="AB646" s="250"/>
      <c r="AC646" s="250"/>
      <c r="AD646" s="250"/>
      <c r="AE646" s="250"/>
      <c r="AF646" s="250"/>
      <c r="AG646" s="250"/>
      <c r="AH646" s="250"/>
      <c r="AI646" s="250"/>
      <c r="AJ646" s="250"/>
      <c r="AK646" s="250"/>
      <c r="AL646" s="250"/>
      <c r="AM646" s="250"/>
      <c r="AN646" s="250"/>
      <c r="AO646" s="250"/>
      <c r="AP646" s="250"/>
      <c r="AQ646" s="250"/>
      <c r="AR646" s="250"/>
      <c r="AS646" s="250"/>
      <c r="AT646" s="250"/>
      <c r="AU646" s="250"/>
      <c r="AV646" s="124"/>
    </row>
    <row r="647" spans="2:48" s="475" customFormat="1" x14ac:dyDescent="0.2">
      <c r="B647" s="250"/>
      <c r="C647" s="250"/>
      <c r="D647" s="250"/>
      <c r="E647" s="250"/>
      <c r="F647" s="250"/>
      <c r="G647" s="250"/>
      <c r="H647" s="250"/>
      <c r="I647" s="250"/>
      <c r="J647" s="250"/>
      <c r="K647" s="250"/>
      <c r="L647" s="250"/>
      <c r="M647" s="250"/>
      <c r="N647" s="250"/>
      <c r="O647" s="250"/>
      <c r="P647" s="250"/>
      <c r="Q647" s="250"/>
      <c r="R647" s="250"/>
      <c r="S647" s="250"/>
      <c r="T647" s="250"/>
      <c r="U647" s="250"/>
      <c r="V647" s="250"/>
      <c r="W647" s="250"/>
      <c r="X647" s="250"/>
      <c r="Y647" s="250"/>
      <c r="Z647" s="250"/>
      <c r="AA647" s="250"/>
      <c r="AB647" s="250"/>
      <c r="AC647" s="250"/>
      <c r="AD647" s="250"/>
      <c r="AE647" s="250"/>
      <c r="AF647" s="250"/>
      <c r="AG647" s="250"/>
      <c r="AH647" s="250"/>
      <c r="AI647" s="250"/>
      <c r="AJ647" s="250"/>
      <c r="AK647" s="250"/>
      <c r="AL647" s="250"/>
      <c r="AM647" s="250"/>
      <c r="AN647" s="250"/>
      <c r="AO647" s="250"/>
      <c r="AP647" s="250"/>
      <c r="AQ647" s="250"/>
      <c r="AR647" s="250"/>
      <c r="AS647" s="250"/>
      <c r="AT647" s="250"/>
      <c r="AU647" s="250"/>
      <c r="AV647" s="124"/>
    </row>
    <row r="648" spans="2:48" s="475" customFormat="1" x14ac:dyDescent="0.2">
      <c r="B648" s="250"/>
      <c r="C648" s="250"/>
      <c r="D648" s="250"/>
      <c r="E648" s="250"/>
      <c r="F648" s="250"/>
      <c r="G648" s="250"/>
      <c r="H648" s="250"/>
      <c r="I648" s="250"/>
      <c r="J648" s="250"/>
      <c r="K648" s="250"/>
      <c r="L648" s="250"/>
      <c r="M648" s="250"/>
      <c r="N648" s="250"/>
      <c r="O648" s="250"/>
      <c r="P648" s="250"/>
      <c r="Q648" s="250"/>
      <c r="R648" s="250"/>
      <c r="S648" s="250"/>
      <c r="T648" s="250"/>
      <c r="U648" s="250"/>
      <c r="V648" s="250"/>
      <c r="W648" s="250"/>
      <c r="X648" s="250"/>
      <c r="Y648" s="250"/>
      <c r="Z648" s="250"/>
      <c r="AA648" s="250"/>
      <c r="AB648" s="250"/>
      <c r="AC648" s="250"/>
      <c r="AD648" s="250"/>
      <c r="AE648" s="250"/>
      <c r="AF648" s="250"/>
      <c r="AG648" s="250"/>
      <c r="AH648" s="250"/>
      <c r="AI648" s="250"/>
      <c r="AJ648" s="250"/>
      <c r="AK648" s="250"/>
      <c r="AL648" s="250"/>
      <c r="AM648" s="250"/>
      <c r="AN648" s="250"/>
      <c r="AO648" s="250"/>
      <c r="AP648" s="250"/>
      <c r="AQ648" s="250"/>
      <c r="AR648" s="250"/>
      <c r="AS648" s="250"/>
      <c r="AT648" s="250"/>
      <c r="AU648" s="250"/>
      <c r="AV648" s="124"/>
    </row>
    <row r="649" spans="2:48" s="475" customFormat="1" x14ac:dyDescent="0.2">
      <c r="B649" s="250"/>
      <c r="C649" s="250"/>
      <c r="D649" s="250"/>
      <c r="E649" s="250"/>
      <c r="F649" s="250"/>
      <c r="G649" s="250"/>
      <c r="H649" s="250"/>
      <c r="I649" s="250"/>
      <c r="J649" s="250"/>
      <c r="K649" s="250"/>
      <c r="L649" s="250"/>
      <c r="M649" s="250"/>
      <c r="N649" s="250"/>
      <c r="O649" s="250"/>
      <c r="P649" s="250"/>
      <c r="Q649" s="250"/>
      <c r="R649" s="250"/>
      <c r="S649" s="250"/>
      <c r="T649" s="250"/>
      <c r="U649" s="250"/>
      <c r="V649" s="250"/>
      <c r="W649" s="250"/>
      <c r="X649" s="250"/>
      <c r="Y649" s="250"/>
      <c r="Z649" s="250"/>
      <c r="AA649" s="250"/>
      <c r="AB649" s="250"/>
      <c r="AC649" s="250"/>
      <c r="AD649" s="250"/>
      <c r="AE649" s="250"/>
      <c r="AF649" s="250"/>
      <c r="AG649" s="250"/>
      <c r="AH649" s="250"/>
      <c r="AI649" s="250"/>
      <c r="AJ649" s="250"/>
      <c r="AK649" s="250"/>
      <c r="AL649" s="250"/>
      <c r="AM649" s="250"/>
      <c r="AN649" s="250"/>
      <c r="AO649" s="250"/>
      <c r="AP649" s="250"/>
      <c r="AQ649" s="250"/>
      <c r="AR649" s="250"/>
      <c r="AS649" s="250"/>
      <c r="AT649" s="250"/>
      <c r="AU649" s="250"/>
      <c r="AV649" s="124"/>
    </row>
    <row r="650" spans="2:48" s="475" customFormat="1" x14ac:dyDescent="0.2">
      <c r="B650" s="250"/>
      <c r="C650" s="250"/>
      <c r="D650" s="250"/>
      <c r="E650" s="250"/>
      <c r="F650" s="250"/>
      <c r="G650" s="250"/>
      <c r="H650" s="250"/>
      <c r="I650" s="250"/>
      <c r="J650" s="250"/>
      <c r="K650" s="250"/>
      <c r="L650" s="250"/>
      <c r="M650" s="250"/>
      <c r="N650" s="250"/>
      <c r="O650" s="250"/>
      <c r="P650" s="250"/>
      <c r="Q650" s="250"/>
      <c r="R650" s="250"/>
      <c r="S650" s="250"/>
      <c r="T650" s="250"/>
      <c r="U650" s="250"/>
      <c r="V650" s="250"/>
      <c r="W650" s="250"/>
      <c r="X650" s="250"/>
      <c r="Y650" s="250"/>
      <c r="Z650" s="250"/>
      <c r="AA650" s="250"/>
      <c r="AB650" s="250"/>
      <c r="AC650" s="250"/>
      <c r="AD650" s="250"/>
      <c r="AE650" s="250"/>
      <c r="AF650" s="250"/>
      <c r="AG650" s="250"/>
      <c r="AH650" s="250"/>
      <c r="AI650" s="250"/>
      <c r="AJ650" s="250"/>
      <c r="AK650" s="250"/>
      <c r="AL650" s="250"/>
      <c r="AM650" s="250"/>
      <c r="AN650" s="250"/>
      <c r="AO650" s="250"/>
      <c r="AP650" s="250"/>
      <c r="AQ650" s="250"/>
      <c r="AR650" s="250"/>
      <c r="AS650" s="250"/>
      <c r="AT650" s="250"/>
      <c r="AU650" s="250"/>
      <c r="AV650" s="124"/>
    </row>
    <row r="651" spans="2:48" s="475" customFormat="1" x14ac:dyDescent="0.2">
      <c r="B651" s="250"/>
      <c r="C651" s="250"/>
      <c r="D651" s="250"/>
      <c r="E651" s="250"/>
      <c r="F651" s="250"/>
      <c r="G651" s="250"/>
      <c r="H651" s="250"/>
      <c r="I651" s="250"/>
      <c r="J651" s="250"/>
      <c r="K651" s="250"/>
      <c r="L651" s="250"/>
      <c r="M651" s="250"/>
      <c r="N651" s="250"/>
      <c r="O651" s="250"/>
      <c r="P651" s="250"/>
      <c r="Q651" s="250"/>
      <c r="R651" s="250"/>
      <c r="S651" s="250"/>
      <c r="T651" s="250"/>
      <c r="U651" s="250"/>
      <c r="V651" s="250"/>
      <c r="W651" s="250"/>
      <c r="X651" s="250"/>
      <c r="Y651" s="250"/>
      <c r="Z651" s="250"/>
      <c r="AA651" s="250"/>
      <c r="AB651" s="250"/>
      <c r="AC651" s="250"/>
      <c r="AD651" s="250"/>
      <c r="AE651" s="250"/>
      <c r="AF651" s="250"/>
      <c r="AG651" s="250"/>
      <c r="AH651" s="250"/>
      <c r="AI651" s="250"/>
      <c r="AJ651" s="250"/>
      <c r="AK651" s="250"/>
      <c r="AL651" s="250"/>
      <c r="AM651" s="250"/>
      <c r="AN651" s="250"/>
      <c r="AO651" s="250"/>
      <c r="AP651" s="250"/>
      <c r="AQ651" s="250"/>
      <c r="AR651" s="250"/>
      <c r="AS651" s="250"/>
      <c r="AT651" s="250"/>
      <c r="AU651" s="250"/>
      <c r="AV651" s="124"/>
    </row>
    <row r="652" spans="2:48" s="475" customFormat="1" x14ac:dyDescent="0.2">
      <c r="B652" s="250"/>
      <c r="C652" s="250"/>
      <c r="D652" s="250"/>
      <c r="E652" s="250"/>
      <c r="F652" s="250"/>
      <c r="G652" s="250"/>
      <c r="H652" s="250"/>
      <c r="I652" s="250"/>
      <c r="J652" s="250"/>
      <c r="K652" s="250"/>
      <c r="L652" s="250"/>
      <c r="M652" s="250"/>
      <c r="N652" s="250"/>
      <c r="O652" s="250"/>
      <c r="P652" s="250"/>
      <c r="Q652" s="250"/>
      <c r="R652" s="250"/>
      <c r="S652" s="250"/>
      <c r="T652" s="250"/>
      <c r="U652" s="250"/>
      <c r="V652" s="250"/>
      <c r="W652" s="250"/>
      <c r="X652" s="250"/>
      <c r="Y652" s="250"/>
      <c r="Z652" s="250"/>
      <c r="AA652" s="250"/>
      <c r="AB652" s="250"/>
      <c r="AC652" s="250"/>
      <c r="AD652" s="250"/>
      <c r="AE652" s="250"/>
      <c r="AF652" s="250"/>
      <c r="AG652" s="250"/>
      <c r="AH652" s="250"/>
      <c r="AI652" s="250"/>
      <c r="AJ652" s="250"/>
      <c r="AK652" s="250"/>
      <c r="AL652" s="250"/>
      <c r="AM652" s="250"/>
      <c r="AN652" s="250"/>
      <c r="AO652" s="250"/>
      <c r="AP652" s="250"/>
      <c r="AQ652" s="250"/>
      <c r="AR652" s="250"/>
      <c r="AS652" s="250"/>
      <c r="AT652" s="250"/>
      <c r="AU652" s="250"/>
      <c r="AV652" s="124"/>
    </row>
    <row r="653" spans="2:48" s="475" customFormat="1" x14ac:dyDescent="0.2">
      <c r="B653" s="250"/>
      <c r="C653" s="250"/>
      <c r="D653" s="250"/>
      <c r="E653" s="250"/>
      <c r="F653" s="250"/>
      <c r="G653" s="250"/>
      <c r="H653" s="250"/>
      <c r="I653" s="250"/>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c r="AN653" s="250"/>
      <c r="AO653" s="250"/>
      <c r="AP653" s="250"/>
      <c r="AQ653" s="250"/>
      <c r="AR653" s="250"/>
      <c r="AS653" s="250"/>
      <c r="AT653" s="250"/>
      <c r="AU653" s="250"/>
      <c r="AV653" s="124"/>
    </row>
    <row r="654" spans="2:48" s="475" customFormat="1" x14ac:dyDescent="0.2">
      <c r="B654" s="250"/>
      <c r="C654" s="250"/>
      <c r="D654" s="250"/>
      <c r="E654" s="250"/>
      <c r="F654" s="250"/>
      <c r="G654" s="250"/>
      <c r="H654" s="250"/>
      <c r="I654" s="250"/>
      <c r="J654" s="250"/>
      <c r="K654" s="250"/>
      <c r="L654" s="250"/>
      <c r="M654" s="250"/>
      <c r="N654" s="250"/>
      <c r="O654" s="250"/>
      <c r="P654" s="250"/>
      <c r="Q654" s="250"/>
      <c r="R654" s="250"/>
      <c r="S654" s="250"/>
      <c r="T654" s="250"/>
      <c r="U654" s="250"/>
      <c r="V654" s="250"/>
      <c r="W654" s="250"/>
      <c r="X654" s="250"/>
      <c r="Y654" s="250"/>
      <c r="Z654" s="250"/>
      <c r="AA654" s="250"/>
      <c r="AB654" s="250"/>
      <c r="AC654" s="250"/>
      <c r="AD654" s="250"/>
      <c r="AE654" s="250"/>
      <c r="AF654" s="250"/>
      <c r="AG654" s="250"/>
      <c r="AH654" s="250"/>
      <c r="AI654" s="250"/>
      <c r="AJ654" s="250"/>
      <c r="AK654" s="250"/>
      <c r="AL654" s="250"/>
      <c r="AM654" s="250"/>
      <c r="AN654" s="250"/>
      <c r="AO654" s="250"/>
      <c r="AP654" s="250"/>
      <c r="AQ654" s="250"/>
      <c r="AR654" s="250"/>
      <c r="AS654" s="250"/>
      <c r="AT654" s="250"/>
      <c r="AU654" s="250"/>
      <c r="AV654" s="124"/>
    </row>
    <row r="655" spans="2:48" s="475" customFormat="1" x14ac:dyDescent="0.2">
      <c r="B655" s="250"/>
      <c r="C655" s="250"/>
      <c r="D655" s="250"/>
      <c r="E655" s="250"/>
      <c r="F655" s="250"/>
      <c r="G655" s="250"/>
      <c r="H655" s="250"/>
      <c r="I655" s="250"/>
      <c r="J655" s="250"/>
      <c r="K655" s="250"/>
      <c r="L655" s="250"/>
      <c r="M655" s="250"/>
      <c r="N655" s="250"/>
      <c r="O655" s="250"/>
      <c r="P655" s="250"/>
      <c r="Q655" s="250"/>
      <c r="R655" s="250"/>
      <c r="S655" s="250"/>
      <c r="T655" s="250"/>
      <c r="U655" s="250"/>
      <c r="V655" s="250"/>
      <c r="W655" s="250"/>
      <c r="X655" s="250"/>
      <c r="Y655" s="250"/>
      <c r="Z655" s="250"/>
      <c r="AA655" s="250"/>
      <c r="AB655" s="250"/>
      <c r="AC655" s="250"/>
      <c r="AD655" s="250"/>
      <c r="AE655" s="250"/>
      <c r="AF655" s="250"/>
      <c r="AG655" s="250"/>
      <c r="AH655" s="250"/>
      <c r="AI655" s="250"/>
      <c r="AJ655" s="250"/>
      <c r="AK655" s="250"/>
      <c r="AL655" s="250"/>
      <c r="AM655" s="250"/>
      <c r="AN655" s="250"/>
      <c r="AO655" s="250"/>
      <c r="AP655" s="250"/>
      <c r="AQ655" s="250"/>
      <c r="AR655" s="250"/>
      <c r="AS655" s="250"/>
      <c r="AT655" s="250"/>
      <c r="AU655" s="250"/>
      <c r="AV655" s="124"/>
    </row>
    <row r="656" spans="2:48" s="475" customFormat="1" x14ac:dyDescent="0.2">
      <c r="B656" s="250"/>
      <c r="C656" s="250"/>
      <c r="D656" s="250"/>
      <c r="E656" s="250"/>
      <c r="F656" s="250"/>
      <c r="G656" s="250"/>
      <c r="H656" s="250"/>
      <c r="I656" s="250"/>
      <c r="J656" s="250"/>
      <c r="K656" s="250"/>
      <c r="L656" s="250"/>
      <c r="M656" s="250"/>
      <c r="N656" s="250"/>
      <c r="O656" s="250"/>
      <c r="P656" s="250"/>
      <c r="Q656" s="250"/>
      <c r="R656" s="250"/>
      <c r="S656" s="250"/>
      <c r="T656" s="250"/>
      <c r="U656" s="250"/>
      <c r="V656" s="250"/>
      <c r="W656" s="250"/>
      <c r="X656" s="250"/>
      <c r="Y656" s="250"/>
      <c r="Z656" s="250"/>
      <c r="AA656" s="250"/>
      <c r="AB656" s="250"/>
      <c r="AC656" s="250"/>
      <c r="AD656" s="250"/>
      <c r="AE656" s="250"/>
      <c r="AF656" s="250"/>
      <c r="AG656" s="250"/>
      <c r="AH656" s="250"/>
      <c r="AI656" s="250"/>
      <c r="AJ656" s="250"/>
      <c r="AK656" s="250"/>
      <c r="AL656" s="250"/>
      <c r="AM656" s="250"/>
      <c r="AN656" s="250"/>
      <c r="AO656" s="250"/>
      <c r="AP656" s="250"/>
      <c r="AQ656" s="250"/>
      <c r="AR656" s="250"/>
      <c r="AS656" s="250"/>
      <c r="AT656" s="250"/>
      <c r="AU656" s="250"/>
      <c r="AV656" s="124"/>
    </row>
    <row r="657" spans="2:48" s="475" customFormat="1" x14ac:dyDescent="0.2">
      <c r="B657" s="250"/>
      <c r="C657" s="250"/>
      <c r="D657" s="250"/>
      <c r="E657" s="250"/>
      <c r="F657" s="250"/>
      <c r="G657" s="250"/>
      <c r="H657" s="250"/>
      <c r="I657" s="250"/>
      <c r="J657" s="250"/>
      <c r="K657" s="250"/>
      <c r="L657" s="250"/>
      <c r="M657" s="250"/>
      <c r="N657" s="250"/>
      <c r="O657" s="250"/>
      <c r="P657" s="250"/>
      <c r="Q657" s="250"/>
      <c r="R657" s="250"/>
      <c r="S657" s="250"/>
      <c r="T657" s="250"/>
      <c r="U657" s="250"/>
      <c r="V657" s="250"/>
      <c r="W657" s="250"/>
      <c r="X657" s="250"/>
      <c r="Y657" s="250"/>
      <c r="Z657" s="250"/>
      <c r="AA657" s="250"/>
      <c r="AB657" s="250"/>
      <c r="AC657" s="250"/>
      <c r="AD657" s="250"/>
      <c r="AE657" s="250"/>
      <c r="AF657" s="250"/>
      <c r="AG657" s="250"/>
      <c r="AH657" s="250"/>
      <c r="AI657" s="250"/>
      <c r="AJ657" s="250"/>
      <c r="AK657" s="250"/>
      <c r="AL657" s="250"/>
      <c r="AM657" s="250"/>
      <c r="AN657" s="250"/>
      <c r="AO657" s="250"/>
      <c r="AP657" s="250"/>
      <c r="AQ657" s="250"/>
      <c r="AR657" s="250"/>
      <c r="AS657" s="250"/>
      <c r="AT657" s="250"/>
      <c r="AU657" s="250"/>
      <c r="AV657" s="124"/>
    </row>
    <row r="658" spans="2:48" s="475" customFormat="1" x14ac:dyDescent="0.2">
      <c r="B658" s="250"/>
      <c r="C658" s="250"/>
      <c r="D658" s="250"/>
      <c r="E658" s="250"/>
      <c r="F658" s="250"/>
      <c r="G658" s="250"/>
      <c r="H658" s="250"/>
      <c r="I658" s="250"/>
      <c r="J658" s="250"/>
      <c r="K658" s="250"/>
      <c r="L658" s="250"/>
      <c r="M658" s="250"/>
      <c r="N658" s="250"/>
      <c r="O658" s="250"/>
      <c r="P658" s="250"/>
      <c r="Q658" s="250"/>
      <c r="R658" s="250"/>
      <c r="S658" s="250"/>
      <c r="T658" s="250"/>
      <c r="U658" s="250"/>
      <c r="V658" s="250"/>
      <c r="W658" s="250"/>
      <c r="X658" s="250"/>
      <c r="Y658" s="250"/>
      <c r="Z658" s="250"/>
      <c r="AA658" s="250"/>
      <c r="AB658" s="250"/>
      <c r="AC658" s="250"/>
      <c r="AD658" s="250"/>
      <c r="AE658" s="250"/>
      <c r="AF658" s="250"/>
      <c r="AG658" s="250"/>
      <c r="AH658" s="250"/>
      <c r="AI658" s="250"/>
      <c r="AJ658" s="250"/>
      <c r="AK658" s="250"/>
      <c r="AL658" s="250"/>
      <c r="AM658" s="250"/>
      <c r="AN658" s="250"/>
      <c r="AO658" s="250"/>
      <c r="AP658" s="250"/>
      <c r="AQ658" s="250"/>
      <c r="AR658" s="250"/>
      <c r="AS658" s="250"/>
      <c r="AT658" s="250"/>
      <c r="AU658" s="250"/>
      <c r="AV658" s="124"/>
    </row>
    <row r="659" spans="2:48" s="475" customFormat="1" x14ac:dyDescent="0.2">
      <c r="B659" s="250"/>
      <c r="C659" s="250"/>
      <c r="D659" s="250"/>
      <c r="E659" s="250"/>
      <c r="F659" s="250"/>
      <c r="G659" s="250"/>
      <c r="H659" s="250"/>
      <c r="I659" s="250"/>
      <c r="J659" s="250"/>
      <c r="K659" s="250"/>
      <c r="L659" s="250"/>
      <c r="M659" s="250"/>
      <c r="N659" s="250"/>
      <c r="O659" s="250"/>
      <c r="P659" s="250"/>
      <c r="Q659" s="250"/>
      <c r="R659" s="250"/>
      <c r="S659" s="250"/>
      <c r="T659" s="250"/>
      <c r="U659" s="250"/>
      <c r="V659" s="250"/>
      <c r="W659" s="250"/>
      <c r="X659" s="250"/>
      <c r="Y659" s="250"/>
      <c r="Z659" s="250"/>
      <c r="AA659" s="250"/>
      <c r="AB659" s="250"/>
      <c r="AC659" s="250"/>
      <c r="AD659" s="250"/>
      <c r="AE659" s="250"/>
      <c r="AF659" s="250"/>
      <c r="AG659" s="250"/>
      <c r="AH659" s="250"/>
      <c r="AI659" s="250"/>
      <c r="AJ659" s="250"/>
      <c r="AK659" s="250"/>
      <c r="AL659" s="250"/>
      <c r="AM659" s="250"/>
      <c r="AN659" s="250"/>
      <c r="AO659" s="250"/>
      <c r="AP659" s="250"/>
      <c r="AQ659" s="250"/>
      <c r="AR659" s="250"/>
      <c r="AS659" s="250"/>
      <c r="AT659" s="250"/>
      <c r="AU659" s="250"/>
      <c r="AV659" s="124"/>
    </row>
    <row r="660" spans="2:48" s="475" customFormat="1" x14ac:dyDescent="0.2">
      <c r="B660" s="250"/>
      <c r="C660" s="250"/>
      <c r="D660" s="250"/>
      <c r="E660" s="250"/>
      <c r="F660" s="250"/>
      <c r="G660" s="250"/>
      <c r="H660" s="250"/>
      <c r="I660" s="250"/>
      <c r="J660" s="250"/>
      <c r="K660" s="250"/>
      <c r="L660" s="250"/>
      <c r="M660" s="250"/>
      <c r="N660" s="250"/>
      <c r="O660" s="250"/>
      <c r="P660" s="250"/>
      <c r="Q660" s="250"/>
      <c r="R660" s="250"/>
      <c r="S660" s="250"/>
      <c r="T660" s="250"/>
      <c r="U660" s="250"/>
      <c r="V660" s="250"/>
      <c r="W660" s="250"/>
      <c r="X660" s="250"/>
      <c r="Y660" s="250"/>
      <c r="Z660" s="250"/>
      <c r="AA660" s="250"/>
      <c r="AB660" s="250"/>
      <c r="AC660" s="250"/>
      <c r="AD660" s="250"/>
      <c r="AE660" s="250"/>
      <c r="AF660" s="250"/>
      <c r="AG660" s="250"/>
      <c r="AH660" s="250"/>
      <c r="AI660" s="250"/>
      <c r="AJ660" s="250"/>
      <c r="AK660" s="250"/>
      <c r="AL660" s="250"/>
      <c r="AM660" s="250"/>
      <c r="AN660" s="250"/>
      <c r="AO660" s="250"/>
      <c r="AP660" s="250"/>
      <c r="AQ660" s="250"/>
      <c r="AR660" s="250"/>
      <c r="AS660" s="250"/>
      <c r="AT660" s="250"/>
      <c r="AU660" s="250"/>
      <c r="AV660" s="124"/>
    </row>
    <row r="661" spans="2:48" s="475" customFormat="1" x14ac:dyDescent="0.2">
      <c r="B661" s="250"/>
      <c r="C661" s="250"/>
      <c r="D661" s="250"/>
      <c r="E661" s="250"/>
      <c r="F661" s="250"/>
      <c r="G661" s="250"/>
      <c r="H661" s="250"/>
      <c r="I661" s="250"/>
      <c r="J661" s="250"/>
      <c r="K661" s="250"/>
      <c r="L661" s="250"/>
      <c r="M661" s="250"/>
      <c r="N661" s="250"/>
      <c r="O661" s="250"/>
      <c r="P661" s="250"/>
      <c r="Q661" s="250"/>
      <c r="R661" s="250"/>
      <c r="S661" s="250"/>
      <c r="T661" s="250"/>
      <c r="U661" s="250"/>
      <c r="V661" s="250"/>
      <c r="W661" s="250"/>
      <c r="X661" s="250"/>
      <c r="Y661" s="250"/>
      <c r="Z661" s="250"/>
      <c r="AA661" s="250"/>
      <c r="AB661" s="250"/>
      <c r="AC661" s="250"/>
      <c r="AD661" s="250"/>
      <c r="AE661" s="250"/>
      <c r="AF661" s="250"/>
      <c r="AG661" s="250"/>
      <c r="AH661" s="250"/>
      <c r="AI661" s="250"/>
      <c r="AJ661" s="250"/>
      <c r="AK661" s="250"/>
      <c r="AL661" s="250"/>
      <c r="AM661" s="250"/>
      <c r="AN661" s="250"/>
      <c r="AO661" s="250"/>
      <c r="AP661" s="250"/>
      <c r="AQ661" s="250"/>
      <c r="AR661" s="250"/>
      <c r="AS661" s="250"/>
      <c r="AT661" s="250"/>
      <c r="AU661" s="250"/>
      <c r="AV661" s="124"/>
    </row>
    <row r="662" spans="2:48" s="475" customFormat="1" x14ac:dyDescent="0.2">
      <c r="B662" s="250"/>
      <c r="C662" s="250"/>
      <c r="D662" s="250"/>
      <c r="E662" s="250"/>
      <c r="F662" s="250"/>
      <c r="G662" s="250"/>
      <c r="H662" s="250"/>
      <c r="I662" s="250"/>
      <c r="J662" s="250"/>
      <c r="K662" s="250"/>
      <c r="L662" s="250"/>
      <c r="M662" s="250"/>
      <c r="N662" s="250"/>
      <c r="O662" s="250"/>
      <c r="P662" s="250"/>
      <c r="Q662" s="250"/>
      <c r="R662" s="250"/>
      <c r="S662" s="250"/>
      <c r="T662" s="250"/>
      <c r="U662" s="250"/>
      <c r="V662" s="250"/>
      <c r="W662" s="250"/>
      <c r="X662" s="250"/>
      <c r="Y662" s="250"/>
      <c r="Z662" s="250"/>
      <c r="AA662" s="250"/>
      <c r="AB662" s="250"/>
      <c r="AC662" s="250"/>
      <c r="AD662" s="250"/>
      <c r="AE662" s="250"/>
      <c r="AF662" s="250"/>
      <c r="AG662" s="250"/>
      <c r="AH662" s="250"/>
      <c r="AI662" s="250"/>
      <c r="AJ662" s="250"/>
      <c r="AK662" s="250"/>
      <c r="AL662" s="250"/>
      <c r="AM662" s="250"/>
      <c r="AN662" s="250"/>
      <c r="AO662" s="250"/>
      <c r="AP662" s="250"/>
      <c r="AQ662" s="250"/>
      <c r="AR662" s="250"/>
      <c r="AS662" s="250"/>
      <c r="AT662" s="250"/>
      <c r="AU662" s="250"/>
      <c r="AV662" s="124"/>
    </row>
    <row r="663" spans="2:48" s="475" customFormat="1" x14ac:dyDescent="0.2">
      <c r="B663" s="250"/>
      <c r="C663" s="250"/>
      <c r="D663" s="250"/>
      <c r="E663" s="250"/>
      <c r="F663" s="250"/>
      <c r="G663" s="250"/>
      <c r="H663" s="250"/>
      <c r="I663" s="250"/>
      <c r="J663" s="250"/>
      <c r="K663" s="250"/>
      <c r="L663" s="250"/>
      <c r="M663" s="250"/>
      <c r="N663" s="250"/>
      <c r="O663" s="250"/>
      <c r="P663" s="250"/>
      <c r="Q663" s="250"/>
      <c r="R663" s="250"/>
      <c r="S663" s="250"/>
      <c r="T663" s="250"/>
      <c r="U663" s="250"/>
      <c r="V663" s="250"/>
      <c r="W663" s="250"/>
      <c r="X663" s="250"/>
      <c r="Y663" s="250"/>
      <c r="Z663" s="250"/>
      <c r="AA663" s="250"/>
      <c r="AB663" s="250"/>
      <c r="AC663" s="250"/>
      <c r="AD663" s="250"/>
      <c r="AE663" s="250"/>
      <c r="AF663" s="250"/>
      <c r="AG663" s="250"/>
      <c r="AH663" s="250"/>
      <c r="AI663" s="250"/>
      <c r="AJ663" s="250"/>
      <c r="AK663" s="250"/>
      <c r="AL663" s="250"/>
      <c r="AM663" s="250"/>
      <c r="AN663" s="250"/>
      <c r="AO663" s="250"/>
      <c r="AP663" s="250"/>
      <c r="AQ663" s="250"/>
      <c r="AR663" s="250"/>
      <c r="AS663" s="250"/>
      <c r="AT663" s="250"/>
      <c r="AU663" s="250"/>
      <c r="AV663" s="124"/>
    </row>
    <row r="664" spans="2:48" s="475" customFormat="1" x14ac:dyDescent="0.2">
      <c r="B664" s="250"/>
      <c r="C664" s="250"/>
      <c r="D664" s="250"/>
      <c r="E664" s="250"/>
      <c r="F664" s="250"/>
      <c r="G664" s="250"/>
      <c r="H664" s="250"/>
      <c r="I664" s="250"/>
      <c r="J664" s="250"/>
      <c r="K664" s="250"/>
      <c r="L664" s="250"/>
      <c r="M664" s="250"/>
      <c r="N664" s="250"/>
      <c r="O664" s="250"/>
      <c r="P664" s="250"/>
      <c r="Q664" s="250"/>
      <c r="R664" s="250"/>
      <c r="S664" s="250"/>
      <c r="T664" s="250"/>
      <c r="U664" s="250"/>
      <c r="V664" s="250"/>
      <c r="W664" s="250"/>
      <c r="X664" s="250"/>
      <c r="Y664" s="250"/>
      <c r="Z664" s="250"/>
      <c r="AA664" s="250"/>
      <c r="AB664" s="250"/>
      <c r="AC664" s="250"/>
      <c r="AD664" s="250"/>
      <c r="AE664" s="250"/>
      <c r="AF664" s="250"/>
      <c r="AG664" s="250"/>
      <c r="AH664" s="250"/>
      <c r="AI664" s="250"/>
      <c r="AJ664" s="250"/>
      <c r="AK664" s="250"/>
      <c r="AL664" s="250"/>
      <c r="AM664" s="250"/>
      <c r="AN664" s="250"/>
      <c r="AO664" s="250"/>
      <c r="AP664" s="250"/>
      <c r="AQ664" s="250"/>
      <c r="AR664" s="250"/>
      <c r="AS664" s="250"/>
      <c r="AT664" s="250"/>
      <c r="AU664" s="250"/>
      <c r="AV664" s="124"/>
    </row>
    <row r="665" spans="2:48" s="475" customFormat="1" x14ac:dyDescent="0.2">
      <c r="B665" s="250"/>
      <c r="C665" s="250"/>
      <c r="D665" s="250"/>
      <c r="E665" s="250"/>
      <c r="F665" s="250"/>
      <c r="G665" s="250"/>
      <c r="H665" s="250"/>
      <c r="I665" s="250"/>
      <c r="J665" s="250"/>
      <c r="K665" s="250"/>
      <c r="L665" s="250"/>
      <c r="M665" s="250"/>
      <c r="N665" s="250"/>
      <c r="O665" s="250"/>
      <c r="P665" s="250"/>
      <c r="Q665" s="250"/>
      <c r="R665" s="250"/>
      <c r="S665" s="250"/>
      <c r="T665" s="250"/>
      <c r="U665" s="250"/>
      <c r="V665" s="250"/>
      <c r="W665" s="250"/>
      <c r="X665" s="250"/>
      <c r="Y665" s="250"/>
      <c r="Z665" s="250"/>
      <c r="AA665" s="250"/>
      <c r="AB665" s="250"/>
      <c r="AC665" s="250"/>
      <c r="AD665" s="250"/>
      <c r="AE665" s="250"/>
      <c r="AF665" s="250"/>
      <c r="AG665" s="250"/>
      <c r="AH665" s="250"/>
      <c r="AI665" s="250"/>
      <c r="AJ665" s="250"/>
      <c r="AK665" s="250"/>
      <c r="AL665" s="250"/>
      <c r="AM665" s="250"/>
      <c r="AN665" s="250"/>
      <c r="AO665" s="250"/>
      <c r="AP665" s="250"/>
      <c r="AQ665" s="250"/>
      <c r="AR665" s="250"/>
      <c r="AS665" s="250"/>
      <c r="AT665" s="250"/>
      <c r="AU665" s="250"/>
      <c r="AV665" s="124"/>
    </row>
    <row r="666" spans="2:48" s="475" customFormat="1" x14ac:dyDescent="0.2">
      <c r="B666" s="250"/>
      <c r="C666" s="250"/>
      <c r="D666" s="250"/>
      <c r="E666" s="250"/>
      <c r="F666" s="250"/>
      <c r="G666" s="250"/>
      <c r="H666" s="250"/>
      <c r="I666" s="250"/>
      <c r="J666" s="250"/>
      <c r="K666" s="250"/>
      <c r="L666" s="250"/>
      <c r="M666" s="250"/>
      <c r="N666" s="250"/>
      <c r="O666" s="250"/>
      <c r="P666" s="250"/>
      <c r="Q666" s="250"/>
      <c r="R666" s="250"/>
      <c r="S666" s="250"/>
      <c r="T666" s="250"/>
      <c r="U666" s="250"/>
      <c r="V666" s="250"/>
      <c r="W666" s="250"/>
      <c r="X666" s="250"/>
      <c r="Y666" s="250"/>
      <c r="Z666" s="250"/>
      <c r="AA666" s="250"/>
      <c r="AB666" s="250"/>
      <c r="AC666" s="250"/>
      <c r="AD666" s="250"/>
      <c r="AE666" s="250"/>
      <c r="AF666" s="250"/>
      <c r="AG666" s="250"/>
      <c r="AH666" s="250"/>
      <c r="AI666" s="250"/>
      <c r="AJ666" s="250"/>
      <c r="AK666" s="250"/>
      <c r="AL666" s="250"/>
      <c r="AM666" s="250"/>
      <c r="AN666" s="250"/>
      <c r="AO666" s="250"/>
      <c r="AP666" s="250"/>
      <c r="AQ666" s="250"/>
      <c r="AR666" s="250"/>
      <c r="AS666" s="250"/>
      <c r="AT666" s="250"/>
      <c r="AU666" s="250"/>
      <c r="AV666" s="124"/>
    </row>
    <row r="667" spans="2:48" s="475" customFormat="1" x14ac:dyDescent="0.2">
      <c r="B667" s="250"/>
      <c r="C667" s="250"/>
      <c r="D667" s="250"/>
      <c r="E667" s="250"/>
      <c r="F667" s="250"/>
      <c r="G667" s="250"/>
      <c r="H667" s="250"/>
      <c r="I667" s="250"/>
      <c r="J667" s="250"/>
      <c r="K667" s="250"/>
      <c r="L667" s="250"/>
      <c r="M667" s="250"/>
      <c r="N667" s="250"/>
      <c r="O667" s="250"/>
      <c r="P667" s="250"/>
      <c r="Q667" s="250"/>
      <c r="R667" s="250"/>
      <c r="S667" s="250"/>
      <c r="T667" s="250"/>
      <c r="U667" s="250"/>
      <c r="V667" s="250"/>
      <c r="W667" s="250"/>
      <c r="X667" s="250"/>
      <c r="Y667" s="250"/>
      <c r="Z667" s="250"/>
      <c r="AA667" s="250"/>
      <c r="AB667" s="250"/>
      <c r="AC667" s="250"/>
      <c r="AD667" s="250"/>
      <c r="AE667" s="250"/>
      <c r="AF667" s="250"/>
      <c r="AG667" s="250"/>
      <c r="AH667" s="250"/>
      <c r="AI667" s="250"/>
      <c r="AJ667" s="250"/>
      <c r="AK667" s="250"/>
      <c r="AL667" s="250"/>
      <c r="AM667" s="250"/>
      <c r="AN667" s="250"/>
      <c r="AO667" s="250"/>
      <c r="AP667" s="250"/>
      <c r="AQ667" s="250"/>
      <c r="AR667" s="250"/>
      <c r="AS667" s="250"/>
      <c r="AT667" s="250"/>
      <c r="AU667" s="250"/>
      <c r="AV667" s="124"/>
    </row>
    <row r="668" spans="2:48" s="475" customFormat="1" x14ac:dyDescent="0.2">
      <c r="B668" s="250"/>
      <c r="C668" s="250"/>
      <c r="D668" s="250"/>
      <c r="E668" s="250"/>
      <c r="F668" s="250"/>
      <c r="G668" s="250"/>
      <c r="H668" s="250"/>
      <c r="I668" s="250"/>
      <c r="J668" s="250"/>
      <c r="K668" s="250"/>
      <c r="L668" s="250"/>
      <c r="M668" s="250"/>
      <c r="N668" s="250"/>
      <c r="O668" s="250"/>
      <c r="P668" s="250"/>
      <c r="Q668" s="250"/>
      <c r="R668" s="250"/>
      <c r="S668" s="250"/>
      <c r="T668" s="250"/>
      <c r="U668" s="250"/>
      <c r="V668" s="250"/>
      <c r="W668" s="250"/>
      <c r="X668" s="250"/>
      <c r="Y668" s="250"/>
      <c r="Z668" s="250"/>
      <c r="AA668" s="250"/>
      <c r="AB668" s="250"/>
      <c r="AC668" s="250"/>
      <c r="AD668" s="250"/>
      <c r="AE668" s="250"/>
      <c r="AF668" s="250"/>
      <c r="AG668" s="250"/>
      <c r="AH668" s="250"/>
      <c r="AI668" s="250"/>
      <c r="AJ668" s="250"/>
      <c r="AK668" s="250"/>
      <c r="AL668" s="250"/>
      <c r="AM668" s="250"/>
      <c r="AN668" s="250"/>
      <c r="AO668" s="250"/>
      <c r="AP668" s="250"/>
      <c r="AQ668" s="250"/>
      <c r="AR668" s="250"/>
      <c r="AS668" s="250"/>
      <c r="AT668" s="250"/>
      <c r="AU668" s="250"/>
      <c r="AV668" s="124"/>
    </row>
    <row r="669" spans="2:48" s="475" customFormat="1" x14ac:dyDescent="0.2">
      <c r="B669" s="250"/>
      <c r="C669" s="250"/>
      <c r="D669" s="250"/>
      <c r="E669" s="250"/>
      <c r="F669" s="250"/>
      <c r="G669" s="250"/>
      <c r="H669" s="250"/>
      <c r="I669" s="250"/>
      <c r="J669" s="250"/>
      <c r="K669" s="250"/>
      <c r="L669" s="250"/>
      <c r="M669" s="250"/>
      <c r="N669" s="250"/>
      <c r="O669" s="250"/>
      <c r="P669" s="250"/>
      <c r="Q669" s="250"/>
      <c r="R669" s="250"/>
      <c r="S669" s="250"/>
      <c r="T669" s="250"/>
      <c r="U669" s="250"/>
      <c r="V669" s="250"/>
      <c r="W669" s="250"/>
      <c r="X669" s="250"/>
      <c r="Y669" s="250"/>
      <c r="Z669" s="250"/>
      <c r="AA669" s="250"/>
      <c r="AB669" s="250"/>
      <c r="AC669" s="250"/>
      <c r="AD669" s="250"/>
      <c r="AE669" s="250"/>
      <c r="AF669" s="250"/>
      <c r="AG669" s="250"/>
      <c r="AH669" s="250"/>
      <c r="AI669" s="250"/>
      <c r="AJ669" s="250"/>
      <c r="AK669" s="250"/>
      <c r="AL669" s="250"/>
      <c r="AM669" s="250"/>
      <c r="AN669" s="250"/>
      <c r="AO669" s="250"/>
      <c r="AP669" s="250"/>
      <c r="AQ669" s="250"/>
      <c r="AR669" s="250"/>
      <c r="AS669" s="250"/>
      <c r="AT669" s="250"/>
      <c r="AU669" s="250"/>
      <c r="AV669" s="124"/>
    </row>
    <row r="670" spans="2:48" s="475" customFormat="1" x14ac:dyDescent="0.2">
      <c r="B670" s="250"/>
      <c r="C670" s="250"/>
      <c r="D670" s="250"/>
      <c r="E670" s="250"/>
      <c r="F670" s="250"/>
      <c r="G670" s="250"/>
      <c r="H670" s="250"/>
      <c r="I670" s="250"/>
      <c r="J670" s="250"/>
      <c r="K670" s="250"/>
      <c r="L670" s="250"/>
      <c r="M670" s="250"/>
      <c r="N670" s="250"/>
      <c r="O670" s="250"/>
      <c r="P670" s="250"/>
      <c r="Q670" s="250"/>
      <c r="R670" s="250"/>
      <c r="S670" s="250"/>
      <c r="T670" s="250"/>
      <c r="U670" s="250"/>
      <c r="V670" s="250"/>
      <c r="W670" s="250"/>
      <c r="X670" s="250"/>
      <c r="Y670" s="250"/>
      <c r="Z670" s="250"/>
      <c r="AA670" s="250"/>
      <c r="AB670" s="250"/>
      <c r="AC670" s="250"/>
      <c r="AD670" s="250"/>
      <c r="AE670" s="250"/>
      <c r="AF670" s="250"/>
      <c r="AG670" s="250"/>
      <c r="AH670" s="250"/>
      <c r="AI670" s="250"/>
      <c r="AJ670" s="250"/>
      <c r="AK670" s="250"/>
      <c r="AL670" s="250"/>
      <c r="AM670" s="250"/>
      <c r="AN670" s="250"/>
      <c r="AO670" s="250"/>
      <c r="AP670" s="250"/>
      <c r="AQ670" s="250"/>
      <c r="AR670" s="250"/>
      <c r="AS670" s="250"/>
      <c r="AT670" s="250"/>
      <c r="AU670" s="250"/>
      <c r="AV670" s="124"/>
    </row>
    <row r="671" spans="2:48" s="475" customFormat="1" x14ac:dyDescent="0.2">
      <c r="B671" s="250"/>
      <c r="C671" s="250"/>
      <c r="D671" s="250"/>
      <c r="E671" s="250"/>
      <c r="F671" s="250"/>
      <c r="G671" s="250"/>
      <c r="H671" s="250"/>
      <c r="I671" s="250"/>
      <c r="J671" s="250"/>
      <c r="K671" s="250"/>
      <c r="L671" s="250"/>
      <c r="M671" s="250"/>
      <c r="N671" s="250"/>
      <c r="O671" s="250"/>
      <c r="P671" s="250"/>
      <c r="Q671" s="250"/>
      <c r="R671" s="250"/>
      <c r="S671" s="250"/>
      <c r="T671" s="250"/>
      <c r="U671" s="250"/>
      <c r="V671" s="250"/>
      <c r="W671" s="250"/>
      <c r="X671" s="250"/>
      <c r="Y671" s="250"/>
      <c r="Z671" s="250"/>
      <c r="AA671" s="250"/>
      <c r="AB671" s="250"/>
      <c r="AC671" s="250"/>
      <c r="AD671" s="250"/>
      <c r="AE671" s="250"/>
      <c r="AF671" s="250"/>
      <c r="AG671" s="250"/>
      <c r="AH671" s="250"/>
      <c r="AI671" s="250"/>
      <c r="AJ671" s="250"/>
      <c r="AK671" s="250"/>
      <c r="AL671" s="250"/>
      <c r="AM671" s="250"/>
      <c r="AN671" s="250"/>
      <c r="AO671" s="250"/>
      <c r="AP671" s="250"/>
      <c r="AQ671" s="250"/>
      <c r="AR671" s="250"/>
      <c r="AS671" s="250"/>
      <c r="AT671" s="250"/>
      <c r="AU671" s="250"/>
      <c r="AV671" s="124"/>
    </row>
    <row r="672" spans="2:48" s="475" customFormat="1" x14ac:dyDescent="0.2">
      <c r="B672" s="250"/>
      <c r="C672" s="250"/>
      <c r="D672" s="250"/>
      <c r="E672" s="250"/>
      <c r="F672" s="250"/>
      <c r="G672" s="250"/>
      <c r="H672" s="250"/>
      <c r="I672" s="250"/>
      <c r="J672" s="250"/>
      <c r="K672" s="250"/>
      <c r="L672" s="250"/>
      <c r="M672" s="250"/>
      <c r="N672" s="250"/>
      <c r="O672" s="250"/>
      <c r="P672" s="250"/>
      <c r="Q672" s="250"/>
      <c r="R672" s="250"/>
      <c r="S672" s="250"/>
      <c r="T672" s="250"/>
      <c r="U672" s="250"/>
      <c r="V672" s="250"/>
      <c r="W672" s="250"/>
      <c r="X672" s="250"/>
      <c r="Y672" s="250"/>
      <c r="Z672" s="250"/>
      <c r="AA672" s="250"/>
      <c r="AB672" s="250"/>
      <c r="AC672" s="250"/>
      <c r="AD672" s="250"/>
      <c r="AE672" s="250"/>
      <c r="AF672" s="250"/>
      <c r="AG672" s="250"/>
      <c r="AH672" s="250"/>
      <c r="AI672" s="250"/>
      <c r="AJ672" s="250"/>
      <c r="AK672" s="250"/>
      <c r="AL672" s="250"/>
      <c r="AM672" s="250"/>
      <c r="AN672" s="250"/>
      <c r="AO672" s="250"/>
      <c r="AP672" s="250"/>
      <c r="AQ672" s="250"/>
      <c r="AR672" s="250"/>
      <c r="AS672" s="250"/>
      <c r="AT672" s="250"/>
      <c r="AU672" s="250"/>
      <c r="AV672" s="124"/>
    </row>
    <row r="673" spans="2:48" s="475" customFormat="1" x14ac:dyDescent="0.2">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c r="AA673" s="250"/>
      <c r="AB673" s="250"/>
      <c r="AC673" s="250"/>
      <c r="AD673" s="250"/>
      <c r="AE673" s="250"/>
      <c r="AF673" s="250"/>
      <c r="AG673" s="250"/>
      <c r="AH673" s="250"/>
      <c r="AI673" s="250"/>
      <c r="AJ673" s="250"/>
      <c r="AK673" s="250"/>
      <c r="AL673" s="250"/>
      <c r="AM673" s="250"/>
      <c r="AN673" s="250"/>
      <c r="AO673" s="250"/>
      <c r="AP673" s="250"/>
      <c r="AQ673" s="250"/>
      <c r="AR673" s="250"/>
      <c r="AS673" s="250"/>
      <c r="AT673" s="250"/>
      <c r="AU673" s="250"/>
      <c r="AV673" s="124"/>
    </row>
    <row r="674" spans="2:48" s="475" customFormat="1" x14ac:dyDescent="0.2">
      <c r="B674" s="250"/>
      <c r="C674" s="250"/>
      <c r="D674" s="250"/>
      <c r="E674" s="250"/>
      <c r="F674" s="250"/>
      <c r="G674" s="250"/>
      <c r="H674" s="250"/>
      <c r="I674" s="250"/>
      <c r="J674" s="250"/>
      <c r="K674" s="250"/>
      <c r="L674" s="250"/>
      <c r="M674" s="250"/>
      <c r="N674" s="250"/>
      <c r="O674" s="250"/>
      <c r="P674" s="250"/>
      <c r="Q674" s="250"/>
      <c r="R674" s="250"/>
      <c r="S674" s="250"/>
      <c r="T674" s="250"/>
      <c r="U674" s="250"/>
      <c r="V674" s="250"/>
      <c r="W674" s="250"/>
      <c r="X674" s="250"/>
      <c r="Y674" s="250"/>
      <c r="Z674" s="250"/>
      <c r="AA674" s="250"/>
      <c r="AB674" s="250"/>
      <c r="AC674" s="250"/>
      <c r="AD674" s="250"/>
      <c r="AE674" s="250"/>
      <c r="AF674" s="250"/>
      <c r="AG674" s="250"/>
      <c r="AH674" s="250"/>
      <c r="AI674" s="250"/>
      <c r="AJ674" s="250"/>
      <c r="AK674" s="250"/>
      <c r="AL674" s="250"/>
      <c r="AM674" s="250"/>
      <c r="AN674" s="250"/>
      <c r="AO674" s="250"/>
      <c r="AP674" s="250"/>
      <c r="AQ674" s="250"/>
      <c r="AR674" s="250"/>
      <c r="AS674" s="250"/>
      <c r="AT674" s="250"/>
      <c r="AU674" s="250"/>
      <c r="AV674" s="124"/>
    </row>
    <row r="675" spans="2:48" s="475" customFormat="1" x14ac:dyDescent="0.2">
      <c r="B675" s="250"/>
      <c r="C675" s="250"/>
      <c r="D675" s="250"/>
      <c r="E675" s="250"/>
      <c r="F675" s="250"/>
      <c r="G675" s="250"/>
      <c r="H675" s="250"/>
      <c r="I675" s="250"/>
      <c r="J675" s="250"/>
      <c r="K675" s="250"/>
      <c r="L675" s="250"/>
      <c r="M675" s="250"/>
      <c r="N675" s="250"/>
      <c r="O675" s="250"/>
      <c r="P675" s="250"/>
      <c r="Q675" s="250"/>
      <c r="R675" s="250"/>
      <c r="S675" s="250"/>
      <c r="T675" s="250"/>
      <c r="U675" s="250"/>
      <c r="V675" s="250"/>
      <c r="W675" s="250"/>
      <c r="X675" s="250"/>
      <c r="Y675" s="250"/>
      <c r="Z675" s="250"/>
      <c r="AA675" s="250"/>
      <c r="AB675" s="250"/>
      <c r="AC675" s="250"/>
      <c r="AD675" s="250"/>
      <c r="AE675" s="250"/>
      <c r="AF675" s="250"/>
      <c r="AG675" s="250"/>
      <c r="AH675" s="250"/>
      <c r="AI675" s="250"/>
      <c r="AJ675" s="250"/>
      <c r="AK675" s="250"/>
      <c r="AL675" s="250"/>
      <c r="AM675" s="250"/>
      <c r="AN675" s="250"/>
      <c r="AO675" s="250"/>
      <c r="AP675" s="250"/>
      <c r="AQ675" s="250"/>
      <c r="AR675" s="250"/>
      <c r="AS675" s="250"/>
      <c r="AT675" s="250"/>
      <c r="AU675" s="250"/>
      <c r="AV675" s="124"/>
    </row>
    <row r="676" spans="2:48" s="475" customFormat="1" x14ac:dyDescent="0.2">
      <c r="B676" s="250"/>
      <c r="C676" s="250"/>
      <c r="D676" s="250"/>
      <c r="E676" s="250"/>
      <c r="F676" s="250"/>
      <c r="G676" s="250"/>
      <c r="H676" s="250"/>
      <c r="I676" s="250"/>
      <c r="J676" s="250"/>
      <c r="K676" s="250"/>
      <c r="L676" s="250"/>
      <c r="M676" s="250"/>
      <c r="N676" s="250"/>
      <c r="O676" s="250"/>
      <c r="P676" s="250"/>
      <c r="Q676" s="250"/>
      <c r="R676" s="250"/>
      <c r="S676" s="250"/>
      <c r="T676" s="250"/>
      <c r="U676" s="250"/>
      <c r="V676" s="250"/>
      <c r="W676" s="250"/>
      <c r="X676" s="250"/>
      <c r="Y676" s="250"/>
      <c r="Z676" s="250"/>
      <c r="AA676" s="250"/>
      <c r="AB676" s="250"/>
      <c r="AC676" s="250"/>
      <c r="AD676" s="250"/>
      <c r="AE676" s="250"/>
      <c r="AF676" s="250"/>
      <c r="AG676" s="250"/>
      <c r="AH676" s="250"/>
      <c r="AI676" s="250"/>
      <c r="AJ676" s="250"/>
      <c r="AK676" s="250"/>
      <c r="AL676" s="250"/>
      <c r="AM676" s="250"/>
      <c r="AN676" s="250"/>
      <c r="AO676" s="250"/>
      <c r="AP676" s="250"/>
      <c r="AQ676" s="250"/>
      <c r="AR676" s="250"/>
      <c r="AS676" s="250"/>
      <c r="AT676" s="250"/>
      <c r="AU676" s="250"/>
      <c r="AV676" s="124"/>
    </row>
    <row r="677" spans="2:48" s="475" customFormat="1" x14ac:dyDescent="0.2">
      <c r="B677" s="250"/>
      <c r="C677" s="250"/>
      <c r="D677" s="250"/>
      <c r="E677" s="250"/>
      <c r="F677" s="250"/>
      <c r="G677" s="250"/>
      <c r="H677" s="250"/>
      <c r="I677" s="250"/>
      <c r="J677" s="250"/>
      <c r="K677" s="250"/>
      <c r="L677" s="250"/>
      <c r="M677" s="250"/>
      <c r="N677" s="250"/>
      <c r="O677" s="250"/>
      <c r="P677" s="250"/>
      <c r="Q677" s="250"/>
      <c r="R677" s="250"/>
      <c r="S677" s="250"/>
      <c r="T677" s="250"/>
      <c r="U677" s="250"/>
      <c r="V677" s="250"/>
      <c r="W677" s="250"/>
      <c r="X677" s="250"/>
      <c r="Y677" s="250"/>
      <c r="Z677" s="250"/>
      <c r="AA677" s="250"/>
      <c r="AB677" s="250"/>
      <c r="AC677" s="250"/>
      <c r="AD677" s="250"/>
      <c r="AE677" s="250"/>
      <c r="AF677" s="250"/>
      <c r="AG677" s="250"/>
      <c r="AH677" s="250"/>
      <c r="AI677" s="250"/>
      <c r="AJ677" s="250"/>
      <c r="AK677" s="250"/>
      <c r="AL677" s="250"/>
      <c r="AM677" s="250"/>
      <c r="AN677" s="250"/>
      <c r="AO677" s="250"/>
      <c r="AP677" s="250"/>
      <c r="AQ677" s="250"/>
      <c r="AR677" s="250"/>
      <c r="AS677" s="250"/>
      <c r="AT677" s="250"/>
      <c r="AU677" s="250"/>
      <c r="AV677" s="124"/>
    </row>
    <row r="678" spans="2:48" s="475" customFormat="1" x14ac:dyDescent="0.2">
      <c r="B678" s="250"/>
      <c r="C678" s="250"/>
      <c r="D678" s="250"/>
      <c r="E678" s="250"/>
      <c r="F678" s="250"/>
      <c r="G678" s="250"/>
      <c r="H678" s="250"/>
      <c r="I678" s="250"/>
      <c r="J678" s="250"/>
      <c r="K678" s="250"/>
      <c r="L678" s="250"/>
      <c r="M678" s="250"/>
      <c r="N678" s="250"/>
      <c r="O678" s="250"/>
      <c r="P678" s="250"/>
      <c r="Q678" s="250"/>
      <c r="R678" s="250"/>
      <c r="S678" s="250"/>
      <c r="T678" s="250"/>
      <c r="U678" s="250"/>
      <c r="V678" s="250"/>
      <c r="W678" s="250"/>
      <c r="X678" s="250"/>
      <c r="Y678" s="250"/>
      <c r="Z678" s="250"/>
      <c r="AA678" s="250"/>
      <c r="AB678" s="250"/>
      <c r="AC678" s="250"/>
      <c r="AD678" s="250"/>
      <c r="AE678" s="250"/>
      <c r="AF678" s="250"/>
      <c r="AG678" s="250"/>
      <c r="AH678" s="250"/>
      <c r="AI678" s="250"/>
      <c r="AJ678" s="250"/>
      <c r="AK678" s="250"/>
      <c r="AL678" s="250"/>
      <c r="AM678" s="250"/>
      <c r="AN678" s="250"/>
      <c r="AO678" s="250"/>
      <c r="AP678" s="250"/>
      <c r="AQ678" s="250"/>
      <c r="AR678" s="250"/>
      <c r="AS678" s="250"/>
      <c r="AT678" s="250"/>
      <c r="AU678" s="250"/>
      <c r="AV678" s="124"/>
    </row>
    <row r="679" spans="2:48" s="475" customFormat="1" x14ac:dyDescent="0.2">
      <c r="B679" s="250"/>
      <c r="C679" s="250"/>
      <c r="D679" s="250"/>
      <c r="E679" s="250"/>
      <c r="F679" s="250"/>
      <c r="G679" s="250"/>
      <c r="H679" s="250"/>
      <c r="I679" s="250"/>
      <c r="J679" s="250"/>
      <c r="K679" s="250"/>
      <c r="L679" s="250"/>
      <c r="M679" s="250"/>
      <c r="N679" s="250"/>
      <c r="O679" s="250"/>
      <c r="P679" s="250"/>
      <c r="Q679" s="250"/>
      <c r="R679" s="250"/>
      <c r="S679" s="250"/>
      <c r="T679" s="250"/>
      <c r="U679" s="250"/>
      <c r="V679" s="250"/>
      <c r="W679" s="250"/>
      <c r="X679" s="250"/>
      <c r="Y679" s="250"/>
      <c r="Z679" s="250"/>
      <c r="AA679" s="250"/>
      <c r="AB679" s="250"/>
      <c r="AC679" s="250"/>
      <c r="AD679" s="250"/>
      <c r="AE679" s="250"/>
      <c r="AF679" s="250"/>
      <c r="AG679" s="250"/>
      <c r="AH679" s="250"/>
      <c r="AI679" s="250"/>
      <c r="AJ679" s="250"/>
      <c r="AK679" s="250"/>
      <c r="AL679" s="250"/>
      <c r="AM679" s="250"/>
      <c r="AN679" s="250"/>
      <c r="AO679" s="250"/>
      <c r="AP679" s="250"/>
      <c r="AQ679" s="250"/>
      <c r="AR679" s="250"/>
      <c r="AS679" s="250"/>
      <c r="AT679" s="250"/>
      <c r="AU679" s="250"/>
      <c r="AV679" s="124"/>
    </row>
    <row r="680" spans="2:48" s="475" customFormat="1" x14ac:dyDescent="0.2">
      <c r="B680" s="250"/>
      <c r="C680" s="250"/>
      <c r="D680" s="250"/>
      <c r="E680" s="250"/>
      <c r="F680" s="250"/>
      <c r="G680" s="250"/>
      <c r="H680" s="250"/>
      <c r="I680" s="250"/>
      <c r="J680" s="250"/>
      <c r="K680" s="250"/>
      <c r="L680" s="250"/>
      <c r="M680" s="250"/>
      <c r="N680" s="250"/>
      <c r="O680" s="250"/>
      <c r="P680" s="250"/>
      <c r="Q680" s="250"/>
      <c r="R680" s="250"/>
      <c r="S680" s="250"/>
      <c r="T680" s="250"/>
      <c r="U680" s="250"/>
      <c r="V680" s="250"/>
      <c r="W680" s="250"/>
      <c r="X680" s="250"/>
      <c r="Y680" s="250"/>
      <c r="Z680" s="250"/>
      <c r="AA680" s="250"/>
      <c r="AB680" s="250"/>
      <c r="AC680" s="250"/>
      <c r="AD680" s="250"/>
      <c r="AE680" s="250"/>
      <c r="AF680" s="250"/>
      <c r="AG680" s="250"/>
      <c r="AH680" s="250"/>
      <c r="AI680" s="250"/>
      <c r="AJ680" s="250"/>
      <c r="AK680" s="250"/>
      <c r="AL680" s="250"/>
      <c r="AM680" s="250"/>
      <c r="AN680" s="250"/>
      <c r="AO680" s="250"/>
      <c r="AP680" s="250"/>
      <c r="AQ680" s="250"/>
      <c r="AR680" s="250"/>
      <c r="AS680" s="250"/>
      <c r="AT680" s="250"/>
      <c r="AU680" s="250"/>
      <c r="AV680" s="124"/>
    </row>
    <row r="681" spans="2:48" s="475" customFormat="1" x14ac:dyDescent="0.2">
      <c r="B681" s="250"/>
      <c r="C681" s="250"/>
      <c r="D681" s="250"/>
      <c r="E681" s="250"/>
      <c r="F681" s="250"/>
      <c r="G681" s="250"/>
      <c r="H681" s="250"/>
      <c r="I681" s="250"/>
      <c r="J681" s="250"/>
      <c r="K681" s="250"/>
      <c r="L681" s="250"/>
      <c r="M681" s="250"/>
      <c r="N681" s="250"/>
      <c r="O681" s="250"/>
      <c r="P681" s="250"/>
      <c r="Q681" s="250"/>
      <c r="R681" s="250"/>
      <c r="S681" s="250"/>
      <c r="T681" s="250"/>
      <c r="U681" s="250"/>
      <c r="V681" s="250"/>
      <c r="W681" s="250"/>
      <c r="X681" s="250"/>
      <c r="Y681" s="250"/>
      <c r="Z681" s="250"/>
      <c r="AA681" s="250"/>
      <c r="AB681" s="250"/>
      <c r="AC681" s="250"/>
      <c r="AD681" s="250"/>
      <c r="AE681" s="250"/>
      <c r="AF681" s="250"/>
      <c r="AG681" s="250"/>
      <c r="AH681" s="250"/>
      <c r="AI681" s="250"/>
      <c r="AJ681" s="250"/>
      <c r="AK681" s="250"/>
      <c r="AL681" s="250"/>
      <c r="AM681" s="250"/>
      <c r="AN681" s="250"/>
      <c r="AO681" s="250"/>
      <c r="AP681" s="250"/>
      <c r="AQ681" s="250"/>
      <c r="AR681" s="250"/>
      <c r="AS681" s="250"/>
      <c r="AT681" s="250"/>
      <c r="AU681" s="250"/>
      <c r="AV681" s="124"/>
    </row>
    <row r="682" spans="2:48" s="475" customFormat="1" x14ac:dyDescent="0.2">
      <c r="B682" s="250"/>
      <c r="C682" s="250"/>
      <c r="D682" s="250"/>
      <c r="E682" s="250"/>
      <c r="F682" s="250"/>
      <c r="G682" s="250"/>
      <c r="H682" s="250"/>
      <c r="I682" s="250"/>
      <c r="J682" s="250"/>
      <c r="K682" s="250"/>
      <c r="L682" s="250"/>
      <c r="M682" s="250"/>
      <c r="N682" s="250"/>
      <c r="O682" s="250"/>
      <c r="P682" s="250"/>
      <c r="Q682" s="250"/>
      <c r="R682" s="250"/>
      <c r="S682" s="250"/>
      <c r="T682" s="250"/>
      <c r="U682" s="250"/>
      <c r="V682" s="250"/>
      <c r="W682" s="250"/>
      <c r="X682" s="250"/>
      <c r="Y682" s="250"/>
      <c r="Z682" s="250"/>
      <c r="AA682" s="250"/>
      <c r="AB682" s="250"/>
      <c r="AC682" s="250"/>
      <c r="AD682" s="250"/>
      <c r="AE682" s="250"/>
      <c r="AF682" s="250"/>
      <c r="AG682" s="250"/>
      <c r="AH682" s="250"/>
      <c r="AI682" s="250"/>
      <c r="AJ682" s="250"/>
      <c r="AK682" s="250"/>
      <c r="AL682" s="250"/>
      <c r="AM682" s="250"/>
      <c r="AN682" s="250"/>
      <c r="AO682" s="250"/>
      <c r="AP682" s="250"/>
      <c r="AQ682" s="250"/>
      <c r="AR682" s="250"/>
      <c r="AS682" s="250"/>
      <c r="AT682" s="250"/>
      <c r="AU682" s="250"/>
      <c r="AV682" s="124"/>
    </row>
    <row r="683" spans="2:48" s="475" customFormat="1" x14ac:dyDescent="0.2">
      <c r="B683" s="250"/>
      <c r="C683" s="250"/>
      <c r="D683" s="250"/>
      <c r="E683" s="250"/>
      <c r="F683" s="250"/>
      <c r="G683" s="250"/>
      <c r="H683" s="250"/>
      <c r="I683" s="250"/>
      <c r="J683" s="250"/>
      <c r="K683" s="250"/>
      <c r="L683" s="250"/>
      <c r="M683" s="250"/>
      <c r="N683" s="250"/>
      <c r="O683" s="250"/>
      <c r="P683" s="250"/>
      <c r="Q683" s="250"/>
      <c r="R683" s="250"/>
      <c r="S683" s="250"/>
      <c r="T683" s="250"/>
      <c r="U683" s="250"/>
      <c r="V683" s="250"/>
      <c r="W683" s="250"/>
      <c r="X683" s="250"/>
      <c r="Y683" s="250"/>
      <c r="Z683" s="250"/>
      <c r="AA683" s="250"/>
      <c r="AB683" s="250"/>
      <c r="AC683" s="250"/>
      <c r="AD683" s="250"/>
      <c r="AE683" s="250"/>
      <c r="AF683" s="250"/>
      <c r="AG683" s="250"/>
      <c r="AH683" s="250"/>
      <c r="AI683" s="250"/>
      <c r="AJ683" s="250"/>
      <c r="AK683" s="250"/>
      <c r="AL683" s="250"/>
      <c r="AM683" s="250"/>
      <c r="AN683" s="250"/>
      <c r="AO683" s="250"/>
      <c r="AP683" s="250"/>
      <c r="AQ683" s="250"/>
      <c r="AR683" s="250"/>
      <c r="AS683" s="250"/>
      <c r="AT683" s="250"/>
      <c r="AU683" s="250"/>
      <c r="AV683" s="124"/>
    </row>
    <row r="684" spans="2:48" s="475" customFormat="1" x14ac:dyDescent="0.2">
      <c r="B684" s="250"/>
      <c r="C684" s="250"/>
      <c r="D684" s="250"/>
      <c r="E684" s="250"/>
      <c r="F684" s="250"/>
      <c r="G684" s="250"/>
      <c r="H684" s="250"/>
      <c r="I684" s="250"/>
      <c r="J684" s="250"/>
      <c r="K684" s="250"/>
      <c r="L684" s="250"/>
      <c r="M684" s="250"/>
      <c r="N684" s="250"/>
      <c r="O684" s="250"/>
      <c r="P684" s="250"/>
      <c r="Q684" s="250"/>
      <c r="R684" s="250"/>
      <c r="S684" s="250"/>
      <c r="T684" s="250"/>
      <c r="U684" s="250"/>
      <c r="V684" s="250"/>
      <c r="W684" s="250"/>
      <c r="X684" s="250"/>
      <c r="Y684" s="250"/>
      <c r="Z684" s="250"/>
      <c r="AA684" s="250"/>
      <c r="AB684" s="250"/>
      <c r="AC684" s="250"/>
      <c r="AD684" s="250"/>
      <c r="AE684" s="250"/>
      <c r="AF684" s="250"/>
      <c r="AG684" s="250"/>
      <c r="AH684" s="250"/>
      <c r="AI684" s="250"/>
      <c r="AJ684" s="250"/>
      <c r="AK684" s="250"/>
      <c r="AL684" s="250"/>
      <c r="AM684" s="250"/>
      <c r="AN684" s="250"/>
      <c r="AO684" s="250"/>
      <c r="AP684" s="250"/>
      <c r="AQ684" s="250"/>
      <c r="AR684" s="250"/>
      <c r="AS684" s="250"/>
      <c r="AT684" s="250"/>
      <c r="AU684" s="250"/>
      <c r="AV684" s="124"/>
    </row>
    <row r="685" spans="2:48" s="475" customFormat="1" x14ac:dyDescent="0.2">
      <c r="B685" s="250"/>
      <c r="C685" s="250"/>
      <c r="D685" s="250"/>
      <c r="E685" s="250"/>
      <c r="F685" s="250"/>
      <c r="G685" s="250"/>
      <c r="H685" s="250"/>
      <c r="I685" s="250"/>
      <c r="J685" s="250"/>
      <c r="K685" s="250"/>
      <c r="L685" s="250"/>
      <c r="M685" s="250"/>
      <c r="N685" s="250"/>
      <c r="O685" s="250"/>
      <c r="P685" s="250"/>
      <c r="Q685" s="250"/>
      <c r="R685" s="250"/>
      <c r="S685" s="250"/>
      <c r="T685" s="250"/>
      <c r="U685" s="250"/>
      <c r="V685" s="250"/>
      <c r="W685" s="250"/>
      <c r="X685" s="250"/>
      <c r="Y685" s="250"/>
      <c r="Z685" s="250"/>
      <c r="AA685" s="250"/>
      <c r="AB685" s="250"/>
      <c r="AC685" s="250"/>
      <c r="AD685" s="250"/>
      <c r="AE685" s="250"/>
      <c r="AF685" s="250"/>
      <c r="AG685" s="250"/>
      <c r="AH685" s="250"/>
      <c r="AI685" s="250"/>
      <c r="AJ685" s="250"/>
      <c r="AK685" s="250"/>
      <c r="AL685" s="250"/>
      <c r="AM685" s="250"/>
      <c r="AN685" s="250"/>
      <c r="AO685" s="250"/>
      <c r="AP685" s="250"/>
      <c r="AQ685" s="250"/>
      <c r="AR685" s="250"/>
      <c r="AS685" s="250"/>
      <c r="AT685" s="250"/>
      <c r="AU685" s="250"/>
      <c r="AV685" s="124"/>
    </row>
    <row r="686" spans="2:48" s="475" customFormat="1" x14ac:dyDescent="0.2">
      <c r="B686" s="250"/>
      <c r="C686" s="250"/>
      <c r="D686" s="250"/>
      <c r="E686" s="250"/>
      <c r="F686" s="250"/>
      <c r="G686" s="250"/>
      <c r="H686" s="250"/>
      <c r="I686" s="250"/>
      <c r="J686" s="250"/>
      <c r="K686" s="250"/>
      <c r="L686" s="250"/>
      <c r="M686" s="250"/>
      <c r="N686" s="250"/>
      <c r="O686" s="250"/>
      <c r="P686" s="250"/>
      <c r="Q686" s="250"/>
      <c r="R686" s="250"/>
      <c r="S686" s="250"/>
      <c r="T686" s="250"/>
      <c r="U686" s="250"/>
      <c r="V686" s="250"/>
      <c r="W686" s="250"/>
      <c r="X686" s="250"/>
      <c r="Y686" s="250"/>
      <c r="Z686" s="250"/>
      <c r="AA686" s="250"/>
      <c r="AB686" s="250"/>
      <c r="AC686" s="250"/>
      <c r="AD686" s="250"/>
      <c r="AE686" s="250"/>
      <c r="AF686" s="250"/>
      <c r="AG686" s="250"/>
      <c r="AH686" s="250"/>
      <c r="AI686" s="250"/>
      <c r="AJ686" s="250"/>
      <c r="AK686" s="250"/>
      <c r="AL686" s="250"/>
      <c r="AM686" s="250"/>
      <c r="AN686" s="250"/>
      <c r="AO686" s="250"/>
      <c r="AP686" s="250"/>
      <c r="AQ686" s="250"/>
      <c r="AR686" s="250"/>
      <c r="AS686" s="250"/>
      <c r="AT686" s="250"/>
      <c r="AU686" s="250"/>
      <c r="AV686" s="124"/>
    </row>
    <row r="687" spans="2:48" s="475" customFormat="1" x14ac:dyDescent="0.2">
      <c r="B687" s="250"/>
      <c r="C687" s="250"/>
      <c r="D687" s="250"/>
      <c r="E687" s="250"/>
      <c r="F687" s="250"/>
      <c r="G687" s="250"/>
      <c r="H687" s="250"/>
      <c r="I687" s="250"/>
      <c r="J687" s="250"/>
      <c r="K687" s="250"/>
      <c r="L687" s="250"/>
      <c r="M687" s="250"/>
      <c r="N687" s="250"/>
      <c r="O687" s="250"/>
      <c r="P687" s="250"/>
      <c r="Q687" s="250"/>
      <c r="R687" s="250"/>
      <c r="S687" s="250"/>
      <c r="T687" s="250"/>
      <c r="U687" s="250"/>
      <c r="V687" s="250"/>
      <c r="W687" s="250"/>
      <c r="X687" s="250"/>
      <c r="Y687" s="250"/>
      <c r="Z687" s="250"/>
      <c r="AA687" s="250"/>
      <c r="AB687" s="250"/>
      <c r="AC687" s="250"/>
      <c r="AD687" s="250"/>
      <c r="AE687" s="250"/>
      <c r="AF687" s="250"/>
      <c r="AG687" s="250"/>
      <c r="AH687" s="250"/>
      <c r="AI687" s="250"/>
      <c r="AJ687" s="250"/>
      <c r="AK687" s="250"/>
      <c r="AL687" s="250"/>
      <c r="AM687" s="250"/>
      <c r="AN687" s="250"/>
      <c r="AO687" s="250"/>
      <c r="AP687" s="250"/>
      <c r="AQ687" s="250"/>
      <c r="AR687" s="250"/>
      <c r="AS687" s="250"/>
      <c r="AT687" s="250"/>
      <c r="AU687" s="250"/>
      <c r="AV687" s="124"/>
    </row>
    <row r="688" spans="2:48" s="475" customFormat="1" x14ac:dyDescent="0.2">
      <c r="B688" s="250"/>
      <c r="C688" s="250"/>
      <c r="D688" s="250"/>
      <c r="E688" s="250"/>
      <c r="F688" s="250"/>
      <c r="G688" s="250"/>
      <c r="H688" s="250"/>
      <c r="I688" s="250"/>
      <c r="J688" s="250"/>
      <c r="K688" s="250"/>
      <c r="L688" s="250"/>
      <c r="M688" s="250"/>
      <c r="N688" s="250"/>
      <c r="O688" s="250"/>
      <c r="P688" s="250"/>
      <c r="Q688" s="250"/>
      <c r="R688" s="250"/>
      <c r="S688" s="250"/>
      <c r="T688" s="250"/>
      <c r="U688" s="250"/>
      <c r="V688" s="250"/>
      <c r="W688" s="250"/>
      <c r="X688" s="250"/>
      <c r="Y688" s="250"/>
      <c r="Z688" s="250"/>
      <c r="AA688" s="250"/>
      <c r="AB688" s="250"/>
      <c r="AC688" s="250"/>
      <c r="AD688" s="250"/>
      <c r="AE688" s="250"/>
      <c r="AF688" s="250"/>
      <c r="AG688" s="250"/>
      <c r="AH688" s="250"/>
      <c r="AI688" s="250"/>
      <c r="AJ688" s="250"/>
      <c r="AK688" s="250"/>
      <c r="AL688" s="250"/>
      <c r="AM688" s="250"/>
      <c r="AN688" s="250"/>
      <c r="AO688" s="250"/>
      <c r="AP688" s="250"/>
      <c r="AQ688" s="250"/>
      <c r="AR688" s="250"/>
      <c r="AS688" s="250"/>
      <c r="AT688" s="250"/>
      <c r="AU688" s="250"/>
      <c r="AV688" s="124"/>
    </row>
    <row r="689" spans="2:48" s="475" customFormat="1" x14ac:dyDescent="0.2">
      <c r="B689" s="250"/>
      <c r="C689" s="250"/>
      <c r="D689" s="250"/>
      <c r="E689" s="250"/>
      <c r="F689" s="250"/>
      <c r="G689" s="250"/>
      <c r="H689" s="250"/>
      <c r="I689" s="250"/>
      <c r="J689" s="250"/>
      <c r="K689" s="250"/>
      <c r="L689" s="250"/>
      <c r="M689" s="250"/>
      <c r="N689" s="250"/>
      <c r="O689" s="250"/>
      <c r="P689" s="250"/>
      <c r="Q689" s="250"/>
      <c r="R689" s="250"/>
      <c r="S689" s="250"/>
      <c r="T689" s="250"/>
      <c r="U689" s="250"/>
      <c r="V689" s="250"/>
      <c r="W689" s="250"/>
      <c r="X689" s="250"/>
      <c r="Y689" s="250"/>
      <c r="Z689" s="250"/>
      <c r="AA689" s="250"/>
      <c r="AB689" s="250"/>
      <c r="AC689" s="250"/>
      <c r="AD689" s="250"/>
      <c r="AE689" s="250"/>
      <c r="AF689" s="250"/>
      <c r="AG689" s="250"/>
      <c r="AH689" s="250"/>
      <c r="AI689" s="250"/>
      <c r="AJ689" s="250"/>
      <c r="AK689" s="250"/>
      <c r="AL689" s="250"/>
      <c r="AM689" s="250"/>
      <c r="AN689" s="250"/>
      <c r="AO689" s="250"/>
      <c r="AP689" s="250"/>
      <c r="AQ689" s="250"/>
      <c r="AR689" s="250"/>
      <c r="AS689" s="250"/>
      <c r="AT689" s="250"/>
      <c r="AU689" s="250"/>
      <c r="AV689" s="124"/>
    </row>
    <row r="690" spans="2:48" s="475" customFormat="1" x14ac:dyDescent="0.2">
      <c r="B690" s="250"/>
      <c r="C690" s="250"/>
      <c r="D690" s="250"/>
      <c r="E690" s="250"/>
      <c r="F690" s="250"/>
      <c r="G690" s="250"/>
      <c r="H690" s="250"/>
      <c r="I690" s="250"/>
      <c r="J690" s="250"/>
      <c r="K690" s="250"/>
      <c r="L690" s="250"/>
      <c r="M690" s="250"/>
      <c r="N690" s="250"/>
      <c r="O690" s="250"/>
      <c r="P690" s="250"/>
      <c r="Q690" s="250"/>
      <c r="R690" s="250"/>
      <c r="S690" s="250"/>
      <c r="T690" s="250"/>
      <c r="U690" s="250"/>
      <c r="V690" s="250"/>
      <c r="W690" s="250"/>
      <c r="X690" s="250"/>
      <c r="Y690" s="250"/>
      <c r="Z690" s="250"/>
      <c r="AA690" s="250"/>
      <c r="AB690" s="250"/>
      <c r="AC690" s="250"/>
      <c r="AD690" s="250"/>
      <c r="AE690" s="250"/>
      <c r="AF690" s="250"/>
      <c r="AG690" s="250"/>
      <c r="AH690" s="250"/>
      <c r="AI690" s="250"/>
      <c r="AJ690" s="250"/>
      <c r="AK690" s="250"/>
      <c r="AL690" s="250"/>
      <c r="AM690" s="250"/>
      <c r="AN690" s="250"/>
      <c r="AO690" s="250"/>
      <c r="AP690" s="250"/>
      <c r="AQ690" s="250"/>
      <c r="AR690" s="250"/>
      <c r="AS690" s="250"/>
      <c r="AT690" s="250"/>
      <c r="AU690" s="250"/>
      <c r="AV690" s="124"/>
    </row>
    <row r="691" spans="2:48" s="475" customFormat="1" x14ac:dyDescent="0.2">
      <c r="B691" s="250"/>
      <c r="C691" s="250"/>
      <c r="D691" s="250"/>
      <c r="E691" s="250"/>
      <c r="F691" s="250"/>
      <c r="G691" s="250"/>
      <c r="H691" s="250"/>
      <c r="I691" s="250"/>
      <c r="J691" s="250"/>
      <c r="K691" s="250"/>
      <c r="L691" s="250"/>
      <c r="M691" s="250"/>
      <c r="N691" s="250"/>
      <c r="O691" s="250"/>
      <c r="P691" s="250"/>
      <c r="Q691" s="250"/>
      <c r="R691" s="250"/>
      <c r="S691" s="250"/>
      <c r="T691" s="250"/>
      <c r="U691" s="250"/>
      <c r="V691" s="250"/>
      <c r="W691" s="250"/>
      <c r="X691" s="250"/>
      <c r="Y691" s="250"/>
      <c r="Z691" s="250"/>
      <c r="AA691" s="250"/>
      <c r="AB691" s="250"/>
      <c r="AC691" s="250"/>
      <c r="AD691" s="250"/>
      <c r="AE691" s="250"/>
      <c r="AF691" s="250"/>
      <c r="AG691" s="250"/>
      <c r="AH691" s="250"/>
      <c r="AI691" s="250"/>
      <c r="AJ691" s="250"/>
      <c r="AK691" s="250"/>
      <c r="AL691" s="250"/>
      <c r="AM691" s="250"/>
      <c r="AN691" s="250"/>
      <c r="AO691" s="250"/>
      <c r="AP691" s="250"/>
      <c r="AQ691" s="250"/>
      <c r="AR691" s="250"/>
      <c r="AS691" s="250"/>
      <c r="AT691" s="250"/>
      <c r="AU691" s="250"/>
      <c r="AV691" s="124"/>
    </row>
    <row r="692" spans="2:48" s="475" customFormat="1" x14ac:dyDescent="0.2">
      <c r="B692" s="250"/>
      <c r="C692" s="250"/>
      <c r="D692" s="250"/>
      <c r="E692" s="250"/>
      <c r="F692" s="250"/>
      <c r="G692" s="250"/>
      <c r="H692" s="250"/>
      <c r="I692" s="250"/>
      <c r="J692" s="250"/>
      <c r="K692" s="250"/>
      <c r="L692" s="250"/>
      <c r="M692" s="250"/>
      <c r="N692" s="250"/>
      <c r="O692" s="250"/>
      <c r="P692" s="250"/>
      <c r="Q692" s="250"/>
      <c r="R692" s="250"/>
      <c r="S692" s="250"/>
      <c r="T692" s="250"/>
      <c r="U692" s="250"/>
      <c r="V692" s="250"/>
      <c r="W692" s="250"/>
      <c r="X692" s="250"/>
      <c r="Y692" s="250"/>
      <c r="Z692" s="250"/>
      <c r="AA692" s="250"/>
      <c r="AB692" s="250"/>
      <c r="AC692" s="250"/>
      <c r="AD692" s="250"/>
      <c r="AE692" s="250"/>
      <c r="AF692" s="250"/>
      <c r="AG692" s="250"/>
      <c r="AH692" s="250"/>
      <c r="AI692" s="250"/>
      <c r="AJ692" s="250"/>
      <c r="AK692" s="250"/>
      <c r="AL692" s="250"/>
      <c r="AM692" s="250"/>
      <c r="AN692" s="250"/>
      <c r="AO692" s="250"/>
      <c r="AP692" s="250"/>
      <c r="AQ692" s="250"/>
      <c r="AR692" s="250"/>
      <c r="AS692" s="250"/>
      <c r="AT692" s="250"/>
      <c r="AU692" s="250"/>
      <c r="AV692" s="124"/>
    </row>
    <row r="693" spans="2:48" s="475" customFormat="1" x14ac:dyDescent="0.2">
      <c r="B693" s="250"/>
      <c r="C693" s="250"/>
      <c r="D693" s="250"/>
      <c r="E693" s="250"/>
      <c r="F693" s="250"/>
      <c r="G693" s="250"/>
      <c r="H693" s="250"/>
      <c r="I693" s="250"/>
      <c r="J693" s="250"/>
      <c r="K693" s="250"/>
      <c r="L693" s="250"/>
      <c r="M693" s="250"/>
      <c r="N693" s="250"/>
      <c r="O693" s="250"/>
      <c r="P693" s="250"/>
      <c r="Q693" s="250"/>
      <c r="R693" s="250"/>
      <c r="S693" s="250"/>
      <c r="T693" s="250"/>
      <c r="U693" s="250"/>
      <c r="V693" s="250"/>
      <c r="W693" s="250"/>
      <c r="X693" s="250"/>
      <c r="Y693" s="250"/>
      <c r="Z693" s="250"/>
      <c r="AA693" s="250"/>
      <c r="AB693" s="250"/>
      <c r="AC693" s="250"/>
      <c r="AD693" s="250"/>
      <c r="AE693" s="250"/>
      <c r="AF693" s="250"/>
      <c r="AG693" s="250"/>
      <c r="AH693" s="250"/>
      <c r="AI693" s="250"/>
      <c r="AJ693" s="250"/>
      <c r="AK693" s="250"/>
      <c r="AL693" s="250"/>
      <c r="AM693" s="250"/>
      <c r="AN693" s="250"/>
      <c r="AO693" s="250"/>
      <c r="AP693" s="250"/>
      <c r="AQ693" s="250"/>
      <c r="AR693" s="250"/>
      <c r="AS693" s="250"/>
      <c r="AT693" s="250"/>
      <c r="AU693" s="250"/>
      <c r="AV693" s="124"/>
    </row>
    <row r="694" spans="2:48" s="475" customFormat="1" x14ac:dyDescent="0.2">
      <c r="B694" s="250"/>
      <c r="C694" s="250"/>
      <c r="D694" s="250"/>
      <c r="E694" s="250"/>
      <c r="F694" s="250"/>
      <c r="G694" s="250"/>
      <c r="H694" s="250"/>
      <c r="I694" s="250"/>
      <c r="J694" s="250"/>
      <c r="K694" s="250"/>
      <c r="L694" s="250"/>
      <c r="M694" s="250"/>
      <c r="N694" s="250"/>
      <c r="O694" s="250"/>
      <c r="P694" s="250"/>
      <c r="Q694" s="250"/>
      <c r="R694" s="250"/>
      <c r="S694" s="250"/>
      <c r="T694" s="250"/>
      <c r="U694" s="250"/>
      <c r="V694" s="250"/>
      <c r="W694" s="250"/>
      <c r="X694" s="250"/>
      <c r="Y694" s="250"/>
      <c r="Z694" s="250"/>
      <c r="AA694" s="250"/>
      <c r="AB694" s="250"/>
      <c r="AC694" s="250"/>
      <c r="AD694" s="250"/>
      <c r="AE694" s="250"/>
      <c r="AF694" s="250"/>
      <c r="AG694" s="250"/>
      <c r="AH694" s="250"/>
      <c r="AI694" s="250"/>
      <c r="AJ694" s="250"/>
      <c r="AK694" s="250"/>
      <c r="AL694" s="250"/>
      <c r="AM694" s="250"/>
      <c r="AN694" s="250"/>
      <c r="AO694" s="250"/>
      <c r="AP694" s="250"/>
      <c r="AQ694" s="250"/>
      <c r="AR694" s="250"/>
      <c r="AS694" s="250"/>
      <c r="AT694" s="250"/>
      <c r="AU694" s="250"/>
      <c r="AV694" s="124"/>
    </row>
    <row r="695" spans="2:48" s="475" customFormat="1" x14ac:dyDescent="0.2">
      <c r="B695" s="250"/>
      <c r="C695" s="250"/>
      <c r="D695" s="250"/>
      <c r="E695" s="250"/>
      <c r="F695" s="250"/>
      <c r="G695" s="250"/>
      <c r="H695" s="250"/>
      <c r="I695" s="250"/>
      <c r="J695" s="250"/>
      <c r="K695" s="250"/>
      <c r="L695" s="250"/>
      <c r="M695" s="250"/>
      <c r="N695" s="250"/>
      <c r="O695" s="250"/>
      <c r="P695" s="250"/>
      <c r="Q695" s="250"/>
      <c r="R695" s="250"/>
      <c r="S695" s="250"/>
      <c r="T695" s="250"/>
      <c r="U695" s="250"/>
      <c r="V695" s="250"/>
      <c r="W695" s="250"/>
      <c r="X695" s="250"/>
      <c r="Y695" s="250"/>
      <c r="Z695" s="250"/>
      <c r="AA695" s="250"/>
      <c r="AB695" s="250"/>
      <c r="AC695" s="250"/>
      <c r="AD695" s="250"/>
      <c r="AE695" s="250"/>
      <c r="AF695" s="250"/>
      <c r="AG695" s="250"/>
      <c r="AH695" s="250"/>
      <c r="AI695" s="250"/>
      <c r="AJ695" s="250"/>
      <c r="AK695" s="250"/>
      <c r="AL695" s="250"/>
      <c r="AM695" s="250"/>
      <c r="AN695" s="250"/>
      <c r="AO695" s="250"/>
      <c r="AP695" s="250"/>
      <c r="AQ695" s="250"/>
      <c r="AR695" s="250"/>
      <c r="AS695" s="250"/>
      <c r="AT695" s="250"/>
      <c r="AU695" s="250"/>
      <c r="AV695" s="124"/>
    </row>
    <row r="696" spans="2:48" s="475" customFormat="1" x14ac:dyDescent="0.2">
      <c r="B696" s="250"/>
      <c r="C696" s="250"/>
      <c r="D696" s="250"/>
      <c r="E696" s="250"/>
      <c r="F696" s="250"/>
      <c r="G696" s="250"/>
      <c r="H696" s="250"/>
      <c r="I696" s="250"/>
      <c r="J696" s="250"/>
      <c r="K696" s="250"/>
      <c r="L696" s="250"/>
      <c r="M696" s="250"/>
      <c r="N696" s="250"/>
      <c r="O696" s="250"/>
      <c r="P696" s="250"/>
      <c r="Q696" s="250"/>
      <c r="R696" s="250"/>
      <c r="S696" s="250"/>
      <c r="T696" s="250"/>
      <c r="U696" s="250"/>
      <c r="V696" s="250"/>
      <c r="W696" s="250"/>
      <c r="X696" s="250"/>
      <c r="Y696" s="250"/>
      <c r="Z696" s="250"/>
      <c r="AA696" s="250"/>
      <c r="AB696" s="250"/>
      <c r="AC696" s="250"/>
      <c r="AD696" s="250"/>
      <c r="AE696" s="250"/>
      <c r="AF696" s="250"/>
      <c r="AG696" s="250"/>
      <c r="AH696" s="250"/>
      <c r="AI696" s="250"/>
      <c r="AJ696" s="250"/>
      <c r="AK696" s="250"/>
      <c r="AL696" s="250"/>
      <c r="AM696" s="250"/>
      <c r="AN696" s="250"/>
      <c r="AO696" s="250"/>
      <c r="AP696" s="250"/>
      <c r="AQ696" s="250"/>
      <c r="AR696" s="250"/>
      <c r="AS696" s="250"/>
      <c r="AT696" s="250"/>
      <c r="AU696" s="250"/>
      <c r="AV696" s="124"/>
    </row>
    <row r="697" spans="2:48" s="475" customFormat="1" x14ac:dyDescent="0.2">
      <c r="B697" s="250"/>
      <c r="C697" s="250"/>
      <c r="D697" s="250"/>
      <c r="E697" s="250"/>
      <c r="F697" s="250"/>
      <c r="G697" s="250"/>
      <c r="H697" s="250"/>
      <c r="I697" s="250"/>
      <c r="J697" s="250"/>
      <c r="K697" s="250"/>
      <c r="L697" s="250"/>
      <c r="M697" s="250"/>
      <c r="N697" s="250"/>
      <c r="O697" s="250"/>
      <c r="P697" s="250"/>
      <c r="Q697" s="250"/>
      <c r="R697" s="250"/>
      <c r="S697" s="250"/>
      <c r="T697" s="250"/>
      <c r="U697" s="250"/>
      <c r="V697" s="250"/>
      <c r="W697" s="250"/>
      <c r="X697" s="250"/>
      <c r="Y697" s="250"/>
      <c r="Z697" s="250"/>
      <c r="AA697" s="250"/>
      <c r="AB697" s="250"/>
      <c r="AC697" s="250"/>
      <c r="AD697" s="250"/>
      <c r="AE697" s="250"/>
      <c r="AF697" s="250"/>
      <c r="AG697" s="250"/>
      <c r="AH697" s="250"/>
      <c r="AI697" s="250"/>
      <c r="AJ697" s="250"/>
      <c r="AK697" s="250"/>
      <c r="AL697" s="250"/>
      <c r="AM697" s="250"/>
      <c r="AN697" s="250"/>
      <c r="AO697" s="250"/>
      <c r="AP697" s="250"/>
      <c r="AQ697" s="250"/>
      <c r="AR697" s="250"/>
      <c r="AS697" s="250"/>
      <c r="AT697" s="250"/>
      <c r="AU697" s="250"/>
      <c r="AV697" s="124"/>
    </row>
    <row r="698" spans="2:48" s="475" customFormat="1" x14ac:dyDescent="0.2">
      <c r="B698" s="250"/>
      <c r="C698" s="250"/>
      <c r="D698" s="250"/>
      <c r="E698" s="250"/>
      <c r="F698" s="250"/>
      <c r="G698" s="250"/>
      <c r="H698" s="250"/>
      <c r="I698" s="250"/>
      <c r="J698" s="250"/>
      <c r="K698" s="250"/>
      <c r="L698" s="250"/>
      <c r="M698" s="250"/>
      <c r="N698" s="250"/>
      <c r="O698" s="250"/>
      <c r="P698" s="250"/>
      <c r="Q698" s="250"/>
      <c r="R698" s="250"/>
      <c r="S698" s="250"/>
      <c r="T698" s="250"/>
      <c r="U698" s="250"/>
      <c r="V698" s="250"/>
      <c r="W698" s="250"/>
      <c r="X698" s="250"/>
      <c r="Y698" s="250"/>
      <c r="Z698" s="250"/>
      <c r="AA698" s="250"/>
      <c r="AB698" s="250"/>
      <c r="AC698" s="250"/>
      <c r="AD698" s="250"/>
      <c r="AE698" s="250"/>
      <c r="AF698" s="250"/>
      <c r="AG698" s="250"/>
      <c r="AH698" s="250"/>
      <c r="AI698" s="250"/>
      <c r="AJ698" s="250"/>
      <c r="AK698" s="250"/>
      <c r="AL698" s="250"/>
      <c r="AM698" s="250"/>
      <c r="AN698" s="250"/>
      <c r="AO698" s="250"/>
      <c r="AP698" s="250"/>
      <c r="AQ698" s="250"/>
      <c r="AR698" s="250"/>
      <c r="AS698" s="250"/>
      <c r="AT698" s="250"/>
      <c r="AU698" s="250"/>
      <c r="AV698" s="124"/>
    </row>
    <row r="699" spans="2:48" s="475" customFormat="1" x14ac:dyDescent="0.2">
      <c r="B699" s="250"/>
      <c r="C699" s="250"/>
      <c r="D699" s="250"/>
      <c r="E699" s="250"/>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124"/>
    </row>
    <row r="700" spans="2:48" s="475" customFormat="1" x14ac:dyDescent="0.2">
      <c r="B700" s="250"/>
      <c r="C700" s="250"/>
      <c r="D700" s="250"/>
      <c r="E700" s="250"/>
      <c r="F700" s="250"/>
      <c r="G700" s="250"/>
      <c r="H700" s="250"/>
      <c r="I700" s="250"/>
      <c r="J700" s="250"/>
      <c r="K700" s="250"/>
      <c r="L700" s="250"/>
      <c r="M700" s="250"/>
      <c r="N700" s="250"/>
      <c r="O700" s="250"/>
      <c r="P700" s="250"/>
      <c r="Q700" s="250"/>
      <c r="R700" s="250"/>
      <c r="S700" s="250"/>
      <c r="T700" s="250"/>
      <c r="U700" s="250"/>
      <c r="V700" s="250"/>
      <c r="W700" s="250"/>
      <c r="X700" s="250"/>
      <c r="Y700" s="250"/>
      <c r="Z700" s="250"/>
      <c r="AA700" s="250"/>
      <c r="AB700" s="250"/>
      <c r="AC700" s="250"/>
      <c r="AD700" s="250"/>
      <c r="AE700" s="250"/>
      <c r="AF700" s="250"/>
      <c r="AG700" s="250"/>
      <c r="AH700" s="250"/>
      <c r="AI700" s="250"/>
      <c r="AJ700" s="250"/>
      <c r="AK700" s="250"/>
      <c r="AL700" s="250"/>
      <c r="AM700" s="250"/>
      <c r="AN700" s="250"/>
      <c r="AO700" s="250"/>
      <c r="AP700" s="250"/>
      <c r="AQ700" s="250"/>
      <c r="AR700" s="250"/>
      <c r="AS700" s="250"/>
      <c r="AT700" s="250"/>
      <c r="AU700" s="250"/>
      <c r="AV700" s="124"/>
    </row>
    <row r="701" spans="2:48" s="475" customFormat="1" x14ac:dyDescent="0.2">
      <c r="B701" s="250"/>
      <c r="C701" s="250"/>
      <c r="D701" s="250"/>
      <c r="E701" s="250"/>
      <c r="F701" s="250"/>
      <c r="G701" s="250"/>
      <c r="H701" s="250"/>
      <c r="I701" s="250"/>
      <c r="J701" s="250"/>
      <c r="K701" s="250"/>
      <c r="L701" s="250"/>
      <c r="M701" s="250"/>
      <c r="N701" s="250"/>
      <c r="O701" s="250"/>
      <c r="P701" s="250"/>
      <c r="Q701" s="250"/>
      <c r="R701" s="250"/>
      <c r="S701" s="250"/>
      <c r="T701" s="250"/>
      <c r="U701" s="250"/>
      <c r="V701" s="250"/>
      <c r="W701" s="250"/>
      <c r="X701" s="250"/>
      <c r="Y701" s="250"/>
      <c r="Z701" s="250"/>
      <c r="AA701" s="250"/>
      <c r="AB701" s="250"/>
      <c r="AC701" s="250"/>
      <c r="AD701" s="250"/>
      <c r="AE701" s="250"/>
      <c r="AF701" s="250"/>
      <c r="AG701" s="250"/>
      <c r="AH701" s="250"/>
      <c r="AI701" s="250"/>
      <c r="AJ701" s="250"/>
      <c r="AK701" s="250"/>
      <c r="AL701" s="250"/>
      <c r="AM701" s="250"/>
      <c r="AN701" s="250"/>
      <c r="AO701" s="250"/>
      <c r="AP701" s="250"/>
      <c r="AQ701" s="250"/>
      <c r="AR701" s="250"/>
      <c r="AS701" s="250"/>
      <c r="AT701" s="250"/>
      <c r="AU701" s="250"/>
      <c r="AV701" s="124"/>
    </row>
    <row r="702" spans="2:48" s="475" customFormat="1" x14ac:dyDescent="0.2">
      <c r="B702" s="250"/>
      <c r="C702" s="250"/>
      <c r="D702" s="250"/>
      <c r="E702" s="250"/>
      <c r="F702" s="250"/>
      <c r="G702" s="250"/>
      <c r="H702" s="250"/>
      <c r="I702" s="250"/>
      <c r="J702" s="250"/>
      <c r="K702" s="250"/>
      <c r="L702" s="250"/>
      <c r="M702" s="250"/>
      <c r="N702" s="250"/>
      <c r="O702" s="250"/>
      <c r="P702" s="250"/>
      <c r="Q702" s="250"/>
      <c r="R702" s="250"/>
      <c r="S702" s="250"/>
      <c r="T702" s="250"/>
      <c r="U702" s="250"/>
      <c r="V702" s="250"/>
      <c r="W702" s="250"/>
      <c r="X702" s="250"/>
      <c r="Y702" s="250"/>
      <c r="Z702" s="250"/>
      <c r="AA702" s="250"/>
      <c r="AB702" s="250"/>
      <c r="AC702" s="250"/>
      <c r="AD702" s="250"/>
      <c r="AE702" s="250"/>
      <c r="AF702" s="250"/>
      <c r="AG702" s="250"/>
      <c r="AH702" s="250"/>
      <c r="AI702" s="250"/>
      <c r="AJ702" s="250"/>
      <c r="AK702" s="250"/>
      <c r="AL702" s="250"/>
      <c r="AM702" s="250"/>
      <c r="AN702" s="250"/>
      <c r="AO702" s="250"/>
      <c r="AP702" s="250"/>
      <c r="AQ702" s="250"/>
      <c r="AR702" s="250"/>
      <c r="AS702" s="250"/>
      <c r="AT702" s="250"/>
      <c r="AU702" s="250"/>
      <c r="AV702" s="124"/>
    </row>
    <row r="703" spans="2:48" s="475" customFormat="1" x14ac:dyDescent="0.2">
      <c r="B703" s="250"/>
      <c r="C703" s="250"/>
      <c r="D703" s="250"/>
      <c r="E703" s="250"/>
      <c r="F703" s="250"/>
      <c r="G703" s="250"/>
      <c r="H703" s="250"/>
      <c r="I703" s="250"/>
      <c r="J703" s="250"/>
      <c r="K703" s="250"/>
      <c r="L703" s="250"/>
      <c r="M703" s="250"/>
      <c r="N703" s="250"/>
      <c r="O703" s="250"/>
      <c r="P703" s="250"/>
      <c r="Q703" s="250"/>
      <c r="R703" s="250"/>
      <c r="S703" s="250"/>
      <c r="T703" s="250"/>
      <c r="U703" s="250"/>
      <c r="V703" s="250"/>
      <c r="W703" s="250"/>
      <c r="X703" s="250"/>
      <c r="Y703" s="250"/>
      <c r="Z703" s="250"/>
      <c r="AA703" s="250"/>
      <c r="AB703" s="250"/>
      <c r="AC703" s="250"/>
      <c r="AD703" s="250"/>
      <c r="AE703" s="250"/>
      <c r="AF703" s="250"/>
      <c r="AG703" s="250"/>
      <c r="AH703" s="250"/>
      <c r="AI703" s="250"/>
      <c r="AJ703" s="250"/>
      <c r="AK703" s="250"/>
      <c r="AL703" s="250"/>
      <c r="AM703" s="250"/>
      <c r="AN703" s="250"/>
      <c r="AO703" s="250"/>
      <c r="AP703" s="250"/>
      <c r="AQ703" s="250"/>
      <c r="AR703" s="250"/>
      <c r="AS703" s="250"/>
      <c r="AT703" s="250"/>
      <c r="AU703" s="250"/>
      <c r="AV703" s="124"/>
    </row>
    <row r="704" spans="2:48" s="475" customFormat="1" x14ac:dyDescent="0.2">
      <c r="B704" s="250"/>
      <c r="C704" s="250"/>
      <c r="D704" s="250"/>
      <c r="E704" s="250"/>
      <c r="F704" s="250"/>
      <c r="G704" s="250"/>
      <c r="H704" s="250"/>
      <c r="I704" s="250"/>
      <c r="J704" s="250"/>
      <c r="K704" s="250"/>
      <c r="L704" s="250"/>
      <c r="M704" s="250"/>
      <c r="N704" s="250"/>
      <c r="O704" s="250"/>
      <c r="P704" s="250"/>
      <c r="Q704" s="250"/>
      <c r="R704" s="250"/>
      <c r="S704" s="250"/>
      <c r="T704" s="250"/>
      <c r="U704" s="250"/>
      <c r="V704" s="250"/>
      <c r="W704" s="250"/>
      <c r="X704" s="250"/>
      <c r="Y704" s="250"/>
      <c r="Z704" s="250"/>
      <c r="AA704" s="250"/>
      <c r="AB704" s="250"/>
      <c r="AC704" s="250"/>
      <c r="AD704" s="250"/>
      <c r="AE704" s="250"/>
      <c r="AF704" s="250"/>
      <c r="AG704" s="250"/>
      <c r="AH704" s="250"/>
      <c r="AI704" s="250"/>
      <c r="AJ704" s="250"/>
      <c r="AK704" s="250"/>
      <c r="AL704" s="250"/>
      <c r="AM704" s="250"/>
      <c r="AN704" s="250"/>
      <c r="AO704" s="250"/>
      <c r="AP704" s="250"/>
      <c r="AQ704" s="250"/>
      <c r="AR704" s="250"/>
      <c r="AS704" s="250"/>
      <c r="AT704" s="250"/>
      <c r="AU704" s="250"/>
      <c r="AV704" s="124"/>
    </row>
    <row r="705" spans="2:48" s="475" customFormat="1" x14ac:dyDescent="0.2">
      <c r="B705" s="250"/>
      <c r="C705" s="250"/>
      <c r="D705" s="250"/>
      <c r="E705" s="250"/>
      <c r="F705" s="250"/>
      <c r="G705" s="250"/>
      <c r="H705" s="250"/>
      <c r="I705" s="250"/>
      <c r="J705" s="250"/>
      <c r="K705" s="250"/>
      <c r="L705" s="250"/>
      <c r="M705" s="250"/>
      <c r="N705" s="250"/>
      <c r="O705" s="250"/>
      <c r="P705" s="250"/>
      <c r="Q705" s="250"/>
      <c r="R705" s="250"/>
      <c r="S705" s="250"/>
      <c r="T705" s="250"/>
      <c r="U705" s="250"/>
      <c r="V705" s="250"/>
      <c r="W705" s="250"/>
      <c r="X705" s="250"/>
      <c r="Y705" s="250"/>
      <c r="Z705" s="250"/>
      <c r="AA705" s="250"/>
      <c r="AB705" s="250"/>
      <c r="AC705" s="250"/>
      <c r="AD705" s="250"/>
      <c r="AE705" s="250"/>
      <c r="AF705" s="250"/>
      <c r="AG705" s="250"/>
      <c r="AH705" s="250"/>
      <c r="AI705" s="250"/>
      <c r="AJ705" s="250"/>
      <c r="AK705" s="250"/>
      <c r="AL705" s="250"/>
      <c r="AM705" s="250"/>
      <c r="AN705" s="250"/>
      <c r="AO705" s="250"/>
      <c r="AP705" s="250"/>
      <c r="AQ705" s="250"/>
      <c r="AR705" s="250"/>
      <c r="AS705" s="250"/>
      <c r="AT705" s="250"/>
      <c r="AU705" s="250"/>
      <c r="AV705" s="124"/>
    </row>
    <row r="706" spans="2:48" s="475" customFormat="1" x14ac:dyDescent="0.2">
      <c r="B706" s="250"/>
      <c r="C706" s="250"/>
      <c r="D706" s="250"/>
      <c r="E706" s="250"/>
      <c r="F706" s="250"/>
      <c r="G706" s="250"/>
      <c r="H706" s="250"/>
      <c r="I706" s="250"/>
      <c r="J706" s="250"/>
      <c r="K706" s="250"/>
      <c r="L706" s="250"/>
      <c r="M706" s="250"/>
      <c r="N706" s="250"/>
      <c r="O706" s="250"/>
      <c r="P706" s="250"/>
      <c r="Q706" s="250"/>
      <c r="R706" s="250"/>
      <c r="S706" s="250"/>
      <c r="T706" s="250"/>
      <c r="U706" s="250"/>
      <c r="V706" s="250"/>
      <c r="W706" s="250"/>
      <c r="X706" s="250"/>
      <c r="Y706" s="250"/>
      <c r="Z706" s="250"/>
      <c r="AA706" s="250"/>
      <c r="AB706" s="250"/>
      <c r="AC706" s="250"/>
      <c r="AD706" s="250"/>
      <c r="AE706" s="250"/>
      <c r="AF706" s="250"/>
      <c r="AG706" s="250"/>
      <c r="AH706" s="250"/>
      <c r="AI706" s="250"/>
      <c r="AJ706" s="250"/>
      <c r="AK706" s="250"/>
      <c r="AL706" s="250"/>
      <c r="AM706" s="250"/>
      <c r="AN706" s="250"/>
      <c r="AO706" s="250"/>
      <c r="AP706" s="250"/>
      <c r="AQ706" s="250"/>
      <c r="AR706" s="250"/>
      <c r="AS706" s="250"/>
      <c r="AT706" s="250"/>
      <c r="AU706" s="250"/>
      <c r="AV706" s="124"/>
    </row>
    <row r="707" spans="2:48" s="475" customFormat="1" x14ac:dyDescent="0.2">
      <c r="B707" s="250"/>
      <c r="C707" s="250"/>
      <c r="D707" s="250"/>
      <c r="E707" s="250"/>
      <c r="F707" s="250"/>
      <c r="G707" s="250"/>
      <c r="H707" s="250"/>
      <c r="I707" s="250"/>
      <c r="J707" s="250"/>
      <c r="K707" s="250"/>
      <c r="L707" s="250"/>
      <c r="M707" s="250"/>
      <c r="N707" s="250"/>
      <c r="O707" s="250"/>
      <c r="P707" s="250"/>
      <c r="Q707" s="250"/>
      <c r="R707" s="250"/>
      <c r="S707" s="250"/>
      <c r="T707" s="250"/>
      <c r="U707" s="250"/>
      <c r="V707" s="250"/>
      <c r="W707" s="250"/>
      <c r="X707" s="250"/>
      <c r="Y707" s="250"/>
      <c r="Z707" s="250"/>
      <c r="AA707" s="250"/>
      <c r="AB707" s="250"/>
      <c r="AC707" s="250"/>
      <c r="AD707" s="250"/>
      <c r="AE707" s="250"/>
      <c r="AF707" s="250"/>
      <c r="AG707" s="250"/>
      <c r="AH707" s="250"/>
      <c r="AI707" s="250"/>
      <c r="AJ707" s="250"/>
      <c r="AK707" s="250"/>
      <c r="AL707" s="250"/>
      <c r="AM707" s="250"/>
      <c r="AN707" s="250"/>
      <c r="AO707" s="250"/>
      <c r="AP707" s="250"/>
      <c r="AQ707" s="250"/>
      <c r="AR707" s="250"/>
      <c r="AS707" s="250"/>
      <c r="AT707" s="250"/>
      <c r="AU707" s="250"/>
      <c r="AV707" s="124"/>
    </row>
    <row r="708" spans="2:48" s="475" customFormat="1" x14ac:dyDescent="0.2">
      <c r="B708" s="250"/>
      <c r="C708" s="250"/>
      <c r="D708" s="250"/>
      <c r="E708" s="250"/>
      <c r="F708" s="250"/>
      <c r="G708" s="250"/>
      <c r="H708" s="250"/>
      <c r="I708" s="250"/>
      <c r="J708" s="250"/>
      <c r="K708" s="250"/>
      <c r="L708" s="250"/>
      <c r="M708" s="250"/>
      <c r="N708" s="250"/>
      <c r="O708" s="250"/>
      <c r="P708" s="250"/>
      <c r="Q708" s="250"/>
      <c r="R708" s="250"/>
      <c r="S708" s="250"/>
      <c r="T708" s="250"/>
      <c r="U708" s="250"/>
      <c r="V708" s="250"/>
      <c r="W708" s="250"/>
      <c r="X708" s="250"/>
      <c r="Y708" s="250"/>
      <c r="Z708" s="250"/>
      <c r="AA708" s="250"/>
      <c r="AB708" s="250"/>
      <c r="AC708" s="250"/>
      <c r="AD708" s="250"/>
      <c r="AE708" s="250"/>
      <c r="AF708" s="250"/>
      <c r="AG708" s="250"/>
      <c r="AH708" s="250"/>
      <c r="AI708" s="250"/>
      <c r="AJ708" s="250"/>
      <c r="AK708" s="250"/>
      <c r="AL708" s="250"/>
      <c r="AM708" s="250"/>
      <c r="AN708" s="250"/>
      <c r="AO708" s="250"/>
      <c r="AP708" s="250"/>
      <c r="AQ708" s="250"/>
      <c r="AR708" s="250"/>
      <c r="AS708" s="250"/>
      <c r="AT708" s="250"/>
      <c r="AU708" s="250"/>
      <c r="AV708" s="124"/>
    </row>
    <row r="709" spans="2:48" s="475" customFormat="1" x14ac:dyDescent="0.2">
      <c r="B709" s="250"/>
      <c r="C709" s="250"/>
      <c r="D709" s="250"/>
      <c r="E709" s="250"/>
      <c r="F709" s="250"/>
      <c r="G709" s="250"/>
      <c r="H709" s="250"/>
      <c r="I709" s="250"/>
      <c r="J709" s="250"/>
      <c r="K709" s="250"/>
      <c r="L709" s="250"/>
      <c r="M709" s="250"/>
      <c r="N709" s="250"/>
      <c r="O709" s="250"/>
      <c r="P709" s="250"/>
      <c r="Q709" s="250"/>
      <c r="R709" s="250"/>
      <c r="S709" s="250"/>
      <c r="T709" s="250"/>
      <c r="U709" s="250"/>
      <c r="V709" s="250"/>
      <c r="W709" s="250"/>
      <c r="X709" s="250"/>
      <c r="Y709" s="250"/>
      <c r="Z709" s="250"/>
      <c r="AA709" s="250"/>
      <c r="AB709" s="250"/>
      <c r="AC709" s="250"/>
      <c r="AD709" s="250"/>
      <c r="AE709" s="250"/>
      <c r="AF709" s="250"/>
      <c r="AG709" s="250"/>
      <c r="AH709" s="250"/>
      <c r="AI709" s="250"/>
      <c r="AJ709" s="250"/>
      <c r="AK709" s="250"/>
      <c r="AL709" s="250"/>
      <c r="AM709" s="250"/>
      <c r="AN709" s="250"/>
      <c r="AO709" s="250"/>
      <c r="AP709" s="250"/>
      <c r="AQ709" s="250"/>
      <c r="AR709" s="250"/>
      <c r="AS709" s="250"/>
      <c r="AT709" s="250"/>
      <c r="AU709" s="250"/>
      <c r="AV709" s="124"/>
    </row>
    <row r="710" spans="2:48" s="475" customFormat="1" x14ac:dyDescent="0.2">
      <c r="B710" s="250"/>
      <c r="C710" s="250"/>
      <c r="D710" s="250"/>
      <c r="E710" s="250"/>
      <c r="F710" s="250"/>
      <c r="G710" s="250"/>
      <c r="H710" s="250"/>
      <c r="I710" s="250"/>
      <c r="J710" s="250"/>
      <c r="K710" s="250"/>
      <c r="L710" s="250"/>
      <c r="M710" s="250"/>
      <c r="N710" s="250"/>
      <c r="O710" s="250"/>
      <c r="P710" s="250"/>
      <c r="Q710" s="250"/>
      <c r="R710" s="250"/>
      <c r="S710" s="250"/>
      <c r="T710" s="250"/>
      <c r="U710" s="250"/>
      <c r="V710" s="250"/>
      <c r="W710" s="250"/>
      <c r="X710" s="250"/>
      <c r="Y710" s="250"/>
      <c r="Z710" s="250"/>
      <c r="AA710" s="250"/>
      <c r="AB710" s="250"/>
      <c r="AC710" s="250"/>
      <c r="AD710" s="250"/>
      <c r="AE710" s="250"/>
      <c r="AF710" s="250"/>
      <c r="AG710" s="250"/>
      <c r="AH710" s="250"/>
      <c r="AI710" s="250"/>
      <c r="AJ710" s="250"/>
      <c r="AK710" s="250"/>
      <c r="AL710" s="250"/>
      <c r="AM710" s="250"/>
      <c r="AN710" s="250"/>
      <c r="AO710" s="250"/>
      <c r="AP710" s="250"/>
      <c r="AQ710" s="250"/>
      <c r="AR710" s="250"/>
      <c r="AS710" s="250"/>
      <c r="AT710" s="250"/>
      <c r="AU710" s="250"/>
      <c r="AV710" s="124"/>
    </row>
    <row r="711" spans="2:48" s="475" customFormat="1" x14ac:dyDescent="0.2">
      <c r="B711" s="250"/>
      <c r="C711" s="250"/>
      <c r="D711" s="250"/>
      <c r="E711" s="250"/>
      <c r="F711" s="250"/>
      <c r="G711" s="250"/>
      <c r="H711" s="250"/>
      <c r="I711" s="250"/>
      <c r="J711" s="250"/>
      <c r="K711" s="250"/>
      <c r="L711" s="250"/>
      <c r="M711" s="250"/>
      <c r="N711" s="250"/>
      <c r="O711" s="250"/>
      <c r="P711" s="250"/>
      <c r="Q711" s="250"/>
      <c r="R711" s="250"/>
      <c r="S711" s="250"/>
      <c r="T711" s="250"/>
      <c r="U711" s="250"/>
      <c r="V711" s="250"/>
      <c r="W711" s="250"/>
      <c r="X711" s="250"/>
      <c r="Y711" s="250"/>
      <c r="Z711" s="250"/>
      <c r="AA711" s="250"/>
      <c r="AB711" s="250"/>
      <c r="AC711" s="250"/>
      <c r="AD711" s="250"/>
      <c r="AE711" s="250"/>
      <c r="AF711" s="250"/>
      <c r="AG711" s="250"/>
      <c r="AH711" s="250"/>
      <c r="AI711" s="250"/>
      <c r="AJ711" s="250"/>
      <c r="AK711" s="250"/>
      <c r="AL711" s="250"/>
      <c r="AM711" s="250"/>
      <c r="AN711" s="250"/>
      <c r="AO711" s="250"/>
      <c r="AP711" s="250"/>
      <c r="AQ711" s="250"/>
      <c r="AR711" s="250"/>
      <c r="AS711" s="250"/>
      <c r="AT711" s="250"/>
      <c r="AU711" s="250"/>
      <c r="AV711" s="124"/>
    </row>
    <row r="712" spans="2:48" s="475" customFormat="1" x14ac:dyDescent="0.2">
      <c r="B712" s="250"/>
      <c r="C712" s="250"/>
      <c r="D712" s="250"/>
      <c r="E712" s="250"/>
      <c r="F712" s="250"/>
      <c r="G712" s="250"/>
      <c r="H712" s="250"/>
      <c r="I712" s="250"/>
      <c r="J712" s="250"/>
      <c r="K712" s="250"/>
      <c r="L712" s="250"/>
      <c r="M712" s="250"/>
      <c r="N712" s="250"/>
      <c r="O712" s="250"/>
      <c r="P712" s="250"/>
      <c r="Q712" s="250"/>
      <c r="R712" s="250"/>
      <c r="S712" s="250"/>
      <c r="T712" s="250"/>
      <c r="U712" s="250"/>
      <c r="V712" s="250"/>
      <c r="W712" s="250"/>
      <c r="X712" s="250"/>
      <c r="Y712" s="250"/>
      <c r="Z712" s="250"/>
      <c r="AA712" s="250"/>
      <c r="AB712" s="250"/>
      <c r="AC712" s="250"/>
      <c r="AD712" s="250"/>
      <c r="AE712" s="250"/>
      <c r="AF712" s="250"/>
      <c r="AG712" s="250"/>
      <c r="AH712" s="250"/>
      <c r="AI712" s="250"/>
      <c r="AJ712" s="250"/>
      <c r="AK712" s="250"/>
      <c r="AL712" s="250"/>
      <c r="AM712" s="250"/>
      <c r="AN712" s="250"/>
      <c r="AO712" s="250"/>
      <c r="AP712" s="250"/>
      <c r="AQ712" s="250"/>
      <c r="AR712" s="250"/>
      <c r="AS712" s="250"/>
      <c r="AT712" s="250"/>
      <c r="AU712" s="250"/>
      <c r="AV712" s="124"/>
    </row>
    <row r="713" spans="2:48" s="475" customFormat="1" x14ac:dyDescent="0.2">
      <c r="B713" s="250"/>
      <c r="C713" s="250"/>
      <c r="D713" s="250"/>
      <c r="E713" s="250"/>
      <c r="F713" s="250"/>
      <c r="G713" s="250"/>
      <c r="H713" s="250"/>
      <c r="I713" s="250"/>
      <c r="J713" s="250"/>
      <c r="K713" s="250"/>
      <c r="L713" s="250"/>
      <c r="M713" s="250"/>
      <c r="N713" s="250"/>
      <c r="O713" s="250"/>
      <c r="P713" s="250"/>
      <c r="Q713" s="250"/>
      <c r="R713" s="250"/>
      <c r="S713" s="250"/>
      <c r="T713" s="250"/>
      <c r="U713" s="250"/>
      <c r="V713" s="250"/>
      <c r="W713" s="250"/>
      <c r="X713" s="250"/>
      <c r="Y713" s="250"/>
      <c r="Z713" s="250"/>
      <c r="AA713" s="250"/>
      <c r="AB713" s="250"/>
      <c r="AC713" s="250"/>
      <c r="AD713" s="250"/>
      <c r="AE713" s="250"/>
      <c r="AF713" s="250"/>
      <c r="AG713" s="250"/>
      <c r="AH713" s="250"/>
      <c r="AI713" s="250"/>
      <c r="AJ713" s="250"/>
      <c r="AK713" s="250"/>
      <c r="AL713" s="250"/>
      <c r="AM713" s="250"/>
      <c r="AN713" s="250"/>
      <c r="AO713" s="250"/>
      <c r="AP713" s="250"/>
      <c r="AQ713" s="250"/>
      <c r="AR713" s="250"/>
      <c r="AS713" s="250"/>
      <c r="AT713" s="250"/>
      <c r="AU713" s="250"/>
      <c r="AV713" s="124"/>
    </row>
    <row r="714" spans="2:48" s="475" customFormat="1" x14ac:dyDescent="0.2">
      <c r="B714" s="250"/>
      <c r="C714" s="250"/>
      <c r="D714" s="250"/>
      <c r="E714" s="250"/>
      <c r="F714" s="250"/>
      <c r="G714" s="250"/>
      <c r="H714" s="250"/>
      <c r="I714" s="250"/>
      <c r="J714" s="250"/>
      <c r="K714" s="250"/>
      <c r="L714" s="250"/>
      <c r="M714" s="250"/>
      <c r="N714" s="250"/>
      <c r="O714" s="250"/>
      <c r="P714" s="250"/>
      <c r="Q714" s="250"/>
      <c r="R714" s="250"/>
      <c r="S714" s="250"/>
      <c r="T714" s="250"/>
      <c r="U714" s="250"/>
      <c r="V714" s="250"/>
      <c r="W714" s="250"/>
      <c r="X714" s="250"/>
      <c r="Y714" s="250"/>
      <c r="Z714" s="250"/>
      <c r="AA714" s="250"/>
      <c r="AB714" s="250"/>
      <c r="AC714" s="250"/>
      <c r="AD714" s="250"/>
      <c r="AE714" s="250"/>
      <c r="AF714" s="250"/>
      <c r="AG714" s="250"/>
      <c r="AH714" s="250"/>
      <c r="AI714" s="250"/>
      <c r="AJ714" s="250"/>
      <c r="AK714" s="250"/>
      <c r="AL714" s="250"/>
      <c r="AM714" s="250"/>
      <c r="AN714" s="250"/>
      <c r="AO714" s="250"/>
      <c r="AP714" s="250"/>
      <c r="AQ714" s="250"/>
      <c r="AR714" s="250"/>
      <c r="AS714" s="250"/>
      <c r="AT714" s="250"/>
      <c r="AU714" s="250"/>
      <c r="AV714" s="124"/>
    </row>
    <row r="715" spans="2:48" s="475" customFormat="1" x14ac:dyDescent="0.2">
      <c r="B715" s="250"/>
      <c r="C715" s="250"/>
      <c r="D715" s="250"/>
      <c r="E715" s="250"/>
      <c r="F715" s="250"/>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124"/>
    </row>
    <row r="716" spans="2:48" s="475" customFormat="1" x14ac:dyDescent="0.2">
      <c r="B716" s="250"/>
      <c r="C716" s="250"/>
      <c r="D716" s="250"/>
      <c r="E716" s="250"/>
      <c r="F716" s="250"/>
      <c r="G716" s="250"/>
      <c r="H716" s="250"/>
      <c r="I716" s="250"/>
      <c r="J716" s="250"/>
      <c r="K716" s="250"/>
      <c r="L716" s="250"/>
      <c r="M716" s="250"/>
      <c r="N716" s="250"/>
      <c r="O716" s="250"/>
      <c r="P716" s="250"/>
      <c r="Q716" s="250"/>
      <c r="R716" s="250"/>
      <c r="S716" s="250"/>
      <c r="T716" s="250"/>
      <c r="U716" s="250"/>
      <c r="V716" s="250"/>
      <c r="W716" s="250"/>
      <c r="X716" s="250"/>
      <c r="Y716" s="250"/>
      <c r="Z716" s="250"/>
      <c r="AA716" s="250"/>
      <c r="AB716" s="250"/>
      <c r="AC716" s="250"/>
      <c r="AD716" s="250"/>
      <c r="AE716" s="250"/>
      <c r="AF716" s="250"/>
      <c r="AG716" s="250"/>
      <c r="AH716" s="250"/>
      <c r="AI716" s="250"/>
      <c r="AJ716" s="250"/>
      <c r="AK716" s="250"/>
      <c r="AL716" s="250"/>
      <c r="AM716" s="250"/>
      <c r="AN716" s="250"/>
      <c r="AO716" s="250"/>
      <c r="AP716" s="250"/>
      <c r="AQ716" s="250"/>
      <c r="AR716" s="250"/>
      <c r="AS716" s="250"/>
      <c r="AT716" s="250"/>
      <c r="AU716" s="250"/>
      <c r="AV716" s="124"/>
    </row>
    <row r="717" spans="2:48" s="475" customFormat="1" x14ac:dyDescent="0.2">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c r="AA717" s="250"/>
      <c r="AB717" s="250"/>
      <c r="AC717" s="250"/>
      <c r="AD717" s="250"/>
      <c r="AE717" s="250"/>
      <c r="AF717" s="250"/>
      <c r="AG717" s="250"/>
      <c r="AH717" s="250"/>
      <c r="AI717" s="250"/>
      <c r="AJ717" s="250"/>
      <c r="AK717" s="250"/>
      <c r="AL717" s="250"/>
      <c r="AM717" s="250"/>
      <c r="AN717" s="250"/>
      <c r="AO717" s="250"/>
      <c r="AP717" s="250"/>
      <c r="AQ717" s="250"/>
      <c r="AR717" s="250"/>
      <c r="AS717" s="250"/>
      <c r="AT717" s="250"/>
      <c r="AU717" s="250"/>
      <c r="AV717" s="124"/>
    </row>
    <row r="718" spans="2:48" s="475" customFormat="1" ht="13.5" thickBot="1" x14ac:dyDescent="0.25">
      <c r="B718" s="250"/>
      <c r="C718" s="250"/>
      <c r="D718" s="250"/>
      <c r="E718" s="250"/>
      <c r="F718" s="250"/>
      <c r="G718" s="250"/>
      <c r="H718" s="250"/>
      <c r="I718" s="250"/>
      <c r="J718" s="250"/>
      <c r="K718" s="250"/>
      <c r="L718" s="250"/>
      <c r="M718" s="250"/>
      <c r="N718" s="250"/>
      <c r="O718" s="250"/>
      <c r="P718" s="250"/>
      <c r="Q718" s="250"/>
      <c r="R718" s="250"/>
      <c r="S718" s="250"/>
      <c r="T718" s="250"/>
      <c r="U718" s="250"/>
      <c r="V718" s="250"/>
      <c r="W718" s="250"/>
      <c r="X718" s="250"/>
      <c r="Y718" s="250"/>
      <c r="Z718" s="250"/>
      <c r="AA718" s="250"/>
      <c r="AB718" s="250"/>
      <c r="AC718" s="250"/>
      <c r="AD718" s="250"/>
      <c r="AE718" s="250"/>
      <c r="AF718" s="250"/>
      <c r="AG718" s="250"/>
      <c r="AH718" s="250"/>
      <c r="AI718" s="250"/>
      <c r="AJ718" s="250"/>
      <c r="AK718" s="250"/>
      <c r="AL718" s="250"/>
      <c r="AM718" s="250"/>
      <c r="AN718" s="250"/>
      <c r="AO718" s="250"/>
      <c r="AP718" s="250"/>
      <c r="AQ718" s="250"/>
      <c r="AR718" s="250"/>
      <c r="AS718" s="250"/>
      <c r="AT718" s="250"/>
      <c r="AU718" s="250"/>
      <c r="AV718" s="124"/>
    </row>
    <row r="719" spans="2:48" ht="19.5" customHeight="1" x14ac:dyDescent="0.2">
      <c r="B719" s="250"/>
      <c r="C719" s="1395" t="s">
        <v>1346</v>
      </c>
      <c r="D719" s="1396"/>
      <c r="E719" s="1396"/>
      <c r="F719" s="1396"/>
      <c r="G719" s="1396"/>
      <c r="H719" s="1396"/>
      <c r="I719" s="1396"/>
      <c r="J719" s="1396"/>
      <c r="K719" s="1396"/>
      <c r="L719" s="1396"/>
      <c r="M719" s="1396"/>
      <c r="N719" s="1396"/>
      <c r="O719" s="1396"/>
      <c r="P719" s="1396"/>
      <c r="Q719" s="1397"/>
      <c r="R719" s="250"/>
      <c r="S719" s="250"/>
      <c r="T719" s="250"/>
      <c r="U719" s="250"/>
      <c r="V719" s="250"/>
      <c r="W719" s="250"/>
      <c r="X719" s="250"/>
      <c r="Y719" s="250"/>
      <c r="Z719" s="250"/>
      <c r="AA719" s="250"/>
      <c r="AB719" s="250"/>
      <c r="AC719" s="250"/>
      <c r="AD719" s="250"/>
      <c r="AE719" s="250"/>
      <c r="AF719" s="250"/>
      <c r="AG719" s="250"/>
      <c r="AH719" s="250"/>
      <c r="AI719" s="250"/>
      <c r="AJ719" s="250"/>
      <c r="AK719" s="250"/>
      <c r="AL719" s="250"/>
      <c r="AM719" s="250"/>
      <c r="AN719" s="250"/>
      <c r="AO719" s="250"/>
      <c r="AP719" s="250"/>
      <c r="AQ719" s="250"/>
      <c r="AR719" s="250"/>
      <c r="AS719" s="250"/>
      <c r="AT719" s="250"/>
      <c r="AU719" s="250"/>
      <c r="AV719" s="124"/>
    </row>
    <row r="720" spans="2:48" ht="12.75" customHeight="1" thickBot="1" x14ac:dyDescent="0.25">
      <c r="B720" s="250"/>
      <c r="C720" s="1398"/>
      <c r="D720" s="1399"/>
      <c r="E720" s="1399"/>
      <c r="F720" s="1399"/>
      <c r="G720" s="1399"/>
      <c r="H720" s="1399"/>
      <c r="I720" s="1399"/>
      <c r="J720" s="1399"/>
      <c r="K720" s="1399"/>
      <c r="L720" s="1399"/>
      <c r="M720" s="1399"/>
      <c r="N720" s="1399"/>
      <c r="O720" s="1399"/>
      <c r="P720" s="1399"/>
      <c r="Q720" s="1400"/>
      <c r="R720" s="250"/>
      <c r="S720" s="250"/>
      <c r="T720" s="250"/>
      <c r="U720" s="250"/>
      <c r="V720" s="250"/>
      <c r="W720" s="250"/>
      <c r="X720" s="250"/>
      <c r="Y720" s="250"/>
      <c r="Z720" s="250"/>
      <c r="AA720" s="250"/>
      <c r="AB720" s="250"/>
      <c r="AC720" s="250"/>
      <c r="AD720" s="250"/>
      <c r="AE720" s="250"/>
      <c r="AF720" s="250"/>
      <c r="AG720" s="250"/>
      <c r="AH720" s="250"/>
      <c r="AI720" s="250"/>
      <c r="AJ720" s="250"/>
      <c r="AK720" s="250"/>
      <c r="AL720" s="250"/>
      <c r="AM720" s="250"/>
      <c r="AN720" s="250"/>
      <c r="AO720" s="250"/>
      <c r="AP720" s="250"/>
      <c r="AQ720" s="250"/>
      <c r="AR720" s="250"/>
      <c r="AS720" s="250"/>
      <c r="AT720" s="250"/>
      <c r="AU720" s="250"/>
      <c r="AV720" s="124"/>
    </row>
    <row r="721" spans="2:48" x14ac:dyDescent="0.2">
      <c r="B721" s="250"/>
      <c r="C721" s="149"/>
      <c r="D721" s="165"/>
      <c r="E721" s="165"/>
      <c r="F721" s="165"/>
      <c r="G721" s="165"/>
      <c r="H721" s="165"/>
      <c r="I721" s="165"/>
      <c r="J721" s="165"/>
      <c r="K721" s="165"/>
      <c r="L721" s="165"/>
      <c r="M721" s="165"/>
      <c r="N721" s="165"/>
      <c r="O721" s="165"/>
      <c r="P721" s="165"/>
      <c r="Q721" s="151"/>
      <c r="R721" s="250"/>
      <c r="S721" s="250"/>
      <c r="T721" s="250"/>
      <c r="U721" s="250"/>
      <c r="V721" s="250"/>
      <c r="W721" s="250"/>
      <c r="X721" s="250"/>
      <c r="Y721" s="250"/>
      <c r="Z721" s="250"/>
      <c r="AA721" s="250"/>
      <c r="AB721" s="250"/>
      <c r="AC721" s="250"/>
      <c r="AD721" s="250"/>
      <c r="AE721" s="250"/>
      <c r="AF721" s="250"/>
      <c r="AG721" s="250"/>
      <c r="AH721" s="250"/>
      <c r="AI721" s="250"/>
      <c r="AJ721" s="250"/>
      <c r="AK721" s="250"/>
      <c r="AL721" s="250"/>
      <c r="AM721" s="250"/>
      <c r="AN721" s="250"/>
      <c r="AO721" s="250"/>
      <c r="AP721" s="250"/>
      <c r="AQ721" s="250"/>
      <c r="AR721" s="250"/>
      <c r="AS721" s="250"/>
      <c r="AT721" s="250"/>
      <c r="AU721" s="250"/>
      <c r="AV721" s="124"/>
    </row>
    <row r="722" spans="2:48" ht="18" x14ac:dyDescent="0.25">
      <c r="B722" s="250"/>
      <c r="C722" s="149"/>
      <c r="D722" s="150"/>
      <c r="E722" s="150"/>
      <c r="F722" s="153" t="s">
        <v>741</v>
      </c>
      <c r="G722" s="150"/>
      <c r="H722" s="150"/>
      <c r="I722" s="150"/>
      <c r="J722" s="150"/>
      <c r="K722" s="150"/>
      <c r="L722" s="150"/>
      <c r="M722" s="150"/>
      <c r="N722" s="150"/>
      <c r="O722" s="150"/>
      <c r="P722" s="150"/>
      <c r="Q722" s="151"/>
      <c r="R722" s="250"/>
      <c r="S722" s="250"/>
      <c r="T722" s="250"/>
      <c r="U722" s="250"/>
      <c r="V722" s="250"/>
      <c r="W722" s="250"/>
      <c r="X722" s="250"/>
      <c r="Y722" s="250"/>
      <c r="Z722" s="250"/>
      <c r="AA722" s="250"/>
      <c r="AB722" s="250"/>
      <c r="AC722" s="250"/>
      <c r="AD722" s="250"/>
      <c r="AE722" s="250"/>
      <c r="AF722" s="250"/>
      <c r="AG722" s="250"/>
      <c r="AH722" s="250"/>
      <c r="AI722" s="250"/>
      <c r="AJ722" s="250"/>
      <c r="AK722" s="250"/>
      <c r="AL722" s="250"/>
      <c r="AM722" s="250"/>
      <c r="AN722" s="250"/>
      <c r="AO722" s="250"/>
      <c r="AP722" s="250"/>
      <c r="AQ722" s="250"/>
      <c r="AR722" s="250"/>
      <c r="AS722" s="250"/>
      <c r="AT722" s="250"/>
      <c r="AU722" s="250"/>
      <c r="AV722" s="124"/>
    </row>
    <row r="723" spans="2:48" ht="18" x14ac:dyDescent="0.25">
      <c r="B723" s="250"/>
      <c r="C723" s="152"/>
      <c r="D723" s="154"/>
      <c r="E723" s="153"/>
      <c r="F723" s="159" t="s">
        <v>742</v>
      </c>
      <c r="G723" s="154"/>
      <c r="H723" s="154"/>
      <c r="I723" s="154"/>
      <c r="J723" s="154"/>
      <c r="K723" s="154"/>
      <c r="L723" s="154"/>
      <c r="M723" s="154"/>
      <c r="N723" s="154"/>
      <c r="O723" s="154"/>
      <c r="P723" s="154"/>
      <c r="Q723" s="155"/>
      <c r="R723" s="250"/>
      <c r="S723" s="250"/>
      <c r="T723" s="250"/>
      <c r="U723" s="250"/>
      <c r="V723" s="250"/>
      <c r="W723" s="250"/>
      <c r="X723" s="250"/>
      <c r="Y723" s="250"/>
      <c r="Z723" s="250"/>
      <c r="AA723" s="250"/>
      <c r="AB723" s="250"/>
      <c r="AC723" s="250"/>
      <c r="AD723" s="250"/>
      <c r="AE723" s="250"/>
      <c r="AF723" s="250"/>
      <c r="AG723" s="250"/>
      <c r="AH723" s="250"/>
      <c r="AI723" s="250"/>
      <c r="AJ723" s="250"/>
      <c r="AK723" s="250"/>
      <c r="AL723" s="250"/>
      <c r="AM723" s="250"/>
      <c r="AN723" s="250"/>
      <c r="AO723" s="250"/>
      <c r="AP723" s="250"/>
      <c r="AQ723" s="250"/>
      <c r="AR723" s="250"/>
      <c r="AS723" s="250"/>
      <c r="AT723" s="250"/>
      <c r="AU723" s="250"/>
      <c r="AV723" s="124"/>
    </row>
    <row r="724" spans="2:48" ht="18.75" thickBot="1" x14ac:dyDescent="0.3">
      <c r="B724" s="250"/>
      <c r="C724" s="152"/>
      <c r="D724" s="154"/>
      <c r="E724" s="156"/>
      <c r="F724" s="153"/>
      <c r="G724" s="154"/>
      <c r="H724" s="154"/>
      <c r="I724" s="154"/>
      <c r="J724" s="154"/>
      <c r="K724" s="154"/>
      <c r="L724" s="154"/>
      <c r="M724" s="154"/>
      <c r="N724" s="154"/>
      <c r="O724" s="154"/>
      <c r="P724" s="154"/>
      <c r="Q724" s="155"/>
      <c r="R724" s="250"/>
      <c r="S724" s="250"/>
      <c r="T724" s="250"/>
      <c r="U724" s="250"/>
      <c r="V724" s="250"/>
      <c r="W724" s="250"/>
      <c r="X724" s="250"/>
      <c r="Y724" s="250"/>
      <c r="Z724" s="250"/>
      <c r="AA724" s="250"/>
      <c r="AB724" s="250"/>
      <c r="AC724" s="250"/>
      <c r="AD724" s="250"/>
      <c r="AE724" s="250"/>
      <c r="AF724" s="250"/>
      <c r="AG724" s="250"/>
      <c r="AH724" s="250"/>
      <c r="AI724" s="250"/>
      <c r="AJ724" s="250"/>
      <c r="AK724" s="250"/>
      <c r="AL724" s="250"/>
      <c r="AM724" s="250"/>
      <c r="AN724" s="250"/>
      <c r="AO724" s="250"/>
      <c r="AP724" s="250"/>
      <c r="AQ724" s="250"/>
      <c r="AR724" s="250"/>
      <c r="AS724" s="250"/>
      <c r="AT724" s="250"/>
      <c r="AU724" s="250"/>
      <c r="AV724" s="124"/>
    </row>
    <row r="725" spans="2:48" ht="18.75" thickBot="1" x14ac:dyDescent="0.3">
      <c r="B725" s="250"/>
      <c r="C725" s="152"/>
      <c r="D725" s="154"/>
      <c r="E725" s="156"/>
      <c r="F725" s="1282" t="s">
        <v>753</v>
      </c>
      <c r="G725" s="1283"/>
      <c r="H725" s="1283"/>
      <c r="I725" s="1283"/>
      <c r="J725" s="1283"/>
      <c r="K725" s="1283"/>
      <c r="L725" s="1283"/>
      <c r="M725" s="1283"/>
      <c r="N725" s="1283"/>
      <c r="O725" s="1283"/>
      <c r="P725" s="1284"/>
      <c r="Q725" s="155"/>
      <c r="R725" s="250"/>
      <c r="S725" s="250"/>
      <c r="T725" s="250"/>
      <c r="U725" s="250"/>
      <c r="V725" s="250"/>
      <c r="W725" s="250"/>
      <c r="X725" s="250"/>
      <c r="Y725" s="250"/>
      <c r="Z725" s="250"/>
      <c r="AA725" s="250"/>
      <c r="AB725" s="250"/>
      <c r="AC725" s="250"/>
      <c r="AD725" s="250"/>
      <c r="AE725" s="250"/>
      <c r="AF725" s="250"/>
      <c r="AG725" s="250"/>
      <c r="AH725" s="250"/>
      <c r="AI725" s="250"/>
      <c r="AJ725" s="250"/>
      <c r="AK725" s="250"/>
      <c r="AL725" s="250"/>
      <c r="AM725" s="250"/>
      <c r="AN725" s="250"/>
      <c r="AO725" s="250"/>
      <c r="AP725" s="250"/>
      <c r="AQ725" s="250"/>
      <c r="AR725" s="250"/>
      <c r="AS725" s="250"/>
      <c r="AT725" s="250"/>
      <c r="AU725" s="250"/>
      <c r="AV725" s="124"/>
    </row>
    <row r="726" spans="2:48" ht="15" x14ac:dyDescent="0.2">
      <c r="B726" s="250"/>
      <c r="C726" s="152"/>
      <c r="D726" s="154"/>
      <c r="E726" s="156"/>
      <c r="F726" s="156" t="s">
        <v>1349</v>
      </c>
      <c r="G726" s="154"/>
      <c r="H726" s="154"/>
      <c r="I726" s="154"/>
      <c r="J726" s="154"/>
      <c r="K726" s="154"/>
      <c r="L726" s="154"/>
      <c r="M726" s="154"/>
      <c r="N726" s="154"/>
      <c r="O726" s="154"/>
      <c r="P726" s="154"/>
      <c r="Q726" s="155"/>
      <c r="R726" s="250"/>
      <c r="S726" s="250"/>
      <c r="T726" s="250"/>
      <c r="U726" s="250"/>
      <c r="V726" s="250"/>
      <c r="W726" s="250"/>
      <c r="X726" s="250"/>
      <c r="Y726" s="250"/>
      <c r="Z726" s="250"/>
      <c r="AA726" s="250"/>
      <c r="AB726" s="250"/>
      <c r="AC726" s="250"/>
      <c r="AD726" s="250"/>
      <c r="AE726" s="250"/>
      <c r="AF726" s="250"/>
      <c r="AG726" s="250"/>
      <c r="AH726" s="250"/>
      <c r="AI726" s="250"/>
      <c r="AJ726" s="250"/>
      <c r="AK726" s="250"/>
      <c r="AL726" s="250"/>
      <c r="AM726" s="250"/>
      <c r="AN726" s="250"/>
      <c r="AO726" s="250"/>
      <c r="AP726" s="250"/>
      <c r="AQ726" s="250"/>
      <c r="AR726" s="250"/>
      <c r="AS726" s="250"/>
      <c r="AT726" s="250"/>
      <c r="AU726" s="250"/>
      <c r="AV726" s="124"/>
    </row>
    <row r="727" spans="2:48" ht="15" x14ac:dyDescent="0.2">
      <c r="B727" s="250"/>
      <c r="C727" s="152"/>
      <c r="D727" s="154"/>
      <c r="E727" s="156"/>
      <c r="F727" s="163" t="s">
        <v>1347</v>
      </c>
      <c r="G727" s="154"/>
      <c r="H727" s="154"/>
      <c r="I727" s="154"/>
      <c r="J727" s="154"/>
      <c r="K727" s="154"/>
      <c r="L727" s="154"/>
      <c r="M727" s="154"/>
      <c r="N727" s="154"/>
      <c r="O727" s="154"/>
      <c r="P727" s="154"/>
      <c r="Q727" s="155"/>
      <c r="R727" s="250"/>
      <c r="S727" s="250"/>
      <c r="T727" s="250"/>
      <c r="U727" s="250"/>
      <c r="V727" s="250"/>
      <c r="W727" s="250"/>
      <c r="X727" s="250"/>
      <c r="Y727" s="250"/>
      <c r="Z727" s="250"/>
      <c r="AA727" s="250"/>
      <c r="AB727" s="250"/>
      <c r="AC727" s="250"/>
      <c r="AD727" s="250"/>
      <c r="AE727" s="250"/>
      <c r="AF727" s="250"/>
      <c r="AG727" s="250"/>
      <c r="AH727" s="250"/>
      <c r="AI727" s="250"/>
      <c r="AJ727" s="250"/>
      <c r="AK727" s="250"/>
      <c r="AL727" s="250"/>
      <c r="AM727" s="250"/>
      <c r="AN727" s="250"/>
      <c r="AO727" s="250"/>
      <c r="AP727" s="250"/>
      <c r="AQ727" s="250"/>
      <c r="AR727" s="250"/>
      <c r="AS727" s="250"/>
      <c r="AT727" s="250"/>
      <c r="AU727" s="250"/>
      <c r="AV727" s="124"/>
    </row>
    <row r="728" spans="2:48" ht="15" x14ac:dyDescent="0.2">
      <c r="B728" s="250"/>
      <c r="C728" s="152"/>
      <c r="D728" s="154"/>
      <c r="E728" s="156"/>
      <c r="F728" s="163" t="s">
        <v>1348</v>
      </c>
      <c r="G728" s="154"/>
      <c r="H728" s="154"/>
      <c r="I728" s="154"/>
      <c r="J728" s="154"/>
      <c r="K728" s="154"/>
      <c r="L728" s="154"/>
      <c r="M728" s="154"/>
      <c r="N728" s="154"/>
      <c r="O728" s="154"/>
      <c r="P728" s="154"/>
      <c r="Q728" s="155"/>
      <c r="R728" s="250"/>
      <c r="S728" s="250"/>
      <c r="T728" s="250"/>
      <c r="U728" s="250"/>
      <c r="V728" s="250"/>
      <c r="W728" s="250"/>
      <c r="X728" s="250"/>
      <c r="Y728" s="250"/>
      <c r="Z728" s="250"/>
      <c r="AA728" s="250"/>
      <c r="AB728" s="250"/>
      <c r="AC728" s="250"/>
      <c r="AD728" s="250"/>
      <c r="AE728" s="250"/>
      <c r="AF728" s="250"/>
      <c r="AG728" s="250"/>
      <c r="AH728" s="250"/>
      <c r="AI728" s="250"/>
      <c r="AJ728" s="250"/>
      <c r="AK728" s="250"/>
      <c r="AL728" s="250"/>
      <c r="AM728" s="250"/>
      <c r="AN728" s="250"/>
      <c r="AO728" s="250"/>
      <c r="AP728" s="250"/>
      <c r="AQ728" s="250"/>
      <c r="AR728" s="250"/>
      <c r="AS728" s="250"/>
      <c r="AT728" s="250"/>
      <c r="AU728" s="250"/>
      <c r="AV728" s="124"/>
    </row>
    <row r="729" spans="2:48" ht="8.1" customHeight="1" x14ac:dyDescent="0.2">
      <c r="B729" s="250"/>
      <c r="C729" s="152"/>
      <c r="D729" s="154"/>
      <c r="E729" s="156"/>
      <c r="F729" s="163"/>
      <c r="G729" s="154"/>
      <c r="H729" s="154"/>
      <c r="I729" s="154"/>
      <c r="J729" s="154"/>
      <c r="K729" s="154"/>
      <c r="L729" s="154"/>
      <c r="M729" s="154"/>
      <c r="N729" s="154"/>
      <c r="O729" s="154"/>
      <c r="P729" s="154"/>
      <c r="Q729" s="155"/>
      <c r="R729" s="250"/>
      <c r="S729" s="250"/>
      <c r="T729" s="250"/>
      <c r="U729" s="250"/>
      <c r="V729" s="250"/>
      <c r="W729" s="250"/>
      <c r="X729" s="250"/>
      <c r="Y729" s="250"/>
      <c r="Z729" s="250"/>
      <c r="AA729" s="250"/>
      <c r="AB729" s="250"/>
      <c r="AC729" s="250"/>
      <c r="AD729" s="250"/>
      <c r="AE729" s="250"/>
      <c r="AF729" s="250"/>
      <c r="AG729" s="250"/>
      <c r="AH729" s="250"/>
      <c r="AI729" s="250"/>
      <c r="AJ729" s="250"/>
      <c r="AK729" s="250"/>
      <c r="AL729" s="250"/>
      <c r="AM729" s="250"/>
      <c r="AN729" s="250"/>
      <c r="AO729" s="250"/>
      <c r="AP729" s="250"/>
      <c r="AQ729" s="250"/>
      <c r="AR729" s="250"/>
      <c r="AS729" s="250"/>
      <c r="AT729" s="250"/>
      <c r="AU729" s="250"/>
      <c r="AV729" s="124"/>
    </row>
    <row r="730" spans="2:48" ht="15" x14ac:dyDescent="0.2">
      <c r="B730" s="250"/>
      <c r="C730" s="152"/>
      <c r="D730" s="154"/>
      <c r="E730" s="156"/>
      <c r="F730" s="908" t="s">
        <v>1496</v>
      </c>
      <c r="G730" s="154"/>
      <c r="H730" s="1277" t="s">
        <v>1352</v>
      </c>
      <c r="I730" s="154"/>
      <c r="J730" s="154"/>
      <c r="K730" s="154"/>
      <c r="L730" s="154"/>
      <c r="M730" s="154"/>
      <c r="N730" s="154"/>
      <c r="O730" s="154"/>
      <c r="P730" s="154"/>
      <c r="Q730" s="155"/>
      <c r="R730" s="250"/>
      <c r="S730" s="250"/>
      <c r="T730" s="250"/>
      <c r="U730" s="250"/>
      <c r="V730" s="250"/>
      <c r="W730" s="250"/>
      <c r="X730" s="250"/>
      <c r="Y730" s="250"/>
      <c r="Z730" s="250"/>
      <c r="AA730" s="250"/>
      <c r="AB730" s="250"/>
      <c r="AC730" s="250"/>
      <c r="AD730" s="250"/>
      <c r="AE730" s="250"/>
      <c r="AF730" s="250"/>
      <c r="AG730" s="250"/>
      <c r="AH730" s="250"/>
      <c r="AI730" s="250"/>
      <c r="AJ730" s="250"/>
      <c r="AK730" s="250"/>
      <c r="AL730" s="250"/>
      <c r="AM730" s="250"/>
      <c r="AN730" s="250"/>
      <c r="AO730" s="250"/>
      <c r="AP730" s="250"/>
      <c r="AQ730" s="250"/>
      <c r="AR730" s="250"/>
      <c r="AS730" s="250"/>
      <c r="AT730" s="250"/>
      <c r="AU730" s="250"/>
      <c r="AV730" s="124"/>
    </row>
    <row r="731" spans="2:48" ht="15" x14ac:dyDescent="0.2">
      <c r="B731" s="250"/>
      <c r="C731" s="152"/>
      <c r="D731" s="154"/>
      <c r="E731" s="156"/>
      <c r="F731" s="1278" t="s">
        <v>744</v>
      </c>
      <c r="G731" s="154"/>
      <c r="H731" s="1277"/>
      <c r="I731" s="154"/>
      <c r="J731" s="154"/>
      <c r="K731" s="154"/>
      <c r="L731" s="154"/>
      <c r="M731" s="154"/>
      <c r="N731" s="154"/>
      <c r="O731" s="154"/>
      <c r="P731" s="154"/>
      <c r="Q731" s="155"/>
      <c r="R731" s="250"/>
      <c r="S731" s="250"/>
      <c r="T731" s="250"/>
      <c r="U731" s="250"/>
      <c r="V731" s="250"/>
      <c r="W731" s="250"/>
      <c r="X731" s="250"/>
      <c r="Y731" s="250"/>
      <c r="Z731" s="250"/>
      <c r="AA731" s="250"/>
      <c r="AB731" s="250"/>
      <c r="AC731" s="250"/>
      <c r="AD731" s="250"/>
      <c r="AE731" s="250"/>
      <c r="AF731" s="250"/>
      <c r="AG731" s="250"/>
      <c r="AH731" s="250"/>
      <c r="AI731" s="250"/>
      <c r="AJ731" s="250"/>
      <c r="AK731" s="250"/>
      <c r="AL731" s="250"/>
      <c r="AM731" s="250"/>
      <c r="AN731" s="250"/>
      <c r="AO731" s="250"/>
      <c r="AP731" s="250"/>
      <c r="AQ731" s="250"/>
      <c r="AR731" s="250"/>
      <c r="AS731" s="250"/>
      <c r="AT731" s="250"/>
      <c r="AU731" s="250"/>
      <c r="AV731" s="124"/>
    </row>
    <row r="732" spans="2:48" ht="15" x14ac:dyDescent="0.2">
      <c r="B732" s="250"/>
      <c r="C732" s="152"/>
      <c r="D732" s="154"/>
      <c r="E732" s="156"/>
      <c r="F732" s="163" t="s">
        <v>745</v>
      </c>
      <c r="G732" s="154"/>
      <c r="H732" s="154"/>
      <c r="I732" s="154"/>
      <c r="J732" s="154"/>
      <c r="K732" s="154"/>
      <c r="L732" s="154"/>
      <c r="M732" s="154"/>
      <c r="N732" s="154"/>
      <c r="O732" s="154"/>
      <c r="P732" s="154"/>
      <c r="Q732" s="155"/>
      <c r="R732" s="250"/>
      <c r="S732" s="250"/>
      <c r="T732" s="250"/>
      <c r="U732" s="250"/>
      <c r="V732" s="250"/>
      <c r="W732" s="250"/>
      <c r="X732" s="250"/>
      <c r="Y732" s="250"/>
      <c r="Z732" s="250"/>
      <c r="AA732" s="250"/>
      <c r="AB732" s="250"/>
      <c r="AC732" s="250"/>
      <c r="AD732" s="250"/>
      <c r="AE732" s="250"/>
      <c r="AF732" s="250"/>
      <c r="AG732" s="250"/>
      <c r="AH732" s="250"/>
      <c r="AI732" s="250"/>
      <c r="AJ732" s="250"/>
      <c r="AK732" s="250"/>
      <c r="AL732" s="250"/>
      <c r="AM732" s="250"/>
      <c r="AN732" s="250"/>
      <c r="AO732" s="250"/>
      <c r="AP732" s="250"/>
      <c r="AQ732" s="250"/>
      <c r="AR732" s="250"/>
      <c r="AS732" s="250"/>
      <c r="AT732" s="250"/>
      <c r="AU732" s="250"/>
      <c r="AV732" s="124"/>
    </row>
    <row r="733" spans="2:48" ht="15" x14ac:dyDescent="0.2">
      <c r="B733" s="250"/>
      <c r="C733" s="152"/>
      <c r="D733" s="154"/>
      <c r="E733" s="156"/>
      <c r="F733" s="163" t="s">
        <v>1350</v>
      </c>
      <c r="G733" s="154"/>
      <c r="H733" s="154"/>
      <c r="I733" s="154"/>
      <c r="J733" s="154"/>
      <c r="K733" s="154"/>
      <c r="L733" s="154"/>
      <c r="M733" s="154"/>
      <c r="N733" s="154"/>
      <c r="O733" s="154"/>
      <c r="P733" s="154"/>
      <c r="Q733" s="155"/>
      <c r="R733" s="250"/>
      <c r="S733" s="250"/>
      <c r="T733" s="250"/>
      <c r="U733" s="250"/>
      <c r="V733" s="250"/>
      <c r="W733" s="250"/>
      <c r="X733" s="250"/>
      <c r="Y733" s="250"/>
      <c r="Z733" s="250"/>
      <c r="AA733" s="250"/>
      <c r="AB733" s="250"/>
      <c r="AC733" s="250"/>
      <c r="AD733" s="250"/>
      <c r="AE733" s="250"/>
      <c r="AF733" s="250"/>
      <c r="AG733" s="250"/>
      <c r="AH733" s="250"/>
      <c r="AI733" s="250"/>
      <c r="AJ733" s="250"/>
      <c r="AK733" s="250"/>
      <c r="AL733" s="250"/>
      <c r="AM733" s="250"/>
      <c r="AN733" s="250"/>
      <c r="AO733" s="250"/>
      <c r="AP733" s="250"/>
      <c r="AQ733" s="250"/>
      <c r="AR733" s="250"/>
      <c r="AS733" s="250"/>
      <c r="AT733" s="250"/>
      <c r="AU733" s="250"/>
      <c r="AV733" s="124"/>
    </row>
    <row r="734" spans="2:48" ht="15" x14ac:dyDescent="0.2">
      <c r="B734" s="250"/>
      <c r="C734" s="152"/>
      <c r="D734" s="154"/>
      <c r="E734" s="156"/>
      <c r="F734" s="156" t="s">
        <v>1351</v>
      </c>
      <c r="G734" s="154"/>
      <c r="H734" s="154"/>
      <c r="I734" s="154"/>
      <c r="J734" s="154"/>
      <c r="K734" s="154"/>
      <c r="L734" s="154"/>
      <c r="M734" s="154"/>
      <c r="N734" s="154"/>
      <c r="O734" s="154"/>
      <c r="P734" s="154"/>
      <c r="Q734" s="155"/>
      <c r="R734" s="250"/>
      <c r="S734" s="250"/>
      <c r="T734" s="250"/>
      <c r="U734" s="250"/>
      <c r="V734" s="250"/>
      <c r="W734" s="250"/>
      <c r="X734" s="250"/>
      <c r="Y734" s="250"/>
      <c r="Z734" s="250"/>
      <c r="AA734" s="250"/>
      <c r="AB734" s="250"/>
      <c r="AC734" s="250"/>
      <c r="AD734" s="250"/>
      <c r="AE734" s="250"/>
      <c r="AF734" s="250"/>
      <c r="AG734" s="250"/>
      <c r="AH734" s="250"/>
      <c r="AI734" s="250"/>
      <c r="AJ734" s="250"/>
      <c r="AK734" s="250"/>
      <c r="AL734" s="250"/>
      <c r="AM734" s="250"/>
      <c r="AN734" s="250"/>
      <c r="AO734" s="250"/>
      <c r="AP734" s="250"/>
      <c r="AQ734" s="250"/>
      <c r="AR734" s="250"/>
      <c r="AS734" s="250"/>
      <c r="AT734" s="250"/>
      <c r="AU734" s="250"/>
      <c r="AV734" s="124"/>
    </row>
    <row r="735" spans="2:48" ht="18" x14ac:dyDescent="0.25">
      <c r="B735" s="250"/>
      <c r="C735" s="152"/>
      <c r="D735" s="154"/>
      <c r="E735" s="156"/>
      <c r="F735" s="153"/>
      <c r="G735" s="154"/>
      <c r="H735" s="154"/>
      <c r="I735" s="154"/>
      <c r="J735" s="154"/>
      <c r="K735" s="154"/>
      <c r="L735" s="154"/>
      <c r="M735" s="154"/>
      <c r="N735" s="154"/>
      <c r="O735" s="154"/>
      <c r="P735" s="154"/>
      <c r="Q735" s="155"/>
      <c r="R735" s="250"/>
      <c r="S735" s="250"/>
      <c r="T735" s="250"/>
      <c r="U735" s="250"/>
      <c r="V735" s="250"/>
      <c r="W735" s="250"/>
      <c r="X735" s="250"/>
      <c r="Y735" s="250"/>
      <c r="Z735" s="250"/>
      <c r="AA735" s="250"/>
      <c r="AB735" s="250"/>
      <c r="AC735" s="250"/>
      <c r="AD735" s="250"/>
      <c r="AE735" s="250"/>
      <c r="AF735" s="250"/>
      <c r="AG735" s="250"/>
      <c r="AH735" s="250"/>
      <c r="AI735" s="250"/>
      <c r="AJ735" s="250"/>
      <c r="AK735" s="250"/>
      <c r="AL735" s="250"/>
      <c r="AM735" s="250"/>
      <c r="AN735" s="250"/>
      <c r="AO735" s="250"/>
      <c r="AP735" s="250"/>
      <c r="AQ735" s="250"/>
      <c r="AR735" s="250"/>
      <c r="AS735" s="250"/>
      <c r="AT735" s="250"/>
      <c r="AU735" s="250"/>
      <c r="AV735" s="124"/>
    </row>
    <row r="736" spans="2:48" ht="18" x14ac:dyDescent="0.25">
      <c r="B736" s="250"/>
      <c r="C736" s="152"/>
      <c r="D736" s="154"/>
      <c r="E736" s="156"/>
      <c r="F736" s="153"/>
      <c r="G736" s="154"/>
      <c r="H736" s="154"/>
      <c r="I736" s="154"/>
      <c r="J736" s="154"/>
      <c r="K736" s="154"/>
      <c r="L736" s="154"/>
      <c r="M736" s="154"/>
      <c r="N736" s="154"/>
      <c r="O736" s="154"/>
      <c r="P736" s="154"/>
      <c r="Q736" s="155"/>
      <c r="R736" s="250"/>
      <c r="S736" s="250"/>
      <c r="T736" s="250"/>
      <c r="U736" s="250"/>
      <c r="V736" s="250"/>
      <c r="W736" s="250"/>
      <c r="X736" s="250"/>
      <c r="Y736" s="250"/>
      <c r="Z736" s="250"/>
      <c r="AA736" s="250"/>
      <c r="AB736" s="250"/>
      <c r="AC736" s="250"/>
      <c r="AD736" s="250"/>
      <c r="AE736" s="250"/>
      <c r="AF736" s="250"/>
      <c r="AG736" s="250"/>
      <c r="AH736" s="250"/>
      <c r="AI736" s="250"/>
      <c r="AJ736" s="250"/>
      <c r="AK736" s="250"/>
      <c r="AL736" s="250"/>
      <c r="AM736" s="250"/>
      <c r="AN736" s="250"/>
      <c r="AO736" s="250"/>
      <c r="AP736" s="250"/>
      <c r="AQ736" s="250"/>
      <c r="AR736" s="250"/>
      <c r="AS736" s="250"/>
      <c r="AT736" s="250"/>
      <c r="AU736" s="250"/>
      <c r="AV736" s="124"/>
    </row>
    <row r="737" spans="2:48" ht="18" x14ac:dyDescent="0.25">
      <c r="B737" s="250"/>
      <c r="C737" s="152"/>
      <c r="D737" s="154"/>
      <c r="E737" s="156"/>
      <c r="F737" s="153"/>
      <c r="G737" s="154"/>
      <c r="H737" s="154"/>
      <c r="I737" s="154"/>
      <c r="J737" s="154"/>
      <c r="K737" s="154"/>
      <c r="L737" s="154"/>
      <c r="M737" s="154"/>
      <c r="N737" s="154"/>
      <c r="O737" s="154"/>
      <c r="P737" s="154"/>
      <c r="Q737" s="155"/>
      <c r="R737" s="250"/>
      <c r="S737" s="250"/>
      <c r="T737" s="250"/>
      <c r="U737" s="250"/>
      <c r="V737" s="250"/>
      <c r="W737" s="250"/>
      <c r="X737" s="250"/>
      <c r="Y737" s="250"/>
      <c r="Z737" s="250"/>
      <c r="AA737" s="250"/>
      <c r="AB737" s="250"/>
      <c r="AC737" s="250"/>
      <c r="AD737" s="250"/>
      <c r="AE737" s="250"/>
      <c r="AF737" s="250"/>
      <c r="AG737" s="250"/>
      <c r="AH737" s="250"/>
      <c r="AI737" s="250"/>
      <c r="AJ737" s="250"/>
      <c r="AK737" s="250"/>
      <c r="AL737" s="250"/>
      <c r="AM737" s="250"/>
      <c r="AN737" s="250"/>
      <c r="AO737" s="250"/>
      <c r="AP737" s="250"/>
      <c r="AQ737" s="250"/>
      <c r="AR737" s="250"/>
      <c r="AS737" s="250"/>
      <c r="AT737" s="250"/>
      <c r="AU737" s="250"/>
      <c r="AV737" s="124"/>
    </row>
    <row r="738" spans="2:48" ht="9" customHeight="1" x14ac:dyDescent="0.25">
      <c r="B738" s="250"/>
      <c r="C738" s="152"/>
      <c r="D738" s="154"/>
      <c r="E738" s="156"/>
      <c r="F738" s="153"/>
      <c r="G738" s="154"/>
      <c r="H738" s="154"/>
      <c r="I738" s="154"/>
      <c r="J738" s="154"/>
      <c r="K738" s="154"/>
      <c r="L738" s="154"/>
      <c r="M738" s="154"/>
      <c r="N738" s="154"/>
      <c r="O738" s="154"/>
      <c r="P738" s="154"/>
      <c r="Q738" s="155"/>
      <c r="R738" s="250"/>
      <c r="S738" s="250"/>
      <c r="T738" s="250"/>
      <c r="U738" s="250"/>
      <c r="V738" s="250"/>
      <c r="W738" s="250"/>
      <c r="X738" s="250"/>
      <c r="Y738" s="250"/>
      <c r="Z738" s="250"/>
      <c r="AA738" s="250"/>
      <c r="AB738" s="250"/>
      <c r="AC738" s="250"/>
      <c r="AD738" s="250"/>
      <c r="AE738" s="250"/>
      <c r="AF738" s="250"/>
      <c r="AG738" s="250"/>
      <c r="AH738" s="250"/>
      <c r="AI738" s="250"/>
      <c r="AJ738" s="250"/>
      <c r="AK738" s="250"/>
      <c r="AL738" s="250"/>
      <c r="AM738" s="250"/>
      <c r="AN738" s="250"/>
      <c r="AO738" s="250"/>
      <c r="AP738" s="250"/>
      <c r="AQ738" s="250"/>
      <c r="AR738" s="250"/>
      <c r="AS738" s="250"/>
      <c r="AT738" s="250"/>
      <c r="AU738" s="250"/>
      <c r="AV738" s="124"/>
    </row>
    <row r="739" spans="2:48" ht="8.1" customHeight="1" x14ac:dyDescent="0.25">
      <c r="B739" s="250"/>
      <c r="C739" s="152"/>
      <c r="D739" s="154"/>
      <c r="E739" s="156"/>
      <c r="F739" s="153"/>
      <c r="G739" s="154"/>
      <c r="H739" s="154"/>
      <c r="I739" s="154"/>
      <c r="J739" s="154"/>
      <c r="K739" s="154"/>
      <c r="L739" s="154"/>
      <c r="M739" s="154"/>
      <c r="N739" s="154"/>
      <c r="O739" s="154"/>
      <c r="P739" s="154"/>
      <c r="Q739" s="155"/>
      <c r="R739" s="250"/>
      <c r="S739" s="250"/>
      <c r="T739" s="250"/>
      <c r="U739" s="250"/>
      <c r="V739" s="250"/>
      <c r="W739" s="250"/>
      <c r="X739" s="250"/>
      <c r="Y739" s="250"/>
      <c r="Z739" s="250"/>
      <c r="AA739" s="250"/>
      <c r="AB739" s="250"/>
      <c r="AC739" s="250"/>
      <c r="AD739" s="250"/>
      <c r="AE739" s="250"/>
      <c r="AF739" s="250"/>
      <c r="AG739" s="250"/>
      <c r="AH739" s="250"/>
      <c r="AI739" s="250"/>
      <c r="AJ739" s="250"/>
      <c r="AK739" s="250"/>
      <c r="AL739" s="250"/>
      <c r="AM739" s="250"/>
      <c r="AN739" s="250"/>
      <c r="AO739" s="250"/>
      <c r="AP739" s="250"/>
      <c r="AQ739" s="250"/>
      <c r="AR739" s="250"/>
      <c r="AS739" s="250"/>
      <c r="AT739" s="250"/>
      <c r="AU739" s="250"/>
      <c r="AV739" s="124"/>
    </row>
    <row r="740" spans="2:48" ht="15" x14ac:dyDescent="0.2">
      <c r="B740" s="250"/>
      <c r="C740" s="152"/>
      <c r="D740" s="154"/>
      <c r="E740" s="156"/>
      <c r="F740" s="909" t="s">
        <v>660</v>
      </c>
      <c r="G740" s="154"/>
      <c r="H740" s="1279" t="s">
        <v>737</v>
      </c>
      <c r="I740" s="154"/>
      <c r="J740" s="154"/>
      <c r="K740" s="154"/>
      <c r="L740" s="154"/>
      <c r="M740" s="154"/>
      <c r="N740" s="154"/>
      <c r="O740" s="154"/>
      <c r="P740" s="154"/>
      <c r="Q740" s="155"/>
      <c r="R740" s="250"/>
      <c r="S740" s="250"/>
      <c r="T740" s="250"/>
      <c r="U740" s="250"/>
      <c r="V740" s="250"/>
      <c r="W740" s="250"/>
      <c r="X740" s="250"/>
      <c r="Y740" s="250"/>
      <c r="Z740" s="250"/>
      <c r="AA740" s="250"/>
      <c r="AB740" s="250"/>
      <c r="AC740" s="250"/>
      <c r="AD740" s="250"/>
      <c r="AE740" s="250"/>
      <c r="AF740" s="250"/>
      <c r="AG740" s="250"/>
      <c r="AH740" s="250"/>
      <c r="AI740" s="250"/>
      <c r="AJ740" s="250"/>
      <c r="AK740" s="250"/>
      <c r="AL740" s="250"/>
      <c r="AM740" s="250"/>
      <c r="AN740" s="250"/>
      <c r="AO740" s="250"/>
      <c r="AP740" s="250"/>
      <c r="AQ740" s="250"/>
      <c r="AR740" s="250"/>
      <c r="AS740" s="250"/>
      <c r="AT740" s="250"/>
      <c r="AU740" s="250"/>
      <c r="AV740" s="124"/>
    </row>
    <row r="741" spans="2:48" ht="15" x14ac:dyDescent="0.2">
      <c r="B741" s="250"/>
      <c r="C741" s="152"/>
      <c r="D741" s="154"/>
      <c r="E741" s="156"/>
      <c r="F741" s="1278" t="s">
        <v>746</v>
      </c>
      <c r="G741" s="154"/>
      <c r="H741" s="154"/>
      <c r="I741" s="154"/>
      <c r="J741" s="154"/>
      <c r="K741" s="154"/>
      <c r="L741" s="154"/>
      <c r="M741" s="154"/>
      <c r="N741" s="154"/>
      <c r="O741" s="154"/>
      <c r="P741" s="154"/>
      <c r="Q741" s="155"/>
      <c r="R741" s="250"/>
      <c r="S741" s="250"/>
      <c r="T741" s="250"/>
      <c r="U741" s="250"/>
      <c r="V741" s="250"/>
      <c r="W741" s="250"/>
      <c r="X741" s="250"/>
      <c r="Y741" s="250"/>
      <c r="Z741" s="250"/>
      <c r="AA741" s="250"/>
      <c r="AB741" s="250"/>
      <c r="AC741" s="250"/>
      <c r="AD741" s="250"/>
      <c r="AE741" s="250"/>
      <c r="AF741" s="250"/>
      <c r="AG741" s="250"/>
      <c r="AH741" s="250"/>
      <c r="AI741" s="250"/>
      <c r="AJ741" s="250"/>
      <c r="AK741" s="250"/>
      <c r="AL741" s="250"/>
      <c r="AM741" s="250"/>
      <c r="AN741" s="250"/>
      <c r="AO741" s="250"/>
      <c r="AP741" s="250"/>
      <c r="AQ741" s="250"/>
      <c r="AR741" s="250"/>
      <c r="AS741" s="250"/>
      <c r="AT741" s="250"/>
      <c r="AU741" s="250"/>
      <c r="AV741" s="124"/>
    </row>
    <row r="742" spans="2:48" ht="15" x14ac:dyDescent="0.2">
      <c r="B742" s="250"/>
      <c r="C742" s="152"/>
      <c r="D742" s="154"/>
      <c r="E742" s="156"/>
      <c r="F742" s="163" t="s">
        <v>735</v>
      </c>
      <c r="G742" s="154"/>
      <c r="H742" s="154"/>
      <c r="I742" s="154"/>
      <c r="J742" s="154"/>
      <c r="K742" s="154"/>
      <c r="L742" s="154"/>
      <c r="M742" s="154"/>
      <c r="N742" s="154"/>
      <c r="O742" s="154"/>
      <c r="P742" s="154"/>
      <c r="Q742" s="155"/>
      <c r="R742" s="250"/>
      <c r="S742" s="250"/>
      <c r="T742" s="250"/>
      <c r="U742" s="250"/>
      <c r="V742" s="250"/>
      <c r="W742" s="250"/>
      <c r="X742" s="250"/>
      <c r="Y742" s="250"/>
      <c r="Z742" s="250"/>
      <c r="AA742" s="250"/>
      <c r="AB742" s="250"/>
      <c r="AC742" s="250"/>
      <c r="AD742" s="250"/>
      <c r="AE742" s="250"/>
      <c r="AF742" s="250"/>
      <c r="AG742" s="250"/>
      <c r="AH742" s="250"/>
      <c r="AI742" s="250"/>
      <c r="AJ742" s="250"/>
      <c r="AK742" s="250"/>
      <c r="AL742" s="250"/>
      <c r="AM742" s="250"/>
      <c r="AN742" s="250"/>
      <c r="AO742" s="250"/>
      <c r="AP742" s="250"/>
      <c r="AQ742" s="250"/>
      <c r="AR742" s="250"/>
      <c r="AS742" s="250"/>
      <c r="AT742" s="250"/>
      <c r="AU742" s="250"/>
      <c r="AV742" s="124"/>
    </row>
    <row r="743" spans="2:48" ht="15" x14ac:dyDescent="0.2">
      <c r="B743" s="250"/>
      <c r="C743" s="152"/>
      <c r="D743" s="154"/>
      <c r="E743" s="156"/>
      <c r="F743" s="163" t="s">
        <v>736</v>
      </c>
      <c r="G743" s="154"/>
      <c r="H743" s="154"/>
      <c r="I743" s="154"/>
      <c r="J743" s="154"/>
      <c r="K743" s="154"/>
      <c r="L743" s="154"/>
      <c r="M743" s="154"/>
      <c r="N743" s="154"/>
      <c r="O743" s="154"/>
      <c r="P743" s="154"/>
      <c r="Q743" s="155"/>
      <c r="R743" s="250"/>
      <c r="S743" s="250"/>
      <c r="T743" s="250"/>
      <c r="U743" s="250"/>
      <c r="V743" s="250"/>
      <c r="W743" s="250"/>
      <c r="X743" s="250"/>
      <c r="Y743" s="250"/>
      <c r="Z743" s="250"/>
      <c r="AA743" s="250"/>
      <c r="AB743" s="250"/>
      <c r="AC743" s="250"/>
      <c r="AD743" s="250"/>
      <c r="AE743" s="250"/>
      <c r="AF743" s="250"/>
      <c r="AG743" s="250"/>
      <c r="AH743" s="250"/>
      <c r="AI743" s="250"/>
      <c r="AJ743" s="250"/>
      <c r="AK743" s="250"/>
      <c r="AL743" s="250"/>
      <c r="AM743" s="250"/>
      <c r="AN743" s="250"/>
      <c r="AO743" s="250"/>
      <c r="AP743" s="250"/>
      <c r="AQ743" s="250"/>
      <c r="AR743" s="250"/>
      <c r="AS743" s="250"/>
      <c r="AT743" s="250"/>
      <c r="AU743" s="250"/>
      <c r="AV743" s="124"/>
    </row>
    <row r="744" spans="2:48" ht="8.1" customHeight="1" x14ac:dyDescent="0.2">
      <c r="B744" s="250"/>
      <c r="C744" s="152"/>
      <c r="D744" s="154"/>
      <c r="E744" s="156"/>
      <c r="F744" s="163"/>
      <c r="G744" s="154"/>
      <c r="H744" s="154"/>
      <c r="I744" s="154"/>
      <c r="J744" s="154"/>
      <c r="K744" s="154"/>
      <c r="L744" s="154"/>
      <c r="M744" s="154"/>
      <c r="N744" s="154"/>
      <c r="O744" s="154"/>
      <c r="P744" s="154"/>
      <c r="Q744" s="155"/>
      <c r="R744" s="250"/>
      <c r="S744" s="250"/>
      <c r="T744" s="250"/>
      <c r="U744" s="250"/>
      <c r="V744" s="250"/>
      <c r="W744" s="250"/>
      <c r="X744" s="250"/>
      <c r="Y744" s="250"/>
      <c r="Z744" s="250"/>
      <c r="AA744" s="250"/>
      <c r="AB744" s="250"/>
      <c r="AC744" s="250"/>
      <c r="AD744" s="250"/>
      <c r="AE744" s="250"/>
      <c r="AF744" s="250"/>
      <c r="AG744" s="250"/>
      <c r="AH744" s="250"/>
      <c r="AI744" s="250"/>
      <c r="AJ744" s="250"/>
      <c r="AK744" s="250"/>
      <c r="AL744" s="250"/>
      <c r="AM744" s="250"/>
      <c r="AN744" s="250"/>
      <c r="AO744" s="250"/>
      <c r="AP744" s="250"/>
      <c r="AQ744" s="250"/>
      <c r="AR744" s="250"/>
      <c r="AS744" s="250"/>
      <c r="AT744" s="250"/>
      <c r="AU744" s="250"/>
      <c r="AV744" s="124"/>
    </row>
    <row r="745" spans="2:48" ht="15" x14ac:dyDescent="0.2">
      <c r="B745" s="250"/>
      <c r="C745" s="152"/>
      <c r="D745" s="154"/>
      <c r="E745" s="156"/>
      <c r="F745" s="909" t="s">
        <v>129</v>
      </c>
      <c r="G745" s="154"/>
      <c r="H745" s="1279" t="s">
        <v>1149</v>
      </c>
      <c r="I745" s="154"/>
      <c r="J745" s="154"/>
      <c r="K745" s="154"/>
      <c r="L745" s="154"/>
      <c r="M745" s="154"/>
      <c r="N745" s="154"/>
      <c r="O745" s="154"/>
      <c r="P745" s="154"/>
      <c r="Q745" s="155"/>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c r="AN745" s="250"/>
      <c r="AO745" s="250"/>
      <c r="AP745" s="250"/>
      <c r="AQ745" s="250"/>
      <c r="AR745" s="250"/>
      <c r="AS745" s="250"/>
      <c r="AT745" s="250"/>
      <c r="AU745" s="250"/>
      <c r="AV745" s="124"/>
    </row>
    <row r="746" spans="2:48" ht="15" x14ac:dyDescent="0.2">
      <c r="B746" s="250"/>
      <c r="C746" s="152"/>
      <c r="D746" s="154"/>
      <c r="E746" s="156"/>
      <c r="F746" s="1278" t="s">
        <v>747</v>
      </c>
      <c r="G746" s="154"/>
      <c r="H746" s="154"/>
      <c r="I746" s="154"/>
      <c r="J746" s="154"/>
      <c r="K746" s="154"/>
      <c r="L746" s="154"/>
      <c r="M746" s="154"/>
      <c r="N746" s="154"/>
      <c r="O746" s="154"/>
      <c r="P746" s="154"/>
      <c r="Q746" s="155"/>
      <c r="R746" s="250"/>
      <c r="S746" s="250"/>
      <c r="T746" s="250"/>
      <c r="U746" s="250"/>
      <c r="V746" s="250"/>
      <c r="W746" s="250"/>
      <c r="X746" s="250"/>
      <c r="Y746" s="250"/>
      <c r="Z746" s="250"/>
      <c r="AA746" s="250"/>
      <c r="AB746" s="250"/>
      <c r="AC746" s="250"/>
      <c r="AD746" s="250"/>
      <c r="AE746" s="250"/>
      <c r="AF746" s="250"/>
      <c r="AG746" s="250"/>
      <c r="AH746" s="250"/>
      <c r="AI746" s="250"/>
      <c r="AJ746" s="250"/>
      <c r="AK746" s="250"/>
      <c r="AL746" s="250"/>
      <c r="AM746" s="250"/>
      <c r="AN746" s="250"/>
      <c r="AO746" s="250"/>
      <c r="AP746" s="250"/>
      <c r="AQ746" s="250"/>
      <c r="AR746" s="250"/>
      <c r="AS746" s="250"/>
      <c r="AT746" s="250"/>
      <c r="AU746" s="250"/>
      <c r="AV746" s="124"/>
    </row>
    <row r="747" spans="2:48" ht="15" x14ac:dyDescent="0.2">
      <c r="B747" s="250"/>
      <c r="C747" s="152"/>
      <c r="D747" s="154"/>
      <c r="E747" s="156"/>
      <c r="F747" s="156" t="s">
        <v>748</v>
      </c>
      <c r="G747" s="154"/>
      <c r="H747" s="154"/>
      <c r="I747" s="154"/>
      <c r="J747" s="154"/>
      <c r="K747" s="154"/>
      <c r="L747" s="154"/>
      <c r="M747" s="154"/>
      <c r="N747" s="154"/>
      <c r="O747" s="154"/>
      <c r="P747" s="154"/>
      <c r="Q747" s="155"/>
      <c r="R747" s="250"/>
      <c r="S747" s="250"/>
      <c r="T747" s="250"/>
      <c r="U747" s="250"/>
      <c r="V747" s="250"/>
      <c r="W747" s="250"/>
      <c r="X747" s="250"/>
      <c r="Y747" s="250"/>
      <c r="Z747" s="250"/>
      <c r="AA747" s="250"/>
      <c r="AB747" s="250"/>
      <c r="AC747" s="250"/>
      <c r="AD747" s="250"/>
      <c r="AE747" s="250"/>
      <c r="AF747" s="250"/>
      <c r="AG747" s="250"/>
      <c r="AH747" s="250"/>
      <c r="AI747" s="250"/>
      <c r="AJ747" s="250"/>
      <c r="AK747" s="250"/>
      <c r="AL747" s="250"/>
      <c r="AM747" s="250"/>
      <c r="AN747" s="250"/>
      <c r="AO747" s="250"/>
      <c r="AP747" s="250"/>
      <c r="AQ747" s="250"/>
      <c r="AR747" s="250"/>
      <c r="AS747" s="250"/>
      <c r="AT747" s="250"/>
      <c r="AU747" s="250"/>
      <c r="AV747" s="124"/>
    </row>
    <row r="748" spans="2:48" ht="18.75" thickBot="1" x14ac:dyDescent="0.3">
      <c r="B748" s="250"/>
      <c r="C748" s="152"/>
      <c r="D748" s="154"/>
      <c r="E748" s="156"/>
      <c r="F748" s="153"/>
      <c r="G748" s="154"/>
      <c r="H748" s="154"/>
      <c r="I748" s="154"/>
      <c r="J748" s="154"/>
      <c r="K748" s="154"/>
      <c r="L748" s="154"/>
      <c r="M748" s="154"/>
      <c r="N748" s="154"/>
      <c r="O748" s="154"/>
      <c r="P748" s="154"/>
      <c r="Q748" s="155"/>
      <c r="R748" s="250"/>
      <c r="S748" s="250"/>
      <c r="T748" s="250"/>
      <c r="U748" s="250"/>
      <c r="V748" s="250"/>
      <c r="W748" s="250"/>
      <c r="X748" s="250"/>
      <c r="Y748" s="250"/>
      <c r="Z748" s="250"/>
      <c r="AA748" s="250"/>
      <c r="AB748" s="250"/>
      <c r="AC748" s="250"/>
      <c r="AD748" s="250"/>
      <c r="AE748" s="250"/>
      <c r="AF748" s="250"/>
      <c r="AG748" s="250"/>
      <c r="AH748" s="250"/>
      <c r="AI748" s="250"/>
      <c r="AJ748" s="250"/>
      <c r="AK748" s="250"/>
      <c r="AL748" s="250"/>
      <c r="AM748" s="250"/>
      <c r="AN748" s="250"/>
      <c r="AO748" s="250"/>
      <c r="AP748" s="250"/>
      <c r="AQ748" s="250"/>
      <c r="AR748" s="250"/>
      <c r="AS748" s="250"/>
      <c r="AT748" s="250"/>
      <c r="AU748" s="250"/>
      <c r="AV748" s="124"/>
    </row>
    <row r="749" spans="2:48" ht="18.75" thickBot="1" x14ac:dyDescent="0.3">
      <c r="B749" s="250"/>
      <c r="C749" s="152"/>
      <c r="D749" s="154"/>
      <c r="E749" s="156"/>
      <c r="F749" s="1282" t="s">
        <v>754</v>
      </c>
      <c r="G749" s="1283"/>
      <c r="H749" s="1283"/>
      <c r="I749" s="1283"/>
      <c r="J749" s="1283"/>
      <c r="K749" s="1283"/>
      <c r="L749" s="1283"/>
      <c r="M749" s="1283"/>
      <c r="N749" s="1283"/>
      <c r="O749" s="1283"/>
      <c r="P749" s="1284"/>
      <c r="Q749" s="155"/>
      <c r="R749" s="250"/>
      <c r="S749" s="250"/>
      <c r="T749" s="250"/>
      <c r="U749" s="250"/>
      <c r="V749" s="250"/>
      <c r="W749" s="250"/>
      <c r="X749" s="250"/>
      <c r="Y749" s="250"/>
      <c r="Z749" s="250"/>
      <c r="AA749" s="250"/>
      <c r="AB749" s="250"/>
      <c r="AC749" s="250"/>
      <c r="AD749" s="250"/>
      <c r="AE749" s="250"/>
      <c r="AF749" s="250"/>
      <c r="AG749" s="250"/>
      <c r="AH749" s="250"/>
      <c r="AI749" s="250"/>
      <c r="AJ749" s="250"/>
      <c r="AK749" s="250"/>
      <c r="AL749" s="250"/>
      <c r="AM749" s="250"/>
      <c r="AN749" s="250"/>
      <c r="AO749" s="250"/>
      <c r="AP749" s="250"/>
      <c r="AQ749" s="250"/>
      <c r="AR749" s="250"/>
      <c r="AS749" s="250"/>
      <c r="AT749" s="250"/>
      <c r="AU749" s="250"/>
      <c r="AV749" s="124"/>
    </row>
    <row r="750" spans="2:48" ht="15" x14ac:dyDescent="0.2">
      <c r="B750" s="250"/>
      <c r="C750" s="152"/>
      <c r="D750" s="154"/>
      <c r="E750" s="156"/>
      <c r="F750" s="163" t="s">
        <v>749</v>
      </c>
      <c r="G750" s="1222"/>
      <c r="H750" s="1222"/>
      <c r="I750" s="1222"/>
      <c r="J750" s="1222"/>
      <c r="K750" s="1222"/>
      <c r="L750" s="1222"/>
      <c r="M750" s="1222"/>
      <c r="N750" s="1222"/>
      <c r="O750" s="1222"/>
      <c r="P750" s="1222"/>
      <c r="Q750" s="155"/>
      <c r="R750" s="250"/>
      <c r="S750" s="250"/>
      <c r="T750" s="250"/>
      <c r="U750" s="250"/>
      <c r="V750" s="250"/>
      <c r="W750" s="250"/>
      <c r="X750" s="250"/>
      <c r="Y750" s="250"/>
      <c r="Z750" s="250"/>
      <c r="AA750" s="250"/>
      <c r="AB750" s="250"/>
      <c r="AC750" s="250"/>
      <c r="AD750" s="250"/>
      <c r="AE750" s="250"/>
      <c r="AF750" s="250"/>
      <c r="AG750" s="250"/>
      <c r="AH750" s="250"/>
      <c r="AI750" s="250"/>
      <c r="AJ750" s="250"/>
      <c r="AK750" s="250"/>
      <c r="AL750" s="250"/>
      <c r="AM750" s="250"/>
      <c r="AN750" s="250"/>
      <c r="AO750" s="250"/>
      <c r="AP750" s="250"/>
      <c r="AQ750" s="250"/>
      <c r="AR750" s="250"/>
      <c r="AS750" s="250"/>
      <c r="AT750" s="250"/>
      <c r="AU750" s="250"/>
      <c r="AV750" s="124"/>
    </row>
    <row r="751" spans="2:48" ht="15" x14ac:dyDescent="0.2">
      <c r="B751" s="250"/>
      <c r="C751" s="152"/>
      <c r="D751" s="154"/>
      <c r="E751" s="156"/>
      <c r="F751" s="163" t="s">
        <v>750</v>
      </c>
      <c r="G751" s="1222"/>
      <c r="H751" s="1222"/>
      <c r="I751" s="1222"/>
      <c r="J751" s="1222"/>
      <c r="K751" s="1222"/>
      <c r="L751" s="1222"/>
      <c r="M751" s="1222"/>
      <c r="N751" s="1222"/>
      <c r="O751" s="1222"/>
      <c r="P751" s="1222"/>
      <c r="Q751" s="155"/>
      <c r="R751" s="250"/>
      <c r="S751" s="250"/>
      <c r="T751" s="250"/>
      <c r="U751" s="250"/>
      <c r="V751" s="250"/>
      <c r="W751" s="250"/>
      <c r="X751" s="250"/>
      <c r="Y751" s="250"/>
      <c r="Z751" s="250"/>
      <c r="AA751" s="250"/>
      <c r="AB751" s="250"/>
      <c r="AC751" s="250"/>
      <c r="AD751" s="250"/>
      <c r="AE751" s="250"/>
      <c r="AF751" s="250"/>
      <c r="AG751" s="250"/>
      <c r="AH751" s="250"/>
      <c r="AI751" s="250"/>
      <c r="AJ751" s="250"/>
      <c r="AK751" s="250"/>
      <c r="AL751" s="250"/>
      <c r="AM751" s="250"/>
      <c r="AN751" s="250"/>
      <c r="AO751" s="250"/>
      <c r="AP751" s="250"/>
      <c r="AQ751" s="250"/>
      <c r="AR751" s="250"/>
      <c r="AS751" s="250"/>
      <c r="AT751" s="250"/>
      <c r="AU751" s="250"/>
      <c r="AV751" s="124"/>
    </row>
    <row r="752" spans="2:48" ht="15" x14ac:dyDescent="0.2">
      <c r="B752" s="250"/>
      <c r="C752" s="152"/>
      <c r="D752" s="154"/>
      <c r="E752" s="156"/>
      <c r="F752" s="156" t="s">
        <v>1150</v>
      </c>
      <c r="G752" s="154"/>
      <c r="H752" s="154"/>
      <c r="I752" s="154"/>
      <c r="J752" s="154"/>
      <c r="K752" s="154"/>
      <c r="L752" s="154"/>
      <c r="M752" s="154"/>
      <c r="N752" s="154"/>
      <c r="O752" s="154"/>
      <c r="P752" s="154"/>
      <c r="Q752" s="155"/>
      <c r="R752" s="250"/>
      <c r="S752" s="250"/>
      <c r="T752" s="250"/>
      <c r="U752" s="250"/>
      <c r="V752" s="250"/>
      <c r="W752" s="250"/>
      <c r="X752" s="250"/>
      <c r="Y752" s="250"/>
      <c r="Z752" s="250"/>
      <c r="AA752" s="250"/>
      <c r="AB752" s="250"/>
      <c r="AC752" s="250"/>
      <c r="AD752" s="250"/>
      <c r="AE752" s="250"/>
      <c r="AF752" s="250"/>
      <c r="AG752" s="250"/>
      <c r="AH752" s="250"/>
      <c r="AI752" s="250"/>
      <c r="AJ752" s="250"/>
      <c r="AK752" s="250"/>
      <c r="AL752" s="250"/>
      <c r="AM752" s="250"/>
      <c r="AN752" s="250"/>
      <c r="AO752" s="250"/>
      <c r="AP752" s="250"/>
      <c r="AQ752" s="250"/>
      <c r="AR752" s="250"/>
      <c r="AS752" s="250"/>
      <c r="AT752" s="250"/>
      <c r="AU752" s="250"/>
      <c r="AV752" s="124"/>
    </row>
    <row r="753" spans="2:48" ht="15" x14ac:dyDescent="0.2">
      <c r="B753" s="250"/>
      <c r="C753" s="149"/>
      <c r="D753" s="1092"/>
      <c r="E753" s="168"/>
      <c r="F753" s="156" t="s">
        <v>1068</v>
      </c>
      <c r="G753" s="1092"/>
      <c r="H753" s="1092"/>
      <c r="I753" s="1092"/>
      <c r="J753" s="1092"/>
      <c r="K753" s="1092"/>
      <c r="L753" s="1092"/>
      <c r="M753" s="1092"/>
      <c r="N753" s="1092"/>
      <c r="O753" s="1092"/>
      <c r="P753" s="1092"/>
      <c r="Q753" s="151"/>
      <c r="R753" s="250"/>
      <c r="S753" s="250"/>
      <c r="T753" s="250"/>
      <c r="U753" s="250"/>
      <c r="V753" s="250"/>
      <c r="W753" s="250"/>
      <c r="X753" s="250"/>
      <c r="Y753" s="250"/>
      <c r="Z753" s="250"/>
      <c r="AA753" s="250"/>
      <c r="AB753" s="250"/>
      <c r="AC753" s="250"/>
      <c r="AD753" s="250"/>
      <c r="AE753" s="250"/>
      <c r="AF753" s="250"/>
      <c r="AG753" s="250"/>
      <c r="AH753" s="250"/>
      <c r="AI753" s="250"/>
      <c r="AJ753" s="250"/>
      <c r="AK753" s="250"/>
      <c r="AL753" s="250"/>
      <c r="AM753" s="250"/>
      <c r="AN753" s="250"/>
      <c r="AO753" s="250"/>
      <c r="AP753" s="250"/>
      <c r="AQ753" s="250"/>
      <c r="AR753" s="250"/>
      <c r="AS753" s="250"/>
      <c r="AT753" s="250"/>
      <c r="AU753" s="250"/>
      <c r="AV753" s="124"/>
    </row>
    <row r="754" spans="2:48" ht="15" x14ac:dyDescent="0.2">
      <c r="B754" s="250"/>
      <c r="C754" s="149"/>
      <c r="D754" s="1092"/>
      <c r="E754" s="168"/>
      <c r="F754" s="167" t="s">
        <v>203</v>
      </c>
      <c r="G754" s="1092"/>
      <c r="H754" s="1092"/>
      <c r="I754" s="1092"/>
      <c r="J754" s="1092"/>
      <c r="K754" s="1092"/>
      <c r="L754" s="1092"/>
      <c r="M754" s="1092"/>
      <c r="N754" s="1092"/>
      <c r="O754" s="1092"/>
      <c r="P754" s="1092"/>
      <c r="Q754" s="151"/>
      <c r="R754" s="250"/>
      <c r="S754" s="250"/>
      <c r="T754" s="250"/>
      <c r="U754" s="250"/>
      <c r="V754" s="250"/>
      <c r="W754" s="250"/>
      <c r="X754" s="250"/>
      <c r="Y754" s="250"/>
      <c r="Z754" s="250"/>
      <c r="AA754" s="250"/>
      <c r="AB754" s="250"/>
      <c r="AC754" s="250"/>
      <c r="AD754" s="250"/>
      <c r="AE754" s="250"/>
      <c r="AF754" s="250"/>
      <c r="AG754" s="250"/>
      <c r="AH754" s="250"/>
      <c r="AI754" s="250"/>
      <c r="AJ754" s="250"/>
      <c r="AK754" s="250"/>
      <c r="AL754" s="250"/>
      <c r="AM754" s="250"/>
      <c r="AN754" s="250"/>
      <c r="AO754" s="250"/>
      <c r="AP754" s="250"/>
      <c r="AQ754" s="250"/>
      <c r="AR754" s="250"/>
      <c r="AS754" s="250"/>
      <c r="AT754" s="250"/>
      <c r="AU754" s="250"/>
      <c r="AV754" s="124"/>
    </row>
    <row r="755" spans="2:48" ht="15" thickBot="1" x14ac:dyDescent="0.25">
      <c r="B755" s="250"/>
      <c r="C755" s="149"/>
      <c r="D755" s="1092"/>
      <c r="E755" s="168"/>
      <c r="F755" s="163"/>
      <c r="G755" s="1092"/>
      <c r="H755" s="1092"/>
      <c r="I755" s="1092"/>
      <c r="J755" s="1092"/>
      <c r="K755" s="1092"/>
      <c r="L755" s="1092"/>
      <c r="M755" s="1092"/>
      <c r="N755" s="1092"/>
      <c r="O755" s="1092"/>
      <c r="P755" s="1092"/>
      <c r="Q755" s="151"/>
      <c r="R755" s="250"/>
      <c r="S755" s="250"/>
      <c r="T755" s="250"/>
      <c r="U755" s="250"/>
      <c r="V755" s="250"/>
      <c r="W755" s="250"/>
      <c r="X755" s="250"/>
      <c r="Y755" s="250"/>
      <c r="Z755" s="250"/>
      <c r="AA755" s="250"/>
      <c r="AB755" s="250"/>
      <c r="AC755" s="250"/>
      <c r="AD755" s="250"/>
      <c r="AE755" s="250"/>
      <c r="AF755" s="250"/>
      <c r="AG755" s="250"/>
      <c r="AH755" s="250"/>
      <c r="AI755" s="250"/>
      <c r="AJ755" s="250"/>
      <c r="AK755" s="250"/>
      <c r="AL755" s="250"/>
      <c r="AM755" s="250"/>
      <c r="AN755" s="250"/>
      <c r="AO755" s="250"/>
      <c r="AP755" s="250"/>
      <c r="AQ755" s="250"/>
      <c r="AR755" s="250"/>
      <c r="AS755" s="250"/>
      <c r="AT755" s="250"/>
      <c r="AU755" s="250"/>
      <c r="AV755" s="124"/>
    </row>
    <row r="756" spans="2:48" ht="18.75" thickBot="1" x14ac:dyDescent="0.3">
      <c r="B756" s="250"/>
      <c r="C756" s="149"/>
      <c r="D756" s="1092"/>
      <c r="E756" s="168"/>
      <c r="F756" s="1282" t="s">
        <v>751</v>
      </c>
      <c r="G756" s="1283"/>
      <c r="H756" s="1283"/>
      <c r="I756" s="1283"/>
      <c r="J756" s="1283"/>
      <c r="K756" s="1283"/>
      <c r="L756" s="1283"/>
      <c r="M756" s="1283"/>
      <c r="N756" s="1283"/>
      <c r="O756" s="1283"/>
      <c r="P756" s="1284"/>
      <c r="Q756" s="151"/>
      <c r="R756" s="250"/>
      <c r="S756" s="250"/>
      <c r="T756" s="250"/>
      <c r="U756" s="250"/>
      <c r="V756" s="250"/>
      <c r="W756" s="250"/>
      <c r="X756" s="250"/>
      <c r="Y756" s="250"/>
      <c r="Z756" s="250"/>
      <c r="AA756" s="250"/>
      <c r="AB756" s="250"/>
      <c r="AC756" s="250"/>
      <c r="AD756" s="250"/>
      <c r="AE756" s="250"/>
      <c r="AF756" s="250"/>
      <c r="AG756" s="250"/>
      <c r="AH756" s="250"/>
      <c r="AI756" s="250"/>
      <c r="AJ756" s="250"/>
      <c r="AK756" s="250"/>
      <c r="AL756" s="250"/>
      <c r="AM756" s="250"/>
      <c r="AN756" s="250"/>
      <c r="AO756" s="250"/>
      <c r="AP756" s="250"/>
      <c r="AQ756" s="250"/>
      <c r="AR756" s="250"/>
      <c r="AS756" s="250"/>
      <c r="AT756" s="250"/>
      <c r="AU756" s="250"/>
      <c r="AV756" s="124"/>
    </row>
    <row r="757" spans="2:48" ht="15" x14ac:dyDescent="0.2">
      <c r="B757" s="250"/>
      <c r="C757" s="149"/>
      <c r="D757" s="1092"/>
      <c r="E757" s="168"/>
      <c r="F757" s="156" t="s">
        <v>1150</v>
      </c>
      <c r="G757" s="1092"/>
      <c r="H757" s="1092"/>
      <c r="I757" s="1092"/>
      <c r="J757" s="1092"/>
      <c r="K757" s="1092"/>
      <c r="L757" s="1092"/>
      <c r="M757" s="1092"/>
      <c r="N757" s="1092"/>
      <c r="O757" s="1092"/>
      <c r="P757" s="1092"/>
      <c r="Q757" s="151"/>
      <c r="R757" s="250"/>
      <c r="S757" s="250"/>
      <c r="T757" s="250"/>
      <c r="U757" s="250"/>
      <c r="V757" s="250"/>
      <c r="W757" s="250"/>
      <c r="X757" s="250"/>
      <c r="Y757" s="250"/>
      <c r="Z757" s="250"/>
      <c r="AA757" s="250"/>
      <c r="AB757" s="250"/>
      <c r="AC757" s="250"/>
      <c r="AD757" s="250"/>
      <c r="AE757" s="250"/>
      <c r="AF757" s="250"/>
      <c r="AG757" s="250"/>
      <c r="AH757" s="250"/>
      <c r="AI757" s="250"/>
      <c r="AJ757" s="250"/>
      <c r="AK757" s="250"/>
      <c r="AL757" s="250"/>
      <c r="AM757" s="250"/>
      <c r="AN757" s="250"/>
      <c r="AO757" s="250"/>
      <c r="AP757" s="250"/>
      <c r="AQ757" s="250"/>
      <c r="AR757" s="250"/>
      <c r="AS757" s="250"/>
      <c r="AT757" s="250"/>
      <c r="AU757" s="250"/>
      <c r="AV757" s="124"/>
    </row>
    <row r="758" spans="2:48" ht="14.25" x14ac:dyDescent="0.2">
      <c r="B758" s="250"/>
      <c r="C758" s="149"/>
      <c r="D758" s="1092"/>
      <c r="E758" s="168"/>
      <c r="F758" s="163" t="s">
        <v>1069</v>
      </c>
      <c r="G758" s="1092"/>
      <c r="H758" s="1092"/>
      <c r="I758" s="1092"/>
      <c r="J758" s="1092"/>
      <c r="K758" s="1092"/>
      <c r="L758" s="1092"/>
      <c r="M758" s="1092"/>
      <c r="N758" s="1092"/>
      <c r="O758" s="1092"/>
      <c r="P758" s="1092"/>
      <c r="Q758" s="151"/>
      <c r="R758" s="250"/>
      <c r="S758" s="250"/>
      <c r="T758" s="250"/>
      <c r="U758" s="250"/>
      <c r="V758" s="250"/>
      <c r="W758" s="250"/>
      <c r="X758" s="250"/>
      <c r="Y758" s="250"/>
      <c r="Z758" s="250"/>
      <c r="AA758" s="250"/>
      <c r="AB758" s="250"/>
      <c r="AC758" s="250"/>
      <c r="AD758" s="250"/>
      <c r="AE758" s="250"/>
      <c r="AF758" s="250"/>
      <c r="AG758" s="250"/>
      <c r="AH758" s="250"/>
      <c r="AI758" s="250"/>
      <c r="AJ758" s="250"/>
      <c r="AK758" s="250"/>
      <c r="AL758" s="250"/>
      <c r="AM758" s="250"/>
      <c r="AN758" s="250"/>
      <c r="AO758" s="250"/>
      <c r="AP758" s="250"/>
      <c r="AQ758" s="250"/>
      <c r="AR758" s="250"/>
      <c r="AS758" s="250"/>
      <c r="AT758" s="250"/>
      <c r="AU758" s="250"/>
      <c r="AV758" s="124"/>
    </row>
    <row r="759" spans="2:48" ht="14.25" x14ac:dyDescent="0.2">
      <c r="B759" s="250"/>
      <c r="C759" s="149"/>
      <c r="D759" s="1092"/>
      <c r="E759" s="168"/>
      <c r="F759" s="163" t="s">
        <v>1068</v>
      </c>
      <c r="G759" s="1092"/>
      <c r="H759" s="1092"/>
      <c r="I759" s="1092"/>
      <c r="J759" s="1092"/>
      <c r="K759" s="1092"/>
      <c r="L759" s="1092"/>
      <c r="M759" s="1092"/>
      <c r="N759" s="1092"/>
      <c r="O759" s="1092"/>
      <c r="P759" s="1092"/>
      <c r="Q759" s="151"/>
      <c r="R759" s="250"/>
      <c r="S759" s="250"/>
      <c r="T759" s="250"/>
      <c r="U759" s="250"/>
      <c r="V759" s="250"/>
      <c r="W759" s="250"/>
      <c r="X759" s="250"/>
      <c r="Y759" s="250"/>
      <c r="Z759" s="250"/>
      <c r="AA759" s="250"/>
      <c r="AB759" s="250"/>
      <c r="AC759" s="250"/>
      <c r="AD759" s="250"/>
      <c r="AE759" s="250"/>
      <c r="AF759" s="250"/>
      <c r="AG759" s="250"/>
      <c r="AH759" s="250"/>
      <c r="AI759" s="250"/>
      <c r="AJ759" s="250"/>
      <c r="AK759" s="250"/>
      <c r="AL759" s="250"/>
      <c r="AM759" s="250"/>
      <c r="AN759" s="250"/>
      <c r="AO759" s="250"/>
      <c r="AP759" s="250"/>
      <c r="AQ759" s="250"/>
      <c r="AR759" s="250"/>
      <c r="AS759" s="250"/>
      <c r="AT759" s="250"/>
      <c r="AU759" s="250"/>
      <c r="AV759" s="124"/>
    </row>
    <row r="760" spans="2:48" ht="15" x14ac:dyDescent="0.2">
      <c r="B760" s="250"/>
      <c r="C760" s="149"/>
      <c r="D760" s="1092"/>
      <c r="E760" s="168"/>
      <c r="F760" s="167" t="s">
        <v>203</v>
      </c>
      <c r="G760" s="1092"/>
      <c r="H760" s="1092"/>
      <c r="I760" s="1092"/>
      <c r="J760" s="1092"/>
      <c r="K760" s="1092"/>
      <c r="L760" s="1092"/>
      <c r="M760" s="1092"/>
      <c r="N760" s="1092"/>
      <c r="O760" s="1092"/>
      <c r="P760" s="1092"/>
      <c r="Q760" s="151"/>
      <c r="R760" s="250"/>
      <c r="S760" s="250"/>
      <c r="T760" s="250"/>
      <c r="U760" s="250"/>
      <c r="V760" s="250"/>
      <c r="W760" s="250"/>
      <c r="X760" s="250"/>
      <c r="Y760" s="250"/>
      <c r="Z760" s="250"/>
      <c r="AA760" s="250"/>
      <c r="AB760" s="250"/>
      <c r="AC760" s="250"/>
      <c r="AD760" s="250"/>
      <c r="AE760" s="250"/>
      <c r="AF760" s="250"/>
      <c r="AG760" s="250"/>
      <c r="AH760" s="250"/>
      <c r="AI760" s="250"/>
      <c r="AJ760" s="250"/>
      <c r="AK760" s="250"/>
      <c r="AL760" s="250"/>
      <c r="AM760" s="250"/>
      <c r="AN760" s="250"/>
      <c r="AO760" s="250"/>
      <c r="AP760" s="250"/>
      <c r="AQ760" s="250"/>
      <c r="AR760" s="250"/>
      <c r="AS760" s="250"/>
      <c r="AT760" s="250"/>
      <c r="AU760" s="250"/>
      <c r="AV760" s="124"/>
    </row>
    <row r="761" spans="2:48" ht="15.75" thickBot="1" x14ac:dyDescent="0.25">
      <c r="B761" s="250"/>
      <c r="C761" s="149"/>
      <c r="D761" s="158"/>
      <c r="E761" s="156"/>
      <c r="F761" s="156"/>
      <c r="G761" s="158"/>
      <c r="H761" s="158"/>
      <c r="I761" s="158"/>
      <c r="J761" s="158"/>
      <c r="K761" s="158"/>
      <c r="L761" s="158"/>
      <c r="M761" s="158"/>
      <c r="N761" s="158"/>
      <c r="O761" s="158"/>
      <c r="P761" s="158"/>
      <c r="Q761" s="151"/>
      <c r="R761" s="250"/>
      <c r="S761" s="250"/>
      <c r="T761" s="250"/>
      <c r="U761" s="250"/>
      <c r="V761" s="250"/>
      <c r="W761" s="250"/>
      <c r="X761" s="250"/>
      <c r="Y761" s="250"/>
      <c r="Z761" s="250"/>
      <c r="AA761" s="250"/>
      <c r="AB761" s="250"/>
      <c r="AC761" s="250"/>
      <c r="AD761" s="250"/>
      <c r="AE761" s="250"/>
      <c r="AF761" s="250"/>
      <c r="AG761" s="250"/>
      <c r="AH761" s="250"/>
      <c r="AI761" s="250"/>
      <c r="AJ761" s="250"/>
      <c r="AK761" s="250"/>
      <c r="AL761" s="250"/>
      <c r="AM761" s="250"/>
      <c r="AN761" s="250"/>
      <c r="AO761" s="250"/>
      <c r="AP761" s="250"/>
      <c r="AQ761" s="250"/>
      <c r="AR761" s="250"/>
      <c r="AS761" s="250"/>
      <c r="AT761" s="250"/>
      <c r="AU761" s="250"/>
      <c r="AV761" s="124"/>
    </row>
    <row r="762" spans="2:48" ht="18.75" thickBot="1" x14ac:dyDescent="0.3">
      <c r="B762" s="250"/>
      <c r="C762" s="149"/>
      <c r="D762" s="158"/>
      <c r="E762" s="156"/>
      <c r="F762" s="1282" t="s">
        <v>752</v>
      </c>
      <c r="G762" s="1283"/>
      <c r="H762" s="1283"/>
      <c r="I762" s="1283"/>
      <c r="J762" s="1283"/>
      <c r="K762" s="1283"/>
      <c r="L762" s="1283"/>
      <c r="M762" s="1283"/>
      <c r="N762" s="1283"/>
      <c r="O762" s="1283"/>
      <c r="P762" s="1284"/>
      <c r="Q762" s="151"/>
      <c r="R762" s="250"/>
      <c r="S762" s="250"/>
      <c r="T762" s="250"/>
      <c r="U762" s="250"/>
      <c r="V762" s="250"/>
      <c r="W762" s="250"/>
      <c r="X762" s="250"/>
      <c r="Y762" s="250"/>
      <c r="Z762" s="250"/>
      <c r="AA762" s="250"/>
      <c r="AB762" s="250"/>
      <c r="AC762" s="250"/>
      <c r="AD762" s="250"/>
      <c r="AE762" s="250"/>
      <c r="AF762" s="250"/>
      <c r="AG762" s="250"/>
      <c r="AH762" s="250"/>
      <c r="AI762" s="250"/>
      <c r="AJ762" s="250"/>
      <c r="AK762" s="250"/>
      <c r="AL762" s="250"/>
      <c r="AM762" s="250"/>
      <c r="AN762" s="250"/>
      <c r="AO762" s="250"/>
      <c r="AP762" s="250"/>
      <c r="AQ762" s="250"/>
      <c r="AR762" s="250"/>
      <c r="AS762" s="250"/>
      <c r="AT762" s="250"/>
      <c r="AU762" s="250"/>
      <c r="AV762" s="124"/>
    </row>
    <row r="763" spans="2:48" ht="15" x14ac:dyDescent="0.2">
      <c r="B763" s="250"/>
      <c r="C763" s="149"/>
      <c r="D763" s="158"/>
      <c r="E763" s="156"/>
      <c r="F763" s="909" t="s">
        <v>154</v>
      </c>
      <c r="G763" s="158"/>
      <c r="H763" s="1280" t="s">
        <v>1151</v>
      </c>
      <c r="I763" s="158"/>
      <c r="J763" s="158"/>
      <c r="K763" s="158"/>
      <c r="L763" s="158"/>
      <c r="M763" s="158"/>
      <c r="N763" s="158"/>
      <c r="O763" s="158"/>
      <c r="P763" s="158"/>
      <c r="Q763" s="151"/>
      <c r="R763" s="250"/>
      <c r="S763" s="250"/>
      <c r="T763" s="250"/>
      <c r="U763" s="250"/>
      <c r="V763" s="250"/>
      <c r="W763" s="250"/>
      <c r="X763" s="250"/>
      <c r="Y763" s="250"/>
      <c r="Z763" s="250"/>
      <c r="AA763" s="250"/>
      <c r="AB763" s="250"/>
      <c r="AC763" s="250"/>
      <c r="AD763" s="250"/>
      <c r="AE763" s="250"/>
      <c r="AF763" s="250"/>
      <c r="AG763" s="250"/>
      <c r="AH763" s="250"/>
      <c r="AI763" s="250"/>
      <c r="AJ763" s="250"/>
      <c r="AK763" s="250"/>
      <c r="AL763" s="250"/>
      <c r="AM763" s="250"/>
      <c r="AN763" s="250"/>
      <c r="AO763" s="250"/>
      <c r="AP763" s="250"/>
      <c r="AQ763" s="250"/>
      <c r="AR763" s="250"/>
      <c r="AS763" s="250"/>
      <c r="AT763" s="250"/>
      <c r="AU763" s="250"/>
      <c r="AV763" s="124"/>
    </row>
    <row r="764" spans="2:48" ht="15" x14ac:dyDescent="0.2">
      <c r="B764" s="250"/>
      <c r="C764" s="149"/>
      <c r="D764" s="158"/>
      <c r="E764" s="156"/>
      <c r="F764" s="163" t="s">
        <v>1142</v>
      </c>
      <c r="G764" s="158"/>
      <c r="H764" s="158"/>
      <c r="I764" s="158"/>
      <c r="J764" s="158"/>
      <c r="K764" s="158"/>
      <c r="L764" s="158"/>
      <c r="M764" s="158"/>
      <c r="N764" s="158"/>
      <c r="O764" s="158"/>
      <c r="P764" s="158"/>
      <c r="Q764" s="151"/>
      <c r="R764" s="250"/>
      <c r="S764" s="250"/>
      <c r="T764" s="250"/>
      <c r="U764" s="250"/>
      <c r="V764" s="250"/>
      <c r="W764" s="250"/>
      <c r="X764" s="250"/>
      <c r="Y764" s="250"/>
      <c r="Z764" s="250"/>
      <c r="AA764" s="250"/>
      <c r="AB764" s="250"/>
      <c r="AC764" s="250"/>
      <c r="AD764" s="250"/>
      <c r="AE764" s="250"/>
      <c r="AF764" s="250"/>
      <c r="AG764" s="250"/>
      <c r="AH764" s="250"/>
      <c r="AI764" s="250"/>
      <c r="AJ764" s="250"/>
      <c r="AK764" s="250"/>
      <c r="AL764" s="250"/>
      <c r="AM764" s="250"/>
      <c r="AN764" s="250"/>
      <c r="AO764" s="250"/>
      <c r="AP764" s="250"/>
      <c r="AQ764" s="250"/>
      <c r="AR764" s="250"/>
      <c r="AS764" s="250"/>
      <c r="AT764" s="250"/>
      <c r="AU764" s="250"/>
      <c r="AV764" s="124"/>
    </row>
    <row r="765" spans="2:48" ht="15" x14ac:dyDescent="0.2">
      <c r="B765" s="250"/>
      <c r="C765" s="149"/>
      <c r="D765" s="158"/>
      <c r="E765" s="156"/>
      <c r="F765" s="163" t="s">
        <v>1070</v>
      </c>
      <c r="G765" s="158"/>
      <c r="H765" s="158"/>
      <c r="I765" s="158"/>
      <c r="J765" s="158"/>
      <c r="K765" s="158"/>
      <c r="L765" s="158"/>
      <c r="M765" s="158"/>
      <c r="N765" s="158"/>
      <c r="O765" s="158"/>
      <c r="P765" s="158"/>
      <c r="Q765" s="151"/>
      <c r="R765" s="250"/>
      <c r="S765" s="250"/>
      <c r="T765" s="250"/>
      <c r="U765" s="250"/>
      <c r="V765" s="250"/>
      <c r="W765" s="250"/>
      <c r="X765" s="250"/>
      <c r="Y765" s="250"/>
      <c r="Z765" s="250"/>
      <c r="AA765" s="250"/>
      <c r="AB765" s="250"/>
      <c r="AC765" s="250"/>
      <c r="AD765" s="250"/>
      <c r="AE765" s="250"/>
      <c r="AF765" s="250"/>
      <c r="AG765" s="250"/>
      <c r="AH765" s="250"/>
      <c r="AI765" s="250"/>
      <c r="AJ765" s="250"/>
      <c r="AK765" s="250"/>
      <c r="AL765" s="250"/>
      <c r="AM765" s="250"/>
      <c r="AN765" s="250"/>
      <c r="AO765" s="250"/>
      <c r="AP765" s="250"/>
      <c r="AQ765" s="250"/>
      <c r="AR765" s="250"/>
      <c r="AS765" s="250"/>
      <c r="AT765" s="250"/>
      <c r="AU765" s="250"/>
      <c r="AV765" s="124"/>
    </row>
    <row r="766" spans="2:48" ht="15" x14ac:dyDescent="0.2">
      <c r="B766" s="250"/>
      <c r="C766" s="149"/>
      <c r="D766" s="158"/>
      <c r="E766" s="156"/>
      <c r="F766" s="909" t="s">
        <v>153</v>
      </c>
      <c r="G766" s="158"/>
      <c r="H766" s="1280" t="s">
        <v>93</v>
      </c>
      <c r="I766" s="158"/>
      <c r="J766" s="158"/>
      <c r="K766" s="158"/>
      <c r="L766" s="158"/>
      <c r="M766" s="158"/>
      <c r="N766" s="158"/>
      <c r="O766" s="158"/>
      <c r="P766" s="158"/>
      <c r="Q766" s="151"/>
      <c r="R766" s="250"/>
      <c r="S766" s="250"/>
      <c r="T766" s="250"/>
      <c r="U766" s="250"/>
      <c r="V766" s="250"/>
      <c r="W766" s="250"/>
      <c r="X766" s="250"/>
      <c r="Y766" s="250"/>
      <c r="Z766" s="250"/>
      <c r="AA766" s="250"/>
      <c r="AB766" s="250"/>
      <c r="AC766" s="250"/>
      <c r="AD766" s="250"/>
      <c r="AE766" s="250"/>
      <c r="AF766" s="250"/>
      <c r="AG766" s="250"/>
      <c r="AH766" s="250"/>
      <c r="AI766" s="250"/>
      <c r="AJ766" s="250"/>
      <c r="AK766" s="250"/>
      <c r="AL766" s="250"/>
      <c r="AM766" s="250"/>
      <c r="AN766" s="250"/>
      <c r="AO766" s="250"/>
      <c r="AP766" s="250"/>
      <c r="AQ766" s="250"/>
      <c r="AR766" s="250"/>
      <c r="AS766" s="250"/>
      <c r="AT766" s="250"/>
      <c r="AU766" s="250"/>
      <c r="AV766" s="124"/>
    </row>
    <row r="767" spans="2:48" ht="15" x14ac:dyDescent="0.2">
      <c r="B767" s="250"/>
      <c r="C767" s="149"/>
      <c r="D767" s="158"/>
      <c r="E767" s="156"/>
      <c r="F767" s="163" t="s">
        <v>1071</v>
      </c>
      <c r="G767" s="158"/>
      <c r="H767" s="158"/>
      <c r="I767" s="158"/>
      <c r="J767" s="158"/>
      <c r="K767" s="158"/>
      <c r="L767" s="158"/>
      <c r="M767" s="158"/>
      <c r="N767" s="158"/>
      <c r="O767" s="158"/>
      <c r="P767" s="158"/>
      <c r="Q767" s="151"/>
      <c r="R767" s="250"/>
      <c r="S767" s="250"/>
      <c r="T767" s="250"/>
      <c r="U767" s="250"/>
      <c r="V767" s="250"/>
      <c r="W767" s="250"/>
      <c r="X767" s="250"/>
      <c r="Y767" s="250"/>
      <c r="Z767" s="250"/>
      <c r="AA767" s="250"/>
      <c r="AB767" s="250"/>
      <c r="AC767" s="250"/>
      <c r="AD767" s="250"/>
      <c r="AE767" s="250"/>
      <c r="AF767" s="250"/>
      <c r="AG767" s="250"/>
      <c r="AH767" s="250"/>
      <c r="AI767" s="250"/>
      <c r="AJ767" s="250"/>
      <c r="AK767" s="250"/>
      <c r="AL767" s="250"/>
      <c r="AM767" s="250"/>
      <c r="AN767" s="250"/>
      <c r="AO767" s="250"/>
      <c r="AP767" s="250"/>
      <c r="AQ767" s="250"/>
      <c r="AR767" s="250"/>
      <c r="AS767" s="250"/>
      <c r="AT767" s="250"/>
      <c r="AU767" s="250"/>
      <c r="AV767" s="124"/>
    </row>
    <row r="768" spans="2:48" ht="15" x14ac:dyDescent="0.2">
      <c r="B768" s="250"/>
      <c r="C768" s="149"/>
      <c r="D768" s="158"/>
      <c r="E768" s="156"/>
      <c r="F768" s="1281" t="s">
        <v>94</v>
      </c>
      <c r="G768" s="158"/>
      <c r="H768" s="158"/>
      <c r="I768" s="158"/>
      <c r="J768" s="158"/>
      <c r="K768" s="158"/>
      <c r="L768" s="158"/>
      <c r="M768" s="158"/>
      <c r="N768" s="158"/>
      <c r="O768" s="158"/>
      <c r="P768" s="158"/>
      <c r="Q768" s="151"/>
      <c r="R768" s="250"/>
      <c r="S768" s="250"/>
      <c r="T768" s="250"/>
      <c r="U768" s="250"/>
      <c r="V768" s="250"/>
      <c r="W768" s="250"/>
      <c r="X768" s="250"/>
      <c r="Y768" s="250"/>
      <c r="Z768" s="250"/>
      <c r="AA768" s="250"/>
      <c r="AB768" s="250"/>
      <c r="AC768" s="250"/>
      <c r="AD768" s="250"/>
      <c r="AE768" s="250"/>
      <c r="AF768" s="250"/>
      <c r="AG768" s="250"/>
      <c r="AH768" s="250"/>
      <c r="AI768" s="250"/>
      <c r="AJ768" s="250"/>
      <c r="AK768" s="250"/>
      <c r="AL768" s="250"/>
      <c r="AM768" s="250"/>
      <c r="AN768" s="250"/>
      <c r="AO768" s="250"/>
      <c r="AP768" s="250"/>
      <c r="AQ768" s="250"/>
      <c r="AR768" s="250"/>
      <c r="AS768" s="250"/>
      <c r="AT768" s="250"/>
      <c r="AU768" s="250"/>
      <c r="AV768" s="124"/>
    </row>
    <row r="769" spans="2:48" ht="15" x14ac:dyDescent="0.2">
      <c r="B769" s="250"/>
      <c r="C769" s="149"/>
      <c r="D769" s="158"/>
      <c r="E769" s="156"/>
      <c r="F769" s="909" t="s">
        <v>1505</v>
      </c>
      <c r="G769" s="158"/>
      <c r="H769" s="1280" t="s">
        <v>1072</v>
      </c>
      <c r="I769" s="158"/>
      <c r="J769" s="158"/>
      <c r="K769" s="158"/>
      <c r="L769" s="158"/>
      <c r="M769" s="158"/>
      <c r="N769" s="158"/>
      <c r="O769" s="158"/>
      <c r="P769" s="158"/>
      <c r="Q769" s="151"/>
      <c r="R769" s="250"/>
      <c r="S769" s="250"/>
      <c r="T769" s="250"/>
      <c r="U769" s="250"/>
      <c r="V769" s="250"/>
      <c r="W769" s="250"/>
      <c r="X769" s="250"/>
      <c r="Y769" s="250"/>
      <c r="Z769" s="250"/>
      <c r="AA769" s="250"/>
      <c r="AB769" s="250"/>
      <c r="AC769" s="250"/>
      <c r="AD769" s="250"/>
      <c r="AE769" s="250"/>
      <c r="AF769" s="250"/>
      <c r="AG769" s="250"/>
      <c r="AH769" s="250"/>
      <c r="AI769" s="250"/>
      <c r="AJ769" s="250"/>
      <c r="AK769" s="250"/>
      <c r="AL769" s="250"/>
      <c r="AM769" s="250"/>
      <c r="AN769" s="250"/>
      <c r="AO769" s="250"/>
      <c r="AP769" s="250"/>
      <c r="AQ769" s="250"/>
      <c r="AR769" s="250"/>
      <c r="AS769" s="250"/>
      <c r="AT769" s="250"/>
      <c r="AU769" s="250"/>
      <c r="AV769" s="124"/>
    </row>
    <row r="770" spans="2:48" ht="15" x14ac:dyDescent="0.2">
      <c r="B770" s="250"/>
      <c r="C770" s="149"/>
      <c r="D770" s="158"/>
      <c r="E770" s="156"/>
      <c r="F770" s="163" t="s">
        <v>1074</v>
      </c>
      <c r="G770" s="158"/>
      <c r="H770" s="158"/>
      <c r="I770" s="158"/>
      <c r="J770" s="158"/>
      <c r="K770" s="158"/>
      <c r="L770" s="158"/>
      <c r="M770" s="158"/>
      <c r="N770" s="158"/>
      <c r="O770" s="158"/>
      <c r="P770" s="158"/>
      <c r="Q770" s="151"/>
      <c r="R770" s="250"/>
      <c r="S770" s="250"/>
      <c r="T770" s="250"/>
      <c r="U770" s="250"/>
      <c r="V770" s="250"/>
      <c r="W770" s="250"/>
      <c r="X770" s="250"/>
      <c r="Y770" s="250"/>
      <c r="Z770" s="250"/>
      <c r="AA770" s="250"/>
      <c r="AB770" s="250"/>
      <c r="AC770" s="250"/>
      <c r="AD770" s="250"/>
      <c r="AE770" s="250"/>
      <c r="AF770" s="250"/>
      <c r="AG770" s="250"/>
      <c r="AH770" s="250"/>
      <c r="AI770" s="250"/>
      <c r="AJ770" s="250"/>
      <c r="AK770" s="250"/>
      <c r="AL770" s="250"/>
      <c r="AM770" s="250"/>
      <c r="AN770" s="250"/>
      <c r="AO770" s="250"/>
      <c r="AP770" s="250"/>
      <c r="AQ770" s="250"/>
      <c r="AR770" s="250"/>
      <c r="AS770" s="250"/>
      <c r="AT770" s="250"/>
      <c r="AU770" s="250"/>
      <c r="AV770" s="124"/>
    </row>
    <row r="771" spans="2:48" ht="15" x14ac:dyDescent="0.2">
      <c r="B771" s="250"/>
      <c r="C771" s="149"/>
      <c r="D771" s="158"/>
      <c r="E771" s="156"/>
      <c r="F771" s="163" t="s">
        <v>1073</v>
      </c>
      <c r="G771" s="158"/>
      <c r="H771" s="158"/>
      <c r="I771" s="158"/>
      <c r="J771" s="158"/>
      <c r="K771" s="158"/>
      <c r="L771" s="158"/>
      <c r="M771" s="158"/>
      <c r="N771" s="158"/>
      <c r="O771" s="158"/>
      <c r="P771" s="158"/>
      <c r="Q771" s="151"/>
      <c r="R771" s="250"/>
      <c r="S771" s="250"/>
      <c r="T771" s="250"/>
      <c r="U771" s="250"/>
      <c r="V771" s="250"/>
      <c r="W771" s="250"/>
      <c r="X771" s="250"/>
      <c r="Y771" s="250"/>
      <c r="Z771" s="250"/>
      <c r="AA771" s="250"/>
      <c r="AB771" s="250"/>
      <c r="AC771" s="250"/>
      <c r="AD771" s="250"/>
      <c r="AE771" s="250"/>
      <c r="AF771" s="250"/>
      <c r="AG771" s="250"/>
      <c r="AH771" s="250"/>
      <c r="AI771" s="250"/>
      <c r="AJ771" s="250"/>
      <c r="AK771" s="250"/>
      <c r="AL771" s="250"/>
      <c r="AM771" s="250"/>
      <c r="AN771" s="250"/>
      <c r="AO771" s="250"/>
      <c r="AP771" s="250"/>
      <c r="AQ771" s="250"/>
      <c r="AR771" s="250"/>
      <c r="AS771" s="250"/>
      <c r="AT771" s="250"/>
      <c r="AU771" s="250"/>
      <c r="AV771" s="124"/>
    </row>
    <row r="772" spans="2:48" ht="15" x14ac:dyDescent="0.2">
      <c r="B772" s="250"/>
      <c r="C772" s="149"/>
      <c r="D772" s="158"/>
      <c r="E772" s="156"/>
      <c r="F772" s="167" t="s">
        <v>203</v>
      </c>
      <c r="G772" s="158"/>
      <c r="H772" s="158"/>
      <c r="I772" s="158"/>
      <c r="J772" s="158"/>
      <c r="K772" s="158"/>
      <c r="L772" s="158"/>
      <c r="M772" s="158"/>
      <c r="N772" s="158"/>
      <c r="O772" s="158"/>
      <c r="P772" s="158"/>
      <c r="Q772" s="151"/>
      <c r="R772" s="250"/>
      <c r="S772" s="250"/>
      <c r="T772" s="250"/>
      <c r="U772" s="250"/>
      <c r="V772" s="250"/>
      <c r="W772" s="250"/>
      <c r="X772" s="250"/>
      <c r="Y772" s="250"/>
      <c r="Z772" s="250"/>
      <c r="AA772" s="250"/>
      <c r="AB772" s="250"/>
      <c r="AC772" s="250"/>
      <c r="AD772" s="250"/>
      <c r="AE772" s="250"/>
      <c r="AF772" s="250"/>
      <c r="AG772" s="250"/>
      <c r="AH772" s="250"/>
      <c r="AI772" s="250"/>
      <c r="AJ772" s="250"/>
      <c r="AK772" s="250"/>
      <c r="AL772" s="250"/>
      <c r="AM772" s="250"/>
      <c r="AN772" s="250"/>
      <c r="AO772" s="250"/>
      <c r="AP772" s="250"/>
      <c r="AQ772" s="250"/>
      <c r="AR772" s="250"/>
      <c r="AS772" s="250"/>
      <c r="AT772" s="250"/>
      <c r="AU772" s="250"/>
      <c r="AV772" s="124"/>
    </row>
    <row r="773" spans="2:48" ht="15" customHeight="1" x14ac:dyDescent="0.2">
      <c r="B773" s="250"/>
      <c r="C773" s="149"/>
      <c r="D773" s="158"/>
      <c r="E773" s="156"/>
      <c r="F773" s="167"/>
      <c r="G773" s="158"/>
      <c r="H773" s="158"/>
      <c r="I773" s="158"/>
      <c r="J773" s="158"/>
      <c r="K773" s="158"/>
      <c r="L773" s="158"/>
      <c r="M773" s="158"/>
      <c r="N773" s="158"/>
      <c r="O773" s="158"/>
      <c r="P773" s="158"/>
      <c r="Q773" s="151"/>
      <c r="R773" s="250"/>
      <c r="S773" s="250"/>
      <c r="T773" s="250"/>
      <c r="U773" s="250"/>
      <c r="V773" s="250"/>
      <c r="W773" s="250"/>
      <c r="X773" s="250"/>
      <c r="Y773" s="250"/>
      <c r="Z773" s="250"/>
      <c r="AA773" s="250"/>
      <c r="AB773" s="250"/>
      <c r="AC773" s="250"/>
      <c r="AD773" s="250"/>
      <c r="AE773" s="250"/>
      <c r="AF773" s="250"/>
      <c r="AG773" s="250"/>
      <c r="AH773" s="250"/>
      <c r="AI773" s="250"/>
      <c r="AJ773" s="250"/>
      <c r="AK773" s="250"/>
      <c r="AL773" s="250"/>
      <c r="AM773" s="250"/>
      <c r="AN773" s="250"/>
      <c r="AO773" s="250"/>
      <c r="AP773" s="250"/>
      <c r="AQ773" s="250"/>
      <c r="AR773" s="250"/>
      <c r="AS773" s="250"/>
      <c r="AT773" s="250"/>
      <c r="AU773" s="250"/>
      <c r="AV773" s="124"/>
    </row>
    <row r="774" spans="2:48" ht="12.75" customHeight="1" x14ac:dyDescent="0.2">
      <c r="B774" s="250"/>
      <c r="C774" s="160"/>
      <c r="D774" s="161"/>
      <c r="E774" s="161"/>
      <c r="F774" s="161"/>
      <c r="G774" s="161"/>
      <c r="H774" s="161"/>
      <c r="I774" s="161"/>
      <c r="J774" s="161"/>
      <c r="K774" s="161"/>
      <c r="L774" s="161"/>
      <c r="M774" s="161"/>
      <c r="N774" s="161"/>
      <c r="O774" s="161"/>
      <c r="P774" s="161"/>
      <c r="Q774" s="162"/>
      <c r="R774" s="250"/>
      <c r="S774" s="250"/>
      <c r="T774" s="250"/>
      <c r="U774" s="250"/>
      <c r="V774" s="250"/>
      <c r="W774" s="250"/>
      <c r="X774" s="250"/>
      <c r="Y774" s="250"/>
      <c r="Z774" s="250"/>
      <c r="AA774" s="250"/>
      <c r="AB774" s="250"/>
      <c r="AC774" s="250"/>
      <c r="AD774" s="250"/>
      <c r="AE774" s="250"/>
      <c r="AF774" s="250"/>
      <c r="AG774" s="250"/>
      <c r="AH774" s="250"/>
      <c r="AI774" s="250"/>
      <c r="AJ774" s="250"/>
      <c r="AK774" s="250"/>
      <c r="AL774" s="250"/>
      <c r="AM774" s="250"/>
      <c r="AN774" s="250"/>
      <c r="AO774" s="250"/>
      <c r="AP774" s="250"/>
      <c r="AQ774" s="250"/>
      <c r="AR774" s="250"/>
      <c r="AS774" s="250"/>
      <c r="AT774" s="250"/>
      <c r="AU774" s="250"/>
      <c r="AV774" s="124"/>
    </row>
    <row r="775" spans="2:48" s="475" customFormat="1" x14ac:dyDescent="0.2">
      <c r="B775" s="250"/>
      <c r="C775" s="250"/>
      <c r="D775" s="250"/>
      <c r="E775" s="250"/>
      <c r="F775" s="250"/>
      <c r="G775" s="250"/>
      <c r="H775" s="250"/>
      <c r="I775" s="250"/>
      <c r="J775" s="250"/>
      <c r="K775" s="250"/>
      <c r="L775" s="250"/>
      <c r="M775" s="250"/>
      <c r="N775" s="250"/>
      <c r="O775" s="250"/>
      <c r="P775" s="250"/>
      <c r="Q775" s="250"/>
      <c r="R775" s="250"/>
      <c r="S775" s="250"/>
      <c r="T775" s="250"/>
      <c r="U775" s="250"/>
      <c r="V775" s="250"/>
      <c r="W775" s="250"/>
      <c r="X775" s="250"/>
      <c r="Y775" s="250"/>
      <c r="Z775" s="250"/>
      <c r="AA775" s="250"/>
      <c r="AB775" s="250"/>
      <c r="AC775" s="250"/>
      <c r="AD775" s="250"/>
      <c r="AE775" s="250"/>
      <c r="AF775" s="250"/>
      <c r="AG775" s="250"/>
      <c r="AH775" s="250"/>
      <c r="AI775" s="250"/>
      <c r="AJ775" s="250"/>
      <c r="AK775" s="250"/>
      <c r="AL775" s="250"/>
      <c r="AM775" s="250"/>
      <c r="AN775" s="250"/>
      <c r="AO775" s="250"/>
      <c r="AP775" s="250"/>
      <c r="AQ775" s="250"/>
      <c r="AR775" s="250"/>
      <c r="AS775" s="250"/>
      <c r="AT775" s="250"/>
      <c r="AU775" s="250"/>
      <c r="AV775" s="124"/>
    </row>
    <row r="776" spans="2:48" s="475" customFormat="1" x14ac:dyDescent="0.2">
      <c r="B776" s="250"/>
      <c r="C776" s="250"/>
      <c r="D776" s="250"/>
      <c r="E776" s="250"/>
      <c r="F776" s="250"/>
      <c r="G776" s="250"/>
      <c r="H776" s="250"/>
      <c r="I776" s="250"/>
      <c r="J776" s="250"/>
      <c r="K776" s="250"/>
      <c r="L776" s="250"/>
      <c r="M776" s="250"/>
      <c r="N776" s="250"/>
      <c r="O776" s="250"/>
      <c r="P776" s="250"/>
      <c r="Q776" s="250"/>
      <c r="R776" s="250"/>
      <c r="S776" s="250"/>
      <c r="T776" s="250"/>
      <c r="U776" s="250"/>
      <c r="V776" s="250"/>
      <c r="W776" s="250"/>
      <c r="X776" s="250"/>
      <c r="Y776" s="250"/>
      <c r="Z776" s="250"/>
      <c r="AA776" s="250"/>
      <c r="AB776" s="250"/>
      <c r="AC776" s="250"/>
      <c r="AD776" s="250"/>
      <c r="AE776" s="250"/>
      <c r="AF776" s="250"/>
      <c r="AG776" s="250"/>
      <c r="AH776" s="250"/>
      <c r="AI776" s="250"/>
      <c r="AJ776" s="250"/>
      <c r="AK776" s="250"/>
      <c r="AL776" s="250"/>
      <c r="AM776" s="250"/>
      <c r="AN776" s="250"/>
      <c r="AO776" s="250"/>
      <c r="AP776" s="250"/>
      <c r="AQ776" s="250"/>
      <c r="AR776" s="250"/>
      <c r="AS776" s="250"/>
      <c r="AT776" s="250"/>
      <c r="AU776" s="250"/>
      <c r="AV776" s="124"/>
    </row>
    <row r="777" spans="2:48" s="475" customFormat="1" x14ac:dyDescent="0.2">
      <c r="B777" s="250"/>
      <c r="C777" s="250"/>
      <c r="D777" s="250"/>
      <c r="E777" s="250"/>
      <c r="F777" s="250"/>
      <c r="G777" s="250"/>
      <c r="H777" s="250"/>
      <c r="I777" s="250"/>
      <c r="J777" s="250"/>
      <c r="K777" s="250"/>
      <c r="L777" s="250"/>
      <c r="M777" s="250"/>
      <c r="N777" s="250"/>
      <c r="O777" s="250"/>
      <c r="P777" s="250"/>
      <c r="Q777" s="250"/>
      <c r="R777" s="250"/>
      <c r="S777" s="250"/>
      <c r="T777" s="250"/>
      <c r="U777" s="250"/>
      <c r="V777" s="250"/>
      <c r="W777" s="250"/>
      <c r="X777" s="250"/>
      <c r="Y777" s="250"/>
      <c r="Z777" s="250"/>
      <c r="AA777" s="250"/>
      <c r="AB777" s="250"/>
      <c r="AC777" s="250"/>
      <c r="AD777" s="250"/>
      <c r="AE777" s="250"/>
      <c r="AF777" s="250"/>
      <c r="AG777" s="250"/>
      <c r="AH777" s="250"/>
      <c r="AI777" s="250"/>
      <c r="AJ777" s="250"/>
      <c r="AK777" s="250"/>
      <c r="AL777" s="250"/>
      <c r="AM777" s="250"/>
      <c r="AN777" s="250"/>
      <c r="AO777" s="250"/>
      <c r="AP777" s="250"/>
      <c r="AQ777" s="250"/>
      <c r="AR777" s="250"/>
      <c r="AS777" s="250"/>
      <c r="AT777" s="250"/>
      <c r="AU777" s="250"/>
      <c r="AV777" s="124"/>
    </row>
    <row r="778" spans="2:48" s="475" customFormat="1" x14ac:dyDescent="0.2">
      <c r="B778" s="250"/>
      <c r="C778" s="250"/>
      <c r="D778" s="250"/>
      <c r="E778" s="250"/>
      <c r="F778" s="250"/>
      <c r="G778" s="250"/>
      <c r="H778" s="250"/>
      <c r="I778" s="250"/>
      <c r="J778" s="250"/>
      <c r="K778" s="250"/>
      <c r="L778" s="250"/>
      <c r="M778" s="250"/>
      <c r="N778" s="250"/>
      <c r="O778" s="250"/>
      <c r="P778" s="250"/>
      <c r="Q778" s="250"/>
      <c r="R778" s="250"/>
      <c r="S778" s="250"/>
      <c r="T778" s="250"/>
      <c r="U778" s="250"/>
      <c r="V778" s="250"/>
      <c r="W778" s="250"/>
      <c r="X778" s="250"/>
      <c r="Y778" s="250"/>
      <c r="Z778" s="250"/>
      <c r="AA778" s="250"/>
      <c r="AB778" s="250"/>
      <c r="AC778" s="250"/>
      <c r="AD778" s="250"/>
      <c r="AE778" s="250"/>
      <c r="AF778" s="250"/>
      <c r="AG778" s="250"/>
      <c r="AH778" s="250"/>
      <c r="AI778" s="250"/>
      <c r="AJ778" s="250"/>
      <c r="AK778" s="250"/>
      <c r="AL778" s="250"/>
      <c r="AM778" s="250"/>
      <c r="AN778" s="250"/>
      <c r="AO778" s="250"/>
      <c r="AP778" s="250"/>
      <c r="AQ778" s="250"/>
      <c r="AR778" s="250"/>
      <c r="AS778" s="250"/>
      <c r="AT778" s="250"/>
      <c r="AU778" s="250"/>
      <c r="AV778" s="124"/>
    </row>
    <row r="779" spans="2:48" s="475" customFormat="1" x14ac:dyDescent="0.2">
      <c r="B779" s="250"/>
      <c r="C779" s="250"/>
      <c r="D779" s="250"/>
      <c r="E779" s="250"/>
      <c r="F779" s="250"/>
      <c r="G779" s="250"/>
      <c r="H779" s="250"/>
      <c r="I779" s="250"/>
      <c r="J779" s="250"/>
      <c r="K779" s="250"/>
      <c r="L779" s="250"/>
      <c r="M779" s="250"/>
      <c r="N779" s="250"/>
      <c r="O779" s="250"/>
      <c r="P779" s="250"/>
      <c r="Q779" s="250"/>
      <c r="R779" s="250"/>
      <c r="S779" s="250"/>
      <c r="T779" s="250"/>
      <c r="U779" s="250"/>
      <c r="V779" s="250"/>
      <c r="W779" s="250"/>
      <c r="X779" s="250"/>
      <c r="Y779" s="250"/>
      <c r="Z779" s="250"/>
      <c r="AA779" s="250"/>
      <c r="AB779" s="250"/>
      <c r="AC779" s="250"/>
      <c r="AD779" s="250"/>
      <c r="AE779" s="250"/>
      <c r="AF779" s="250"/>
      <c r="AG779" s="250"/>
      <c r="AH779" s="250"/>
      <c r="AI779" s="250"/>
      <c r="AJ779" s="250"/>
      <c r="AK779" s="250"/>
      <c r="AL779" s="250"/>
      <c r="AM779" s="250"/>
      <c r="AN779" s="250"/>
      <c r="AO779" s="250"/>
      <c r="AP779" s="250"/>
      <c r="AQ779" s="250"/>
      <c r="AR779" s="250"/>
      <c r="AS779" s="250"/>
      <c r="AT779" s="250"/>
      <c r="AU779" s="250"/>
      <c r="AV779" s="124"/>
    </row>
    <row r="780" spans="2:48" s="475" customFormat="1" x14ac:dyDescent="0.2">
      <c r="B780" s="250"/>
      <c r="C780" s="250"/>
      <c r="D780" s="250"/>
      <c r="E780" s="250"/>
      <c r="F780" s="250"/>
      <c r="G780" s="250"/>
      <c r="H780" s="250"/>
      <c r="I780" s="250"/>
      <c r="J780" s="250"/>
      <c r="K780" s="250"/>
      <c r="L780" s="250"/>
      <c r="M780" s="250"/>
      <c r="N780" s="250"/>
      <c r="O780" s="250"/>
      <c r="P780" s="250"/>
      <c r="Q780" s="250"/>
      <c r="R780" s="250"/>
      <c r="S780" s="250"/>
      <c r="T780" s="250"/>
      <c r="U780" s="250"/>
      <c r="V780" s="250"/>
      <c r="W780" s="250"/>
      <c r="X780" s="250"/>
      <c r="Y780" s="250"/>
      <c r="Z780" s="250"/>
      <c r="AA780" s="250"/>
      <c r="AB780" s="250"/>
      <c r="AC780" s="250"/>
      <c r="AD780" s="250"/>
      <c r="AE780" s="250"/>
      <c r="AF780" s="250"/>
      <c r="AG780" s="250"/>
      <c r="AH780" s="250"/>
      <c r="AI780" s="250"/>
      <c r="AJ780" s="250"/>
      <c r="AK780" s="250"/>
      <c r="AL780" s="250"/>
      <c r="AM780" s="250"/>
      <c r="AN780" s="250"/>
      <c r="AO780" s="250"/>
      <c r="AP780" s="250"/>
      <c r="AQ780" s="250"/>
      <c r="AR780" s="250"/>
      <c r="AS780" s="250"/>
      <c r="AT780" s="250"/>
      <c r="AU780" s="250"/>
      <c r="AV780" s="124"/>
    </row>
    <row r="781" spans="2:48" s="475" customFormat="1" x14ac:dyDescent="0.2">
      <c r="B781" s="250"/>
      <c r="C781" s="250"/>
      <c r="D781" s="250"/>
      <c r="E781" s="250"/>
      <c r="F781" s="250"/>
      <c r="G781" s="250"/>
      <c r="H781" s="250"/>
      <c r="I781" s="250"/>
      <c r="J781" s="250"/>
      <c r="K781" s="250"/>
      <c r="L781" s="250"/>
      <c r="M781" s="250"/>
      <c r="N781" s="250"/>
      <c r="O781" s="250"/>
      <c r="P781" s="250"/>
      <c r="Q781" s="250"/>
      <c r="R781" s="250"/>
      <c r="S781" s="250"/>
      <c r="T781" s="250"/>
      <c r="U781" s="250"/>
      <c r="V781" s="250"/>
      <c r="W781" s="250"/>
      <c r="X781" s="250"/>
      <c r="Y781" s="250"/>
      <c r="Z781" s="250"/>
      <c r="AA781" s="250"/>
      <c r="AB781" s="250"/>
      <c r="AC781" s="250"/>
      <c r="AD781" s="250"/>
      <c r="AE781" s="250"/>
      <c r="AF781" s="250"/>
      <c r="AG781" s="250"/>
      <c r="AH781" s="250"/>
      <c r="AI781" s="250"/>
      <c r="AJ781" s="250"/>
      <c r="AK781" s="250"/>
      <c r="AL781" s="250"/>
      <c r="AM781" s="250"/>
      <c r="AN781" s="250"/>
      <c r="AO781" s="250"/>
      <c r="AP781" s="250"/>
      <c r="AQ781" s="250"/>
      <c r="AR781" s="250"/>
      <c r="AS781" s="250"/>
      <c r="AT781" s="250"/>
      <c r="AU781" s="250"/>
      <c r="AV781" s="124"/>
    </row>
    <row r="782" spans="2:48" s="475" customFormat="1" x14ac:dyDescent="0.2">
      <c r="B782" s="250"/>
      <c r="C782" s="250"/>
      <c r="D782" s="250"/>
      <c r="E782" s="250"/>
      <c r="F782" s="250"/>
      <c r="G782" s="250"/>
      <c r="H782" s="250"/>
      <c r="I782" s="250"/>
      <c r="J782" s="250"/>
      <c r="K782" s="250"/>
      <c r="L782" s="250"/>
      <c r="M782" s="250"/>
      <c r="N782" s="250"/>
      <c r="O782" s="250"/>
      <c r="P782" s="250"/>
      <c r="Q782" s="250"/>
      <c r="R782" s="250"/>
      <c r="S782" s="250"/>
      <c r="T782" s="250"/>
      <c r="U782" s="250"/>
      <c r="V782" s="250"/>
      <c r="W782" s="250"/>
      <c r="X782" s="250"/>
      <c r="Y782" s="250"/>
      <c r="Z782" s="250"/>
      <c r="AA782" s="250"/>
      <c r="AB782" s="250"/>
      <c r="AC782" s="250"/>
      <c r="AD782" s="250"/>
      <c r="AE782" s="250"/>
      <c r="AF782" s="250"/>
      <c r="AG782" s="250"/>
      <c r="AH782" s="250"/>
      <c r="AI782" s="250"/>
      <c r="AJ782" s="250"/>
      <c r="AK782" s="250"/>
      <c r="AL782" s="250"/>
      <c r="AM782" s="250"/>
      <c r="AN782" s="250"/>
      <c r="AO782" s="250"/>
      <c r="AP782" s="250"/>
      <c r="AQ782" s="250"/>
      <c r="AR782" s="250"/>
      <c r="AS782" s="250"/>
      <c r="AT782" s="250"/>
      <c r="AU782" s="250"/>
      <c r="AV782" s="124"/>
    </row>
    <row r="783" spans="2:48" s="475" customFormat="1" x14ac:dyDescent="0.2">
      <c r="B783" s="250"/>
      <c r="C783" s="250"/>
      <c r="D783" s="250"/>
      <c r="E783" s="250"/>
      <c r="F783" s="250"/>
      <c r="G783" s="250"/>
      <c r="H783" s="250"/>
      <c r="I783" s="250"/>
      <c r="J783" s="250"/>
      <c r="K783" s="250"/>
      <c r="L783" s="250"/>
      <c r="M783" s="250"/>
      <c r="N783" s="250"/>
      <c r="O783" s="250"/>
      <c r="P783" s="250"/>
      <c r="Q783" s="250"/>
      <c r="R783" s="250"/>
      <c r="S783" s="250"/>
      <c r="T783" s="250"/>
      <c r="U783" s="250"/>
      <c r="V783" s="250"/>
      <c r="W783" s="250"/>
      <c r="X783" s="250"/>
      <c r="Y783" s="250"/>
      <c r="Z783" s="250"/>
      <c r="AA783" s="250"/>
      <c r="AB783" s="250"/>
      <c r="AC783" s="250"/>
      <c r="AD783" s="250"/>
      <c r="AE783" s="250"/>
      <c r="AF783" s="250"/>
      <c r="AG783" s="250"/>
      <c r="AH783" s="250"/>
      <c r="AI783" s="250"/>
      <c r="AJ783" s="250"/>
      <c r="AK783" s="250"/>
      <c r="AL783" s="250"/>
      <c r="AM783" s="250"/>
      <c r="AN783" s="250"/>
      <c r="AO783" s="250"/>
      <c r="AP783" s="250"/>
      <c r="AQ783" s="250"/>
      <c r="AR783" s="250"/>
      <c r="AS783" s="250"/>
      <c r="AT783" s="250"/>
      <c r="AU783" s="250"/>
      <c r="AV783" s="124"/>
    </row>
    <row r="784" spans="2:48" s="475" customFormat="1" x14ac:dyDescent="0.2">
      <c r="B784" s="250"/>
      <c r="C784" s="250"/>
      <c r="D784" s="250"/>
      <c r="E784" s="250"/>
      <c r="F784" s="250"/>
      <c r="G784" s="250"/>
      <c r="H784" s="250"/>
      <c r="I784" s="250"/>
      <c r="J784" s="250"/>
      <c r="K784" s="250"/>
      <c r="L784" s="250"/>
      <c r="M784" s="250"/>
      <c r="N784" s="250"/>
      <c r="O784" s="250"/>
      <c r="P784" s="250"/>
      <c r="Q784" s="250"/>
      <c r="R784" s="250"/>
      <c r="S784" s="250"/>
      <c r="T784" s="250"/>
      <c r="U784" s="250"/>
      <c r="V784" s="250"/>
      <c r="W784" s="250"/>
      <c r="X784" s="250"/>
      <c r="Y784" s="250"/>
      <c r="Z784" s="250"/>
      <c r="AA784" s="250"/>
      <c r="AB784" s="250"/>
      <c r="AC784" s="250"/>
      <c r="AD784" s="250"/>
      <c r="AE784" s="250"/>
      <c r="AF784" s="250"/>
      <c r="AG784" s="250"/>
      <c r="AH784" s="250"/>
      <c r="AI784" s="250"/>
      <c r="AJ784" s="250"/>
      <c r="AK784" s="250"/>
      <c r="AL784" s="250"/>
      <c r="AM784" s="250"/>
      <c r="AN784" s="250"/>
      <c r="AO784" s="250"/>
      <c r="AP784" s="250"/>
      <c r="AQ784" s="250"/>
      <c r="AR784" s="250"/>
      <c r="AS784" s="250"/>
      <c r="AT784" s="250"/>
      <c r="AU784" s="250"/>
      <c r="AV784" s="124"/>
    </row>
    <row r="785" spans="2:48" s="475" customFormat="1" x14ac:dyDescent="0.2">
      <c r="B785" s="250"/>
      <c r="C785" s="250"/>
      <c r="D785" s="250"/>
      <c r="E785" s="250"/>
      <c r="F785" s="250"/>
      <c r="G785" s="250"/>
      <c r="H785" s="250"/>
      <c r="I785" s="250"/>
      <c r="J785" s="250"/>
      <c r="K785" s="250"/>
      <c r="L785" s="250"/>
      <c r="M785" s="250"/>
      <c r="N785" s="250"/>
      <c r="O785" s="250"/>
      <c r="P785" s="250"/>
      <c r="Q785" s="250"/>
      <c r="R785" s="250"/>
      <c r="S785" s="250"/>
      <c r="T785" s="250"/>
      <c r="U785" s="250"/>
      <c r="V785" s="250"/>
      <c r="W785" s="250"/>
      <c r="X785" s="250"/>
      <c r="Y785" s="250"/>
      <c r="Z785" s="250"/>
      <c r="AA785" s="250"/>
      <c r="AB785" s="250"/>
      <c r="AC785" s="250"/>
      <c r="AD785" s="250"/>
      <c r="AE785" s="250"/>
      <c r="AF785" s="250"/>
      <c r="AG785" s="250"/>
      <c r="AH785" s="250"/>
      <c r="AI785" s="250"/>
      <c r="AJ785" s="250"/>
      <c r="AK785" s="250"/>
      <c r="AL785" s="250"/>
      <c r="AM785" s="250"/>
      <c r="AN785" s="250"/>
      <c r="AO785" s="250"/>
      <c r="AP785" s="250"/>
      <c r="AQ785" s="250"/>
      <c r="AR785" s="250"/>
      <c r="AS785" s="250"/>
      <c r="AT785" s="250"/>
      <c r="AU785" s="250"/>
      <c r="AV785" s="124"/>
    </row>
    <row r="786" spans="2:48" s="475" customFormat="1" x14ac:dyDescent="0.2">
      <c r="B786" s="250"/>
      <c r="C786" s="250"/>
      <c r="D786" s="250"/>
      <c r="E786" s="250"/>
      <c r="F786" s="250"/>
      <c r="G786" s="250"/>
      <c r="H786" s="250"/>
      <c r="I786" s="250"/>
      <c r="J786" s="250"/>
      <c r="K786" s="250"/>
      <c r="L786" s="250"/>
      <c r="M786" s="250"/>
      <c r="N786" s="250"/>
      <c r="O786" s="250"/>
      <c r="P786" s="250"/>
      <c r="Q786" s="250"/>
      <c r="R786" s="250"/>
      <c r="S786" s="250"/>
      <c r="T786" s="250"/>
      <c r="U786" s="250"/>
      <c r="V786" s="250"/>
      <c r="W786" s="250"/>
      <c r="X786" s="250"/>
      <c r="Y786" s="250"/>
      <c r="Z786" s="250"/>
      <c r="AA786" s="250"/>
      <c r="AB786" s="250"/>
      <c r="AC786" s="250"/>
      <c r="AD786" s="250"/>
      <c r="AE786" s="250"/>
      <c r="AF786" s="250"/>
      <c r="AG786" s="250"/>
      <c r="AH786" s="250"/>
      <c r="AI786" s="250"/>
      <c r="AJ786" s="250"/>
      <c r="AK786" s="250"/>
      <c r="AL786" s="250"/>
      <c r="AM786" s="250"/>
      <c r="AN786" s="250"/>
      <c r="AO786" s="250"/>
      <c r="AP786" s="250"/>
      <c r="AQ786" s="250"/>
      <c r="AR786" s="250"/>
      <c r="AS786" s="250"/>
      <c r="AT786" s="250"/>
      <c r="AU786" s="250"/>
      <c r="AV786" s="124"/>
    </row>
    <row r="787" spans="2:48" s="475" customFormat="1" x14ac:dyDescent="0.2">
      <c r="B787" s="250"/>
      <c r="C787" s="250"/>
      <c r="D787" s="250"/>
      <c r="E787" s="250"/>
      <c r="F787" s="250"/>
      <c r="G787" s="250"/>
      <c r="H787" s="250"/>
      <c r="I787" s="250"/>
      <c r="J787" s="250"/>
      <c r="K787" s="250"/>
      <c r="L787" s="250"/>
      <c r="M787" s="250"/>
      <c r="N787" s="250"/>
      <c r="O787" s="250"/>
      <c r="P787" s="250"/>
      <c r="Q787" s="250"/>
      <c r="R787" s="250"/>
      <c r="S787" s="250"/>
      <c r="T787" s="250"/>
      <c r="U787" s="250"/>
      <c r="V787" s="250"/>
      <c r="W787" s="250"/>
      <c r="X787" s="250"/>
      <c r="Y787" s="250"/>
      <c r="Z787" s="250"/>
      <c r="AA787" s="250"/>
      <c r="AB787" s="250"/>
      <c r="AC787" s="250"/>
      <c r="AD787" s="250"/>
      <c r="AE787" s="250"/>
      <c r="AF787" s="250"/>
      <c r="AG787" s="250"/>
      <c r="AH787" s="250"/>
      <c r="AI787" s="250"/>
      <c r="AJ787" s="250"/>
      <c r="AK787" s="250"/>
      <c r="AL787" s="250"/>
      <c r="AM787" s="250"/>
      <c r="AN787" s="250"/>
      <c r="AO787" s="250"/>
      <c r="AP787" s="250"/>
      <c r="AQ787" s="250"/>
      <c r="AR787" s="250"/>
      <c r="AS787" s="250"/>
      <c r="AT787" s="250"/>
      <c r="AU787" s="250"/>
      <c r="AV787" s="124"/>
    </row>
    <row r="788" spans="2:48" s="475" customFormat="1" x14ac:dyDescent="0.2">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c r="AA788" s="250"/>
      <c r="AB788" s="250"/>
      <c r="AC788" s="250"/>
      <c r="AD788" s="250"/>
      <c r="AE788" s="250"/>
      <c r="AF788" s="250"/>
      <c r="AG788" s="250"/>
      <c r="AH788" s="250"/>
      <c r="AI788" s="250"/>
      <c r="AJ788" s="250"/>
      <c r="AK788" s="250"/>
      <c r="AL788" s="250"/>
      <c r="AM788" s="250"/>
      <c r="AN788" s="250"/>
      <c r="AO788" s="250"/>
      <c r="AP788" s="250"/>
      <c r="AQ788" s="250"/>
      <c r="AR788" s="250"/>
      <c r="AS788" s="250"/>
      <c r="AT788" s="250"/>
      <c r="AU788" s="250"/>
      <c r="AV788" s="124"/>
    </row>
    <row r="789" spans="2:48" s="475" customFormat="1" x14ac:dyDescent="0.2">
      <c r="B789" s="250"/>
      <c r="C789" s="250"/>
      <c r="D789" s="250"/>
      <c r="E789" s="250"/>
      <c r="F789" s="250"/>
      <c r="G789" s="250"/>
      <c r="H789" s="250"/>
      <c r="I789" s="250"/>
      <c r="J789" s="250"/>
      <c r="K789" s="250"/>
      <c r="L789" s="250"/>
      <c r="M789" s="250"/>
      <c r="N789" s="250"/>
      <c r="O789" s="250"/>
      <c r="P789" s="250"/>
      <c r="Q789" s="250"/>
      <c r="R789" s="250"/>
      <c r="S789" s="250"/>
      <c r="T789" s="250"/>
      <c r="U789" s="250"/>
      <c r="V789" s="250"/>
      <c r="W789" s="250"/>
      <c r="X789" s="250"/>
      <c r="Y789" s="250"/>
      <c r="Z789" s="250"/>
      <c r="AA789" s="250"/>
      <c r="AB789" s="250"/>
      <c r="AC789" s="250"/>
      <c r="AD789" s="250"/>
      <c r="AE789" s="250"/>
      <c r="AF789" s="250"/>
      <c r="AG789" s="250"/>
      <c r="AH789" s="250"/>
      <c r="AI789" s="250"/>
      <c r="AJ789" s="250"/>
      <c r="AK789" s="250"/>
      <c r="AL789" s="250"/>
      <c r="AM789" s="250"/>
      <c r="AN789" s="250"/>
      <c r="AO789" s="250"/>
      <c r="AP789" s="250"/>
      <c r="AQ789" s="250"/>
      <c r="AR789" s="250"/>
      <c r="AS789" s="250"/>
      <c r="AT789" s="250"/>
      <c r="AU789" s="250"/>
      <c r="AV789" s="124"/>
    </row>
    <row r="790" spans="2:48" s="475" customFormat="1" x14ac:dyDescent="0.2">
      <c r="B790" s="250"/>
      <c r="C790" s="250"/>
      <c r="D790" s="250"/>
      <c r="E790" s="250"/>
      <c r="F790" s="250"/>
      <c r="G790" s="250"/>
      <c r="H790" s="250"/>
      <c r="I790" s="250"/>
      <c r="J790" s="250"/>
      <c r="K790" s="250"/>
      <c r="L790" s="250"/>
      <c r="M790" s="250"/>
      <c r="N790" s="250"/>
      <c r="O790" s="250"/>
      <c r="P790" s="250"/>
      <c r="Q790" s="250"/>
      <c r="R790" s="250"/>
      <c r="S790" s="250"/>
      <c r="T790" s="250"/>
      <c r="U790" s="250"/>
      <c r="V790" s="250"/>
      <c r="W790" s="250"/>
      <c r="X790" s="250"/>
      <c r="Y790" s="250"/>
      <c r="Z790" s="250"/>
      <c r="AA790" s="250"/>
      <c r="AB790" s="250"/>
      <c r="AC790" s="250"/>
      <c r="AD790" s="250"/>
      <c r="AE790" s="250"/>
      <c r="AF790" s="250"/>
      <c r="AG790" s="250"/>
      <c r="AH790" s="250"/>
      <c r="AI790" s="250"/>
      <c r="AJ790" s="250"/>
      <c r="AK790" s="250"/>
      <c r="AL790" s="250"/>
      <c r="AM790" s="250"/>
      <c r="AN790" s="250"/>
      <c r="AO790" s="250"/>
      <c r="AP790" s="250"/>
      <c r="AQ790" s="250"/>
      <c r="AR790" s="250"/>
      <c r="AS790" s="250"/>
      <c r="AT790" s="250"/>
      <c r="AU790" s="250"/>
      <c r="AV790" s="124"/>
    </row>
    <row r="791" spans="2:48" s="475" customFormat="1" x14ac:dyDescent="0.2">
      <c r="B791" s="250"/>
      <c r="C791" s="250"/>
      <c r="D791" s="250"/>
      <c r="E791" s="250"/>
      <c r="F791" s="250"/>
      <c r="G791" s="250"/>
      <c r="H791" s="250"/>
      <c r="I791" s="250"/>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c r="AN791" s="250"/>
      <c r="AO791" s="250"/>
      <c r="AP791" s="250"/>
      <c r="AQ791" s="250"/>
      <c r="AR791" s="250"/>
      <c r="AS791" s="250"/>
      <c r="AT791" s="250"/>
      <c r="AU791" s="250"/>
      <c r="AV791" s="124"/>
    </row>
    <row r="792" spans="2:48" s="475" customFormat="1" x14ac:dyDescent="0.2">
      <c r="B792" s="250"/>
      <c r="C792" s="250"/>
      <c r="D792" s="250"/>
      <c r="E792" s="250"/>
      <c r="F792" s="250"/>
      <c r="G792" s="250"/>
      <c r="H792" s="250"/>
      <c r="I792" s="250"/>
      <c r="J792" s="250"/>
      <c r="K792" s="250"/>
      <c r="L792" s="250"/>
      <c r="M792" s="250"/>
      <c r="N792" s="250"/>
      <c r="O792" s="250"/>
      <c r="P792" s="250"/>
      <c r="Q792" s="250"/>
      <c r="R792" s="250"/>
      <c r="S792" s="250"/>
      <c r="T792" s="250"/>
      <c r="U792" s="250"/>
      <c r="V792" s="250"/>
      <c r="W792" s="250"/>
      <c r="X792" s="250"/>
      <c r="Y792" s="250"/>
      <c r="Z792" s="250"/>
      <c r="AA792" s="250"/>
      <c r="AB792" s="250"/>
      <c r="AC792" s="250"/>
      <c r="AD792" s="250"/>
      <c r="AE792" s="250"/>
      <c r="AF792" s="250"/>
      <c r="AG792" s="250"/>
      <c r="AH792" s="250"/>
      <c r="AI792" s="250"/>
      <c r="AJ792" s="250"/>
      <c r="AK792" s="250"/>
      <c r="AL792" s="250"/>
      <c r="AM792" s="250"/>
      <c r="AN792" s="250"/>
      <c r="AO792" s="250"/>
      <c r="AP792" s="250"/>
      <c r="AQ792" s="250"/>
      <c r="AR792" s="250"/>
      <c r="AS792" s="250"/>
      <c r="AT792" s="250"/>
      <c r="AU792" s="250"/>
      <c r="AV792" s="124"/>
    </row>
    <row r="793" spans="2:48" s="475" customFormat="1" x14ac:dyDescent="0.2">
      <c r="B793" s="250"/>
      <c r="C793" s="250"/>
      <c r="D793" s="250"/>
      <c r="E793" s="250"/>
      <c r="F793" s="250"/>
      <c r="G793" s="250"/>
      <c r="H793" s="250"/>
      <c r="I793" s="250"/>
      <c r="J793" s="250"/>
      <c r="K793" s="250"/>
      <c r="L793" s="250"/>
      <c r="M793" s="250"/>
      <c r="N793" s="250"/>
      <c r="O793" s="250"/>
      <c r="P793" s="250"/>
      <c r="Q793" s="250"/>
      <c r="R793" s="250"/>
      <c r="S793" s="250"/>
      <c r="T793" s="250"/>
      <c r="U793" s="250"/>
      <c r="V793" s="250"/>
      <c r="W793" s="250"/>
      <c r="X793" s="250"/>
      <c r="Y793" s="250"/>
      <c r="Z793" s="250"/>
      <c r="AA793" s="250"/>
      <c r="AB793" s="250"/>
      <c r="AC793" s="250"/>
      <c r="AD793" s="250"/>
      <c r="AE793" s="250"/>
      <c r="AF793" s="250"/>
      <c r="AG793" s="250"/>
      <c r="AH793" s="250"/>
      <c r="AI793" s="250"/>
      <c r="AJ793" s="250"/>
      <c r="AK793" s="250"/>
      <c r="AL793" s="250"/>
      <c r="AM793" s="250"/>
      <c r="AN793" s="250"/>
      <c r="AO793" s="250"/>
      <c r="AP793" s="250"/>
      <c r="AQ793" s="250"/>
      <c r="AR793" s="250"/>
      <c r="AS793" s="250"/>
      <c r="AT793" s="250"/>
      <c r="AU793" s="250"/>
      <c r="AV793" s="124"/>
    </row>
    <row r="794" spans="2:48" s="475" customFormat="1" x14ac:dyDescent="0.2">
      <c r="B794" s="250"/>
      <c r="C794" s="250"/>
      <c r="D794" s="250"/>
      <c r="E794" s="250"/>
      <c r="F794" s="250"/>
      <c r="G794" s="250"/>
      <c r="H794" s="250"/>
      <c r="I794" s="250"/>
      <c r="J794" s="250"/>
      <c r="K794" s="250"/>
      <c r="L794" s="250"/>
      <c r="M794" s="250"/>
      <c r="N794" s="250"/>
      <c r="O794" s="250"/>
      <c r="P794" s="250"/>
      <c r="Q794" s="250"/>
      <c r="R794" s="250"/>
      <c r="S794" s="250"/>
      <c r="T794" s="250"/>
      <c r="U794" s="250"/>
      <c r="V794" s="250"/>
      <c r="W794" s="250"/>
      <c r="X794" s="250"/>
      <c r="Y794" s="250"/>
      <c r="Z794" s="250"/>
      <c r="AA794" s="250"/>
      <c r="AB794" s="250"/>
      <c r="AC794" s="250"/>
      <c r="AD794" s="250"/>
      <c r="AE794" s="250"/>
      <c r="AF794" s="250"/>
      <c r="AG794" s="250"/>
      <c r="AH794" s="250"/>
      <c r="AI794" s="250"/>
      <c r="AJ794" s="250"/>
      <c r="AK794" s="250"/>
      <c r="AL794" s="250"/>
      <c r="AM794" s="250"/>
      <c r="AN794" s="250"/>
      <c r="AO794" s="250"/>
      <c r="AP794" s="250"/>
      <c r="AQ794" s="250"/>
      <c r="AR794" s="250"/>
      <c r="AS794" s="250"/>
      <c r="AT794" s="250"/>
      <c r="AU794" s="250"/>
      <c r="AV794" s="124"/>
    </row>
    <row r="795" spans="2:48" s="475" customFormat="1" x14ac:dyDescent="0.2">
      <c r="B795" s="250"/>
      <c r="C795" s="250"/>
      <c r="D795" s="250"/>
      <c r="E795" s="250"/>
      <c r="F795" s="250"/>
      <c r="G795" s="250"/>
      <c r="H795" s="250"/>
      <c r="I795" s="250"/>
      <c r="J795" s="250"/>
      <c r="K795" s="250"/>
      <c r="L795" s="250"/>
      <c r="M795" s="250"/>
      <c r="N795" s="250"/>
      <c r="O795" s="250"/>
      <c r="P795" s="250"/>
      <c r="Q795" s="250"/>
      <c r="R795" s="250"/>
      <c r="S795" s="250"/>
      <c r="T795" s="250"/>
      <c r="U795" s="250"/>
      <c r="V795" s="250"/>
      <c r="W795" s="250"/>
      <c r="X795" s="250"/>
      <c r="Y795" s="250"/>
      <c r="Z795" s="250"/>
      <c r="AA795" s="250"/>
      <c r="AB795" s="250"/>
      <c r="AC795" s="250"/>
      <c r="AD795" s="250"/>
      <c r="AE795" s="250"/>
      <c r="AF795" s="250"/>
      <c r="AG795" s="250"/>
      <c r="AH795" s="250"/>
      <c r="AI795" s="250"/>
      <c r="AJ795" s="250"/>
      <c r="AK795" s="250"/>
      <c r="AL795" s="250"/>
      <c r="AM795" s="250"/>
      <c r="AN795" s="250"/>
      <c r="AO795" s="250"/>
      <c r="AP795" s="250"/>
      <c r="AQ795" s="250"/>
      <c r="AR795" s="250"/>
      <c r="AS795" s="250"/>
      <c r="AT795" s="250"/>
      <c r="AU795" s="250"/>
      <c r="AV795" s="124"/>
    </row>
    <row r="796" spans="2:48" s="475" customFormat="1" x14ac:dyDescent="0.2">
      <c r="B796" s="250"/>
      <c r="C796" s="250"/>
      <c r="D796" s="250"/>
      <c r="E796" s="250"/>
      <c r="F796" s="250"/>
      <c r="G796" s="250"/>
      <c r="H796" s="250"/>
      <c r="I796" s="250"/>
      <c r="J796" s="250"/>
      <c r="K796" s="250"/>
      <c r="L796" s="250"/>
      <c r="M796" s="250"/>
      <c r="N796" s="250"/>
      <c r="O796" s="250"/>
      <c r="P796" s="250"/>
      <c r="Q796" s="250"/>
      <c r="R796" s="250"/>
      <c r="S796" s="250"/>
      <c r="T796" s="250"/>
      <c r="U796" s="250"/>
      <c r="V796" s="250"/>
      <c r="W796" s="250"/>
      <c r="X796" s="250"/>
      <c r="Y796" s="250"/>
      <c r="Z796" s="250"/>
      <c r="AA796" s="250"/>
      <c r="AB796" s="250"/>
      <c r="AC796" s="250"/>
      <c r="AD796" s="250"/>
      <c r="AE796" s="250"/>
      <c r="AF796" s="250"/>
      <c r="AG796" s="250"/>
      <c r="AH796" s="250"/>
      <c r="AI796" s="250"/>
      <c r="AJ796" s="250"/>
      <c r="AK796" s="250"/>
      <c r="AL796" s="250"/>
      <c r="AM796" s="250"/>
      <c r="AN796" s="250"/>
      <c r="AO796" s="250"/>
      <c r="AP796" s="250"/>
      <c r="AQ796" s="250"/>
      <c r="AR796" s="250"/>
      <c r="AS796" s="250"/>
      <c r="AT796" s="250"/>
      <c r="AU796" s="250"/>
      <c r="AV796" s="124"/>
    </row>
    <row r="797" spans="2:48" s="475" customFormat="1" x14ac:dyDescent="0.2">
      <c r="B797" s="250"/>
      <c r="C797" s="250"/>
      <c r="D797" s="250"/>
      <c r="E797" s="250"/>
      <c r="F797" s="250"/>
      <c r="G797" s="250"/>
      <c r="H797" s="250"/>
      <c r="I797" s="250"/>
      <c r="J797" s="250"/>
      <c r="K797" s="250"/>
      <c r="L797" s="250"/>
      <c r="M797" s="250"/>
      <c r="N797" s="250"/>
      <c r="O797" s="250"/>
      <c r="P797" s="250"/>
      <c r="Q797" s="250"/>
      <c r="R797" s="250"/>
      <c r="S797" s="250"/>
      <c r="T797" s="250"/>
      <c r="U797" s="250"/>
      <c r="V797" s="250"/>
      <c r="W797" s="250"/>
      <c r="X797" s="250"/>
      <c r="Y797" s="250"/>
      <c r="Z797" s="250"/>
      <c r="AA797" s="250"/>
      <c r="AB797" s="250"/>
      <c r="AC797" s="250"/>
      <c r="AD797" s="250"/>
      <c r="AE797" s="250"/>
      <c r="AF797" s="250"/>
      <c r="AG797" s="250"/>
      <c r="AH797" s="250"/>
      <c r="AI797" s="250"/>
      <c r="AJ797" s="250"/>
      <c r="AK797" s="250"/>
      <c r="AL797" s="250"/>
      <c r="AM797" s="250"/>
      <c r="AN797" s="250"/>
      <c r="AO797" s="250"/>
      <c r="AP797" s="250"/>
      <c r="AQ797" s="250"/>
      <c r="AR797" s="250"/>
      <c r="AS797" s="250"/>
      <c r="AT797" s="250"/>
      <c r="AU797" s="250"/>
      <c r="AV797" s="124"/>
    </row>
    <row r="798" spans="2:48" s="475" customFormat="1" x14ac:dyDescent="0.2">
      <c r="B798" s="250"/>
      <c r="C798" s="250"/>
      <c r="D798" s="250"/>
      <c r="E798" s="250"/>
      <c r="F798" s="250"/>
      <c r="G798" s="250"/>
      <c r="H798" s="250"/>
      <c r="I798" s="250"/>
      <c r="J798" s="250"/>
      <c r="K798" s="250"/>
      <c r="L798" s="250"/>
      <c r="M798" s="250"/>
      <c r="N798" s="250"/>
      <c r="O798" s="250"/>
      <c r="P798" s="250"/>
      <c r="Q798" s="250"/>
      <c r="R798" s="250"/>
      <c r="S798" s="250"/>
      <c r="T798" s="250"/>
      <c r="U798" s="250"/>
      <c r="V798" s="250"/>
      <c r="W798" s="250"/>
      <c r="X798" s="250"/>
      <c r="Y798" s="250"/>
      <c r="Z798" s="250"/>
      <c r="AA798" s="250"/>
      <c r="AB798" s="250"/>
      <c r="AC798" s="250"/>
      <c r="AD798" s="250"/>
      <c r="AE798" s="250"/>
      <c r="AF798" s="250"/>
      <c r="AG798" s="250"/>
      <c r="AH798" s="250"/>
      <c r="AI798" s="250"/>
      <c r="AJ798" s="250"/>
      <c r="AK798" s="250"/>
      <c r="AL798" s="250"/>
      <c r="AM798" s="250"/>
      <c r="AN798" s="250"/>
      <c r="AO798" s="250"/>
      <c r="AP798" s="250"/>
      <c r="AQ798" s="250"/>
      <c r="AR798" s="250"/>
      <c r="AS798" s="250"/>
      <c r="AT798" s="250"/>
      <c r="AU798" s="250"/>
      <c r="AV798" s="124"/>
    </row>
    <row r="799" spans="2:48" s="475" customFormat="1" x14ac:dyDescent="0.2">
      <c r="B799" s="250"/>
      <c r="C799" s="250"/>
      <c r="D799" s="250"/>
      <c r="E799" s="250"/>
      <c r="F799" s="250"/>
      <c r="G799" s="250"/>
      <c r="H799" s="250"/>
      <c r="I799" s="250"/>
      <c r="J799" s="250"/>
      <c r="K799" s="250"/>
      <c r="L799" s="250"/>
      <c r="M799" s="250"/>
      <c r="N799" s="250"/>
      <c r="O799" s="250"/>
      <c r="P799" s="250"/>
      <c r="Q799" s="250"/>
      <c r="R799" s="250"/>
      <c r="S799" s="250"/>
      <c r="T799" s="250"/>
      <c r="U799" s="250"/>
      <c r="V799" s="250"/>
      <c r="W799" s="250"/>
      <c r="X799" s="250"/>
      <c r="Y799" s="250"/>
      <c r="Z799" s="250"/>
      <c r="AA799" s="250"/>
      <c r="AB799" s="250"/>
      <c r="AC799" s="250"/>
      <c r="AD799" s="250"/>
      <c r="AE799" s="250"/>
      <c r="AF799" s="250"/>
      <c r="AG799" s="250"/>
      <c r="AH799" s="250"/>
      <c r="AI799" s="250"/>
      <c r="AJ799" s="250"/>
      <c r="AK799" s="250"/>
      <c r="AL799" s="250"/>
      <c r="AM799" s="250"/>
      <c r="AN799" s="250"/>
      <c r="AO799" s="250"/>
      <c r="AP799" s="250"/>
      <c r="AQ799" s="250"/>
      <c r="AR799" s="250"/>
      <c r="AS799" s="250"/>
      <c r="AT799" s="250"/>
      <c r="AU799" s="250"/>
      <c r="AV799" s="124"/>
    </row>
    <row r="800" spans="2:48" s="475" customFormat="1" x14ac:dyDescent="0.2">
      <c r="B800" s="250"/>
      <c r="C800" s="250"/>
      <c r="D800" s="250"/>
      <c r="E800" s="250"/>
      <c r="F800" s="250"/>
      <c r="G800" s="250"/>
      <c r="H800" s="250"/>
      <c r="I800" s="250"/>
      <c r="J800" s="250"/>
      <c r="K800" s="250"/>
      <c r="L800" s="250"/>
      <c r="M800" s="250"/>
      <c r="N800" s="250"/>
      <c r="O800" s="250"/>
      <c r="P800" s="250"/>
      <c r="Q800" s="250"/>
      <c r="R800" s="250"/>
      <c r="S800" s="250"/>
      <c r="T800" s="250"/>
      <c r="U800" s="250"/>
      <c r="V800" s="250"/>
      <c r="W800" s="250"/>
      <c r="X800" s="250"/>
      <c r="Y800" s="250"/>
      <c r="Z800" s="250"/>
      <c r="AA800" s="250"/>
      <c r="AB800" s="250"/>
      <c r="AC800" s="250"/>
      <c r="AD800" s="250"/>
      <c r="AE800" s="250"/>
      <c r="AF800" s="250"/>
      <c r="AG800" s="250"/>
      <c r="AH800" s="250"/>
      <c r="AI800" s="250"/>
      <c r="AJ800" s="250"/>
      <c r="AK800" s="250"/>
      <c r="AL800" s="250"/>
      <c r="AM800" s="250"/>
      <c r="AN800" s="250"/>
      <c r="AO800" s="250"/>
      <c r="AP800" s="250"/>
      <c r="AQ800" s="250"/>
      <c r="AR800" s="250"/>
      <c r="AS800" s="250"/>
      <c r="AT800" s="250"/>
      <c r="AU800" s="250"/>
      <c r="AV800" s="124"/>
    </row>
    <row r="801" spans="2:48" s="475" customFormat="1" x14ac:dyDescent="0.2">
      <c r="B801" s="250"/>
      <c r="C801" s="250"/>
      <c r="D801" s="250"/>
      <c r="E801" s="250"/>
      <c r="F801" s="250"/>
      <c r="G801" s="250"/>
      <c r="H801" s="250"/>
      <c r="I801" s="250"/>
      <c r="J801" s="250"/>
      <c r="K801" s="250"/>
      <c r="L801" s="250"/>
      <c r="M801" s="250"/>
      <c r="N801" s="250"/>
      <c r="O801" s="250"/>
      <c r="P801" s="250"/>
      <c r="Q801" s="250"/>
      <c r="R801" s="250"/>
      <c r="S801" s="250"/>
      <c r="T801" s="250"/>
      <c r="U801" s="250"/>
      <c r="V801" s="250"/>
      <c r="W801" s="250"/>
      <c r="X801" s="250"/>
      <c r="Y801" s="250"/>
      <c r="Z801" s="250"/>
      <c r="AA801" s="250"/>
      <c r="AB801" s="250"/>
      <c r="AC801" s="250"/>
      <c r="AD801" s="250"/>
      <c r="AE801" s="250"/>
      <c r="AF801" s="250"/>
      <c r="AG801" s="250"/>
      <c r="AH801" s="250"/>
      <c r="AI801" s="250"/>
      <c r="AJ801" s="250"/>
      <c r="AK801" s="250"/>
      <c r="AL801" s="250"/>
      <c r="AM801" s="250"/>
      <c r="AN801" s="250"/>
      <c r="AO801" s="250"/>
      <c r="AP801" s="250"/>
      <c r="AQ801" s="250"/>
      <c r="AR801" s="250"/>
      <c r="AS801" s="250"/>
      <c r="AT801" s="250"/>
      <c r="AU801" s="250"/>
      <c r="AV801" s="124"/>
    </row>
    <row r="802" spans="2:48" s="475" customFormat="1" x14ac:dyDescent="0.2">
      <c r="B802" s="250"/>
      <c r="C802" s="250"/>
      <c r="D802" s="250"/>
      <c r="E802" s="250"/>
      <c r="F802" s="250"/>
      <c r="G802" s="250"/>
      <c r="H802" s="250"/>
      <c r="I802" s="250"/>
      <c r="J802" s="250"/>
      <c r="K802" s="250"/>
      <c r="L802" s="250"/>
      <c r="M802" s="250"/>
      <c r="N802" s="250"/>
      <c r="O802" s="250"/>
      <c r="P802" s="250"/>
      <c r="Q802" s="250"/>
      <c r="R802" s="250"/>
      <c r="S802" s="250"/>
      <c r="T802" s="250"/>
      <c r="U802" s="250"/>
      <c r="V802" s="250"/>
      <c r="W802" s="250"/>
      <c r="X802" s="250"/>
      <c r="Y802" s="250"/>
      <c r="Z802" s="250"/>
      <c r="AA802" s="250"/>
      <c r="AB802" s="250"/>
      <c r="AC802" s="250"/>
      <c r="AD802" s="250"/>
      <c r="AE802" s="250"/>
      <c r="AF802" s="250"/>
      <c r="AG802" s="250"/>
      <c r="AH802" s="250"/>
      <c r="AI802" s="250"/>
      <c r="AJ802" s="250"/>
      <c r="AK802" s="250"/>
      <c r="AL802" s="250"/>
      <c r="AM802" s="250"/>
      <c r="AN802" s="250"/>
      <c r="AO802" s="250"/>
      <c r="AP802" s="250"/>
      <c r="AQ802" s="250"/>
      <c r="AR802" s="250"/>
      <c r="AS802" s="250"/>
      <c r="AT802" s="250"/>
      <c r="AU802" s="250"/>
      <c r="AV802" s="124"/>
    </row>
    <row r="803" spans="2:48" s="475" customFormat="1" x14ac:dyDescent="0.2">
      <c r="B803" s="250"/>
      <c r="C803" s="250"/>
      <c r="D803" s="250"/>
      <c r="E803" s="250"/>
      <c r="F803" s="250"/>
      <c r="G803" s="250"/>
      <c r="H803" s="250"/>
      <c r="I803" s="250"/>
      <c r="J803" s="250"/>
      <c r="K803" s="250"/>
      <c r="L803" s="250"/>
      <c r="M803" s="250"/>
      <c r="N803" s="250"/>
      <c r="O803" s="250"/>
      <c r="P803" s="250"/>
      <c r="Q803" s="250"/>
      <c r="R803" s="250"/>
      <c r="S803" s="250"/>
      <c r="T803" s="250"/>
      <c r="U803" s="250"/>
      <c r="V803" s="250"/>
      <c r="W803" s="250"/>
      <c r="X803" s="250"/>
      <c r="Y803" s="250"/>
      <c r="Z803" s="250"/>
      <c r="AA803" s="250"/>
      <c r="AB803" s="250"/>
      <c r="AC803" s="250"/>
      <c r="AD803" s="250"/>
      <c r="AE803" s="250"/>
      <c r="AF803" s="250"/>
      <c r="AG803" s="250"/>
      <c r="AH803" s="250"/>
      <c r="AI803" s="250"/>
      <c r="AJ803" s="250"/>
      <c r="AK803" s="250"/>
      <c r="AL803" s="250"/>
      <c r="AM803" s="250"/>
      <c r="AN803" s="250"/>
      <c r="AO803" s="250"/>
      <c r="AP803" s="250"/>
      <c r="AQ803" s="250"/>
      <c r="AR803" s="250"/>
      <c r="AS803" s="250"/>
      <c r="AT803" s="250"/>
      <c r="AU803" s="250"/>
      <c r="AV803" s="124"/>
    </row>
    <row r="804" spans="2:48" s="475" customFormat="1" x14ac:dyDescent="0.2">
      <c r="B804" s="250"/>
      <c r="C804" s="250"/>
      <c r="D804" s="250"/>
      <c r="E804" s="250"/>
      <c r="F804" s="250"/>
      <c r="G804" s="250"/>
      <c r="H804" s="250"/>
      <c r="I804" s="250"/>
      <c r="J804" s="250"/>
      <c r="K804" s="250"/>
      <c r="L804" s="250"/>
      <c r="M804" s="250"/>
      <c r="N804" s="250"/>
      <c r="O804" s="250"/>
      <c r="P804" s="250"/>
      <c r="Q804" s="250"/>
      <c r="R804" s="250"/>
      <c r="S804" s="250"/>
      <c r="T804" s="250"/>
      <c r="U804" s="250"/>
      <c r="V804" s="250"/>
      <c r="W804" s="250"/>
      <c r="X804" s="250"/>
      <c r="Y804" s="250"/>
      <c r="Z804" s="250"/>
      <c r="AA804" s="250"/>
      <c r="AB804" s="250"/>
      <c r="AC804" s="250"/>
      <c r="AD804" s="250"/>
      <c r="AE804" s="250"/>
      <c r="AF804" s="250"/>
      <c r="AG804" s="250"/>
      <c r="AH804" s="250"/>
      <c r="AI804" s="250"/>
      <c r="AJ804" s="250"/>
      <c r="AK804" s="250"/>
      <c r="AL804" s="250"/>
      <c r="AM804" s="250"/>
      <c r="AN804" s="250"/>
      <c r="AO804" s="250"/>
      <c r="AP804" s="250"/>
      <c r="AQ804" s="250"/>
      <c r="AR804" s="250"/>
      <c r="AS804" s="250"/>
      <c r="AT804" s="250"/>
      <c r="AU804" s="250"/>
      <c r="AV804" s="124"/>
    </row>
    <row r="805" spans="2:48" s="475" customFormat="1" x14ac:dyDescent="0.2">
      <c r="B805" s="250"/>
      <c r="C805" s="250"/>
      <c r="D805" s="250"/>
      <c r="E805" s="250"/>
      <c r="F805" s="250"/>
      <c r="G805" s="250"/>
      <c r="H805" s="250"/>
      <c r="I805" s="250"/>
      <c r="J805" s="250"/>
      <c r="K805" s="250"/>
      <c r="L805" s="250"/>
      <c r="M805" s="250"/>
      <c r="N805" s="250"/>
      <c r="O805" s="250"/>
      <c r="P805" s="250"/>
      <c r="Q805" s="250"/>
      <c r="R805" s="250"/>
      <c r="S805" s="250"/>
      <c r="T805" s="250"/>
      <c r="U805" s="250"/>
      <c r="V805" s="250"/>
      <c r="W805" s="250"/>
      <c r="X805" s="250"/>
      <c r="Y805" s="250"/>
      <c r="Z805" s="250"/>
      <c r="AA805" s="250"/>
      <c r="AB805" s="250"/>
      <c r="AC805" s="250"/>
      <c r="AD805" s="250"/>
      <c r="AE805" s="250"/>
      <c r="AF805" s="250"/>
      <c r="AG805" s="250"/>
      <c r="AH805" s="250"/>
      <c r="AI805" s="250"/>
      <c r="AJ805" s="250"/>
      <c r="AK805" s="250"/>
      <c r="AL805" s="250"/>
      <c r="AM805" s="250"/>
      <c r="AN805" s="250"/>
      <c r="AO805" s="250"/>
      <c r="AP805" s="250"/>
      <c r="AQ805" s="250"/>
      <c r="AR805" s="250"/>
      <c r="AS805" s="250"/>
      <c r="AT805" s="250"/>
      <c r="AU805" s="250"/>
      <c r="AV805" s="124"/>
    </row>
    <row r="806" spans="2:48" s="475" customFormat="1" x14ac:dyDescent="0.2">
      <c r="B806" s="250"/>
      <c r="C806" s="250"/>
      <c r="D806" s="250"/>
      <c r="E806" s="250"/>
      <c r="F806" s="250"/>
      <c r="G806" s="250"/>
      <c r="H806" s="250"/>
      <c r="I806" s="250"/>
      <c r="J806" s="250"/>
      <c r="K806" s="250"/>
      <c r="L806" s="250"/>
      <c r="M806" s="250"/>
      <c r="N806" s="250"/>
      <c r="O806" s="250"/>
      <c r="P806" s="250"/>
      <c r="Q806" s="250"/>
      <c r="R806" s="250"/>
      <c r="S806" s="250"/>
      <c r="T806" s="250"/>
      <c r="U806" s="250"/>
      <c r="V806" s="250"/>
      <c r="W806" s="250"/>
      <c r="X806" s="250"/>
      <c r="Y806" s="250"/>
      <c r="Z806" s="250"/>
      <c r="AA806" s="250"/>
      <c r="AB806" s="250"/>
      <c r="AC806" s="250"/>
      <c r="AD806" s="250"/>
      <c r="AE806" s="250"/>
      <c r="AF806" s="250"/>
      <c r="AG806" s="250"/>
      <c r="AH806" s="250"/>
      <c r="AI806" s="250"/>
      <c r="AJ806" s="250"/>
      <c r="AK806" s="250"/>
      <c r="AL806" s="250"/>
      <c r="AM806" s="250"/>
      <c r="AN806" s="250"/>
      <c r="AO806" s="250"/>
      <c r="AP806" s="250"/>
      <c r="AQ806" s="250"/>
      <c r="AR806" s="250"/>
      <c r="AS806" s="250"/>
      <c r="AT806" s="250"/>
      <c r="AU806" s="250"/>
      <c r="AV806" s="124"/>
    </row>
    <row r="807" spans="2:48" s="475" customFormat="1" x14ac:dyDescent="0.2">
      <c r="B807" s="250"/>
      <c r="C807" s="250"/>
      <c r="D807" s="250"/>
      <c r="E807" s="250"/>
      <c r="F807" s="250"/>
      <c r="G807" s="250"/>
      <c r="H807" s="250"/>
      <c r="I807" s="250"/>
      <c r="J807" s="250"/>
      <c r="K807" s="250"/>
      <c r="L807" s="250"/>
      <c r="M807" s="250"/>
      <c r="N807" s="250"/>
      <c r="O807" s="250"/>
      <c r="P807" s="250"/>
      <c r="Q807" s="250"/>
      <c r="R807" s="250"/>
      <c r="S807" s="250"/>
      <c r="T807" s="250"/>
      <c r="U807" s="250"/>
      <c r="V807" s="250"/>
      <c r="W807" s="250"/>
      <c r="X807" s="250"/>
      <c r="Y807" s="250"/>
      <c r="Z807" s="250"/>
      <c r="AA807" s="250"/>
      <c r="AB807" s="250"/>
      <c r="AC807" s="250"/>
      <c r="AD807" s="250"/>
      <c r="AE807" s="250"/>
      <c r="AF807" s="250"/>
      <c r="AG807" s="250"/>
      <c r="AH807" s="250"/>
      <c r="AI807" s="250"/>
      <c r="AJ807" s="250"/>
      <c r="AK807" s="250"/>
      <c r="AL807" s="250"/>
      <c r="AM807" s="250"/>
      <c r="AN807" s="250"/>
      <c r="AO807" s="250"/>
      <c r="AP807" s="250"/>
      <c r="AQ807" s="250"/>
      <c r="AR807" s="250"/>
      <c r="AS807" s="250"/>
      <c r="AT807" s="250"/>
      <c r="AU807" s="250"/>
      <c r="AV807" s="124"/>
    </row>
    <row r="808" spans="2:48" s="475" customFormat="1" x14ac:dyDescent="0.2">
      <c r="B808" s="250"/>
      <c r="C808" s="250"/>
      <c r="D808" s="250"/>
      <c r="E808" s="250"/>
      <c r="F808" s="250"/>
      <c r="G808" s="250"/>
      <c r="H808" s="250"/>
      <c r="I808" s="250"/>
      <c r="J808" s="250"/>
      <c r="K808" s="250"/>
      <c r="L808" s="250"/>
      <c r="M808" s="250"/>
      <c r="N808" s="250"/>
      <c r="O808" s="250"/>
      <c r="P808" s="250"/>
      <c r="Q808" s="250"/>
      <c r="R808" s="250"/>
      <c r="S808" s="250"/>
      <c r="T808" s="250"/>
      <c r="U808" s="250"/>
      <c r="V808" s="250"/>
      <c r="W808" s="250"/>
      <c r="X808" s="250"/>
      <c r="Y808" s="250"/>
      <c r="Z808" s="250"/>
      <c r="AA808" s="250"/>
      <c r="AB808" s="250"/>
      <c r="AC808" s="250"/>
      <c r="AD808" s="250"/>
      <c r="AE808" s="250"/>
      <c r="AF808" s="250"/>
      <c r="AG808" s="250"/>
      <c r="AH808" s="250"/>
      <c r="AI808" s="250"/>
      <c r="AJ808" s="250"/>
      <c r="AK808" s="250"/>
      <c r="AL808" s="250"/>
      <c r="AM808" s="250"/>
      <c r="AN808" s="250"/>
      <c r="AO808" s="250"/>
      <c r="AP808" s="250"/>
      <c r="AQ808" s="250"/>
      <c r="AR808" s="250"/>
      <c r="AS808" s="250"/>
      <c r="AT808" s="250"/>
      <c r="AU808" s="250"/>
      <c r="AV808" s="124"/>
    </row>
    <row r="809" spans="2:48" s="475" customFormat="1" x14ac:dyDescent="0.2">
      <c r="B809" s="250"/>
      <c r="C809" s="250"/>
      <c r="D809" s="250"/>
      <c r="E809" s="250"/>
      <c r="F809" s="250"/>
      <c r="G809" s="250"/>
      <c r="H809" s="250"/>
      <c r="I809" s="250"/>
      <c r="J809" s="250"/>
      <c r="K809" s="250"/>
      <c r="L809" s="250"/>
      <c r="M809" s="250"/>
      <c r="N809" s="250"/>
      <c r="O809" s="250"/>
      <c r="P809" s="250"/>
      <c r="Q809" s="250"/>
      <c r="R809" s="250"/>
      <c r="S809" s="250"/>
      <c r="T809" s="250"/>
      <c r="U809" s="250"/>
      <c r="V809" s="250"/>
      <c r="W809" s="250"/>
      <c r="X809" s="250"/>
      <c r="Y809" s="250"/>
      <c r="Z809" s="250"/>
      <c r="AA809" s="250"/>
      <c r="AB809" s="250"/>
      <c r="AC809" s="250"/>
      <c r="AD809" s="250"/>
      <c r="AE809" s="250"/>
      <c r="AF809" s="250"/>
      <c r="AG809" s="250"/>
      <c r="AH809" s="250"/>
      <c r="AI809" s="250"/>
      <c r="AJ809" s="250"/>
      <c r="AK809" s="250"/>
      <c r="AL809" s="250"/>
      <c r="AM809" s="250"/>
      <c r="AN809" s="250"/>
      <c r="AO809" s="250"/>
      <c r="AP809" s="250"/>
      <c r="AQ809" s="250"/>
      <c r="AR809" s="250"/>
      <c r="AS809" s="250"/>
      <c r="AT809" s="250"/>
      <c r="AU809" s="250"/>
      <c r="AV809" s="124"/>
    </row>
    <row r="810" spans="2:48" s="475" customFormat="1" x14ac:dyDescent="0.2">
      <c r="B810" s="250"/>
      <c r="C810" s="250"/>
      <c r="D810" s="250"/>
      <c r="E810" s="250"/>
      <c r="F810" s="250"/>
      <c r="G810" s="250"/>
      <c r="H810" s="250"/>
      <c r="I810" s="250"/>
      <c r="J810" s="250"/>
      <c r="K810" s="250"/>
      <c r="L810" s="250"/>
      <c r="M810" s="250"/>
      <c r="N810" s="250"/>
      <c r="O810" s="250"/>
      <c r="P810" s="250"/>
      <c r="Q810" s="250"/>
      <c r="R810" s="250"/>
      <c r="S810" s="250"/>
      <c r="T810" s="250"/>
      <c r="U810" s="250"/>
      <c r="V810" s="250"/>
      <c r="W810" s="250"/>
      <c r="X810" s="250"/>
      <c r="Y810" s="250"/>
      <c r="Z810" s="250"/>
      <c r="AA810" s="250"/>
      <c r="AB810" s="250"/>
      <c r="AC810" s="250"/>
      <c r="AD810" s="250"/>
      <c r="AE810" s="250"/>
      <c r="AF810" s="250"/>
      <c r="AG810" s="250"/>
      <c r="AH810" s="250"/>
      <c r="AI810" s="250"/>
      <c r="AJ810" s="250"/>
      <c r="AK810" s="250"/>
      <c r="AL810" s="250"/>
      <c r="AM810" s="250"/>
      <c r="AN810" s="250"/>
      <c r="AO810" s="250"/>
      <c r="AP810" s="250"/>
      <c r="AQ810" s="250"/>
      <c r="AR810" s="250"/>
      <c r="AS810" s="250"/>
      <c r="AT810" s="250"/>
      <c r="AU810" s="250"/>
      <c r="AV810" s="124"/>
    </row>
    <row r="811" spans="2:48" s="475" customFormat="1" x14ac:dyDescent="0.2">
      <c r="B811" s="250"/>
      <c r="C811" s="250"/>
      <c r="D811" s="250"/>
      <c r="E811" s="250"/>
      <c r="F811" s="250"/>
      <c r="G811" s="250"/>
      <c r="H811" s="250"/>
      <c r="I811" s="250"/>
      <c r="J811" s="250"/>
      <c r="K811" s="250"/>
      <c r="L811" s="250"/>
      <c r="M811" s="250"/>
      <c r="N811" s="250"/>
      <c r="O811" s="250"/>
      <c r="P811" s="250"/>
      <c r="Q811" s="250"/>
      <c r="R811" s="250"/>
      <c r="S811" s="250"/>
      <c r="T811" s="250"/>
      <c r="U811" s="250"/>
      <c r="V811" s="250"/>
      <c r="W811" s="250"/>
      <c r="X811" s="250"/>
      <c r="Y811" s="250"/>
      <c r="Z811" s="250"/>
      <c r="AA811" s="250"/>
      <c r="AB811" s="250"/>
      <c r="AC811" s="250"/>
      <c r="AD811" s="250"/>
      <c r="AE811" s="250"/>
      <c r="AF811" s="250"/>
      <c r="AG811" s="250"/>
      <c r="AH811" s="250"/>
      <c r="AI811" s="250"/>
      <c r="AJ811" s="250"/>
      <c r="AK811" s="250"/>
      <c r="AL811" s="250"/>
      <c r="AM811" s="250"/>
      <c r="AN811" s="250"/>
      <c r="AO811" s="250"/>
      <c r="AP811" s="250"/>
      <c r="AQ811" s="250"/>
      <c r="AR811" s="250"/>
      <c r="AS811" s="250"/>
      <c r="AT811" s="250"/>
      <c r="AU811" s="250"/>
      <c r="AV811" s="124"/>
    </row>
    <row r="812" spans="2:48" s="475" customFormat="1" x14ac:dyDescent="0.2">
      <c r="B812" s="250"/>
      <c r="C812" s="250"/>
      <c r="D812" s="250"/>
      <c r="E812" s="250"/>
      <c r="F812" s="250"/>
      <c r="G812" s="250"/>
      <c r="H812" s="250"/>
      <c r="I812" s="250"/>
      <c r="J812" s="250"/>
      <c r="K812" s="250"/>
      <c r="L812" s="250"/>
      <c r="M812" s="250"/>
      <c r="N812" s="250"/>
      <c r="O812" s="250"/>
      <c r="P812" s="250"/>
      <c r="Q812" s="250"/>
      <c r="R812" s="250"/>
      <c r="S812" s="250"/>
      <c r="T812" s="250"/>
      <c r="U812" s="250"/>
      <c r="V812" s="250"/>
      <c r="W812" s="250"/>
      <c r="X812" s="250"/>
      <c r="Y812" s="250"/>
      <c r="Z812" s="250"/>
      <c r="AA812" s="250"/>
      <c r="AB812" s="250"/>
      <c r="AC812" s="250"/>
      <c r="AD812" s="250"/>
      <c r="AE812" s="250"/>
      <c r="AF812" s="250"/>
      <c r="AG812" s="250"/>
      <c r="AH812" s="250"/>
      <c r="AI812" s="250"/>
      <c r="AJ812" s="250"/>
      <c r="AK812" s="250"/>
      <c r="AL812" s="250"/>
      <c r="AM812" s="250"/>
      <c r="AN812" s="250"/>
      <c r="AO812" s="250"/>
      <c r="AP812" s="250"/>
      <c r="AQ812" s="250"/>
      <c r="AR812" s="250"/>
      <c r="AS812" s="250"/>
      <c r="AT812" s="250"/>
      <c r="AU812" s="250"/>
      <c r="AV812" s="124"/>
    </row>
    <row r="813" spans="2:48" s="475" customFormat="1" x14ac:dyDescent="0.2">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c r="AA813" s="250"/>
      <c r="AB813" s="250"/>
      <c r="AC813" s="250"/>
      <c r="AD813" s="250"/>
      <c r="AE813" s="250"/>
      <c r="AF813" s="250"/>
      <c r="AG813" s="250"/>
      <c r="AH813" s="250"/>
      <c r="AI813" s="250"/>
      <c r="AJ813" s="250"/>
      <c r="AK813" s="250"/>
      <c r="AL813" s="250"/>
      <c r="AM813" s="250"/>
      <c r="AN813" s="250"/>
      <c r="AO813" s="250"/>
      <c r="AP813" s="250"/>
      <c r="AQ813" s="250"/>
      <c r="AR813" s="250"/>
      <c r="AS813" s="250"/>
      <c r="AT813" s="250"/>
      <c r="AU813" s="250"/>
      <c r="AV813" s="124"/>
    </row>
    <row r="814" spans="2:48" s="475" customFormat="1" x14ac:dyDescent="0.2">
      <c r="B814" s="250"/>
      <c r="C814" s="250"/>
      <c r="D814" s="250"/>
      <c r="E814" s="250"/>
      <c r="F814" s="250"/>
      <c r="G814" s="250"/>
      <c r="H814" s="250"/>
      <c r="I814" s="250"/>
      <c r="J814" s="250"/>
      <c r="K814" s="250"/>
      <c r="L814" s="250"/>
      <c r="M814" s="250"/>
      <c r="N814" s="250"/>
      <c r="O814" s="250"/>
      <c r="P814" s="250"/>
      <c r="Q814" s="250"/>
      <c r="R814" s="250"/>
      <c r="S814" s="250"/>
      <c r="T814" s="250"/>
      <c r="U814" s="250"/>
      <c r="V814" s="250"/>
      <c r="W814" s="250"/>
      <c r="X814" s="250"/>
      <c r="Y814" s="250"/>
      <c r="Z814" s="250"/>
      <c r="AA814" s="250"/>
      <c r="AB814" s="250"/>
      <c r="AC814" s="250"/>
      <c r="AD814" s="250"/>
      <c r="AE814" s="250"/>
      <c r="AF814" s="250"/>
      <c r="AG814" s="250"/>
      <c r="AH814" s="250"/>
      <c r="AI814" s="250"/>
      <c r="AJ814" s="250"/>
      <c r="AK814" s="250"/>
      <c r="AL814" s="250"/>
      <c r="AM814" s="250"/>
      <c r="AN814" s="250"/>
      <c r="AO814" s="250"/>
      <c r="AP814" s="250"/>
      <c r="AQ814" s="250"/>
      <c r="AR814" s="250"/>
      <c r="AS814" s="250"/>
      <c r="AT814" s="250"/>
      <c r="AU814" s="250"/>
      <c r="AV814" s="124"/>
    </row>
    <row r="815" spans="2:48" s="475" customFormat="1" x14ac:dyDescent="0.2">
      <c r="B815" s="250"/>
      <c r="C815" s="250"/>
      <c r="D815" s="250"/>
      <c r="E815" s="250"/>
      <c r="F815" s="250"/>
      <c r="G815" s="250"/>
      <c r="H815" s="250"/>
      <c r="I815" s="250"/>
      <c r="J815" s="250"/>
      <c r="K815" s="250"/>
      <c r="L815" s="250"/>
      <c r="M815" s="250"/>
      <c r="N815" s="250"/>
      <c r="O815" s="250"/>
      <c r="P815" s="250"/>
      <c r="Q815" s="250"/>
      <c r="R815" s="250"/>
      <c r="S815" s="250"/>
      <c r="T815" s="250"/>
      <c r="U815" s="250"/>
      <c r="V815" s="250"/>
      <c r="W815" s="250"/>
      <c r="X815" s="250"/>
      <c r="Y815" s="250"/>
      <c r="Z815" s="250"/>
      <c r="AA815" s="250"/>
      <c r="AB815" s="250"/>
      <c r="AC815" s="250"/>
      <c r="AD815" s="250"/>
      <c r="AE815" s="250"/>
      <c r="AF815" s="250"/>
      <c r="AG815" s="250"/>
      <c r="AH815" s="250"/>
      <c r="AI815" s="250"/>
      <c r="AJ815" s="250"/>
      <c r="AK815" s="250"/>
      <c r="AL815" s="250"/>
      <c r="AM815" s="250"/>
      <c r="AN815" s="250"/>
      <c r="AO815" s="250"/>
      <c r="AP815" s="250"/>
      <c r="AQ815" s="250"/>
      <c r="AR815" s="250"/>
      <c r="AS815" s="250"/>
      <c r="AT815" s="250"/>
      <c r="AU815" s="250"/>
      <c r="AV815" s="124"/>
    </row>
    <row r="816" spans="2:48" s="475" customFormat="1" x14ac:dyDescent="0.2">
      <c r="B816" s="250"/>
      <c r="C816" s="250"/>
      <c r="D816" s="250"/>
      <c r="E816" s="250"/>
      <c r="F816" s="250"/>
      <c r="G816" s="250"/>
      <c r="H816" s="250"/>
      <c r="I816" s="250"/>
      <c r="J816" s="250"/>
      <c r="K816" s="250"/>
      <c r="L816" s="250"/>
      <c r="M816" s="250"/>
      <c r="N816" s="250"/>
      <c r="O816" s="250"/>
      <c r="P816" s="250"/>
      <c r="Q816" s="250"/>
      <c r="R816" s="250"/>
      <c r="S816" s="250"/>
      <c r="T816" s="250"/>
      <c r="U816" s="250"/>
      <c r="V816" s="250"/>
      <c r="W816" s="250"/>
      <c r="X816" s="250"/>
      <c r="Y816" s="250"/>
      <c r="Z816" s="250"/>
      <c r="AA816" s="250"/>
      <c r="AB816" s="250"/>
      <c r="AC816" s="250"/>
      <c r="AD816" s="250"/>
      <c r="AE816" s="250"/>
      <c r="AF816" s="250"/>
      <c r="AG816" s="250"/>
      <c r="AH816" s="250"/>
      <c r="AI816" s="250"/>
      <c r="AJ816" s="250"/>
      <c r="AK816" s="250"/>
      <c r="AL816" s="250"/>
      <c r="AM816" s="250"/>
      <c r="AN816" s="250"/>
      <c r="AO816" s="250"/>
      <c r="AP816" s="250"/>
      <c r="AQ816" s="250"/>
      <c r="AR816" s="250"/>
      <c r="AS816" s="250"/>
      <c r="AT816" s="250"/>
      <c r="AU816" s="250"/>
      <c r="AV816" s="124"/>
    </row>
    <row r="817" spans="2:48" s="475" customFormat="1" x14ac:dyDescent="0.2">
      <c r="B817" s="250"/>
      <c r="C817" s="250"/>
      <c r="D817" s="250"/>
      <c r="E817" s="250"/>
      <c r="F817" s="250"/>
      <c r="G817" s="250"/>
      <c r="H817" s="250"/>
      <c r="I817" s="250"/>
      <c r="J817" s="250"/>
      <c r="K817" s="250"/>
      <c r="L817" s="250"/>
      <c r="M817" s="250"/>
      <c r="N817" s="250"/>
      <c r="O817" s="250"/>
      <c r="P817" s="250"/>
      <c r="Q817" s="250"/>
      <c r="R817" s="250"/>
      <c r="S817" s="250"/>
      <c r="T817" s="250"/>
      <c r="U817" s="250"/>
      <c r="V817" s="250"/>
      <c r="W817" s="250"/>
      <c r="X817" s="250"/>
      <c r="Y817" s="250"/>
      <c r="Z817" s="250"/>
      <c r="AA817" s="250"/>
      <c r="AB817" s="250"/>
      <c r="AC817" s="250"/>
      <c r="AD817" s="250"/>
      <c r="AE817" s="250"/>
      <c r="AF817" s="250"/>
      <c r="AG817" s="250"/>
      <c r="AH817" s="250"/>
      <c r="AI817" s="250"/>
      <c r="AJ817" s="250"/>
      <c r="AK817" s="250"/>
      <c r="AL817" s="250"/>
      <c r="AM817" s="250"/>
      <c r="AN817" s="250"/>
      <c r="AO817" s="250"/>
      <c r="AP817" s="250"/>
      <c r="AQ817" s="250"/>
      <c r="AR817" s="250"/>
      <c r="AS817" s="250"/>
      <c r="AT817" s="250"/>
      <c r="AU817" s="250"/>
      <c r="AV817" s="124"/>
    </row>
    <row r="818" spans="2:48" s="475" customFormat="1" x14ac:dyDescent="0.2">
      <c r="B818" s="250"/>
      <c r="C818" s="250"/>
      <c r="D818" s="250"/>
      <c r="E818" s="250"/>
      <c r="F818" s="250"/>
      <c r="G818" s="250"/>
      <c r="H818" s="250"/>
      <c r="I818" s="250"/>
      <c r="J818" s="250"/>
      <c r="K818" s="250"/>
      <c r="L818" s="250"/>
      <c r="M818" s="250"/>
      <c r="N818" s="250"/>
      <c r="O818" s="250"/>
      <c r="P818" s="250"/>
      <c r="Q818" s="250"/>
      <c r="R818" s="250"/>
      <c r="S818" s="250"/>
      <c r="T818" s="250"/>
      <c r="U818" s="250"/>
      <c r="V818" s="250"/>
      <c r="W818" s="250"/>
      <c r="X818" s="250"/>
      <c r="Y818" s="250"/>
      <c r="Z818" s="250"/>
      <c r="AA818" s="250"/>
      <c r="AB818" s="250"/>
      <c r="AC818" s="250"/>
      <c r="AD818" s="250"/>
      <c r="AE818" s="250"/>
      <c r="AF818" s="250"/>
      <c r="AG818" s="250"/>
      <c r="AH818" s="250"/>
      <c r="AI818" s="250"/>
      <c r="AJ818" s="250"/>
      <c r="AK818" s="250"/>
      <c r="AL818" s="250"/>
      <c r="AM818" s="250"/>
      <c r="AN818" s="250"/>
      <c r="AO818" s="250"/>
      <c r="AP818" s="250"/>
      <c r="AQ818" s="250"/>
      <c r="AR818" s="250"/>
      <c r="AS818" s="250"/>
      <c r="AT818" s="250"/>
      <c r="AU818" s="250"/>
      <c r="AV818" s="124"/>
    </row>
    <row r="819" spans="2:48" s="475" customFormat="1" x14ac:dyDescent="0.2">
      <c r="B819" s="250"/>
      <c r="C819" s="250"/>
      <c r="D819" s="250"/>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c r="AA819" s="250"/>
      <c r="AB819" s="250"/>
      <c r="AC819" s="250"/>
      <c r="AD819" s="250"/>
      <c r="AE819" s="250"/>
      <c r="AF819" s="250"/>
      <c r="AG819" s="250"/>
      <c r="AH819" s="250"/>
      <c r="AI819" s="250"/>
      <c r="AJ819" s="250"/>
      <c r="AK819" s="250"/>
      <c r="AL819" s="250"/>
      <c r="AM819" s="250"/>
      <c r="AN819" s="250"/>
      <c r="AO819" s="250"/>
      <c r="AP819" s="250"/>
      <c r="AQ819" s="250"/>
      <c r="AR819" s="250"/>
      <c r="AS819" s="250"/>
      <c r="AT819" s="250"/>
      <c r="AU819" s="250"/>
      <c r="AV819" s="124"/>
    </row>
    <row r="820" spans="2:48" s="475" customFormat="1" x14ac:dyDescent="0.2">
      <c r="B820" s="250"/>
      <c r="C820" s="250"/>
      <c r="D820" s="250"/>
      <c r="E820" s="250"/>
      <c r="F820" s="250"/>
      <c r="G820" s="250"/>
      <c r="H820" s="250"/>
      <c r="I820" s="250"/>
      <c r="J820" s="250"/>
      <c r="K820" s="250"/>
      <c r="L820" s="250"/>
      <c r="M820" s="250"/>
      <c r="N820" s="250"/>
      <c r="O820" s="250"/>
      <c r="P820" s="250"/>
      <c r="Q820" s="250"/>
      <c r="R820" s="250"/>
      <c r="S820" s="250"/>
      <c r="T820" s="250"/>
      <c r="U820" s="250"/>
      <c r="V820" s="250"/>
      <c r="W820" s="250"/>
      <c r="X820" s="250"/>
      <c r="Y820" s="250"/>
      <c r="Z820" s="250"/>
      <c r="AA820" s="250"/>
      <c r="AB820" s="250"/>
      <c r="AC820" s="250"/>
      <c r="AD820" s="250"/>
      <c r="AE820" s="250"/>
      <c r="AF820" s="250"/>
      <c r="AG820" s="250"/>
      <c r="AH820" s="250"/>
      <c r="AI820" s="250"/>
      <c r="AJ820" s="250"/>
      <c r="AK820" s="250"/>
      <c r="AL820" s="250"/>
      <c r="AM820" s="250"/>
      <c r="AN820" s="250"/>
      <c r="AO820" s="250"/>
      <c r="AP820" s="250"/>
      <c r="AQ820" s="250"/>
      <c r="AR820" s="250"/>
      <c r="AS820" s="250"/>
      <c r="AT820" s="250"/>
      <c r="AU820" s="250"/>
      <c r="AV820" s="124"/>
    </row>
    <row r="821" spans="2:48" s="475" customFormat="1" x14ac:dyDescent="0.2">
      <c r="B821" s="250"/>
      <c r="C821" s="250"/>
      <c r="D821" s="250"/>
      <c r="E821" s="250"/>
      <c r="F821" s="250"/>
      <c r="G821" s="250"/>
      <c r="H821" s="250"/>
      <c r="I821" s="250"/>
      <c r="J821" s="250"/>
      <c r="K821" s="250"/>
      <c r="L821" s="250"/>
      <c r="M821" s="250"/>
      <c r="N821" s="250"/>
      <c r="O821" s="250"/>
      <c r="P821" s="250"/>
      <c r="Q821" s="250"/>
      <c r="R821" s="250"/>
      <c r="S821" s="250"/>
      <c r="T821" s="250"/>
      <c r="U821" s="250"/>
      <c r="V821" s="250"/>
      <c r="W821" s="250"/>
      <c r="X821" s="250"/>
      <c r="Y821" s="250"/>
      <c r="Z821" s="250"/>
      <c r="AA821" s="250"/>
      <c r="AB821" s="250"/>
      <c r="AC821" s="250"/>
      <c r="AD821" s="250"/>
      <c r="AE821" s="250"/>
      <c r="AF821" s="250"/>
      <c r="AG821" s="250"/>
      <c r="AH821" s="250"/>
      <c r="AI821" s="250"/>
      <c r="AJ821" s="250"/>
      <c r="AK821" s="250"/>
      <c r="AL821" s="250"/>
      <c r="AM821" s="250"/>
      <c r="AN821" s="250"/>
      <c r="AO821" s="250"/>
      <c r="AP821" s="250"/>
      <c r="AQ821" s="250"/>
      <c r="AR821" s="250"/>
      <c r="AS821" s="250"/>
      <c r="AT821" s="250"/>
      <c r="AU821" s="250"/>
      <c r="AV821" s="124"/>
    </row>
    <row r="822" spans="2:48" s="475" customFormat="1" x14ac:dyDescent="0.2">
      <c r="B822" s="250"/>
      <c r="C822" s="250"/>
      <c r="D822" s="250"/>
      <c r="E822" s="250"/>
      <c r="F822" s="250"/>
      <c r="G822" s="250"/>
      <c r="H822" s="250"/>
      <c r="I822" s="250"/>
      <c r="J822" s="250"/>
      <c r="K822" s="250"/>
      <c r="L822" s="250"/>
      <c r="M822" s="250"/>
      <c r="N822" s="250"/>
      <c r="O822" s="250"/>
      <c r="P822" s="250"/>
      <c r="Q822" s="250"/>
      <c r="R822" s="250"/>
      <c r="S822" s="250"/>
      <c r="T822" s="250"/>
      <c r="U822" s="250"/>
      <c r="V822" s="250"/>
      <c r="W822" s="250"/>
      <c r="X822" s="250"/>
      <c r="Y822" s="250"/>
      <c r="Z822" s="250"/>
      <c r="AA822" s="250"/>
      <c r="AB822" s="250"/>
      <c r="AC822" s="250"/>
      <c r="AD822" s="250"/>
      <c r="AE822" s="250"/>
      <c r="AF822" s="250"/>
      <c r="AG822" s="250"/>
      <c r="AH822" s="250"/>
      <c r="AI822" s="250"/>
      <c r="AJ822" s="250"/>
      <c r="AK822" s="250"/>
      <c r="AL822" s="250"/>
      <c r="AM822" s="250"/>
      <c r="AN822" s="250"/>
      <c r="AO822" s="250"/>
      <c r="AP822" s="250"/>
      <c r="AQ822" s="250"/>
      <c r="AR822" s="250"/>
      <c r="AS822" s="250"/>
      <c r="AT822" s="250"/>
      <c r="AU822" s="250"/>
      <c r="AV822" s="124"/>
    </row>
    <row r="823" spans="2:48" s="475" customFormat="1" x14ac:dyDescent="0.2">
      <c r="B823" s="250"/>
      <c r="C823" s="250"/>
      <c r="D823" s="250"/>
      <c r="E823" s="250"/>
      <c r="F823" s="250"/>
      <c r="G823" s="250"/>
      <c r="H823" s="250"/>
      <c r="I823" s="250"/>
      <c r="J823" s="250"/>
      <c r="K823" s="250"/>
      <c r="L823" s="250"/>
      <c r="M823" s="250"/>
      <c r="N823" s="250"/>
      <c r="O823" s="250"/>
      <c r="P823" s="250"/>
      <c r="Q823" s="250"/>
      <c r="R823" s="250"/>
      <c r="S823" s="250"/>
      <c r="T823" s="250"/>
      <c r="U823" s="250"/>
      <c r="V823" s="250"/>
      <c r="W823" s="250"/>
      <c r="X823" s="250"/>
      <c r="Y823" s="250"/>
      <c r="Z823" s="250"/>
      <c r="AA823" s="250"/>
      <c r="AB823" s="250"/>
      <c r="AC823" s="250"/>
      <c r="AD823" s="250"/>
      <c r="AE823" s="250"/>
      <c r="AF823" s="250"/>
      <c r="AG823" s="250"/>
      <c r="AH823" s="250"/>
      <c r="AI823" s="250"/>
      <c r="AJ823" s="250"/>
      <c r="AK823" s="250"/>
      <c r="AL823" s="250"/>
      <c r="AM823" s="250"/>
      <c r="AN823" s="250"/>
      <c r="AO823" s="250"/>
      <c r="AP823" s="250"/>
      <c r="AQ823" s="250"/>
      <c r="AR823" s="250"/>
      <c r="AS823" s="250"/>
      <c r="AT823" s="250"/>
      <c r="AU823" s="250"/>
      <c r="AV823" s="124"/>
    </row>
    <row r="824" spans="2:48" s="475" customFormat="1" x14ac:dyDescent="0.2">
      <c r="B824" s="250"/>
      <c r="C824" s="250"/>
      <c r="D824" s="250"/>
      <c r="E824" s="250"/>
      <c r="F824" s="250"/>
      <c r="G824" s="250"/>
      <c r="H824" s="250"/>
      <c r="I824" s="250"/>
      <c r="J824" s="250"/>
      <c r="K824" s="250"/>
      <c r="L824" s="250"/>
      <c r="M824" s="250"/>
      <c r="N824" s="250"/>
      <c r="O824" s="250"/>
      <c r="P824" s="250"/>
      <c r="Q824" s="250"/>
      <c r="R824" s="250"/>
      <c r="S824" s="250"/>
      <c r="T824" s="250"/>
      <c r="U824" s="250"/>
      <c r="V824" s="250"/>
      <c r="W824" s="250"/>
      <c r="X824" s="250"/>
      <c r="Y824" s="250"/>
      <c r="Z824" s="250"/>
      <c r="AA824" s="250"/>
      <c r="AB824" s="250"/>
      <c r="AC824" s="250"/>
      <c r="AD824" s="250"/>
      <c r="AE824" s="250"/>
      <c r="AF824" s="250"/>
      <c r="AG824" s="250"/>
      <c r="AH824" s="250"/>
      <c r="AI824" s="250"/>
      <c r="AJ824" s="250"/>
      <c r="AK824" s="250"/>
      <c r="AL824" s="250"/>
      <c r="AM824" s="250"/>
      <c r="AN824" s="250"/>
      <c r="AO824" s="250"/>
      <c r="AP824" s="250"/>
      <c r="AQ824" s="250"/>
      <c r="AR824" s="250"/>
      <c r="AS824" s="250"/>
      <c r="AT824" s="250"/>
      <c r="AU824" s="250"/>
      <c r="AV824" s="124"/>
    </row>
    <row r="825" spans="2:48" s="475" customFormat="1" ht="13.5" thickBot="1" x14ac:dyDescent="0.25">
      <c r="B825" s="250"/>
      <c r="C825" s="250"/>
      <c r="D825" s="250"/>
      <c r="E825" s="250"/>
      <c r="F825" s="250"/>
      <c r="G825" s="250"/>
      <c r="H825" s="250"/>
      <c r="I825" s="250"/>
      <c r="J825" s="250"/>
      <c r="K825" s="250"/>
      <c r="L825" s="250"/>
      <c r="M825" s="250"/>
      <c r="N825" s="250"/>
      <c r="O825" s="250"/>
      <c r="P825" s="250"/>
      <c r="Q825" s="250"/>
      <c r="R825" s="250"/>
      <c r="S825" s="250"/>
      <c r="T825" s="250"/>
      <c r="U825" s="250"/>
      <c r="V825" s="250"/>
      <c r="W825" s="250"/>
      <c r="X825" s="250"/>
      <c r="Y825" s="250"/>
      <c r="Z825" s="250"/>
      <c r="AA825" s="250"/>
      <c r="AB825" s="250"/>
      <c r="AC825" s="250"/>
      <c r="AD825" s="250"/>
      <c r="AE825" s="250"/>
      <c r="AF825" s="250"/>
      <c r="AG825" s="250"/>
      <c r="AH825" s="250"/>
      <c r="AI825" s="250"/>
      <c r="AJ825" s="250"/>
      <c r="AK825" s="250"/>
      <c r="AL825" s="250"/>
      <c r="AM825" s="250"/>
      <c r="AN825" s="250"/>
      <c r="AO825" s="250"/>
      <c r="AP825" s="250"/>
      <c r="AQ825" s="250"/>
      <c r="AR825" s="250"/>
      <c r="AS825" s="250"/>
      <c r="AT825" s="250"/>
      <c r="AU825" s="250"/>
      <c r="AV825" s="124"/>
    </row>
    <row r="826" spans="2:48" ht="19.5" customHeight="1" x14ac:dyDescent="0.2">
      <c r="B826" s="250"/>
      <c r="C826" s="1395" t="s">
        <v>774</v>
      </c>
      <c r="D826" s="1396"/>
      <c r="E826" s="1396"/>
      <c r="F826" s="1396"/>
      <c r="G826" s="1396"/>
      <c r="H826" s="1396"/>
      <c r="I826" s="1396"/>
      <c r="J826" s="1396"/>
      <c r="K826" s="1396"/>
      <c r="L826" s="1396"/>
      <c r="M826" s="1396"/>
      <c r="N826" s="1396"/>
      <c r="O826" s="1396"/>
      <c r="P826" s="1396"/>
      <c r="Q826" s="1397"/>
      <c r="R826" s="250"/>
      <c r="S826" s="250"/>
      <c r="T826" s="250"/>
      <c r="U826" s="250"/>
      <c r="V826" s="250"/>
      <c r="W826" s="250"/>
      <c r="X826" s="250"/>
      <c r="Y826" s="250"/>
      <c r="Z826" s="250"/>
      <c r="AA826" s="250"/>
      <c r="AB826" s="250"/>
      <c r="AC826" s="250"/>
      <c r="AD826" s="250"/>
      <c r="AE826" s="250"/>
      <c r="AF826" s="250"/>
      <c r="AG826" s="250"/>
      <c r="AH826" s="250"/>
      <c r="AI826" s="250"/>
      <c r="AJ826" s="250"/>
      <c r="AK826" s="250"/>
      <c r="AL826" s="250"/>
      <c r="AM826" s="250"/>
      <c r="AN826" s="250"/>
      <c r="AO826" s="250"/>
      <c r="AP826" s="250"/>
      <c r="AQ826" s="250"/>
      <c r="AR826" s="250"/>
      <c r="AS826" s="250"/>
      <c r="AT826" s="250"/>
      <c r="AU826" s="250"/>
      <c r="AV826" s="124"/>
    </row>
    <row r="827" spans="2:48" ht="12.75" customHeight="1" thickBot="1" x14ac:dyDescent="0.25">
      <c r="B827" s="250"/>
      <c r="C827" s="1398"/>
      <c r="D827" s="1399"/>
      <c r="E827" s="1399"/>
      <c r="F827" s="1399"/>
      <c r="G827" s="1399"/>
      <c r="H827" s="1399"/>
      <c r="I827" s="1399"/>
      <c r="J827" s="1399"/>
      <c r="K827" s="1399"/>
      <c r="L827" s="1399"/>
      <c r="M827" s="1399"/>
      <c r="N827" s="1399"/>
      <c r="O827" s="1399"/>
      <c r="P827" s="1399"/>
      <c r="Q827" s="1400"/>
      <c r="R827" s="250"/>
      <c r="S827" s="250"/>
      <c r="T827" s="250"/>
      <c r="U827" s="250"/>
      <c r="V827" s="250"/>
      <c r="W827" s="250"/>
      <c r="X827" s="250"/>
      <c r="Y827" s="250"/>
      <c r="Z827" s="250"/>
      <c r="AA827" s="250"/>
      <c r="AB827" s="250"/>
      <c r="AC827" s="250"/>
      <c r="AD827" s="250"/>
      <c r="AE827" s="250"/>
      <c r="AF827" s="250"/>
      <c r="AG827" s="250"/>
      <c r="AH827" s="250"/>
      <c r="AI827" s="250"/>
      <c r="AJ827" s="250"/>
      <c r="AK827" s="250"/>
      <c r="AL827" s="250"/>
      <c r="AM827" s="250"/>
      <c r="AN827" s="250"/>
      <c r="AO827" s="250"/>
      <c r="AP827" s="250"/>
      <c r="AQ827" s="250"/>
      <c r="AR827" s="250"/>
      <c r="AS827" s="250"/>
      <c r="AT827" s="250"/>
      <c r="AU827" s="250"/>
      <c r="AV827" s="124"/>
    </row>
    <row r="828" spans="2:48" x14ac:dyDescent="0.2">
      <c r="B828" s="250"/>
      <c r="C828" s="1201"/>
      <c r="D828" s="165"/>
      <c r="E828" s="165"/>
      <c r="F828" s="165"/>
      <c r="G828" s="165"/>
      <c r="H828" s="165"/>
      <c r="I828" s="165"/>
      <c r="J828" s="165"/>
      <c r="K828" s="165"/>
      <c r="L828" s="165"/>
      <c r="M828" s="165"/>
      <c r="N828" s="165"/>
      <c r="O828" s="165"/>
      <c r="P828" s="165"/>
      <c r="Q828" s="1202"/>
      <c r="R828" s="250"/>
      <c r="S828" s="250"/>
      <c r="T828" s="250"/>
      <c r="U828" s="250"/>
      <c r="V828" s="250"/>
      <c r="W828" s="250"/>
      <c r="X828" s="250"/>
      <c r="Y828" s="250"/>
      <c r="Z828" s="250"/>
      <c r="AA828" s="250"/>
      <c r="AB828" s="250"/>
      <c r="AC828" s="250"/>
      <c r="AD828" s="250"/>
      <c r="AE828" s="250"/>
      <c r="AF828" s="250"/>
      <c r="AG828" s="250"/>
      <c r="AH828" s="250"/>
      <c r="AI828" s="250"/>
      <c r="AJ828" s="250"/>
      <c r="AK828" s="250"/>
      <c r="AL828" s="250"/>
      <c r="AM828" s="250"/>
      <c r="AN828" s="250"/>
      <c r="AO828" s="250"/>
      <c r="AP828" s="250"/>
      <c r="AQ828" s="250"/>
      <c r="AR828" s="250"/>
      <c r="AS828" s="250"/>
      <c r="AT828" s="250"/>
      <c r="AU828" s="250"/>
      <c r="AV828" s="124"/>
    </row>
    <row r="829" spans="2:48" ht="18" x14ac:dyDescent="0.25">
      <c r="B829" s="250"/>
      <c r="C829" s="1201"/>
      <c r="D829" s="150"/>
      <c r="E829" s="150"/>
      <c r="F829" s="914" t="s">
        <v>1087</v>
      </c>
      <c r="G829" s="915"/>
      <c r="H829" s="915"/>
      <c r="I829" s="915"/>
      <c r="J829" s="915"/>
      <c r="K829" s="915"/>
      <c r="L829" s="915"/>
      <c r="M829" s="915"/>
      <c r="N829" s="915"/>
      <c r="O829" s="915"/>
      <c r="P829" s="916"/>
      <c r="Q829" s="1202"/>
      <c r="R829" s="250"/>
      <c r="S829" s="250"/>
      <c r="T829" s="250"/>
      <c r="U829" s="250"/>
      <c r="V829" s="250"/>
      <c r="W829" s="250"/>
      <c r="X829" s="250"/>
      <c r="Y829" s="250"/>
      <c r="Z829" s="250"/>
      <c r="AA829" s="250"/>
      <c r="AB829" s="250"/>
      <c r="AC829" s="250"/>
      <c r="AD829" s="250"/>
      <c r="AE829" s="250"/>
      <c r="AF829" s="250"/>
      <c r="AG829" s="250"/>
      <c r="AH829" s="250"/>
      <c r="AI829" s="250"/>
      <c r="AJ829" s="250"/>
      <c r="AK829" s="250"/>
      <c r="AL829" s="250"/>
      <c r="AM829" s="250"/>
      <c r="AN829" s="250"/>
      <c r="AO829" s="250"/>
      <c r="AP829" s="250"/>
      <c r="AQ829" s="250"/>
      <c r="AR829" s="250"/>
      <c r="AS829" s="250"/>
      <c r="AT829" s="250"/>
      <c r="AU829" s="250"/>
      <c r="AV829" s="124"/>
    </row>
    <row r="830" spans="2:48" ht="18" x14ac:dyDescent="0.25">
      <c r="B830" s="250"/>
      <c r="C830" s="1203"/>
      <c r="D830" s="154"/>
      <c r="E830" s="153"/>
      <c r="F830" s="1216" t="s">
        <v>1075</v>
      </c>
      <c r="G830" s="156"/>
      <c r="H830" s="154"/>
      <c r="I830" s="154"/>
      <c r="J830" s="154"/>
      <c r="K830" s="154"/>
      <c r="L830" s="154"/>
      <c r="M830" s="154"/>
      <c r="N830" s="154"/>
      <c r="O830" s="154"/>
      <c r="P830" s="154"/>
      <c r="Q830" s="1208"/>
      <c r="R830" s="250"/>
      <c r="S830" s="250"/>
      <c r="T830" s="250"/>
      <c r="U830" s="250"/>
      <c r="V830" s="250"/>
      <c r="W830" s="250"/>
      <c r="X830" s="250"/>
      <c r="Y830" s="250"/>
      <c r="Z830" s="250"/>
      <c r="AA830" s="250"/>
      <c r="AB830" s="250"/>
      <c r="AC830" s="250"/>
      <c r="AD830" s="250"/>
      <c r="AE830" s="250"/>
      <c r="AF830" s="250"/>
      <c r="AG830" s="250"/>
      <c r="AH830" s="250"/>
      <c r="AI830" s="250"/>
      <c r="AJ830" s="250"/>
      <c r="AK830" s="250"/>
      <c r="AL830" s="250"/>
      <c r="AM830" s="250"/>
      <c r="AN830" s="250"/>
      <c r="AO830" s="250"/>
      <c r="AP830" s="250"/>
      <c r="AQ830" s="250"/>
      <c r="AR830" s="250"/>
      <c r="AS830" s="250"/>
      <c r="AT830" s="250"/>
      <c r="AU830" s="250"/>
      <c r="AV830" s="124"/>
    </row>
    <row r="831" spans="2:48" ht="23.25" customHeight="1" x14ac:dyDescent="0.2">
      <c r="B831" s="250"/>
      <c r="C831" s="1203"/>
      <c r="D831" s="154"/>
      <c r="E831" s="156"/>
      <c r="F831" s="1217" t="s">
        <v>1429</v>
      </c>
      <c r="G831" s="156"/>
      <c r="H831" s="154"/>
      <c r="I831" s="154"/>
      <c r="J831" s="154"/>
      <c r="K831" s="154"/>
      <c r="L831" s="154"/>
      <c r="M831" s="154"/>
      <c r="N831" s="154"/>
      <c r="O831" s="154"/>
      <c r="P831" s="154"/>
      <c r="Q831" s="1208"/>
      <c r="R831" s="250"/>
      <c r="S831" s="250"/>
      <c r="T831" s="250"/>
      <c r="U831" s="250"/>
      <c r="V831" s="250"/>
      <c r="W831" s="250"/>
      <c r="X831" s="250"/>
      <c r="Y831" s="250"/>
      <c r="Z831" s="250"/>
      <c r="AA831" s="250"/>
      <c r="AB831" s="250"/>
      <c r="AC831" s="250"/>
      <c r="AD831" s="250"/>
      <c r="AE831" s="250"/>
      <c r="AF831" s="250"/>
      <c r="AG831" s="250"/>
      <c r="AH831" s="250"/>
      <c r="AI831" s="250"/>
      <c r="AJ831" s="250"/>
      <c r="AK831" s="250"/>
      <c r="AL831" s="250"/>
      <c r="AM831" s="250"/>
      <c r="AN831" s="250"/>
      <c r="AO831" s="250"/>
      <c r="AP831" s="250"/>
      <c r="AQ831" s="250"/>
      <c r="AR831" s="250"/>
      <c r="AS831" s="250"/>
      <c r="AT831" s="250"/>
      <c r="AU831" s="250"/>
      <c r="AV831" s="124"/>
    </row>
    <row r="832" spans="2:48" ht="15" x14ac:dyDescent="0.2">
      <c r="B832" s="250"/>
      <c r="C832" s="1203"/>
      <c r="D832" s="154"/>
      <c r="E832" s="156"/>
      <c r="F832" s="169" t="s">
        <v>1511</v>
      </c>
      <c r="G832" s="1218" t="s">
        <v>1083</v>
      </c>
      <c r="H832" s="1219"/>
      <c r="I832" s="1219"/>
      <c r="J832" s="1219"/>
      <c r="K832" s="1219"/>
      <c r="L832" s="1219"/>
      <c r="M832" s="1219"/>
      <c r="N832" s="1219"/>
      <c r="O832" s="1219"/>
      <c r="P832" s="1220"/>
      <c r="Q832" s="1208"/>
      <c r="R832" s="250"/>
      <c r="S832" s="250"/>
      <c r="T832" s="250"/>
      <c r="U832" s="250"/>
      <c r="V832" s="250"/>
      <c r="W832" s="250"/>
      <c r="X832" s="250"/>
      <c r="Y832" s="250"/>
      <c r="Z832" s="250"/>
      <c r="AA832" s="250"/>
      <c r="AB832" s="250"/>
      <c r="AC832" s="250"/>
      <c r="AD832" s="250"/>
      <c r="AE832" s="250"/>
      <c r="AF832" s="250"/>
      <c r="AG832" s="250"/>
      <c r="AH832" s="250"/>
      <c r="AI832" s="250"/>
      <c r="AJ832" s="250"/>
      <c r="AK832" s="250"/>
      <c r="AL832" s="250"/>
      <c r="AM832" s="250"/>
      <c r="AN832" s="250"/>
      <c r="AO832" s="250"/>
      <c r="AP832" s="250"/>
      <c r="AQ832" s="250"/>
      <c r="AR832" s="250"/>
      <c r="AS832" s="250"/>
      <c r="AT832" s="250"/>
      <c r="AU832" s="250"/>
      <c r="AV832" s="124"/>
    </row>
    <row r="833" spans="2:48" ht="15" x14ac:dyDescent="0.2">
      <c r="B833" s="250"/>
      <c r="C833" s="1203"/>
      <c r="D833" s="154"/>
      <c r="E833" s="156"/>
      <c r="F833" s="170" t="s">
        <v>1430</v>
      </c>
      <c r="G833" s="1221" t="s">
        <v>1431</v>
      </c>
      <c r="H833" s="1222"/>
      <c r="I833" s="157"/>
      <c r="J833" s="156"/>
      <c r="K833" s="154"/>
      <c r="L833" s="154"/>
      <c r="M833" s="154"/>
      <c r="N833" s="154"/>
      <c r="O833" s="154"/>
      <c r="P833" s="1223"/>
      <c r="Q833" s="1208"/>
      <c r="R833" s="250"/>
      <c r="S833" s="250"/>
      <c r="T833" s="250"/>
      <c r="U833" s="250"/>
      <c r="V833" s="250"/>
      <c r="W833" s="250"/>
      <c r="X833" s="250"/>
      <c r="Y833" s="250"/>
      <c r="Z833" s="250"/>
      <c r="AA833" s="250"/>
      <c r="AB833" s="250"/>
      <c r="AC833" s="250"/>
      <c r="AD833" s="250"/>
      <c r="AE833" s="250"/>
      <c r="AF833" s="250"/>
      <c r="AG833" s="250"/>
      <c r="AH833" s="250"/>
      <c r="AI833" s="250"/>
      <c r="AJ833" s="250"/>
      <c r="AK833" s="250"/>
      <c r="AL833" s="250"/>
      <c r="AM833" s="250"/>
      <c r="AN833" s="250"/>
      <c r="AO833" s="250"/>
      <c r="AP833" s="250"/>
      <c r="AQ833" s="250"/>
      <c r="AR833" s="250"/>
      <c r="AS833" s="250"/>
      <c r="AT833" s="250"/>
      <c r="AU833" s="250"/>
      <c r="AV833" s="124"/>
    </row>
    <row r="834" spans="2:48" ht="6.75" customHeight="1" x14ac:dyDescent="0.2">
      <c r="B834" s="250"/>
      <c r="C834" s="1201"/>
      <c r="D834" s="1092"/>
      <c r="E834" s="168"/>
      <c r="F834" s="1224"/>
      <c r="G834" s="156"/>
      <c r="H834" s="157"/>
      <c r="I834" s="157"/>
      <c r="J834" s="156"/>
      <c r="K834" s="1092"/>
      <c r="L834" s="1092"/>
      <c r="M834" s="1092"/>
      <c r="N834" s="1092"/>
      <c r="O834" s="1092"/>
      <c r="P834" s="1225"/>
      <c r="Q834" s="1202"/>
      <c r="R834" s="250"/>
      <c r="S834" s="250"/>
      <c r="T834" s="250"/>
      <c r="U834" s="250"/>
      <c r="V834" s="250"/>
      <c r="W834" s="250"/>
      <c r="X834" s="250"/>
      <c r="Y834" s="250"/>
      <c r="Z834" s="250"/>
      <c r="AA834" s="250"/>
      <c r="AB834" s="250"/>
      <c r="AC834" s="250"/>
      <c r="AD834" s="250"/>
      <c r="AE834" s="250"/>
      <c r="AF834" s="250"/>
      <c r="AG834" s="250"/>
      <c r="AH834" s="250"/>
      <c r="AI834" s="250"/>
      <c r="AJ834" s="250"/>
      <c r="AK834" s="250"/>
      <c r="AL834" s="250"/>
      <c r="AM834" s="250"/>
      <c r="AN834" s="250"/>
      <c r="AO834" s="250"/>
      <c r="AP834" s="250"/>
      <c r="AQ834" s="250"/>
      <c r="AR834" s="250"/>
      <c r="AS834" s="250"/>
      <c r="AT834" s="250"/>
      <c r="AU834" s="250"/>
      <c r="AV834" s="124"/>
    </row>
    <row r="835" spans="2:48" ht="24" customHeight="1" x14ac:dyDescent="0.2">
      <c r="B835" s="250"/>
      <c r="C835" s="1201"/>
      <c r="D835" s="1092"/>
      <c r="E835" s="168"/>
      <c r="F835" s="1226" t="s">
        <v>1084</v>
      </c>
      <c r="G835" s="171"/>
      <c r="H835" s="157"/>
      <c r="I835" s="157"/>
      <c r="J835" s="156"/>
      <c r="K835" s="1092"/>
      <c r="L835" s="1092"/>
      <c r="M835" s="1092"/>
      <c r="N835" s="1092"/>
      <c r="O835" s="1092"/>
      <c r="P835" s="1225"/>
      <c r="Q835" s="1202"/>
      <c r="R835" s="250"/>
      <c r="S835" s="250"/>
      <c r="T835" s="250"/>
      <c r="U835" s="250"/>
      <c r="V835" s="250"/>
      <c r="W835" s="250"/>
      <c r="X835" s="250"/>
      <c r="Y835" s="250"/>
      <c r="Z835" s="250"/>
      <c r="AA835" s="250"/>
      <c r="AB835" s="250"/>
      <c r="AC835" s="250"/>
      <c r="AD835" s="250"/>
      <c r="AE835" s="250"/>
      <c r="AF835" s="250"/>
      <c r="AG835" s="250"/>
      <c r="AH835" s="250"/>
      <c r="AI835" s="250"/>
      <c r="AJ835" s="250"/>
      <c r="AK835" s="250"/>
      <c r="AL835" s="250"/>
      <c r="AM835" s="250"/>
      <c r="AN835" s="250"/>
      <c r="AO835" s="250"/>
      <c r="AP835" s="250"/>
      <c r="AQ835" s="250"/>
      <c r="AR835" s="250"/>
      <c r="AS835" s="250"/>
      <c r="AT835" s="250"/>
      <c r="AU835" s="250"/>
      <c r="AV835" s="124"/>
    </row>
    <row r="836" spans="2:48" ht="15" x14ac:dyDescent="0.2">
      <c r="B836" s="250"/>
      <c r="C836" s="1201"/>
      <c r="D836" s="1092"/>
      <c r="E836" s="168"/>
      <c r="F836" s="172" t="s">
        <v>928</v>
      </c>
      <c r="G836" s="1227" t="s">
        <v>1076</v>
      </c>
      <c r="H836" s="1228"/>
      <c r="I836" s="1229"/>
      <c r="J836" s="1230"/>
      <c r="K836" s="1231"/>
      <c r="L836" s="1231"/>
      <c r="M836" s="1231"/>
      <c r="N836" s="1231"/>
      <c r="O836" s="1231"/>
      <c r="P836" s="1232"/>
      <c r="Q836" s="1202"/>
      <c r="R836" s="250"/>
      <c r="S836" s="250"/>
      <c r="T836" s="250"/>
      <c r="U836" s="250"/>
      <c r="V836" s="250"/>
      <c r="W836" s="250"/>
      <c r="X836" s="250"/>
      <c r="Y836" s="250"/>
      <c r="Z836" s="250"/>
      <c r="AA836" s="250"/>
      <c r="AB836" s="250"/>
      <c r="AC836" s="250"/>
      <c r="AD836" s="250"/>
      <c r="AE836" s="250"/>
      <c r="AF836" s="250"/>
      <c r="AG836" s="250"/>
      <c r="AH836" s="250"/>
      <c r="AI836" s="250"/>
      <c r="AJ836" s="250"/>
      <c r="AK836" s="250"/>
      <c r="AL836" s="250"/>
      <c r="AM836" s="250"/>
      <c r="AN836" s="250"/>
      <c r="AO836" s="250"/>
      <c r="AP836" s="250"/>
      <c r="AQ836" s="250"/>
      <c r="AR836" s="250"/>
      <c r="AS836" s="250"/>
      <c r="AT836" s="250"/>
      <c r="AU836" s="250"/>
      <c r="AV836" s="124"/>
    </row>
    <row r="837" spans="2:48" ht="15" x14ac:dyDescent="0.2">
      <c r="B837" s="250"/>
      <c r="C837" s="1201"/>
      <c r="D837" s="1092"/>
      <c r="E837" s="168"/>
      <c r="F837" s="172" t="s">
        <v>95</v>
      </c>
      <c r="G837" s="1233" t="s">
        <v>1077</v>
      </c>
      <c r="H837" s="1234"/>
      <c r="I837" s="1235"/>
      <c r="J837" s="1236"/>
      <c r="K837" s="1237"/>
      <c r="L837" s="1237"/>
      <c r="M837" s="1237"/>
      <c r="N837" s="1237"/>
      <c r="O837" s="1237"/>
      <c r="P837" s="1238"/>
      <c r="Q837" s="1202"/>
      <c r="R837" s="250"/>
      <c r="S837" s="250"/>
      <c r="T837" s="250"/>
      <c r="U837" s="250"/>
      <c r="V837" s="250"/>
      <c r="W837" s="250"/>
      <c r="X837" s="250"/>
      <c r="Y837" s="250"/>
      <c r="Z837" s="250"/>
      <c r="AA837" s="250"/>
      <c r="AB837" s="250"/>
      <c r="AC837" s="250"/>
      <c r="AD837" s="250"/>
      <c r="AE837" s="250"/>
      <c r="AF837" s="250"/>
      <c r="AG837" s="250"/>
      <c r="AH837" s="250"/>
      <c r="AI837" s="250"/>
      <c r="AJ837" s="250"/>
      <c r="AK837" s="250"/>
      <c r="AL837" s="250"/>
      <c r="AM837" s="250"/>
      <c r="AN837" s="250"/>
      <c r="AO837" s="250"/>
      <c r="AP837" s="250"/>
      <c r="AQ837" s="250"/>
      <c r="AR837" s="250"/>
      <c r="AS837" s="250"/>
      <c r="AT837" s="250"/>
      <c r="AU837" s="250"/>
      <c r="AV837" s="124"/>
    </row>
    <row r="838" spans="2:48" ht="15" x14ac:dyDescent="0.2">
      <c r="B838" s="250"/>
      <c r="C838" s="1201"/>
      <c r="D838" s="1092"/>
      <c r="E838" s="168"/>
      <c r="F838" s="1239"/>
      <c r="G838" s="1240" t="s">
        <v>1078</v>
      </c>
      <c r="H838" s="1241"/>
      <c r="I838" s="1242"/>
      <c r="J838" s="1243"/>
      <c r="K838" s="1244"/>
      <c r="L838" s="1244"/>
      <c r="M838" s="1244"/>
      <c r="N838" s="1244"/>
      <c r="O838" s="1244"/>
      <c r="P838" s="1245"/>
      <c r="Q838" s="1202"/>
      <c r="R838" s="250"/>
      <c r="S838" s="250"/>
      <c r="T838" s="250"/>
      <c r="U838" s="250"/>
      <c r="V838" s="250"/>
      <c r="W838" s="250"/>
      <c r="X838" s="250"/>
      <c r="Y838" s="250"/>
      <c r="Z838" s="250"/>
      <c r="AA838" s="250"/>
      <c r="AB838" s="250"/>
      <c r="AC838" s="250"/>
      <c r="AD838" s="250"/>
      <c r="AE838" s="250"/>
      <c r="AF838" s="250"/>
      <c r="AG838" s="250"/>
      <c r="AH838" s="250"/>
      <c r="AI838" s="250"/>
      <c r="AJ838" s="250"/>
      <c r="AK838" s="250"/>
      <c r="AL838" s="250"/>
      <c r="AM838" s="250"/>
      <c r="AN838" s="250"/>
      <c r="AO838" s="250"/>
      <c r="AP838" s="250"/>
      <c r="AQ838" s="250"/>
      <c r="AR838" s="250"/>
      <c r="AS838" s="250"/>
      <c r="AT838" s="250"/>
      <c r="AU838" s="250"/>
      <c r="AV838" s="124"/>
    </row>
    <row r="839" spans="2:48" ht="15" x14ac:dyDescent="0.2">
      <c r="B839" s="250"/>
      <c r="C839" s="1201"/>
      <c r="D839" s="1092"/>
      <c r="E839" s="168"/>
      <c r="F839" s="172" t="s">
        <v>96</v>
      </c>
      <c r="G839" s="1233" t="s">
        <v>1079</v>
      </c>
      <c r="H839" s="1234"/>
      <c r="I839" s="1235"/>
      <c r="J839" s="1236"/>
      <c r="K839" s="1237"/>
      <c r="L839" s="1237"/>
      <c r="M839" s="1237"/>
      <c r="N839" s="1237"/>
      <c r="O839" s="1237"/>
      <c r="P839" s="1238"/>
      <c r="Q839" s="1202"/>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c r="AN839" s="250"/>
      <c r="AO839" s="250"/>
      <c r="AP839" s="250"/>
      <c r="AQ839" s="250"/>
      <c r="AR839" s="250"/>
      <c r="AS839" s="250"/>
      <c r="AT839" s="250"/>
      <c r="AU839" s="250"/>
      <c r="AV839" s="124"/>
    </row>
    <row r="840" spans="2:48" ht="15" x14ac:dyDescent="0.2">
      <c r="B840" s="250"/>
      <c r="C840" s="1201"/>
      <c r="D840" s="1092"/>
      <c r="E840" s="168"/>
      <c r="F840" s="1246"/>
      <c r="G840" s="163" t="s">
        <v>1085</v>
      </c>
      <c r="H840" s="1222"/>
      <c r="I840" s="157"/>
      <c r="J840" s="156"/>
      <c r="K840" s="1092"/>
      <c r="L840" s="1092"/>
      <c r="M840" s="1092"/>
      <c r="N840" s="1092"/>
      <c r="O840" s="1092"/>
      <c r="P840" s="1225"/>
      <c r="Q840" s="1202"/>
      <c r="R840" s="250"/>
      <c r="S840" s="250"/>
      <c r="T840" s="250"/>
      <c r="U840" s="250"/>
      <c r="V840" s="250"/>
      <c r="W840" s="250"/>
      <c r="X840" s="250"/>
      <c r="Y840" s="250"/>
      <c r="Z840" s="250"/>
      <c r="AA840" s="250"/>
      <c r="AB840" s="250"/>
      <c r="AC840" s="250"/>
      <c r="AD840" s="250"/>
      <c r="AE840" s="250"/>
      <c r="AF840" s="250"/>
      <c r="AG840" s="250"/>
      <c r="AH840" s="250"/>
      <c r="AI840" s="250"/>
      <c r="AJ840" s="250"/>
      <c r="AK840" s="250"/>
      <c r="AL840" s="250"/>
      <c r="AM840" s="250"/>
      <c r="AN840" s="250"/>
      <c r="AO840" s="250"/>
      <c r="AP840" s="250"/>
      <c r="AQ840" s="250"/>
      <c r="AR840" s="250"/>
      <c r="AS840" s="250"/>
      <c r="AT840" s="250"/>
      <c r="AU840" s="250"/>
      <c r="AV840" s="124"/>
    </row>
    <row r="841" spans="2:48" ht="15" x14ac:dyDescent="0.2">
      <c r="B841" s="250"/>
      <c r="C841" s="1201"/>
      <c r="D841" s="1092"/>
      <c r="E841" s="168"/>
      <c r="F841" s="1247" t="s">
        <v>756</v>
      </c>
      <c r="G841" s="1248"/>
      <c r="H841" s="1249"/>
      <c r="I841" s="1250"/>
      <c r="J841" s="1251"/>
      <c r="K841" s="1252"/>
      <c r="L841" s="1252"/>
      <c r="M841" s="1252"/>
      <c r="N841" s="1252"/>
      <c r="O841" s="1252"/>
      <c r="P841" s="1253"/>
      <c r="Q841" s="1202"/>
      <c r="R841" s="250"/>
      <c r="S841" s="250"/>
      <c r="T841" s="250"/>
      <c r="U841" s="250"/>
      <c r="V841" s="250"/>
      <c r="W841" s="250"/>
      <c r="X841" s="250"/>
      <c r="Y841" s="250"/>
      <c r="Z841" s="250"/>
      <c r="AA841" s="250"/>
      <c r="AB841" s="250"/>
      <c r="AC841" s="250"/>
      <c r="AD841" s="250"/>
      <c r="AE841" s="250"/>
      <c r="AF841" s="250"/>
      <c r="AG841" s="250"/>
      <c r="AH841" s="250"/>
      <c r="AI841" s="250"/>
      <c r="AJ841" s="250"/>
      <c r="AK841" s="250"/>
      <c r="AL841" s="250"/>
      <c r="AM841" s="250"/>
      <c r="AN841" s="250"/>
      <c r="AO841" s="250"/>
      <c r="AP841" s="250"/>
      <c r="AQ841" s="250"/>
      <c r="AR841" s="250"/>
      <c r="AS841" s="250"/>
      <c r="AT841" s="250"/>
      <c r="AU841" s="250"/>
      <c r="AV841" s="124"/>
    </row>
    <row r="842" spans="2:48" ht="15" x14ac:dyDescent="0.2">
      <c r="B842" s="250"/>
      <c r="C842" s="1201"/>
      <c r="D842" s="158"/>
      <c r="E842" s="156"/>
      <c r="F842" s="1254" t="s">
        <v>757</v>
      </c>
      <c r="G842" s="247"/>
      <c r="H842" s="1255"/>
      <c r="I842" s="1256"/>
      <c r="J842" s="1257"/>
      <c r="K842" s="1258"/>
      <c r="L842" s="1258"/>
      <c r="M842" s="1258"/>
      <c r="N842" s="1258"/>
      <c r="O842" s="1258"/>
      <c r="P842" s="1259"/>
      <c r="Q842" s="1202"/>
      <c r="R842" s="250"/>
      <c r="S842" s="250"/>
      <c r="T842" s="250"/>
      <c r="U842" s="250"/>
      <c r="V842" s="250"/>
      <c r="W842" s="250"/>
      <c r="X842" s="250"/>
      <c r="Y842" s="250"/>
      <c r="Z842" s="250"/>
      <c r="AA842" s="250"/>
      <c r="AB842" s="250"/>
      <c r="AC842" s="250"/>
      <c r="AD842" s="250"/>
      <c r="AE842" s="250"/>
      <c r="AF842" s="250"/>
      <c r="AG842" s="250"/>
      <c r="AH842" s="250"/>
      <c r="AI842" s="250"/>
      <c r="AJ842" s="250"/>
      <c r="AK842" s="250"/>
      <c r="AL842" s="250"/>
      <c r="AM842" s="250"/>
      <c r="AN842" s="250"/>
      <c r="AO842" s="250"/>
      <c r="AP842" s="250"/>
      <c r="AQ842" s="250"/>
      <c r="AR842" s="250"/>
      <c r="AS842" s="250"/>
      <c r="AT842" s="250"/>
      <c r="AU842" s="250"/>
      <c r="AV842" s="124"/>
    </row>
    <row r="843" spans="2:48" ht="15" x14ac:dyDescent="0.2">
      <c r="B843" s="250"/>
      <c r="C843" s="1201"/>
      <c r="D843" s="158"/>
      <c r="E843" s="156"/>
      <c r="F843" s="913" t="s">
        <v>1514</v>
      </c>
      <c r="G843" s="163" t="s">
        <v>1080</v>
      </c>
      <c r="H843" s="1222"/>
      <c r="I843" s="157"/>
      <c r="J843" s="156"/>
      <c r="K843" s="158"/>
      <c r="L843" s="158"/>
      <c r="M843" s="158"/>
      <c r="N843" s="158"/>
      <c r="O843" s="158"/>
      <c r="P843" s="1260"/>
      <c r="Q843" s="1202"/>
      <c r="R843" s="250"/>
      <c r="S843" s="250"/>
      <c r="T843" s="250"/>
      <c r="U843" s="250"/>
      <c r="V843" s="250"/>
      <c r="W843" s="250"/>
      <c r="X843" s="250"/>
      <c r="Y843" s="250"/>
      <c r="Z843" s="250"/>
      <c r="AA843" s="250"/>
      <c r="AB843" s="250"/>
      <c r="AC843" s="250"/>
      <c r="AD843" s="250"/>
      <c r="AE843" s="250"/>
      <c r="AF843" s="250"/>
      <c r="AG843" s="250"/>
      <c r="AH843" s="250"/>
      <c r="AI843" s="250"/>
      <c r="AJ843" s="250"/>
      <c r="AK843" s="250"/>
      <c r="AL843" s="250"/>
      <c r="AM843" s="250"/>
      <c r="AN843" s="250"/>
      <c r="AO843" s="250"/>
      <c r="AP843" s="250"/>
      <c r="AQ843" s="250"/>
      <c r="AR843" s="250"/>
      <c r="AS843" s="250"/>
      <c r="AT843" s="250"/>
      <c r="AU843" s="250"/>
      <c r="AV843" s="124"/>
    </row>
    <row r="844" spans="2:48" ht="15" x14ac:dyDescent="0.2">
      <c r="B844" s="250"/>
      <c r="C844" s="1201"/>
      <c r="D844" s="158"/>
      <c r="E844" s="156"/>
      <c r="F844" s="1247" t="s">
        <v>758</v>
      </c>
      <c r="G844" s="1248"/>
      <c r="H844" s="1249"/>
      <c r="I844" s="1250"/>
      <c r="J844" s="1251"/>
      <c r="K844" s="1252"/>
      <c r="L844" s="1252"/>
      <c r="M844" s="1252"/>
      <c r="N844" s="1252"/>
      <c r="O844" s="1252"/>
      <c r="P844" s="1253"/>
      <c r="Q844" s="1202"/>
      <c r="R844" s="250"/>
      <c r="S844" s="250"/>
      <c r="T844" s="250"/>
      <c r="U844" s="250"/>
      <c r="V844" s="250"/>
      <c r="W844" s="250"/>
      <c r="X844" s="250"/>
      <c r="Y844" s="250"/>
      <c r="Z844" s="250"/>
      <c r="AA844" s="250"/>
      <c r="AB844" s="250"/>
      <c r="AC844" s="250"/>
      <c r="AD844" s="250"/>
      <c r="AE844" s="250"/>
      <c r="AF844" s="250"/>
      <c r="AG844" s="250"/>
      <c r="AH844" s="250"/>
      <c r="AI844" s="250"/>
      <c r="AJ844" s="250"/>
      <c r="AK844" s="250"/>
      <c r="AL844" s="250"/>
      <c r="AM844" s="250"/>
      <c r="AN844" s="250"/>
      <c r="AO844" s="250"/>
      <c r="AP844" s="250"/>
      <c r="AQ844" s="250"/>
      <c r="AR844" s="250"/>
      <c r="AS844" s="250"/>
      <c r="AT844" s="250"/>
      <c r="AU844" s="250"/>
      <c r="AV844" s="124"/>
    </row>
    <row r="845" spans="2:48" ht="15" x14ac:dyDescent="0.2">
      <c r="B845" s="250"/>
      <c r="C845" s="1201"/>
      <c r="D845" s="158"/>
      <c r="E845" s="156"/>
      <c r="F845" s="1254" t="s">
        <v>1081</v>
      </c>
      <c r="G845" s="247"/>
      <c r="H845" s="1255"/>
      <c r="I845" s="1256"/>
      <c r="J845" s="1257"/>
      <c r="K845" s="1258"/>
      <c r="L845" s="1258"/>
      <c r="M845" s="1258"/>
      <c r="N845" s="1258"/>
      <c r="O845" s="1258"/>
      <c r="P845" s="1259"/>
      <c r="Q845" s="1202"/>
      <c r="R845" s="250"/>
      <c r="S845" s="250"/>
      <c r="T845" s="250"/>
      <c r="U845" s="250"/>
      <c r="V845" s="250"/>
      <c r="W845" s="250"/>
      <c r="X845" s="250"/>
      <c r="Y845" s="250"/>
      <c r="Z845" s="250"/>
      <c r="AA845" s="250"/>
      <c r="AB845" s="250"/>
      <c r="AC845" s="250"/>
      <c r="AD845" s="250"/>
      <c r="AE845" s="250"/>
      <c r="AF845" s="250"/>
      <c r="AG845" s="250"/>
      <c r="AH845" s="250"/>
      <c r="AI845" s="250"/>
      <c r="AJ845" s="250"/>
      <c r="AK845" s="250"/>
      <c r="AL845" s="250"/>
      <c r="AM845" s="250"/>
      <c r="AN845" s="250"/>
      <c r="AO845" s="250"/>
      <c r="AP845" s="250"/>
      <c r="AQ845" s="250"/>
      <c r="AR845" s="250"/>
      <c r="AS845" s="250"/>
      <c r="AT845" s="250"/>
      <c r="AU845" s="250"/>
      <c r="AV845" s="124"/>
    </row>
    <row r="846" spans="2:48" ht="15" x14ac:dyDescent="0.2">
      <c r="B846" s="250"/>
      <c r="C846" s="1201"/>
      <c r="D846" s="158"/>
      <c r="E846" s="156"/>
      <c r="F846" s="172" t="s">
        <v>1512</v>
      </c>
      <c r="G846" s="1227" t="s">
        <v>1432</v>
      </c>
      <c r="H846" s="1228"/>
      <c r="I846" s="1229"/>
      <c r="J846" s="1230"/>
      <c r="K846" s="1261"/>
      <c r="L846" s="1261"/>
      <c r="M846" s="1261"/>
      <c r="N846" s="1261"/>
      <c r="O846" s="1261"/>
      <c r="P846" s="1262"/>
      <c r="Q846" s="1202"/>
      <c r="R846" s="250"/>
      <c r="S846" s="250"/>
      <c r="T846" s="250"/>
      <c r="U846" s="250"/>
      <c r="V846" s="250"/>
      <c r="W846" s="250"/>
      <c r="X846" s="250"/>
      <c r="Y846" s="250"/>
      <c r="Z846" s="250"/>
      <c r="AA846" s="250"/>
      <c r="AB846" s="250"/>
      <c r="AC846" s="250"/>
      <c r="AD846" s="250"/>
      <c r="AE846" s="250"/>
      <c r="AF846" s="250"/>
      <c r="AG846" s="250"/>
      <c r="AH846" s="250"/>
      <c r="AI846" s="250"/>
      <c r="AJ846" s="250"/>
      <c r="AK846" s="250"/>
      <c r="AL846" s="250"/>
      <c r="AM846" s="250"/>
      <c r="AN846" s="250"/>
      <c r="AO846" s="250"/>
      <c r="AP846" s="250"/>
      <c r="AQ846" s="250"/>
      <c r="AR846" s="250"/>
      <c r="AS846" s="250"/>
      <c r="AT846" s="250"/>
      <c r="AU846" s="250"/>
      <c r="AV846" s="124"/>
    </row>
    <row r="847" spans="2:48" ht="15" x14ac:dyDescent="0.2">
      <c r="B847" s="250"/>
      <c r="C847" s="1201"/>
      <c r="D847" s="158"/>
      <c r="E847" s="156"/>
      <c r="F847" s="172" t="s">
        <v>1082</v>
      </c>
      <c r="G847" s="1263" t="s">
        <v>97</v>
      </c>
      <c r="H847" s="1234"/>
      <c r="I847" s="1235"/>
      <c r="J847" s="1236"/>
      <c r="K847" s="1264"/>
      <c r="L847" s="1264"/>
      <c r="M847" s="1264"/>
      <c r="N847" s="1264"/>
      <c r="O847" s="1264"/>
      <c r="P847" s="1265"/>
      <c r="Q847" s="1202"/>
      <c r="R847" s="250"/>
      <c r="S847" s="250"/>
      <c r="T847" s="250"/>
      <c r="U847" s="250"/>
      <c r="V847" s="250"/>
      <c r="W847" s="250"/>
      <c r="X847" s="250"/>
      <c r="Y847" s="250"/>
      <c r="Z847" s="250"/>
      <c r="AA847" s="250"/>
      <c r="AB847" s="250"/>
      <c r="AC847" s="250"/>
      <c r="AD847" s="250"/>
      <c r="AE847" s="250"/>
      <c r="AF847" s="250"/>
      <c r="AG847" s="250"/>
      <c r="AH847" s="250"/>
      <c r="AI847" s="250"/>
      <c r="AJ847" s="250"/>
      <c r="AK847" s="250"/>
      <c r="AL847" s="250"/>
      <c r="AM847" s="250"/>
      <c r="AN847" s="250"/>
      <c r="AO847" s="250"/>
      <c r="AP847" s="250"/>
      <c r="AQ847" s="250"/>
      <c r="AR847" s="250"/>
      <c r="AS847" s="250"/>
      <c r="AT847" s="250"/>
      <c r="AU847" s="250"/>
      <c r="AV847" s="124"/>
    </row>
    <row r="848" spans="2:48" ht="15" x14ac:dyDescent="0.2">
      <c r="B848" s="250"/>
      <c r="C848" s="1201"/>
      <c r="D848" s="877"/>
      <c r="E848" s="877"/>
      <c r="F848" s="1266" t="s">
        <v>98</v>
      </c>
      <c r="G848" s="1240"/>
      <c r="H848" s="1241"/>
      <c r="I848" s="1242"/>
      <c r="J848" s="1243"/>
      <c r="K848" s="1267"/>
      <c r="L848" s="1267"/>
      <c r="M848" s="1267"/>
      <c r="N848" s="1267"/>
      <c r="O848" s="1267"/>
      <c r="P848" s="1268"/>
      <c r="Q848" s="1202"/>
      <c r="R848" s="250"/>
      <c r="S848" s="250"/>
      <c r="T848" s="250"/>
      <c r="U848" s="250"/>
      <c r="V848" s="250"/>
      <c r="W848" s="250"/>
      <c r="X848" s="250"/>
      <c r="Y848" s="250"/>
      <c r="Z848" s="250"/>
      <c r="AA848" s="250"/>
      <c r="AB848" s="250"/>
      <c r="AC848" s="250"/>
      <c r="AD848" s="250"/>
      <c r="AE848" s="250"/>
      <c r="AF848" s="250"/>
      <c r="AG848" s="250"/>
      <c r="AH848" s="250"/>
      <c r="AI848" s="250"/>
      <c r="AJ848" s="250"/>
      <c r="AK848" s="250"/>
      <c r="AL848" s="250"/>
      <c r="AM848" s="250"/>
      <c r="AN848" s="250"/>
      <c r="AO848" s="250"/>
      <c r="AP848" s="250"/>
      <c r="AQ848" s="250"/>
      <c r="AR848" s="250"/>
      <c r="AS848" s="250"/>
      <c r="AT848" s="250"/>
      <c r="AU848" s="250"/>
      <c r="AV848" s="124"/>
    </row>
    <row r="849" spans="2:48" x14ac:dyDescent="0.2">
      <c r="B849" s="250"/>
      <c r="C849" s="1201"/>
      <c r="D849" s="877"/>
      <c r="E849" s="877"/>
      <c r="F849" s="1269"/>
      <c r="G849" s="1269"/>
      <c r="H849" s="1269"/>
      <c r="I849" s="1269"/>
      <c r="J849" s="1269"/>
      <c r="K849" s="1269"/>
      <c r="L849" s="1269"/>
      <c r="M849" s="1269"/>
      <c r="N849" s="1269"/>
      <c r="O849" s="1269"/>
      <c r="P849" s="1269"/>
      <c r="Q849" s="1202"/>
      <c r="R849" s="250"/>
      <c r="S849" s="250"/>
      <c r="T849" s="250"/>
      <c r="U849" s="250"/>
      <c r="V849" s="250"/>
      <c r="W849" s="250"/>
      <c r="X849" s="250"/>
      <c r="Y849" s="250"/>
      <c r="Z849" s="250"/>
      <c r="AA849" s="250"/>
      <c r="AB849" s="250"/>
      <c r="AC849" s="250"/>
      <c r="AD849" s="250"/>
      <c r="AE849" s="250"/>
      <c r="AF849" s="250"/>
      <c r="AG849" s="250"/>
      <c r="AH849" s="250"/>
      <c r="AI849" s="250"/>
      <c r="AJ849" s="250"/>
      <c r="AK849" s="250"/>
      <c r="AL849" s="250"/>
      <c r="AM849" s="250"/>
      <c r="AN849" s="250"/>
      <c r="AO849" s="250"/>
      <c r="AP849" s="250"/>
      <c r="AQ849" s="250"/>
      <c r="AR849" s="250"/>
      <c r="AS849" s="250"/>
      <c r="AT849" s="250"/>
      <c r="AU849" s="250"/>
      <c r="AV849" s="124"/>
    </row>
    <row r="850" spans="2:48" ht="18" x14ac:dyDescent="0.25">
      <c r="B850" s="250"/>
      <c r="C850" s="1201"/>
      <c r="D850" s="150"/>
      <c r="E850" s="150"/>
      <c r="F850" s="914" t="s">
        <v>1086</v>
      </c>
      <c r="G850" s="915"/>
      <c r="H850" s="915"/>
      <c r="I850" s="915"/>
      <c r="J850" s="915"/>
      <c r="K850" s="915"/>
      <c r="L850" s="915"/>
      <c r="M850" s="915"/>
      <c r="N850" s="915"/>
      <c r="O850" s="915"/>
      <c r="P850" s="916"/>
      <c r="Q850" s="1202"/>
      <c r="R850" s="250"/>
      <c r="S850" s="250"/>
      <c r="T850" s="250"/>
      <c r="U850" s="250"/>
      <c r="V850" s="250"/>
      <c r="W850" s="250"/>
      <c r="X850" s="250"/>
      <c r="Y850" s="250"/>
      <c r="Z850" s="250"/>
      <c r="AA850" s="250"/>
      <c r="AB850" s="250"/>
      <c r="AC850" s="250"/>
      <c r="AD850" s="250"/>
      <c r="AE850" s="250"/>
      <c r="AF850" s="250"/>
      <c r="AG850" s="250"/>
      <c r="AH850" s="250"/>
      <c r="AI850" s="250"/>
      <c r="AJ850" s="250"/>
      <c r="AK850" s="250"/>
      <c r="AL850" s="250"/>
      <c r="AM850" s="250"/>
      <c r="AN850" s="250"/>
      <c r="AO850" s="250"/>
      <c r="AP850" s="250"/>
      <c r="AQ850" s="250"/>
      <c r="AR850" s="250"/>
      <c r="AS850" s="250"/>
      <c r="AT850" s="250"/>
      <c r="AU850" s="250"/>
      <c r="AV850" s="124"/>
    </row>
    <row r="851" spans="2:48" ht="18" x14ac:dyDescent="0.25">
      <c r="B851" s="250"/>
      <c r="C851" s="1203"/>
      <c r="D851" s="154"/>
      <c r="E851" s="153"/>
      <c r="F851" s="1216" t="s">
        <v>1088</v>
      </c>
      <c r="G851" s="156"/>
      <c r="H851" s="154"/>
      <c r="I851" s="154"/>
      <c r="J851" s="154"/>
      <c r="K851" s="154"/>
      <c r="L851" s="154"/>
      <c r="M851" s="154"/>
      <c r="N851" s="154"/>
      <c r="O851" s="154"/>
      <c r="P851" s="154"/>
      <c r="Q851" s="1208"/>
      <c r="R851" s="250"/>
      <c r="S851" s="250"/>
      <c r="T851" s="250"/>
      <c r="U851" s="250"/>
      <c r="V851" s="250"/>
      <c r="W851" s="250"/>
      <c r="X851" s="250"/>
      <c r="Y851" s="250"/>
      <c r="Z851" s="250"/>
      <c r="AA851" s="250"/>
      <c r="AB851" s="250"/>
      <c r="AC851" s="250"/>
      <c r="AD851" s="250"/>
      <c r="AE851" s="250"/>
      <c r="AF851" s="250"/>
      <c r="AG851" s="250"/>
      <c r="AH851" s="250"/>
      <c r="AI851" s="250"/>
      <c r="AJ851" s="250"/>
      <c r="AK851" s="250"/>
      <c r="AL851" s="250"/>
      <c r="AM851" s="250"/>
      <c r="AN851" s="250"/>
      <c r="AO851" s="250"/>
      <c r="AP851" s="250"/>
      <c r="AQ851" s="250"/>
      <c r="AR851" s="250"/>
      <c r="AS851" s="250"/>
      <c r="AT851" s="250"/>
      <c r="AU851" s="250"/>
      <c r="AV851" s="124"/>
    </row>
    <row r="852" spans="2:48" ht="6.75" customHeight="1" x14ac:dyDescent="0.2">
      <c r="B852" s="250"/>
      <c r="C852" s="1201"/>
      <c r="D852" s="1092"/>
      <c r="E852" s="168"/>
      <c r="F852" s="1270"/>
      <c r="G852" s="156"/>
      <c r="H852" s="157"/>
      <c r="I852" s="157"/>
      <c r="J852" s="156"/>
      <c r="K852" s="1092"/>
      <c r="L852" s="1092"/>
      <c r="M852" s="1092"/>
      <c r="N852" s="1092"/>
      <c r="O852" s="1092"/>
      <c r="P852" s="1092"/>
      <c r="Q852" s="1202"/>
      <c r="R852" s="250"/>
      <c r="S852" s="250"/>
      <c r="T852" s="250"/>
      <c r="U852" s="250"/>
      <c r="V852" s="250"/>
      <c r="W852" s="250"/>
      <c r="X852" s="250"/>
      <c r="Y852" s="250"/>
      <c r="Z852" s="250"/>
      <c r="AA852" s="250"/>
      <c r="AB852" s="250"/>
      <c r="AC852" s="250"/>
      <c r="AD852" s="250"/>
      <c r="AE852" s="250"/>
      <c r="AF852" s="250"/>
      <c r="AG852" s="250"/>
      <c r="AH852" s="250"/>
      <c r="AI852" s="250"/>
      <c r="AJ852" s="250"/>
      <c r="AK852" s="250"/>
      <c r="AL852" s="250"/>
      <c r="AM852" s="250"/>
      <c r="AN852" s="250"/>
      <c r="AO852" s="250"/>
      <c r="AP852" s="250"/>
      <c r="AQ852" s="250"/>
      <c r="AR852" s="250"/>
      <c r="AS852" s="250"/>
      <c r="AT852" s="250"/>
      <c r="AU852" s="250"/>
      <c r="AV852" s="124"/>
    </row>
    <row r="853" spans="2:48" ht="27" customHeight="1" x14ac:dyDescent="0.2">
      <c r="B853" s="250"/>
      <c r="C853" s="1201"/>
      <c r="D853" s="1092"/>
      <c r="E853" s="168"/>
      <c r="F853" s="1217" t="s">
        <v>1084</v>
      </c>
      <c r="G853" s="171"/>
      <c r="H853" s="157"/>
      <c r="I853" s="157"/>
      <c r="J853" s="156"/>
      <c r="K853" s="1092"/>
      <c r="L853" s="1092"/>
      <c r="M853" s="1092"/>
      <c r="N853" s="1092"/>
      <c r="O853" s="1092"/>
      <c r="P853" s="1092"/>
      <c r="Q853" s="1202"/>
      <c r="R853" s="250"/>
      <c r="S853" s="250"/>
      <c r="T853" s="250"/>
      <c r="U853" s="250"/>
      <c r="V853" s="250"/>
      <c r="W853" s="250"/>
      <c r="X853" s="250"/>
      <c r="Y853" s="250"/>
      <c r="Z853" s="250"/>
      <c r="AA853" s="250"/>
      <c r="AB853" s="250"/>
      <c r="AC853" s="250"/>
      <c r="AD853" s="250"/>
      <c r="AE853" s="250"/>
      <c r="AF853" s="250"/>
      <c r="AG853" s="250"/>
      <c r="AH853" s="250"/>
      <c r="AI853" s="250"/>
      <c r="AJ853" s="250"/>
      <c r="AK853" s="250"/>
      <c r="AL853" s="250"/>
      <c r="AM853" s="250"/>
      <c r="AN853" s="250"/>
      <c r="AO853" s="250"/>
      <c r="AP853" s="250"/>
      <c r="AQ853" s="250"/>
      <c r="AR853" s="250"/>
      <c r="AS853" s="250"/>
      <c r="AT853" s="250"/>
      <c r="AU853" s="250"/>
      <c r="AV853" s="124"/>
    </row>
    <row r="854" spans="2:48" ht="15" x14ac:dyDescent="0.2">
      <c r="B854" s="250"/>
      <c r="C854" s="1201"/>
      <c r="D854" s="1092"/>
      <c r="E854" s="168"/>
      <c r="F854" s="173" t="s">
        <v>928</v>
      </c>
      <c r="G854" s="1271" t="s">
        <v>1089</v>
      </c>
      <c r="H854" s="1272"/>
      <c r="I854" s="1273"/>
      <c r="J854" s="1274"/>
      <c r="K854" s="1275"/>
      <c r="L854" s="1275"/>
      <c r="M854" s="1275"/>
      <c r="N854" s="1275"/>
      <c r="O854" s="1275"/>
      <c r="P854" s="1276"/>
      <c r="Q854" s="1202"/>
      <c r="R854" s="250"/>
      <c r="S854" s="250"/>
      <c r="T854" s="250"/>
      <c r="U854" s="250"/>
      <c r="V854" s="250"/>
      <c r="W854" s="250"/>
      <c r="X854" s="250"/>
      <c r="Y854" s="250"/>
      <c r="Z854" s="250"/>
      <c r="AA854" s="250"/>
      <c r="AB854" s="250"/>
      <c r="AC854" s="250"/>
      <c r="AD854" s="250"/>
      <c r="AE854" s="250"/>
      <c r="AF854" s="250"/>
      <c r="AG854" s="250"/>
      <c r="AH854" s="250"/>
      <c r="AI854" s="250"/>
      <c r="AJ854" s="250"/>
      <c r="AK854" s="250"/>
      <c r="AL854" s="250"/>
      <c r="AM854" s="250"/>
      <c r="AN854" s="250"/>
      <c r="AO854" s="250"/>
      <c r="AP854" s="250"/>
      <c r="AQ854" s="250"/>
      <c r="AR854" s="250"/>
      <c r="AS854" s="250"/>
      <c r="AT854" s="250"/>
      <c r="AU854" s="250"/>
      <c r="AV854" s="124"/>
    </row>
    <row r="855" spans="2:48" ht="15" x14ac:dyDescent="0.2">
      <c r="B855" s="250"/>
      <c r="C855" s="1201"/>
      <c r="D855" s="1092"/>
      <c r="E855" s="168"/>
      <c r="F855" s="173" t="s">
        <v>96</v>
      </c>
      <c r="G855" s="1271" t="s">
        <v>1079</v>
      </c>
      <c r="H855" s="1272"/>
      <c r="I855" s="1273"/>
      <c r="J855" s="1274"/>
      <c r="K855" s="1275"/>
      <c r="L855" s="1275"/>
      <c r="M855" s="1275"/>
      <c r="N855" s="1275"/>
      <c r="O855" s="1275"/>
      <c r="P855" s="1276"/>
      <c r="Q855" s="1202"/>
      <c r="R855" s="250"/>
      <c r="S855" s="250"/>
      <c r="T855" s="250"/>
      <c r="U855" s="250"/>
      <c r="V855" s="250"/>
      <c r="W855" s="250"/>
      <c r="X855" s="250"/>
      <c r="Y855" s="250"/>
      <c r="Z855" s="250"/>
      <c r="AA855" s="250"/>
      <c r="AB855" s="250"/>
      <c r="AC855" s="250"/>
      <c r="AD855" s="250"/>
      <c r="AE855" s="250"/>
      <c r="AF855" s="250"/>
      <c r="AG855" s="250"/>
      <c r="AH855" s="250"/>
      <c r="AI855" s="250"/>
      <c r="AJ855" s="250"/>
      <c r="AK855" s="250"/>
      <c r="AL855" s="250"/>
      <c r="AM855" s="250"/>
      <c r="AN855" s="250"/>
      <c r="AO855" s="250"/>
      <c r="AP855" s="250"/>
      <c r="AQ855" s="250"/>
      <c r="AR855" s="250"/>
      <c r="AS855" s="250"/>
      <c r="AT855" s="250"/>
      <c r="AU855" s="250"/>
      <c r="AV855" s="124"/>
    </row>
    <row r="856" spans="2:48" ht="15" x14ac:dyDescent="0.2">
      <c r="B856" s="250"/>
      <c r="C856" s="1201"/>
      <c r="D856" s="1092"/>
      <c r="E856" s="168"/>
      <c r="F856" s="173" t="s">
        <v>1514</v>
      </c>
      <c r="G856" s="1271" t="s">
        <v>1080</v>
      </c>
      <c r="H856" s="1272"/>
      <c r="I856" s="1273"/>
      <c r="J856" s="1274"/>
      <c r="K856" s="1275"/>
      <c r="L856" s="1275"/>
      <c r="M856" s="1275"/>
      <c r="N856" s="1275"/>
      <c r="O856" s="1275"/>
      <c r="P856" s="1276"/>
      <c r="Q856" s="1202"/>
      <c r="R856" s="250"/>
      <c r="S856" s="250"/>
      <c r="T856" s="250"/>
      <c r="U856" s="250"/>
      <c r="V856" s="250"/>
      <c r="W856" s="250"/>
      <c r="X856" s="250"/>
      <c r="Y856" s="250"/>
      <c r="Z856" s="250"/>
      <c r="AA856" s="250"/>
      <c r="AB856" s="250"/>
      <c r="AC856" s="250"/>
      <c r="AD856" s="250"/>
      <c r="AE856" s="250"/>
      <c r="AF856" s="250"/>
      <c r="AG856" s="250"/>
      <c r="AH856" s="250"/>
      <c r="AI856" s="250"/>
      <c r="AJ856" s="250"/>
      <c r="AK856" s="250"/>
      <c r="AL856" s="250"/>
      <c r="AM856" s="250"/>
      <c r="AN856" s="250"/>
      <c r="AO856" s="250"/>
      <c r="AP856" s="250"/>
      <c r="AQ856" s="250"/>
      <c r="AR856" s="250"/>
      <c r="AS856" s="250"/>
      <c r="AT856" s="250"/>
      <c r="AU856" s="250"/>
      <c r="AV856" s="124"/>
    </row>
    <row r="857" spans="2:48" ht="15" x14ac:dyDescent="0.2">
      <c r="B857" s="250"/>
      <c r="C857" s="1201"/>
      <c r="D857" s="1092"/>
      <c r="E857" s="168"/>
      <c r="F857" s="173" t="s">
        <v>1512</v>
      </c>
      <c r="G857" s="1271" t="s">
        <v>1101</v>
      </c>
      <c r="H857" s="1272"/>
      <c r="I857" s="1273"/>
      <c r="J857" s="1274"/>
      <c r="K857" s="1275"/>
      <c r="L857" s="1275"/>
      <c r="M857" s="1275"/>
      <c r="N857" s="1275"/>
      <c r="O857" s="1275"/>
      <c r="P857" s="1276"/>
      <c r="Q857" s="1202"/>
      <c r="R857" s="250"/>
      <c r="S857" s="250"/>
      <c r="T857" s="250"/>
      <c r="U857" s="250"/>
      <c r="V857" s="250"/>
      <c r="W857" s="250"/>
      <c r="X857" s="250"/>
      <c r="Y857" s="250"/>
      <c r="Z857" s="250"/>
      <c r="AA857" s="250"/>
      <c r="AB857" s="250"/>
      <c r="AC857" s="250"/>
      <c r="AD857" s="250"/>
      <c r="AE857" s="250"/>
      <c r="AF857" s="250"/>
      <c r="AG857" s="250"/>
      <c r="AH857" s="250"/>
      <c r="AI857" s="250"/>
      <c r="AJ857" s="250"/>
      <c r="AK857" s="250"/>
      <c r="AL857" s="250"/>
      <c r="AM857" s="250"/>
      <c r="AN857" s="250"/>
      <c r="AO857" s="250"/>
      <c r="AP857" s="250"/>
      <c r="AQ857" s="250"/>
      <c r="AR857" s="250"/>
      <c r="AS857" s="250"/>
      <c r="AT857" s="250"/>
      <c r="AU857" s="250"/>
      <c r="AV857" s="124"/>
    </row>
    <row r="858" spans="2:48" ht="15" x14ac:dyDescent="0.2">
      <c r="B858" s="250"/>
      <c r="C858" s="1201"/>
      <c r="D858" s="877"/>
      <c r="E858" s="877"/>
      <c r="F858" s="173" t="s">
        <v>1090</v>
      </c>
      <c r="G858" s="1271" t="s">
        <v>1100</v>
      </c>
      <c r="H858" s="1272"/>
      <c r="I858" s="1273"/>
      <c r="J858" s="1274"/>
      <c r="K858" s="1275"/>
      <c r="L858" s="1275"/>
      <c r="M858" s="1275"/>
      <c r="N858" s="1275"/>
      <c r="O858" s="1275"/>
      <c r="P858" s="1276"/>
      <c r="Q858" s="1202"/>
      <c r="R858" s="250"/>
      <c r="S858" s="250"/>
      <c r="T858" s="250"/>
      <c r="U858" s="250"/>
      <c r="V858" s="250"/>
      <c r="W858" s="250"/>
      <c r="X858" s="250"/>
      <c r="Y858" s="250"/>
      <c r="Z858" s="250"/>
      <c r="AA858" s="250"/>
      <c r="AB858" s="250"/>
      <c r="AC858" s="250"/>
      <c r="AD858" s="250"/>
      <c r="AE858" s="250"/>
      <c r="AF858" s="250"/>
      <c r="AG858" s="250"/>
      <c r="AH858" s="250"/>
      <c r="AI858" s="250"/>
      <c r="AJ858" s="250"/>
      <c r="AK858" s="250"/>
      <c r="AL858" s="250"/>
      <c r="AM858" s="250"/>
      <c r="AN858" s="250"/>
      <c r="AO858" s="250"/>
      <c r="AP858" s="250"/>
      <c r="AQ858" s="250"/>
      <c r="AR858" s="250"/>
      <c r="AS858" s="250"/>
      <c r="AT858" s="250"/>
      <c r="AU858" s="250"/>
      <c r="AV858" s="124"/>
    </row>
    <row r="859" spans="2:48" x14ac:dyDescent="0.2">
      <c r="B859" s="250"/>
      <c r="C859" s="1201"/>
      <c r="D859" s="877"/>
      <c r="E859" s="877"/>
      <c r="F859" s="1269"/>
      <c r="G859" s="1269"/>
      <c r="H859" s="1269"/>
      <c r="I859" s="1269"/>
      <c r="J859" s="1269"/>
      <c r="K859" s="1269"/>
      <c r="L859" s="1269"/>
      <c r="M859" s="1269"/>
      <c r="N859" s="1269"/>
      <c r="O859" s="1269"/>
      <c r="P859" s="1269"/>
      <c r="Q859" s="1202"/>
      <c r="R859" s="250"/>
      <c r="S859" s="250"/>
      <c r="T859" s="250"/>
      <c r="U859" s="250"/>
      <c r="V859" s="250"/>
      <c r="W859" s="250"/>
      <c r="X859" s="250"/>
      <c r="Y859" s="250"/>
      <c r="Z859" s="250"/>
      <c r="AA859" s="250"/>
      <c r="AB859" s="250"/>
      <c r="AC859" s="250"/>
      <c r="AD859" s="250"/>
      <c r="AE859" s="250"/>
      <c r="AF859" s="250"/>
      <c r="AG859" s="250"/>
      <c r="AH859" s="250"/>
      <c r="AI859" s="250"/>
      <c r="AJ859" s="250"/>
      <c r="AK859" s="250"/>
      <c r="AL859" s="250"/>
      <c r="AM859" s="250"/>
      <c r="AN859" s="250"/>
      <c r="AO859" s="250"/>
      <c r="AP859" s="250"/>
      <c r="AQ859" s="250"/>
      <c r="AR859" s="250"/>
      <c r="AS859" s="250"/>
      <c r="AT859" s="250"/>
      <c r="AU859" s="250"/>
      <c r="AV859" s="124"/>
    </row>
    <row r="860" spans="2:48" ht="18" x14ac:dyDescent="0.25">
      <c r="B860" s="250"/>
      <c r="C860" s="1201"/>
      <c r="D860" s="150"/>
      <c r="E860" s="150"/>
      <c r="F860" s="914" t="s">
        <v>492</v>
      </c>
      <c r="G860" s="915"/>
      <c r="H860" s="915"/>
      <c r="I860" s="915"/>
      <c r="J860" s="915"/>
      <c r="K860" s="915"/>
      <c r="L860" s="915"/>
      <c r="M860" s="915"/>
      <c r="N860" s="915"/>
      <c r="O860" s="915"/>
      <c r="P860" s="916"/>
      <c r="Q860" s="1202"/>
      <c r="R860" s="250"/>
      <c r="S860" s="250"/>
      <c r="T860" s="250"/>
      <c r="U860" s="250"/>
      <c r="V860" s="250"/>
      <c r="W860" s="250"/>
      <c r="X860" s="250"/>
      <c r="Y860" s="250"/>
      <c r="Z860" s="250"/>
      <c r="AA860" s="250"/>
      <c r="AB860" s="250"/>
      <c r="AC860" s="250"/>
      <c r="AD860" s="250"/>
      <c r="AE860" s="250"/>
      <c r="AF860" s="250"/>
      <c r="AG860" s="250"/>
      <c r="AH860" s="250"/>
      <c r="AI860" s="250"/>
      <c r="AJ860" s="250"/>
      <c r="AK860" s="250"/>
      <c r="AL860" s="250"/>
      <c r="AM860" s="250"/>
      <c r="AN860" s="250"/>
      <c r="AO860" s="250"/>
      <c r="AP860" s="250"/>
      <c r="AQ860" s="250"/>
      <c r="AR860" s="250"/>
      <c r="AS860" s="250"/>
      <c r="AT860" s="250"/>
      <c r="AU860" s="250"/>
      <c r="AV860" s="124"/>
    </row>
    <row r="861" spans="2:48" ht="18" x14ac:dyDescent="0.25">
      <c r="B861" s="250"/>
      <c r="C861" s="1203"/>
      <c r="D861" s="154"/>
      <c r="E861" s="153"/>
      <c r="F861" s="1216" t="s">
        <v>493</v>
      </c>
      <c r="G861" s="156"/>
      <c r="H861" s="154"/>
      <c r="I861" s="154"/>
      <c r="J861" s="154"/>
      <c r="K861" s="154"/>
      <c r="L861" s="154"/>
      <c r="M861" s="154"/>
      <c r="N861" s="154"/>
      <c r="O861" s="154"/>
      <c r="P861" s="154"/>
      <c r="Q861" s="1208"/>
      <c r="R861" s="250"/>
      <c r="S861" s="250"/>
      <c r="T861" s="250"/>
      <c r="U861" s="250"/>
      <c r="V861" s="250"/>
      <c r="W861" s="250"/>
      <c r="X861" s="250"/>
      <c r="Y861" s="250"/>
      <c r="Z861" s="250"/>
      <c r="AA861" s="250"/>
      <c r="AB861" s="250"/>
      <c r="AC861" s="250"/>
      <c r="AD861" s="250"/>
      <c r="AE861" s="250"/>
      <c r="AF861" s="250"/>
      <c r="AG861" s="250"/>
      <c r="AH861" s="250"/>
      <c r="AI861" s="250"/>
      <c r="AJ861" s="250"/>
      <c r="AK861" s="250"/>
      <c r="AL861" s="250"/>
      <c r="AM861" s="250"/>
      <c r="AN861" s="250"/>
      <c r="AO861" s="250"/>
      <c r="AP861" s="250"/>
      <c r="AQ861" s="250"/>
      <c r="AR861" s="250"/>
      <c r="AS861" s="250"/>
      <c r="AT861" s="250"/>
      <c r="AU861" s="250"/>
      <c r="AV861" s="124"/>
    </row>
    <row r="862" spans="2:48" ht="26.25" customHeight="1" x14ac:dyDescent="0.2">
      <c r="B862" s="250"/>
      <c r="C862" s="1203"/>
      <c r="D862" s="154"/>
      <c r="E862" s="156"/>
      <c r="F862" s="1217" t="s">
        <v>497</v>
      </c>
      <c r="G862" s="156"/>
      <c r="H862" s="154"/>
      <c r="I862" s="154"/>
      <c r="J862" s="154"/>
      <c r="K862" s="154"/>
      <c r="L862" s="154"/>
      <c r="M862" s="154"/>
      <c r="N862" s="154"/>
      <c r="O862" s="154"/>
      <c r="P862" s="154"/>
      <c r="Q862" s="1208"/>
      <c r="R862" s="250"/>
      <c r="S862" s="250"/>
      <c r="T862" s="250"/>
      <c r="U862" s="250"/>
      <c r="V862" s="250"/>
      <c r="W862" s="250"/>
      <c r="X862" s="250"/>
      <c r="Y862" s="250"/>
      <c r="Z862" s="250"/>
      <c r="AA862" s="250"/>
      <c r="AB862" s="250"/>
      <c r="AC862" s="250"/>
      <c r="AD862" s="250"/>
      <c r="AE862" s="250"/>
      <c r="AF862" s="250"/>
      <c r="AG862" s="250"/>
      <c r="AH862" s="250"/>
      <c r="AI862" s="250"/>
      <c r="AJ862" s="250"/>
      <c r="AK862" s="250"/>
      <c r="AL862" s="250"/>
      <c r="AM862" s="250"/>
      <c r="AN862" s="250"/>
      <c r="AO862" s="250"/>
      <c r="AP862" s="250"/>
      <c r="AQ862" s="250"/>
      <c r="AR862" s="250"/>
      <c r="AS862" s="250"/>
      <c r="AT862" s="250"/>
      <c r="AU862" s="250"/>
      <c r="AV862" s="124"/>
    </row>
    <row r="863" spans="2:48" ht="15" x14ac:dyDescent="0.2">
      <c r="B863" s="250"/>
      <c r="C863" s="1203"/>
      <c r="D863" s="154"/>
      <c r="E863" s="156"/>
      <c r="F863" s="172" t="s">
        <v>833</v>
      </c>
      <c r="G863" s="156" t="s">
        <v>496</v>
      </c>
      <c r="H863" s="157"/>
      <c r="I863" s="154"/>
      <c r="J863" s="154"/>
      <c r="K863" s="154"/>
      <c r="L863" s="154"/>
      <c r="M863" s="154"/>
      <c r="N863" s="154"/>
      <c r="O863" s="154"/>
      <c r="P863" s="154"/>
      <c r="Q863" s="1208"/>
      <c r="R863" s="250"/>
      <c r="S863" s="250"/>
      <c r="T863" s="250"/>
      <c r="U863" s="250"/>
      <c r="V863" s="250"/>
      <c r="W863" s="250"/>
      <c r="X863" s="250"/>
      <c r="Y863" s="250"/>
      <c r="Z863" s="250"/>
      <c r="AA863" s="250"/>
      <c r="AB863" s="250"/>
      <c r="AC863" s="250"/>
      <c r="AD863" s="250"/>
      <c r="AE863" s="250"/>
      <c r="AF863" s="250"/>
      <c r="AG863" s="250"/>
      <c r="AH863" s="250"/>
      <c r="AI863" s="250"/>
      <c r="AJ863" s="250"/>
      <c r="AK863" s="250"/>
      <c r="AL863" s="250"/>
      <c r="AM863" s="250"/>
      <c r="AN863" s="250"/>
      <c r="AO863" s="250"/>
      <c r="AP863" s="250"/>
      <c r="AQ863" s="250"/>
      <c r="AR863" s="250"/>
      <c r="AS863" s="250"/>
      <c r="AT863" s="250"/>
      <c r="AU863" s="250"/>
      <c r="AV863" s="124"/>
    </row>
    <row r="864" spans="2:48" ht="15" x14ac:dyDescent="0.2">
      <c r="B864" s="250"/>
      <c r="C864" s="1203"/>
      <c r="D864" s="154"/>
      <c r="E864" s="156"/>
      <c r="F864" s="174" t="s">
        <v>99</v>
      </c>
      <c r="G864" s="156" t="s">
        <v>494</v>
      </c>
      <c r="H864" s="1222"/>
      <c r="I864" s="157"/>
      <c r="J864" s="156"/>
      <c r="K864" s="154"/>
      <c r="L864" s="154"/>
      <c r="M864" s="154"/>
      <c r="N864" s="154"/>
      <c r="O864" s="154"/>
      <c r="P864" s="154"/>
      <c r="Q864" s="1208"/>
      <c r="R864" s="250"/>
      <c r="S864" s="250"/>
      <c r="T864" s="250"/>
      <c r="U864" s="250"/>
      <c r="V864" s="250"/>
      <c r="W864" s="250"/>
      <c r="X864" s="250"/>
      <c r="Y864" s="250"/>
      <c r="Z864" s="250"/>
      <c r="AA864" s="250"/>
      <c r="AB864" s="250"/>
      <c r="AC864" s="250"/>
      <c r="AD864" s="250"/>
      <c r="AE864" s="250"/>
      <c r="AF864" s="250"/>
      <c r="AG864" s="250"/>
      <c r="AH864" s="250"/>
      <c r="AI864" s="250"/>
      <c r="AJ864" s="250"/>
      <c r="AK864" s="250"/>
      <c r="AL864" s="250"/>
      <c r="AM864" s="250"/>
      <c r="AN864" s="250"/>
      <c r="AO864" s="250"/>
      <c r="AP864" s="250"/>
      <c r="AQ864" s="250"/>
      <c r="AR864" s="250"/>
      <c r="AS864" s="250"/>
      <c r="AT864" s="250"/>
      <c r="AU864" s="250"/>
      <c r="AV864" s="124"/>
    </row>
    <row r="865" spans="2:48" ht="15" x14ac:dyDescent="0.2">
      <c r="B865" s="250"/>
      <c r="C865" s="1203"/>
      <c r="D865" s="154"/>
      <c r="E865" s="156"/>
      <c r="F865" s="174" t="s">
        <v>100</v>
      </c>
      <c r="G865" s="156" t="s">
        <v>495</v>
      </c>
      <c r="H865" s="1222"/>
      <c r="I865" s="157"/>
      <c r="J865" s="156"/>
      <c r="K865" s="154"/>
      <c r="L865" s="154"/>
      <c r="M865" s="154"/>
      <c r="N865" s="154"/>
      <c r="O865" s="154"/>
      <c r="P865" s="154"/>
      <c r="Q865" s="1208"/>
      <c r="R865" s="250"/>
      <c r="S865" s="250"/>
      <c r="T865" s="250"/>
      <c r="U865" s="250"/>
      <c r="V865" s="250"/>
      <c r="W865" s="250"/>
      <c r="X865" s="250"/>
      <c r="Y865" s="250"/>
      <c r="Z865" s="250"/>
      <c r="AA865" s="250"/>
      <c r="AB865" s="250"/>
      <c r="AC865" s="250"/>
      <c r="AD865" s="250"/>
      <c r="AE865" s="250"/>
      <c r="AF865" s="250"/>
      <c r="AG865" s="250"/>
      <c r="AH865" s="250"/>
      <c r="AI865" s="250"/>
      <c r="AJ865" s="250"/>
      <c r="AK865" s="250"/>
      <c r="AL865" s="250"/>
      <c r="AM865" s="250"/>
      <c r="AN865" s="250"/>
      <c r="AO865" s="250"/>
      <c r="AP865" s="250"/>
      <c r="AQ865" s="250"/>
      <c r="AR865" s="250"/>
      <c r="AS865" s="250"/>
      <c r="AT865" s="250"/>
      <c r="AU865" s="250"/>
      <c r="AV865" s="124"/>
    </row>
    <row r="866" spans="2:48" ht="15" x14ac:dyDescent="0.2">
      <c r="B866" s="250"/>
      <c r="C866" s="1201"/>
      <c r="D866" s="1092"/>
      <c r="E866" s="168"/>
      <c r="F866" s="163" t="s">
        <v>1074</v>
      </c>
      <c r="G866" s="175"/>
      <c r="H866" s="175"/>
      <c r="I866" s="157"/>
      <c r="J866" s="156"/>
      <c r="K866" s="1092"/>
      <c r="L866" s="1092"/>
      <c r="M866" s="1092"/>
      <c r="N866" s="1092"/>
      <c r="O866" s="1092"/>
      <c r="P866" s="1092"/>
      <c r="Q866" s="1202"/>
      <c r="R866" s="250"/>
      <c r="S866" s="250"/>
      <c r="T866" s="250"/>
      <c r="U866" s="250"/>
      <c r="V866" s="250"/>
      <c r="W866" s="250"/>
      <c r="X866" s="250"/>
      <c r="Y866" s="250"/>
      <c r="Z866" s="250"/>
      <c r="AA866" s="250"/>
      <c r="AB866" s="250"/>
      <c r="AC866" s="250"/>
      <c r="AD866" s="250"/>
      <c r="AE866" s="250"/>
      <c r="AF866" s="250"/>
      <c r="AG866" s="250"/>
      <c r="AH866" s="250"/>
      <c r="AI866" s="250"/>
      <c r="AJ866" s="250"/>
      <c r="AK866" s="250"/>
      <c r="AL866" s="250"/>
      <c r="AM866" s="250"/>
      <c r="AN866" s="250"/>
      <c r="AO866" s="250"/>
      <c r="AP866" s="250"/>
      <c r="AQ866" s="250"/>
      <c r="AR866" s="250"/>
      <c r="AS866" s="250"/>
      <c r="AT866" s="250"/>
      <c r="AU866" s="250"/>
      <c r="AV866" s="124"/>
    </row>
    <row r="867" spans="2:48" ht="15" x14ac:dyDescent="0.2">
      <c r="B867" s="250"/>
      <c r="C867" s="1201"/>
      <c r="D867" s="1092"/>
      <c r="E867" s="168"/>
      <c r="F867" s="163" t="s">
        <v>1073</v>
      </c>
      <c r="G867" s="156"/>
      <c r="H867" s="157"/>
      <c r="I867" s="157"/>
      <c r="J867" s="156"/>
      <c r="K867" s="1092"/>
      <c r="L867" s="1092"/>
      <c r="M867" s="1092"/>
      <c r="N867" s="1092"/>
      <c r="O867" s="1092"/>
      <c r="P867" s="1092"/>
      <c r="Q867" s="1202"/>
      <c r="R867" s="250"/>
      <c r="S867" s="250"/>
      <c r="T867" s="250"/>
      <c r="U867" s="250"/>
      <c r="V867" s="250"/>
      <c r="W867" s="250"/>
      <c r="X867" s="250"/>
      <c r="Y867" s="250"/>
      <c r="Z867" s="250"/>
      <c r="AA867" s="250"/>
      <c r="AB867" s="250"/>
      <c r="AC867" s="250"/>
      <c r="AD867" s="250"/>
      <c r="AE867" s="250"/>
      <c r="AF867" s="250"/>
      <c r="AG867" s="250"/>
      <c r="AH867" s="250"/>
      <c r="AI867" s="250"/>
      <c r="AJ867" s="250"/>
      <c r="AK867" s="250"/>
      <c r="AL867" s="250"/>
      <c r="AM867" s="250"/>
      <c r="AN867" s="250"/>
      <c r="AO867" s="250"/>
      <c r="AP867" s="250"/>
      <c r="AQ867" s="250"/>
      <c r="AR867" s="250"/>
      <c r="AS867" s="250"/>
      <c r="AT867" s="250"/>
      <c r="AU867" s="250"/>
      <c r="AV867" s="124"/>
    </row>
    <row r="868" spans="2:48" ht="15" x14ac:dyDescent="0.2">
      <c r="B868" s="250"/>
      <c r="C868" s="1201"/>
      <c r="D868" s="1092"/>
      <c r="E868" s="168"/>
      <c r="F868" s="163"/>
      <c r="G868" s="156"/>
      <c r="H868" s="157"/>
      <c r="I868" s="157"/>
      <c r="J868" s="156"/>
      <c r="K868" s="1092"/>
      <c r="L868" s="1092"/>
      <c r="M868" s="1092"/>
      <c r="N868" s="1092"/>
      <c r="O868" s="1092"/>
      <c r="P868" s="1092"/>
      <c r="Q868" s="1202"/>
      <c r="R868" s="250"/>
      <c r="S868" s="250"/>
      <c r="T868" s="250"/>
      <c r="U868" s="250"/>
      <c r="V868" s="250"/>
      <c r="W868" s="250"/>
      <c r="X868" s="250"/>
      <c r="Y868" s="250"/>
      <c r="Z868" s="250"/>
      <c r="AA868" s="250"/>
      <c r="AB868" s="250"/>
      <c r="AC868" s="250"/>
      <c r="AD868" s="250"/>
      <c r="AE868" s="250"/>
      <c r="AF868" s="250"/>
      <c r="AG868" s="250"/>
      <c r="AH868" s="250"/>
      <c r="AI868" s="250"/>
      <c r="AJ868" s="250"/>
      <c r="AK868" s="250"/>
      <c r="AL868" s="250"/>
      <c r="AM868" s="250"/>
      <c r="AN868" s="250"/>
      <c r="AO868" s="250"/>
      <c r="AP868" s="250"/>
      <c r="AQ868" s="250"/>
      <c r="AR868" s="250"/>
      <c r="AS868" s="250"/>
      <c r="AT868" s="250"/>
      <c r="AU868" s="250"/>
      <c r="AV868" s="124"/>
    </row>
    <row r="869" spans="2:48" x14ac:dyDescent="0.2">
      <c r="B869" s="250"/>
      <c r="C869" s="1204"/>
      <c r="D869" s="1205"/>
      <c r="E869" s="1205"/>
      <c r="F869" s="1205"/>
      <c r="G869" s="1205"/>
      <c r="H869" s="1205"/>
      <c r="I869" s="1205"/>
      <c r="J869" s="1205"/>
      <c r="K869" s="1205"/>
      <c r="L869" s="1205"/>
      <c r="M869" s="1205"/>
      <c r="N869" s="1205"/>
      <c r="O869" s="1205"/>
      <c r="P869" s="1205"/>
      <c r="Q869" s="1210"/>
      <c r="R869" s="250"/>
      <c r="S869" s="250"/>
      <c r="T869" s="250"/>
      <c r="U869" s="250"/>
      <c r="V869" s="250"/>
      <c r="W869" s="250"/>
      <c r="X869" s="250"/>
      <c r="Y869" s="250"/>
      <c r="Z869" s="250"/>
      <c r="AA869" s="250"/>
      <c r="AB869" s="250"/>
      <c r="AC869" s="250"/>
      <c r="AD869" s="250"/>
      <c r="AE869" s="250"/>
      <c r="AF869" s="250"/>
      <c r="AG869" s="250"/>
      <c r="AH869" s="250"/>
      <c r="AI869" s="250"/>
      <c r="AJ869" s="250"/>
      <c r="AK869" s="250"/>
      <c r="AL869" s="250"/>
      <c r="AM869" s="250"/>
      <c r="AN869" s="250"/>
      <c r="AO869" s="250"/>
      <c r="AP869" s="250"/>
      <c r="AQ869" s="250"/>
      <c r="AR869" s="250"/>
      <c r="AS869" s="250"/>
      <c r="AT869" s="250"/>
      <c r="AU869" s="250"/>
      <c r="AV869" s="124"/>
    </row>
    <row r="870" spans="2:48" s="475" customFormat="1" x14ac:dyDescent="0.2">
      <c r="B870" s="250"/>
      <c r="C870" s="250"/>
      <c r="D870" s="250"/>
      <c r="E870" s="250"/>
      <c r="F870" s="250"/>
      <c r="G870" s="250"/>
      <c r="H870" s="250"/>
      <c r="I870" s="250"/>
      <c r="J870" s="250"/>
      <c r="K870" s="250"/>
      <c r="L870" s="250"/>
      <c r="M870" s="250"/>
      <c r="N870" s="250"/>
      <c r="O870" s="250"/>
      <c r="P870" s="250"/>
      <c r="Q870" s="250"/>
      <c r="R870" s="250"/>
      <c r="S870" s="250"/>
      <c r="T870" s="250"/>
      <c r="U870" s="250"/>
      <c r="V870" s="250"/>
      <c r="W870" s="250"/>
      <c r="X870" s="250"/>
      <c r="Y870" s="250"/>
      <c r="Z870" s="250"/>
      <c r="AA870" s="250"/>
      <c r="AB870" s="250"/>
      <c r="AC870" s="250"/>
      <c r="AD870" s="250"/>
      <c r="AE870" s="250"/>
      <c r="AF870" s="250"/>
      <c r="AG870" s="250"/>
      <c r="AH870" s="250"/>
      <c r="AI870" s="250"/>
      <c r="AJ870" s="250"/>
      <c r="AK870" s="250"/>
      <c r="AL870" s="250"/>
      <c r="AM870" s="250"/>
      <c r="AN870" s="250"/>
      <c r="AO870" s="250"/>
      <c r="AP870" s="250"/>
      <c r="AQ870" s="250"/>
      <c r="AR870" s="250"/>
      <c r="AS870" s="250"/>
      <c r="AT870" s="250"/>
      <c r="AU870" s="250"/>
      <c r="AV870" s="124"/>
    </row>
    <row r="871" spans="2:48" s="475" customFormat="1" x14ac:dyDescent="0.2">
      <c r="B871" s="250"/>
      <c r="C871" s="250"/>
      <c r="D871" s="250"/>
      <c r="E871" s="250"/>
      <c r="F871" s="250"/>
      <c r="G871" s="250"/>
      <c r="H871" s="250"/>
      <c r="I871" s="250"/>
      <c r="J871" s="250"/>
      <c r="K871" s="250"/>
      <c r="L871" s="250"/>
      <c r="M871" s="250"/>
      <c r="N871" s="250"/>
      <c r="O871" s="250"/>
      <c r="P871" s="250"/>
      <c r="Q871" s="250"/>
      <c r="R871" s="250"/>
      <c r="S871" s="250"/>
      <c r="T871" s="250"/>
      <c r="U871" s="250"/>
      <c r="V871" s="250"/>
      <c r="W871" s="250"/>
      <c r="X871" s="250"/>
      <c r="Y871" s="250"/>
      <c r="Z871" s="250"/>
      <c r="AA871" s="250"/>
      <c r="AB871" s="250"/>
      <c r="AC871" s="250"/>
      <c r="AD871" s="250"/>
      <c r="AE871" s="250"/>
      <c r="AF871" s="250"/>
      <c r="AG871" s="250"/>
      <c r="AH871" s="250"/>
      <c r="AI871" s="250"/>
      <c r="AJ871" s="250"/>
      <c r="AK871" s="250"/>
      <c r="AL871" s="250"/>
      <c r="AM871" s="250"/>
      <c r="AN871" s="250"/>
      <c r="AO871" s="250"/>
      <c r="AP871" s="250"/>
      <c r="AQ871" s="250"/>
      <c r="AR871" s="250"/>
      <c r="AS871" s="250"/>
      <c r="AT871" s="250"/>
      <c r="AU871" s="250"/>
      <c r="AV871" s="124"/>
    </row>
    <row r="872" spans="2:48" s="475" customFormat="1" x14ac:dyDescent="0.2">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c r="AA872" s="250"/>
      <c r="AB872" s="250"/>
      <c r="AC872" s="250"/>
      <c r="AD872" s="250"/>
      <c r="AE872" s="250"/>
      <c r="AF872" s="250"/>
      <c r="AG872" s="250"/>
      <c r="AH872" s="250"/>
      <c r="AI872" s="250"/>
      <c r="AJ872" s="250"/>
      <c r="AK872" s="250"/>
      <c r="AL872" s="250"/>
      <c r="AM872" s="250"/>
      <c r="AN872" s="250"/>
      <c r="AO872" s="250"/>
      <c r="AP872" s="250"/>
      <c r="AQ872" s="250"/>
      <c r="AR872" s="250"/>
      <c r="AS872" s="250"/>
      <c r="AT872" s="250"/>
      <c r="AU872" s="250"/>
      <c r="AV872" s="124"/>
    </row>
    <row r="873" spans="2:48" s="475" customFormat="1" x14ac:dyDescent="0.2">
      <c r="B873" s="250"/>
      <c r="C873" s="250"/>
      <c r="D873" s="250"/>
      <c r="E873" s="250"/>
      <c r="F873" s="250"/>
      <c r="G873" s="250"/>
      <c r="H873" s="250"/>
      <c r="I873" s="250"/>
      <c r="J873" s="250"/>
      <c r="K873" s="250"/>
      <c r="L873" s="250"/>
      <c r="M873" s="250"/>
      <c r="N873" s="250"/>
      <c r="O873" s="250"/>
      <c r="P873" s="250"/>
      <c r="Q873" s="250"/>
      <c r="R873" s="250"/>
      <c r="S873" s="250"/>
      <c r="T873" s="250"/>
      <c r="U873" s="250"/>
      <c r="V873" s="250"/>
      <c r="W873" s="250"/>
      <c r="X873" s="250"/>
      <c r="Y873" s="250"/>
      <c r="Z873" s="250"/>
      <c r="AA873" s="250"/>
      <c r="AB873" s="250"/>
      <c r="AC873" s="250"/>
      <c r="AD873" s="250"/>
      <c r="AE873" s="250"/>
      <c r="AF873" s="250"/>
      <c r="AG873" s="250"/>
      <c r="AH873" s="250"/>
      <c r="AI873" s="250"/>
      <c r="AJ873" s="250"/>
      <c r="AK873" s="250"/>
      <c r="AL873" s="250"/>
      <c r="AM873" s="250"/>
      <c r="AN873" s="250"/>
      <c r="AO873" s="250"/>
      <c r="AP873" s="250"/>
      <c r="AQ873" s="250"/>
      <c r="AR873" s="250"/>
      <c r="AS873" s="250"/>
      <c r="AT873" s="250"/>
      <c r="AU873" s="250"/>
      <c r="AV873" s="124"/>
    </row>
    <row r="874" spans="2:48" s="475" customFormat="1" x14ac:dyDescent="0.2">
      <c r="B874" s="250"/>
      <c r="C874" s="250"/>
      <c r="D874" s="250"/>
      <c r="E874" s="250"/>
      <c r="F874" s="250"/>
      <c r="G874" s="250"/>
      <c r="H874" s="250"/>
      <c r="I874" s="250"/>
      <c r="J874" s="250"/>
      <c r="K874" s="250"/>
      <c r="L874" s="250"/>
      <c r="M874" s="250"/>
      <c r="N874" s="250"/>
      <c r="O874" s="250"/>
      <c r="P874" s="250"/>
      <c r="Q874" s="250"/>
      <c r="R874" s="250"/>
      <c r="S874" s="250"/>
      <c r="T874" s="250"/>
      <c r="U874" s="250"/>
      <c r="V874" s="250"/>
      <c r="W874" s="250"/>
      <c r="X874" s="250"/>
      <c r="Y874" s="250"/>
      <c r="Z874" s="250"/>
      <c r="AA874" s="250"/>
      <c r="AB874" s="250"/>
      <c r="AC874" s="250"/>
      <c r="AD874" s="250"/>
      <c r="AE874" s="250"/>
      <c r="AF874" s="250"/>
      <c r="AG874" s="250"/>
      <c r="AH874" s="250"/>
      <c r="AI874" s="250"/>
      <c r="AJ874" s="250"/>
      <c r="AK874" s="250"/>
      <c r="AL874" s="250"/>
      <c r="AM874" s="250"/>
      <c r="AN874" s="250"/>
      <c r="AO874" s="250"/>
      <c r="AP874" s="250"/>
      <c r="AQ874" s="250"/>
      <c r="AR874" s="250"/>
      <c r="AS874" s="250"/>
      <c r="AT874" s="250"/>
      <c r="AU874" s="250"/>
      <c r="AV874" s="124"/>
    </row>
    <row r="875" spans="2:48" s="475" customFormat="1" x14ac:dyDescent="0.2">
      <c r="B875" s="250"/>
      <c r="C875" s="250"/>
      <c r="D875" s="250"/>
      <c r="E875" s="250"/>
      <c r="F875" s="250"/>
      <c r="G875" s="250"/>
      <c r="H875" s="250"/>
      <c r="I875" s="250"/>
      <c r="J875" s="250"/>
      <c r="K875" s="250"/>
      <c r="L875" s="250"/>
      <c r="M875" s="250"/>
      <c r="N875" s="250"/>
      <c r="O875" s="250"/>
      <c r="P875" s="250"/>
      <c r="Q875" s="250"/>
      <c r="R875" s="250"/>
      <c r="S875" s="250"/>
      <c r="T875" s="250"/>
      <c r="U875" s="250"/>
      <c r="V875" s="250"/>
      <c r="W875" s="250"/>
      <c r="X875" s="250"/>
      <c r="Y875" s="250"/>
      <c r="Z875" s="250"/>
      <c r="AA875" s="250"/>
      <c r="AB875" s="250"/>
      <c r="AC875" s="250"/>
      <c r="AD875" s="250"/>
      <c r="AE875" s="250"/>
      <c r="AF875" s="250"/>
      <c r="AG875" s="250"/>
      <c r="AH875" s="250"/>
      <c r="AI875" s="250"/>
      <c r="AJ875" s="250"/>
      <c r="AK875" s="250"/>
      <c r="AL875" s="250"/>
      <c r="AM875" s="250"/>
      <c r="AN875" s="250"/>
      <c r="AO875" s="250"/>
      <c r="AP875" s="250"/>
      <c r="AQ875" s="250"/>
      <c r="AR875" s="250"/>
      <c r="AS875" s="250"/>
      <c r="AT875" s="250"/>
      <c r="AU875" s="250"/>
      <c r="AV875" s="124"/>
    </row>
    <row r="876" spans="2:48" s="475" customFormat="1" x14ac:dyDescent="0.2">
      <c r="B876" s="250"/>
      <c r="C876" s="250"/>
      <c r="D876" s="250"/>
      <c r="E876" s="250"/>
      <c r="F876" s="250"/>
      <c r="G876" s="250"/>
      <c r="H876" s="250"/>
      <c r="I876" s="250"/>
      <c r="J876" s="250"/>
      <c r="K876" s="250"/>
      <c r="L876" s="250"/>
      <c r="M876" s="250"/>
      <c r="N876" s="250"/>
      <c r="O876" s="250"/>
      <c r="P876" s="250"/>
      <c r="Q876" s="250"/>
      <c r="R876" s="250"/>
      <c r="S876" s="250"/>
      <c r="T876" s="250"/>
      <c r="U876" s="250"/>
      <c r="V876" s="250"/>
      <c r="W876" s="250"/>
      <c r="X876" s="250"/>
      <c r="Y876" s="250"/>
      <c r="Z876" s="250"/>
      <c r="AA876" s="250"/>
      <c r="AB876" s="250"/>
      <c r="AC876" s="250"/>
      <c r="AD876" s="250"/>
      <c r="AE876" s="250"/>
      <c r="AF876" s="250"/>
      <c r="AG876" s="250"/>
      <c r="AH876" s="250"/>
      <c r="AI876" s="250"/>
      <c r="AJ876" s="250"/>
      <c r="AK876" s="250"/>
      <c r="AL876" s="250"/>
      <c r="AM876" s="250"/>
      <c r="AN876" s="250"/>
      <c r="AO876" s="250"/>
      <c r="AP876" s="250"/>
      <c r="AQ876" s="250"/>
      <c r="AR876" s="250"/>
      <c r="AS876" s="250"/>
      <c r="AT876" s="250"/>
      <c r="AU876" s="250"/>
      <c r="AV876" s="124"/>
    </row>
    <row r="877" spans="2:48" s="475" customFormat="1" x14ac:dyDescent="0.2">
      <c r="B877" s="250"/>
      <c r="C877" s="250"/>
      <c r="D877" s="250"/>
      <c r="E877" s="250"/>
      <c r="F877" s="250"/>
      <c r="G877" s="250"/>
      <c r="H877" s="250"/>
      <c r="I877" s="250"/>
      <c r="J877" s="250"/>
      <c r="K877" s="250"/>
      <c r="L877" s="250"/>
      <c r="M877" s="250"/>
      <c r="N877" s="250"/>
      <c r="O877" s="250"/>
      <c r="P877" s="250"/>
      <c r="Q877" s="250"/>
      <c r="R877" s="250"/>
      <c r="S877" s="250"/>
      <c r="T877" s="250"/>
      <c r="U877" s="250"/>
      <c r="V877" s="250"/>
      <c r="W877" s="250"/>
      <c r="X877" s="250"/>
      <c r="Y877" s="250"/>
      <c r="Z877" s="250"/>
      <c r="AA877" s="250"/>
      <c r="AB877" s="250"/>
      <c r="AC877" s="250"/>
      <c r="AD877" s="250"/>
      <c r="AE877" s="250"/>
      <c r="AF877" s="250"/>
      <c r="AG877" s="250"/>
      <c r="AH877" s="250"/>
      <c r="AI877" s="250"/>
      <c r="AJ877" s="250"/>
      <c r="AK877" s="250"/>
      <c r="AL877" s="250"/>
      <c r="AM877" s="250"/>
      <c r="AN877" s="250"/>
      <c r="AO877" s="250"/>
      <c r="AP877" s="250"/>
      <c r="AQ877" s="250"/>
      <c r="AR877" s="250"/>
      <c r="AS877" s="250"/>
      <c r="AT877" s="250"/>
      <c r="AU877" s="250"/>
      <c r="AV877" s="124"/>
    </row>
    <row r="878" spans="2:48" s="475" customFormat="1" x14ac:dyDescent="0.2">
      <c r="B878" s="250"/>
      <c r="C878" s="250"/>
      <c r="D878" s="250"/>
      <c r="E878" s="250"/>
      <c r="F878" s="250"/>
      <c r="G878" s="250"/>
      <c r="H878" s="250"/>
      <c r="I878" s="250"/>
      <c r="J878" s="250"/>
      <c r="K878" s="250"/>
      <c r="L878" s="250"/>
      <c r="M878" s="250"/>
      <c r="N878" s="250"/>
      <c r="O878" s="250"/>
      <c r="P878" s="250"/>
      <c r="Q878" s="250"/>
      <c r="R878" s="250"/>
      <c r="S878" s="250"/>
      <c r="T878" s="250"/>
      <c r="U878" s="250"/>
      <c r="V878" s="250"/>
      <c r="W878" s="250"/>
      <c r="X878" s="250"/>
      <c r="Y878" s="250"/>
      <c r="Z878" s="250"/>
      <c r="AA878" s="250"/>
      <c r="AB878" s="250"/>
      <c r="AC878" s="250"/>
      <c r="AD878" s="250"/>
      <c r="AE878" s="250"/>
      <c r="AF878" s="250"/>
      <c r="AG878" s="250"/>
      <c r="AH878" s="250"/>
      <c r="AI878" s="250"/>
      <c r="AJ878" s="250"/>
      <c r="AK878" s="250"/>
      <c r="AL878" s="250"/>
      <c r="AM878" s="250"/>
      <c r="AN878" s="250"/>
      <c r="AO878" s="250"/>
      <c r="AP878" s="250"/>
      <c r="AQ878" s="250"/>
      <c r="AR878" s="250"/>
      <c r="AS878" s="250"/>
      <c r="AT878" s="250"/>
      <c r="AU878" s="250"/>
      <c r="AV878" s="124"/>
    </row>
    <row r="879" spans="2:48" s="475" customFormat="1" x14ac:dyDescent="0.2">
      <c r="B879" s="250"/>
      <c r="C879" s="250"/>
      <c r="D879" s="250"/>
      <c r="E879" s="250"/>
      <c r="F879" s="250"/>
      <c r="G879" s="250"/>
      <c r="H879" s="250"/>
      <c r="I879" s="250"/>
      <c r="J879" s="250"/>
      <c r="K879" s="250"/>
      <c r="L879" s="250"/>
      <c r="M879" s="250"/>
      <c r="N879" s="250"/>
      <c r="O879" s="250"/>
      <c r="P879" s="250"/>
      <c r="Q879" s="250"/>
      <c r="R879" s="250"/>
      <c r="S879" s="250"/>
      <c r="T879" s="250"/>
      <c r="U879" s="250"/>
      <c r="V879" s="250"/>
      <c r="W879" s="250"/>
      <c r="X879" s="250"/>
      <c r="Y879" s="250"/>
      <c r="Z879" s="250"/>
      <c r="AA879" s="250"/>
      <c r="AB879" s="250"/>
      <c r="AC879" s="250"/>
      <c r="AD879" s="250"/>
      <c r="AE879" s="250"/>
      <c r="AF879" s="250"/>
      <c r="AG879" s="250"/>
      <c r="AH879" s="250"/>
      <c r="AI879" s="250"/>
      <c r="AJ879" s="250"/>
      <c r="AK879" s="250"/>
      <c r="AL879" s="250"/>
      <c r="AM879" s="250"/>
      <c r="AN879" s="250"/>
      <c r="AO879" s="250"/>
      <c r="AP879" s="250"/>
      <c r="AQ879" s="250"/>
      <c r="AR879" s="250"/>
      <c r="AS879" s="250"/>
      <c r="AT879" s="250"/>
      <c r="AU879" s="250"/>
      <c r="AV879" s="124"/>
    </row>
    <row r="880" spans="2:48" s="475" customFormat="1" x14ac:dyDescent="0.2">
      <c r="B880" s="250"/>
      <c r="C880" s="250"/>
      <c r="D880" s="250"/>
      <c r="E880" s="250"/>
      <c r="F880" s="250"/>
      <c r="G880" s="250"/>
      <c r="H880" s="250"/>
      <c r="I880" s="250"/>
      <c r="J880" s="250"/>
      <c r="K880" s="250"/>
      <c r="L880" s="250"/>
      <c r="M880" s="250"/>
      <c r="N880" s="250"/>
      <c r="O880" s="250"/>
      <c r="P880" s="250"/>
      <c r="Q880" s="250"/>
      <c r="R880" s="250"/>
      <c r="S880" s="250"/>
      <c r="T880" s="250"/>
      <c r="U880" s="250"/>
      <c r="V880" s="250"/>
      <c r="W880" s="250"/>
      <c r="X880" s="250"/>
      <c r="Y880" s="250"/>
      <c r="Z880" s="250"/>
      <c r="AA880" s="250"/>
      <c r="AB880" s="250"/>
      <c r="AC880" s="250"/>
      <c r="AD880" s="250"/>
      <c r="AE880" s="250"/>
      <c r="AF880" s="250"/>
      <c r="AG880" s="250"/>
      <c r="AH880" s="250"/>
      <c r="AI880" s="250"/>
      <c r="AJ880" s="250"/>
      <c r="AK880" s="250"/>
      <c r="AL880" s="250"/>
      <c r="AM880" s="250"/>
      <c r="AN880" s="250"/>
      <c r="AO880" s="250"/>
      <c r="AP880" s="250"/>
      <c r="AQ880" s="250"/>
      <c r="AR880" s="250"/>
      <c r="AS880" s="250"/>
      <c r="AT880" s="250"/>
      <c r="AU880" s="250"/>
      <c r="AV880" s="124"/>
    </row>
    <row r="881" spans="2:48" s="475" customFormat="1" x14ac:dyDescent="0.2">
      <c r="B881" s="250"/>
      <c r="C881" s="250"/>
      <c r="D881" s="250"/>
      <c r="E881" s="250"/>
      <c r="F881" s="250"/>
      <c r="G881" s="250"/>
      <c r="H881" s="250"/>
      <c r="I881" s="250"/>
      <c r="J881" s="250"/>
      <c r="K881" s="250"/>
      <c r="L881" s="250"/>
      <c r="M881" s="250"/>
      <c r="N881" s="250"/>
      <c r="O881" s="250"/>
      <c r="P881" s="250"/>
      <c r="Q881" s="250"/>
      <c r="R881" s="250"/>
      <c r="S881" s="250"/>
      <c r="T881" s="250"/>
      <c r="U881" s="250"/>
      <c r="V881" s="250"/>
      <c r="W881" s="250"/>
      <c r="X881" s="250"/>
      <c r="Y881" s="250"/>
      <c r="Z881" s="250"/>
      <c r="AA881" s="250"/>
      <c r="AB881" s="250"/>
      <c r="AC881" s="250"/>
      <c r="AD881" s="250"/>
      <c r="AE881" s="250"/>
      <c r="AF881" s="250"/>
      <c r="AG881" s="250"/>
      <c r="AH881" s="250"/>
      <c r="AI881" s="250"/>
      <c r="AJ881" s="250"/>
      <c r="AK881" s="250"/>
      <c r="AL881" s="250"/>
      <c r="AM881" s="250"/>
      <c r="AN881" s="250"/>
      <c r="AO881" s="250"/>
      <c r="AP881" s="250"/>
      <c r="AQ881" s="250"/>
      <c r="AR881" s="250"/>
      <c r="AS881" s="250"/>
      <c r="AT881" s="250"/>
      <c r="AU881" s="250"/>
      <c r="AV881" s="124"/>
    </row>
    <row r="882" spans="2:48" s="475" customFormat="1" x14ac:dyDescent="0.2">
      <c r="B882" s="250"/>
      <c r="C882" s="250"/>
      <c r="D882" s="250"/>
      <c r="E882" s="250"/>
      <c r="F882" s="250"/>
      <c r="G882" s="250"/>
      <c r="H882" s="250"/>
      <c r="I882" s="250"/>
      <c r="J882" s="250"/>
      <c r="K882" s="250"/>
      <c r="L882" s="250"/>
      <c r="M882" s="250"/>
      <c r="N882" s="250"/>
      <c r="O882" s="250"/>
      <c r="P882" s="250"/>
      <c r="Q882" s="250"/>
      <c r="R882" s="250"/>
      <c r="S882" s="250"/>
      <c r="T882" s="250"/>
      <c r="U882" s="250"/>
      <c r="V882" s="250"/>
      <c r="W882" s="250"/>
      <c r="X882" s="250"/>
      <c r="Y882" s="250"/>
      <c r="Z882" s="250"/>
      <c r="AA882" s="250"/>
      <c r="AB882" s="250"/>
      <c r="AC882" s="250"/>
      <c r="AD882" s="250"/>
      <c r="AE882" s="250"/>
      <c r="AF882" s="250"/>
      <c r="AG882" s="250"/>
      <c r="AH882" s="250"/>
      <c r="AI882" s="250"/>
      <c r="AJ882" s="250"/>
      <c r="AK882" s="250"/>
      <c r="AL882" s="250"/>
      <c r="AM882" s="250"/>
      <c r="AN882" s="250"/>
      <c r="AO882" s="250"/>
      <c r="AP882" s="250"/>
      <c r="AQ882" s="250"/>
      <c r="AR882" s="250"/>
      <c r="AS882" s="250"/>
      <c r="AT882" s="250"/>
      <c r="AU882" s="250"/>
      <c r="AV882" s="124"/>
    </row>
    <row r="883" spans="2:48" s="475" customFormat="1" x14ac:dyDescent="0.2">
      <c r="B883" s="250"/>
      <c r="C883" s="250"/>
      <c r="D883" s="250"/>
      <c r="E883" s="250"/>
      <c r="F883" s="250"/>
      <c r="G883" s="250"/>
      <c r="H883" s="250"/>
      <c r="I883" s="250"/>
      <c r="J883" s="250"/>
      <c r="K883" s="250"/>
      <c r="L883" s="250"/>
      <c r="M883" s="250"/>
      <c r="N883" s="250"/>
      <c r="O883" s="250"/>
      <c r="P883" s="250"/>
      <c r="Q883" s="250"/>
      <c r="R883" s="250"/>
      <c r="S883" s="250"/>
      <c r="T883" s="250"/>
      <c r="U883" s="250"/>
      <c r="V883" s="250"/>
      <c r="W883" s="250"/>
      <c r="X883" s="250"/>
      <c r="Y883" s="250"/>
      <c r="Z883" s="250"/>
      <c r="AA883" s="250"/>
      <c r="AB883" s="250"/>
      <c r="AC883" s="250"/>
      <c r="AD883" s="250"/>
      <c r="AE883" s="250"/>
      <c r="AF883" s="250"/>
      <c r="AG883" s="250"/>
      <c r="AH883" s="250"/>
      <c r="AI883" s="250"/>
      <c r="AJ883" s="250"/>
      <c r="AK883" s="250"/>
      <c r="AL883" s="250"/>
      <c r="AM883" s="250"/>
      <c r="AN883" s="250"/>
      <c r="AO883" s="250"/>
      <c r="AP883" s="250"/>
      <c r="AQ883" s="250"/>
      <c r="AR883" s="250"/>
      <c r="AS883" s="250"/>
      <c r="AT883" s="250"/>
      <c r="AU883" s="250"/>
      <c r="AV883" s="124"/>
    </row>
    <row r="884" spans="2:48" s="475" customFormat="1" x14ac:dyDescent="0.2">
      <c r="B884" s="250"/>
      <c r="C884" s="250"/>
      <c r="D884" s="250"/>
      <c r="E884" s="250"/>
      <c r="F884" s="250"/>
      <c r="G884" s="250"/>
      <c r="H884" s="250"/>
      <c r="I884" s="250"/>
      <c r="J884" s="250"/>
      <c r="K884" s="250"/>
      <c r="L884" s="250"/>
      <c r="M884" s="250"/>
      <c r="N884" s="250"/>
      <c r="O884" s="250"/>
      <c r="P884" s="250"/>
      <c r="Q884" s="250"/>
      <c r="R884" s="250"/>
      <c r="S884" s="250"/>
      <c r="T884" s="250"/>
      <c r="U884" s="250"/>
      <c r="V884" s="250"/>
      <c r="W884" s="250"/>
      <c r="X884" s="250"/>
      <c r="Y884" s="250"/>
      <c r="Z884" s="250"/>
      <c r="AA884" s="250"/>
      <c r="AB884" s="250"/>
      <c r="AC884" s="250"/>
      <c r="AD884" s="250"/>
      <c r="AE884" s="250"/>
      <c r="AF884" s="250"/>
      <c r="AG884" s="250"/>
      <c r="AH884" s="250"/>
      <c r="AI884" s="250"/>
      <c r="AJ884" s="250"/>
      <c r="AK884" s="250"/>
      <c r="AL884" s="250"/>
      <c r="AM884" s="250"/>
      <c r="AN884" s="250"/>
      <c r="AO884" s="250"/>
      <c r="AP884" s="250"/>
      <c r="AQ884" s="250"/>
      <c r="AR884" s="250"/>
      <c r="AS884" s="250"/>
      <c r="AT884" s="250"/>
      <c r="AU884" s="250"/>
      <c r="AV884" s="124"/>
    </row>
    <row r="885" spans="2:48" s="475" customFormat="1" x14ac:dyDescent="0.2">
      <c r="B885" s="250"/>
      <c r="C885" s="250"/>
      <c r="D885" s="250"/>
      <c r="E885" s="250"/>
      <c r="F885" s="250"/>
      <c r="G885" s="250"/>
      <c r="H885" s="250"/>
      <c r="I885" s="250"/>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c r="AN885" s="250"/>
      <c r="AO885" s="250"/>
      <c r="AP885" s="250"/>
      <c r="AQ885" s="250"/>
      <c r="AR885" s="250"/>
      <c r="AS885" s="250"/>
      <c r="AT885" s="250"/>
      <c r="AU885" s="250"/>
      <c r="AV885" s="124"/>
    </row>
    <row r="886" spans="2:48" s="475" customFormat="1" x14ac:dyDescent="0.2">
      <c r="B886" s="250"/>
      <c r="C886" s="250"/>
      <c r="D886" s="250"/>
      <c r="E886" s="250"/>
      <c r="F886" s="250"/>
      <c r="G886" s="250"/>
      <c r="H886" s="250"/>
      <c r="I886" s="250"/>
      <c r="J886" s="250"/>
      <c r="K886" s="250"/>
      <c r="L886" s="250"/>
      <c r="M886" s="250"/>
      <c r="N886" s="250"/>
      <c r="O886" s="250"/>
      <c r="P886" s="250"/>
      <c r="Q886" s="250"/>
      <c r="R886" s="250"/>
      <c r="S886" s="250"/>
      <c r="T886" s="250"/>
      <c r="U886" s="250"/>
      <c r="V886" s="250"/>
      <c r="W886" s="250"/>
      <c r="X886" s="250"/>
      <c r="Y886" s="250"/>
      <c r="Z886" s="250"/>
      <c r="AA886" s="250"/>
      <c r="AB886" s="250"/>
      <c r="AC886" s="250"/>
      <c r="AD886" s="250"/>
      <c r="AE886" s="250"/>
      <c r="AF886" s="250"/>
      <c r="AG886" s="250"/>
      <c r="AH886" s="250"/>
      <c r="AI886" s="250"/>
      <c r="AJ886" s="250"/>
      <c r="AK886" s="250"/>
      <c r="AL886" s="250"/>
      <c r="AM886" s="250"/>
      <c r="AN886" s="250"/>
      <c r="AO886" s="250"/>
      <c r="AP886" s="250"/>
      <c r="AQ886" s="250"/>
      <c r="AR886" s="250"/>
      <c r="AS886" s="250"/>
      <c r="AT886" s="250"/>
      <c r="AU886" s="250"/>
      <c r="AV886" s="124"/>
    </row>
    <row r="887" spans="2:48" s="475" customFormat="1" x14ac:dyDescent="0.2">
      <c r="B887" s="250"/>
      <c r="C887" s="250"/>
      <c r="D887" s="250"/>
      <c r="E887" s="250"/>
      <c r="F887" s="250"/>
      <c r="G887" s="250"/>
      <c r="H887" s="250"/>
      <c r="I887" s="250"/>
      <c r="J887" s="250"/>
      <c r="K887" s="250"/>
      <c r="L887" s="250"/>
      <c r="M887" s="250"/>
      <c r="N887" s="250"/>
      <c r="O887" s="250"/>
      <c r="P887" s="250"/>
      <c r="Q887" s="250"/>
      <c r="R887" s="250"/>
      <c r="S887" s="250"/>
      <c r="T887" s="250"/>
      <c r="U887" s="250"/>
      <c r="V887" s="250"/>
      <c r="W887" s="250"/>
      <c r="X887" s="250"/>
      <c r="Y887" s="250"/>
      <c r="Z887" s="250"/>
      <c r="AA887" s="250"/>
      <c r="AB887" s="250"/>
      <c r="AC887" s="250"/>
      <c r="AD887" s="250"/>
      <c r="AE887" s="250"/>
      <c r="AF887" s="250"/>
      <c r="AG887" s="250"/>
      <c r="AH887" s="250"/>
      <c r="AI887" s="250"/>
      <c r="AJ887" s="250"/>
      <c r="AK887" s="250"/>
      <c r="AL887" s="250"/>
      <c r="AM887" s="250"/>
      <c r="AN887" s="250"/>
      <c r="AO887" s="250"/>
      <c r="AP887" s="250"/>
      <c r="AQ887" s="250"/>
      <c r="AR887" s="250"/>
      <c r="AS887" s="250"/>
      <c r="AT887" s="250"/>
      <c r="AU887" s="250"/>
      <c r="AV887" s="124"/>
    </row>
    <row r="888" spans="2:48" s="475" customFormat="1" x14ac:dyDescent="0.2">
      <c r="B888" s="250"/>
      <c r="C888" s="250"/>
      <c r="D888" s="250"/>
      <c r="E888" s="250"/>
      <c r="F888" s="250"/>
      <c r="G888" s="250"/>
      <c r="H888" s="250"/>
      <c r="I888" s="250"/>
      <c r="J888" s="250"/>
      <c r="K888" s="250"/>
      <c r="L888" s="250"/>
      <c r="M888" s="250"/>
      <c r="N888" s="250"/>
      <c r="O888" s="250"/>
      <c r="P888" s="250"/>
      <c r="Q888" s="250"/>
      <c r="R888" s="250"/>
      <c r="S888" s="250"/>
      <c r="T888" s="250"/>
      <c r="U888" s="250"/>
      <c r="V888" s="250"/>
      <c r="W888" s="250"/>
      <c r="X888" s="250"/>
      <c r="Y888" s="250"/>
      <c r="Z888" s="250"/>
      <c r="AA888" s="250"/>
      <c r="AB888" s="250"/>
      <c r="AC888" s="250"/>
      <c r="AD888" s="250"/>
      <c r="AE888" s="250"/>
      <c r="AF888" s="250"/>
      <c r="AG888" s="250"/>
      <c r="AH888" s="250"/>
      <c r="AI888" s="250"/>
      <c r="AJ888" s="250"/>
      <c r="AK888" s="250"/>
      <c r="AL888" s="250"/>
      <c r="AM888" s="250"/>
      <c r="AN888" s="250"/>
      <c r="AO888" s="250"/>
      <c r="AP888" s="250"/>
      <c r="AQ888" s="250"/>
      <c r="AR888" s="250"/>
      <c r="AS888" s="250"/>
      <c r="AT888" s="250"/>
      <c r="AU888" s="250"/>
      <c r="AV888" s="124"/>
    </row>
    <row r="889" spans="2:48" s="475" customFormat="1" x14ac:dyDescent="0.2">
      <c r="B889" s="250"/>
      <c r="C889" s="250"/>
      <c r="D889" s="250"/>
      <c r="E889" s="250"/>
      <c r="F889" s="250"/>
      <c r="G889" s="250"/>
      <c r="H889" s="250"/>
      <c r="I889" s="250"/>
      <c r="J889" s="250"/>
      <c r="K889" s="250"/>
      <c r="L889" s="250"/>
      <c r="M889" s="250"/>
      <c r="N889" s="250"/>
      <c r="O889" s="250"/>
      <c r="P889" s="250"/>
      <c r="Q889" s="250"/>
      <c r="R889" s="250"/>
      <c r="S889" s="250"/>
      <c r="T889" s="250"/>
      <c r="U889" s="250"/>
      <c r="V889" s="250"/>
      <c r="W889" s="250"/>
      <c r="X889" s="250"/>
      <c r="Y889" s="250"/>
      <c r="Z889" s="250"/>
      <c r="AA889" s="250"/>
      <c r="AB889" s="250"/>
      <c r="AC889" s="250"/>
      <c r="AD889" s="250"/>
      <c r="AE889" s="250"/>
      <c r="AF889" s="250"/>
      <c r="AG889" s="250"/>
      <c r="AH889" s="250"/>
      <c r="AI889" s="250"/>
      <c r="AJ889" s="250"/>
      <c r="AK889" s="250"/>
      <c r="AL889" s="250"/>
      <c r="AM889" s="250"/>
      <c r="AN889" s="250"/>
      <c r="AO889" s="250"/>
      <c r="AP889" s="250"/>
      <c r="AQ889" s="250"/>
      <c r="AR889" s="250"/>
      <c r="AS889" s="250"/>
      <c r="AT889" s="250"/>
      <c r="AU889" s="250"/>
      <c r="AV889" s="124"/>
    </row>
    <row r="890" spans="2:48" s="475" customFormat="1" x14ac:dyDescent="0.2">
      <c r="B890" s="250"/>
      <c r="C890" s="250"/>
      <c r="D890" s="250"/>
      <c r="E890" s="250"/>
      <c r="F890" s="250"/>
      <c r="G890" s="250"/>
      <c r="H890" s="250"/>
      <c r="I890" s="250"/>
      <c r="J890" s="250"/>
      <c r="K890" s="250"/>
      <c r="L890" s="250"/>
      <c r="M890" s="250"/>
      <c r="N890" s="250"/>
      <c r="O890" s="250"/>
      <c r="P890" s="250"/>
      <c r="Q890" s="250"/>
      <c r="R890" s="250"/>
      <c r="S890" s="250"/>
      <c r="T890" s="250"/>
      <c r="U890" s="250"/>
      <c r="V890" s="250"/>
      <c r="W890" s="250"/>
      <c r="X890" s="250"/>
      <c r="Y890" s="250"/>
      <c r="Z890" s="250"/>
      <c r="AA890" s="250"/>
      <c r="AB890" s="250"/>
      <c r="AC890" s="250"/>
      <c r="AD890" s="250"/>
      <c r="AE890" s="250"/>
      <c r="AF890" s="250"/>
      <c r="AG890" s="250"/>
      <c r="AH890" s="250"/>
      <c r="AI890" s="250"/>
      <c r="AJ890" s="250"/>
      <c r="AK890" s="250"/>
      <c r="AL890" s="250"/>
      <c r="AM890" s="250"/>
      <c r="AN890" s="250"/>
      <c r="AO890" s="250"/>
      <c r="AP890" s="250"/>
      <c r="AQ890" s="250"/>
      <c r="AR890" s="250"/>
      <c r="AS890" s="250"/>
      <c r="AT890" s="250"/>
      <c r="AU890" s="250"/>
      <c r="AV890" s="124"/>
    </row>
    <row r="891" spans="2:48" s="475" customFormat="1" x14ac:dyDescent="0.2">
      <c r="B891" s="250"/>
      <c r="C891" s="250"/>
      <c r="D891" s="250"/>
      <c r="E891" s="250"/>
      <c r="F891" s="250"/>
      <c r="G891" s="250"/>
      <c r="H891" s="250"/>
      <c r="I891" s="250"/>
      <c r="J891" s="250"/>
      <c r="K891" s="250"/>
      <c r="L891" s="250"/>
      <c r="M891" s="250"/>
      <c r="N891" s="250"/>
      <c r="O891" s="250"/>
      <c r="P891" s="250"/>
      <c r="Q891" s="250"/>
      <c r="R891" s="250"/>
      <c r="S891" s="250"/>
      <c r="T891" s="250"/>
      <c r="U891" s="250"/>
      <c r="V891" s="250"/>
      <c r="W891" s="250"/>
      <c r="X891" s="250"/>
      <c r="Y891" s="250"/>
      <c r="Z891" s="250"/>
      <c r="AA891" s="250"/>
      <c r="AB891" s="250"/>
      <c r="AC891" s="250"/>
      <c r="AD891" s="250"/>
      <c r="AE891" s="250"/>
      <c r="AF891" s="250"/>
      <c r="AG891" s="250"/>
      <c r="AH891" s="250"/>
      <c r="AI891" s="250"/>
      <c r="AJ891" s="250"/>
      <c r="AK891" s="250"/>
      <c r="AL891" s="250"/>
      <c r="AM891" s="250"/>
      <c r="AN891" s="250"/>
      <c r="AO891" s="250"/>
      <c r="AP891" s="250"/>
      <c r="AQ891" s="250"/>
      <c r="AR891" s="250"/>
      <c r="AS891" s="250"/>
      <c r="AT891" s="250"/>
      <c r="AU891" s="250"/>
      <c r="AV891" s="124"/>
    </row>
    <row r="892" spans="2:48" s="475" customFormat="1" x14ac:dyDescent="0.2">
      <c r="B892" s="250"/>
      <c r="C892" s="250"/>
      <c r="D892" s="250"/>
      <c r="E892" s="250"/>
      <c r="F892" s="250"/>
      <c r="G892" s="250"/>
      <c r="H892" s="250"/>
      <c r="I892" s="250"/>
      <c r="J892" s="250"/>
      <c r="K892" s="250"/>
      <c r="L892" s="250"/>
      <c r="M892" s="250"/>
      <c r="N892" s="250"/>
      <c r="O892" s="250"/>
      <c r="P892" s="250"/>
      <c r="Q892" s="250"/>
      <c r="R892" s="250"/>
      <c r="S892" s="250"/>
      <c r="T892" s="250"/>
      <c r="U892" s="250"/>
      <c r="V892" s="250"/>
      <c r="W892" s="250"/>
      <c r="X892" s="250"/>
      <c r="Y892" s="250"/>
      <c r="Z892" s="250"/>
      <c r="AA892" s="250"/>
      <c r="AB892" s="250"/>
      <c r="AC892" s="250"/>
      <c r="AD892" s="250"/>
      <c r="AE892" s="250"/>
      <c r="AF892" s="250"/>
      <c r="AG892" s="250"/>
      <c r="AH892" s="250"/>
      <c r="AI892" s="250"/>
      <c r="AJ892" s="250"/>
      <c r="AK892" s="250"/>
      <c r="AL892" s="250"/>
      <c r="AM892" s="250"/>
      <c r="AN892" s="250"/>
      <c r="AO892" s="250"/>
      <c r="AP892" s="250"/>
      <c r="AQ892" s="250"/>
      <c r="AR892" s="250"/>
      <c r="AS892" s="250"/>
      <c r="AT892" s="250"/>
      <c r="AU892" s="250"/>
      <c r="AV892" s="124"/>
    </row>
    <row r="893" spans="2:48" s="475" customFormat="1" x14ac:dyDescent="0.2">
      <c r="B893" s="250"/>
      <c r="C893" s="250"/>
      <c r="D893" s="250"/>
      <c r="E893" s="250"/>
      <c r="F893" s="250"/>
      <c r="G893" s="250"/>
      <c r="H893" s="250"/>
      <c r="I893" s="250"/>
      <c r="J893" s="250"/>
      <c r="K893" s="250"/>
      <c r="L893" s="250"/>
      <c r="M893" s="250"/>
      <c r="N893" s="250"/>
      <c r="O893" s="250"/>
      <c r="P893" s="250"/>
      <c r="Q893" s="250"/>
      <c r="R893" s="250"/>
      <c r="S893" s="250"/>
      <c r="T893" s="250"/>
      <c r="U893" s="250"/>
      <c r="V893" s="250"/>
      <c r="W893" s="250"/>
      <c r="X893" s="250"/>
      <c r="Y893" s="250"/>
      <c r="Z893" s="250"/>
      <c r="AA893" s="250"/>
      <c r="AB893" s="250"/>
      <c r="AC893" s="250"/>
      <c r="AD893" s="250"/>
      <c r="AE893" s="250"/>
      <c r="AF893" s="250"/>
      <c r="AG893" s="250"/>
      <c r="AH893" s="250"/>
      <c r="AI893" s="250"/>
      <c r="AJ893" s="250"/>
      <c r="AK893" s="250"/>
      <c r="AL893" s="250"/>
      <c r="AM893" s="250"/>
      <c r="AN893" s="250"/>
      <c r="AO893" s="250"/>
      <c r="AP893" s="250"/>
      <c r="AQ893" s="250"/>
      <c r="AR893" s="250"/>
      <c r="AS893" s="250"/>
      <c r="AT893" s="250"/>
      <c r="AU893" s="250"/>
      <c r="AV893" s="124"/>
    </row>
    <row r="894" spans="2:48" s="475" customFormat="1" x14ac:dyDescent="0.2">
      <c r="B894" s="250"/>
      <c r="C894" s="250"/>
      <c r="D894" s="250"/>
      <c r="E894" s="250"/>
      <c r="F894" s="250"/>
      <c r="G894" s="250"/>
      <c r="H894" s="250"/>
      <c r="I894" s="250"/>
      <c r="J894" s="250"/>
      <c r="K894" s="250"/>
      <c r="L894" s="250"/>
      <c r="M894" s="250"/>
      <c r="N894" s="250"/>
      <c r="O894" s="250"/>
      <c r="P894" s="250"/>
      <c r="Q894" s="250"/>
      <c r="R894" s="250"/>
      <c r="S894" s="250"/>
      <c r="T894" s="250"/>
      <c r="U894" s="250"/>
      <c r="V894" s="250"/>
      <c r="W894" s="250"/>
      <c r="X894" s="250"/>
      <c r="Y894" s="250"/>
      <c r="Z894" s="250"/>
      <c r="AA894" s="250"/>
      <c r="AB894" s="250"/>
      <c r="AC894" s="250"/>
      <c r="AD894" s="250"/>
      <c r="AE894" s="250"/>
      <c r="AF894" s="250"/>
      <c r="AG894" s="250"/>
      <c r="AH894" s="250"/>
      <c r="AI894" s="250"/>
      <c r="AJ894" s="250"/>
      <c r="AK894" s="250"/>
      <c r="AL894" s="250"/>
      <c r="AM894" s="250"/>
      <c r="AN894" s="250"/>
      <c r="AO894" s="250"/>
      <c r="AP894" s="250"/>
      <c r="AQ894" s="250"/>
      <c r="AR894" s="250"/>
      <c r="AS894" s="250"/>
      <c r="AT894" s="250"/>
      <c r="AU894" s="250"/>
      <c r="AV894" s="124"/>
    </row>
    <row r="895" spans="2:48" s="475" customFormat="1" x14ac:dyDescent="0.2">
      <c r="B895" s="250"/>
      <c r="C895" s="250"/>
      <c r="D895" s="250"/>
      <c r="E895" s="250"/>
      <c r="F895" s="250"/>
      <c r="G895" s="250"/>
      <c r="H895" s="250"/>
      <c r="I895" s="250"/>
      <c r="J895" s="250"/>
      <c r="K895" s="250"/>
      <c r="L895" s="250"/>
      <c r="M895" s="250"/>
      <c r="N895" s="250"/>
      <c r="O895" s="250"/>
      <c r="P895" s="250"/>
      <c r="Q895" s="250"/>
      <c r="R895" s="250"/>
      <c r="S895" s="250"/>
      <c r="T895" s="250"/>
      <c r="U895" s="250"/>
      <c r="V895" s="250"/>
      <c r="W895" s="250"/>
      <c r="X895" s="250"/>
      <c r="Y895" s="250"/>
      <c r="Z895" s="250"/>
      <c r="AA895" s="250"/>
      <c r="AB895" s="250"/>
      <c r="AC895" s="250"/>
      <c r="AD895" s="250"/>
      <c r="AE895" s="250"/>
      <c r="AF895" s="250"/>
      <c r="AG895" s="250"/>
      <c r="AH895" s="250"/>
      <c r="AI895" s="250"/>
      <c r="AJ895" s="250"/>
      <c r="AK895" s="250"/>
      <c r="AL895" s="250"/>
      <c r="AM895" s="250"/>
      <c r="AN895" s="250"/>
      <c r="AO895" s="250"/>
      <c r="AP895" s="250"/>
      <c r="AQ895" s="250"/>
      <c r="AR895" s="250"/>
      <c r="AS895" s="250"/>
      <c r="AT895" s="250"/>
      <c r="AU895" s="250"/>
      <c r="AV895" s="124"/>
    </row>
    <row r="896" spans="2:48" s="475" customFormat="1" x14ac:dyDescent="0.2">
      <c r="B896" s="250"/>
      <c r="C896" s="250"/>
      <c r="D896" s="250"/>
      <c r="E896" s="250"/>
      <c r="F896" s="250"/>
      <c r="G896" s="250"/>
      <c r="H896" s="250"/>
      <c r="I896" s="250"/>
      <c r="J896" s="250"/>
      <c r="K896" s="250"/>
      <c r="L896" s="250"/>
      <c r="M896" s="250"/>
      <c r="N896" s="250"/>
      <c r="O896" s="250"/>
      <c r="P896" s="250"/>
      <c r="Q896" s="250"/>
      <c r="R896" s="250"/>
      <c r="S896" s="250"/>
      <c r="T896" s="250"/>
      <c r="U896" s="250"/>
      <c r="V896" s="250"/>
      <c r="W896" s="250"/>
      <c r="X896" s="250"/>
      <c r="Y896" s="250"/>
      <c r="Z896" s="250"/>
      <c r="AA896" s="250"/>
      <c r="AB896" s="250"/>
      <c r="AC896" s="250"/>
      <c r="AD896" s="250"/>
      <c r="AE896" s="250"/>
      <c r="AF896" s="250"/>
      <c r="AG896" s="250"/>
      <c r="AH896" s="250"/>
      <c r="AI896" s="250"/>
      <c r="AJ896" s="250"/>
      <c r="AK896" s="250"/>
      <c r="AL896" s="250"/>
      <c r="AM896" s="250"/>
      <c r="AN896" s="250"/>
      <c r="AO896" s="250"/>
      <c r="AP896" s="250"/>
      <c r="AQ896" s="250"/>
      <c r="AR896" s="250"/>
      <c r="AS896" s="250"/>
      <c r="AT896" s="250"/>
      <c r="AU896" s="250"/>
      <c r="AV896" s="124"/>
    </row>
    <row r="897" spans="2:48" s="475" customFormat="1" x14ac:dyDescent="0.2">
      <c r="B897" s="250"/>
      <c r="C897" s="250"/>
      <c r="D897" s="250"/>
      <c r="E897" s="250"/>
      <c r="F897" s="250"/>
      <c r="G897" s="250"/>
      <c r="H897" s="250"/>
      <c r="I897" s="250"/>
      <c r="J897" s="250"/>
      <c r="K897" s="250"/>
      <c r="L897" s="250"/>
      <c r="M897" s="250"/>
      <c r="N897" s="250"/>
      <c r="O897" s="250"/>
      <c r="P897" s="250"/>
      <c r="Q897" s="250"/>
      <c r="R897" s="250"/>
      <c r="S897" s="250"/>
      <c r="T897" s="250"/>
      <c r="U897" s="250"/>
      <c r="V897" s="250"/>
      <c r="W897" s="250"/>
      <c r="X897" s="250"/>
      <c r="Y897" s="250"/>
      <c r="Z897" s="250"/>
      <c r="AA897" s="250"/>
      <c r="AB897" s="250"/>
      <c r="AC897" s="250"/>
      <c r="AD897" s="250"/>
      <c r="AE897" s="250"/>
      <c r="AF897" s="250"/>
      <c r="AG897" s="250"/>
      <c r="AH897" s="250"/>
      <c r="AI897" s="250"/>
      <c r="AJ897" s="250"/>
      <c r="AK897" s="250"/>
      <c r="AL897" s="250"/>
      <c r="AM897" s="250"/>
      <c r="AN897" s="250"/>
      <c r="AO897" s="250"/>
      <c r="AP897" s="250"/>
      <c r="AQ897" s="250"/>
      <c r="AR897" s="250"/>
      <c r="AS897" s="250"/>
      <c r="AT897" s="250"/>
      <c r="AU897" s="250"/>
      <c r="AV897" s="124"/>
    </row>
    <row r="898" spans="2:48" s="475" customFormat="1" x14ac:dyDescent="0.2">
      <c r="B898" s="250"/>
      <c r="C898" s="250"/>
      <c r="D898" s="250"/>
      <c r="E898" s="250"/>
      <c r="F898" s="250"/>
      <c r="G898" s="250"/>
      <c r="H898" s="250"/>
      <c r="I898" s="250"/>
      <c r="J898" s="250"/>
      <c r="K898" s="250"/>
      <c r="L898" s="250"/>
      <c r="M898" s="250"/>
      <c r="N898" s="250"/>
      <c r="O898" s="250"/>
      <c r="P898" s="250"/>
      <c r="Q898" s="250"/>
      <c r="R898" s="250"/>
      <c r="S898" s="250"/>
      <c r="T898" s="250"/>
      <c r="U898" s="250"/>
      <c r="V898" s="250"/>
      <c r="W898" s="250"/>
      <c r="X898" s="250"/>
      <c r="Y898" s="250"/>
      <c r="Z898" s="250"/>
      <c r="AA898" s="250"/>
      <c r="AB898" s="250"/>
      <c r="AC898" s="250"/>
      <c r="AD898" s="250"/>
      <c r="AE898" s="250"/>
      <c r="AF898" s="250"/>
      <c r="AG898" s="250"/>
      <c r="AH898" s="250"/>
      <c r="AI898" s="250"/>
      <c r="AJ898" s="250"/>
      <c r="AK898" s="250"/>
      <c r="AL898" s="250"/>
      <c r="AM898" s="250"/>
      <c r="AN898" s="250"/>
      <c r="AO898" s="250"/>
      <c r="AP898" s="250"/>
      <c r="AQ898" s="250"/>
      <c r="AR898" s="250"/>
      <c r="AS898" s="250"/>
      <c r="AT898" s="250"/>
      <c r="AU898" s="250"/>
      <c r="AV898" s="124"/>
    </row>
    <row r="899" spans="2:48" s="475" customFormat="1" x14ac:dyDescent="0.2">
      <c r="B899" s="250"/>
      <c r="C899" s="250"/>
      <c r="D899" s="250"/>
      <c r="E899" s="250"/>
      <c r="F899" s="250"/>
      <c r="G899" s="250"/>
      <c r="H899" s="250"/>
      <c r="I899" s="250"/>
      <c r="J899" s="250"/>
      <c r="K899" s="250"/>
      <c r="L899" s="250"/>
      <c r="M899" s="250"/>
      <c r="N899" s="250"/>
      <c r="O899" s="250"/>
      <c r="P899" s="250"/>
      <c r="Q899" s="250"/>
      <c r="R899" s="250"/>
      <c r="S899" s="250"/>
      <c r="T899" s="250"/>
      <c r="U899" s="250"/>
      <c r="V899" s="250"/>
      <c r="W899" s="250"/>
      <c r="X899" s="250"/>
      <c r="Y899" s="250"/>
      <c r="Z899" s="250"/>
      <c r="AA899" s="250"/>
      <c r="AB899" s="250"/>
      <c r="AC899" s="250"/>
      <c r="AD899" s="250"/>
      <c r="AE899" s="250"/>
      <c r="AF899" s="250"/>
      <c r="AG899" s="250"/>
      <c r="AH899" s="250"/>
      <c r="AI899" s="250"/>
      <c r="AJ899" s="250"/>
      <c r="AK899" s="250"/>
      <c r="AL899" s="250"/>
      <c r="AM899" s="250"/>
      <c r="AN899" s="250"/>
      <c r="AO899" s="250"/>
      <c r="AP899" s="250"/>
      <c r="AQ899" s="250"/>
      <c r="AR899" s="250"/>
      <c r="AS899" s="250"/>
      <c r="AT899" s="250"/>
      <c r="AU899" s="250"/>
      <c r="AV899" s="124"/>
    </row>
    <row r="900" spans="2:48" s="475" customFormat="1" x14ac:dyDescent="0.2">
      <c r="B900" s="250"/>
      <c r="C900" s="250"/>
      <c r="D900" s="250"/>
      <c r="E900" s="250"/>
      <c r="F900" s="250"/>
      <c r="G900" s="250"/>
      <c r="H900" s="250"/>
      <c r="I900" s="250"/>
      <c r="J900" s="250"/>
      <c r="K900" s="250"/>
      <c r="L900" s="250"/>
      <c r="M900" s="250"/>
      <c r="N900" s="250"/>
      <c r="O900" s="250"/>
      <c r="P900" s="250"/>
      <c r="Q900" s="250"/>
      <c r="R900" s="250"/>
      <c r="S900" s="250"/>
      <c r="T900" s="250"/>
      <c r="U900" s="250"/>
      <c r="V900" s="250"/>
      <c r="W900" s="250"/>
      <c r="X900" s="250"/>
      <c r="Y900" s="250"/>
      <c r="Z900" s="250"/>
      <c r="AA900" s="250"/>
      <c r="AB900" s="250"/>
      <c r="AC900" s="250"/>
      <c r="AD900" s="250"/>
      <c r="AE900" s="250"/>
      <c r="AF900" s="250"/>
      <c r="AG900" s="250"/>
      <c r="AH900" s="250"/>
      <c r="AI900" s="250"/>
      <c r="AJ900" s="250"/>
      <c r="AK900" s="250"/>
      <c r="AL900" s="250"/>
      <c r="AM900" s="250"/>
      <c r="AN900" s="250"/>
      <c r="AO900" s="250"/>
      <c r="AP900" s="250"/>
      <c r="AQ900" s="250"/>
      <c r="AR900" s="250"/>
      <c r="AS900" s="250"/>
      <c r="AT900" s="250"/>
      <c r="AU900" s="250"/>
      <c r="AV900" s="124"/>
    </row>
    <row r="901" spans="2:48" s="475" customFormat="1" x14ac:dyDescent="0.2">
      <c r="B901" s="250"/>
      <c r="C901" s="250"/>
      <c r="D901" s="250"/>
      <c r="E901" s="250"/>
      <c r="F901" s="250"/>
      <c r="G901" s="250"/>
      <c r="H901" s="250"/>
      <c r="I901" s="250"/>
      <c r="J901" s="250"/>
      <c r="K901" s="250"/>
      <c r="L901" s="250"/>
      <c r="M901" s="250"/>
      <c r="N901" s="250"/>
      <c r="O901" s="250"/>
      <c r="P901" s="250"/>
      <c r="Q901" s="250"/>
      <c r="R901" s="250"/>
      <c r="S901" s="250"/>
      <c r="T901" s="250"/>
      <c r="U901" s="250"/>
      <c r="V901" s="250"/>
      <c r="W901" s="250"/>
      <c r="X901" s="250"/>
      <c r="Y901" s="250"/>
      <c r="Z901" s="250"/>
      <c r="AA901" s="250"/>
      <c r="AB901" s="250"/>
      <c r="AC901" s="250"/>
      <c r="AD901" s="250"/>
      <c r="AE901" s="250"/>
      <c r="AF901" s="250"/>
      <c r="AG901" s="250"/>
      <c r="AH901" s="250"/>
      <c r="AI901" s="250"/>
      <c r="AJ901" s="250"/>
      <c r="AK901" s="250"/>
      <c r="AL901" s="250"/>
      <c r="AM901" s="250"/>
      <c r="AN901" s="250"/>
      <c r="AO901" s="250"/>
      <c r="AP901" s="250"/>
      <c r="AQ901" s="250"/>
      <c r="AR901" s="250"/>
      <c r="AS901" s="250"/>
      <c r="AT901" s="250"/>
      <c r="AU901" s="250"/>
      <c r="AV901" s="124"/>
    </row>
    <row r="902" spans="2:48" s="475" customFormat="1" x14ac:dyDescent="0.2">
      <c r="B902" s="250"/>
      <c r="C902" s="250"/>
      <c r="D902" s="250"/>
      <c r="E902" s="250"/>
      <c r="F902" s="250"/>
      <c r="G902" s="250"/>
      <c r="H902" s="250"/>
      <c r="I902" s="250"/>
      <c r="J902" s="250"/>
      <c r="K902" s="250"/>
      <c r="L902" s="250"/>
      <c r="M902" s="250"/>
      <c r="N902" s="250"/>
      <c r="O902" s="250"/>
      <c r="P902" s="250"/>
      <c r="Q902" s="250"/>
      <c r="R902" s="250"/>
      <c r="S902" s="250"/>
      <c r="T902" s="250"/>
      <c r="U902" s="250"/>
      <c r="V902" s="250"/>
      <c r="W902" s="250"/>
      <c r="X902" s="250"/>
      <c r="Y902" s="250"/>
      <c r="Z902" s="250"/>
      <c r="AA902" s="250"/>
      <c r="AB902" s="250"/>
      <c r="AC902" s="250"/>
      <c r="AD902" s="250"/>
      <c r="AE902" s="250"/>
      <c r="AF902" s="250"/>
      <c r="AG902" s="250"/>
      <c r="AH902" s="250"/>
      <c r="AI902" s="250"/>
      <c r="AJ902" s="250"/>
      <c r="AK902" s="250"/>
      <c r="AL902" s="250"/>
      <c r="AM902" s="250"/>
      <c r="AN902" s="250"/>
      <c r="AO902" s="250"/>
      <c r="AP902" s="250"/>
      <c r="AQ902" s="250"/>
      <c r="AR902" s="250"/>
      <c r="AS902" s="250"/>
      <c r="AT902" s="250"/>
      <c r="AU902" s="250"/>
      <c r="AV902" s="124"/>
    </row>
    <row r="903" spans="2:48" s="475" customFormat="1" x14ac:dyDescent="0.2">
      <c r="B903" s="250"/>
      <c r="C903" s="250"/>
      <c r="D903" s="250"/>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0"/>
      <c r="AA903" s="250"/>
      <c r="AB903" s="250"/>
      <c r="AC903" s="250"/>
      <c r="AD903" s="250"/>
      <c r="AE903" s="250"/>
      <c r="AF903" s="250"/>
      <c r="AG903" s="250"/>
      <c r="AH903" s="250"/>
      <c r="AI903" s="250"/>
      <c r="AJ903" s="250"/>
      <c r="AK903" s="250"/>
      <c r="AL903" s="250"/>
      <c r="AM903" s="250"/>
      <c r="AN903" s="250"/>
      <c r="AO903" s="250"/>
      <c r="AP903" s="250"/>
      <c r="AQ903" s="250"/>
      <c r="AR903" s="250"/>
      <c r="AS903" s="250"/>
      <c r="AT903" s="250"/>
      <c r="AU903" s="250"/>
      <c r="AV903" s="124"/>
    </row>
    <row r="904" spans="2:48" s="475" customFormat="1" x14ac:dyDescent="0.2">
      <c r="B904" s="250"/>
      <c r="C904" s="250"/>
      <c r="D904" s="250"/>
      <c r="E904" s="250"/>
      <c r="F904" s="250"/>
      <c r="G904" s="250"/>
      <c r="H904" s="250"/>
      <c r="I904" s="250"/>
      <c r="J904" s="250"/>
      <c r="K904" s="250"/>
      <c r="L904" s="250"/>
      <c r="M904" s="250"/>
      <c r="N904" s="250"/>
      <c r="O904" s="250"/>
      <c r="P904" s="250"/>
      <c r="Q904" s="250"/>
      <c r="R904" s="250"/>
      <c r="S904" s="250"/>
      <c r="T904" s="250"/>
      <c r="U904" s="250"/>
      <c r="V904" s="250"/>
      <c r="W904" s="250"/>
      <c r="X904" s="250"/>
      <c r="Y904" s="250"/>
      <c r="Z904" s="250"/>
      <c r="AA904" s="250"/>
      <c r="AB904" s="250"/>
      <c r="AC904" s="250"/>
      <c r="AD904" s="250"/>
      <c r="AE904" s="250"/>
      <c r="AF904" s="250"/>
      <c r="AG904" s="250"/>
      <c r="AH904" s="250"/>
      <c r="AI904" s="250"/>
      <c r="AJ904" s="250"/>
      <c r="AK904" s="250"/>
      <c r="AL904" s="250"/>
      <c r="AM904" s="250"/>
      <c r="AN904" s="250"/>
      <c r="AO904" s="250"/>
      <c r="AP904" s="250"/>
      <c r="AQ904" s="250"/>
      <c r="AR904" s="250"/>
      <c r="AS904" s="250"/>
      <c r="AT904" s="250"/>
      <c r="AU904" s="250"/>
      <c r="AV904" s="124"/>
    </row>
    <row r="905" spans="2:48" s="475" customFormat="1" x14ac:dyDescent="0.2">
      <c r="B905" s="250"/>
      <c r="C905" s="250"/>
      <c r="D905" s="250"/>
      <c r="E905" s="250"/>
      <c r="F905" s="250"/>
      <c r="G905" s="250"/>
      <c r="H905" s="250"/>
      <c r="I905" s="250"/>
      <c r="J905" s="250"/>
      <c r="K905" s="250"/>
      <c r="L905" s="250"/>
      <c r="M905" s="250"/>
      <c r="N905" s="250"/>
      <c r="O905" s="250"/>
      <c r="P905" s="250"/>
      <c r="Q905" s="250"/>
      <c r="R905" s="250"/>
      <c r="S905" s="250"/>
      <c r="T905" s="250"/>
      <c r="U905" s="250"/>
      <c r="V905" s="250"/>
      <c r="W905" s="250"/>
      <c r="X905" s="250"/>
      <c r="Y905" s="250"/>
      <c r="Z905" s="250"/>
      <c r="AA905" s="250"/>
      <c r="AB905" s="250"/>
      <c r="AC905" s="250"/>
      <c r="AD905" s="250"/>
      <c r="AE905" s="250"/>
      <c r="AF905" s="250"/>
      <c r="AG905" s="250"/>
      <c r="AH905" s="250"/>
      <c r="AI905" s="250"/>
      <c r="AJ905" s="250"/>
      <c r="AK905" s="250"/>
      <c r="AL905" s="250"/>
      <c r="AM905" s="250"/>
      <c r="AN905" s="250"/>
      <c r="AO905" s="250"/>
      <c r="AP905" s="250"/>
      <c r="AQ905" s="250"/>
      <c r="AR905" s="250"/>
      <c r="AS905" s="250"/>
      <c r="AT905" s="250"/>
      <c r="AU905" s="250"/>
      <c r="AV905" s="124"/>
    </row>
    <row r="906" spans="2:48" s="475" customFormat="1" x14ac:dyDescent="0.2">
      <c r="B906" s="250"/>
      <c r="C906" s="250"/>
      <c r="D906" s="250"/>
      <c r="E906" s="250"/>
      <c r="F906" s="250"/>
      <c r="G906" s="250"/>
      <c r="H906" s="250"/>
      <c r="I906" s="250"/>
      <c r="J906" s="250"/>
      <c r="K906" s="250"/>
      <c r="L906" s="250"/>
      <c r="M906" s="250"/>
      <c r="N906" s="250"/>
      <c r="O906" s="250"/>
      <c r="P906" s="250"/>
      <c r="Q906" s="250"/>
      <c r="R906" s="250"/>
      <c r="S906" s="250"/>
      <c r="T906" s="250"/>
      <c r="U906" s="250"/>
      <c r="V906" s="250"/>
      <c r="W906" s="250"/>
      <c r="X906" s="250"/>
      <c r="Y906" s="250"/>
      <c r="Z906" s="250"/>
      <c r="AA906" s="250"/>
      <c r="AB906" s="250"/>
      <c r="AC906" s="250"/>
      <c r="AD906" s="250"/>
      <c r="AE906" s="250"/>
      <c r="AF906" s="250"/>
      <c r="AG906" s="250"/>
      <c r="AH906" s="250"/>
      <c r="AI906" s="250"/>
      <c r="AJ906" s="250"/>
      <c r="AK906" s="250"/>
      <c r="AL906" s="250"/>
      <c r="AM906" s="250"/>
      <c r="AN906" s="250"/>
      <c r="AO906" s="250"/>
      <c r="AP906" s="250"/>
      <c r="AQ906" s="250"/>
      <c r="AR906" s="250"/>
      <c r="AS906" s="250"/>
      <c r="AT906" s="250"/>
      <c r="AU906" s="250"/>
      <c r="AV906" s="124"/>
    </row>
    <row r="907" spans="2:48" s="475" customFormat="1" x14ac:dyDescent="0.2">
      <c r="B907" s="250"/>
      <c r="C907" s="250"/>
      <c r="D907" s="250"/>
      <c r="E907" s="250"/>
      <c r="F907" s="250"/>
      <c r="G907" s="250"/>
      <c r="H907" s="250"/>
      <c r="I907" s="250"/>
      <c r="J907" s="250"/>
      <c r="K907" s="250"/>
      <c r="L907" s="250"/>
      <c r="M907" s="250"/>
      <c r="N907" s="250"/>
      <c r="O907" s="250"/>
      <c r="P907" s="250"/>
      <c r="Q907" s="250"/>
      <c r="R907" s="250"/>
      <c r="S907" s="250"/>
      <c r="T907" s="250"/>
      <c r="U907" s="250"/>
      <c r="V907" s="250"/>
      <c r="W907" s="250"/>
      <c r="X907" s="250"/>
      <c r="Y907" s="250"/>
      <c r="Z907" s="250"/>
      <c r="AA907" s="250"/>
      <c r="AB907" s="250"/>
      <c r="AC907" s="250"/>
      <c r="AD907" s="250"/>
      <c r="AE907" s="250"/>
      <c r="AF907" s="250"/>
      <c r="AG907" s="250"/>
      <c r="AH907" s="250"/>
      <c r="AI907" s="250"/>
      <c r="AJ907" s="250"/>
      <c r="AK907" s="250"/>
      <c r="AL907" s="250"/>
      <c r="AM907" s="250"/>
      <c r="AN907" s="250"/>
      <c r="AO907" s="250"/>
      <c r="AP907" s="250"/>
      <c r="AQ907" s="250"/>
      <c r="AR907" s="250"/>
      <c r="AS907" s="250"/>
      <c r="AT907" s="250"/>
      <c r="AU907" s="250"/>
      <c r="AV907" s="124"/>
    </row>
    <row r="908" spans="2:48" s="475" customFormat="1" x14ac:dyDescent="0.2">
      <c r="B908" s="250"/>
      <c r="C908" s="250"/>
      <c r="D908" s="250"/>
      <c r="E908" s="250"/>
      <c r="F908" s="250"/>
      <c r="G908" s="250"/>
      <c r="H908" s="250"/>
      <c r="I908" s="250"/>
      <c r="J908" s="250"/>
      <c r="K908" s="250"/>
      <c r="L908" s="250"/>
      <c r="M908" s="250"/>
      <c r="N908" s="250"/>
      <c r="O908" s="250"/>
      <c r="P908" s="250"/>
      <c r="Q908" s="250"/>
      <c r="R908" s="250"/>
      <c r="S908" s="250"/>
      <c r="T908" s="250"/>
      <c r="U908" s="250"/>
      <c r="V908" s="250"/>
      <c r="W908" s="250"/>
      <c r="X908" s="250"/>
      <c r="Y908" s="250"/>
      <c r="Z908" s="250"/>
      <c r="AA908" s="250"/>
      <c r="AB908" s="250"/>
      <c r="AC908" s="250"/>
      <c r="AD908" s="250"/>
      <c r="AE908" s="250"/>
      <c r="AF908" s="250"/>
      <c r="AG908" s="250"/>
      <c r="AH908" s="250"/>
      <c r="AI908" s="250"/>
      <c r="AJ908" s="250"/>
      <c r="AK908" s="250"/>
      <c r="AL908" s="250"/>
      <c r="AM908" s="250"/>
      <c r="AN908" s="250"/>
      <c r="AO908" s="250"/>
      <c r="AP908" s="250"/>
      <c r="AQ908" s="250"/>
      <c r="AR908" s="250"/>
      <c r="AS908" s="250"/>
      <c r="AT908" s="250"/>
      <c r="AU908" s="250"/>
      <c r="AV908" s="124"/>
    </row>
    <row r="909" spans="2:48" s="475" customFormat="1" x14ac:dyDescent="0.2">
      <c r="B909" s="250"/>
      <c r="C909" s="250"/>
      <c r="D909" s="250"/>
      <c r="E909" s="250"/>
      <c r="F909" s="250"/>
      <c r="G909" s="250"/>
      <c r="H909" s="250"/>
      <c r="I909" s="250"/>
      <c r="J909" s="250"/>
      <c r="K909" s="250"/>
      <c r="L909" s="250"/>
      <c r="M909" s="250"/>
      <c r="N909" s="250"/>
      <c r="O909" s="250"/>
      <c r="P909" s="250"/>
      <c r="Q909" s="250"/>
      <c r="R909" s="250"/>
      <c r="S909" s="250"/>
      <c r="T909" s="250"/>
      <c r="U909" s="250"/>
      <c r="V909" s="250"/>
      <c r="W909" s="250"/>
      <c r="X909" s="250"/>
      <c r="Y909" s="250"/>
      <c r="Z909" s="250"/>
      <c r="AA909" s="250"/>
      <c r="AB909" s="250"/>
      <c r="AC909" s="250"/>
      <c r="AD909" s="250"/>
      <c r="AE909" s="250"/>
      <c r="AF909" s="250"/>
      <c r="AG909" s="250"/>
      <c r="AH909" s="250"/>
      <c r="AI909" s="250"/>
      <c r="AJ909" s="250"/>
      <c r="AK909" s="250"/>
      <c r="AL909" s="250"/>
      <c r="AM909" s="250"/>
      <c r="AN909" s="250"/>
      <c r="AO909" s="250"/>
      <c r="AP909" s="250"/>
      <c r="AQ909" s="250"/>
      <c r="AR909" s="250"/>
      <c r="AS909" s="250"/>
      <c r="AT909" s="250"/>
      <c r="AU909" s="250"/>
      <c r="AV909" s="124"/>
    </row>
    <row r="910" spans="2:48" s="475" customFormat="1" x14ac:dyDescent="0.2">
      <c r="B910" s="250"/>
      <c r="C910" s="250"/>
      <c r="D910" s="250"/>
      <c r="E910" s="250"/>
      <c r="F910" s="250"/>
      <c r="G910" s="250"/>
      <c r="H910" s="250"/>
      <c r="I910" s="250"/>
      <c r="J910" s="250"/>
      <c r="K910" s="250"/>
      <c r="L910" s="250"/>
      <c r="M910" s="250"/>
      <c r="N910" s="250"/>
      <c r="O910" s="250"/>
      <c r="P910" s="250"/>
      <c r="Q910" s="250"/>
      <c r="R910" s="250"/>
      <c r="S910" s="250"/>
      <c r="T910" s="250"/>
      <c r="U910" s="250"/>
      <c r="V910" s="250"/>
      <c r="W910" s="250"/>
      <c r="X910" s="250"/>
      <c r="Y910" s="250"/>
      <c r="Z910" s="250"/>
      <c r="AA910" s="250"/>
      <c r="AB910" s="250"/>
      <c r="AC910" s="250"/>
      <c r="AD910" s="250"/>
      <c r="AE910" s="250"/>
      <c r="AF910" s="250"/>
      <c r="AG910" s="250"/>
      <c r="AH910" s="250"/>
      <c r="AI910" s="250"/>
      <c r="AJ910" s="250"/>
      <c r="AK910" s="250"/>
      <c r="AL910" s="250"/>
      <c r="AM910" s="250"/>
      <c r="AN910" s="250"/>
      <c r="AO910" s="250"/>
      <c r="AP910" s="250"/>
      <c r="AQ910" s="250"/>
      <c r="AR910" s="250"/>
      <c r="AS910" s="250"/>
      <c r="AT910" s="250"/>
      <c r="AU910" s="250"/>
      <c r="AV910" s="124"/>
    </row>
    <row r="911" spans="2:48" s="475" customFormat="1" x14ac:dyDescent="0.2">
      <c r="B911" s="250"/>
      <c r="C911" s="250"/>
      <c r="D911" s="250"/>
      <c r="E911" s="250"/>
      <c r="F911" s="250"/>
      <c r="G911" s="250"/>
      <c r="H911" s="250"/>
      <c r="I911" s="250"/>
      <c r="J911" s="250"/>
      <c r="K911" s="250"/>
      <c r="L911" s="250"/>
      <c r="M911" s="250"/>
      <c r="N911" s="250"/>
      <c r="O911" s="250"/>
      <c r="P911" s="250"/>
      <c r="Q911" s="250"/>
      <c r="R911" s="250"/>
      <c r="S911" s="250"/>
      <c r="T911" s="250"/>
      <c r="U911" s="250"/>
      <c r="V911" s="250"/>
      <c r="W911" s="250"/>
      <c r="X911" s="250"/>
      <c r="Y911" s="250"/>
      <c r="Z911" s="250"/>
      <c r="AA911" s="250"/>
      <c r="AB911" s="250"/>
      <c r="AC911" s="250"/>
      <c r="AD911" s="250"/>
      <c r="AE911" s="250"/>
      <c r="AF911" s="250"/>
      <c r="AG911" s="250"/>
      <c r="AH911" s="250"/>
      <c r="AI911" s="250"/>
      <c r="AJ911" s="250"/>
      <c r="AK911" s="250"/>
      <c r="AL911" s="250"/>
      <c r="AM911" s="250"/>
      <c r="AN911" s="250"/>
      <c r="AO911" s="250"/>
      <c r="AP911" s="250"/>
      <c r="AQ911" s="250"/>
      <c r="AR911" s="250"/>
      <c r="AS911" s="250"/>
      <c r="AT911" s="250"/>
      <c r="AU911" s="250"/>
      <c r="AV911" s="124"/>
    </row>
    <row r="912" spans="2:48" s="475" customFormat="1" x14ac:dyDescent="0.2">
      <c r="B912" s="250"/>
      <c r="C912" s="250"/>
      <c r="D912" s="250"/>
      <c r="E912" s="250"/>
      <c r="F912" s="250"/>
      <c r="G912" s="250"/>
      <c r="H912" s="250"/>
      <c r="I912" s="250"/>
      <c r="J912" s="250"/>
      <c r="K912" s="250"/>
      <c r="L912" s="250"/>
      <c r="M912" s="250"/>
      <c r="N912" s="250"/>
      <c r="O912" s="250"/>
      <c r="P912" s="250"/>
      <c r="Q912" s="250"/>
      <c r="R912" s="250"/>
      <c r="S912" s="250"/>
      <c r="T912" s="250"/>
      <c r="U912" s="250"/>
      <c r="V912" s="250"/>
      <c r="W912" s="250"/>
      <c r="X912" s="250"/>
      <c r="Y912" s="250"/>
      <c r="Z912" s="250"/>
      <c r="AA912" s="250"/>
      <c r="AB912" s="250"/>
      <c r="AC912" s="250"/>
      <c r="AD912" s="250"/>
      <c r="AE912" s="250"/>
      <c r="AF912" s="250"/>
      <c r="AG912" s="250"/>
      <c r="AH912" s="250"/>
      <c r="AI912" s="250"/>
      <c r="AJ912" s="250"/>
      <c r="AK912" s="250"/>
      <c r="AL912" s="250"/>
      <c r="AM912" s="250"/>
      <c r="AN912" s="250"/>
      <c r="AO912" s="250"/>
      <c r="AP912" s="250"/>
      <c r="AQ912" s="250"/>
      <c r="AR912" s="250"/>
      <c r="AS912" s="250"/>
      <c r="AT912" s="250"/>
      <c r="AU912" s="250"/>
      <c r="AV912" s="124"/>
    </row>
    <row r="913" spans="2:48" s="475" customFormat="1" x14ac:dyDescent="0.2">
      <c r="B913" s="250"/>
      <c r="C913" s="250"/>
      <c r="D913" s="250"/>
      <c r="E913" s="250"/>
      <c r="F913" s="250"/>
      <c r="G913" s="250"/>
      <c r="H913" s="250"/>
      <c r="I913" s="250"/>
      <c r="J913" s="250"/>
      <c r="K913" s="250"/>
      <c r="L913" s="250"/>
      <c r="M913" s="250"/>
      <c r="N913" s="250"/>
      <c r="O913" s="250"/>
      <c r="P913" s="250"/>
      <c r="Q913" s="250"/>
      <c r="R913" s="250"/>
      <c r="S913" s="250"/>
      <c r="T913" s="250"/>
      <c r="U913" s="250"/>
      <c r="V913" s="250"/>
      <c r="W913" s="250"/>
      <c r="X913" s="250"/>
      <c r="Y913" s="250"/>
      <c r="Z913" s="250"/>
      <c r="AA913" s="250"/>
      <c r="AB913" s="250"/>
      <c r="AC913" s="250"/>
      <c r="AD913" s="250"/>
      <c r="AE913" s="250"/>
      <c r="AF913" s="250"/>
      <c r="AG913" s="250"/>
      <c r="AH913" s="250"/>
      <c r="AI913" s="250"/>
      <c r="AJ913" s="250"/>
      <c r="AK913" s="250"/>
      <c r="AL913" s="250"/>
      <c r="AM913" s="250"/>
      <c r="AN913" s="250"/>
      <c r="AO913" s="250"/>
      <c r="AP913" s="250"/>
      <c r="AQ913" s="250"/>
      <c r="AR913" s="250"/>
      <c r="AS913" s="250"/>
      <c r="AT913" s="250"/>
      <c r="AU913" s="250"/>
      <c r="AV913" s="124"/>
    </row>
    <row r="914" spans="2:48" s="475" customFormat="1" x14ac:dyDescent="0.2">
      <c r="B914" s="250"/>
      <c r="C914" s="250"/>
      <c r="D914" s="250"/>
      <c r="E914" s="250"/>
      <c r="F914" s="250"/>
      <c r="G914" s="250"/>
      <c r="H914" s="250"/>
      <c r="I914" s="250"/>
      <c r="J914" s="250"/>
      <c r="K914" s="250"/>
      <c r="L914" s="250"/>
      <c r="M914" s="250"/>
      <c r="N914" s="250"/>
      <c r="O914" s="250"/>
      <c r="P914" s="250"/>
      <c r="Q914" s="250"/>
      <c r="R914" s="250"/>
      <c r="S914" s="250"/>
      <c r="T914" s="250"/>
      <c r="U914" s="250"/>
      <c r="V914" s="250"/>
      <c r="W914" s="250"/>
      <c r="X914" s="250"/>
      <c r="Y914" s="250"/>
      <c r="Z914" s="250"/>
      <c r="AA914" s="250"/>
      <c r="AB914" s="250"/>
      <c r="AC914" s="250"/>
      <c r="AD914" s="250"/>
      <c r="AE914" s="250"/>
      <c r="AF914" s="250"/>
      <c r="AG914" s="250"/>
      <c r="AH914" s="250"/>
      <c r="AI914" s="250"/>
      <c r="AJ914" s="250"/>
      <c r="AK914" s="250"/>
      <c r="AL914" s="250"/>
      <c r="AM914" s="250"/>
      <c r="AN914" s="250"/>
      <c r="AO914" s="250"/>
      <c r="AP914" s="250"/>
      <c r="AQ914" s="250"/>
      <c r="AR914" s="250"/>
      <c r="AS914" s="250"/>
      <c r="AT914" s="250"/>
      <c r="AU914" s="250"/>
      <c r="AV914" s="124"/>
    </row>
    <row r="915" spans="2:48" s="475" customFormat="1" x14ac:dyDescent="0.2">
      <c r="B915" s="250"/>
      <c r="C915" s="250"/>
      <c r="D915" s="250"/>
      <c r="E915" s="250"/>
      <c r="F915" s="250"/>
      <c r="G915" s="250"/>
      <c r="H915" s="250"/>
      <c r="I915" s="250"/>
      <c r="J915" s="250"/>
      <c r="K915" s="250"/>
      <c r="L915" s="250"/>
      <c r="M915" s="250"/>
      <c r="N915" s="250"/>
      <c r="O915" s="250"/>
      <c r="P915" s="250"/>
      <c r="Q915" s="250"/>
      <c r="R915" s="250"/>
      <c r="S915" s="250"/>
      <c r="T915" s="250"/>
      <c r="U915" s="250"/>
      <c r="V915" s="250"/>
      <c r="W915" s="250"/>
      <c r="X915" s="250"/>
      <c r="Y915" s="250"/>
      <c r="Z915" s="250"/>
      <c r="AA915" s="250"/>
      <c r="AB915" s="250"/>
      <c r="AC915" s="250"/>
      <c r="AD915" s="250"/>
      <c r="AE915" s="250"/>
      <c r="AF915" s="250"/>
      <c r="AG915" s="250"/>
      <c r="AH915" s="250"/>
      <c r="AI915" s="250"/>
      <c r="AJ915" s="250"/>
      <c r="AK915" s="250"/>
      <c r="AL915" s="250"/>
      <c r="AM915" s="250"/>
      <c r="AN915" s="250"/>
      <c r="AO915" s="250"/>
      <c r="AP915" s="250"/>
      <c r="AQ915" s="250"/>
      <c r="AR915" s="250"/>
      <c r="AS915" s="250"/>
      <c r="AT915" s="250"/>
      <c r="AU915" s="250"/>
      <c r="AV915" s="124"/>
    </row>
    <row r="916" spans="2:48" s="475" customFormat="1" x14ac:dyDescent="0.2">
      <c r="B916" s="250"/>
      <c r="C916" s="250"/>
      <c r="D916" s="250"/>
      <c r="E916" s="250"/>
      <c r="F916" s="250"/>
      <c r="G916" s="250"/>
      <c r="H916" s="250"/>
      <c r="I916" s="250"/>
      <c r="J916" s="250"/>
      <c r="K916" s="250"/>
      <c r="L916" s="250"/>
      <c r="M916" s="250"/>
      <c r="N916" s="250"/>
      <c r="O916" s="250"/>
      <c r="P916" s="250"/>
      <c r="Q916" s="250"/>
      <c r="R916" s="250"/>
      <c r="S916" s="250"/>
      <c r="T916" s="250"/>
      <c r="U916" s="250"/>
      <c r="V916" s="250"/>
      <c r="W916" s="250"/>
      <c r="X916" s="250"/>
      <c r="Y916" s="250"/>
      <c r="Z916" s="250"/>
      <c r="AA916" s="250"/>
      <c r="AB916" s="250"/>
      <c r="AC916" s="250"/>
      <c r="AD916" s="250"/>
      <c r="AE916" s="250"/>
      <c r="AF916" s="250"/>
      <c r="AG916" s="250"/>
      <c r="AH916" s="250"/>
      <c r="AI916" s="250"/>
      <c r="AJ916" s="250"/>
      <c r="AK916" s="250"/>
      <c r="AL916" s="250"/>
      <c r="AM916" s="250"/>
      <c r="AN916" s="250"/>
      <c r="AO916" s="250"/>
      <c r="AP916" s="250"/>
      <c r="AQ916" s="250"/>
      <c r="AR916" s="250"/>
      <c r="AS916" s="250"/>
      <c r="AT916" s="250"/>
      <c r="AU916" s="250"/>
      <c r="AV916" s="124"/>
    </row>
    <row r="917" spans="2:48" s="475" customFormat="1" x14ac:dyDescent="0.2">
      <c r="B917" s="250"/>
      <c r="C917" s="250"/>
      <c r="D917" s="250"/>
      <c r="E917" s="250"/>
      <c r="F917" s="250"/>
      <c r="G917" s="250"/>
      <c r="H917" s="250"/>
      <c r="I917" s="250"/>
      <c r="J917" s="250"/>
      <c r="K917" s="250"/>
      <c r="L917" s="250"/>
      <c r="M917" s="250"/>
      <c r="N917" s="250"/>
      <c r="O917" s="250"/>
      <c r="P917" s="250"/>
      <c r="Q917" s="250"/>
      <c r="R917" s="250"/>
      <c r="S917" s="250"/>
      <c r="T917" s="250"/>
      <c r="U917" s="250"/>
      <c r="V917" s="250"/>
      <c r="W917" s="250"/>
      <c r="X917" s="250"/>
      <c r="Y917" s="250"/>
      <c r="Z917" s="250"/>
      <c r="AA917" s="250"/>
      <c r="AB917" s="250"/>
      <c r="AC917" s="250"/>
      <c r="AD917" s="250"/>
      <c r="AE917" s="250"/>
      <c r="AF917" s="250"/>
      <c r="AG917" s="250"/>
      <c r="AH917" s="250"/>
      <c r="AI917" s="250"/>
      <c r="AJ917" s="250"/>
      <c r="AK917" s="250"/>
      <c r="AL917" s="250"/>
      <c r="AM917" s="250"/>
      <c r="AN917" s="250"/>
      <c r="AO917" s="250"/>
      <c r="AP917" s="250"/>
      <c r="AQ917" s="250"/>
      <c r="AR917" s="250"/>
      <c r="AS917" s="250"/>
      <c r="AT917" s="250"/>
      <c r="AU917" s="250"/>
      <c r="AV917" s="124"/>
    </row>
    <row r="918" spans="2:48" s="475" customFormat="1" x14ac:dyDescent="0.2">
      <c r="B918" s="250"/>
      <c r="C918" s="250"/>
      <c r="D918" s="250"/>
      <c r="E918" s="250"/>
      <c r="F918" s="250"/>
      <c r="G918" s="250"/>
      <c r="H918" s="250"/>
      <c r="I918" s="250"/>
      <c r="J918" s="250"/>
      <c r="K918" s="250"/>
      <c r="L918" s="250"/>
      <c r="M918" s="250"/>
      <c r="N918" s="250"/>
      <c r="O918" s="250"/>
      <c r="P918" s="250"/>
      <c r="Q918" s="250"/>
      <c r="R918" s="250"/>
      <c r="S918" s="250"/>
      <c r="T918" s="250"/>
      <c r="U918" s="250"/>
      <c r="V918" s="250"/>
      <c r="W918" s="250"/>
      <c r="X918" s="250"/>
      <c r="Y918" s="250"/>
      <c r="Z918" s="250"/>
      <c r="AA918" s="250"/>
      <c r="AB918" s="250"/>
      <c r="AC918" s="250"/>
      <c r="AD918" s="250"/>
      <c r="AE918" s="250"/>
      <c r="AF918" s="250"/>
      <c r="AG918" s="250"/>
      <c r="AH918" s="250"/>
      <c r="AI918" s="250"/>
      <c r="AJ918" s="250"/>
      <c r="AK918" s="250"/>
      <c r="AL918" s="250"/>
      <c r="AM918" s="250"/>
      <c r="AN918" s="250"/>
      <c r="AO918" s="250"/>
      <c r="AP918" s="250"/>
      <c r="AQ918" s="250"/>
      <c r="AR918" s="250"/>
      <c r="AS918" s="250"/>
      <c r="AT918" s="250"/>
      <c r="AU918" s="250"/>
      <c r="AV918" s="124"/>
    </row>
    <row r="919" spans="2:48" s="475" customFormat="1" x14ac:dyDescent="0.2">
      <c r="B919" s="250"/>
      <c r="C919" s="250"/>
      <c r="D919" s="250"/>
      <c r="E919" s="250"/>
      <c r="F919" s="250"/>
      <c r="G919" s="250"/>
      <c r="H919" s="250"/>
      <c r="I919" s="250"/>
      <c r="J919" s="250"/>
      <c r="K919" s="250"/>
      <c r="L919" s="250"/>
      <c r="M919" s="250"/>
      <c r="N919" s="250"/>
      <c r="O919" s="250"/>
      <c r="P919" s="250"/>
      <c r="Q919" s="250"/>
      <c r="R919" s="250"/>
      <c r="S919" s="250"/>
      <c r="T919" s="250"/>
      <c r="U919" s="250"/>
      <c r="V919" s="250"/>
      <c r="W919" s="250"/>
      <c r="X919" s="250"/>
      <c r="Y919" s="250"/>
      <c r="Z919" s="250"/>
      <c r="AA919" s="250"/>
      <c r="AB919" s="250"/>
      <c r="AC919" s="250"/>
      <c r="AD919" s="250"/>
      <c r="AE919" s="250"/>
      <c r="AF919" s="250"/>
      <c r="AG919" s="250"/>
      <c r="AH919" s="250"/>
      <c r="AI919" s="250"/>
      <c r="AJ919" s="250"/>
      <c r="AK919" s="250"/>
      <c r="AL919" s="250"/>
      <c r="AM919" s="250"/>
      <c r="AN919" s="250"/>
      <c r="AO919" s="250"/>
      <c r="AP919" s="250"/>
      <c r="AQ919" s="250"/>
      <c r="AR919" s="250"/>
      <c r="AS919" s="250"/>
      <c r="AT919" s="250"/>
      <c r="AU919" s="250"/>
      <c r="AV919" s="124"/>
    </row>
    <row r="920" spans="2:48" s="475" customFormat="1" x14ac:dyDescent="0.2">
      <c r="B920" s="250"/>
      <c r="C920" s="250"/>
      <c r="D920" s="250"/>
      <c r="E920" s="250"/>
      <c r="F920" s="250"/>
      <c r="G920" s="250"/>
      <c r="H920" s="250"/>
      <c r="I920" s="250"/>
      <c r="J920" s="250"/>
      <c r="K920" s="250"/>
      <c r="L920" s="250"/>
      <c r="M920" s="250"/>
      <c r="N920" s="250"/>
      <c r="O920" s="250"/>
      <c r="P920" s="250"/>
      <c r="Q920" s="250"/>
      <c r="R920" s="250"/>
      <c r="S920" s="250"/>
      <c r="T920" s="250"/>
      <c r="U920" s="250"/>
      <c r="V920" s="250"/>
      <c r="W920" s="250"/>
      <c r="X920" s="250"/>
      <c r="Y920" s="250"/>
      <c r="Z920" s="250"/>
      <c r="AA920" s="250"/>
      <c r="AB920" s="250"/>
      <c r="AC920" s="250"/>
      <c r="AD920" s="250"/>
      <c r="AE920" s="250"/>
      <c r="AF920" s="250"/>
      <c r="AG920" s="250"/>
      <c r="AH920" s="250"/>
      <c r="AI920" s="250"/>
      <c r="AJ920" s="250"/>
      <c r="AK920" s="250"/>
      <c r="AL920" s="250"/>
      <c r="AM920" s="250"/>
      <c r="AN920" s="250"/>
      <c r="AO920" s="250"/>
      <c r="AP920" s="250"/>
      <c r="AQ920" s="250"/>
      <c r="AR920" s="250"/>
      <c r="AS920" s="250"/>
      <c r="AT920" s="250"/>
      <c r="AU920" s="250"/>
      <c r="AV920" s="124"/>
    </row>
    <row r="921" spans="2:48" s="475" customFormat="1" x14ac:dyDescent="0.2">
      <c r="B921" s="250"/>
      <c r="C921" s="250"/>
      <c r="D921" s="250"/>
      <c r="E921" s="250"/>
      <c r="F921" s="250"/>
      <c r="G921" s="250"/>
      <c r="H921" s="250"/>
      <c r="I921" s="250"/>
      <c r="J921" s="250"/>
      <c r="K921" s="250"/>
      <c r="L921" s="250"/>
      <c r="M921" s="250"/>
      <c r="N921" s="250"/>
      <c r="O921" s="250"/>
      <c r="P921" s="250"/>
      <c r="Q921" s="250"/>
      <c r="R921" s="250"/>
      <c r="S921" s="250"/>
      <c r="T921" s="250"/>
      <c r="U921" s="250"/>
      <c r="V921" s="250"/>
      <c r="W921" s="250"/>
      <c r="X921" s="250"/>
      <c r="Y921" s="250"/>
      <c r="Z921" s="250"/>
      <c r="AA921" s="250"/>
      <c r="AB921" s="250"/>
      <c r="AC921" s="250"/>
      <c r="AD921" s="250"/>
      <c r="AE921" s="250"/>
      <c r="AF921" s="250"/>
      <c r="AG921" s="250"/>
      <c r="AH921" s="250"/>
      <c r="AI921" s="250"/>
      <c r="AJ921" s="250"/>
      <c r="AK921" s="250"/>
      <c r="AL921" s="250"/>
      <c r="AM921" s="250"/>
      <c r="AN921" s="250"/>
      <c r="AO921" s="250"/>
      <c r="AP921" s="250"/>
      <c r="AQ921" s="250"/>
      <c r="AR921" s="250"/>
      <c r="AS921" s="250"/>
      <c r="AT921" s="250"/>
      <c r="AU921" s="250"/>
      <c r="AV921" s="124"/>
    </row>
    <row r="922" spans="2:48" s="475" customFormat="1" x14ac:dyDescent="0.2">
      <c r="B922" s="250"/>
      <c r="C922" s="250"/>
      <c r="D922" s="250"/>
      <c r="E922" s="250"/>
      <c r="F922" s="250"/>
      <c r="G922" s="250"/>
      <c r="H922" s="250"/>
      <c r="I922" s="250"/>
      <c r="J922" s="250"/>
      <c r="K922" s="250"/>
      <c r="L922" s="250"/>
      <c r="M922" s="250"/>
      <c r="N922" s="250"/>
      <c r="O922" s="250"/>
      <c r="P922" s="250"/>
      <c r="Q922" s="250"/>
      <c r="R922" s="250"/>
      <c r="S922" s="250"/>
      <c r="T922" s="250"/>
      <c r="U922" s="250"/>
      <c r="V922" s="250"/>
      <c r="W922" s="250"/>
      <c r="X922" s="250"/>
      <c r="Y922" s="250"/>
      <c r="Z922" s="250"/>
      <c r="AA922" s="250"/>
      <c r="AB922" s="250"/>
      <c r="AC922" s="250"/>
      <c r="AD922" s="250"/>
      <c r="AE922" s="250"/>
      <c r="AF922" s="250"/>
      <c r="AG922" s="250"/>
      <c r="AH922" s="250"/>
      <c r="AI922" s="250"/>
      <c r="AJ922" s="250"/>
      <c r="AK922" s="250"/>
      <c r="AL922" s="250"/>
      <c r="AM922" s="250"/>
      <c r="AN922" s="250"/>
      <c r="AO922" s="250"/>
      <c r="AP922" s="250"/>
      <c r="AQ922" s="250"/>
      <c r="AR922" s="250"/>
      <c r="AS922" s="250"/>
      <c r="AT922" s="250"/>
      <c r="AU922" s="250"/>
      <c r="AV922" s="124"/>
    </row>
    <row r="923" spans="2:48" s="475" customFormat="1" x14ac:dyDescent="0.2">
      <c r="B923" s="250"/>
      <c r="C923" s="250"/>
      <c r="D923" s="250"/>
      <c r="E923" s="250"/>
      <c r="F923" s="250"/>
      <c r="G923" s="250"/>
      <c r="H923" s="250"/>
      <c r="I923" s="250"/>
      <c r="J923" s="250"/>
      <c r="K923" s="250"/>
      <c r="L923" s="250"/>
      <c r="M923" s="250"/>
      <c r="N923" s="250"/>
      <c r="O923" s="250"/>
      <c r="P923" s="250"/>
      <c r="Q923" s="250"/>
      <c r="R923" s="250"/>
      <c r="S923" s="250"/>
      <c r="T923" s="250"/>
      <c r="U923" s="250"/>
      <c r="V923" s="250"/>
      <c r="W923" s="250"/>
      <c r="X923" s="250"/>
      <c r="Y923" s="250"/>
      <c r="Z923" s="250"/>
      <c r="AA923" s="250"/>
      <c r="AB923" s="250"/>
      <c r="AC923" s="250"/>
      <c r="AD923" s="250"/>
      <c r="AE923" s="250"/>
      <c r="AF923" s="250"/>
      <c r="AG923" s="250"/>
      <c r="AH923" s="250"/>
      <c r="AI923" s="250"/>
      <c r="AJ923" s="250"/>
      <c r="AK923" s="250"/>
      <c r="AL923" s="250"/>
      <c r="AM923" s="250"/>
      <c r="AN923" s="250"/>
      <c r="AO923" s="250"/>
      <c r="AP923" s="250"/>
      <c r="AQ923" s="250"/>
      <c r="AR923" s="250"/>
      <c r="AS923" s="250"/>
      <c r="AT923" s="250"/>
      <c r="AU923" s="250"/>
      <c r="AV923" s="124"/>
    </row>
    <row r="924" spans="2:48" s="475" customFormat="1" x14ac:dyDescent="0.2">
      <c r="B924" s="250"/>
      <c r="C924" s="250"/>
      <c r="D924" s="250"/>
      <c r="E924" s="250"/>
      <c r="F924" s="250"/>
      <c r="G924" s="250"/>
      <c r="H924" s="250"/>
      <c r="I924" s="250"/>
      <c r="J924" s="250"/>
      <c r="K924" s="250"/>
      <c r="L924" s="250"/>
      <c r="M924" s="250"/>
      <c r="N924" s="250"/>
      <c r="O924" s="250"/>
      <c r="P924" s="250"/>
      <c r="Q924" s="250"/>
      <c r="R924" s="250"/>
      <c r="S924" s="250"/>
      <c r="T924" s="250"/>
      <c r="U924" s="250"/>
      <c r="V924" s="250"/>
      <c r="W924" s="250"/>
      <c r="X924" s="250"/>
      <c r="Y924" s="250"/>
      <c r="Z924" s="250"/>
      <c r="AA924" s="250"/>
      <c r="AB924" s="250"/>
      <c r="AC924" s="250"/>
      <c r="AD924" s="250"/>
      <c r="AE924" s="250"/>
      <c r="AF924" s="250"/>
      <c r="AG924" s="250"/>
      <c r="AH924" s="250"/>
      <c r="AI924" s="250"/>
      <c r="AJ924" s="250"/>
      <c r="AK924" s="250"/>
      <c r="AL924" s="250"/>
      <c r="AM924" s="250"/>
      <c r="AN924" s="250"/>
      <c r="AO924" s="250"/>
      <c r="AP924" s="250"/>
      <c r="AQ924" s="250"/>
      <c r="AR924" s="250"/>
      <c r="AS924" s="250"/>
      <c r="AT924" s="250"/>
      <c r="AU924" s="250"/>
      <c r="AV924" s="124"/>
    </row>
    <row r="925" spans="2:48" s="475" customFormat="1" x14ac:dyDescent="0.2">
      <c r="B925" s="250"/>
      <c r="C925" s="250"/>
      <c r="D925" s="250"/>
      <c r="E925" s="250"/>
      <c r="F925" s="250"/>
      <c r="G925" s="250"/>
      <c r="H925" s="250"/>
      <c r="I925" s="250"/>
      <c r="J925" s="250"/>
      <c r="K925" s="250"/>
      <c r="L925" s="250"/>
      <c r="M925" s="250"/>
      <c r="N925" s="250"/>
      <c r="O925" s="250"/>
      <c r="P925" s="250"/>
      <c r="Q925" s="250"/>
      <c r="R925" s="250"/>
      <c r="S925" s="250"/>
      <c r="T925" s="250"/>
      <c r="U925" s="250"/>
      <c r="V925" s="250"/>
      <c r="W925" s="250"/>
      <c r="X925" s="250"/>
      <c r="Y925" s="250"/>
      <c r="Z925" s="250"/>
      <c r="AA925" s="250"/>
      <c r="AB925" s="250"/>
      <c r="AC925" s="250"/>
      <c r="AD925" s="250"/>
      <c r="AE925" s="250"/>
      <c r="AF925" s="250"/>
      <c r="AG925" s="250"/>
      <c r="AH925" s="250"/>
      <c r="AI925" s="250"/>
      <c r="AJ925" s="250"/>
      <c r="AK925" s="250"/>
      <c r="AL925" s="250"/>
      <c r="AM925" s="250"/>
      <c r="AN925" s="250"/>
      <c r="AO925" s="250"/>
      <c r="AP925" s="250"/>
      <c r="AQ925" s="250"/>
      <c r="AR925" s="250"/>
      <c r="AS925" s="250"/>
      <c r="AT925" s="250"/>
      <c r="AU925" s="250"/>
      <c r="AV925" s="124"/>
    </row>
    <row r="926" spans="2:48" s="475" customFormat="1" x14ac:dyDescent="0.2">
      <c r="B926" s="250"/>
      <c r="C926" s="250"/>
      <c r="D926" s="250"/>
      <c r="E926" s="250"/>
      <c r="F926" s="250"/>
      <c r="G926" s="250"/>
      <c r="H926" s="250"/>
      <c r="I926" s="250"/>
      <c r="J926" s="250"/>
      <c r="K926" s="250"/>
      <c r="L926" s="250"/>
      <c r="M926" s="250"/>
      <c r="N926" s="250"/>
      <c r="O926" s="250"/>
      <c r="P926" s="250"/>
      <c r="Q926" s="250"/>
      <c r="R926" s="250"/>
      <c r="S926" s="250"/>
      <c r="T926" s="250"/>
      <c r="U926" s="250"/>
      <c r="V926" s="250"/>
      <c r="W926" s="250"/>
      <c r="X926" s="250"/>
      <c r="Y926" s="250"/>
      <c r="Z926" s="250"/>
      <c r="AA926" s="250"/>
      <c r="AB926" s="250"/>
      <c r="AC926" s="250"/>
      <c r="AD926" s="250"/>
      <c r="AE926" s="250"/>
      <c r="AF926" s="250"/>
      <c r="AG926" s="250"/>
      <c r="AH926" s="250"/>
      <c r="AI926" s="250"/>
      <c r="AJ926" s="250"/>
      <c r="AK926" s="250"/>
      <c r="AL926" s="250"/>
      <c r="AM926" s="250"/>
      <c r="AN926" s="250"/>
      <c r="AO926" s="250"/>
      <c r="AP926" s="250"/>
      <c r="AQ926" s="250"/>
      <c r="AR926" s="250"/>
      <c r="AS926" s="250"/>
      <c r="AT926" s="250"/>
      <c r="AU926" s="250"/>
      <c r="AV926" s="124"/>
    </row>
    <row r="927" spans="2:48" s="475" customFormat="1" x14ac:dyDescent="0.2">
      <c r="B927" s="250"/>
      <c r="C927" s="250"/>
      <c r="D927" s="250"/>
      <c r="E927" s="250"/>
      <c r="F927" s="250"/>
      <c r="G927" s="250"/>
      <c r="H927" s="250"/>
      <c r="I927" s="250"/>
      <c r="J927" s="250"/>
      <c r="K927" s="250"/>
      <c r="L927" s="250"/>
      <c r="M927" s="250"/>
      <c r="N927" s="250"/>
      <c r="O927" s="250"/>
      <c r="P927" s="250"/>
      <c r="Q927" s="250"/>
      <c r="R927" s="250"/>
      <c r="S927" s="250"/>
      <c r="T927" s="250"/>
      <c r="U927" s="250"/>
      <c r="V927" s="250"/>
      <c r="W927" s="250"/>
      <c r="X927" s="250"/>
      <c r="Y927" s="250"/>
      <c r="Z927" s="250"/>
      <c r="AA927" s="250"/>
      <c r="AB927" s="250"/>
      <c r="AC927" s="250"/>
      <c r="AD927" s="250"/>
      <c r="AE927" s="250"/>
      <c r="AF927" s="250"/>
      <c r="AG927" s="250"/>
      <c r="AH927" s="250"/>
      <c r="AI927" s="250"/>
      <c r="AJ927" s="250"/>
      <c r="AK927" s="250"/>
      <c r="AL927" s="250"/>
      <c r="AM927" s="250"/>
      <c r="AN927" s="250"/>
      <c r="AO927" s="250"/>
      <c r="AP927" s="250"/>
      <c r="AQ927" s="250"/>
      <c r="AR927" s="250"/>
      <c r="AS927" s="250"/>
      <c r="AT927" s="250"/>
      <c r="AU927" s="250"/>
      <c r="AV927" s="124"/>
    </row>
    <row r="928" spans="2:48" s="475" customFormat="1" x14ac:dyDescent="0.2">
      <c r="B928" s="250"/>
      <c r="C928" s="250"/>
      <c r="D928" s="250"/>
      <c r="E928" s="250"/>
      <c r="F928" s="250"/>
      <c r="G928" s="250"/>
      <c r="H928" s="250"/>
      <c r="I928" s="250"/>
      <c r="J928" s="250"/>
      <c r="K928" s="250"/>
      <c r="L928" s="250"/>
      <c r="M928" s="250"/>
      <c r="N928" s="250"/>
      <c r="O928" s="250"/>
      <c r="P928" s="250"/>
      <c r="Q928" s="250"/>
      <c r="R928" s="250"/>
      <c r="S928" s="250"/>
      <c r="T928" s="250"/>
      <c r="U928" s="250"/>
      <c r="V928" s="250"/>
      <c r="W928" s="250"/>
      <c r="X928" s="250"/>
      <c r="Y928" s="250"/>
      <c r="Z928" s="250"/>
      <c r="AA928" s="250"/>
      <c r="AB928" s="250"/>
      <c r="AC928" s="250"/>
      <c r="AD928" s="250"/>
      <c r="AE928" s="250"/>
      <c r="AF928" s="250"/>
      <c r="AG928" s="250"/>
      <c r="AH928" s="250"/>
      <c r="AI928" s="250"/>
      <c r="AJ928" s="250"/>
      <c r="AK928" s="250"/>
      <c r="AL928" s="250"/>
      <c r="AM928" s="250"/>
      <c r="AN928" s="250"/>
      <c r="AO928" s="250"/>
      <c r="AP928" s="250"/>
      <c r="AQ928" s="250"/>
      <c r="AR928" s="250"/>
      <c r="AS928" s="250"/>
      <c r="AT928" s="250"/>
      <c r="AU928" s="250"/>
      <c r="AV928" s="124"/>
    </row>
    <row r="929" spans="2:48" s="475" customFormat="1" x14ac:dyDescent="0.2">
      <c r="B929" s="250"/>
      <c r="C929" s="250"/>
      <c r="D929" s="250"/>
      <c r="E929" s="250"/>
      <c r="F929" s="250"/>
      <c r="G929" s="250"/>
      <c r="H929" s="250"/>
      <c r="I929" s="250"/>
      <c r="J929" s="250"/>
      <c r="K929" s="250"/>
      <c r="L929" s="250"/>
      <c r="M929" s="250"/>
      <c r="N929" s="250"/>
      <c r="O929" s="250"/>
      <c r="P929" s="250"/>
      <c r="Q929" s="250"/>
      <c r="R929" s="250"/>
      <c r="S929" s="250"/>
      <c r="T929" s="250"/>
      <c r="U929" s="250"/>
      <c r="V929" s="250"/>
      <c r="W929" s="250"/>
      <c r="X929" s="250"/>
      <c r="Y929" s="250"/>
      <c r="Z929" s="250"/>
      <c r="AA929" s="250"/>
      <c r="AB929" s="250"/>
      <c r="AC929" s="250"/>
      <c r="AD929" s="250"/>
      <c r="AE929" s="250"/>
      <c r="AF929" s="250"/>
      <c r="AG929" s="250"/>
      <c r="AH929" s="250"/>
      <c r="AI929" s="250"/>
      <c r="AJ929" s="250"/>
      <c r="AK929" s="250"/>
      <c r="AL929" s="250"/>
      <c r="AM929" s="250"/>
      <c r="AN929" s="250"/>
      <c r="AO929" s="250"/>
      <c r="AP929" s="250"/>
      <c r="AQ929" s="250"/>
      <c r="AR929" s="250"/>
      <c r="AS929" s="250"/>
      <c r="AT929" s="250"/>
      <c r="AU929" s="250"/>
      <c r="AV929" s="124"/>
    </row>
    <row r="930" spans="2:48" s="475" customFormat="1" x14ac:dyDescent="0.2">
      <c r="B930" s="250"/>
      <c r="C930" s="250"/>
      <c r="D930" s="250"/>
      <c r="E930" s="250"/>
      <c r="F930" s="250"/>
      <c r="G930" s="250"/>
      <c r="H930" s="250"/>
      <c r="I930" s="250"/>
      <c r="J930" s="250"/>
      <c r="K930" s="250"/>
      <c r="L930" s="250"/>
      <c r="M930" s="250"/>
      <c r="N930" s="250"/>
      <c r="O930" s="250"/>
      <c r="P930" s="250"/>
      <c r="Q930" s="250"/>
      <c r="R930" s="250"/>
      <c r="S930" s="250"/>
      <c r="T930" s="250"/>
      <c r="U930" s="250"/>
      <c r="V930" s="250"/>
      <c r="W930" s="250"/>
      <c r="X930" s="250"/>
      <c r="Y930" s="250"/>
      <c r="Z930" s="250"/>
      <c r="AA930" s="250"/>
      <c r="AB930" s="250"/>
      <c r="AC930" s="250"/>
      <c r="AD930" s="250"/>
      <c r="AE930" s="250"/>
      <c r="AF930" s="250"/>
      <c r="AG930" s="250"/>
      <c r="AH930" s="250"/>
      <c r="AI930" s="250"/>
      <c r="AJ930" s="250"/>
      <c r="AK930" s="250"/>
      <c r="AL930" s="250"/>
      <c r="AM930" s="250"/>
      <c r="AN930" s="250"/>
      <c r="AO930" s="250"/>
      <c r="AP930" s="250"/>
      <c r="AQ930" s="250"/>
      <c r="AR930" s="250"/>
      <c r="AS930" s="250"/>
      <c r="AT930" s="250"/>
      <c r="AU930" s="250"/>
      <c r="AV930" s="124"/>
    </row>
    <row r="931" spans="2:48" s="475" customFormat="1" ht="13.5" thickBot="1" x14ac:dyDescent="0.25">
      <c r="B931" s="250"/>
      <c r="C931" s="250"/>
      <c r="D931" s="250"/>
      <c r="E931" s="250"/>
      <c r="F931" s="250"/>
      <c r="G931" s="250"/>
      <c r="H931" s="250"/>
      <c r="I931" s="250"/>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c r="AN931" s="250"/>
      <c r="AO931" s="250"/>
      <c r="AP931" s="250"/>
      <c r="AQ931" s="250"/>
      <c r="AR931" s="250"/>
      <c r="AS931" s="250"/>
      <c r="AT931" s="250"/>
      <c r="AU931" s="250"/>
      <c r="AV931" s="124"/>
    </row>
    <row r="932" spans="2:48" ht="15" customHeight="1" x14ac:dyDescent="0.2">
      <c r="B932" s="250"/>
      <c r="C932" s="1395" t="s">
        <v>773</v>
      </c>
      <c r="D932" s="1396"/>
      <c r="E932" s="1396"/>
      <c r="F932" s="1396"/>
      <c r="G932" s="1396"/>
      <c r="H932" s="1396"/>
      <c r="I932" s="1396"/>
      <c r="J932" s="1396"/>
      <c r="K932" s="1396"/>
      <c r="L932" s="1396"/>
      <c r="M932" s="1396"/>
      <c r="N932" s="1396"/>
      <c r="O932" s="1396"/>
      <c r="P932" s="1396"/>
      <c r="Q932" s="1397"/>
      <c r="R932" s="250"/>
      <c r="S932" s="250"/>
      <c r="T932" s="250"/>
      <c r="U932" s="250"/>
      <c r="V932" s="250"/>
      <c r="W932" s="250"/>
      <c r="X932" s="250"/>
      <c r="Y932" s="250"/>
      <c r="Z932" s="250"/>
      <c r="AA932" s="250"/>
      <c r="AB932" s="250"/>
      <c r="AC932" s="250"/>
      <c r="AD932" s="250"/>
      <c r="AE932" s="250"/>
      <c r="AF932" s="250"/>
      <c r="AG932" s="250"/>
      <c r="AH932" s="250"/>
      <c r="AI932" s="250"/>
      <c r="AJ932" s="250"/>
      <c r="AK932" s="250"/>
      <c r="AL932" s="250"/>
      <c r="AM932" s="250"/>
      <c r="AN932" s="250"/>
      <c r="AO932" s="250"/>
      <c r="AP932" s="250"/>
      <c r="AQ932" s="250"/>
      <c r="AR932" s="250"/>
      <c r="AS932" s="250"/>
      <c r="AT932" s="250"/>
      <c r="AU932" s="250"/>
      <c r="AV932" s="124"/>
    </row>
    <row r="933" spans="2:48" ht="15" customHeight="1" thickBot="1" x14ac:dyDescent="0.25">
      <c r="B933" s="250"/>
      <c r="C933" s="1398"/>
      <c r="D933" s="1399"/>
      <c r="E933" s="1399"/>
      <c r="F933" s="1399"/>
      <c r="G933" s="1399"/>
      <c r="H933" s="1399"/>
      <c r="I933" s="1399"/>
      <c r="J933" s="1399"/>
      <c r="K933" s="1399"/>
      <c r="L933" s="1399"/>
      <c r="M933" s="1399"/>
      <c r="N933" s="1399"/>
      <c r="O933" s="1399"/>
      <c r="P933" s="1399"/>
      <c r="Q933" s="1400"/>
      <c r="R933" s="250"/>
      <c r="S933" s="250"/>
      <c r="T933" s="250"/>
      <c r="U933" s="250"/>
      <c r="V933" s="250"/>
      <c r="W933" s="250"/>
      <c r="X933" s="250"/>
      <c r="Y933" s="250"/>
      <c r="Z933" s="250"/>
      <c r="AA933" s="250"/>
      <c r="AB933" s="250"/>
      <c r="AC933" s="250"/>
      <c r="AD933" s="250"/>
      <c r="AE933" s="250"/>
      <c r="AF933" s="250"/>
      <c r="AG933" s="250"/>
      <c r="AH933" s="250"/>
      <c r="AI933" s="250"/>
      <c r="AJ933" s="250"/>
      <c r="AK933" s="250"/>
      <c r="AL933" s="250"/>
      <c r="AM933" s="250"/>
      <c r="AN933" s="250"/>
      <c r="AO933" s="250"/>
      <c r="AP933" s="250"/>
      <c r="AQ933" s="250"/>
      <c r="AR933" s="250"/>
      <c r="AS933" s="250"/>
      <c r="AT933" s="250"/>
      <c r="AU933" s="250"/>
      <c r="AV933" s="124"/>
    </row>
    <row r="934" spans="2:48" ht="12.75" customHeight="1" x14ac:dyDescent="0.2">
      <c r="B934" s="250"/>
      <c r="C934" s="1201"/>
      <c r="D934" s="150"/>
      <c r="E934" s="150"/>
      <c r="F934" s="150"/>
      <c r="G934" s="150"/>
      <c r="H934" s="150"/>
      <c r="I934" s="150"/>
      <c r="J934" s="150"/>
      <c r="K934" s="150"/>
      <c r="L934" s="150"/>
      <c r="M934" s="150"/>
      <c r="N934" s="150"/>
      <c r="O934" s="150"/>
      <c r="P934" s="150"/>
      <c r="Q934" s="1202"/>
      <c r="R934" s="250"/>
      <c r="S934" s="250"/>
      <c r="T934" s="250"/>
      <c r="U934" s="250"/>
      <c r="V934" s="250"/>
      <c r="W934" s="250"/>
      <c r="X934" s="250"/>
      <c r="Y934" s="250"/>
      <c r="Z934" s="250"/>
      <c r="AA934" s="250"/>
      <c r="AB934" s="250"/>
      <c r="AC934" s="250"/>
      <c r="AD934" s="250"/>
      <c r="AE934" s="250"/>
      <c r="AF934" s="250"/>
      <c r="AG934" s="250"/>
      <c r="AH934" s="250"/>
      <c r="AI934" s="250"/>
      <c r="AJ934" s="250"/>
      <c r="AK934" s="250"/>
      <c r="AL934" s="250"/>
      <c r="AM934" s="250"/>
      <c r="AN934" s="250"/>
      <c r="AO934" s="250"/>
      <c r="AP934" s="250"/>
      <c r="AQ934" s="250"/>
      <c r="AR934" s="250"/>
      <c r="AS934" s="250"/>
      <c r="AT934" s="250"/>
      <c r="AU934" s="250"/>
      <c r="AV934" s="124"/>
    </row>
    <row r="935" spans="2:48" ht="18" x14ac:dyDescent="0.25">
      <c r="B935" s="250"/>
      <c r="C935" s="1201"/>
      <c r="D935" s="150"/>
      <c r="E935" s="150"/>
      <c r="F935" s="153" t="s">
        <v>738</v>
      </c>
      <c r="G935" s="150"/>
      <c r="H935" s="150"/>
      <c r="I935" s="150"/>
      <c r="J935" s="150"/>
      <c r="K935" s="150"/>
      <c r="L935" s="150"/>
      <c r="M935" s="150"/>
      <c r="N935" s="150"/>
      <c r="O935" s="150"/>
      <c r="P935" s="150"/>
      <c r="Q935" s="1202"/>
      <c r="R935" s="250"/>
      <c r="S935" s="250"/>
      <c r="T935" s="250"/>
      <c r="U935" s="250"/>
      <c r="V935" s="250"/>
      <c r="W935" s="250"/>
      <c r="X935" s="250"/>
      <c r="Y935" s="250"/>
      <c r="Z935" s="250"/>
      <c r="AA935" s="250"/>
      <c r="AB935" s="250"/>
      <c r="AC935" s="250"/>
      <c r="AD935" s="250"/>
      <c r="AE935" s="250"/>
      <c r="AF935" s="250"/>
      <c r="AG935" s="250"/>
      <c r="AH935" s="250"/>
      <c r="AI935" s="250"/>
      <c r="AJ935" s="250"/>
      <c r="AK935" s="250"/>
      <c r="AL935" s="250"/>
      <c r="AM935" s="250"/>
      <c r="AN935" s="250"/>
      <c r="AO935" s="250"/>
      <c r="AP935" s="250"/>
      <c r="AQ935" s="250"/>
      <c r="AR935" s="250"/>
      <c r="AS935" s="250"/>
      <c r="AT935" s="250"/>
      <c r="AU935" s="250"/>
      <c r="AV935" s="124"/>
    </row>
    <row r="936" spans="2:48" ht="18" x14ac:dyDescent="0.25">
      <c r="B936" s="250"/>
      <c r="C936" s="1203"/>
      <c r="D936" s="154"/>
      <c r="E936" s="153"/>
      <c r="F936" s="159" t="s">
        <v>200</v>
      </c>
      <c r="G936" s="154"/>
      <c r="H936" s="154"/>
      <c r="I936" s="154"/>
      <c r="J936" s="154"/>
      <c r="K936" s="154"/>
      <c r="L936" s="154"/>
      <c r="M936" s="154"/>
      <c r="N936" s="154"/>
      <c r="O936" s="154"/>
      <c r="P936" s="154"/>
      <c r="Q936" s="1208"/>
      <c r="R936" s="250"/>
      <c r="S936" s="250"/>
      <c r="T936" s="250"/>
      <c r="U936" s="250"/>
      <c r="V936" s="250"/>
      <c r="W936" s="250"/>
      <c r="X936" s="250"/>
      <c r="Y936" s="250"/>
      <c r="Z936" s="250"/>
      <c r="AA936" s="250"/>
      <c r="AB936" s="250"/>
      <c r="AC936" s="250"/>
      <c r="AD936" s="250"/>
      <c r="AE936" s="250"/>
      <c r="AF936" s="250"/>
      <c r="AG936" s="250"/>
      <c r="AH936" s="250"/>
      <c r="AI936" s="250"/>
      <c r="AJ936" s="250"/>
      <c r="AK936" s="250"/>
      <c r="AL936" s="250"/>
      <c r="AM936" s="250"/>
      <c r="AN936" s="250"/>
      <c r="AO936" s="250"/>
      <c r="AP936" s="250"/>
      <c r="AQ936" s="250"/>
      <c r="AR936" s="250"/>
      <c r="AS936" s="250"/>
      <c r="AT936" s="250"/>
      <c r="AU936" s="250"/>
      <c r="AV936" s="124"/>
    </row>
    <row r="937" spans="2:48" ht="15" x14ac:dyDescent="0.2">
      <c r="B937" s="250"/>
      <c r="C937" s="1203"/>
      <c r="D937" s="154"/>
      <c r="E937" s="156"/>
      <c r="F937" s="156" t="s">
        <v>504</v>
      </c>
      <c r="G937" s="154"/>
      <c r="H937" s="154"/>
      <c r="I937" s="154"/>
      <c r="J937" s="154"/>
      <c r="K937" s="154"/>
      <c r="L937" s="154"/>
      <c r="M937" s="154"/>
      <c r="N937" s="154"/>
      <c r="O937" s="154"/>
      <c r="P937" s="154"/>
      <c r="Q937" s="1208"/>
      <c r="R937" s="250"/>
      <c r="S937" s="250"/>
      <c r="T937" s="250"/>
      <c r="U937" s="250"/>
      <c r="V937" s="250"/>
      <c r="W937" s="250"/>
      <c r="X937" s="250"/>
      <c r="Y937" s="250"/>
      <c r="Z937" s="250"/>
      <c r="AA937" s="250"/>
      <c r="AB937" s="250"/>
      <c r="AC937" s="250"/>
      <c r="AD937" s="250"/>
      <c r="AE937" s="250"/>
      <c r="AF937" s="250"/>
      <c r="AG937" s="250"/>
      <c r="AH937" s="250"/>
      <c r="AI937" s="250"/>
      <c r="AJ937" s="250"/>
      <c r="AK937" s="250"/>
      <c r="AL937" s="250"/>
      <c r="AM937" s="250"/>
      <c r="AN937" s="250"/>
      <c r="AO937" s="250"/>
      <c r="AP937" s="250"/>
      <c r="AQ937" s="250"/>
      <c r="AR937" s="250"/>
      <c r="AS937" s="250"/>
      <c r="AT937" s="250"/>
      <c r="AU937" s="250"/>
      <c r="AV937" s="124"/>
    </row>
    <row r="938" spans="2:48" ht="9.9499999999999993" customHeight="1" x14ac:dyDescent="0.2">
      <c r="B938" s="250"/>
      <c r="C938" s="1203"/>
      <c r="D938" s="154"/>
      <c r="E938" s="156"/>
      <c r="F938" s="163"/>
      <c r="G938" s="154"/>
      <c r="H938" s="154"/>
      <c r="I938" s="154"/>
      <c r="J938" s="154"/>
      <c r="K938" s="154"/>
      <c r="L938" s="154"/>
      <c r="M938" s="154"/>
      <c r="N938" s="154"/>
      <c r="O938" s="154"/>
      <c r="P938" s="154"/>
      <c r="Q938" s="1208"/>
      <c r="R938" s="250"/>
      <c r="S938" s="250"/>
      <c r="T938" s="250"/>
      <c r="U938" s="250"/>
      <c r="V938" s="250"/>
      <c r="W938" s="250"/>
      <c r="X938" s="250"/>
      <c r="Y938" s="250"/>
      <c r="Z938" s="250"/>
      <c r="AA938" s="250"/>
      <c r="AB938" s="250"/>
      <c r="AC938" s="250"/>
      <c r="AD938" s="250"/>
      <c r="AE938" s="250"/>
      <c r="AF938" s="250"/>
      <c r="AG938" s="250"/>
      <c r="AH938" s="250"/>
      <c r="AI938" s="250"/>
      <c r="AJ938" s="250"/>
      <c r="AK938" s="250"/>
      <c r="AL938" s="250"/>
      <c r="AM938" s="250"/>
      <c r="AN938" s="250"/>
      <c r="AO938" s="250"/>
      <c r="AP938" s="250"/>
      <c r="AQ938" s="250"/>
      <c r="AR938" s="250"/>
      <c r="AS938" s="250"/>
      <c r="AT938" s="250"/>
      <c r="AU938" s="250"/>
      <c r="AV938" s="124"/>
    </row>
    <row r="939" spans="2:48" ht="18" x14ac:dyDescent="0.25">
      <c r="B939" s="250"/>
      <c r="C939" s="1203"/>
      <c r="D939" s="154"/>
      <c r="E939" s="156"/>
      <c r="F939" s="1288" t="s">
        <v>505</v>
      </c>
      <c r="G939" s="1289"/>
      <c r="H939" s="1289"/>
      <c r="I939" s="1289"/>
      <c r="J939" s="1289"/>
      <c r="K939" s="1289"/>
      <c r="L939" s="1289"/>
      <c r="M939" s="1289"/>
      <c r="N939" s="154"/>
      <c r="O939" s="154"/>
      <c r="P939" s="154"/>
      <c r="Q939" s="1208"/>
      <c r="R939" s="250"/>
      <c r="S939" s="250"/>
      <c r="T939" s="250"/>
      <c r="U939" s="250"/>
      <c r="V939" s="250"/>
      <c r="W939" s="250"/>
      <c r="X939" s="250"/>
      <c r="Y939" s="250"/>
      <c r="Z939" s="250"/>
      <c r="AA939" s="250"/>
      <c r="AB939" s="250"/>
      <c r="AC939" s="250"/>
      <c r="AD939" s="250"/>
      <c r="AE939" s="250"/>
      <c r="AF939" s="250"/>
      <c r="AG939" s="250"/>
      <c r="AH939" s="250"/>
      <c r="AI939" s="250"/>
      <c r="AJ939" s="250"/>
      <c r="AK939" s="250"/>
      <c r="AL939" s="250"/>
      <c r="AM939" s="250"/>
      <c r="AN939" s="250"/>
      <c r="AO939" s="250"/>
      <c r="AP939" s="250"/>
      <c r="AQ939" s="250"/>
      <c r="AR939" s="250"/>
      <c r="AS939" s="250"/>
      <c r="AT939" s="250"/>
      <c r="AU939" s="250"/>
      <c r="AV939" s="124"/>
    </row>
    <row r="940" spans="2:48" ht="15" x14ac:dyDescent="0.2">
      <c r="B940" s="250"/>
      <c r="C940" s="1203"/>
      <c r="D940" s="154"/>
      <c r="E940" s="156"/>
      <c r="F940" s="163" t="s">
        <v>506</v>
      </c>
      <c r="G940" s="154"/>
      <c r="H940" s="154"/>
      <c r="I940" s="154"/>
      <c r="J940" s="154"/>
      <c r="K940" s="154"/>
      <c r="L940" s="154"/>
      <c r="M940" s="154"/>
      <c r="N940" s="154"/>
      <c r="O940" s="154"/>
      <c r="P940" s="154"/>
      <c r="Q940" s="1208"/>
      <c r="R940" s="250"/>
      <c r="S940" s="250"/>
      <c r="T940" s="250"/>
      <c r="U940" s="250"/>
      <c r="V940" s="250"/>
      <c r="W940" s="250"/>
      <c r="X940" s="250"/>
      <c r="Y940" s="250"/>
      <c r="Z940" s="250"/>
      <c r="AA940" s="250"/>
      <c r="AB940" s="250"/>
      <c r="AC940" s="250"/>
      <c r="AD940" s="250"/>
      <c r="AE940" s="250"/>
      <c r="AF940" s="250"/>
      <c r="AG940" s="250"/>
      <c r="AH940" s="250"/>
      <c r="AI940" s="250"/>
      <c r="AJ940" s="250"/>
      <c r="AK940" s="250"/>
      <c r="AL940" s="250"/>
      <c r="AM940" s="250"/>
      <c r="AN940" s="250"/>
      <c r="AO940" s="250"/>
      <c r="AP940" s="250"/>
      <c r="AQ940" s="250"/>
      <c r="AR940" s="250"/>
      <c r="AS940" s="250"/>
      <c r="AT940" s="250"/>
      <c r="AU940" s="250"/>
      <c r="AV940" s="124"/>
    </row>
    <row r="941" spans="2:48" ht="15" x14ac:dyDescent="0.2">
      <c r="B941" s="250"/>
      <c r="C941" s="1203"/>
      <c r="D941" s="154"/>
      <c r="E941" s="156"/>
      <c r="F941" s="163" t="s">
        <v>507</v>
      </c>
      <c r="G941" s="154"/>
      <c r="H941" s="154"/>
      <c r="I941" s="154"/>
      <c r="J941" s="154"/>
      <c r="K941" s="154"/>
      <c r="L941" s="154"/>
      <c r="M941" s="154"/>
      <c r="N941" s="154"/>
      <c r="O941" s="154"/>
      <c r="P941" s="154"/>
      <c r="Q941" s="1208"/>
      <c r="R941" s="250"/>
      <c r="S941" s="250"/>
      <c r="T941" s="250"/>
      <c r="U941" s="250"/>
      <c r="V941" s="250"/>
      <c r="W941" s="250"/>
      <c r="X941" s="250"/>
      <c r="Y941" s="250"/>
      <c r="Z941" s="250"/>
      <c r="AA941" s="250"/>
      <c r="AB941" s="250"/>
      <c r="AC941" s="250"/>
      <c r="AD941" s="250"/>
      <c r="AE941" s="250"/>
      <c r="AF941" s="250"/>
      <c r="AG941" s="250"/>
      <c r="AH941" s="250"/>
      <c r="AI941" s="250"/>
      <c r="AJ941" s="250"/>
      <c r="AK941" s="250"/>
      <c r="AL941" s="250"/>
      <c r="AM941" s="250"/>
      <c r="AN941" s="250"/>
      <c r="AO941" s="250"/>
      <c r="AP941" s="250"/>
      <c r="AQ941" s="250"/>
      <c r="AR941" s="250"/>
      <c r="AS941" s="250"/>
      <c r="AT941" s="250"/>
      <c r="AU941" s="250"/>
      <c r="AV941" s="124"/>
    </row>
    <row r="942" spans="2:48" ht="5.0999999999999996" customHeight="1" x14ac:dyDescent="0.2">
      <c r="B942" s="250"/>
      <c r="C942" s="1203"/>
      <c r="D942" s="154"/>
      <c r="E942" s="156"/>
      <c r="F942" s="163"/>
      <c r="G942" s="154"/>
      <c r="H942" s="154"/>
      <c r="I942" s="154"/>
      <c r="J942" s="154"/>
      <c r="K942" s="154"/>
      <c r="L942" s="154"/>
      <c r="M942" s="154"/>
      <c r="N942" s="154"/>
      <c r="O942" s="154"/>
      <c r="P942" s="154"/>
      <c r="Q942" s="1208"/>
      <c r="R942" s="250"/>
      <c r="S942" s="250"/>
      <c r="T942" s="250"/>
      <c r="U942" s="250"/>
      <c r="V942" s="250"/>
      <c r="W942" s="250"/>
      <c r="X942" s="250"/>
      <c r="Y942" s="250"/>
      <c r="Z942" s="250"/>
      <c r="AA942" s="250"/>
      <c r="AB942" s="250"/>
      <c r="AC942" s="250"/>
      <c r="AD942" s="250"/>
      <c r="AE942" s="250"/>
      <c r="AF942" s="250"/>
      <c r="AG942" s="250"/>
      <c r="AH942" s="250"/>
      <c r="AI942" s="250"/>
      <c r="AJ942" s="250"/>
      <c r="AK942" s="250"/>
      <c r="AL942" s="250"/>
      <c r="AM942" s="250"/>
      <c r="AN942" s="250"/>
      <c r="AO942" s="250"/>
      <c r="AP942" s="250"/>
      <c r="AQ942" s="250"/>
      <c r="AR942" s="250"/>
      <c r="AS942" s="250"/>
      <c r="AT942" s="250"/>
      <c r="AU942" s="250"/>
      <c r="AV942" s="124"/>
    </row>
    <row r="943" spans="2:48" ht="18" x14ac:dyDescent="0.25">
      <c r="B943" s="250"/>
      <c r="C943" s="1203"/>
      <c r="D943" s="154"/>
      <c r="E943" s="156"/>
      <c r="F943" s="1288" t="s">
        <v>508</v>
      </c>
      <c r="G943" s="1289"/>
      <c r="H943" s="1289"/>
      <c r="I943" s="1289"/>
      <c r="J943" s="1289"/>
      <c r="K943" s="1289"/>
      <c r="L943" s="1289"/>
      <c r="M943" s="1289"/>
      <c r="N943" s="154"/>
      <c r="O943" s="154"/>
      <c r="P943" s="154"/>
      <c r="Q943" s="1208"/>
      <c r="R943" s="250"/>
      <c r="S943" s="250"/>
      <c r="T943" s="250"/>
      <c r="U943" s="250"/>
      <c r="V943" s="250"/>
      <c r="W943" s="250"/>
      <c r="X943" s="250"/>
      <c r="Y943" s="250"/>
      <c r="Z943" s="250"/>
      <c r="AA943" s="250"/>
      <c r="AB943" s="250"/>
      <c r="AC943" s="250"/>
      <c r="AD943" s="250"/>
      <c r="AE943" s="250"/>
      <c r="AF943" s="250"/>
      <c r="AG943" s="250"/>
      <c r="AH943" s="250"/>
      <c r="AI943" s="250"/>
      <c r="AJ943" s="250"/>
      <c r="AK943" s="250"/>
      <c r="AL943" s="250"/>
      <c r="AM943" s="250"/>
      <c r="AN943" s="250"/>
      <c r="AO943" s="250"/>
      <c r="AP943" s="250"/>
      <c r="AQ943" s="250"/>
      <c r="AR943" s="250"/>
      <c r="AS943" s="250"/>
      <c r="AT943" s="250"/>
      <c r="AU943" s="250"/>
      <c r="AV943" s="124"/>
    </row>
    <row r="944" spans="2:48" ht="15" x14ac:dyDescent="0.2">
      <c r="B944" s="250"/>
      <c r="C944" s="1203"/>
      <c r="D944" s="154"/>
      <c r="E944" s="156"/>
      <c r="F944" s="163" t="s">
        <v>506</v>
      </c>
      <c r="G944" s="154"/>
      <c r="H944" s="154"/>
      <c r="I944" s="154"/>
      <c r="J944" s="154"/>
      <c r="K944" s="154"/>
      <c r="L944" s="154"/>
      <c r="M944" s="154"/>
      <c r="N944" s="154"/>
      <c r="O944" s="154"/>
      <c r="P944" s="154"/>
      <c r="Q944" s="1208"/>
      <c r="R944" s="250"/>
      <c r="S944" s="250"/>
      <c r="T944" s="250"/>
      <c r="U944" s="250"/>
      <c r="V944" s="250"/>
      <c r="W944" s="250"/>
      <c r="X944" s="250"/>
      <c r="Y944" s="250"/>
      <c r="Z944" s="250"/>
      <c r="AA944" s="250"/>
      <c r="AB944" s="250"/>
      <c r="AC944" s="250"/>
      <c r="AD944" s="250"/>
      <c r="AE944" s="250"/>
      <c r="AF944" s="250"/>
      <c r="AG944" s="250"/>
      <c r="AH944" s="250"/>
      <c r="AI944" s="250"/>
      <c r="AJ944" s="250"/>
      <c r="AK944" s="250"/>
      <c r="AL944" s="250"/>
      <c r="AM944" s="250"/>
      <c r="AN944" s="250"/>
      <c r="AO944" s="250"/>
      <c r="AP944" s="250"/>
      <c r="AQ944" s="250"/>
      <c r="AR944" s="250"/>
      <c r="AS944" s="250"/>
      <c r="AT944" s="250"/>
      <c r="AU944" s="250"/>
      <c r="AV944" s="124"/>
    </row>
    <row r="945" spans="2:48" ht="15" x14ac:dyDescent="0.2">
      <c r="B945" s="250"/>
      <c r="C945" s="1203"/>
      <c r="D945" s="154"/>
      <c r="E945" s="156"/>
      <c r="F945" s="163" t="s">
        <v>507</v>
      </c>
      <c r="G945" s="154"/>
      <c r="H945" s="154"/>
      <c r="I945" s="154"/>
      <c r="J945" s="154"/>
      <c r="K945" s="154"/>
      <c r="L945" s="154"/>
      <c r="M945" s="154"/>
      <c r="N945" s="154"/>
      <c r="O945" s="154"/>
      <c r="P945" s="154"/>
      <c r="Q945" s="1208"/>
      <c r="R945" s="250"/>
      <c r="S945" s="250"/>
      <c r="T945" s="250"/>
      <c r="U945" s="250"/>
      <c r="V945" s="250"/>
      <c r="W945" s="250"/>
      <c r="X945" s="250"/>
      <c r="Y945" s="250"/>
      <c r="Z945" s="250"/>
      <c r="AA945" s="250"/>
      <c r="AB945" s="250"/>
      <c r="AC945" s="250"/>
      <c r="AD945" s="250"/>
      <c r="AE945" s="250"/>
      <c r="AF945" s="250"/>
      <c r="AG945" s="250"/>
      <c r="AH945" s="250"/>
      <c r="AI945" s="250"/>
      <c r="AJ945" s="250"/>
      <c r="AK945" s="250"/>
      <c r="AL945" s="250"/>
      <c r="AM945" s="250"/>
      <c r="AN945" s="250"/>
      <c r="AO945" s="250"/>
      <c r="AP945" s="250"/>
      <c r="AQ945" s="250"/>
      <c r="AR945" s="250"/>
      <c r="AS945" s="250"/>
      <c r="AT945" s="250"/>
      <c r="AU945" s="250"/>
      <c r="AV945" s="124"/>
    </row>
    <row r="946" spans="2:48" ht="5.0999999999999996" customHeight="1" x14ac:dyDescent="0.2">
      <c r="B946" s="250"/>
      <c r="C946" s="1203"/>
      <c r="D946" s="154"/>
      <c r="E946" s="156"/>
      <c r="F946" s="163"/>
      <c r="G946" s="154"/>
      <c r="H946" s="154"/>
      <c r="I946" s="154"/>
      <c r="J946" s="154"/>
      <c r="K946" s="154"/>
      <c r="L946" s="154"/>
      <c r="M946" s="154"/>
      <c r="N946" s="154"/>
      <c r="O946" s="154"/>
      <c r="P946" s="154"/>
      <c r="Q946" s="1208"/>
      <c r="R946" s="250"/>
      <c r="S946" s="250"/>
      <c r="T946" s="250"/>
      <c r="U946" s="250"/>
      <c r="V946" s="250"/>
      <c r="W946" s="250"/>
      <c r="X946" s="250"/>
      <c r="Y946" s="250"/>
      <c r="Z946" s="250"/>
      <c r="AA946" s="250"/>
      <c r="AB946" s="250"/>
      <c r="AC946" s="250"/>
      <c r="AD946" s="250"/>
      <c r="AE946" s="250"/>
      <c r="AF946" s="250"/>
      <c r="AG946" s="250"/>
      <c r="AH946" s="250"/>
      <c r="AI946" s="250"/>
      <c r="AJ946" s="250"/>
      <c r="AK946" s="250"/>
      <c r="AL946" s="250"/>
      <c r="AM946" s="250"/>
      <c r="AN946" s="250"/>
      <c r="AO946" s="250"/>
      <c r="AP946" s="250"/>
      <c r="AQ946" s="250"/>
      <c r="AR946" s="250"/>
      <c r="AS946" s="250"/>
      <c r="AT946" s="250"/>
      <c r="AU946" s="250"/>
      <c r="AV946" s="124"/>
    </row>
    <row r="947" spans="2:48" ht="18" x14ac:dyDescent="0.25">
      <c r="B947" s="250"/>
      <c r="C947" s="1203"/>
      <c r="D947" s="154"/>
      <c r="E947" s="156"/>
      <c r="F947" s="1288" t="s">
        <v>510</v>
      </c>
      <c r="G947" s="1289"/>
      <c r="H947" s="1289"/>
      <c r="I947" s="1289"/>
      <c r="J947" s="1289"/>
      <c r="K947" s="1289"/>
      <c r="L947" s="1289"/>
      <c r="M947" s="1289"/>
      <c r="N947" s="154"/>
      <c r="O947" s="154"/>
      <c r="P947" s="154"/>
      <c r="Q947" s="1208"/>
      <c r="R947" s="250"/>
      <c r="S947" s="250"/>
      <c r="T947" s="250"/>
      <c r="U947" s="250"/>
      <c r="V947" s="250"/>
      <c r="W947" s="250"/>
      <c r="X947" s="250"/>
      <c r="Y947" s="250"/>
      <c r="Z947" s="250"/>
      <c r="AA947" s="250"/>
      <c r="AB947" s="250"/>
      <c r="AC947" s="250"/>
      <c r="AD947" s="250"/>
      <c r="AE947" s="250"/>
      <c r="AF947" s="250"/>
      <c r="AG947" s="250"/>
      <c r="AH947" s="250"/>
      <c r="AI947" s="250"/>
      <c r="AJ947" s="250"/>
      <c r="AK947" s="250"/>
      <c r="AL947" s="250"/>
      <c r="AM947" s="250"/>
      <c r="AN947" s="250"/>
      <c r="AO947" s="250"/>
      <c r="AP947" s="250"/>
      <c r="AQ947" s="250"/>
      <c r="AR947" s="250"/>
      <c r="AS947" s="250"/>
      <c r="AT947" s="250"/>
      <c r="AU947" s="250"/>
      <c r="AV947" s="124"/>
    </row>
    <row r="948" spans="2:48" ht="15" x14ac:dyDescent="0.2">
      <c r="B948" s="250"/>
      <c r="C948" s="1203"/>
      <c r="D948" s="154"/>
      <c r="E948" s="156"/>
      <c r="F948" s="163" t="s">
        <v>509</v>
      </c>
      <c r="G948" s="154"/>
      <c r="H948" s="154"/>
      <c r="I948" s="154"/>
      <c r="J948" s="154"/>
      <c r="K948" s="154"/>
      <c r="L948" s="154"/>
      <c r="M948" s="154"/>
      <c r="N948" s="154"/>
      <c r="O948" s="154"/>
      <c r="P948" s="154"/>
      <c r="Q948" s="1208"/>
      <c r="R948" s="250"/>
      <c r="S948" s="250"/>
      <c r="T948" s="250"/>
      <c r="U948" s="250"/>
      <c r="V948" s="250"/>
      <c r="W948" s="250"/>
      <c r="X948" s="250"/>
      <c r="Y948" s="250"/>
      <c r="Z948" s="250"/>
      <c r="AA948" s="250"/>
      <c r="AB948" s="250"/>
      <c r="AC948" s="250"/>
      <c r="AD948" s="250"/>
      <c r="AE948" s="250"/>
      <c r="AF948" s="250"/>
      <c r="AG948" s="250"/>
      <c r="AH948" s="250"/>
      <c r="AI948" s="250"/>
      <c r="AJ948" s="250"/>
      <c r="AK948" s="250"/>
      <c r="AL948" s="250"/>
      <c r="AM948" s="250"/>
      <c r="AN948" s="250"/>
      <c r="AO948" s="250"/>
      <c r="AP948" s="250"/>
      <c r="AQ948" s="250"/>
      <c r="AR948" s="250"/>
      <c r="AS948" s="250"/>
      <c r="AT948" s="250"/>
      <c r="AU948" s="250"/>
      <c r="AV948" s="124"/>
    </row>
    <row r="949" spans="2:48" ht="5.0999999999999996" customHeight="1" x14ac:dyDescent="0.2">
      <c r="B949" s="250"/>
      <c r="C949" s="1203"/>
      <c r="D949" s="154"/>
      <c r="E949" s="156"/>
      <c r="F949" s="163"/>
      <c r="G949" s="154"/>
      <c r="H949" s="154"/>
      <c r="I949" s="154"/>
      <c r="J949" s="154"/>
      <c r="K949" s="154"/>
      <c r="L949" s="154"/>
      <c r="M949" s="154"/>
      <c r="N949" s="154"/>
      <c r="O949" s="154"/>
      <c r="P949" s="154"/>
      <c r="Q949" s="1208"/>
      <c r="R949" s="250"/>
      <c r="S949" s="250"/>
      <c r="T949" s="250"/>
      <c r="U949" s="250"/>
      <c r="V949" s="250"/>
      <c r="W949" s="250"/>
      <c r="X949" s="250"/>
      <c r="Y949" s="250"/>
      <c r="Z949" s="250"/>
      <c r="AA949" s="250"/>
      <c r="AB949" s="250"/>
      <c r="AC949" s="250"/>
      <c r="AD949" s="250"/>
      <c r="AE949" s="250"/>
      <c r="AF949" s="250"/>
      <c r="AG949" s="250"/>
      <c r="AH949" s="250"/>
      <c r="AI949" s="250"/>
      <c r="AJ949" s="250"/>
      <c r="AK949" s="250"/>
      <c r="AL949" s="250"/>
      <c r="AM949" s="250"/>
      <c r="AN949" s="250"/>
      <c r="AO949" s="250"/>
      <c r="AP949" s="250"/>
      <c r="AQ949" s="250"/>
      <c r="AR949" s="250"/>
      <c r="AS949" s="250"/>
      <c r="AT949" s="250"/>
      <c r="AU949" s="250"/>
      <c r="AV949" s="124"/>
    </row>
    <row r="950" spans="2:48" ht="18" x14ac:dyDescent="0.25">
      <c r="B950" s="250"/>
      <c r="C950" s="1203"/>
      <c r="D950" s="154"/>
      <c r="E950" s="156"/>
      <c r="F950" s="1288" t="s">
        <v>511</v>
      </c>
      <c r="G950" s="1289"/>
      <c r="H950" s="1289"/>
      <c r="I950" s="1289"/>
      <c r="J950" s="1289"/>
      <c r="K950" s="1289"/>
      <c r="L950" s="1289"/>
      <c r="M950" s="1289"/>
      <c r="N950" s="154"/>
      <c r="O950" s="154"/>
      <c r="P950" s="154"/>
      <c r="Q950" s="1208"/>
      <c r="R950" s="250"/>
      <c r="S950" s="250"/>
      <c r="T950" s="250"/>
      <c r="U950" s="250"/>
      <c r="V950" s="250"/>
      <c r="W950" s="250"/>
      <c r="X950" s="250"/>
      <c r="Y950" s="250"/>
      <c r="Z950" s="250"/>
      <c r="AA950" s="250"/>
      <c r="AB950" s="250"/>
      <c r="AC950" s="250"/>
      <c r="AD950" s="250"/>
      <c r="AE950" s="250"/>
      <c r="AF950" s="250"/>
      <c r="AG950" s="250"/>
      <c r="AH950" s="250"/>
      <c r="AI950" s="250"/>
      <c r="AJ950" s="250"/>
      <c r="AK950" s="250"/>
      <c r="AL950" s="250"/>
      <c r="AM950" s="250"/>
      <c r="AN950" s="250"/>
      <c r="AO950" s="250"/>
      <c r="AP950" s="250"/>
      <c r="AQ950" s="250"/>
      <c r="AR950" s="250"/>
      <c r="AS950" s="250"/>
      <c r="AT950" s="250"/>
      <c r="AU950" s="250"/>
      <c r="AV950" s="124"/>
    </row>
    <row r="951" spans="2:48" ht="15" x14ac:dyDescent="0.2">
      <c r="B951" s="250"/>
      <c r="C951" s="1203"/>
      <c r="D951" s="154"/>
      <c r="E951" s="156"/>
      <c r="F951" s="163" t="s">
        <v>512</v>
      </c>
      <c r="G951" s="154"/>
      <c r="H951" s="154"/>
      <c r="I951" s="154"/>
      <c r="J951" s="154"/>
      <c r="K951" s="154"/>
      <c r="L951" s="154"/>
      <c r="M951" s="154"/>
      <c r="N951" s="154"/>
      <c r="O951" s="154"/>
      <c r="P951" s="154"/>
      <c r="Q951" s="1208"/>
      <c r="R951" s="250"/>
      <c r="S951" s="250"/>
      <c r="T951" s="250"/>
      <c r="U951" s="250"/>
      <c r="V951" s="250"/>
      <c r="W951" s="250"/>
      <c r="X951" s="250"/>
      <c r="Y951" s="250"/>
      <c r="Z951" s="250"/>
      <c r="AA951" s="250"/>
      <c r="AB951" s="250"/>
      <c r="AC951" s="250"/>
      <c r="AD951" s="250"/>
      <c r="AE951" s="250"/>
      <c r="AF951" s="250"/>
      <c r="AG951" s="250"/>
      <c r="AH951" s="250"/>
      <c r="AI951" s="250"/>
      <c r="AJ951" s="250"/>
      <c r="AK951" s="250"/>
      <c r="AL951" s="250"/>
      <c r="AM951" s="250"/>
      <c r="AN951" s="250"/>
      <c r="AO951" s="250"/>
      <c r="AP951" s="250"/>
      <c r="AQ951" s="250"/>
      <c r="AR951" s="250"/>
      <c r="AS951" s="250"/>
      <c r="AT951" s="250"/>
      <c r="AU951" s="250"/>
      <c r="AV951" s="124"/>
    </row>
    <row r="952" spans="2:48" ht="15" x14ac:dyDescent="0.2">
      <c r="B952" s="250"/>
      <c r="C952" s="1203"/>
      <c r="D952" s="154"/>
      <c r="E952" s="156"/>
      <c r="F952" s="163" t="s">
        <v>507</v>
      </c>
      <c r="G952" s="154"/>
      <c r="H952" s="154"/>
      <c r="I952" s="154"/>
      <c r="J952" s="154"/>
      <c r="K952" s="154"/>
      <c r="L952" s="154"/>
      <c r="M952" s="154"/>
      <c r="N952" s="154"/>
      <c r="O952" s="154"/>
      <c r="P952" s="154"/>
      <c r="Q952" s="1208"/>
      <c r="R952" s="250"/>
      <c r="S952" s="250"/>
      <c r="T952" s="250"/>
      <c r="U952" s="250"/>
      <c r="V952" s="250"/>
      <c r="W952" s="250"/>
      <c r="X952" s="250"/>
      <c r="Y952" s="250"/>
      <c r="Z952" s="250"/>
      <c r="AA952" s="250"/>
      <c r="AB952" s="250"/>
      <c r="AC952" s="250"/>
      <c r="AD952" s="250"/>
      <c r="AE952" s="250"/>
      <c r="AF952" s="250"/>
      <c r="AG952" s="250"/>
      <c r="AH952" s="250"/>
      <c r="AI952" s="250"/>
      <c r="AJ952" s="250"/>
      <c r="AK952" s="250"/>
      <c r="AL952" s="250"/>
      <c r="AM952" s="250"/>
      <c r="AN952" s="250"/>
      <c r="AO952" s="250"/>
      <c r="AP952" s="250"/>
      <c r="AQ952" s="250"/>
      <c r="AR952" s="250"/>
      <c r="AS952" s="250"/>
      <c r="AT952" s="250"/>
      <c r="AU952" s="250"/>
      <c r="AV952" s="124"/>
    </row>
    <row r="953" spans="2:48" ht="5.0999999999999996" customHeight="1" x14ac:dyDescent="0.2">
      <c r="B953" s="250"/>
      <c r="C953" s="1203"/>
      <c r="D953" s="154"/>
      <c r="E953" s="156"/>
      <c r="F953" s="163"/>
      <c r="G953" s="154"/>
      <c r="H953" s="154"/>
      <c r="I953" s="154"/>
      <c r="J953" s="154"/>
      <c r="K953" s="154"/>
      <c r="L953" s="154"/>
      <c r="M953" s="154"/>
      <c r="N953" s="154"/>
      <c r="O953" s="154"/>
      <c r="P953" s="154"/>
      <c r="Q953" s="1208"/>
      <c r="R953" s="250"/>
      <c r="S953" s="250"/>
      <c r="T953" s="250"/>
      <c r="U953" s="250"/>
      <c r="V953" s="250"/>
      <c r="W953" s="250"/>
      <c r="X953" s="250"/>
      <c r="Y953" s="250"/>
      <c r="Z953" s="250"/>
      <c r="AA953" s="250"/>
      <c r="AB953" s="250"/>
      <c r="AC953" s="250"/>
      <c r="AD953" s="250"/>
      <c r="AE953" s="250"/>
      <c r="AF953" s="250"/>
      <c r="AG953" s="250"/>
      <c r="AH953" s="250"/>
      <c r="AI953" s="250"/>
      <c r="AJ953" s="250"/>
      <c r="AK953" s="250"/>
      <c r="AL953" s="250"/>
      <c r="AM953" s="250"/>
      <c r="AN953" s="250"/>
      <c r="AO953" s="250"/>
      <c r="AP953" s="250"/>
      <c r="AQ953" s="250"/>
      <c r="AR953" s="250"/>
      <c r="AS953" s="250"/>
      <c r="AT953" s="250"/>
      <c r="AU953" s="250"/>
      <c r="AV953" s="124"/>
    </row>
    <row r="954" spans="2:48" ht="18" x14ac:dyDescent="0.25">
      <c r="B954" s="250"/>
      <c r="C954" s="1203"/>
      <c r="D954" s="154"/>
      <c r="E954" s="156"/>
      <c r="F954" s="1288" t="s">
        <v>513</v>
      </c>
      <c r="G954" s="1289"/>
      <c r="H954" s="1289"/>
      <c r="I954" s="1289"/>
      <c r="J954" s="1289"/>
      <c r="K954" s="1289"/>
      <c r="L954" s="1289"/>
      <c r="M954" s="1289"/>
      <c r="N954" s="154"/>
      <c r="O954" s="154"/>
      <c r="P954" s="154"/>
      <c r="Q954" s="1208"/>
      <c r="R954" s="250"/>
      <c r="S954" s="250"/>
      <c r="T954" s="250"/>
      <c r="U954" s="250"/>
      <c r="V954" s="250"/>
      <c r="W954" s="250"/>
      <c r="X954" s="250"/>
      <c r="Y954" s="250"/>
      <c r="Z954" s="250"/>
      <c r="AA954" s="250"/>
      <c r="AB954" s="250"/>
      <c r="AC954" s="250"/>
      <c r="AD954" s="250"/>
      <c r="AE954" s="250"/>
      <c r="AF954" s="250"/>
      <c r="AG954" s="250"/>
      <c r="AH954" s="250"/>
      <c r="AI954" s="250"/>
      <c r="AJ954" s="250"/>
      <c r="AK954" s="250"/>
      <c r="AL954" s="250"/>
      <c r="AM954" s="250"/>
      <c r="AN954" s="250"/>
      <c r="AO954" s="250"/>
      <c r="AP954" s="250"/>
      <c r="AQ954" s="250"/>
      <c r="AR954" s="250"/>
      <c r="AS954" s="250"/>
      <c r="AT954" s="250"/>
      <c r="AU954" s="250"/>
      <c r="AV954" s="124"/>
    </row>
    <row r="955" spans="2:48" ht="15" x14ac:dyDescent="0.2">
      <c r="B955" s="250"/>
      <c r="C955" s="1203"/>
      <c r="D955" s="154"/>
      <c r="E955" s="156"/>
      <c r="F955" s="163" t="s">
        <v>514</v>
      </c>
      <c r="G955" s="154"/>
      <c r="H955" s="154"/>
      <c r="I955" s="154"/>
      <c r="J955" s="154"/>
      <c r="K955" s="154"/>
      <c r="L955" s="154"/>
      <c r="M955" s="154"/>
      <c r="N955" s="154"/>
      <c r="O955" s="154"/>
      <c r="P955" s="154"/>
      <c r="Q955" s="1208"/>
      <c r="R955" s="250"/>
      <c r="S955" s="250"/>
      <c r="T955" s="250"/>
      <c r="U955" s="250"/>
      <c r="V955" s="250"/>
      <c r="W955" s="250"/>
      <c r="X955" s="250"/>
      <c r="Y955" s="250"/>
      <c r="Z955" s="250"/>
      <c r="AA955" s="250"/>
      <c r="AB955" s="250"/>
      <c r="AC955" s="250"/>
      <c r="AD955" s="250"/>
      <c r="AE955" s="250"/>
      <c r="AF955" s="250"/>
      <c r="AG955" s="250"/>
      <c r="AH955" s="250"/>
      <c r="AI955" s="250"/>
      <c r="AJ955" s="250"/>
      <c r="AK955" s="250"/>
      <c r="AL955" s="250"/>
      <c r="AM955" s="250"/>
      <c r="AN955" s="250"/>
      <c r="AO955" s="250"/>
      <c r="AP955" s="250"/>
      <c r="AQ955" s="250"/>
      <c r="AR955" s="250"/>
      <c r="AS955" s="250"/>
      <c r="AT955" s="250"/>
      <c r="AU955" s="250"/>
      <c r="AV955" s="124"/>
    </row>
    <row r="956" spans="2:48" ht="5.0999999999999996" customHeight="1" x14ac:dyDescent="0.2">
      <c r="B956" s="250"/>
      <c r="C956" s="1203"/>
      <c r="D956" s="154"/>
      <c r="E956" s="156"/>
      <c r="F956" s="163"/>
      <c r="G956" s="154"/>
      <c r="H956" s="154"/>
      <c r="I956" s="154"/>
      <c r="J956" s="154"/>
      <c r="K956" s="154"/>
      <c r="L956" s="154"/>
      <c r="M956" s="154"/>
      <c r="N956" s="154"/>
      <c r="O956" s="154"/>
      <c r="P956" s="154"/>
      <c r="Q956" s="1208"/>
      <c r="R956" s="250"/>
      <c r="S956" s="250"/>
      <c r="T956" s="250"/>
      <c r="U956" s="250"/>
      <c r="V956" s="250"/>
      <c r="W956" s="250"/>
      <c r="X956" s="250"/>
      <c r="Y956" s="250"/>
      <c r="Z956" s="250"/>
      <c r="AA956" s="250"/>
      <c r="AB956" s="250"/>
      <c r="AC956" s="250"/>
      <c r="AD956" s="250"/>
      <c r="AE956" s="250"/>
      <c r="AF956" s="250"/>
      <c r="AG956" s="250"/>
      <c r="AH956" s="250"/>
      <c r="AI956" s="250"/>
      <c r="AJ956" s="250"/>
      <c r="AK956" s="250"/>
      <c r="AL956" s="250"/>
      <c r="AM956" s="250"/>
      <c r="AN956" s="250"/>
      <c r="AO956" s="250"/>
      <c r="AP956" s="250"/>
      <c r="AQ956" s="250"/>
      <c r="AR956" s="250"/>
      <c r="AS956" s="250"/>
      <c r="AT956" s="250"/>
      <c r="AU956" s="250"/>
      <c r="AV956" s="124"/>
    </row>
    <row r="957" spans="2:48" ht="18" x14ac:dyDescent="0.25">
      <c r="B957" s="250"/>
      <c r="C957" s="1203"/>
      <c r="D957" s="154"/>
      <c r="E957" s="156"/>
      <c r="F957" s="1288" t="s">
        <v>515</v>
      </c>
      <c r="G957" s="1289"/>
      <c r="H957" s="1289"/>
      <c r="I957" s="1289"/>
      <c r="J957" s="1289"/>
      <c r="K957" s="1289"/>
      <c r="L957" s="1289"/>
      <c r="M957" s="1289"/>
      <c r="N957" s="154"/>
      <c r="O957" s="154"/>
      <c r="P957" s="154"/>
      <c r="Q957" s="1208"/>
      <c r="R957" s="250"/>
      <c r="S957" s="250"/>
      <c r="T957" s="250"/>
      <c r="U957" s="250"/>
      <c r="V957" s="250"/>
      <c r="W957" s="250"/>
      <c r="X957" s="250"/>
      <c r="Y957" s="250"/>
      <c r="Z957" s="250"/>
      <c r="AA957" s="250"/>
      <c r="AB957" s="250"/>
      <c r="AC957" s="250"/>
      <c r="AD957" s="250"/>
      <c r="AE957" s="250"/>
      <c r="AF957" s="250"/>
      <c r="AG957" s="250"/>
      <c r="AH957" s="250"/>
      <c r="AI957" s="250"/>
      <c r="AJ957" s="250"/>
      <c r="AK957" s="250"/>
      <c r="AL957" s="250"/>
      <c r="AM957" s="250"/>
      <c r="AN957" s="250"/>
      <c r="AO957" s="250"/>
      <c r="AP957" s="250"/>
      <c r="AQ957" s="250"/>
      <c r="AR957" s="250"/>
      <c r="AS957" s="250"/>
      <c r="AT957" s="250"/>
      <c r="AU957" s="250"/>
      <c r="AV957" s="124"/>
    </row>
    <row r="958" spans="2:48" ht="15" x14ac:dyDescent="0.2">
      <c r="B958" s="250"/>
      <c r="C958" s="1203"/>
      <c r="D958" s="154"/>
      <c r="E958" s="156"/>
      <c r="F958" s="163" t="s">
        <v>514</v>
      </c>
      <c r="G958" s="154"/>
      <c r="H958" s="154"/>
      <c r="I958" s="154"/>
      <c r="J958" s="154"/>
      <c r="K958" s="154"/>
      <c r="L958" s="154"/>
      <c r="M958" s="154"/>
      <c r="N958" s="154"/>
      <c r="O958" s="154"/>
      <c r="P958" s="154"/>
      <c r="Q958" s="1208"/>
      <c r="R958" s="250"/>
      <c r="S958" s="250"/>
      <c r="T958" s="250"/>
      <c r="U958" s="250"/>
      <c r="V958" s="250"/>
      <c r="W958" s="250"/>
      <c r="X958" s="250"/>
      <c r="Y958" s="250"/>
      <c r="Z958" s="250"/>
      <c r="AA958" s="250"/>
      <c r="AB958" s="250"/>
      <c r="AC958" s="250"/>
      <c r="AD958" s="250"/>
      <c r="AE958" s="250"/>
      <c r="AF958" s="250"/>
      <c r="AG958" s="250"/>
      <c r="AH958" s="250"/>
      <c r="AI958" s="250"/>
      <c r="AJ958" s="250"/>
      <c r="AK958" s="250"/>
      <c r="AL958" s="250"/>
      <c r="AM958" s="250"/>
      <c r="AN958" s="250"/>
      <c r="AO958" s="250"/>
      <c r="AP958" s="250"/>
      <c r="AQ958" s="250"/>
      <c r="AR958" s="250"/>
      <c r="AS958" s="250"/>
      <c r="AT958" s="250"/>
      <c r="AU958" s="250"/>
      <c r="AV958" s="124"/>
    </row>
    <row r="959" spans="2:48" ht="15" x14ac:dyDescent="0.2">
      <c r="B959" s="250"/>
      <c r="C959" s="1203"/>
      <c r="D959" s="154"/>
      <c r="E959" s="156"/>
      <c r="F959" s="163"/>
      <c r="G959" s="154"/>
      <c r="H959" s="154"/>
      <c r="I959" s="154"/>
      <c r="J959" s="154"/>
      <c r="K959" s="154"/>
      <c r="L959" s="154"/>
      <c r="M959" s="154"/>
      <c r="N959" s="154"/>
      <c r="O959" s="154"/>
      <c r="P959" s="154"/>
      <c r="Q959" s="1208"/>
      <c r="R959" s="250"/>
      <c r="S959" s="250"/>
      <c r="T959" s="250"/>
      <c r="U959" s="250"/>
      <c r="V959" s="250"/>
      <c r="W959" s="250"/>
      <c r="X959" s="250"/>
      <c r="Y959" s="250"/>
      <c r="Z959" s="250"/>
      <c r="AA959" s="250"/>
      <c r="AB959" s="250"/>
      <c r="AC959" s="250"/>
      <c r="AD959" s="250"/>
      <c r="AE959" s="250"/>
      <c r="AF959" s="250"/>
      <c r="AG959" s="250"/>
      <c r="AH959" s="250"/>
      <c r="AI959" s="250"/>
      <c r="AJ959" s="250"/>
      <c r="AK959" s="250"/>
      <c r="AL959" s="250"/>
      <c r="AM959" s="250"/>
      <c r="AN959" s="250"/>
      <c r="AO959" s="250"/>
      <c r="AP959" s="250"/>
      <c r="AQ959" s="250"/>
      <c r="AR959" s="250"/>
      <c r="AS959" s="250"/>
      <c r="AT959" s="250"/>
      <c r="AU959" s="250"/>
      <c r="AV959" s="124"/>
    </row>
    <row r="960" spans="2:48" ht="18" x14ac:dyDescent="0.25">
      <c r="B960" s="250"/>
      <c r="C960" s="1203"/>
      <c r="D960" s="154"/>
      <c r="E960" s="156"/>
      <c r="F960" s="159" t="s">
        <v>516</v>
      </c>
      <c r="G960" s="154"/>
      <c r="H960" s="154"/>
      <c r="I960" s="154"/>
      <c r="J960" s="154"/>
      <c r="K960" s="154"/>
      <c r="L960" s="154"/>
      <c r="M960" s="154"/>
      <c r="N960" s="154"/>
      <c r="O960" s="154"/>
      <c r="P960" s="154"/>
      <c r="Q960" s="1208"/>
      <c r="R960" s="250"/>
      <c r="S960" s="250"/>
      <c r="T960" s="250"/>
      <c r="U960" s="250"/>
      <c r="V960" s="250"/>
      <c r="W960" s="250"/>
      <c r="X960" s="250"/>
      <c r="Y960" s="250"/>
      <c r="Z960" s="250"/>
      <c r="AA960" s="250"/>
      <c r="AB960" s="250"/>
      <c r="AC960" s="250"/>
      <c r="AD960" s="250"/>
      <c r="AE960" s="250"/>
      <c r="AF960" s="250"/>
      <c r="AG960" s="250"/>
      <c r="AH960" s="250"/>
      <c r="AI960" s="250"/>
      <c r="AJ960" s="250"/>
      <c r="AK960" s="250"/>
      <c r="AL960" s="250"/>
      <c r="AM960" s="250"/>
      <c r="AN960" s="250"/>
      <c r="AO960" s="250"/>
      <c r="AP960" s="250"/>
      <c r="AQ960" s="250"/>
      <c r="AR960" s="250"/>
      <c r="AS960" s="250"/>
      <c r="AT960" s="250"/>
      <c r="AU960" s="250"/>
      <c r="AV960" s="124"/>
    </row>
    <row r="961" spans="2:48" ht="18" x14ac:dyDescent="0.25">
      <c r="B961" s="250"/>
      <c r="C961" s="1201"/>
      <c r="D961" s="158"/>
      <c r="E961" s="156"/>
      <c r="F961" s="159" t="s">
        <v>517</v>
      </c>
      <c r="G961" s="158"/>
      <c r="H961" s="158"/>
      <c r="I961" s="158"/>
      <c r="J961" s="158"/>
      <c r="K961" s="158"/>
      <c r="L961" s="158"/>
      <c r="M961" s="158"/>
      <c r="N961" s="158"/>
      <c r="O961" s="158"/>
      <c r="P961" s="158"/>
      <c r="Q961" s="1202"/>
      <c r="R961" s="250"/>
      <c r="S961" s="250"/>
      <c r="T961" s="250"/>
      <c r="U961" s="250"/>
      <c r="V961" s="250"/>
      <c r="W961" s="250"/>
      <c r="X961" s="250"/>
      <c r="Y961" s="250"/>
      <c r="Z961" s="250"/>
      <c r="AA961" s="250"/>
      <c r="AB961" s="250"/>
      <c r="AC961" s="250"/>
      <c r="AD961" s="250"/>
      <c r="AE961" s="250"/>
      <c r="AF961" s="250"/>
      <c r="AG961" s="250"/>
      <c r="AH961" s="250"/>
      <c r="AI961" s="250"/>
      <c r="AJ961" s="250"/>
      <c r="AK961" s="250"/>
      <c r="AL961" s="250"/>
      <c r="AM961" s="250"/>
      <c r="AN961" s="250"/>
      <c r="AO961" s="250"/>
      <c r="AP961" s="250"/>
      <c r="AQ961" s="250"/>
      <c r="AR961" s="250"/>
      <c r="AS961" s="250"/>
      <c r="AT961" s="250"/>
      <c r="AU961" s="250"/>
      <c r="AV961" s="124"/>
    </row>
    <row r="962" spans="2:48" ht="18" x14ac:dyDescent="0.25">
      <c r="B962" s="250"/>
      <c r="C962" s="1201"/>
      <c r="D962" s="158"/>
      <c r="E962" s="156"/>
      <c r="F962" s="159"/>
      <c r="G962" s="158"/>
      <c r="H962" s="158"/>
      <c r="I962" s="158"/>
      <c r="J962" s="158"/>
      <c r="K962" s="158"/>
      <c r="L962" s="158"/>
      <c r="M962" s="158"/>
      <c r="N962" s="158"/>
      <c r="O962" s="158"/>
      <c r="P962" s="158"/>
      <c r="Q962" s="1202"/>
      <c r="R962" s="250"/>
      <c r="S962" s="250"/>
      <c r="T962" s="250"/>
      <c r="U962" s="250"/>
      <c r="V962" s="250"/>
      <c r="W962" s="250"/>
      <c r="X962" s="250"/>
      <c r="Y962" s="250"/>
      <c r="Z962" s="250"/>
      <c r="AA962" s="250"/>
      <c r="AB962" s="250"/>
      <c r="AC962" s="250"/>
      <c r="AD962" s="250"/>
      <c r="AE962" s="250"/>
      <c r="AF962" s="250"/>
      <c r="AG962" s="250"/>
      <c r="AH962" s="250"/>
      <c r="AI962" s="250"/>
      <c r="AJ962" s="250"/>
      <c r="AK962" s="250"/>
      <c r="AL962" s="250"/>
      <c r="AM962" s="250"/>
      <c r="AN962" s="250"/>
      <c r="AO962" s="250"/>
      <c r="AP962" s="250"/>
      <c r="AQ962" s="250"/>
      <c r="AR962" s="250"/>
      <c r="AS962" s="250"/>
      <c r="AT962" s="250"/>
      <c r="AU962" s="250"/>
      <c r="AV962" s="124"/>
    </row>
    <row r="963" spans="2:48" ht="18" x14ac:dyDescent="0.25">
      <c r="B963" s="250"/>
      <c r="C963" s="1201"/>
      <c r="D963" s="158"/>
      <c r="E963" s="156"/>
      <c r="F963" s="159"/>
      <c r="G963" s="158"/>
      <c r="H963" s="158"/>
      <c r="I963" s="158"/>
      <c r="J963" s="158"/>
      <c r="K963" s="158"/>
      <c r="L963" s="158"/>
      <c r="M963" s="158"/>
      <c r="N963" s="158"/>
      <c r="O963" s="158"/>
      <c r="P963" s="158"/>
      <c r="Q963" s="1202"/>
      <c r="R963" s="250"/>
      <c r="S963" s="250"/>
      <c r="T963" s="250"/>
      <c r="U963" s="250"/>
      <c r="V963" s="250"/>
      <c r="W963" s="250"/>
      <c r="X963" s="250"/>
      <c r="Y963" s="250"/>
      <c r="Z963" s="250"/>
      <c r="AA963" s="250"/>
      <c r="AB963" s="250"/>
      <c r="AC963" s="250"/>
      <c r="AD963" s="250"/>
      <c r="AE963" s="250"/>
      <c r="AF963" s="250"/>
      <c r="AG963" s="250"/>
      <c r="AH963" s="250"/>
      <c r="AI963" s="250"/>
      <c r="AJ963" s="250"/>
      <c r="AK963" s="250"/>
      <c r="AL963" s="250"/>
      <c r="AM963" s="250"/>
      <c r="AN963" s="250"/>
      <c r="AO963" s="250"/>
      <c r="AP963" s="250"/>
      <c r="AQ963" s="250"/>
      <c r="AR963" s="250"/>
      <c r="AS963" s="250"/>
      <c r="AT963" s="250"/>
      <c r="AU963" s="250"/>
      <c r="AV963" s="124"/>
    </row>
    <row r="964" spans="2:48" ht="18" x14ac:dyDescent="0.25">
      <c r="B964" s="250"/>
      <c r="C964" s="1201"/>
      <c r="D964" s="158"/>
      <c r="E964" s="156"/>
      <c r="F964" s="159"/>
      <c r="G964" s="158"/>
      <c r="H964" s="158"/>
      <c r="I964" s="158"/>
      <c r="J964" s="158"/>
      <c r="K964" s="158"/>
      <c r="L964" s="158"/>
      <c r="M964" s="158"/>
      <c r="N964" s="158"/>
      <c r="O964" s="158"/>
      <c r="P964" s="158"/>
      <c r="Q964" s="1202"/>
      <c r="R964" s="250"/>
      <c r="S964" s="250"/>
      <c r="T964" s="250"/>
      <c r="U964" s="250"/>
      <c r="V964" s="250"/>
      <c r="W964" s="250"/>
      <c r="X964" s="250"/>
      <c r="Y964" s="250"/>
      <c r="Z964" s="250"/>
      <c r="AA964" s="250"/>
      <c r="AB964" s="250"/>
      <c r="AC964" s="250"/>
      <c r="AD964" s="250"/>
      <c r="AE964" s="250"/>
      <c r="AF964" s="250"/>
      <c r="AG964" s="250"/>
      <c r="AH964" s="250"/>
      <c r="AI964" s="250"/>
      <c r="AJ964" s="250"/>
      <c r="AK964" s="250"/>
      <c r="AL964" s="250"/>
      <c r="AM964" s="250"/>
      <c r="AN964" s="250"/>
      <c r="AO964" s="250"/>
      <c r="AP964" s="250"/>
      <c r="AQ964" s="250"/>
      <c r="AR964" s="250"/>
      <c r="AS964" s="250"/>
      <c r="AT964" s="250"/>
      <c r="AU964" s="250"/>
      <c r="AV964" s="124"/>
    </row>
    <row r="965" spans="2:48" ht="18" x14ac:dyDescent="0.25">
      <c r="B965" s="250"/>
      <c r="C965" s="1201"/>
      <c r="D965" s="158"/>
      <c r="E965" s="156"/>
      <c r="F965" s="159"/>
      <c r="G965" s="158"/>
      <c r="H965" s="158"/>
      <c r="I965" s="158"/>
      <c r="J965" s="158"/>
      <c r="K965" s="158"/>
      <c r="L965" s="158"/>
      <c r="M965" s="158"/>
      <c r="N965" s="158"/>
      <c r="O965" s="158"/>
      <c r="P965" s="158"/>
      <c r="Q965" s="1202"/>
      <c r="R965" s="250"/>
      <c r="S965" s="250"/>
      <c r="T965" s="250"/>
      <c r="U965" s="250"/>
      <c r="V965" s="250"/>
      <c r="W965" s="250"/>
      <c r="X965" s="250"/>
      <c r="Y965" s="250"/>
      <c r="Z965" s="250"/>
      <c r="AA965" s="250"/>
      <c r="AB965" s="250"/>
      <c r="AC965" s="250"/>
      <c r="AD965" s="250"/>
      <c r="AE965" s="250"/>
      <c r="AF965" s="250"/>
      <c r="AG965" s="250"/>
      <c r="AH965" s="250"/>
      <c r="AI965" s="250"/>
      <c r="AJ965" s="250"/>
      <c r="AK965" s="250"/>
      <c r="AL965" s="250"/>
      <c r="AM965" s="250"/>
      <c r="AN965" s="250"/>
      <c r="AO965" s="250"/>
      <c r="AP965" s="250"/>
      <c r="AQ965" s="250"/>
      <c r="AR965" s="250"/>
      <c r="AS965" s="250"/>
      <c r="AT965" s="250"/>
      <c r="AU965" s="250"/>
      <c r="AV965" s="124"/>
    </row>
    <row r="966" spans="2:48" ht="18" x14ac:dyDescent="0.25">
      <c r="B966" s="250"/>
      <c r="C966" s="1201"/>
      <c r="D966" s="158"/>
      <c r="E966" s="156"/>
      <c r="F966" s="159"/>
      <c r="G966" s="158"/>
      <c r="H966" s="158"/>
      <c r="I966" s="158"/>
      <c r="J966" s="158"/>
      <c r="K966" s="158"/>
      <c r="L966" s="158"/>
      <c r="M966" s="158"/>
      <c r="N966" s="158"/>
      <c r="O966" s="158"/>
      <c r="P966" s="158"/>
      <c r="Q966" s="1202"/>
      <c r="R966" s="250"/>
      <c r="S966" s="250"/>
      <c r="T966" s="250"/>
      <c r="U966" s="250"/>
      <c r="V966" s="250"/>
      <c r="W966" s="250"/>
      <c r="X966" s="250"/>
      <c r="Y966" s="250"/>
      <c r="Z966" s="250"/>
      <c r="AA966" s="250"/>
      <c r="AB966" s="250"/>
      <c r="AC966" s="250"/>
      <c r="AD966" s="250"/>
      <c r="AE966" s="250"/>
      <c r="AF966" s="250"/>
      <c r="AG966" s="250"/>
      <c r="AH966" s="250"/>
      <c r="AI966" s="250"/>
      <c r="AJ966" s="250"/>
      <c r="AK966" s="250"/>
      <c r="AL966" s="250"/>
      <c r="AM966" s="250"/>
      <c r="AN966" s="250"/>
      <c r="AO966" s="250"/>
      <c r="AP966" s="250"/>
      <c r="AQ966" s="250"/>
      <c r="AR966" s="250"/>
      <c r="AS966" s="250"/>
      <c r="AT966" s="250"/>
      <c r="AU966" s="250"/>
      <c r="AV966" s="124"/>
    </row>
    <row r="967" spans="2:48" ht="18" x14ac:dyDescent="0.25">
      <c r="B967" s="250"/>
      <c r="C967" s="1201"/>
      <c r="D967" s="158"/>
      <c r="E967" s="156"/>
      <c r="F967" s="159"/>
      <c r="G967" s="158"/>
      <c r="H967" s="158"/>
      <c r="I967" s="158"/>
      <c r="J967" s="158"/>
      <c r="K967" s="158"/>
      <c r="L967" s="158"/>
      <c r="M967" s="158"/>
      <c r="N967" s="158"/>
      <c r="O967" s="158"/>
      <c r="P967" s="158"/>
      <c r="Q967" s="1202"/>
      <c r="R967" s="250"/>
      <c r="S967" s="250"/>
      <c r="T967" s="250"/>
      <c r="U967" s="250"/>
      <c r="V967" s="250"/>
      <c r="W967" s="250"/>
      <c r="X967" s="250"/>
      <c r="Y967" s="250"/>
      <c r="Z967" s="250"/>
      <c r="AA967" s="250"/>
      <c r="AB967" s="250"/>
      <c r="AC967" s="250"/>
      <c r="AD967" s="250"/>
      <c r="AE967" s="250"/>
      <c r="AF967" s="250"/>
      <c r="AG967" s="250"/>
      <c r="AH967" s="250"/>
      <c r="AI967" s="250"/>
      <c r="AJ967" s="250"/>
      <c r="AK967" s="250"/>
      <c r="AL967" s="250"/>
      <c r="AM967" s="250"/>
      <c r="AN967" s="250"/>
      <c r="AO967" s="250"/>
      <c r="AP967" s="250"/>
      <c r="AQ967" s="250"/>
      <c r="AR967" s="250"/>
      <c r="AS967" s="250"/>
      <c r="AT967" s="250"/>
      <c r="AU967" s="250"/>
      <c r="AV967" s="124"/>
    </row>
    <row r="968" spans="2:48" ht="18" x14ac:dyDescent="0.25">
      <c r="B968" s="250"/>
      <c r="C968" s="1201"/>
      <c r="D968" s="158"/>
      <c r="E968" s="156"/>
      <c r="F968" s="159"/>
      <c r="G968" s="158"/>
      <c r="H968" s="158"/>
      <c r="I968" s="158"/>
      <c r="J968" s="158"/>
      <c r="K968" s="158"/>
      <c r="L968" s="158"/>
      <c r="M968" s="158"/>
      <c r="N968" s="158"/>
      <c r="O968" s="158"/>
      <c r="P968" s="158"/>
      <c r="Q968" s="1202"/>
      <c r="R968" s="250"/>
      <c r="S968" s="250"/>
      <c r="T968" s="250"/>
      <c r="U968" s="250"/>
      <c r="V968" s="250"/>
      <c r="W968" s="250"/>
      <c r="X968" s="250"/>
      <c r="Y968" s="250"/>
      <c r="Z968" s="250"/>
      <c r="AA968" s="250"/>
      <c r="AB968" s="250"/>
      <c r="AC968" s="250"/>
      <c r="AD968" s="250"/>
      <c r="AE968" s="250"/>
      <c r="AF968" s="250"/>
      <c r="AG968" s="250"/>
      <c r="AH968" s="250"/>
      <c r="AI968" s="250"/>
      <c r="AJ968" s="250"/>
      <c r="AK968" s="250"/>
      <c r="AL968" s="250"/>
      <c r="AM968" s="250"/>
      <c r="AN968" s="250"/>
      <c r="AO968" s="250"/>
      <c r="AP968" s="250"/>
      <c r="AQ968" s="250"/>
      <c r="AR968" s="250"/>
      <c r="AS968" s="250"/>
      <c r="AT968" s="250"/>
      <c r="AU968" s="250"/>
      <c r="AV968" s="124"/>
    </row>
    <row r="969" spans="2:48" ht="18" x14ac:dyDescent="0.25">
      <c r="B969" s="250"/>
      <c r="C969" s="1201"/>
      <c r="D969" s="158"/>
      <c r="E969" s="156"/>
      <c r="F969" s="159"/>
      <c r="G969" s="158"/>
      <c r="H969" s="158"/>
      <c r="I969" s="158"/>
      <c r="J969" s="158"/>
      <c r="K969" s="158"/>
      <c r="L969" s="158"/>
      <c r="M969" s="158"/>
      <c r="N969" s="158"/>
      <c r="O969" s="158"/>
      <c r="P969" s="158"/>
      <c r="Q969" s="1202"/>
      <c r="R969" s="250"/>
      <c r="S969" s="250"/>
      <c r="T969" s="250"/>
      <c r="U969" s="250"/>
      <c r="V969" s="250"/>
      <c r="W969" s="250"/>
      <c r="X969" s="250"/>
      <c r="Y969" s="250"/>
      <c r="Z969" s="250"/>
      <c r="AA969" s="250"/>
      <c r="AB969" s="250"/>
      <c r="AC969" s="250"/>
      <c r="AD969" s="250"/>
      <c r="AE969" s="250"/>
      <c r="AF969" s="250"/>
      <c r="AG969" s="250"/>
      <c r="AH969" s="250"/>
      <c r="AI969" s="250"/>
      <c r="AJ969" s="250"/>
      <c r="AK969" s="250"/>
      <c r="AL969" s="250"/>
      <c r="AM969" s="250"/>
      <c r="AN969" s="250"/>
      <c r="AO969" s="250"/>
      <c r="AP969" s="250"/>
      <c r="AQ969" s="250"/>
      <c r="AR969" s="250"/>
      <c r="AS969" s="250"/>
      <c r="AT969" s="250"/>
      <c r="AU969" s="250"/>
      <c r="AV969" s="124"/>
    </row>
    <row r="970" spans="2:48" ht="18" x14ac:dyDescent="0.25">
      <c r="B970" s="250"/>
      <c r="C970" s="1201"/>
      <c r="D970" s="158"/>
      <c r="E970" s="156"/>
      <c r="F970" s="159"/>
      <c r="G970" s="158"/>
      <c r="H970" s="158"/>
      <c r="I970" s="158"/>
      <c r="J970" s="158"/>
      <c r="K970" s="158"/>
      <c r="L970" s="158"/>
      <c r="M970" s="158"/>
      <c r="N970" s="158"/>
      <c r="O970" s="158"/>
      <c r="P970" s="158"/>
      <c r="Q970" s="1202"/>
      <c r="R970" s="250"/>
      <c r="S970" s="250"/>
      <c r="T970" s="250"/>
      <c r="U970" s="250"/>
      <c r="V970" s="250"/>
      <c r="W970" s="250"/>
      <c r="X970" s="250"/>
      <c r="Y970" s="250"/>
      <c r="Z970" s="250"/>
      <c r="AA970" s="250"/>
      <c r="AB970" s="250"/>
      <c r="AC970" s="250"/>
      <c r="AD970" s="250"/>
      <c r="AE970" s="250"/>
      <c r="AF970" s="250"/>
      <c r="AG970" s="250"/>
      <c r="AH970" s="250"/>
      <c r="AI970" s="250"/>
      <c r="AJ970" s="250"/>
      <c r="AK970" s="250"/>
      <c r="AL970" s="250"/>
      <c r="AM970" s="250"/>
      <c r="AN970" s="250"/>
      <c r="AO970" s="250"/>
      <c r="AP970" s="250"/>
      <c r="AQ970" s="250"/>
      <c r="AR970" s="250"/>
      <c r="AS970" s="250"/>
      <c r="AT970" s="250"/>
      <c r="AU970" s="250"/>
      <c r="AV970" s="124"/>
    </row>
    <row r="971" spans="2:48" ht="18" x14ac:dyDescent="0.25">
      <c r="B971" s="250"/>
      <c r="C971" s="1201"/>
      <c r="D971" s="158"/>
      <c r="E971" s="156"/>
      <c r="F971" s="159"/>
      <c r="G971" s="158"/>
      <c r="H971" s="158"/>
      <c r="I971" s="158"/>
      <c r="J971" s="158"/>
      <c r="K971" s="158"/>
      <c r="L971" s="158"/>
      <c r="M971" s="158"/>
      <c r="N971" s="158"/>
      <c r="O971" s="158"/>
      <c r="P971" s="158"/>
      <c r="Q971" s="1202"/>
      <c r="R971" s="250"/>
      <c r="S971" s="250"/>
      <c r="T971" s="250"/>
      <c r="U971" s="250"/>
      <c r="V971" s="250"/>
      <c r="W971" s="250"/>
      <c r="X971" s="250"/>
      <c r="Y971" s="250"/>
      <c r="Z971" s="250"/>
      <c r="AA971" s="250"/>
      <c r="AB971" s="250"/>
      <c r="AC971" s="250"/>
      <c r="AD971" s="250"/>
      <c r="AE971" s="250"/>
      <c r="AF971" s="250"/>
      <c r="AG971" s="250"/>
      <c r="AH971" s="250"/>
      <c r="AI971" s="250"/>
      <c r="AJ971" s="250"/>
      <c r="AK971" s="250"/>
      <c r="AL971" s="250"/>
      <c r="AM971" s="250"/>
      <c r="AN971" s="250"/>
      <c r="AO971" s="250"/>
      <c r="AP971" s="250"/>
      <c r="AQ971" s="250"/>
      <c r="AR971" s="250"/>
      <c r="AS971" s="250"/>
      <c r="AT971" s="250"/>
      <c r="AU971" s="250"/>
      <c r="AV971" s="124"/>
    </row>
    <row r="972" spans="2:48" ht="18" x14ac:dyDescent="0.25">
      <c r="B972" s="250"/>
      <c r="C972" s="1201"/>
      <c r="D972" s="158"/>
      <c r="E972" s="156"/>
      <c r="F972" s="159"/>
      <c r="G972" s="158"/>
      <c r="H972" s="158"/>
      <c r="I972" s="158"/>
      <c r="J972" s="158"/>
      <c r="K972" s="158"/>
      <c r="L972" s="158"/>
      <c r="M972" s="158"/>
      <c r="N972" s="158"/>
      <c r="O972" s="158"/>
      <c r="P972" s="158"/>
      <c r="Q972" s="1202"/>
      <c r="R972" s="250"/>
      <c r="S972" s="250"/>
      <c r="T972" s="250"/>
      <c r="U972" s="250"/>
      <c r="V972" s="250"/>
      <c r="W972" s="250"/>
      <c r="X972" s="250"/>
      <c r="Y972" s="250"/>
      <c r="Z972" s="250"/>
      <c r="AA972" s="250"/>
      <c r="AB972" s="250"/>
      <c r="AC972" s="250"/>
      <c r="AD972" s="250"/>
      <c r="AE972" s="250"/>
      <c r="AF972" s="250"/>
      <c r="AG972" s="250"/>
      <c r="AH972" s="250"/>
      <c r="AI972" s="250"/>
      <c r="AJ972" s="250"/>
      <c r="AK972" s="250"/>
      <c r="AL972" s="250"/>
      <c r="AM972" s="250"/>
      <c r="AN972" s="250"/>
      <c r="AO972" s="250"/>
      <c r="AP972" s="250"/>
      <c r="AQ972" s="250"/>
      <c r="AR972" s="250"/>
      <c r="AS972" s="250"/>
      <c r="AT972" s="250"/>
      <c r="AU972" s="250"/>
      <c r="AV972" s="124"/>
    </row>
    <row r="973" spans="2:48" ht="18" customHeight="1" x14ac:dyDescent="0.2">
      <c r="B973" s="250"/>
      <c r="C973" s="1204"/>
      <c r="D973" s="1205"/>
      <c r="E973" s="1205"/>
      <c r="F973" s="1205"/>
      <c r="G973" s="1205"/>
      <c r="H973" s="1205"/>
      <c r="I973" s="1205"/>
      <c r="J973" s="1205"/>
      <c r="K973" s="1205"/>
      <c r="L973" s="1205"/>
      <c r="M973" s="1205"/>
      <c r="N973" s="1205"/>
      <c r="O973" s="1205"/>
      <c r="P973" s="1205"/>
      <c r="Q973" s="1210"/>
      <c r="R973" s="250"/>
      <c r="S973" s="250"/>
      <c r="T973" s="250"/>
      <c r="U973" s="250"/>
      <c r="V973" s="250"/>
      <c r="W973" s="250"/>
      <c r="X973" s="250"/>
      <c r="Y973" s="250"/>
      <c r="Z973" s="250"/>
      <c r="AA973" s="250"/>
      <c r="AB973" s="250"/>
      <c r="AC973" s="250"/>
      <c r="AD973" s="250"/>
      <c r="AE973" s="250"/>
      <c r="AF973" s="250"/>
      <c r="AG973" s="250"/>
      <c r="AH973" s="250"/>
      <c r="AI973" s="250"/>
      <c r="AJ973" s="250"/>
      <c r="AK973" s="250"/>
      <c r="AL973" s="250"/>
      <c r="AM973" s="250"/>
      <c r="AN973" s="250"/>
      <c r="AO973" s="250"/>
      <c r="AP973" s="250"/>
      <c r="AQ973" s="250"/>
      <c r="AR973" s="250"/>
      <c r="AS973" s="250"/>
      <c r="AT973" s="250"/>
      <c r="AU973" s="250"/>
      <c r="AV973" s="124"/>
    </row>
    <row r="974" spans="2:48" s="475" customFormat="1" x14ac:dyDescent="0.2">
      <c r="B974" s="250"/>
      <c r="C974" s="250"/>
      <c r="D974" s="250"/>
      <c r="E974" s="250"/>
      <c r="F974" s="250"/>
      <c r="G974" s="250"/>
      <c r="H974" s="250"/>
      <c r="I974" s="250"/>
      <c r="J974" s="250"/>
      <c r="K974" s="250"/>
      <c r="L974" s="250"/>
      <c r="M974" s="250"/>
      <c r="N974" s="250"/>
      <c r="O974" s="250"/>
      <c r="P974" s="250"/>
      <c r="Q974" s="250"/>
      <c r="R974" s="250"/>
      <c r="S974" s="250"/>
      <c r="T974" s="250"/>
      <c r="U974" s="250"/>
      <c r="V974" s="250"/>
      <c r="W974" s="250"/>
      <c r="X974" s="250"/>
      <c r="Y974" s="250"/>
      <c r="Z974" s="250"/>
      <c r="AA974" s="250"/>
      <c r="AB974" s="250"/>
      <c r="AC974" s="250"/>
      <c r="AD974" s="250"/>
      <c r="AE974" s="250"/>
      <c r="AF974" s="250"/>
      <c r="AG974" s="250"/>
      <c r="AH974" s="250"/>
      <c r="AI974" s="250"/>
      <c r="AJ974" s="250"/>
      <c r="AK974" s="250"/>
      <c r="AL974" s="250"/>
      <c r="AM974" s="250"/>
      <c r="AN974" s="250"/>
      <c r="AO974" s="250"/>
      <c r="AP974" s="250"/>
      <c r="AQ974" s="250"/>
      <c r="AR974" s="250"/>
      <c r="AS974" s="250"/>
      <c r="AT974" s="250"/>
      <c r="AU974" s="250"/>
      <c r="AV974" s="124"/>
    </row>
    <row r="975" spans="2:48" s="475" customFormat="1" x14ac:dyDescent="0.2">
      <c r="B975" s="250"/>
      <c r="C975" s="250"/>
      <c r="D975" s="250"/>
      <c r="E975" s="250"/>
      <c r="F975" s="250"/>
      <c r="G975" s="250"/>
      <c r="H975" s="250"/>
      <c r="I975" s="250"/>
      <c r="J975" s="250"/>
      <c r="K975" s="250"/>
      <c r="L975" s="250"/>
      <c r="M975" s="250"/>
      <c r="N975" s="250"/>
      <c r="O975" s="250"/>
      <c r="P975" s="250"/>
      <c r="Q975" s="250"/>
      <c r="R975" s="250"/>
      <c r="S975" s="250"/>
      <c r="T975" s="250"/>
      <c r="U975" s="250"/>
      <c r="V975" s="250"/>
      <c r="W975" s="250"/>
      <c r="X975" s="250"/>
      <c r="Y975" s="250"/>
      <c r="Z975" s="250"/>
      <c r="AA975" s="250"/>
      <c r="AB975" s="250"/>
      <c r="AC975" s="250"/>
      <c r="AD975" s="250"/>
      <c r="AE975" s="250"/>
      <c r="AF975" s="250"/>
      <c r="AG975" s="250"/>
      <c r="AH975" s="250"/>
      <c r="AI975" s="250"/>
      <c r="AJ975" s="250"/>
      <c r="AK975" s="250"/>
      <c r="AL975" s="250"/>
      <c r="AM975" s="250"/>
      <c r="AN975" s="250"/>
      <c r="AO975" s="250"/>
      <c r="AP975" s="250"/>
      <c r="AQ975" s="250"/>
      <c r="AR975" s="250"/>
      <c r="AS975" s="250"/>
      <c r="AT975" s="250"/>
      <c r="AU975" s="250"/>
      <c r="AV975" s="124"/>
    </row>
    <row r="976" spans="2:48" s="475" customFormat="1" x14ac:dyDescent="0.2">
      <c r="B976" s="250"/>
      <c r="C976" s="250"/>
      <c r="D976" s="250"/>
      <c r="E976" s="250"/>
      <c r="F976" s="250"/>
      <c r="G976" s="250"/>
      <c r="H976" s="250"/>
      <c r="I976" s="250"/>
      <c r="J976" s="250"/>
      <c r="K976" s="250"/>
      <c r="L976" s="250"/>
      <c r="M976" s="250"/>
      <c r="N976" s="250"/>
      <c r="O976" s="250"/>
      <c r="P976" s="250"/>
      <c r="Q976" s="250"/>
      <c r="R976" s="250"/>
      <c r="S976" s="250"/>
      <c r="T976" s="250"/>
      <c r="U976" s="250"/>
      <c r="V976" s="250"/>
      <c r="W976" s="250"/>
      <c r="X976" s="250"/>
      <c r="Y976" s="250"/>
      <c r="Z976" s="250"/>
      <c r="AA976" s="250"/>
      <c r="AB976" s="250"/>
      <c r="AC976" s="250"/>
      <c r="AD976" s="250"/>
      <c r="AE976" s="250"/>
      <c r="AF976" s="250"/>
      <c r="AG976" s="250"/>
      <c r="AH976" s="250"/>
      <c r="AI976" s="250"/>
      <c r="AJ976" s="250"/>
      <c r="AK976" s="250"/>
      <c r="AL976" s="250"/>
      <c r="AM976" s="250"/>
      <c r="AN976" s="250"/>
      <c r="AO976" s="250"/>
      <c r="AP976" s="250"/>
      <c r="AQ976" s="250"/>
      <c r="AR976" s="250"/>
      <c r="AS976" s="250"/>
      <c r="AT976" s="250"/>
      <c r="AU976" s="250"/>
      <c r="AV976" s="124"/>
    </row>
    <row r="977" spans="2:48" s="475" customFormat="1" x14ac:dyDescent="0.2">
      <c r="B977" s="250"/>
      <c r="C977" s="250"/>
      <c r="D977" s="250"/>
      <c r="E977" s="250"/>
      <c r="F977" s="250"/>
      <c r="G977" s="250"/>
      <c r="H977" s="250"/>
      <c r="I977" s="250"/>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c r="AN977" s="250"/>
      <c r="AO977" s="250"/>
      <c r="AP977" s="250"/>
      <c r="AQ977" s="250"/>
      <c r="AR977" s="250"/>
      <c r="AS977" s="250"/>
      <c r="AT977" s="250"/>
      <c r="AU977" s="250"/>
      <c r="AV977" s="124"/>
    </row>
    <row r="978" spans="2:48" s="475" customFormat="1" x14ac:dyDescent="0.2">
      <c r="B978" s="250"/>
      <c r="C978" s="250"/>
      <c r="D978" s="250"/>
      <c r="E978" s="250"/>
      <c r="F978" s="250"/>
      <c r="G978" s="250"/>
      <c r="H978" s="250"/>
      <c r="I978" s="250"/>
      <c r="J978" s="250"/>
      <c r="K978" s="250"/>
      <c r="L978" s="250"/>
      <c r="M978" s="250"/>
      <c r="N978" s="250"/>
      <c r="O978" s="250"/>
      <c r="P978" s="250"/>
      <c r="Q978" s="250"/>
      <c r="R978" s="250"/>
      <c r="S978" s="250"/>
      <c r="T978" s="250"/>
      <c r="U978" s="250"/>
      <c r="V978" s="250"/>
      <c r="W978" s="250"/>
      <c r="X978" s="250"/>
      <c r="Y978" s="250"/>
      <c r="Z978" s="250"/>
      <c r="AA978" s="250"/>
      <c r="AB978" s="250"/>
      <c r="AC978" s="250"/>
      <c r="AD978" s="250"/>
      <c r="AE978" s="250"/>
      <c r="AF978" s="250"/>
      <c r="AG978" s="250"/>
      <c r="AH978" s="250"/>
      <c r="AI978" s="250"/>
      <c r="AJ978" s="250"/>
      <c r="AK978" s="250"/>
      <c r="AL978" s="250"/>
      <c r="AM978" s="250"/>
      <c r="AN978" s="250"/>
      <c r="AO978" s="250"/>
      <c r="AP978" s="250"/>
      <c r="AQ978" s="250"/>
      <c r="AR978" s="250"/>
      <c r="AS978" s="250"/>
      <c r="AT978" s="250"/>
      <c r="AU978" s="250"/>
      <c r="AV978" s="124"/>
    </row>
    <row r="979" spans="2:48" s="475" customFormat="1" x14ac:dyDescent="0.2">
      <c r="B979" s="250"/>
      <c r="C979" s="250"/>
      <c r="D979" s="250"/>
      <c r="E979" s="250"/>
      <c r="F979" s="250"/>
      <c r="G979" s="250"/>
      <c r="H979" s="250"/>
      <c r="I979" s="250"/>
      <c r="J979" s="250"/>
      <c r="K979" s="250"/>
      <c r="L979" s="250"/>
      <c r="M979" s="250"/>
      <c r="N979" s="250"/>
      <c r="O979" s="250"/>
      <c r="P979" s="250"/>
      <c r="Q979" s="250"/>
      <c r="R979" s="250"/>
      <c r="S979" s="250"/>
      <c r="T979" s="250"/>
      <c r="U979" s="250"/>
      <c r="V979" s="250"/>
      <c r="W979" s="250"/>
      <c r="X979" s="250"/>
      <c r="Y979" s="250"/>
      <c r="Z979" s="250"/>
      <c r="AA979" s="250"/>
      <c r="AB979" s="250"/>
      <c r="AC979" s="250"/>
      <c r="AD979" s="250"/>
      <c r="AE979" s="250"/>
      <c r="AF979" s="250"/>
      <c r="AG979" s="250"/>
      <c r="AH979" s="250"/>
      <c r="AI979" s="250"/>
      <c r="AJ979" s="250"/>
      <c r="AK979" s="250"/>
      <c r="AL979" s="250"/>
      <c r="AM979" s="250"/>
      <c r="AN979" s="250"/>
      <c r="AO979" s="250"/>
      <c r="AP979" s="250"/>
      <c r="AQ979" s="250"/>
      <c r="AR979" s="250"/>
      <c r="AS979" s="250"/>
      <c r="AT979" s="250"/>
      <c r="AU979" s="250"/>
      <c r="AV979" s="124"/>
    </row>
    <row r="980" spans="2:48" s="475" customFormat="1" x14ac:dyDescent="0.2">
      <c r="B980" s="250"/>
      <c r="C980" s="250"/>
      <c r="D980" s="250"/>
      <c r="E980" s="250"/>
      <c r="F980" s="250"/>
      <c r="G980" s="250"/>
      <c r="H980" s="250"/>
      <c r="I980" s="250"/>
      <c r="J980" s="250"/>
      <c r="K980" s="250"/>
      <c r="L980" s="250"/>
      <c r="M980" s="250"/>
      <c r="N980" s="250"/>
      <c r="O980" s="250"/>
      <c r="P980" s="250"/>
      <c r="Q980" s="250"/>
      <c r="R980" s="250"/>
      <c r="S980" s="250"/>
      <c r="T980" s="250"/>
      <c r="U980" s="250"/>
      <c r="V980" s="250"/>
      <c r="W980" s="250"/>
      <c r="X980" s="250"/>
      <c r="Y980" s="250"/>
      <c r="Z980" s="250"/>
      <c r="AA980" s="250"/>
      <c r="AB980" s="250"/>
      <c r="AC980" s="250"/>
      <c r="AD980" s="250"/>
      <c r="AE980" s="250"/>
      <c r="AF980" s="250"/>
      <c r="AG980" s="250"/>
      <c r="AH980" s="250"/>
      <c r="AI980" s="250"/>
      <c r="AJ980" s="250"/>
      <c r="AK980" s="250"/>
      <c r="AL980" s="250"/>
      <c r="AM980" s="250"/>
      <c r="AN980" s="250"/>
      <c r="AO980" s="250"/>
      <c r="AP980" s="250"/>
      <c r="AQ980" s="250"/>
      <c r="AR980" s="250"/>
      <c r="AS980" s="250"/>
      <c r="AT980" s="250"/>
      <c r="AU980" s="250"/>
      <c r="AV980" s="124"/>
    </row>
    <row r="981" spans="2:48" s="475" customFormat="1" x14ac:dyDescent="0.2">
      <c r="B981" s="250"/>
      <c r="C981" s="250"/>
      <c r="D981" s="250"/>
      <c r="E981" s="250"/>
      <c r="F981" s="250"/>
      <c r="G981" s="250"/>
      <c r="H981" s="250"/>
      <c r="I981" s="250"/>
      <c r="J981" s="250"/>
      <c r="K981" s="250"/>
      <c r="L981" s="250"/>
      <c r="M981" s="250"/>
      <c r="N981" s="250"/>
      <c r="O981" s="250"/>
      <c r="P981" s="250"/>
      <c r="Q981" s="250"/>
      <c r="R981" s="250"/>
      <c r="S981" s="250"/>
      <c r="T981" s="250"/>
      <c r="U981" s="250"/>
      <c r="V981" s="250"/>
      <c r="W981" s="250"/>
      <c r="X981" s="250"/>
      <c r="Y981" s="250"/>
      <c r="Z981" s="250"/>
      <c r="AA981" s="250"/>
      <c r="AB981" s="250"/>
      <c r="AC981" s="250"/>
      <c r="AD981" s="250"/>
      <c r="AE981" s="250"/>
      <c r="AF981" s="250"/>
      <c r="AG981" s="250"/>
      <c r="AH981" s="250"/>
      <c r="AI981" s="250"/>
      <c r="AJ981" s="250"/>
      <c r="AK981" s="250"/>
      <c r="AL981" s="250"/>
      <c r="AM981" s="250"/>
      <c r="AN981" s="250"/>
      <c r="AO981" s="250"/>
      <c r="AP981" s="250"/>
      <c r="AQ981" s="250"/>
      <c r="AR981" s="250"/>
      <c r="AS981" s="250"/>
      <c r="AT981" s="250"/>
      <c r="AU981" s="250"/>
      <c r="AV981" s="124"/>
    </row>
    <row r="982" spans="2:48" s="475" customFormat="1" x14ac:dyDescent="0.2">
      <c r="B982" s="250"/>
      <c r="C982" s="250"/>
      <c r="D982" s="250"/>
      <c r="E982" s="250"/>
      <c r="F982" s="250"/>
      <c r="G982" s="250"/>
      <c r="H982" s="250"/>
      <c r="I982" s="250"/>
      <c r="J982" s="250"/>
      <c r="K982" s="250"/>
      <c r="L982" s="250"/>
      <c r="M982" s="250"/>
      <c r="N982" s="250"/>
      <c r="O982" s="250"/>
      <c r="P982" s="250"/>
      <c r="Q982" s="250"/>
      <c r="R982" s="250"/>
      <c r="S982" s="250"/>
      <c r="T982" s="250"/>
      <c r="U982" s="250"/>
      <c r="V982" s="250"/>
      <c r="W982" s="250"/>
      <c r="X982" s="250"/>
      <c r="Y982" s="250"/>
      <c r="Z982" s="250"/>
      <c r="AA982" s="250"/>
      <c r="AB982" s="250"/>
      <c r="AC982" s="250"/>
      <c r="AD982" s="250"/>
      <c r="AE982" s="250"/>
      <c r="AF982" s="250"/>
      <c r="AG982" s="250"/>
      <c r="AH982" s="250"/>
      <c r="AI982" s="250"/>
      <c r="AJ982" s="250"/>
      <c r="AK982" s="250"/>
      <c r="AL982" s="250"/>
      <c r="AM982" s="250"/>
      <c r="AN982" s="250"/>
      <c r="AO982" s="250"/>
      <c r="AP982" s="250"/>
      <c r="AQ982" s="250"/>
      <c r="AR982" s="250"/>
      <c r="AS982" s="250"/>
      <c r="AT982" s="250"/>
      <c r="AU982" s="250"/>
      <c r="AV982" s="124"/>
    </row>
    <row r="983" spans="2:48" s="475" customFormat="1" x14ac:dyDescent="0.2">
      <c r="B983" s="250"/>
      <c r="C983" s="250"/>
      <c r="D983" s="250"/>
      <c r="E983" s="250"/>
      <c r="F983" s="250"/>
      <c r="G983" s="250"/>
      <c r="H983" s="250"/>
      <c r="I983" s="250"/>
      <c r="J983" s="250"/>
      <c r="K983" s="250"/>
      <c r="L983" s="250"/>
      <c r="M983" s="250"/>
      <c r="N983" s="250"/>
      <c r="O983" s="250"/>
      <c r="P983" s="250"/>
      <c r="Q983" s="250"/>
      <c r="R983" s="250"/>
      <c r="S983" s="250"/>
      <c r="T983" s="250"/>
      <c r="U983" s="250"/>
      <c r="V983" s="250"/>
      <c r="W983" s="250"/>
      <c r="X983" s="250"/>
      <c r="Y983" s="250"/>
      <c r="Z983" s="250"/>
      <c r="AA983" s="250"/>
      <c r="AB983" s="250"/>
      <c r="AC983" s="250"/>
      <c r="AD983" s="250"/>
      <c r="AE983" s="250"/>
      <c r="AF983" s="250"/>
      <c r="AG983" s="250"/>
      <c r="AH983" s="250"/>
      <c r="AI983" s="250"/>
      <c r="AJ983" s="250"/>
      <c r="AK983" s="250"/>
      <c r="AL983" s="250"/>
      <c r="AM983" s="250"/>
      <c r="AN983" s="250"/>
      <c r="AO983" s="250"/>
      <c r="AP983" s="250"/>
      <c r="AQ983" s="250"/>
      <c r="AR983" s="250"/>
      <c r="AS983" s="250"/>
      <c r="AT983" s="250"/>
      <c r="AU983" s="250"/>
      <c r="AV983" s="124"/>
    </row>
    <row r="984" spans="2:48" s="475" customFormat="1" x14ac:dyDescent="0.2">
      <c r="B984" s="250"/>
      <c r="C984" s="250"/>
      <c r="D984" s="250"/>
      <c r="E984" s="250"/>
      <c r="F984" s="250"/>
      <c r="G984" s="250"/>
      <c r="H984" s="250"/>
      <c r="I984" s="250"/>
      <c r="J984" s="250"/>
      <c r="K984" s="250"/>
      <c r="L984" s="250"/>
      <c r="M984" s="250"/>
      <c r="N984" s="250"/>
      <c r="O984" s="250"/>
      <c r="P984" s="250"/>
      <c r="Q984" s="250"/>
      <c r="R984" s="250"/>
      <c r="S984" s="250"/>
      <c r="T984" s="250"/>
      <c r="U984" s="250"/>
      <c r="V984" s="250"/>
      <c r="W984" s="250"/>
      <c r="X984" s="250"/>
      <c r="Y984" s="250"/>
      <c r="Z984" s="250"/>
      <c r="AA984" s="250"/>
      <c r="AB984" s="250"/>
      <c r="AC984" s="250"/>
      <c r="AD984" s="250"/>
      <c r="AE984" s="250"/>
      <c r="AF984" s="250"/>
      <c r="AG984" s="250"/>
      <c r="AH984" s="250"/>
      <c r="AI984" s="250"/>
      <c r="AJ984" s="250"/>
      <c r="AK984" s="250"/>
      <c r="AL984" s="250"/>
      <c r="AM984" s="250"/>
      <c r="AN984" s="250"/>
      <c r="AO984" s="250"/>
      <c r="AP984" s="250"/>
      <c r="AQ984" s="250"/>
      <c r="AR984" s="250"/>
      <c r="AS984" s="250"/>
      <c r="AT984" s="250"/>
      <c r="AU984" s="250"/>
      <c r="AV984" s="124"/>
    </row>
    <row r="985" spans="2:48" s="475" customFormat="1" x14ac:dyDescent="0.2">
      <c r="B985" s="250"/>
      <c r="C985" s="250"/>
      <c r="D985" s="250"/>
      <c r="E985" s="250"/>
      <c r="F985" s="250"/>
      <c r="G985" s="250"/>
      <c r="H985" s="250"/>
      <c r="I985" s="250"/>
      <c r="J985" s="250"/>
      <c r="K985" s="250"/>
      <c r="L985" s="250"/>
      <c r="M985" s="250"/>
      <c r="N985" s="250"/>
      <c r="O985" s="250"/>
      <c r="P985" s="250"/>
      <c r="Q985" s="250"/>
      <c r="R985" s="250"/>
      <c r="S985" s="250"/>
      <c r="T985" s="250"/>
      <c r="U985" s="250"/>
      <c r="V985" s="250"/>
      <c r="W985" s="250"/>
      <c r="X985" s="250"/>
      <c r="Y985" s="250"/>
      <c r="Z985" s="250"/>
      <c r="AA985" s="250"/>
      <c r="AB985" s="250"/>
      <c r="AC985" s="250"/>
      <c r="AD985" s="250"/>
      <c r="AE985" s="250"/>
      <c r="AF985" s="250"/>
      <c r="AG985" s="250"/>
      <c r="AH985" s="250"/>
      <c r="AI985" s="250"/>
      <c r="AJ985" s="250"/>
      <c r="AK985" s="250"/>
      <c r="AL985" s="250"/>
      <c r="AM985" s="250"/>
      <c r="AN985" s="250"/>
      <c r="AO985" s="250"/>
      <c r="AP985" s="250"/>
      <c r="AQ985" s="250"/>
      <c r="AR985" s="250"/>
      <c r="AS985" s="250"/>
      <c r="AT985" s="250"/>
      <c r="AU985" s="250"/>
      <c r="AV985" s="124"/>
    </row>
    <row r="986" spans="2:48" s="475" customFormat="1" x14ac:dyDescent="0.2">
      <c r="B986" s="250"/>
      <c r="C986" s="250"/>
      <c r="D986" s="250"/>
      <c r="E986" s="250"/>
      <c r="F986" s="250"/>
      <c r="G986" s="250"/>
      <c r="H986" s="250"/>
      <c r="I986" s="250"/>
      <c r="J986" s="250"/>
      <c r="K986" s="250"/>
      <c r="L986" s="250"/>
      <c r="M986" s="250"/>
      <c r="N986" s="250"/>
      <c r="O986" s="250"/>
      <c r="P986" s="250"/>
      <c r="Q986" s="250"/>
      <c r="R986" s="250"/>
      <c r="S986" s="250"/>
      <c r="T986" s="250"/>
      <c r="U986" s="250"/>
      <c r="V986" s="250"/>
      <c r="W986" s="250"/>
      <c r="X986" s="250"/>
      <c r="Y986" s="250"/>
      <c r="Z986" s="250"/>
      <c r="AA986" s="250"/>
      <c r="AB986" s="250"/>
      <c r="AC986" s="250"/>
      <c r="AD986" s="250"/>
      <c r="AE986" s="250"/>
      <c r="AF986" s="250"/>
      <c r="AG986" s="250"/>
      <c r="AH986" s="250"/>
      <c r="AI986" s="250"/>
      <c r="AJ986" s="250"/>
      <c r="AK986" s="250"/>
      <c r="AL986" s="250"/>
      <c r="AM986" s="250"/>
      <c r="AN986" s="250"/>
      <c r="AO986" s="250"/>
      <c r="AP986" s="250"/>
      <c r="AQ986" s="250"/>
      <c r="AR986" s="250"/>
      <c r="AS986" s="250"/>
      <c r="AT986" s="250"/>
      <c r="AU986" s="250"/>
      <c r="AV986" s="124"/>
    </row>
    <row r="987" spans="2:48" s="475" customFormat="1" x14ac:dyDescent="0.2">
      <c r="B987" s="250"/>
      <c r="C987" s="250"/>
      <c r="D987" s="250"/>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c r="AA987" s="250"/>
      <c r="AB987" s="250"/>
      <c r="AC987" s="250"/>
      <c r="AD987" s="250"/>
      <c r="AE987" s="250"/>
      <c r="AF987" s="250"/>
      <c r="AG987" s="250"/>
      <c r="AH987" s="250"/>
      <c r="AI987" s="250"/>
      <c r="AJ987" s="250"/>
      <c r="AK987" s="250"/>
      <c r="AL987" s="250"/>
      <c r="AM987" s="250"/>
      <c r="AN987" s="250"/>
      <c r="AO987" s="250"/>
      <c r="AP987" s="250"/>
      <c r="AQ987" s="250"/>
      <c r="AR987" s="250"/>
      <c r="AS987" s="250"/>
      <c r="AT987" s="250"/>
      <c r="AU987" s="250"/>
      <c r="AV987" s="124"/>
    </row>
    <row r="988" spans="2:48" s="475" customFormat="1" x14ac:dyDescent="0.2">
      <c r="B988" s="250"/>
      <c r="C988" s="250"/>
      <c r="D988" s="250"/>
      <c r="E988" s="250"/>
      <c r="F988" s="250"/>
      <c r="G988" s="250"/>
      <c r="H988" s="250"/>
      <c r="I988" s="250"/>
      <c r="J988" s="250"/>
      <c r="K988" s="250"/>
      <c r="L988" s="250"/>
      <c r="M988" s="250"/>
      <c r="N988" s="250"/>
      <c r="O988" s="250"/>
      <c r="P988" s="250"/>
      <c r="Q988" s="250"/>
      <c r="R988" s="250"/>
      <c r="S988" s="250"/>
      <c r="T988" s="250"/>
      <c r="U988" s="250"/>
      <c r="V988" s="250"/>
      <c r="W988" s="250"/>
      <c r="X988" s="250"/>
      <c r="Y988" s="250"/>
      <c r="Z988" s="250"/>
      <c r="AA988" s="250"/>
      <c r="AB988" s="250"/>
      <c r="AC988" s="250"/>
      <c r="AD988" s="250"/>
      <c r="AE988" s="250"/>
      <c r="AF988" s="250"/>
      <c r="AG988" s="250"/>
      <c r="AH988" s="250"/>
      <c r="AI988" s="250"/>
      <c r="AJ988" s="250"/>
      <c r="AK988" s="250"/>
      <c r="AL988" s="250"/>
      <c r="AM988" s="250"/>
      <c r="AN988" s="250"/>
      <c r="AO988" s="250"/>
      <c r="AP988" s="250"/>
      <c r="AQ988" s="250"/>
      <c r="AR988" s="250"/>
      <c r="AS988" s="250"/>
      <c r="AT988" s="250"/>
      <c r="AU988" s="250"/>
      <c r="AV988" s="124"/>
    </row>
    <row r="989" spans="2:48" s="475" customFormat="1" x14ac:dyDescent="0.2">
      <c r="B989" s="250"/>
      <c r="C989" s="250"/>
      <c r="D989" s="250"/>
      <c r="E989" s="250"/>
      <c r="F989" s="250"/>
      <c r="G989" s="250"/>
      <c r="H989" s="250"/>
      <c r="I989" s="250"/>
      <c r="J989" s="250"/>
      <c r="K989" s="250"/>
      <c r="L989" s="250"/>
      <c r="M989" s="250"/>
      <c r="N989" s="250"/>
      <c r="O989" s="250"/>
      <c r="P989" s="250"/>
      <c r="Q989" s="250"/>
      <c r="R989" s="250"/>
      <c r="S989" s="250"/>
      <c r="T989" s="250"/>
      <c r="U989" s="250"/>
      <c r="V989" s="250"/>
      <c r="W989" s="250"/>
      <c r="X989" s="250"/>
      <c r="Y989" s="250"/>
      <c r="Z989" s="250"/>
      <c r="AA989" s="250"/>
      <c r="AB989" s="250"/>
      <c r="AC989" s="250"/>
      <c r="AD989" s="250"/>
      <c r="AE989" s="250"/>
      <c r="AF989" s="250"/>
      <c r="AG989" s="250"/>
      <c r="AH989" s="250"/>
      <c r="AI989" s="250"/>
      <c r="AJ989" s="250"/>
      <c r="AK989" s="250"/>
      <c r="AL989" s="250"/>
      <c r="AM989" s="250"/>
      <c r="AN989" s="250"/>
      <c r="AO989" s="250"/>
      <c r="AP989" s="250"/>
      <c r="AQ989" s="250"/>
      <c r="AR989" s="250"/>
      <c r="AS989" s="250"/>
      <c r="AT989" s="250"/>
      <c r="AU989" s="250"/>
      <c r="AV989" s="124"/>
    </row>
    <row r="990" spans="2:48" s="475" customFormat="1" x14ac:dyDescent="0.2">
      <c r="B990" s="250"/>
      <c r="C990" s="250"/>
      <c r="D990" s="250"/>
      <c r="E990" s="250"/>
      <c r="F990" s="250"/>
      <c r="G990" s="250"/>
      <c r="H990" s="250"/>
      <c r="I990" s="250"/>
      <c r="J990" s="250"/>
      <c r="K990" s="250"/>
      <c r="L990" s="250"/>
      <c r="M990" s="250"/>
      <c r="N990" s="250"/>
      <c r="O990" s="250"/>
      <c r="P990" s="250"/>
      <c r="Q990" s="250"/>
      <c r="R990" s="250"/>
      <c r="S990" s="250"/>
      <c r="T990" s="250"/>
      <c r="U990" s="250"/>
      <c r="V990" s="250"/>
      <c r="W990" s="250"/>
      <c r="X990" s="250"/>
      <c r="Y990" s="250"/>
      <c r="Z990" s="250"/>
      <c r="AA990" s="250"/>
      <c r="AB990" s="250"/>
      <c r="AC990" s="250"/>
      <c r="AD990" s="250"/>
      <c r="AE990" s="250"/>
      <c r="AF990" s="250"/>
      <c r="AG990" s="250"/>
      <c r="AH990" s="250"/>
      <c r="AI990" s="250"/>
      <c r="AJ990" s="250"/>
      <c r="AK990" s="250"/>
      <c r="AL990" s="250"/>
      <c r="AM990" s="250"/>
      <c r="AN990" s="250"/>
      <c r="AO990" s="250"/>
      <c r="AP990" s="250"/>
      <c r="AQ990" s="250"/>
      <c r="AR990" s="250"/>
      <c r="AS990" s="250"/>
      <c r="AT990" s="250"/>
      <c r="AU990" s="250"/>
      <c r="AV990" s="124"/>
    </row>
    <row r="991" spans="2:48" s="475" customFormat="1" x14ac:dyDescent="0.2">
      <c r="B991" s="250"/>
      <c r="C991" s="250"/>
      <c r="D991" s="250"/>
      <c r="E991" s="250"/>
      <c r="F991" s="250"/>
      <c r="G991" s="250"/>
      <c r="H991" s="250"/>
      <c r="I991" s="250"/>
      <c r="J991" s="250"/>
      <c r="K991" s="250"/>
      <c r="L991" s="250"/>
      <c r="M991" s="250"/>
      <c r="N991" s="250"/>
      <c r="O991" s="250"/>
      <c r="P991" s="250"/>
      <c r="Q991" s="250"/>
      <c r="R991" s="250"/>
      <c r="S991" s="250"/>
      <c r="T991" s="250"/>
      <c r="U991" s="250"/>
      <c r="V991" s="250"/>
      <c r="W991" s="250"/>
      <c r="X991" s="250"/>
      <c r="Y991" s="250"/>
      <c r="Z991" s="250"/>
      <c r="AA991" s="250"/>
      <c r="AB991" s="250"/>
      <c r="AC991" s="250"/>
      <c r="AD991" s="250"/>
      <c r="AE991" s="250"/>
      <c r="AF991" s="250"/>
      <c r="AG991" s="250"/>
      <c r="AH991" s="250"/>
      <c r="AI991" s="250"/>
      <c r="AJ991" s="250"/>
      <c r="AK991" s="250"/>
      <c r="AL991" s="250"/>
      <c r="AM991" s="250"/>
      <c r="AN991" s="250"/>
      <c r="AO991" s="250"/>
      <c r="AP991" s="250"/>
      <c r="AQ991" s="250"/>
      <c r="AR991" s="250"/>
      <c r="AS991" s="250"/>
      <c r="AT991" s="250"/>
      <c r="AU991" s="250"/>
      <c r="AV991" s="124"/>
    </row>
    <row r="992" spans="2:48" s="475" customFormat="1" x14ac:dyDescent="0.2">
      <c r="B992" s="250"/>
      <c r="C992" s="250"/>
      <c r="D992" s="250"/>
      <c r="E992" s="250"/>
      <c r="F992" s="250"/>
      <c r="G992" s="250"/>
      <c r="H992" s="250"/>
      <c r="I992" s="250"/>
      <c r="J992" s="250"/>
      <c r="K992" s="250"/>
      <c r="L992" s="250"/>
      <c r="M992" s="250"/>
      <c r="N992" s="250"/>
      <c r="O992" s="250"/>
      <c r="P992" s="250"/>
      <c r="Q992" s="250"/>
      <c r="R992" s="250"/>
      <c r="S992" s="250"/>
      <c r="T992" s="250"/>
      <c r="U992" s="250"/>
      <c r="V992" s="250"/>
      <c r="W992" s="250"/>
      <c r="X992" s="250"/>
      <c r="Y992" s="250"/>
      <c r="Z992" s="250"/>
      <c r="AA992" s="250"/>
      <c r="AB992" s="250"/>
      <c r="AC992" s="250"/>
      <c r="AD992" s="250"/>
      <c r="AE992" s="250"/>
      <c r="AF992" s="250"/>
      <c r="AG992" s="250"/>
      <c r="AH992" s="250"/>
      <c r="AI992" s="250"/>
      <c r="AJ992" s="250"/>
      <c r="AK992" s="250"/>
      <c r="AL992" s="250"/>
      <c r="AM992" s="250"/>
      <c r="AN992" s="250"/>
      <c r="AO992" s="250"/>
      <c r="AP992" s="250"/>
      <c r="AQ992" s="250"/>
      <c r="AR992" s="250"/>
      <c r="AS992" s="250"/>
      <c r="AT992" s="250"/>
      <c r="AU992" s="250"/>
      <c r="AV992" s="124"/>
    </row>
    <row r="993" spans="2:48" s="475" customFormat="1" x14ac:dyDescent="0.2">
      <c r="B993" s="250"/>
      <c r="C993" s="250"/>
      <c r="D993" s="250"/>
      <c r="E993" s="250"/>
      <c r="F993" s="250"/>
      <c r="G993" s="250"/>
      <c r="H993" s="250"/>
      <c r="I993" s="250"/>
      <c r="J993" s="250"/>
      <c r="K993" s="250"/>
      <c r="L993" s="250"/>
      <c r="M993" s="250"/>
      <c r="N993" s="250"/>
      <c r="O993" s="250"/>
      <c r="P993" s="250"/>
      <c r="Q993" s="250"/>
      <c r="R993" s="250"/>
      <c r="S993" s="250"/>
      <c r="T993" s="250"/>
      <c r="U993" s="250"/>
      <c r="V993" s="250"/>
      <c r="W993" s="250"/>
      <c r="X993" s="250"/>
      <c r="Y993" s="250"/>
      <c r="Z993" s="250"/>
      <c r="AA993" s="250"/>
      <c r="AB993" s="250"/>
      <c r="AC993" s="250"/>
      <c r="AD993" s="250"/>
      <c r="AE993" s="250"/>
      <c r="AF993" s="250"/>
      <c r="AG993" s="250"/>
      <c r="AH993" s="250"/>
      <c r="AI993" s="250"/>
      <c r="AJ993" s="250"/>
      <c r="AK993" s="250"/>
      <c r="AL993" s="250"/>
      <c r="AM993" s="250"/>
      <c r="AN993" s="250"/>
      <c r="AO993" s="250"/>
      <c r="AP993" s="250"/>
      <c r="AQ993" s="250"/>
      <c r="AR993" s="250"/>
      <c r="AS993" s="250"/>
      <c r="AT993" s="250"/>
      <c r="AU993" s="250"/>
      <c r="AV993" s="124"/>
    </row>
    <row r="994" spans="2:48" s="475" customFormat="1" x14ac:dyDescent="0.2">
      <c r="B994" s="250"/>
      <c r="C994" s="250"/>
      <c r="D994" s="250"/>
      <c r="E994" s="250"/>
      <c r="F994" s="250"/>
      <c r="G994" s="250"/>
      <c r="H994" s="250"/>
      <c r="I994" s="250"/>
      <c r="J994" s="250"/>
      <c r="K994" s="250"/>
      <c r="L994" s="250"/>
      <c r="M994" s="250"/>
      <c r="N994" s="250"/>
      <c r="O994" s="250"/>
      <c r="P994" s="250"/>
      <c r="Q994" s="250"/>
      <c r="R994" s="250"/>
      <c r="S994" s="250"/>
      <c r="T994" s="250"/>
      <c r="U994" s="250"/>
      <c r="V994" s="250"/>
      <c r="W994" s="250"/>
      <c r="X994" s="250"/>
      <c r="Y994" s="250"/>
      <c r="Z994" s="250"/>
      <c r="AA994" s="250"/>
      <c r="AB994" s="250"/>
      <c r="AC994" s="250"/>
      <c r="AD994" s="250"/>
      <c r="AE994" s="250"/>
      <c r="AF994" s="250"/>
      <c r="AG994" s="250"/>
      <c r="AH994" s="250"/>
      <c r="AI994" s="250"/>
      <c r="AJ994" s="250"/>
      <c r="AK994" s="250"/>
      <c r="AL994" s="250"/>
      <c r="AM994" s="250"/>
      <c r="AN994" s="250"/>
      <c r="AO994" s="250"/>
      <c r="AP994" s="250"/>
      <c r="AQ994" s="250"/>
      <c r="AR994" s="250"/>
      <c r="AS994" s="250"/>
      <c r="AT994" s="250"/>
      <c r="AU994" s="250"/>
      <c r="AV994" s="124"/>
    </row>
    <row r="995" spans="2:48" s="475" customFormat="1" x14ac:dyDescent="0.2">
      <c r="B995" s="250"/>
      <c r="C995" s="250"/>
      <c r="D995" s="250"/>
      <c r="E995" s="250"/>
      <c r="F995" s="250"/>
      <c r="G995" s="250"/>
      <c r="H995" s="250"/>
      <c r="I995" s="250"/>
      <c r="J995" s="250"/>
      <c r="K995" s="250"/>
      <c r="L995" s="250"/>
      <c r="M995" s="250"/>
      <c r="N995" s="250"/>
      <c r="O995" s="250"/>
      <c r="P995" s="250"/>
      <c r="Q995" s="250"/>
      <c r="R995" s="250"/>
      <c r="S995" s="250"/>
      <c r="T995" s="250"/>
      <c r="U995" s="250"/>
      <c r="V995" s="250"/>
      <c r="W995" s="250"/>
      <c r="X995" s="250"/>
      <c r="Y995" s="250"/>
      <c r="Z995" s="250"/>
      <c r="AA995" s="250"/>
      <c r="AB995" s="250"/>
      <c r="AC995" s="250"/>
      <c r="AD995" s="250"/>
      <c r="AE995" s="250"/>
      <c r="AF995" s="250"/>
      <c r="AG995" s="250"/>
      <c r="AH995" s="250"/>
      <c r="AI995" s="250"/>
      <c r="AJ995" s="250"/>
      <c r="AK995" s="250"/>
      <c r="AL995" s="250"/>
      <c r="AM995" s="250"/>
      <c r="AN995" s="250"/>
      <c r="AO995" s="250"/>
      <c r="AP995" s="250"/>
      <c r="AQ995" s="250"/>
      <c r="AR995" s="250"/>
      <c r="AS995" s="250"/>
      <c r="AT995" s="250"/>
      <c r="AU995" s="250"/>
      <c r="AV995" s="124"/>
    </row>
    <row r="996" spans="2:48" s="475" customFormat="1" x14ac:dyDescent="0.2">
      <c r="B996" s="250"/>
      <c r="C996" s="250"/>
      <c r="D996" s="250"/>
      <c r="E996" s="250"/>
      <c r="F996" s="250"/>
      <c r="G996" s="250"/>
      <c r="H996" s="250"/>
      <c r="I996" s="250"/>
      <c r="J996" s="250"/>
      <c r="K996" s="250"/>
      <c r="L996" s="250"/>
      <c r="M996" s="250"/>
      <c r="N996" s="250"/>
      <c r="O996" s="250"/>
      <c r="P996" s="250"/>
      <c r="Q996" s="250"/>
      <c r="R996" s="250"/>
      <c r="S996" s="250"/>
      <c r="T996" s="250"/>
      <c r="U996" s="250"/>
      <c r="V996" s="250"/>
      <c r="W996" s="250"/>
      <c r="X996" s="250"/>
      <c r="Y996" s="250"/>
      <c r="Z996" s="250"/>
      <c r="AA996" s="250"/>
      <c r="AB996" s="250"/>
      <c r="AC996" s="250"/>
      <c r="AD996" s="250"/>
      <c r="AE996" s="250"/>
      <c r="AF996" s="250"/>
      <c r="AG996" s="250"/>
      <c r="AH996" s="250"/>
      <c r="AI996" s="250"/>
      <c r="AJ996" s="250"/>
      <c r="AK996" s="250"/>
      <c r="AL996" s="250"/>
      <c r="AM996" s="250"/>
      <c r="AN996" s="250"/>
      <c r="AO996" s="250"/>
      <c r="AP996" s="250"/>
      <c r="AQ996" s="250"/>
      <c r="AR996" s="250"/>
      <c r="AS996" s="250"/>
      <c r="AT996" s="250"/>
      <c r="AU996" s="250"/>
      <c r="AV996" s="124"/>
    </row>
    <row r="997" spans="2:48" s="475" customFormat="1" x14ac:dyDescent="0.2">
      <c r="B997" s="250"/>
      <c r="C997" s="250"/>
      <c r="D997" s="250"/>
      <c r="E997" s="250"/>
      <c r="F997" s="250"/>
      <c r="G997" s="250"/>
      <c r="H997" s="250"/>
      <c r="I997" s="250"/>
      <c r="J997" s="250"/>
      <c r="K997" s="250"/>
      <c r="L997" s="250"/>
      <c r="M997" s="250"/>
      <c r="N997" s="250"/>
      <c r="O997" s="250"/>
      <c r="P997" s="250"/>
      <c r="Q997" s="250"/>
      <c r="R997" s="250"/>
      <c r="S997" s="250"/>
      <c r="T997" s="250"/>
      <c r="U997" s="250"/>
      <c r="V997" s="250"/>
      <c r="W997" s="250"/>
      <c r="X997" s="250"/>
      <c r="Y997" s="250"/>
      <c r="Z997" s="250"/>
      <c r="AA997" s="250"/>
      <c r="AB997" s="250"/>
      <c r="AC997" s="250"/>
      <c r="AD997" s="250"/>
      <c r="AE997" s="250"/>
      <c r="AF997" s="250"/>
      <c r="AG997" s="250"/>
      <c r="AH997" s="250"/>
      <c r="AI997" s="250"/>
      <c r="AJ997" s="250"/>
      <c r="AK997" s="250"/>
      <c r="AL997" s="250"/>
      <c r="AM997" s="250"/>
      <c r="AN997" s="250"/>
      <c r="AO997" s="250"/>
      <c r="AP997" s="250"/>
      <c r="AQ997" s="250"/>
      <c r="AR997" s="250"/>
      <c r="AS997" s="250"/>
      <c r="AT997" s="250"/>
      <c r="AU997" s="250"/>
      <c r="AV997" s="124"/>
    </row>
    <row r="998" spans="2:48" s="475" customFormat="1" x14ac:dyDescent="0.2">
      <c r="B998" s="250"/>
      <c r="C998" s="250"/>
      <c r="D998" s="250"/>
      <c r="E998" s="250"/>
      <c r="F998" s="250"/>
      <c r="G998" s="250"/>
      <c r="H998" s="250"/>
      <c r="I998" s="250"/>
      <c r="J998" s="250"/>
      <c r="K998" s="250"/>
      <c r="L998" s="250"/>
      <c r="M998" s="250"/>
      <c r="N998" s="250"/>
      <c r="O998" s="250"/>
      <c r="P998" s="250"/>
      <c r="Q998" s="250"/>
      <c r="R998" s="250"/>
      <c r="S998" s="250"/>
      <c r="T998" s="250"/>
      <c r="U998" s="250"/>
      <c r="V998" s="250"/>
      <c r="W998" s="250"/>
      <c r="X998" s="250"/>
      <c r="Y998" s="250"/>
      <c r="Z998" s="250"/>
      <c r="AA998" s="250"/>
      <c r="AB998" s="250"/>
      <c r="AC998" s="250"/>
      <c r="AD998" s="250"/>
      <c r="AE998" s="250"/>
      <c r="AF998" s="250"/>
      <c r="AG998" s="250"/>
      <c r="AH998" s="250"/>
      <c r="AI998" s="250"/>
      <c r="AJ998" s="250"/>
      <c r="AK998" s="250"/>
      <c r="AL998" s="250"/>
      <c r="AM998" s="250"/>
      <c r="AN998" s="250"/>
      <c r="AO998" s="250"/>
      <c r="AP998" s="250"/>
      <c r="AQ998" s="250"/>
      <c r="AR998" s="250"/>
      <c r="AS998" s="250"/>
      <c r="AT998" s="250"/>
      <c r="AU998" s="250"/>
      <c r="AV998" s="124"/>
    </row>
    <row r="999" spans="2:48" s="475" customFormat="1" x14ac:dyDescent="0.2">
      <c r="B999" s="250"/>
      <c r="C999" s="250"/>
      <c r="D999" s="250"/>
      <c r="E999" s="250"/>
      <c r="F999" s="250"/>
      <c r="G999" s="250"/>
      <c r="H999" s="250"/>
      <c r="I999" s="250"/>
      <c r="J999" s="250"/>
      <c r="K999" s="250"/>
      <c r="L999" s="250"/>
      <c r="M999" s="250"/>
      <c r="N999" s="250"/>
      <c r="O999" s="250"/>
      <c r="P999" s="250"/>
      <c r="Q999" s="250"/>
      <c r="R999" s="250"/>
      <c r="S999" s="250"/>
      <c r="T999" s="250"/>
      <c r="U999" s="250"/>
      <c r="V999" s="250"/>
      <c r="W999" s="250"/>
      <c r="X999" s="250"/>
      <c r="Y999" s="250"/>
      <c r="Z999" s="250"/>
      <c r="AA999" s="250"/>
      <c r="AB999" s="250"/>
      <c r="AC999" s="250"/>
      <c r="AD999" s="250"/>
      <c r="AE999" s="250"/>
      <c r="AF999" s="250"/>
      <c r="AG999" s="250"/>
      <c r="AH999" s="250"/>
      <c r="AI999" s="250"/>
      <c r="AJ999" s="250"/>
      <c r="AK999" s="250"/>
      <c r="AL999" s="250"/>
      <c r="AM999" s="250"/>
      <c r="AN999" s="250"/>
      <c r="AO999" s="250"/>
      <c r="AP999" s="250"/>
      <c r="AQ999" s="250"/>
      <c r="AR999" s="250"/>
      <c r="AS999" s="250"/>
      <c r="AT999" s="250"/>
      <c r="AU999" s="250"/>
      <c r="AV999" s="124"/>
    </row>
    <row r="1000" spans="2:48" s="475" customFormat="1" x14ac:dyDescent="0.2">
      <c r="B1000" s="250"/>
      <c r="C1000" s="250"/>
      <c r="D1000" s="250"/>
      <c r="E1000" s="250"/>
      <c r="F1000" s="250"/>
      <c r="G1000" s="250"/>
      <c r="H1000" s="250"/>
      <c r="I1000" s="250"/>
      <c r="J1000" s="250"/>
      <c r="K1000" s="250"/>
      <c r="L1000" s="250"/>
      <c r="M1000" s="250"/>
      <c r="N1000" s="250"/>
      <c r="O1000" s="250"/>
      <c r="P1000" s="250"/>
      <c r="Q1000" s="250"/>
      <c r="R1000" s="250"/>
      <c r="S1000" s="250"/>
      <c r="T1000" s="250"/>
      <c r="U1000" s="250"/>
      <c r="V1000" s="250"/>
      <c r="W1000" s="250"/>
      <c r="X1000" s="250"/>
      <c r="Y1000" s="250"/>
      <c r="Z1000" s="250"/>
      <c r="AA1000" s="250"/>
      <c r="AB1000" s="250"/>
      <c r="AC1000" s="250"/>
      <c r="AD1000" s="250"/>
      <c r="AE1000" s="250"/>
      <c r="AF1000" s="250"/>
      <c r="AG1000" s="250"/>
      <c r="AH1000" s="250"/>
      <c r="AI1000" s="250"/>
      <c r="AJ1000" s="250"/>
      <c r="AK1000" s="250"/>
      <c r="AL1000" s="250"/>
      <c r="AM1000" s="250"/>
      <c r="AN1000" s="250"/>
      <c r="AO1000" s="250"/>
      <c r="AP1000" s="250"/>
      <c r="AQ1000" s="250"/>
      <c r="AR1000" s="250"/>
      <c r="AS1000" s="250"/>
      <c r="AT1000" s="250"/>
      <c r="AU1000" s="250"/>
      <c r="AV1000" s="124"/>
    </row>
    <row r="1001" spans="2:48" s="475" customFormat="1" x14ac:dyDescent="0.2">
      <c r="B1001" s="250"/>
      <c r="C1001" s="250"/>
      <c r="D1001" s="250"/>
      <c r="E1001" s="250"/>
      <c r="F1001" s="250"/>
      <c r="G1001" s="250"/>
      <c r="H1001" s="250"/>
      <c r="I1001" s="250"/>
      <c r="J1001" s="250"/>
      <c r="K1001" s="250"/>
      <c r="L1001" s="250"/>
      <c r="M1001" s="250"/>
      <c r="N1001" s="250"/>
      <c r="O1001" s="250"/>
      <c r="P1001" s="250"/>
      <c r="Q1001" s="250"/>
      <c r="R1001" s="250"/>
      <c r="S1001" s="250"/>
      <c r="T1001" s="250"/>
      <c r="U1001" s="250"/>
      <c r="V1001" s="250"/>
      <c r="W1001" s="250"/>
      <c r="X1001" s="250"/>
      <c r="Y1001" s="250"/>
      <c r="Z1001" s="250"/>
      <c r="AA1001" s="250"/>
      <c r="AB1001" s="250"/>
      <c r="AC1001" s="250"/>
      <c r="AD1001" s="250"/>
      <c r="AE1001" s="250"/>
      <c r="AF1001" s="250"/>
      <c r="AG1001" s="250"/>
      <c r="AH1001" s="250"/>
      <c r="AI1001" s="250"/>
      <c r="AJ1001" s="250"/>
      <c r="AK1001" s="250"/>
      <c r="AL1001" s="250"/>
      <c r="AM1001" s="250"/>
      <c r="AN1001" s="250"/>
      <c r="AO1001" s="250"/>
      <c r="AP1001" s="250"/>
      <c r="AQ1001" s="250"/>
      <c r="AR1001" s="250"/>
      <c r="AS1001" s="250"/>
      <c r="AT1001" s="250"/>
      <c r="AU1001" s="250"/>
      <c r="AV1001" s="124"/>
    </row>
    <row r="1002" spans="2:48" s="475" customFormat="1" x14ac:dyDescent="0.2">
      <c r="B1002" s="250"/>
      <c r="C1002" s="250"/>
      <c r="D1002" s="250"/>
      <c r="E1002" s="250"/>
      <c r="F1002" s="250"/>
      <c r="G1002" s="250"/>
      <c r="H1002" s="250"/>
      <c r="I1002" s="250"/>
      <c r="J1002" s="250"/>
      <c r="K1002" s="250"/>
      <c r="L1002" s="250"/>
      <c r="M1002" s="250"/>
      <c r="N1002" s="250"/>
      <c r="O1002" s="250"/>
      <c r="P1002" s="250"/>
      <c r="Q1002" s="250"/>
      <c r="R1002" s="250"/>
      <c r="S1002" s="250"/>
      <c r="T1002" s="250"/>
      <c r="U1002" s="250"/>
      <c r="V1002" s="250"/>
      <c r="W1002" s="250"/>
      <c r="X1002" s="250"/>
      <c r="Y1002" s="250"/>
      <c r="Z1002" s="250"/>
      <c r="AA1002" s="250"/>
      <c r="AB1002" s="250"/>
      <c r="AC1002" s="250"/>
      <c r="AD1002" s="250"/>
      <c r="AE1002" s="250"/>
      <c r="AF1002" s="250"/>
      <c r="AG1002" s="250"/>
      <c r="AH1002" s="250"/>
      <c r="AI1002" s="250"/>
      <c r="AJ1002" s="250"/>
      <c r="AK1002" s="250"/>
      <c r="AL1002" s="250"/>
      <c r="AM1002" s="250"/>
      <c r="AN1002" s="250"/>
      <c r="AO1002" s="250"/>
      <c r="AP1002" s="250"/>
      <c r="AQ1002" s="250"/>
      <c r="AR1002" s="250"/>
      <c r="AS1002" s="250"/>
      <c r="AT1002" s="250"/>
      <c r="AU1002" s="250"/>
      <c r="AV1002" s="124"/>
    </row>
    <row r="1003" spans="2:48" s="475" customFormat="1" x14ac:dyDescent="0.2">
      <c r="B1003" s="250"/>
      <c r="C1003" s="250"/>
      <c r="D1003" s="250"/>
      <c r="E1003" s="250"/>
      <c r="F1003" s="250"/>
      <c r="G1003" s="250"/>
      <c r="H1003" s="250"/>
      <c r="I1003" s="250"/>
      <c r="J1003" s="250"/>
      <c r="K1003" s="250"/>
      <c r="L1003" s="250"/>
      <c r="M1003" s="250"/>
      <c r="N1003" s="250"/>
      <c r="O1003" s="250"/>
      <c r="P1003" s="250"/>
      <c r="Q1003" s="250"/>
      <c r="R1003" s="250"/>
      <c r="S1003" s="250"/>
      <c r="T1003" s="250"/>
      <c r="U1003" s="250"/>
      <c r="V1003" s="250"/>
      <c r="W1003" s="250"/>
      <c r="X1003" s="250"/>
      <c r="Y1003" s="250"/>
      <c r="Z1003" s="250"/>
      <c r="AA1003" s="250"/>
      <c r="AB1003" s="250"/>
      <c r="AC1003" s="250"/>
      <c r="AD1003" s="250"/>
      <c r="AE1003" s="250"/>
      <c r="AF1003" s="250"/>
      <c r="AG1003" s="250"/>
      <c r="AH1003" s="250"/>
      <c r="AI1003" s="250"/>
      <c r="AJ1003" s="250"/>
      <c r="AK1003" s="250"/>
      <c r="AL1003" s="250"/>
      <c r="AM1003" s="250"/>
      <c r="AN1003" s="250"/>
      <c r="AO1003" s="250"/>
      <c r="AP1003" s="250"/>
      <c r="AQ1003" s="250"/>
      <c r="AR1003" s="250"/>
      <c r="AS1003" s="250"/>
      <c r="AT1003" s="250"/>
      <c r="AU1003" s="250"/>
      <c r="AV1003" s="124"/>
    </row>
    <row r="1004" spans="2:48" s="475" customFormat="1" x14ac:dyDescent="0.2">
      <c r="B1004" s="250"/>
      <c r="C1004" s="250"/>
      <c r="D1004" s="250"/>
      <c r="E1004" s="250"/>
      <c r="F1004" s="250"/>
      <c r="G1004" s="250"/>
      <c r="H1004" s="250"/>
      <c r="I1004" s="250"/>
      <c r="J1004" s="250"/>
      <c r="K1004" s="250"/>
      <c r="L1004" s="250"/>
      <c r="M1004" s="250"/>
      <c r="N1004" s="250"/>
      <c r="O1004" s="250"/>
      <c r="P1004" s="250"/>
      <c r="Q1004" s="250"/>
      <c r="R1004" s="250"/>
      <c r="S1004" s="250"/>
      <c r="T1004" s="250"/>
      <c r="U1004" s="250"/>
      <c r="V1004" s="250"/>
      <c r="W1004" s="250"/>
      <c r="X1004" s="250"/>
      <c r="Y1004" s="250"/>
      <c r="Z1004" s="250"/>
      <c r="AA1004" s="250"/>
      <c r="AB1004" s="250"/>
      <c r="AC1004" s="250"/>
      <c r="AD1004" s="250"/>
      <c r="AE1004" s="250"/>
      <c r="AF1004" s="250"/>
      <c r="AG1004" s="250"/>
      <c r="AH1004" s="250"/>
      <c r="AI1004" s="250"/>
      <c r="AJ1004" s="250"/>
      <c r="AK1004" s="250"/>
      <c r="AL1004" s="250"/>
      <c r="AM1004" s="250"/>
      <c r="AN1004" s="250"/>
      <c r="AO1004" s="250"/>
      <c r="AP1004" s="250"/>
      <c r="AQ1004" s="250"/>
      <c r="AR1004" s="250"/>
      <c r="AS1004" s="250"/>
      <c r="AT1004" s="250"/>
      <c r="AU1004" s="250"/>
      <c r="AV1004" s="124"/>
    </row>
    <row r="1005" spans="2:48" s="475" customFormat="1" x14ac:dyDescent="0.2">
      <c r="B1005" s="250"/>
      <c r="C1005" s="250"/>
      <c r="D1005" s="250"/>
      <c r="E1005" s="250"/>
      <c r="F1005" s="250"/>
      <c r="G1005" s="250"/>
      <c r="H1005" s="250"/>
      <c r="I1005" s="250"/>
      <c r="J1005" s="250"/>
      <c r="K1005" s="250"/>
      <c r="L1005" s="250"/>
      <c r="M1005" s="250"/>
      <c r="N1005" s="250"/>
      <c r="O1005" s="250"/>
      <c r="P1005" s="250"/>
      <c r="Q1005" s="250"/>
      <c r="R1005" s="250"/>
      <c r="S1005" s="250"/>
      <c r="T1005" s="250"/>
      <c r="U1005" s="250"/>
      <c r="V1005" s="250"/>
      <c r="W1005" s="250"/>
      <c r="X1005" s="250"/>
      <c r="Y1005" s="250"/>
      <c r="Z1005" s="250"/>
      <c r="AA1005" s="250"/>
      <c r="AB1005" s="250"/>
      <c r="AC1005" s="250"/>
      <c r="AD1005" s="250"/>
      <c r="AE1005" s="250"/>
      <c r="AF1005" s="250"/>
      <c r="AG1005" s="250"/>
      <c r="AH1005" s="250"/>
      <c r="AI1005" s="250"/>
      <c r="AJ1005" s="250"/>
      <c r="AK1005" s="250"/>
      <c r="AL1005" s="250"/>
      <c r="AM1005" s="250"/>
      <c r="AN1005" s="250"/>
      <c r="AO1005" s="250"/>
      <c r="AP1005" s="250"/>
      <c r="AQ1005" s="250"/>
      <c r="AR1005" s="250"/>
      <c r="AS1005" s="250"/>
      <c r="AT1005" s="250"/>
      <c r="AU1005" s="250"/>
      <c r="AV1005" s="124"/>
    </row>
    <row r="1006" spans="2:48" s="475" customFormat="1" x14ac:dyDescent="0.2">
      <c r="B1006" s="250"/>
      <c r="C1006" s="250"/>
      <c r="D1006" s="250"/>
      <c r="E1006" s="250"/>
      <c r="F1006" s="250"/>
      <c r="G1006" s="250"/>
      <c r="H1006" s="250"/>
      <c r="I1006" s="250"/>
      <c r="J1006" s="250"/>
      <c r="K1006" s="250"/>
      <c r="L1006" s="250"/>
      <c r="M1006" s="250"/>
      <c r="N1006" s="250"/>
      <c r="O1006" s="250"/>
      <c r="P1006" s="250"/>
      <c r="Q1006" s="250"/>
      <c r="R1006" s="250"/>
      <c r="S1006" s="250"/>
      <c r="T1006" s="250"/>
      <c r="U1006" s="250"/>
      <c r="V1006" s="250"/>
      <c r="W1006" s="250"/>
      <c r="X1006" s="250"/>
      <c r="Y1006" s="250"/>
      <c r="Z1006" s="250"/>
      <c r="AA1006" s="250"/>
      <c r="AB1006" s="250"/>
      <c r="AC1006" s="250"/>
      <c r="AD1006" s="250"/>
      <c r="AE1006" s="250"/>
      <c r="AF1006" s="250"/>
      <c r="AG1006" s="250"/>
      <c r="AH1006" s="250"/>
      <c r="AI1006" s="250"/>
      <c r="AJ1006" s="250"/>
      <c r="AK1006" s="250"/>
      <c r="AL1006" s="250"/>
      <c r="AM1006" s="250"/>
      <c r="AN1006" s="250"/>
      <c r="AO1006" s="250"/>
      <c r="AP1006" s="250"/>
      <c r="AQ1006" s="250"/>
      <c r="AR1006" s="250"/>
      <c r="AS1006" s="250"/>
      <c r="AT1006" s="250"/>
      <c r="AU1006" s="250"/>
      <c r="AV1006" s="124"/>
    </row>
    <row r="1007" spans="2:48" s="475" customFormat="1" x14ac:dyDescent="0.2">
      <c r="B1007" s="250"/>
      <c r="C1007" s="250"/>
      <c r="D1007" s="250"/>
      <c r="E1007" s="250"/>
      <c r="F1007" s="250"/>
      <c r="G1007" s="250"/>
      <c r="H1007" s="250"/>
      <c r="I1007" s="250"/>
      <c r="J1007" s="250"/>
      <c r="K1007" s="250"/>
      <c r="L1007" s="250"/>
      <c r="M1007" s="250"/>
      <c r="N1007" s="250"/>
      <c r="O1007" s="250"/>
      <c r="P1007" s="250"/>
      <c r="Q1007" s="250"/>
      <c r="R1007" s="250"/>
      <c r="S1007" s="250"/>
      <c r="T1007" s="250"/>
      <c r="U1007" s="250"/>
      <c r="V1007" s="250"/>
      <c r="W1007" s="250"/>
      <c r="X1007" s="250"/>
      <c r="Y1007" s="250"/>
      <c r="Z1007" s="250"/>
      <c r="AA1007" s="250"/>
      <c r="AB1007" s="250"/>
      <c r="AC1007" s="250"/>
      <c r="AD1007" s="250"/>
      <c r="AE1007" s="250"/>
      <c r="AF1007" s="250"/>
      <c r="AG1007" s="250"/>
      <c r="AH1007" s="250"/>
      <c r="AI1007" s="250"/>
      <c r="AJ1007" s="250"/>
      <c r="AK1007" s="250"/>
      <c r="AL1007" s="250"/>
      <c r="AM1007" s="250"/>
      <c r="AN1007" s="250"/>
      <c r="AO1007" s="250"/>
      <c r="AP1007" s="250"/>
      <c r="AQ1007" s="250"/>
      <c r="AR1007" s="250"/>
      <c r="AS1007" s="250"/>
      <c r="AT1007" s="250"/>
      <c r="AU1007" s="250"/>
      <c r="AV1007" s="124"/>
    </row>
    <row r="1008" spans="2:48" s="475" customFormat="1" x14ac:dyDescent="0.2">
      <c r="B1008" s="250"/>
      <c r="C1008" s="250"/>
      <c r="D1008" s="250"/>
      <c r="E1008" s="250"/>
      <c r="F1008" s="250"/>
      <c r="G1008" s="250"/>
      <c r="H1008" s="250"/>
      <c r="I1008" s="250"/>
      <c r="J1008" s="250"/>
      <c r="K1008" s="250"/>
      <c r="L1008" s="250"/>
      <c r="M1008" s="250"/>
      <c r="N1008" s="250"/>
      <c r="O1008" s="250"/>
      <c r="P1008" s="250"/>
      <c r="Q1008" s="250"/>
      <c r="R1008" s="250"/>
      <c r="S1008" s="250"/>
      <c r="T1008" s="250"/>
      <c r="U1008" s="250"/>
      <c r="V1008" s="250"/>
      <c r="W1008" s="250"/>
      <c r="X1008" s="250"/>
      <c r="Y1008" s="250"/>
      <c r="Z1008" s="250"/>
      <c r="AA1008" s="250"/>
      <c r="AB1008" s="250"/>
      <c r="AC1008" s="250"/>
      <c r="AD1008" s="250"/>
      <c r="AE1008" s="250"/>
      <c r="AF1008" s="250"/>
      <c r="AG1008" s="250"/>
      <c r="AH1008" s="250"/>
      <c r="AI1008" s="250"/>
      <c r="AJ1008" s="250"/>
      <c r="AK1008" s="250"/>
      <c r="AL1008" s="250"/>
      <c r="AM1008" s="250"/>
      <c r="AN1008" s="250"/>
      <c r="AO1008" s="250"/>
      <c r="AP1008" s="250"/>
      <c r="AQ1008" s="250"/>
      <c r="AR1008" s="250"/>
      <c r="AS1008" s="250"/>
      <c r="AT1008" s="250"/>
      <c r="AU1008" s="250"/>
      <c r="AV1008" s="124"/>
    </row>
    <row r="1009" spans="2:48" s="475" customFormat="1" x14ac:dyDescent="0.2">
      <c r="B1009" s="250"/>
      <c r="C1009" s="250"/>
      <c r="D1009" s="250"/>
      <c r="E1009" s="250"/>
      <c r="F1009" s="250"/>
      <c r="G1009" s="250"/>
      <c r="H1009" s="250"/>
      <c r="I1009" s="250"/>
      <c r="J1009" s="250"/>
      <c r="K1009" s="250"/>
      <c r="L1009" s="250"/>
      <c r="M1009" s="250"/>
      <c r="N1009" s="250"/>
      <c r="O1009" s="250"/>
      <c r="P1009" s="250"/>
      <c r="Q1009" s="250"/>
      <c r="R1009" s="250"/>
      <c r="S1009" s="250"/>
      <c r="T1009" s="250"/>
      <c r="U1009" s="250"/>
      <c r="V1009" s="250"/>
      <c r="W1009" s="250"/>
      <c r="X1009" s="250"/>
      <c r="Y1009" s="250"/>
      <c r="Z1009" s="250"/>
      <c r="AA1009" s="250"/>
      <c r="AB1009" s="250"/>
      <c r="AC1009" s="250"/>
      <c r="AD1009" s="250"/>
      <c r="AE1009" s="250"/>
      <c r="AF1009" s="250"/>
      <c r="AG1009" s="250"/>
      <c r="AH1009" s="250"/>
      <c r="AI1009" s="250"/>
      <c r="AJ1009" s="250"/>
      <c r="AK1009" s="250"/>
      <c r="AL1009" s="250"/>
      <c r="AM1009" s="250"/>
      <c r="AN1009" s="250"/>
      <c r="AO1009" s="250"/>
      <c r="AP1009" s="250"/>
      <c r="AQ1009" s="250"/>
      <c r="AR1009" s="250"/>
      <c r="AS1009" s="250"/>
      <c r="AT1009" s="250"/>
      <c r="AU1009" s="250"/>
      <c r="AV1009" s="124"/>
    </row>
    <row r="1010" spans="2:48" s="475" customFormat="1" x14ac:dyDescent="0.2">
      <c r="B1010" s="250"/>
      <c r="C1010" s="250"/>
      <c r="D1010" s="250"/>
      <c r="E1010" s="250"/>
      <c r="F1010" s="250"/>
      <c r="G1010" s="250"/>
      <c r="H1010" s="250"/>
      <c r="I1010" s="250"/>
      <c r="J1010" s="250"/>
      <c r="K1010" s="250"/>
      <c r="L1010" s="250"/>
      <c r="M1010" s="250"/>
      <c r="N1010" s="250"/>
      <c r="O1010" s="250"/>
      <c r="P1010" s="250"/>
      <c r="Q1010" s="250"/>
      <c r="R1010" s="250"/>
      <c r="S1010" s="250"/>
      <c r="T1010" s="250"/>
      <c r="U1010" s="250"/>
      <c r="V1010" s="250"/>
      <c r="W1010" s="250"/>
      <c r="X1010" s="250"/>
      <c r="Y1010" s="250"/>
      <c r="Z1010" s="250"/>
      <c r="AA1010" s="250"/>
      <c r="AB1010" s="250"/>
      <c r="AC1010" s="250"/>
      <c r="AD1010" s="250"/>
      <c r="AE1010" s="250"/>
      <c r="AF1010" s="250"/>
      <c r="AG1010" s="250"/>
      <c r="AH1010" s="250"/>
      <c r="AI1010" s="250"/>
      <c r="AJ1010" s="250"/>
      <c r="AK1010" s="250"/>
      <c r="AL1010" s="250"/>
      <c r="AM1010" s="250"/>
      <c r="AN1010" s="250"/>
      <c r="AO1010" s="250"/>
      <c r="AP1010" s="250"/>
      <c r="AQ1010" s="250"/>
      <c r="AR1010" s="250"/>
      <c r="AS1010" s="250"/>
      <c r="AT1010" s="250"/>
      <c r="AU1010" s="250"/>
      <c r="AV1010" s="124"/>
    </row>
    <row r="1011" spans="2:48" s="475" customFormat="1" x14ac:dyDescent="0.2">
      <c r="B1011" s="250"/>
      <c r="C1011" s="250"/>
      <c r="D1011" s="250"/>
      <c r="E1011" s="250"/>
      <c r="F1011" s="250"/>
      <c r="G1011" s="250"/>
      <c r="H1011" s="250"/>
      <c r="I1011" s="250"/>
      <c r="J1011" s="250"/>
      <c r="K1011" s="250"/>
      <c r="L1011" s="250"/>
      <c r="M1011" s="250"/>
      <c r="N1011" s="250"/>
      <c r="O1011" s="250"/>
      <c r="P1011" s="250"/>
      <c r="Q1011" s="250"/>
      <c r="R1011" s="250"/>
      <c r="S1011" s="250"/>
      <c r="T1011" s="250"/>
      <c r="U1011" s="250"/>
      <c r="V1011" s="250"/>
      <c r="W1011" s="250"/>
      <c r="X1011" s="250"/>
      <c r="Y1011" s="250"/>
      <c r="Z1011" s="250"/>
      <c r="AA1011" s="250"/>
      <c r="AB1011" s="250"/>
      <c r="AC1011" s="250"/>
      <c r="AD1011" s="250"/>
      <c r="AE1011" s="250"/>
      <c r="AF1011" s="250"/>
      <c r="AG1011" s="250"/>
      <c r="AH1011" s="250"/>
      <c r="AI1011" s="250"/>
      <c r="AJ1011" s="250"/>
      <c r="AK1011" s="250"/>
      <c r="AL1011" s="250"/>
      <c r="AM1011" s="250"/>
      <c r="AN1011" s="250"/>
      <c r="AO1011" s="250"/>
      <c r="AP1011" s="250"/>
      <c r="AQ1011" s="250"/>
      <c r="AR1011" s="250"/>
      <c r="AS1011" s="250"/>
      <c r="AT1011" s="250"/>
      <c r="AU1011" s="250"/>
      <c r="AV1011" s="124"/>
    </row>
    <row r="1012" spans="2:48" s="475" customFormat="1" x14ac:dyDescent="0.2">
      <c r="B1012" s="250"/>
      <c r="C1012" s="250"/>
      <c r="D1012" s="250"/>
      <c r="E1012" s="250"/>
      <c r="F1012" s="250"/>
      <c r="G1012" s="250"/>
      <c r="H1012" s="250"/>
      <c r="I1012" s="250"/>
      <c r="J1012" s="250"/>
      <c r="K1012" s="250"/>
      <c r="L1012" s="250"/>
      <c r="M1012" s="250"/>
      <c r="N1012" s="250"/>
      <c r="O1012" s="250"/>
      <c r="P1012" s="250"/>
      <c r="Q1012" s="250"/>
      <c r="R1012" s="250"/>
      <c r="S1012" s="250"/>
      <c r="T1012" s="250"/>
      <c r="U1012" s="250"/>
      <c r="V1012" s="250"/>
      <c r="W1012" s="250"/>
      <c r="X1012" s="250"/>
      <c r="Y1012" s="250"/>
      <c r="Z1012" s="250"/>
      <c r="AA1012" s="250"/>
      <c r="AB1012" s="250"/>
      <c r="AC1012" s="250"/>
      <c r="AD1012" s="250"/>
      <c r="AE1012" s="250"/>
      <c r="AF1012" s="250"/>
      <c r="AG1012" s="250"/>
      <c r="AH1012" s="250"/>
      <c r="AI1012" s="250"/>
      <c r="AJ1012" s="250"/>
      <c r="AK1012" s="250"/>
      <c r="AL1012" s="250"/>
      <c r="AM1012" s="250"/>
      <c r="AN1012" s="250"/>
      <c r="AO1012" s="250"/>
      <c r="AP1012" s="250"/>
      <c r="AQ1012" s="250"/>
      <c r="AR1012" s="250"/>
      <c r="AS1012" s="250"/>
      <c r="AT1012" s="250"/>
      <c r="AU1012" s="250"/>
      <c r="AV1012" s="124"/>
    </row>
    <row r="1013" spans="2:48" s="475" customFormat="1" x14ac:dyDescent="0.2">
      <c r="B1013" s="250"/>
      <c r="C1013" s="250"/>
      <c r="D1013" s="250"/>
      <c r="E1013" s="250"/>
      <c r="F1013" s="250"/>
      <c r="G1013" s="250"/>
      <c r="H1013" s="250"/>
      <c r="I1013" s="250"/>
      <c r="J1013" s="250"/>
      <c r="K1013" s="250"/>
      <c r="L1013" s="250"/>
      <c r="M1013" s="250"/>
      <c r="N1013" s="250"/>
      <c r="O1013" s="250"/>
      <c r="P1013" s="250"/>
      <c r="Q1013" s="250"/>
      <c r="R1013" s="250"/>
      <c r="S1013" s="250"/>
      <c r="T1013" s="250"/>
      <c r="U1013" s="250"/>
      <c r="V1013" s="250"/>
      <c r="W1013" s="250"/>
      <c r="X1013" s="250"/>
      <c r="Y1013" s="250"/>
      <c r="Z1013" s="250"/>
      <c r="AA1013" s="250"/>
      <c r="AB1013" s="250"/>
      <c r="AC1013" s="250"/>
      <c r="AD1013" s="250"/>
      <c r="AE1013" s="250"/>
      <c r="AF1013" s="250"/>
      <c r="AG1013" s="250"/>
      <c r="AH1013" s="250"/>
      <c r="AI1013" s="250"/>
      <c r="AJ1013" s="250"/>
      <c r="AK1013" s="250"/>
      <c r="AL1013" s="250"/>
      <c r="AM1013" s="250"/>
      <c r="AN1013" s="250"/>
      <c r="AO1013" s="250"/>
      <c r="AP1013" s="250"/>
      <c r="AQ1013" s="250"/>
      <c r="AR1013" s="250"/>
      <c r="AS1013" s="250"/>
      <c r="AT1013" s="250"/>
      <c r="AU1013" s="250"/>
      <c r="AV1013" s="124"/>
    </row>
    <row r="1014" spans="2:48" s="475" customFormat="1" x14ac:dyDescent="0.2">
      <c r="B1014" s="250"/>
      <c r="C1014" s="250"/>
      <c r="D1014" s="250"/>
      <c r="E1014" s="250"/>
      <c r="F1014" s="250"/>
      <c r="G1014" s="250"/>
      <c r="H1014" s="250"/>
      <c r="I1014" s="250"/>
      <c r="J1014" s="250"/>
      <c r="K1014" s="250"/>
      <c r="L1014" s="250"/>
      <c r="M1014" s="250"/>
      <c r="N1014" s="250"/>
      <c r="O1014" s="250"/>
      <c r="P1014" s="250"/>
      <c r="Q1014" s="250"/>
      <c r="R1014" s="250"/>
      <c r="S1014" s="250"/>
      <c r="T1014" s="250"/>
      <c r="U1014" s="250"/>
      <c r="V1014" s="250"/>
      <c r="W1014" s="250"/>
      <c r="X1014" s="250"/>
      <c r="Y1014" s="250"/>
      <c r="Z1014" s="250"/>
      <c r="AA1014" s="250"/>
      <c r="AB1014" s="250"/>
      <c r="AC1014" s="250"/>
      <c r="AD1014" s="250"/>
      <c r="AE1014" s="250"/>
      <c r="AF1014" s="250"/>
      <c r="AG1014" s="250"/>
      <c r="AH1014" s="250"/>
      <c r="AI1014" s="250"/>
      <c r="AJ1014" s="250"/>
      <c r="AK1014" s="250"/>
      <c r="AL1014" s="250"/>
      <c r="AM1014" s="250"/>
      <c r="AN1014" s="250"/>
      <c r="AO1014" s="250"/>
      <c r="AP1014" s="250"/>
      <c r="AQ1014" s="250"/>
      <c r="AR1014" s="250"/>
      <c r="AS1014" s="250"/>
      <c r="AT1014" s="250"/>
      <c r="AU1014" s="250"/>
      <c r="AV1014" s="124"/>
    </row>
    <row r="1015" spans="2:48" s="475" customFormat="1" x14ac:dyDescent="0.2">
      <c r="B1015" s="250"/>
      <c r="C1015" s="250"/>
      <c r="D1015" s="250"/>
      <c r="E1015" s="250"/>
      <c r="F1015" s="250"/>
      <c r="G1015" s="250"/>
      <c r="H1015" s="250"/>
      <c r="I1015" s="250"/>
      <c r="J1015" s="250"/>
      <c r="K1015" s="250"/>
      <c r="L1015" s="250"/>
      <c r="M1015" s="250"/>
      <c r="N1015" s="250"/>
      <c r="O1015" s="250"/>
      <c r="P1015" s="250"/>
      <c r="Q1015" s="250"/>
      <c r="R1015" s="250"/>
      <c r="S1015" s="250"/>
      <c r="T1015" s="250"/>
      <c r="U1015" s="250"/>
      <c r="V1015" s="250"/>
      <c r="W1015" s="250"/>
      <c r="X1015" s="250"/>
      <c r="Y1015" s="250"/>
      <c r="Z1015" s="250"/>
      <c r="AA1015" s="250"/>
      <c r="AB1015" s="250"/>
      <c r="AC1015" s="250"/>
      <c r="AD1015" s="250"/>
      <c r="AE1015" s="250"/>
      <c r="AF1015" s="250"/>
      <c r="AG1015" s="250"/>
      <c r="AH1015" s="250"/>
      <c r="AI1015" s="250"/>
      <c r="AJ1015" s="250"/>
      <c r="AK1015" s="250"/>
      <c r="AL1015" s="250"/>
      <c r="AM1015" s="250"/>
      <c r="AN1015" s="250"/>
      <c r="AO1015" s="250"/>
      <c r="AP1015" s="250"/>
      <c r="AQ1015" s="250"/>
      <c r="AR1015" s="250"/>
      <c r="AS1015" s="250"/>
      <c r="AT1015" s="250"/>
      <c r="AU1015" s="250"/>
      <c r="AV1015" s="124"/>
    </row>
    <row r="1016" spans="2:48" s="475" customFormat="1" x14ac:dyDescent="0.2">
      <c r="B1016" s="250"/>
      <c r="C1016" s="250"/>
      <c r="D1016" s="250"/>
      <c r="E1016" s="250"/>
      <c r="F1016" s="250"/>
      <c r="G1016" s="250"/>
      <c r="H1016" s="250"/>
      <c r="I1016" s="250"/>
      <c r="J1016" s="250"/>
      <c r="K1016" s="250"/>
      <c r="L1016" s="250"/>
      <c r="M1016" s="250"/>
      <c r="N1016" s="250"/>
      <c r="O1016" s="250"/>
      <c r="P1016" s="250"/>
      <c r="Q1016" s="250"/>
      <c r="R1016" s="250"/>
      <c r="S1016" s="250"/>
      <c r="T1016" s="250"/>
      <c r="U1016" s="250"/>
      <c r="V1016" s="250"/>
      <c r="W1016" s="250"/>
      <c r="X1016" s="250"/>
      <c r="Y1016" s="250"/>
      <c r="Z1016" s="250"/>
      <c r="AA1016" s="250"/>
      <c r="AB1016" s="250"/>
      <c r="AC1016" s="250"/>
      <c r="AD1016" s="250"/>
      <c r="AE1016" s="250"/>
      <c r="AF1016" s="250"/>
      <c r="AG1016" s="250"/>
      <c r="AH1016" s="250"/>
      <c r="AI1016" s="250"/>
      <c r="AJ1016" s="250"/>
      <c r="AK1016" s="250"/>
      <c r="AL1016" s="250"/>
      <c r="AM1016" s="250"/>
      <c r="AN1016" s="250"/>
      <c r="AO1016" s="250"/>
      <c r="AP1016" s="250"/>
      <c r="AQ1016" s="250"/>
      <c r="AR1016" s="250"/>
      <c r="AS1016" s="250"/>
      <c r="AT1016" s="250"/>
      <c r="AU1016" s="250"/>
      <c r="AV1016" s="124"/>
    </row>
    <row r="1017" spans="2:48" s="475" customFormat="1" x14ac:dyDescent="0.2">
      <c r="B1017" s="250"/>
      <c r="C1017" s="250"/>
      <c r="D1017" s="250"/>
      <c r="E1017" s="250"/>
      <c r="F1017" s="250"/>
      <c r="G1017" s="250"/>
      <c r="H1017" s="250"/>
      <c r="I1017" s="250"/>
      <c r="J1017" s="250"/>
      <c r="K1017" s="250"/>
      <c r="L1017" s="250"/>
      <c r="M1017" s="250"/>
      <c r="N1017" s="250"/>
      <c r="O1017" s="250"/>
      <c r="P1017" s="250"/>
      <c r="Q1017" s="250"/>
      <c r="R1017" s="250"/>
      <c r="S1017" s="250"/>
      <c r="T1017" s="250"/>
      <c r="U1017" s="250"/>
      <c r="V1017" s="250"/>
      <c r="W1017" s="250"/>
      <c r="X1017" s="250"/>
      <c r="Y1017" s="250"/>
      <c r="Z1017" s="250"/>
      <c r="AA1017" s="250"/>
      <c r="AB1017" s="250"/>
      <c r="AC1017" s="250"/>
      <c r="AD1017" s="250"/>
      <c r="AE1017" s="250"/>
      <c r="AF1017" s="250"/>
      <c r="AG1017" s="250"/>
      <c r="AH1017" s="250"/>
      <c r="AI1017" s="250"/>
      <c r="AJ1017" s="250"/>
      <c r="AK1017" s="250"/>
      <c r="AL1017" s="250"/>
      <c r="AM1017" s="250"/>
      <c r="AN1017" s="250"/>
      <c r="AO1017" s="250"/>
      <c r="AP1017" s="250"/>
      <c r="AQ1017" s="250"/>
      <c r="AR1017" s="250"/>
      <c r="AS1017" s="250"/>
      <c r="AT1017" s="250"/>
      <c r="AU1017" s="250"/>
      <c r="AV1017" s="124"/>
    </row>
    <row r="1018" spans="2:48" s="475" customFormat="1" x14ac:dyDescent="0.2">
      <c r="B1018" s="250"/>
      <c r="C1018" s="250"/>
      <c r="D1018" s="250"/>
      <c r="E1018" s="250"/>
      <c r="F1018" s="250"/>
      <c r="G1018" s="250"/>
      <c r="H1018" s="250"/>
      <c r="I1018" s="250"/>
      <c r="J1018" s="250"/>
      <c r="K1018" s="250"/>
      <c r="L1018" s="250"/>
      <c r="M1018" s="250"/>
      <c r="N1018" s="250"/>
      <c r="O1018" s="250"/>
      <c r="P1018" s="250"/>
      <c r="Q1018" s="250"/>
      <c r="R1018" s="250"/>
      <c r="S1018" s="250"/>
      <c r="T1018" s="250"/>
      <c r="U1018" s="250"/>
      <c r="V1018" s="250"/>
      <c r="W1018" s="250"/>
      <c r="X1018" s="250"/>
      <c r="Y1018" s="250"/>
      <c r="Z1018" s="250"/>
      <c r="AA1018" s="250"/>
      <c r="AB1018" s="250"/>
      <c r="AC1018" s="250"/>
      <c r="AD1018" s="250"/>
      <c r="AE1018" s="250"/>
      <c r="AF1018" s="250"/>
      <c r="AG1018" s="250"/>
      <c r="AH1018" s="250"/>
      <c r="AI1018" s="250"/>
      <c r="AJ1018" s="250"/>
      <c r="AK1018" s="250"/>
      <c r="AL1018" s="250"/>
      <c r="AM1018" s="250"/>
      <c r="AN1018" s="250"/>
      <c r="AO1018" s="250"/>
      <c r="AP1018" s="250"/>
      <c r="AQ1018" s="250"/>
      <c r="AR1018" s="250"/>
      <c r="AS1018" s="250"/>
      <c r="AT1018" s="250"/>
      <c r="AU1018" s="250"/>
      <c r="AV1018" s="124"/>
    </row>
    <row r="1019" spans="2:48" s="475" customFormat="1" x14ac:dyDescent="0.2">
      <c r="B1019" s="250"/>
      <c r="C1019" s="250"/>
      <c r="D1019" s="250"/>
      <c r="E1019" s="250"/>
      <c r="F1019" s="250"/>
      <c r="G1019" s="250"/>
      <c r="H1019" s="250"/>
      <c r="I1019" s="250"/>
      <c r="J1019" s="250"/>
      <c r="K1019" s="250"/>
      <c r="L1019" s="250"/>
      <c r="M1019" s="250"/>
      <c r="N1019" s="250"/>
      <c r="O1019" s="250"/>
      <c r="P1019" s="250"/>
      <c r="Q1019" s="250"/>
      <c r="R1019" s="250"/>
      <c r="S1019" s="250"/>
      <c r="T1019" s="250"/>
      <c r="U1019" s="250"/>
      <c r="V1019" s="250"/>
      <c r="W1019" s="250"/>
      <c r="X1019" s="250"/>
      <c r="Y1019" s="250"/>
      <c r="Z1019" s="250"/>
      <c r="AA1019" s="250"/>
      <c r="AB1019" s="250"/>
      <c r="AC1019" s="250"/>
      <c r="AD1019" s="250"/>
      <c r="AE1019" s="250"/>
      <c r="AF1019" s="250"/>
      <c r="AG1019" s="250"/>
      <c r="AH1019" s="250"/>
      <c r="AI1019" s="250"/>
      <c r="AJ1019" s="250"/>
      <c r="AK1019" s="250"/>
      <c r="AL1019" s="250"/>
      <c r="AM1019" s="250"/>
      <c r="AN1019" s="250"/>
      <c r="AO1019" s="250"/>
      <c r="AP1019" s="250"/>
      <c r="AQ1019" s="250"/>
      <c r="AR1019" s="250"/>
      <c r="AS1019" s="250"/>
      <c r="AT1019" s="250"/>
      <c r="AU1019" s="250"/>
      <c r="AV1019" s="124"/>
    </row>
    <row r="1020" spans="2:48" s="475" customFormat="1" x14ac:dyDescent="0.2">
      <c r="B1020" s="250"/>
      <c r="C1020" s="250"/>
      <c r="D1020" s="250"/>
      <c r="E1020" s="250"/>
      <c r="F1020" s="250"/>
      <c r="G1020" s="250"/>
      <c r="H1020" s="250"/>
      <c r="I1020" s="250"/>
      <c r="J1020" s="250"/>
      <c r="K1020" s="250"/>
      <c r="L1020" s="250"/>
      <c r="M1020" s="250"/>
      <c r="N1020" s="250"/>
      <c r="O1020" s="250"/>
      <c r="P1020" s="250"/>
      <c r="Q1020" s="250"/>
      <c r="R1020" s="250"/>
      <c r="S1020" s="250"/>
      <c r="T1020" s="250"/>
      <c r="U1020" s="250"/>
      <c r="V1020" s="250"/>
      <c r="W1020" s="250"/>
      <c r="X1020" s="250"/>
      <c r="Y1020" s="250"/>
      <c r="Z1020" s="250"/>
      <c r="AA1020" s="250"/>
      <c r="AB1020" s="250"/>
      <c r="AC1020" s="250"/>
      <c r="AD1020" s="250"/>
      <c r="AE1020" s="250"/>
      <c r="AF1020" s="250"/>
      <c r="AG1020" s="250"/>
      <c r="AH1020" s="250"/>
      <c r="AI1020" s="250"/>
      <c r="AJ1020" s="250"/>
      <c r="AK1020" s="250"/>
      <c r="AL1020" s="250"/>
      <c r="AM1020" s="250"/>
      <c r="AN1020" s="250"/>
      <c r="AO1020" s="250"/>
      <c r="AP1020" s="250"/>
      <c r="AQ1020" s="250"/>
      <c r="AR1020" s="250"/>
      <c r="AS1020" s="250"/>
      <c r="AT1020" s="250"/>
      <c r="AU1020" s="250"/>
      <c r="AV1020" s="124"/>
    </row>
    <row r="1021" spans="2:48" s="475" customFormat="1" x14ac:dyDescent="0.2">
      <c r="B1021" s="250"/>
      <c r="C1021" s="250"/>
      <c r="D1021" s="250"/>
      <c r="E1021" s="250"/>
      <c r="F1021" s="250"/>
      <c r="G1021" s="250"/>
      <c r="H1021" s="250"/>
      <c r="I1021" s="250"/>
      <c r="J1021" s="250"/>
      <c r="K1021" s="250"/>
      <c r="L1021" s="250"/>
      <c r="M1021" s="250"/>
      <c r="N1021" s="250"/>
      <c r="O1021" s="250"/>
      <c r="P1021" s="250"/>
      <c r="Q1021" s="250"/>
      <c r="R1021" s="250"/>
      <c r="S1021" s="250"/>
      <c r="T1021" s="250"/>
      <c r="U1021" s="250"/>
      <c r="V1021" s="250"/>
      <c r="W1021" s="250"/>
      <c r="X1021" s="250"/>
      <c r="Y1021" s="250"/>
      <c r="Z1021" s="250"/>
      <c r="AA1021" s="250"/>
      <c r="AB1021" s="250"/>
      <c r="AC1021" s="250"/>
      <c r="AD1021" s="250"/>
      <c r="AE1021" s="250"/>
      <c r="AF1021" s="250"/>
      <c r="AG1021" s="250"/>
      <c r="AH1021" s="250"/>
      <c r="AI1021" s="250"/>
      <c r="AJ1021" s="250"/>
      <c r="AK1021" s="250"/>
      <c r="AL1021" s="250"/>
      <c r="AM1021" s="250"/>
      <c r="AN1021" s="250"/>
      <c r="AO1021" s="250"/>
      <c r="AP1021" s="250"/>
      <c r="AQ1021" s="250"/>
      <c r="AR1021" s="250"/>
      <c r="AS1021" s="250"/>
      <c r="AT1021" s="250"/>
      <c r="AU1021" s="250"/>
      <c r="AV1021" s="124"/>
    </row>
    <row r="1022" spans="2:48" s="475" customFormat="1" x14ac:dyDescent="0.2">
      <c r="B1022" s="250"/>
      <c r="C1022" s="250"/>
      <c r="D1022" s="250"/>
      <c r="E1022" s="250"/>
      <c r="F1022" s="250"/>
      <c r="G1022" s="250"/>
      <c r="H1022" s="250"/>
      <c r="I1022" s="250"/>
      <c r="J1022" s="250"/>
      <c r="K1022" s="250"/>
      <c r="L1022" s="250"/>
      <c r="M1022" s="250"/>
      <c r="N1022" s="250"/>
      <c r="O1022" s="250"/>
      <c r="P1022" s="250"/>
      <c r="Q1022" s="250"/>
      <c r="R1022" s="250"/>
      <c r="S1022" s="250"/>
      <c r="T1022" s="250"/>
      <c r="U1022" s="250"/>
      <c r="V1022" s="250"/>
      <c r="W1022" s="250"/>
      <c r="X1022" s="250"/>
      <c r="Y1022" s="250"/>
      <c r="Z1022" s="250"/>
      <c r="AA1022" s="250"/>
      <c r="AB1022" s="250"/>
      <c r="AC1022" s="250"/>
      <c r="AD1022" s="250"/>
      <c r="AE1022" s="250"/>
      <c r="AF1022" s="250"/>
      <c r="AG1022" s="250"/>
      <c r="AH1022" s="250"/>
      <c r="AI1022" s="250"/>
      <c r="AJ1022" s="250"/>
      <c r="AK1022" s="250"/>
      <c r="AL1022" s="250"/>
      <c r="AM1022" s="250"/>
      <c r="AN1022" s="250"/>
      <c r="AO1022" s="250"/>
      <c r="AP1022" s="250"/>
      <c r="AQ1022" s="250"/>
      <c r="AR1022" s="250"/>
      <c r="AS1022" s="250"/>
      <c r="AT1022" s="250"/>
      <c r="AU1022" s="250"/>
      <c r="AV1022" s="124"/>
    </row>
    <row r="1023" spans="2:48" s="475" customFormat="1" x14ac:dyDescent="0.2">
      <c r="B1023" s="250"/>
      <c r="C1023" s="250"/>
      <c r="D1023" s="250"/>
      <c r="E1023" s="250"/>
      <c r="F1023" s="250"/>
      <c r="G1023" s="250"/>
      <c r="H1023" s="250"/>
      <c r="I1023" s="250"/>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c r="AN1023" s="250"/>
      <c r="AO1023" s="250"/>
      <c r="AP1023" s="250"/>
      <c r="AQ1023" s="250"/>
      <c r="AR1023" s="250"/>
      <c r="AS1023" s="250"/>
      <c r="AT1023" s="250"/>
      <c r="AU1023" s="250"/>
      <c r="AV1023" s="124"/>
    </row>
    <row r="1024" spans="2:48" s="475" customFormat="1" x14ac:dyDescent="0.2">
      <c r="B1024" s="250"/>
      <c r="C1024" s="250"/>
      <c r="D1024" s="250"/>
      <c r="E1024" s="250"/>
      <c r="F1024" s="250"/>
      <c r="G1024" s="250"/>
      <c r="H1024" s="250"/>
      <c r="I1024" s="250"/>
      <c r="J1024" s="250"/>
      <c r="K1024" s="250"/>
      <c r="L1024" s="250"/>
      <c r="M1024" s="250"/>
      <c r="N1024" s="250"/>
      <c r="O1024" s="250"/>
      <c r="P1024" s="250"/>
      <c r="Q1024" s="250"/>
      <c r="R1024" s="250"/>
      <c r="S1024" s="250"/>
      <c r="T1024" s="250"/>
      <c r="U1024" s="250"/>
      <c r="V1024" s="250"/>
      <c r="W1024" s="250"/>
      <c r="X1024" s="250"/>
      <c r="Y1024" s="250"/>
      <c r="Z1024" s="250"/>
      <c r="AA1024" s="250"/>
      <c r="AB1024" s="250"/>
      <c r="AC1024" s="250"/>
      <c r="AD1024" s="250"/>
      <c r="AE1024" s="250"/>
      <c r="AF1024" s="250"/>
      <c r="AG1024" s="250"/>
      <c r="AH1024" s="250"/>
      <c r="AI1024" s="250"/>
      <c r="AJ1024" s="250"/>
      <c r="AK1024" s="250"/>
      <c r="AL1024" s="250"/>
      <c r="AM1024" s="250"/>
      <c r="AN1024" s="250"/>
      <c r="AO1024" s="250"/>
      <c r="AP1024" s="250"/>
      <c r="AQ1024" s="250"/>
      <c r="AR1024" s="250"/>
      <c r="AS1024" s="250"/>
      <c r="AT1024" s="250"/>
      <c r="AU1024" s="250"/>
      <c r="AV1024" s="124"/>
    </row>
    <row r="1025" spans="2:48" s="475" customFormat="1" x14ac:dyDescent="0.2">
      <c r="B1025" s="250"/>
      <c r="C1025" s="250"/>
      <c r="D1025" s="250"/>
      <c r="E1025" s="250"/>
      <c r="F1025" s="250"/>
      <c r="G1025" s="250"/>
      <c r="H1025" s="250"/>
      <c r="I1025" s="250"/>
      <c r="J1025" s="250"/>
      <c r="K1025" s="250"/>
      <c r="L1025" s="250"/>
      <c r="M1025" s="250"/>
      <c r="N1025" s="250"/>
      <c r="O1025" s="250"/>
      <c r="P1025" s="250"/>
      <c r="Q1025" s="250"/>
      <c r="R1025" s="250"/>
      <c r="S1025" s="250"/>
      <c r="T1025" s="250"/>
      <c r="U1025" s="250"/>
      <c r="V1025" s="250"/>
      <c r="W1025" s="250"/>
      <c r="X1025" s="250"/>
      <c r="Y1025" s="250"/>
      <c r="Z1025" s="250"/>
      <c r="AA1025" s="250"/>
      <c r="AB1025" s="250"/>
      <c r="AC1025" s="250"/>
      <c r="AD1025" s="250"/>
      <c r="AE1025" s="250"/>
      <c r="AF1025" s="250"/>
      <c r="AG1025" s="250"/>
      <c r="AH1025" s="250"/>
      <c r="AI1025" s="250"/>
      <c r="AJ1025" s="250"/>
      <c r="AK1025" s="250"/>
      <c r="AL1025" s="250"/>
      <c r="AM1025" s="250"/>
      <c r="AN1025" s="250"/>
      <c r="AO1025" s="250"/>
      <c r="AP1025" s="250"/>
      <c r="AQ1025" s="250"/>
      <c r="AR1025" s="250"/>
      <c r="AS1025" s="250"/>
      <c r="AT1025" s="250"/>
      <c r="AU1025" s="250"/>
      <c r="AV1025" s="124"/>
    </row>
    <row r="1026" spans="2:48" s="475" customFormat="1" x14ac:dyDescent="0.2">
      <c r="B1026" s="250"/>
      <c r="C1026" s="250"/>
      <c r="D1026" s="250"/>
      <c r="E1026" s="250"/>
      <c r="F1026" s="250"/>
      <c r="G1026" s="250"/>
      <c r="H1026" s="250"/>
      <c r="I1026" s="250"/>
      <c r="J1026" s="250"/>
      <c r="K1026" s="250"/>
      <c r="L1026" s="250"/>
      <c r="M1026" s="250"/>
      <c r="N1026" s="250"/>
      <c r="O1026" s="250"/>
      <c r="P1026" s="250"/>
      <c r="Q1026" s="250"/>
      <c r="R1026" s="250"/>
      <c r="S1026" s="250"/>
      <c r="T1026" s="250"/>
      <c r="U1026" s="250"/>
      <c r="V1026" s="250"/>
      <c r="W1026" s="250"/>
      <c r="X1026" s="250"/>
      <c r="Y1026" s="250"/>
      <c r="Z1026" s="250"/>
      <c r="AA1026" s="250"/>
      <c r="AB1026" s="250"/>
      <c r="AC1026" s="250"/>
      <c r="AD1026" s="250"/>
      <c r="AE1026" s="250"/>
      <c r="AF1026" s="250"/>
      <c r="AG1026" s="250"/>
      <c r="AH1026" s="250"/>
      <c r="AI1026" s="250"/>
      <c r="AJ1026" s="250"/>
      <c r="AK1026" s="250"/>
      <c r="AL1026" s="250"/>
      <c r="AM1026" s="250"/>
      <c r="AN1026" s="250"/>
      <c r="AO1026" s="250"/>
      <c r="AP1026" s="250"/>
      <c r="AQ1026" s="250"/>
      <c r="AR1026" s="250"/>
      <c r="AS1026" s="250"/>
      <c r="AT1026" s="250"/>
      <c r="AU1026" s="250"/>
      <c r="AV1026" s="124"/>
    </row>
    <row r="1027" spans="2:48" s="475" customFormat="1" x14ac:dyDescent="0.2">
      <c r="B1027" s="250"/>
      <c r="C1027" s="250"/>
      <c r="D1027" s="250"/>
      <c r="E1027" s="250"/>
      <c r="F1027" s="250"/>
      <c r="G1027" s="250"/>
      <c r="H1027" s="250"/>
      <c r="I1027" s="250"/>
      <c r="J1027" s="250"/>
      <c r="K1027" s="250"/>
      <c r="L1027" s="250"/>
      <c r="M1027" s="250"/>
      <c r="N1027" s="250"/>
      <c r="O1027" s="250"/>
      <c r="P1027" s="250"/>
      <c r="Q1027" s="250"/>
      <c r="R1027" s="250"/>
      <c r="S1027" s="250"/>
      <c r="T1027" s="250"/>
      <c r="U1027" s="250"/>
      <c r="V1027" s="250"/>
      <c r="W1027" s="250"/>
      <c r="X1027" s="250"/>
      <c r="Y1027" s="250"/>
      <c r="Z1027" s="250"/>
      <c r="AA1027" s="250"/>
      <c r="AB1027" s="250"/>
      <c r="AC1027" s="250"/>
      <c r="AD1027" s="250"/>
      <c r="AE1027" s="250"/>
      <c r="AF1027" s="250"/>
      <c r="AG1027" s="250"/>
      <c r="AH1027" s="250"/>
      <c r="AI1027" s="250"/>
      <c r="AJ1027" s="250"/>
      <c r="AK1027" s="250"/>
      <c r="AL1027" s="250"/>
      <c r="AM1027" s="250"/>
      <c r="AN1027" s="250"/>
      <c r="AO1027" s="250"/>
      <c r="AP1027" s="250"/>
      <c r="AQ1027" s="250"/>
      <c r="AR1027" s="250"/>
      <c r="AS1027" s="250"/>
      <c r="AT1027" s="250"/>
      <c r="AU1027" s="250"/>
      <c r="AV1027" s="124"/>
    </row>
    <row r="1028" spans="2:48" s="475" customFormat="1" x14ac:dyDescent="0.2">
      <c r="B1028" s="250"/>
      <c r="C1028" s="250"/>
      <c r="D1028" s="250"/>
      <c r="E1028" s="250"/>
      <c r="F1028" s="250"/>
      <c r="G1028" s="250"/>
      <c r="H1028" s="250"/>
      <c r="I1028" s="250"/>
      <c r="J1028" s="250"/>
      <c r="K1028" s="250"/>
      <c r="L1028" s="250"/>
      <c r="M1028" s="250"/>
      <c r="N1028" s="250"/>
      <c r="O1028" s="250"/>
      <c r="P1028" s="250"/>
      <c r="Q1028" s="250"/>
      <c r="R1028" s="250"/>
      <c r="S1028" s="250"/>
      <c r="T1028" s="250"/>
      <c r="U1028" s="250"/>
      <c r="V1028" s="250"/>
      <c r="W1028" s="250"/>
      <c r="X1028" s="250"/>
      <c r="Y1028" s="250"/>
      <c r="Z1028" s="250"/>
      <c r="AA1028" s="250"/>
      <c r="AB1028" s="250"/>
      <c r="AC1028" s="250"/>
      <c r="AD1028" s="250"/>
      <c r="AE1028" s="250"/>
      <c r="AF1028" s="250"/>
      <c r="AG1028" s="250"/>
      <c r="AH1028" s="250"/>
      <c r="AI1028" s="250"/>
      <c r="AJ1028" s="250"/>
      <c r="AK1028" s="250"/>
      <c r="AL1028" s="250"/>
      <c r="AM1028" s="250"/>
      <c r="AN1028" s="250"/>
      <c r="AO1028" s="250"/>
      <c r="AP1028" s="250"/>
      <c r="AQ1028" s="250"/>
      <c r="AR1028" s="250"/>
      <c r="AS1028" s="250"/>
      <c r="AT1028" s="250"/>
      <c r="AU1028" s="250"/>
      <c r="AV1028" s="124"/>
    </row>
    <row r="1029" spans="2:48" s="475" customFormat="1" x14ac:dyDescent="0.2">
      <c r="B1029" s="250"/>
      <c r="C1029" s="250"/>
      <c r="D1029" s="250"/>
      <c r="E1029" s="250"/>
      <c r="F1029" s="250"/>
      <c r="G1029" s="250"/>
      <c r="H1029" s="250"/>
      <c r="I1029" s="250"/>
      <c r="J1029" s="250"/>
      <c r="K1029" s="250"/>
      <c r="L1029" s="250"/>
      <c r="M1029" s="250"/>
      <c r="N1029" s="250"/>
      <c r="O1029" s="250"/>
      <c r="P1029" s="250"/>
      <c r="Q1029" s="250"/>
      <c r="R1029" s="250"/>
      <c r="S1029" s="250"/>
      <c r="T1029" s="250"/>
      <c r="U1029" s="250"/>
      <c r="V1029" s="250"/>
      <c r="W1029" s="250"/>
      <c r="X1029" s="250"/>
      <c r="Y1029" s="250"/>
      <c r="Z1029" s="250"/>
      <c r="AA1029" s="250"/>
      <c r="AB1029" s="250"/>
      <c r="AC1029" s="250"/>
      <c r="AD1029" s="250"/>
      <c r="AE1029" s="250"/>
      <c r="AF1029" s="250"/>
      <c r="AG1029" s="250"/>
      <c r="AH1029" s="250"/>
      <c r="AI1029" s="250"/>
      <c r="AJ1029" s="250"/>
      <c r="AK1029" s="250"/>
      <c r="AL1029" s="250"/>
      <c r="AM1029" s="250"/>
      <c r="AN1029" s="250"/>
      <c r="AO1029" s="250"/>
      <c r="AP1029" s="250"/>
      <c r="AQ1029" s="250"/>
      <c r="AR1029" s="250"/>
      <c r="AS1029" s="250"/>
      <c r="AT1029" s="250"/>
      <c r="AU1029" s="250"/>
      <c r="AV1029" s="124"/>
    </row>
    <row r="1030" spans="2:48" s="475" customFormat="1" x14ac:dyDescent="0.2">
      <c r="B1030" s="250"/>
      <c r="C1030" s="250"/>
      <c r="D1030" s="250"/>
      <c r="E1030" s="250"/>
      <c r="F1030" s="250"/>
      <c r="G1030" s="250"/>
      <c r="H1030" s="250"/>
      <c r="I1030" s="250"/>
      <c r="J1030" s="250"/>
      <c r="K1030" s="250"/>
      <c r="L1030" s="250"/>
      <c r="M1030" s="250"/>
      <c r="N1030" s="250"/>
      <c r="O1030" s="250"/>
      <c r="P1030" s="250"/>
      <c r="Q1030" s="250"/>
      <c r="R1030" s="250"/>
      <c r="S1030" s="250"/>
      <c r="T1030" s="250"/>
      <c r="U1030" s="250"/>
      <c r="V1030" s="250"/>
      <c r="W1030" s="250"/>
      <c r="X1030" s="250"/>
      <c r="Y1030" s="250"/>
      <c r="Z1030" s="250"/>
      <c r="AA1030" s="250"/>
      <c r="AB1030" s="250"/>
      <c r="AC1030" s="250"/>
      <c r="AD1030" s="250"/>
      <c r="AE1030" s="250"/>
      <c r="AF1030" s="250"/>
      <c r="AG1030" s="250"/>
      <c r="AH1030" s="250"/>
      <c r="AI1030" s="250"/>
      <c r="AJ1030" s="250"/>
      <c r="AK1030" s="250"/>
      <c r="AL1030" s="250"/>
      <c r="AM1030" s="250"/>
      <c r="AN1030" s="250"/>
      <c r="AO1030" s="250"/>
      <c r="AP1030" s="250"/>
      <c r="AQ1030" s="250"/>
      <c r="AR1030" s="250"/>
      <c r="AS1030" s="250"/>
      <c r="AT1030" s="250"/>
      <c r="AU1030" s="250"/>
      <c r="AV1030" s="124"/>
    </row>
    <row r="1031" spans="2:48" s="475" customFormat="1" x14ac:dyDescent="0.2">
      <c r="B1031" s="250"/>
      <c r="C1031" s="250"/>
      <c r="D1031" s="250"/>
      <c r="E1031" s="250"/>
      <c r="F1031" s="250"/>
      <c r="G1031" s="250"/>
      <c r="H1031" s="250"/>
      <c r="I1031" s="250"/>
      <c r="J1031" s="250"/>
      <c r="K1031" s="250"/>
      <c r="L1031" s="250"/>
      <c r="M1031" s="250"/>
      <c r="N1031" s="250"/>
      <c r="O1031" s="250"/>
      <c r="P1031" s="250"/>
      <c r="Q1031" s="250"/>
      <c r="R1031" s="250"/>
      <c r="S1031" s="250"/>
      <c r="T1031" s="250"/>
      <c r="U1031" s="250"/>
      <c r="V1031" s="250"/>
      <c r="W1031" s="250"/>
      <c r="X1031" s="250"/>
      <c r="Y1031" s="250"/>
      <c r="Z1031" s="250"/>
      <c r="AA1031" s="250"/>
      <c r="AB1031" s="250"/>
      <c r="AC1031" s="250"/>
      <c r="AD1031" s="250"/>
      <c r="AE1031" s="250"/>
      <c r="AF1031" s="250"/>
      <c r="AG1031" s="250"/>
      <c r="AH1031" s="250"/>
      <c r="AI1031" s="250"/>
      <c r="AJ1031" s="250"/>
      <c r="AK1031" s="250"/>
      <c r="AL1031" s="250"/>
      <c r="AM1031" s="250"/>
      <c r="AN1031" s="250"/>
      <c r="AO1031" s="250"/>
      <c r="AP1031" s="250"/>
      <c r="AQ1031" s="250"/>
      <c r="AR1031" s="250"/>
      <c r="AS1031" s="250"/>
      <c r="AT1031" s="250"/>
      <c r="AU1031" s="250"/>
      <c r="AV1031" s="124"/>
    </row>
    <row r="1032" spans="2:48" s="475" customFormat="1" x14ac:dyDescent="0.2">
      <c r="B1032" s="250"/>
      <c r="C1032" s="250"/>
      <c r="D1032" s="250"/>
      <c r="E1032" s="250"/>
      <c r="F1032" s="250"/>
      <c r="G1032" s="250"/>
      <c r="H1032" s="250"/>
      <c r="I1032" s="250"/>
      <c r="J1032" s="250"/>
      <c r="K1032" s="250"/>
      <c r="L1032" s="250"/>
      <c r="M1032" s="250"/>
      <c r="N1032" s="250"/>
      <c r="O1032" s="250"/>
      <c r="P1032" s="250"/>
      <c r="Q1032" s="250"/>
      <c r="R1032" s="250"/>
      <c r="S1032" s="250"/>
      <c r="T1032" s="250"/>
      <c r="U1032" s="250"/>
      <c r="V1032" s="250"/>
      <c r="W1032" s="250"/>
      <c r="X1032" s="250"/>
      <c r="Y1032" s="250"/>
      <c r="Z1032" s="250"/>
      <c r="AA1032" s="250"/>
      <c r="AB1032" s="250"/>
      <c r="AC1032" s="250"/>
      <c r="AD1032" s="250"/>
      <c r="AE1032" s="250"/>
      <c r="AF1032" s="250"/>
      <c r="AG1032" s="250"/>
      <c r="AH1032" s="250"/>
      <c r="AI1032" s="250"/>
      <c r="AJ1032" s="250"/>
      <c r="AK1032" s="250"/>
      <c r="AL1032" s="250"/>
      <c r="AM1032" s="250"/>
      <c r="AN1032" s="250"/>
      <c r="AO1032" s="250"/>
      <c r="AP1032" s="250"/>
      <c r="AQ1032" s="250"/>
      <c r="AR1032" s="250"/>
      <c r="AS1032" s="250"/>
      <c r="AT1032" s="250"/>
      <c r="AU1032" s="250"/>
      <c r="AV1032" s="124"/>
    </row>
    <row r="1033" spans="2:48" s="475" customFormat="1" x14ac:dyDescent="0.2">
      <c r="B1033" s="250"/>
      <c r="C1033" s="250"/>
      <c r="D1033" s="250"/>
      <c r="E1033" s="250"/>
      <c r="F1033" s="250"/>
      <c r="G1033" s="250"/>
      <c r="H1033" s="250"/>
      <c r="I1033" s="250"/>
      <c r="J1033" s="250"/>
      <c r="K1033" s="250"/>
      <c r="L1033" s="250"/>
      <c r="M1033" s="250"/>
      <c r="N1033" s="250"/>
      <c r="O1033" s="250"/>
      <c r="P1033" s="250"/>
      <c r="Q1033" s="250"/>
      <c r="R1033" s="250"/>
      <c r="S1033" s="250"/>
      <c r="T1033" s="250"/>
      <c r="U1033" s="250"/>
      <c r="V1033" s="250"/>
      <c r="W1033" s="250"/>
      <c r="X1033" s="250"/>
      <c r="Y1033" s="250"/>
      <c r="Z1033" s="250"/>
      <c r="AA1033" s="250"/>
      <c r="AB1033" s="250"/>
      <c r="AC1033" s="250"/>
      <c r="AD1033" s="250"/>
      <c r="AE1033" s="250"/>
      <c r="AF1033" s="250"/>
      <c r="AG1033" s="250"/>
      <c r="AH1033" s="250"/>
      <c r="AI1033" s="250"/>
      <c r="AJ1033" s="250"/>
      <c r="AK1033" s="250"/>
      <c r="AL1033" s="250"/>
      <c r="AM1033" s="250"/>
      <c r="AN1033" s="250"/>
      <c r="AO1033" s="250"/>
      <c r="AP1033" s="250"/>
      <c r="AQ1033" s="250"/>
      <c r="AR1033" s="250"/>
      <c r="AS1033" s="250"/>
      <c r="AT1033" s="250"/>
      <c r="AU1033" s="250"/>
      <c r="AV1033" s="124"/>
    </row>
    <row r="1034" spans="2:48" s="475" customFormat="1" x14ac:dyDescent="0.2">
      <c r="B1034" s="250"/>
      <c r="C1034" s="250"/>
      <c r="D1034" s="250"/>
      <c r="E1034" s="250"/>
      <c r="F1034" s="250"/>
      <c r="G1034" s="250"/>
      <c r="H1034" s="250"/>
      <c r="I1034" s="250"/>
      <c r="J1034" s="250"/>
      <c r="K1034" s="250"/>
      <c r="L1034" s="250"/>
      <c r="M1034" s="250"/>
      <c r="N1034" s="250"/>
      <c r="O1034" s="250"/>
      <c r="P1034" s="250"/>
      <c r="Q1034" s="250"/>
      <c r="R1034" s="250"/>
      <c r="S1034" s="250"/>
      <c r="T1034" s="250"/>
      <c r="U1034" s="250"/>
      <c r="V1034" s="250"/>
      <c r="W1034" s="250"/>
      <c r="X1034" s="250"/>
      <c r="Y1034" s="250"/>
      <c r="Z1034" s="250"/>
      <c r="AA1034" s="250"/>
      <c r="AB1034" s="250"/>
      <c r="AC1034" s="250"/>
      <c r="AD1034" s="250"/>
      <c r="AE1034" s="250"/>
      <c r="AF1034" s="250"/>
      <c r="AG1034" s="250"/>
      <c r="AH1034" s="250"/>
      <c r="AI1034" s="250"/>
      <c r="AJ1034" s="250"/>
      <c r="AK1034" s="250"/>
      <c r="AL1034" s="250"/>
      <c r="AM1034" s="250"/>
      <c r="AN1034" s="250"/>
      <c r="AO1034" s="250"/>
      <c r="AP1034" s="250"/>
      <c r="AQ1034" s="250"/>
      <c r="AR1034" s="250"/>
      <c r="AS1034" s="250"/>
      <c r="AT1034" s="250"/>
      <c r="AU1034" s="250"/>
      <c r="AV1034" s="124"/>
    </row>
    <row r="1035" spans="2:48" s="475" customFormat="1" x14ac:dyDescent="0.2">
      <c r="B1035" s="250"/>
      <c r="C1035" s="250"/>
      <c r="D1035" s="250"/>
      <c r="E1035" s="250"/>
      <c r="F1035" s="250"/>
      <c r="G1035" s="250"/>
      <c r="H1035" s="250"/>
      <c r="I1035" s="250"/>
      <c r="J1035" s="250"/>
      <c r="K1035" s="250"/>
      <c r="L1035" s="250"/>
      <c r="M1035" s="250"/>
      <c r="N1035" s="250"/>
      <c r="O1035" s="250"/>
      <c r="P1035" s="250"/>
      <c r="Q1035" s="250"/>
      <c r="R1035" s="250"/>
      <c r="S1035" s="250"/>
      <c r="T1035" s="250"/>
      <c r="U1035" s="250"/>
      <c r="V1035" s="250"/>
      <c r="W1035" s="250"/>
      <c r="X1035" s="250"/>
      <c r="Y1035" s="250"/>
      <c r="Z1035" s="250"/>
      <c r="AA1035" s="250"/>
      <c r="AB1035" s="250"/>
      <c r="AC1035" s="250"/>
      <c r="AD1035" s="250"/>
      <c r="AE1035" s="250"/>
      <c r="AF1035" s="250"/>
      <c r="AG1035" s="250"/>
      <c r="AH1035" s="250"/>
      <c r="AI1035" s="250"/>
      <c r="AJ1035" s="250"/>
      <c r="AK1035" s="250"/>
      <c r="AL1035" s="250"/>
      <c r="AM1035" s="250"/>
      <c r="AN1035" s="250"/>
      <c r="AO1035" s="250"/>
      <c r="AP1035" s="250"/>
      <c r="AQ1035" s="250"/>
      <c r="AR1035" s="250"/>
      <c r="AS1035" s="250"/>
      <c r="AT1035" s="250"/>
      <c r="AU1035" s="250"/>
      <c r="AV1035" s="124"/>
    </row>
    <row r="1036" spans="2:48" s="475" customFormat="1" x14ac:dyDescent="0.2">
      <c r="B1036" s="250"/>
      <c r="C1036" s="250"/>
      <c r="D1036" s="250"/>
      <c r="E1036" s="250"/>
      <c r="F1036" s="250"/>
      <c r="G1036" s="250"/>
      <c r="H1036" s="250"/>
      <c r="I1036" s="250"/>
      <c r="J1036" s="250"/>
      <c r="K1036" s="250"/>
      <c r="L1036" s="250"/>
      <c r="M1036" s="250"/>
      <c r="N1036" s="250"/>
      <c r="O1036" s="250"/>
      <c r="P1036" s="250"/>
      <c r="Q1036" s="250"/>
      <c r="R1036" s="250"/>
      <c r="S1036" s="250"/>
      <c r="T1036" s="250"/>
      <c r="U1036" s="250"/>
      <c r="V1036" s="250"/>
      <c r="W1036" s="250"/>
      <c r="X1036" s="250"/>
      <c r="Y1036" s="250"/>
      <c r="Z1036" s="250"/>
      <c r="AA1036" s="250"/>
      <c r="AB1036" s="250"/>
      <c r="AC1036" s="250"/>
      <c r="AD1036" s="250"/>
      <c r="AE1036" s="250"/>
      <c r="AF1036" s="250"/>
      <c r="AG1036" s="250"/>
      <c r="AH1036" s="250"/>
      <c r="AI1036" s="250"/>
      <c r="AJ1036" s="250"/>
      <c r="AK1036" s="250"/>
      <c r="AL1036" s="250"/>
      <c r="AM1036" s="250"/>
      <c r="AN1036" s="250"/>
      <c r="AO1036" s="250"/>
      <c r="AP1036" s="250"/>
      <c r="AQ1036" s="250"/>
      <c r="AR1036" s="250"/>
      <c r="AS1036" s="250"/>
      <c r="AT1036" s="250"/>
      <c r="AU1036" s="250"/>
      <c r="AV1036" s="124"/>
    </row>
    <row r="1037" spans="2:48" s="475" customFormat="1" x14ac:dyDescent="0.2">
      <c r="B1037" s="250"/>
      <c r="C1037" s="250"/>
      <c r="D1037" s="250"/>
      <c r="E1037" s="250"/>
      <c r="F1037" s="250"/>
      <c r="G1037" s="250"/>
      <c r="H1037" s="250"/>
      <c r="I1037" s="250"/>
      <c r="J1037" s="250"/>
      <c r="K1037" s="250"/>
      <c r="L1037" s="250"/>
      <c r="M1037" s="250"/>
      <c r="N1037" s="250"/>
      <c r="O1037" s="250"/>
      <c r="P1037" s="250"/>
      <c r="Q1037" s="250"/>
      <c r="R1037" s="250"/>
      <c r="S1037" s="250"/>
      <c r="T1037" s="250"/>
      <c r="U1037" s="250"/>
      <c r="V1037" s="250"/>
      <c r="W1037" s="250"/>
      <c r="X1037" s="250"/>
      <c r="Y1037" s="250"/>
      <c r="Z1037" s="250"/>
      <c r="AA1037" s="250"/>
      <c r="AB1037" s="250"/>
      <c r="AC1037" s="250"/>
      <c r="AD1037" s="250"/>
      <c r="AE1037" s="250"/>
      <c r="AF1037" s="250"/>
      <c r="AG1037" s="250"/>
      <c r="AH1037" s="250"/>
      <c r="AI1037" s="250"/>
      <c r="AJ1037" s="250"/>
      <c r="AK1037" s="250"/>
      <c r="AL1037" s="250"/>
      <c r="AM1037" s="250"/>
      <c r="AN1037" s="250"/>
      <c r="AO1037" s="250"/>
      <c r="AP1037" s="250"/>
      <c r="AQ1037" s="250"/>
      <c r="AR1037" s="250"/>
      <c r="AS1037" s="250"/>
      <c r="AT1037" s="250"/>
      <c r="AU1037" s="250"/>
      <c r="AV1037" s="124"/>
    </row>
    <row r="1038" spans="2:48" s="475" customFormat="1" x14ac:dyDescent="0.2">
      <c r="B1038" s="250"/>
      <c r="C1038" s="250"/>
      <c r="D1038" s="250"/>
      <c r="E1038" s="250"/>
      <c r="F1038" s="250"/>
      <c r="G1038" s="250"/>
      <c r="H1038" s="250"/>
      <c r="I1038" s="250"/>
      <c r="J1038" s="250"/>
      <c r="K1038" s="250"/>
      <c r="L1038" s="250"/>
      <c r="M1038" s="250"/>
      <c r="N1038" s="250"/>
      <c r="O1038" s="250"/>
      <c r="P1038" s="250"/>
      <c r="Q1038" s="250"/>
      <c r="R1038" s="250"/>
      <c r="S1038" s="250"/>
      <c r="T1038" s="250"/>
      <c r="U1038" s="250"/>
      <c r="V1038" s="250"/>
      <c r="W1038" s="250"/>
      <c r="X1038" s="250"/>
      <c r="Y1038" s="250"/>
      <c r="Z1038" s="250"/>
      <c r="AA1038" s="250"/>
      <c r="AB1038" s="250"/>
      <c r="AC1038" s="250"/>
      <c r="AD1038" s="250"/>
      <c r="AE1038" s="250"/>
      <c r="AF1038" s="250"/>
      <c r="AG1038" s="250"/>
      <c r="AH1038" s="250"/>
      <c r="AI1038" s="250"/>
      <c r="AJ1038" s="250"/>
      <c r="AK1038" s="250"/>
      <c r="AL1038" s="250"/>
      <c r="AM1038" s="250"/>
      <c r="AN1038" s="250"/>
      <c r="AO1038" s="250"/>
      <c r="AP1038" s="250"/>
      <c r="AQ1038" s="250"/>
      <c r="AR1038" s="250"/>
      <c r="AS1038" s="250"/>
      <c r="AT1038" s="250"/>
      <c r="AU1038" s="250"/>
      <c r="AV1038" s="124"/>
    </row>
    <row r="1039" spans="2:48" s="475" customFormat="1" x14ac:dyDescent="0.2">
      <c r="B1039" s="250"/>
      <c r="C1039" s="250"/>
      <c r="D1039" s="250"/>
      <c r="E1039" s="250"/>
      <c r="F1039" s="250"/>
      <c r="G1039" s="250"/>
      <c r="H1039" s="250"/>
      <c r="I1039" s="250"/>
      <c r="J1039" s="250"/>
      <c r="K1039" s="250"/>
      <c r="L1039" s="250"/>
      <c r="M1039" s="250"/>
      <c r="N1039" s="250"/>
      <c r="O1039" s="250"/>
      <c r="P1039" s="250"/>
      <c r="Q1039" s="250"/>
      <c r="R1039" s="250"/>
      <c r="S1039" s="250"/>
      <c r="T1039" s="250"/>
      <c r="U1039" s="250"/>
      <c r="V1039" s="250"/>
      <c r="W1039" s="250"/>
      <c r="X1039" s="250"/>
      <c r="Y1039" s="250"/>
      <c r="Z1039" s="250"/>
      <c r="AA1039" s="250"/>
      <c r="AB1039" s="250"/>
      <c r="AC1039" s="250"/>
      <c r="AD1039" s="250"/>
      <c r="AE1039" s="250"/>
      <c r="AF1039" s="250"/>
      <c r="AG1039" s="250"/>
      <c r="AH1039" s="250"/>
      <c r="AI1039" s="250"/>
      <c r="AJ1039" s="250"/>
      <c r="AK1039" s="250"/>
      <c r="AL1039" s="250"/>
      <c r="AM1039" s="250"/>
      <c r="AN1039" s="250"/>
      <c r="AO1039" s="250"/>
      <c r="AP1039" s="250"/>
      <c r="AQ1039" s="250"/>
      <c r="AR1039" s="250"/>
      <c r="AS1039" s="250"/>
      <c r="AT1039" s="250"/>
      <c r="AU1039" s="250"/>
      <c r="AV1039" s="124"/>
    </row>
    <row r="1040" spans="2:48" s="475" customFormat="1" x14ac:dyDescent="0.2">
      <c r="B1040" s="250"/>
      <c r="C1040" s="250"/>
      <c r="D1040" s="250"/>
      <c r="E1040" s="250"/>
      <c r="F1040" s="250"/>
      <c r="G1040" s="250"/>
      <c r="H1040" s="250"/>
      <c r="I1040" s="250"/>
      <c r="J1040" s="250"/>
      <c r="K1040" s="250"/>
      <c r="L1040" s="250"/>
      <c r="M1040" s="250"/>
      <c r="N1040" s="250"/>
      <c r="O1040" s="250"/>
      <c r="P1040" s="250"/>
      <c r="Q1040" s="250"/>
      <c r="R1040" s="250"/>
      <c r="S1040" s="250"/>
      <c r="T1040" s="250"/>
      <c r="U1040" s="250"/>
      <c r="V1040" s="250"/>
      <c r="W1040" s="250"/>
      <c r="X1040" s="250"/>
      <c r="Y1040" s="250"/>
      <c r="Z1040" s="250"/>
      <c r="AA1040" s="250"/>
      <c r="AB1040" s="250"/>
      <c r="AC1040" s="250"/>
      <c r="AD1040" s="250"/>
      <c r="AE1040" s="250"/>
      <c r="AF1040" s="250"/>
      <c r="AG1040" s="250"/>
      <c r="AH1040" s="250"/>
      <c r="AI1040" s="250"/>
      <c r="AJ1040" s="250"/>
      <c r="AK1040" s="250"/>
      <c r="AL1040" s="250"/>
      <c r="AM1040" s="250"/>
      <c r="AN1040" s="250"/>
      <c r="AO1040" s="250"/>
      <c r="AP1040" s="250"/>
      <c r="AQ1040" s="250"/>
      <c r="AR1040" s="250"/>
      <c r="AS1040" s="250"/>
      <c r="AT1040" s="250"/>
      <c r="AU1040" s="250"/>
      <c r="AV1040" s="124"/>
    </row>
    <row r="1041" spans="2:48" s="475" customFormat="1" x14ac:dyDescent="0.2">
      <c r="B1041" s="250"/>
      <c r="C1041" s="250"/>
      <c r="D1041" s="250"/>
      <c r="E1041" s="250"/>
      <c r="F1041" s="250"/>
      <c r="G1041" s="250"/>
      <c r="H1041" s="250"/>
      <c r="I1041" s="250"/>
      <c r="J1041" s="250"/>
      <c r="K1041" s="250"/>
      <c r="L1041" s="250"/>
      <c r="M1041" s="250"/>
      <c r="N1041" s="250"/>
      <c r="O1041" s="250"/>
      <c r="P1041" s="250"/>
      <c r="Q1041" s="250"/>
      <c r="R1041" s="250"/>
      <c r="S1041" s="250"/>
      <c r="T1041" s="250"/>
      <c r="U1041" s="250"/>
      <c r="V1041" s="250"/>
      <c r="W1041" s="250"/>
      <c r="X1041" s="250"/>
      <c r="Y1041" s="250"/>
      <c r="Z1041" s="250"/>
      <c r="AA1041" s="250"/>
      <c r="AB1041" s="250"/>
      <c r="AC1041" s="250"/>
      <c r="AD1041" s="250"/>
      <c r="AE1041" s="250"/>
      <c r="AF1041" s="250"/>
      <c r="AG1041" s="250"/>
      <c r="AH1041" s="250"/>
      <c r="AI1041" s="250"/>
      <c r="AJ1041" s="250"/>
      <c r="AK1041" s="250"/>
      <c r="AL1041" s="250"/>
      <c r="AM1041" s="250"/>
      <c r="AN1041" s="250"/>
      <c r="AO1041" s="250"/>
      <c r="AP1041" s="250"/>
      <c r="AQ1041" s="250"/>
      <c r="AR1041" s="250"/>
      <c r="AS1041" s="250"/>
      <c r="AT1041" s="250"/>
      <c r="AU1041" s="250"/>
      <c r="AV1041" s="124"/>
    </row>
    <row r="1042" spans="2:48" s="475" customFormat="1" x14ac:dyDescent="0.2">
      <c r="B1042" s="250"/>
      <c r="C1042" s="250"/>
      <c r="D1042" s="250"/>
      <c r="E1042" s="250"/>
      <c r="F1042" s="250"/>
      <c r="G1042" s="250"/>
      <c r="H1042" s="250"/>
      <c r="I1042" s="250"/>
      <c r="J1042" s="250"/>
      <c r="K1042" s="250"/>
      <c r="L1042" s="250"/>
      <c r="M1042" s="250"/>
      <c r="N1042" s="250"/>
      <c r="O1042" s="250"/>
      <c r="P1042" s="250"/>
      <c r="Q1042" s="250"/>
      <c r="R1042" s="250"/>
      <c r="S1042" s="250"/>
      <c r="T1042" s="250"/>
      <c r="U1042" s="250"/>
      <c r="V1042" s="250"/>
      <c r="W1042" s="250"/>
      <c r="X1042" s="250"/>
      <c r="Y1042" s="250"/>
      <c r="Z1042" s="250"/>
      <c r="AA1042" s="250"/>
      <c r="AB1042" s="250"/>
      <c r="AC1042" s="250"/>
      <c r="AD1042" s="250"/>
      <c r="AE1042" s="250"/>
      <c r="AF1042" s="250"/>
      <c r="AG1042" s="250"/>
      <c r="AH1042" s="250"/>
      <c r="AI1042" s="250"/>
      <c r="AJ1042" s="250"/>
      <c r="AK1042" s="250"/>
      <c r="AL1042" s="250"/>
      <c r="AM1042" s="250"/>
      <c r="AN1042" s="250"/>
      <c r="AO1042" s="250"/>
      <c r="AP1042" s="250"/>
      <c r="AQ1042" s="250"/>
      <c r="AR1042" s="250"/>
      <c r="AS1042" s="250"/>
      <c r="AT1042" s="250"/>
      <c r="AU1042" s="250"/>
      <c r="AV1042" s="124"/>
    </row>
    <row r="1043" spans="2:48" s="475" customFormat="1" x14ac:dyDescent="0.2">
      <c r="B1043" s="250"/>
      <c r="C1043" s="250"/>
      <c r="D1043" s="250"/>
      <c r="E1043" s="250"/>
      <c r="F1043" s="250"/>
      <c r="G1043" s="250"/>
      <c r="H1043" s="250"/>
      <c r="I1043" s="250"/>
      <c r="J1043" s="250"/>
      <c r="K1043" s="250"/>
      <c r="L1043" s="250"/>
      <c r="M1043" s="250"/>
      <c r="N1043" s="250"/>
      <c r="O1043" s="250"/>
      <c r="P1043" s="250"/>
      <c r="Q1043" s="250"/>
      <c r="R1043" s="250"/>
      <c r="S1043" s="250"/>
      <c r="T1043" s="250"/>
      <c r="U1043" s="250"/>
      <c r="V1043" s="250"/>
      <c r="W1043" s="250"/>
      <c r="X1043" s="250"/>
      <c r="Y1043" s="250"/>
      <c r="Z1043" s="250"/>
      <c r="AA1043" s="250"/>
      <c r="AB1043" s="250"/>
      <c r="AC1043" s="250"/>
      <c r="AD1043" s="250"/>
      <c r="AE1043" s="250"/>
      <c r="AF1043" s="250"/>
      <c r="AG1043" s="250"/>
      <c r="AH1043" s="250"/>
      <c r="AI1043" s="250"/>
      <c r="AJ1043" s="250"/>
      <c r="AK1043" s="250"/>
      <c r="AL1043" s="250"/>
      <c r="AM1043" s="250"/>
      <c r="AN1043" s="250"/>
      <c r="AO1043" s="250"/>
      <c r="AP1043" s="250"/>
      <c r="AQ1043" s="250"/>
      <c r="AR1043" s="250"/>
      <c r="AS1043" s="250"/>
      <c r="AT1043" s="250"/>
      <c r="AU1043" s="250"/>
      <c r="AV1043" s="124"/>
    </row>
    <row r="1044" spans="2:48" s="475" customFormat="1" x14ac:dyDescent="0.2">
      <c r="B1044" s="250"/>
      <c r="C1044" s="250"/>
      <c r="D1044" s="250"/>
      <c r="E1044" s="250"/>
      <c r="F1044" s="250"/>
      <c r="G1044" s="250"/>
      <c r="H1044" s="250"/>
      <c r="I1044" s="250"/>
      <c r="J1044" s="250"/>
      <c r="K1044" s="250"/>
      <c r="L1044" s="250"/>
      <c r="M1044" s="250"/>
      <c r="N1044" s="250"/>
      <c r="O1044" s="250"/>
      <c r="P1044" s="250"/>
      <c r="Q1044" s="250"/>
      <c r="R1044" s="250"/>
      <c r="S1044" s="250"/>
      <c r="T1044" s="250"/>
      <c r="U1044" s="250"/>
      <c r="V1044" s="250"/>
      <c r="W1044" s="250"/>
      <c r="X1044" s="250"/>
      <c r="Y1044" s="250"/>
      <c r="Z1044" s="250"/>
      <c r="AA1044" s="250"/>
      <c r="AB1044" s="250"/>
      <c r="AC1044" s="250"/>
      <c r="AD1044" s="250"/>
      <c r="AE1044" s="250"/>
      <c r="AF1044" s="250"/>
      <c r="AG1044" s="250"/>
      <c r="AH1044" s="250"/>
      <c r="AI1044" s="250"/>
      <c r="AJ1044" s="250"/>
      <c r="AK1044" s="250"/>
      <c r="AL1044" s="250"/>
      <c r="AM1044" s="250"/>
      <c r="AN1044" s="250"/>
      <c r="AO1044" s="250"/>
      <c r="AP1044" s="250"/>
      <c r="AQ1044" s="250"/>
      <c r="AR1044" s="250"/>
      <c r="AS1044" s="250"/>
      <c r="AT1044" s="250"/>
      <c r="AU1044" s="250"/>
      <c r="AV1044" s="124"/>
    </row>
    <row r="1045" spans="2:48" s="475" customFormat="1" x14ac:dyDescent="0.2">
      <c r="B1045" s="250"/>
      <c r="C1045" s="250"/>
      <c r="D1045" s="250"/>
      <c r="E1045" s="250"/>
      <c r="F1045" s="250"/>
      <c r="G1045" s="250"/>
      <c r="H1045" s="250"/>
      <c r="I1045" s="250"/>
      <c r="J1045" s="250"/>
      <c r="K1045" s="250"/>
      <c r="L1045" s="250"/>
      <c r="M1045" s="250"/>
      <c r="N1045" s="250"/>
      <c r="O1045" s="250"/>
      <c r="P1045" s="250"/>
      <c r="Q1045" s="250"/>
      <c r="R1045" s="250"/>
      <c r="S1045" s="250"/>
      <c r="T1045" s="250"/>
      <c r="U1045" s="250"/>
      <c r="V1045" s="250"/>
      <c r="W1045" s="250"/>
      <c r="X1045" s="250"/>
      <c r="Y1045" s="250"/>
      <c r="Z1045" s="250"/>
      <c r="AA1045" s="250"/>
      <c r="AB1045" s="250"/>
      <c r="AC1045" s="250"/>
      <c r="AD1045" s="250"/>
      <c r="AE1045" s="250"/>
      <c r="AF1045" s="250"/>
      <c r="AG1045" s="250"/>
      <c r="AH1045" s="250"/>
      <c r="AI1045" s="250"/>
      <c r="AJ1045" s="250"/>
      <c r="AK1045" s="250"/>
      <c r="AL1045" s="250"/>
      <c r="AM1045" s="250"/>
      <c r="AN1045" s="250"/>
      <c r="AO1045" s="250"/>
      <c r="AP1045" s="250"/>
      <c r="AQ1045" s="250"/>
      <c r="AR1045" s="250"/>
      <c r="AS1045" s="250"/>
      <c r="AT1045" s="250"/>
      <c r="AU1045" s="250"/>
      <c r="AV1045" s="124"/>
    </row>
    <row r="1046" spans="2:48" s="475" customFormat="1" x14ac:dyDescent="0.2">
      <c r="B1046" s="250"/>
      <c r="C1046" s="250"/>
      <c r="D1046" s="250"/>
      <c r="E1046" s="250"/>
      <c r="F1046" s="250"/>
      <c r="G1046" s="250"/>
      <c r="H1046" s="250"/>
      <c r="I1046" s="250"/>
      <c r="J1046" s="250"/>
      <c r="K1046" s="250"/>
      <c r="L1046" s="250"/>
      <c r="M1046" s="250"/>
      <c r="N1046" s="250"/>
      <c r="O1046" s="250"/>
      <c r="P1046" s="250"/>
      <c r="Q1046" s="250"/>
      <c r="R1046" s="250"/>
      <c r="S1046" s="250"/>
      <c r="T1046" s="250"/>
      <c r="U1046" s="250"/>
      <c r="V1046" s="250"/>
      <c r="W1046" s="250"/>
      <c r="X1046" s="250"/>
      <c r="Y1046" s="250"/>
      <c r="Z1046" s="250"/>
      <c r="AA1046" s="250"/>
      <c r="AB1046" s="250"/>
      <c r="AC1046" s="250"/>
      <c r="AD1046" s="250"/>
      <c r="AE1046" s="250"/>
      <c r="AF1046" s="250"/>
      <c r="AG1046" s="250"/>
      <c r="AH1046" s="250"/>
      <c r="AI1046" s="250"/>
      <c r="AJ1046" s="250"/>
      <c r="AK1046" s="250"/>
      <c r="AL1046" s="250"/>
      <c r="AM1046" s="250"/>
      <c r="AN1046" s="250"/>
      <c r="AO1046" s="250"/>
      <c r="AP1046" s="250"/>
      <c r="AQ1046" s="250"/>
      <c r="AR1046" s="250"/>
      <c r="AS1046" s="250"/>
      <c r="AT1046" s="250"/>
      <c r="AU1046" s="250"/>
      <c r="AV1046" s="124"/>
    </row>
    <row r="1047" spans="2:48" s="475" customFormat="1" x14ac:dyDescent="0.2">
      <c r="B1047" s="250"/>
      <c r="C1047" s="250"/>
      <c r="D1047" s="250"/>
      <c r="E1047" s="250"/>
      <c r="F1047" s="250"/>
      <c r="G1047" s="250"/>
      <c r="H1047" s="250"/>
      <c r="I1047" s="250"/>
      <c r="J1047" s="250"/>
      <c r="K1047" s="250"/>
      <c r="L1047" s="250"/>
      <c r="M1047" s="250"/>
      <c r="N1047" s="250"/>
      <c r="O1047" s="250"/>
      <c r="P1047" s="250"/>
      <c r="Q1047" s="250"/>
      <c r="R1047" s="250"/>
      <c r="S1047" s="250"/>
      <c r="T1047" s="250"/>
      <c r="U1047" s="250"/>
      <c r="V1047" s="250"/>
      <c r="W1047" s="250"/>
      <c r="X1047" s="250"/>
      <c r="Y1047" s="250"/>
      <c r="Z1047" s="250"/>
      <c r="AA1047" s="250"/>
      <c r="AB1047" s="250"/>
      <c r="AC1047" s="250"/>
      <c r="AD1047" s="250"/>
      <c r="AE1047" s="250"/>
      <c r="AF1047" s="250"/>
      <c r="AG1047" s="250"/>
      <c r="AH1047" s="250"/>
      <c r="AI1047" s="250"/>
      <c r="AJ1047" s="250"/>
      <c r="AK1047" s="250"/>
      <c r="AL1047" s="250"/>
      <c r="AM1047" s="250"/>
      <c r="AN1047" s="250"/>
      <c r="AO1047" s="250"/>
      <c r="AP1047" s="250"/>
      <c r="AQ1047" s="250"/>
      <c r="AR1047" s="250"/>
      <c r="AS1047" s="250"/>
      <c r="AT1047" s="250"/>
      <c r="AU1047" s="250"/>
      <c r="AV1047" s="124"/>
    </row>
    <row r="1048" spans="2:48" s="475" customFormat="1" x14ac:dyDescent="0.2">
      <c r="B1048" s="250"/>
      <c r="C1048" s="250"/>
      <c r="D1048" s="250"/>
      <c r="E1048" s="250"/>
      <c r="F1048" s="250"/>
      <c r="G1048" s="250"/>
      <c r="H1048" s="250"/>
      <c r="I1048" s="250"/>
      <c r="J1048" s="250"/>
      <c r="K1048" s="250"/>
      <c r="L1048" s="250"/>
      <c r="M1048" s="250"/>
      <c r="N1048" s="250"/>
      <c r="O1048" s="250"/>
      <c r="P1048" s="250"/>
      <c r="Q1048" s="250"/>
      <c r="R1048" s="250"/>
      <c r="S1048" s="250"/>
      <c r="T1048" s="250"/>
      <c r="U1048" s="250"/>
      <c r="V1048" s="250"/>
      <c r="W1048" s="250"/>
      <c r="X1048" s="250"/>
      <c r="Y1048" s="250"/>
      <c r="Z1048" s="250"/>
      <c r="AA1048" s="250"/>
      <c r="AB1048" s="250"/>
      <c r="AC1048" s="250"/>
      <c r="AD1048" s="250"/>
      <c r="AE1048" s="250"/>
      <c r="AF1048" s="250"/>
      <c r="AG1048" s="250"/>
      <c r="AH1048" s="250"/>
      <c r="AI1048" s="250"/>
      <c r="AJ1048" s="250"/>
      <c r="AK1048" s="250"/>
      <c r="AL1048" s="250"/>
      <c r="AM1048" s="250"/>
      <c r="AN1048" s="250"/>
      <c r="AO1048" s="250"/>
      <c r="AP1048" s="250"/>
      <c r="AQ1048" s="250"/>
      <c r="AR1048" s="250"/>
      <c r="AS1048" s="250"/>
      <c r="AT1048" s="250"/>
      <c r="AU1048" s="250"/>
      <c r="AV1048" s="124"/>
    </row>
    <row r="1049" spans="2:48" s="475" customFormat="1" x14ac:dyDescent="0.2">
      <c r="B1049" s="250"/>
      <c r="C1049" s="250"/>
      <c r="D1049" s="250"/>
      <c r="E1049" s="250"/>
      <c r="F1049" s="250"/>
      <c r="G1049" s="250"/>
      <c r="H1049" s="250"/>
      <c r="I1049" s="250"/>
      <c r="J1049" s="250"/>
      <c r="K1049" s="250"/>
      <c r="L1049" s="250"/>
      <c r="M1049" s="250"/>
      <c r="N1049" s="250"/>
      <c r="O1049" s="250"/>
      <c r="P1049" s="250"/>
      <c r="Q1049" s="250"/>
      <c r="R1049" s="250"/>
      <c r="S1049" s="250"/>
      <c r="T1049" s="250"/>
      <c r="U1049" s="250"/>
      <c r="V1049" s="250"/>
      <c r="W1049" s="250"/>
      <c r="X1049" s="250"/>
      <c r="Y1049" s="250"/>
      <c r="Z1049" s="250"/>
      <c r="AA1049" s="250"/>
      <c r="AB1049" s="250"/>
      <c r="AC1049" s="250"/>
      <c r="AD1049" s="250"/>
      <c r="AE1049" s="250"/>
      <c r="AF1049" s="250"/>
      <c r="AG1049" s="250"/>
      <c r="AH1049" s="250"/>
      <c r="AI1049" s="250"/>
      <c r="AJ1049" s="250"/>
      <c r="AK1049" s="250"/>
      <c r="AL1049" s="250"/>
      <c r="AM1049" s="250"/>
      <c r="AN1049" s="250"/>
      <c r="AO1049" s="250"/>
      <c r="AP1049" s="250"/>
      <c r="AQ1049" s="250"/>
      <c r="AR1049" s="250"/>
      <c r="AS1049" s="250"/>
      <c r="AT1049" s="250"/>
      <c r="AU1049" s="250"/>
      <c r="AV1049" s="124"/>
    </row>
    <row r="1050" spans="2:48" s="475" customFormat="1" x14ac:dyDescent="0.2">
      <c r="B1050" s="250"/>
      <c r="C1050" s="250"/>
      <c r="D1050" s="250"/>
      <c r="E1050" s="250"/>
      <c r="F1050" s="250"/>
      <c r="G1050" s="250"/>
      <c r="H1050" s="250"/>
      <c r="I1050" s="250"/>
      <c r="J1050" s="250"/>
      <c r="K1050" s="250"/>
      <c r="L1050" s="250"/>
      <c r="M1050" s="250"/>
      <c r="N1050" s="250"/>
      <c r="O1050" s="250"/>
      <c r="P1050" s="250"/>
      <c r="Q1050" s="250"/>
      <c r="R1050" s="250"/>
      <c r="S1050" s="250"/>
      <c r="T1050" s="250"/>
      <c r="U1050" s="250"/>
      <c r="V1050" s="250"/>
      <c r="W1050" s="250"/>
      <c r="X1050" s="250"/>
      <c r="Y1050" s="250"/>
      <c r="Z1050" s="250"/>
      <c r="AA1050" s="250"/>
      <c r="AB1050" s="250"/>
      <c r="AC1050" s="250"/>
      <c r="AD1050" s="250"/>
      <c r="AE1050" s="250"/>
      <c r="AF1050" s="250"/>
      <c r="AG1050" s="250"/>
      <c r="AH1050" s="250"/>
      <c r="AI1050" s="250"/>
      <c r="AJ1050" s="250"/>
      <c r="AK1050" s="250"/>
      <c r="AL1050" s="250"/>
      <c r="AM1050" s="250"/>
      <c r="AN1050" s="250"/>
      <c r="AO1050" s="250"/>
      <c r="AP1050" s="250"/>
      <c r="AQ1050" s="250"/>
      <c r="AR1050" s="250"/>
      <c r="AS1050" s="250"/>
      <c r="AT1050" s="250"/>
      <c r="AU1050" s="250"/>
      <c r="AV1050" s="124"/>
    </row>
    <row r="1051" spans="2:48" s="475" customFormat="1" x14ac:dyDescent="0.2">
      <c r="B1051" s="250"/>
      <c r="C1051" s="250"/>
      <c r="D1051" s="250"/>
      <c r="E1051" s="250"/>
      <c r="F1051" s="250"/>
      <c r="G1051" s="250"/>
      <c r="H1051" s="250"/>
      <c r="I1051" s="250"/>
      <c r="J1051" s="250"/>
      <c r="K1051" s="250"/>
      <c r="L1051" s="250"/>
      <c r="M1051" s="250"/>
      <c r="N1051" s="250"/>
      <c r="O1051" s="250"/>
      <c r="P1051" s="250"/>
      <c r="Q1051" s="250"/>
      <c r="R1051" s="250"/>
      <c r="S1051" s="250"/>
      <c r="T1051" s="250"/>
      <c r="U1051" s="250"/>
      <c r="V1051" s="250"/>
      <c r="W1051" s="250"/>
      <c r="X1051" s="250"/>
      <c r="Y1051" s="250"/>
      <c r="Z1051" s="250"/>
      <c r="AA1051" s="250"/>
      <c r="AB1051" s="250"/>
      <c r="AC1051" s="250"/>
      <c r="AD1051" s="250"/>
      <c r="AE1051" s="250"/>
      <c r="AF1051" s="250"/>
      <c r="AG1051" s="250"/>
      <c r="AH1051" s="250"/>
      <c r="AI1051" s="250"/>
      <c r="AJ1051" s="250"/>
      <c r="AK1051" s="250"/>
      <c r="AL1051" s="250"/>
      <c r="AM1051" s="250"/>
      <c r="AN1051" s="250"/>
      <c r="AO1051" s="250"/>
      <c r="AP1051" s="250"/>
      <c r="AQ1051" s="250"/>
      <c r="AR1051" s="250"/>
      <c r="AS1051" s="250"/>
      <c r="AT1051" s="250"/>
      <c r="AU1051" s="250"/>
      <c r="AV1051" s="124"/>
    </row>
    <row r="1052" spans="2:48" s="475" customFormat="1" x14ac:dyDescent="0.2">
      <c r="B1052" s="250"/>
      <c r="C1052" s="250"/>
      <c r="D1052" s="250"/>
      <c r="E1052" s="250"/>
      <c r="F1052" s="250"/>
      <c r="G1052" s="250"/>
      <c r="H1052" s="250"/>
      <c r="I1052" s="250"/>
      <c r="J1052" s="250"/>
      <c r="K1052" s="250"/>
      <c r="L1052" s="250"/>
      <c r="M1052" s="250"/>
      <c r="N1052" s="250"/>
      <c r="O1052" s="250"/>
      <c r="P1052" s="250"/>
      <c r="Q1052" s="250"/>
      <c r="R1052" s="250"/>
      <c r="S1052" s="250"/>
      <c r="T1052" s="250"/>
      <c r="U1052" s="250"/>
      <c r="V1052" s="250"/>
      <c r="W1052" s="250"/>
      <c r="X1052" s="250"/>
      <c r="Y1052" s="250"/>
      <c r="Z1052" s="250"/>
      <c r="AA1052" s="250"/>
      <c r="AB1052" s="250"/>
      <c r="AC1052" s="250"/>
      <c r="AD1052" s="250"/>
      <c r="AE1052" s="250"/>
      <c r="AF1052" s="250"/>
      <c r="AG1052" s="250"/>
      <c r="AH1052" s="250"/>
      <c r="AI1052" s="250"/>
      <c r="AJ1052" s="250"/>
      <c r="AK1052" s="250"/>
      <c r="AL1052" s="250"/>
      <c r="AM1052" s="250"/>
      <c r="AN1052" s="250"/>
      <c r="AO1052" s="250"/>
      <c r="AP1052" s="250"/>
      <c r="AQ1052" s="250"/>
      <c r="AR1052" s="250"/>
      <c r="AS1052" s="250"/>
      <c r="AT1052" s="250"/>
      <c r="AU1052" s="250"/>
      <c r="AV1052" s="124"/>
    </row>
    <row r="1053" spans="2:48" s="475" customFormat="1" x14ac:dyDescent="0.2">
      <c r="B1053" s="250"/>
      <c r="C1053" s="250"/>
      <c r="D1053" s="250"/>
      <c r="E1053" s="250"/>
      <c r="F1053" s="250"/>
      <c r="G1053" s="250"/>
      <c r="H1053" s="250"/>
      <c r="I1053" s="250"/>
      <c r="J1053" s="250"/>
      <c r="K1053" s="250"/>
      <c r="L1053" s="250"/>
      <c r="M1053" s="250"/>
      <c r="N1053" s="250"/>
      <c r="O1053" s="250"/>
      <c r="P1053" s="250"/>
      <c r="Q1053" s="250"/>
      <c r="R1053" s="250"/>
      <c r="S1053" s="250"/>
      <c r="T1053" s="250"/>
      <c r="U1053" s="250"/>
      <c r="V1053" s="250"/>
      <c r="W1053" s="250"/>
      <c r="X1053" s="250"/>
      <c r="Y1053" s="250"/>
      <c r="Z1053" s="250"/>
      <c r="AA1053" s="250"/>
      <c r="AB1053" s="250"/>
      <c r="AC1053" s="250"/>
      <c r="AD1053" s="250"/>
      <c r="AE1053" s="250"/>
      <c r="AF1053" s="250"/>
      <c r="AG1053" s="250"/>
      <c r="AH1053" s="250"/>
      <c r="AI1053" s="250"/>
      <c r="AJ1053" s="250"/>
      <c r="AK1053" s="250"/>
      <c r="AL1053" s="250"/>
      <c r="AM1053" s="250"/>
      <c r="AN1053" s="250"/>
      <c r="AO1053" s="250"/>
      <c r="AP1053" s="250"/>
      <c r="AQ1053" s="250"/>
      <c r="AR1053" s="250"/>
      <c r="AS1053" s="250"/>
      <c r="AT1053" s="250"/>
      <c r="AU1053" s="250"/>
      <c r="AV1053" s="124"/>
    </row>
    <row r="1054" spans="2:48" s="475" customFormat="1" x14ac:dyDescent="0.2">
      <c r="B1054" s="250"/>
      <c r="C1054" s="250"/>
      <c r="D1054" s="250"/>
      <c r="E1054" s="250"/>
      <c r="F1054" s="250"/>
      <c r="G1054" s="250"/>
      <c r="H1054" s="250"/>
      <c r="I1054" s="250"/>
      <c r="J1054" s="250"/>
      <c r="K1054" s="250"/>
      <c r="L1054" s="250"/>
      <c r="M1054" s="250"/>
      <c r="N1054" s="250"/>
      <c r="O1054" s="250"/>
      <c r="P1054" s="250"/>
      <c r="Q1054" s="250"/>
      <c r="R1054" s="250"/>
      <c r="S1054" s="250"/>
      <c r="T1054" s="250"/>
      <c r="U1054" s="250"/>
      <c r="V1054" s="250"/>
      <c r="W1054" s="250"/>
      <c r="X1054" s="250"/>
      <c r="Y1054" s="250"/>
      <c r="Z1054" s="250"/>
      <c r="AA1054" s="250"/>
      <c r="AB1054" s="250"/>
      <c r="AC1054" s="250"/>
      <c r="AD1054" s="250"/>
      <c r="AE1054" s="250"/>
      <c r="AF1054" s="250"/>
      <c r="AG1054" s="250"/>
      <c r="AH1054" s="250"/>
      <c r="AI1054" s="250"/>
      <c r="AJ1054" s="250"/>
      <c r="AK1054" s="250"/>
      <c r="AL1054" s="250"/>
      <c r="AM1054" s="250"/>
      <c r="AN1054" s="250"/>
      <c r="AO1054" s="250"/>
      <c r="AP1054" s="250"/>
      <c r="AQ1054" s="250"/>
      <c r="AR1054" s="250"/>
      <c r="AS1054" s="250"/>
      <c r="AT1054" s="250"/>
      <c r="AU1054" s="250"/>
      <c r="AV1054" s="124"/>
    </row>
    <row r="1055" spans="2:48" s="475" customFormat="1" x14ac:dyDescent="0.2">
      <c r="B1055" s="250"/>
      <c r="C1055" s="250"/>
      <c r="D1055" s="250"/>
      <c r="E1055" s="250"/>
      <c r="F1055" s="250"/>
      <c r="G1055" s="250"/>
      <c r="H1055" s="250"/>
      <c r="I1055" s="250"/>
      <c r="J1055" s="250"/>
      <c r="K1055" s="250"/>
      <c r="L1055" s="250"/>
      <c r="M1055" s="250"/>
      <c r="N1055" s="250"/>
      <c r="O1055" s="250"/>
      <c r="P1055" s="250"/>
      <c r="Q1055" s="250"/>
      <c r="R1055" s="250"/>
      <c r="S1055" s="250"/>
      <c r="T1055" s="250"/>
      <c r="U1055" s="250"/>
      <c r="V1055" s="250"/>
      <c r="W1055" s="250"/>
      <c r="X1055" s="250"/>
      <c r="Y1055" s="250"/>
      <c r="Z1055" s="250"/>
      <c r="AA1055" s="250"/>
      <c r="AB1055" s="250"/>
      <c r="AC1055" s="250"/>
      <c r="AD1055" s="250"/>
      <c r="AE1055" s="250"/>
      <c r="AF1055" s="250"/>
      <c r="AG1055" s="250"/>
      <c r="AH1055" s="250"/>
      <c r="AI1055" s="250"/>
      <c r="AJ1055" s="250"/>
      <c r="AK1055" s="250"/>
      <c r="AL1055" s="250"/>
      <c r="AM1055" s="250"/>
      <c r="AN1055" s="250"/>
      <c r="AO1055" s="250"/>
      <c r="AP1055" s="250"/>
      <c r="AQ1055" s="250"/>
      <c r="AR1055" s="250"/>
      <c r="AS1055" s="250"/>
      <c r="AT1055" s="250"/>
      <c r="AU1055" s="250"/>
      <c r="AV1055" s="124"/>
    </row>
    <row r="1056" spans="2:48" s="475" customFormat="1" x14ac:dyDescent="0.2">
      <c r="B1056" s="250"/>
      <c r="C1056" s="250"/>
      <c r="D1056" s="250"/>
      <c r="E1056" s="250"/>
      <c r="F1056" s="250"/>
      <c r="G1056" s="250"/>
      <c r="H1056" s="250"/>
      <c r="I1056" s="250"/>
      <c r="J1056" s="250"/>
      <c r="K1056" s="250"/>
      <c r="L1056" s="250"/>
      <c r="M1056" s="250"/>
      <c r="N1056" s="250"/>
      <c r="O1056" s="250"/>
      <c r="P1056" s="250"/>
      <c r="Q1056" s="250"/>
      <c r="R1056" s="250"/>
      <c r="S1056" s="250"/>
      <c r="T1056" s="250"/>
      <c r="U1056" s="250"/>
      <c r="V1056" s="250"/>
      <c r="W1056" s="250"/>
      <c r="X1056" s="250"/>
      <c r="Y1056" s="250"/>
      <c r="Z1056" s="250"/>
      <c r="AA1056" s="250"/>
      <c r="AB1056" s="250"/>
      <c r="AC1056" s="250"/>
      <c r="AD1056" s="250"/>
      <c r="AE1056" s="250"/>
      <c r="AF1056" s="250"/>
      <c r="AG1056" s="250"/>
      <c r="AH1056" s="250"/>
      <c r="AI1056" s="250"/>
      <c r="AJ1056" s="250"/>
      <c r="AK1056" s="250"/>
      <c r="AL1056" s="250"/>
      <c r="AM1056" s="250"/>
      <c r="AN1056" s="250"/>
      <c r="AO1056" s="250"/>
      <c r="AP1056" s="250"/>
      <c r="AQ1056" s="250"/>
      <c r="AR1056" s="250"/>
      <c r="AS1056" s="250"/>
      <c r="AT1056" s="250"/>
      <c r="AU1056" s="250"/>
      <c r="AV1056" s="124"/>
    </row>
    <row r="1057" spans="2:48" s="475" customFormat="1" x14ac:dyDescent="0.2">
      <c r="B1057" s="250"/>
      <c r="C1057" s="250"/>
      <c r="D1057" s="250"/>
      <c r="E1057" s="250"/>
      <c r="F1057" s="250"/>
      <c r="G1057" s="250"/>
      <c r="H1057" s="250"/>
      <c r="I1057" s="250"/>
      <c r="J1057" s="250"/>
      <c r="K1057" s="250"/>
      <c r="L1057" s="250"/>
      <c r="M1057" s="250"/>
      <c r="N1057" s="250"/>
      <c r="O1057" s="250"/>
      <c r="P1057" s="250"/>
      <c r="Q1057" s="250"/>
      <c r="R1057" s="250"/>
      <c r="S1057" s="250"/>
      <c r="T1057" s="250"/>
      <c r="U1057" s="250"/>
      <c r="V1057" s="250"/>
      <c r="W1057" s="250"/>
      <c r="X1057" s="250"/>
      <c r="Y1057" s="250"/>
      <c r="Z1057" s="250"/>
      <c r="AA1057" s="250"/>
      <c r="AB1057" s="250"/>
      <c r="AC1057" s="250"/>
      <c r="AD1057" s="250"/>
      <c r="AE1057" s="250"/>
      <c r="AF1057" s="250"/>
      <c r="AG1057" s="250"/>
      <c r="AH1057" s="250"/>
      <c r="AI1057" s="250"/>
      <c r="AJ1057" s="250"/>
      <c r="AK1057" s="250"/>
      <c r="AL1057" s="250"/>
      <c r="AM1057" s="250"/>
      <c r="AN1057" s="250"/>
      <c r="AO1057" s="250"/>
      <c r="AP1057" s="250"/>
      <c r="AQ1057" s="250"/>
      <c r="AR1057" s="250"/>
      <c r="AS1057" s="250"/>
      <c r="AT1057" s="250"/>
      <c r="AU1057" s="250"/>
      <c r="AV1057" s="124"/>
    </row>
    <row r="1058" spans="2:48" s="475" customFormat="1" x14ac:dyDescent="0.2">
      <c r="B1058" s="250"/>
      <c r="C1058" s="250"/>
      <c r="D1058" s="250"/>
      <c r="E1058" s="250"/>
      <c r="F1058" s="250"/>
      <c r="G1058" s="250"/>
      <c r="H1058" s="250"/>
      <c r="I1058" s="250"/>
      <c r="J1058" s="250"/>
      <c r="K1058" s="250"/>
      <c r="L1058" s="250"/>
      <c r="M1058" s="250"/>
      <c r="N1058" s="250"/>
      <c r="O1058" s="250"/>
      <c r="P1058" s="250"/>
      <c r="Q1058" s="250"/>
      <c r="R1058" s="250"/>
      <c r="S1058" s="250"/>
      <c r="T1058" s="250"/>
      <c r="U1058" s="250"/>
      <c r="V1058" s="250"/>
      <c r="W1058" s="250"/>
      <c r="X1058" s="250"/>
      <c r="Y1058" s="250"/>
      <c r="Z1058" s="250"/>
      <c r="AA1058" s="250"/>
      <c r="AB1058" s="250"/>
      <c r="AC1058" s="250"/>
      <c r="AD1058" s="250"/>
      <c r="AE1058" s="250"/>
      <c r="AF1058" s="250"/>
      <c r="AG1058" s="250"/>
      <c r="AH1058" s="250"/>
      <c r="AI1058" s="250"/>
      <c r="AJ1058" s="250"/>
      <c r="AK1058" s="250"/>
      <c r="AL1058" s="250"/>
      <c r="AM1058" s="250"/>
      <c r="AN1058" s="250"/>
      <c r="AO1058" s="250"/>
      <c r="AP1058" s="250"/>
      <c r="AQ1058" s="250"/>
      <c r="AR1058" s="250"/>
      <c r="AS1058" s="250"/>
      <c r="AT1058" s="250"/>
      <c r="AU1058" s="250"/>
      <c r="AV1058" s="124"/>
    </row>
    <row r="1059" spans="2:48" s="475" customFormat="1" x14ac:dyDescent="0.2">
      <c r="B1059" s="250"/>
      <c r="C1059" s="250"/>
      <c r="D1059" s="250"/>
      <c r="E1059" s="250"/>
      <c r="F1059" s="250"/>
      <c r="G1059" s="250"/>
      <c r="H1059" s="250"/>
      <c r="I1059" s="250"/>
      <c r="J1059" s="250"/>
      <c r="K1059" s="250"/>
      <c r="L1059" s="250"/>
      <c r="M1059" s="250"/>
      <c r="N1059" s="250"/>
      <c r="O1059" s="250"/>
      <c r="P1059" s="250"/>
      <c r="Q1059" s="250"/>
      <c r="R1059" s="250"/>
      <c r="S1059" s="250"/>
      <c r="T1059" s="250"/>
      <c r="U1059" s="250"/>
      <c r="V1059" s="250"/>
      <c r="W1059" s="250"/>
      <c r="X1059" s="250"/>
      <c r="Y1059" s="250"/>
      <c r="Z1059" s="250"/>
      <c r="AA1059" s="250"/>
      <c r="AB1059" s="250"/>
      <c r="AC1059" s="250"/>
      <c r="AD1059" s="250"/>
      <c r="AE1059" s="250"/>
      <c r="AF1059" s="250"/>
      <c r="AG1059" s="250"/>
      <c r="AH1059" s="250"/>
      <c r="AI1059" s="250"/>
      <c r="AJ1059" s="250"/>
      <c r="AK1059" s="250"/>
      <c r="AL1059" s="250"/>
      <c r="AM1059" s="250"/>
      <c r="AN1059" s="250"/>
      <c r="AO1059" s="250"/>
      <c r="AP1059" s="250"/>
      <c r="AQ1059" s="250"/>
      <c r="AR1059" s="250"/>
      <c r="AS1059" s="250"/>
      <c r="AT1059" s="250"/>
      <c r="AU1059" s="250"/>
      <c r="AV1059" s="124"/>
    </row>
    <row r="1060" spans="2:48" s="475" customFormat="1" x14ac:dyDescent="0.2">
      <c r="B1060" s="250"/>
      <c r="C1060" s="250"/>
      <c r="D1060" s="250"/>
      <c r="E1060" s="250"/>
      <c r="F1060" s="250"/>
      <c r="G1060" s="250"/>
      <c r="H1060" s="250"/>
      <c r="I1060" s="250"/>
      <c r="J1060" s="250"/>
      <c r="K1060" s="250"/>
      <c r="L1060" s="250"/>
      <c r="M1060" s="250"/>
      <c r="N1060" s="250"/>
      <c r="O1060" s="250"/>
      <c r="P1060" s="250"/>
      <c r="Q1060" s="250"/>
      <c r="R1060" s="250"/>
      <c r="S1060" s="250"/>
      <c r="T1060" s="250"/>
      <c r="U1060" s="250"/>
      <c r="V1060" s="250"/>
      <c r="W1060" s="250"/>
      <c r="X1060" s="250"/>
      <c r="Y1060" s="250"/>
      <c r="Z1060" s="250"/>
      <c r="AA1060" s="250"/>
      <c r="AB1060" s="250"/>
      <c r="AC1060" s="250"/>
      <c r="AD1060" s="250"/>
      <c r="AE1060" s="250"/>
      <c r="AF1060" s="250"/>
      <c r="AG1060" s="250"/>
      <c r="AH1060" s="250"/>
      <c r="AI1060" s="250"/>
      <c r="AJ1060" s="250"/>
      <c r="AK1060" s="250"/>
      <c r="AL1060" s="250"/>
      <c r="AM1060" s="250"/>
      <c r="AN1060" s="250"/>
      <c r="AO1060" s="250"/>
      <c r="AP1060" s="250"/>
      <c r="AQ1060" s="250"/>
      <c r="AR1060" s="250"/>
      <c r="AS1060" s="250"/>
      <c r="AT1060" s="250"/>
      <c r="AU1060" s="250"/>
      <c r="AV1060" s="124"/>
    </row>
    <row r="1061" spans="2:48" s="475" customFormat="1" x14ac:dyDescent="0.2">
      <c r="B1061" s="250"/>
      <c r="C1061" s="250"/>
      <c r="D1061" s="250"/>
      <c r="E1061" s="250"/>
      <c r="F1061" s="250"/>
      <c r="G1061" s="250"/>
      <c r="H1061" s="250"/>
      <c r="I1061" s="250"/>
      <c r="J1061" s="250"/>
      <c r="K1061" s="250"/>
      <c r="L1061" s="250"/>
      <c r="M1061" s="250"/>
      <c r="N1061" s="250"/>
      <c r="O1061" s="250"/>
      <c r="P1061" s="250"/>
      <c r="Q1061" s="250"/>
      <c r="R1061" s="250"/>
      <c r="S1061" s="250"/>
      <c r="T1061" s="250"/>
      <c r="U1061" s="250"/>
      <c r="V1061" s="250"/>
      <c r="W1061" s="250"/>
      <c r="X1061" s="250"/>
      <c r="Y1061" s="250"/>
      <c r="Z1061" s="250"/>
      <c r="AA1061" s="250"/>
      <c r="AB1061" s="250"/>
      <c r="AC1061" s="250"/>
      <c r="AD1061" s="250"/>
      <c r="AE1061" s="250"/>
      <c r="AF1061" s="250"/>
      <c r="AG1061" s="250"/>
      <c r="AH1061" s="250"/>
      <c r="AI1061" s="250"/>
      <c r="AJ1061" s="250"/>
      <c r="AK1061" s="250"/>
      <c r="AL1061" s="250"/>
      <c r="AM1061" s="250"/>
      <c r="AN1061" s="250"/>
      <c r="AO1061" s="250"/>
      <c r="AP1061" s="250"/>
      <c r="AQ1061" s="250"/>
      <c r="AR1061" s="250"/>
      <c r="AS1061" s="250"/>
      <c r="AT1061" s="250"/>
      <c r="AU1061" s="250"/>
      <c r="AV1061" s="124"/>
    </row>
    <row r="1062" spans="2:48" s="475" customFormat="1" x14ac:dyDescent="0.2">
      <c r="B1062" s="250"/>
      <c r="C1062" s="250"/>
      <c r="D1062" s="250"/>
      <c r="E1062" s="250"/>
      <c r="F1062" s="250"/>
      <c r="G1062" s="250"/>
      <c r="H1062" s="250"/>
      <c r="I1062" s="250"/>
      <c r="J1062" s="250"/>
      <c r="K1062" s="250"/>
      <c r="L1062" s="250"/>
      <c r="M1062" s="250"/>
      <c r="N1062" s="250"/>
      <c r="O1062" s="250"/>
      <c r="P1062" s="250"/>
      <c r="Q1062" s="250"/>
      <c r="R1062" s="250"/>
      <c r="S1062" s="250"/>
      <c r="T1062" s="250"/>
      <c r="U1062" s="250"/>
      <c r="V1062" s="250"/>
      <c r="W1062" s="250"/>
      <c r="X1062" s="250"/>
      <c r="Y1062" s="250"/>
      <c r="Z1062" s="250"/>
      <c r="AA1062" s="250"/>
      <c r="AB1062" s="250"/>
      <c r="AC1062" s="250"/>
      <c r="AD1062" s="250"/>
      <c r="AE1062" s="250"/>
      <c r="AF1062" s="250"/>
      <c r="AG1062" s="250"/>
      <c r="AH1062" s="250"/>
      <c r="AI1062" s="250"/>
      <c r="AJ1062" s="250"/>
      <c r="AK1062" s="250"/>
      <c r="AL1062" s="250"/>
      <c r="AM1062" s="250"/>
      <c r="AN1062" s="250"/>
      <c r="AO1062" s="250"/>
      <c r="AP1062" s="250"/>
      <c r="AQ1062" s="250"/>
      <c r="AR1062" s="250"/>
      <c r="AS1062" s="250"/>
      <c r="AT1062" s="250"/>
      <c r="AU1062" s="250"/>
      <c r="AV1062" s="124"/>
    </row>
    <row r="1063" spans="2:48" s="475" customFormat="1" x14ac:dyDescent="0.2">
      <c r="B1063" s="250"/>
      <c r="C1063" s="250"/>
      <c r="D1063" s="250"/>
      <c r="E1063" s="250"/>
      <c r="F1063" s="250"/>
      <c r="G1063" s="250"/>
      <c r="H1063" s="250"/>
      <c r="I1063" s="250"/>
      <c r="J1063" s="250"/>
      <c r="K1063" s="250"/>
      <c r="L1063" s="250"/>
      <c r="M1063" s="250"/>
      <c r="N1063" s="250"/>
      <c r="O1063" s="250"/>
      <c r="P1063" s="250"/>
      <c r="Q1063" s="250"/>
      <c r="R1063" s="250"/>
      <c r="S1063" s="250"/>
      <c r="T1063" s="250"/>
      <c r="U1063" s="250"/>
      <c r="V1063" s="250"/>
      <c r="W1063" s="250"/>
      <c r="X1063" s="250"/>
      <c r="Y1063" s="250"/>
      <c r="Z1063" s="250"/>
      <c r="AA1063" s="250"/>
      <c r="AB1063" s="250"/>
      <c r="AC1063" s="250"/>
      <c r="AD1063" s="250"/>
      <c r="AE1063" s="250"/>
      <c r="AF1063" s="250"/>
      <c r="AG1063" s="250"/>
      <c r="AH1063" s="250"/>
      <c r="AI1063" s="250"/>
      <c r="AJ1063" s="250"/>
      <c r="AK1063" s="250"/>
      <c r="AL1063" s="250"/>
      <c r="AM1063" s="250"/>
      <c r="AN1063" s="250"/>
      <c r="AO1063" s="250"/>
      <c r="AP1063" s="250"/>
      <c r="AQ1063" s="250"/>
      <c r="AR1063" s="250"/>
      <c r="AS1063" s="250"/>
      <c r="AT1063" s="250"/>
      <c r="AU1063" s="250"/>
      <c r="AV1063" s="124"/>
    </row>
    <row r="1064" spans="2:48" s="475" customFormat="1" x14ac:dyDescent="0.2">
      <c r="B1064" s="250"/>
      <c r="C1064" s="250"/>
      <c r="D1064" s="250"/>
      <c r="E1064" s="250"/>
      <c r="F1064" s="250"/>
      <c r="G1064" s="250"/>
      <c r="H1064" s="250"/>
      <c r="I1064" s="250"/>
      <c r="J1064" s="250"/>
      <c r="K1064" s="250"/>
      <c r="L1064" s="250"/>
      <c r="M1064" s="250"/>
      <c r="N1064" s="250"/>
      <c r="O1064" s="250"/>
      <c r="P1064" s="250"/>
      <c r="Q1064" s="250"/>
      <c r="R1064" s="250"/>
      <c r="S1064" s="250"/>
      <c r="T1064" s="250"/>
      <c r="U1064" s="250"/>
      <c r="V1064" s="250"/>
      <c r="W1064" s="250"/>
      <c r="X1064" s="250"/>
      <c r="Y1064" s="250"/>
      <c r="Z1064" s="250"/>
      <c r="AA1064" s="250"/>
      <c r="AB1064" s="250"/>
      <c r="AC1064" s="250"/>
      <c r="AD1064" s="250"/>
      <c r="AE1064" s="250"/>
      <c r="AF1064" s="250"/>
      <c r="AG1064" s="250"/>
      <c r="AH1064" s="250"/>
      <c r="AI1064" s="250"/>
      <c r="AJ1064" s="250"/>
      <c r="AK1064" s="250"/>
      <c r="AL1064" s="250"/>
      <c r="AM1064" s="250"/>
      <c r="AN1064" s="250"/>
      <c r="AO1064" s="250"/>
      <c r="AP1064" s="250"/>
      <c r="AQ1064" s="250"/>
      <c r="AR1064" s="250"/>
      <c r="AS1064" s="250"/>
      <c r="AT1064" s="250"/>
      <c r="AU1064" s="250"/>
      <c r="AV1064" s="124"/>
    </row>
    <row r="1065" spans="2:48" s="475" customFormat="1" x14ac:dyDescent="0.2">
      <c r="B1065" s="250"/>
      <c r="C1065" s="250"/>
      <c r="D1065" s="250"/>
      <c r="E1065" s="250"/>
      <c r="F1065" s="250"/>
      <c r="G1065" s="250"/>
      <c r="H1065" s="250"/>
      <c r="I1065" s="250"/>
      <c r="J1065" s="250"/>
      <c r="K1065" s="250"/>
      <c r="L1065" s="250"/>
      <c r="M1065" s="250"/>
      <c r="N1065" s="250"/>
      <c r="O1065" s="250"/>
      <c r="P1065" s="250"/>
      <c r="Q1065" s="250"/>
      <c r="R1065" s="250"/>
      <c r="S1065" s="250"/>
      <c r="T1065" s="250"/>
      <c r="U1065" s="250"/>
      <c r="V1065" s="250"/>
      <c r="W1065" s="250"/>
      <c r="X1065" s="250"/>
      <c r="Y1065" s="250"/>
      <c r="Z1065" s="250"/>
      <c r="AA1065" s="250"/>
      <c r="AB1065" s="250"/>
      <c r="AC1065" s="250"/>
      <c r="AD1065" s="250"/>
      <c r="AE1065" s="250"/>
      <c r="AF1065" s="250"/>
      <c r="AG1065" s="250"/>
      <c r="AH1065" s="250"/>
      <c r="AI1065" s="250"/>
      <c r="AJ1065" s="250"/>
      <c r="AK1065" s="250"/>
      <c r="AL1065" s="250"/>
      <c r="AM1065" s="250"/>
      <c r="AN1065" s="250"/>
      <c r="AO1065" s="250"/>
      <c r="AP1065" s="250"/>
      <c r="AQ1065" s="250"/>
      <c r="AR1065" s="250"/>
      <c r="AS1065" s="250"/>
      <c r="AT1065" s="250"/>
      <c r="AU1065" s="250"/>
      <c r="AV1065" s="124"/>
    </row>
    <row r="1066" spans="2:48" s="475" customFormat="1" x14ac:dyDescent="0.2">
      <c r="B1066" s="250"/>
      <c r="C1066" s="250"/>
      <c r="D1066" s="250"/>
      <c r="E1066" s="250"/>
      <c r="F1066" s="250"/>
      <c r="G1066" s="250"/>
      <c r="H1066" s="250"/>
      <c r="I1066" s="250"/>
      <c r="J1066" s="250"/>
      <c r="K1066" s="250"/>
      <c r="L1066" s="250"/>
      <c r="M1066" s="250"/>
      <c r="N1066" s="250"/>
      <c r="O1066" s="250"/>
      <c r="P1066" s="250"/>
      <c r="Q1066" s="250"/>
      <c r="R1066" s="250"/>
      <c r="S1066" s="250"/>
      <c r="T1066" s="250"/>
      <c r="U1066" s="250"/>
      <c r="V1066" s="250"/>
      <c r="W1066" s="250"/>
      <c r="X1066" s="250"/>
      <c r="Y1066" s="250"/>
      <c r="Z1066" s="250"/>
      <c r="AA1066" s="250"/>
      <c r="AB1066" s="250"/>
      <c r="AC1066" s="250"/>
      <c r="AD1066" s="250"/>
      <c r="AE1066" s="250"/>
      <c r="AF1066" s="250"/>
      <c r="AG1066" s="250"/>
      <c r="AH1066" s="250"/>
      <c r="AI1066" s="250"/>
      <c r="AJ1066" s="250"/>
      <c r="AK1066" s="250"/>
      <c r="AL1066" s="250"/>
      <c r="AM1066" s="250"/>
      <c r="AN1066" s="250"/>
      <c r="AO1066" s="250"/>
      <c r="AP1066" s="250"/>
      <c r="AQ1066" s="250"/>
      <c r="AR1066" s="250"/>
      <c r="AS1066" s="250"/>
      <c r="AT1066" s="250"/>
      <c r="AU1066" s="250"/>
      <c r="AV1066" s="124"/>
    </row>
    <row r="1067" spans="2:48" s="475" customFormat="1" x14ac:dyDescent="0.2">
      <c r="B1067" s="250"/>
      <c r="C1067" s="250"/>
      <c r="D1067" s="250"/>
      <c r="E1067" s="250"/>
      <c r="F1067" s="250"/>
      <c r="G1067" s="250"/>
      <c r="H1067" s="250"/>
      <c r="I1067" s="250"/>
      <c r="J1067" s="250"/>
      <c r="K1067" s="250"/>
      <c r="L1067" s="250"/>
      <c r="M1067" s="250"/>
      <c r="N1067" s="250"/>
      <c r="O1067" s="250"/>
      <c r="P1067" s="250"/>
      <c r="Q1067" s="250"/>
      <c r="R1067" s="250"/>
      <c r="S1067" s="250"/>
      <c r="T1067" s="250"/>
      <c r="U1067" s="250"/>
      <c r="V1067" s="250"/>
      <c r="W1067" s="250"/>
      <c r="X1067" s="250"/>
      <c r="Y1067" s="250"/>
      <c r="Z1067" s="250"/>
      <c r="AA1067" s="250"/>
      <c r="AB1067" s="250"/>
      <c r="AC1067" s="250"/>
      <c r="AD1067" s="250"/>
      <c r="AE1067" s="250"/>
      <c r="AF1067" s="250"/>
      <c r="AG1067" s="250"/>
      <c r="AH1067" s="250"/>
      <c r="AI1067" s="250"/>
      <c r="AJ1067" s="250"/>
      <c r="AK1067" s="250"/>
      <c r="AL1067" s="250"/>
      <c r="AM1067" s="250"/>
      <c r="AN1067" s="250"/>
      <c r="AO1067" s="250"/>
      <c r="AP1067" s="250"/>
      <c r="AQ1067" s="250"/>
      <c r="AR1067" s="250"/>
      <c r="AS1067" s="250"/>
      <c r="AT1067" s="250"/>
      <c r="AU1067" s="250"/>
      <c r="AV1067" s="124"/>
    </row>
    <row r="1068" spans="2:48" s="475" customFormat="1" x14ac:dyDescent="0.2">
      <c r="B1068" s="250"/>
      <c r="C1068" s="250"/>
      <c r="D1068" s="250"/>
      <c r="E1068" s="250"/>
      <c r="F1068" s="250"/>
      <c r="G1068" s="250"/>
      <c r="H1068" s="250"/>
      <c r="I1068" s="250"/>
      <c r="J1068" s="250"/>
      <c r="K1068" s="250"/>
      <c r="L1068" s="250"/>
      <c r="M1068" s="250"/>
      <c r="N1068" s="250"/>
      <c r="O1068" s="250"/>
      <c r="P1068" s="250"/>
      <c r="Q1068" s="250"/>
      <c r="R1068" s="250"/>
      <c r="S1068" s="250"/>
      <c r="T1068" s="250"/>
      <c r="U1068" s="250"/>
      <c r="V1068" s="250"/>
      <c r="W1068" s="250"/>
      <c r="X1068" s="250"/>
      <c r="Y1068" s="250"/>
      <c r="Z1068" s="250"/>
      <c r="AA1068" s="250"/>
      <c r="AB1068" s="250"/>
      <c r="AC1068" s="250"/>
      <c r="AD1068" s="250"/>
      <c r="AE1068" s="250"/>
      <c r="AF1068" s="250"/>
      <c r="AG1068" s="250"/>
      <c r="AH1068" s="250"/>
      <c r="AI1068" s="250"/>
      <c r="AJ1068" s="250"/>
      <c r="AK1068" s="250"/>
      <c r="AL1068" s="250"/>
      <c r="AM1068" s="250"/>
      <c r="AN1068" s="250"/>
      <c r="AO1068" s="250"/>
      <c r="AP1068" s="250"/>
      <c r="AQ1068" s="250"/>
      <c r="AR1068" s="250"/>
      <c r="AS1068" s="250"/>
      <c r="AT1068" s="250"/>
      <c r="AU1068" s="250"/>
      <c r="AV1068" s="124"/>
    </row>
    <row r="1069" spans="2:48" s="475" customFormat="1" x14ac:dyDescent="0.2">
      <c r="B1069" s="250"/>
      <c r="C1069" s="250"/>
      <c r="D1069" s="250"/>
      <c r="E1069" s="250"/>
      <c r="F1069" s="250"/>
      <c r="G1069" s="250"/>
      <c r="H1069" s="250"/>
      <c r="I1069" s="250"/>
      <c r="J1069" s="250"/>
      <c r="K1069" s="250"/>
      <c r="L1069" s="250"/>
      <c r="M1069" s="250"/>
      <c r="N1069" s="250"/>
      <c r="O1069" s="250"/>
      <c r="P1069" s="250"/>
      <c r="Q1069" s="250"/>
      <c r="R1069" s="250"/>
      <c r="S1069" s="250"/>
      <c r="T1069" s="250"/>
      <c r="U1069" s="250"/>
      <c r="V1069" s="250"/>
      <c r="W1069" s="250"/>
      <c r="X1069" s="250"/>
      <c r="Y1069" s="250"/>
      <c r="Z1069" s="250"/>
      <c r="AA1069" s="250"/>
      <c r="AB1069" s="250"/>
      <c r="AC1069" s="250"/>
      <c r="AD1069" s="250"/>
      <c r="AE1069" s="250"/>
      <c r="AF1069" s="250"/>
      <c r="AG1069" s="250"/>
      <c r="AH1069" s="250"/>
      <c r="AI1069" s="250"/>
      <c r="AJ1069" s="250"/>
      <c r="AK1069" s="250"/>
      <c r="AL1069" s="250"/>
      <c r="AM1069" s="250"/>
      <c r="AN1069" s="250"/>
      <c r="AO1069" s="250"/>
      <c r="AP1069" s="250"/>
      <c r="AQ1069" s="250"/>
      <c r="AR1069" s="250"/>
      <c r="AS1069" s="250"/>
      <c r="AT1069" s="250"/>
      <c r="AU1069" s="250"/>
      <c r="AV1069" s="124"/>
    </row>
    <row r="1070" spans="2:48" s="475" customFormat="1" x14ac:dyDescent="0.2">
      <c r="B1070" s="250"/>
      <c r="C1070" s="250"/>
      <c r="D1070" s="250"/>
      <c r="E1070" s="250"/>
      <c r="F1070" s="250"/>
      <c r="G1070" s="250"/>
      <c r="H1070" s="250"/>
      <c r="I1070" s="250"/>
      <c r="J1070" s="250"/>
      <c r="K1070" s="250"/>
      <c r="L1070" s="250"/>
      <c r="M1070" s="250"/>
      <c r="N1070" s="250"/>
      <c r="O1070" s="250"/>
      <c r="P1070" s="250"/>
      <c r="Q1070" s="250"/>
      <c r="R1070" s="250"/>
      <c r="S1070" s="250"/>
      <c r="T1070" s="250"/>
      <c r="U1070" s="250"/>
      <c r="V1070" s="250"/>
      <c r="W1070" s="250"/>
      <c r="X1070" s="250"/>
      <c r="Y1070" s="250"/>
      <c r="Z1070" s="250"/>
      <c r="AA1070" s="250"/>
      <c r="AB1070" s="250"/>
      <c r="AC1070" s="250"/>
      <c r="AD1070" s="250"/>
      <c r="AE1070" s="250"/>
      <c r="AF1070" s="250"/>
      <c r="AG1070" s="250"/>
      <c r="AH1070" s="250"/>
      <c r="AI1070" s="250"/>
      <c r="AJ1070" s="250"/>
      <c r="AK1070" s="250"/>
      <c r="AL1070" s="250"/>
      <c r="AM1070" s="250"/>
      <c r="AN1070" s="250"/>
      <c r="AO1070" s="250"/>
      <c r="AP1070" s="250"/>
      <c r="AQ1070" s="250"/>
      <c r="AR1070" s="250"/>
      <c r="AS1070" s="250"/>
      <c r="AT1070" s="250"/>
      <c r="AU1070" s="250"/>
      <c r="AV1070" s="124"/>
    </row>
    <row r="1071" spans="2:48" s="475" customFormat="1" x14ac:dyDescent="0.2">
      <c r="B1071" s="250"/>
      <c r="C1071" s="250"/>
      <c r="D1071" s="250"/>
      <c r="E1071" s="250"/>
      <c r="F1071" s="250"/>
      <c r="G1071" s="250"/>
      <c r="H1071" s="250"/>
      <c r="I1071" s="250"/>
      <c r="J1071" s="250"/>
      <c r="K1071" s="250"/>
      <c r="L1071" s="250"/>
      <c r="M1071" s="250"/>
      <c r="N1071" s="250"/>
      <c r="O1071" s="250"/>
      <c r="P1071" s="250"/>
      <c r="Q1071" s="250"/>
      <c r="R1071" s="250"/>
      <c r="S1071" s="250"/>
      <c r="T1071" s="250"/>
      <c r="U1071" s="250"/>
      <c r="V1071" s="250"/>
      <c r="W1071" s="250"/>
      <c r="X1071" s="250"/>
      <c r="Y1071" s="250"/>
      <c r="Z1071" s="250"/>
      <c r="AA1071" s="250"/>
      <c r="AB1071" s="250"/>
      <c r="AC1071" s="250"/>
      <c r="AD1071" s="250"/>
      <c r="AE1071" s="250"/>
      <c r="AF1071" s="250"/>
      <c r="AG1071" s="250"/>
      <c r="AH1071" s="250"/>
      <c r="AI1071" s="250"/>
      <c r="AJ1071" s="250"/>
      <c r="AK1071" s="250"/>
      <c r="AL1071" s="250"/>
      <c r="AM1071" s="250"/>
      <c r="AN1071" s="250"/>
      <c r="AO1071" s="250"/>
      <c r="AP1071" s="250"/>
      <c r="AQ1071" s="250"/>
      <c r="AR1071" s="250"/>
      <c r="AS1071" s="250"/>
      <c r="AT1071" s="250"/>
      <c r="AU1071" s="250"/>
      <c r="AV1071" s="124"/>
    </row>
    <row r="1072" spans="2:48" s="475" customFormat="1" x14ac:dyDescent="0.2">
      <c r="B1072" s="250"/>
      <c r="C1072" s="250"/>
      <c r="D1072" s="250"/>
      <c r="E1072" s="250"/>
      <c r="F1072" s="250"/>
      <c r="G1072" s="250"/>
      <c r="H1072" s="250"/>
      <c r="I1072" s="250"/>
      <c r="J1072" s="250"/>
      <c r="K1072" s="250"/>
      <c r="L1072" s="250"/>
      <c r="M1072" s="250"/>
      <c r="N1072" s="250"/>
      <c r="O1072" s="250"/>
      <c r="P1072" s="250"/>
      <c r="Q1072" s="250"/>
      <c r="R1072" s="250"/>
      <c r="S1072" s="250"/>
      <c r="T1072" s="250"/>
      <c r="U1072" s="250"/>
      <c r="V1072" s="250"/>
      <c r="W1072" s="250"/>
      <c r="X1072" s="250"/>
      <c r="Y1072" s="250"/>
      <c r="Z1072" s="250"/>
      <c r="AA1072" s="250"/>
      <c r="AB1072" s="250"/>
      <c r="AC1072" s="250"/>
      <c r="AD1072" s="250"/>
      <c r="AE1072" s="250"/>
      <c r="AF1072" s="250"/>
      <c r="AG1072" s="250"/>
      <c r="AH1072" s="250"/>
      <c r="AI1072" s="250"/>
      <c r="AJ1072" s="250"/>
      <c r="AK1072" s="250"/>
      <c r="AL1072" s="250"/>
      <c r="AM1072" s="250"/>
      <c r="AN1072" s="250"/>
      <c r="AO1072" s="250"/>
      <c r="AP1072" s="250"/>
      <c r="AQ1072" s="250"/>
      <c r="AR1072" s="250"/>
      <c r="AS1072" s="250"/>
      <c r="AT1072" s="250"/>
      <c r="AU1072" s="250"/>
      <c r="AV1072" s="124"/>
    </row>
    <row r="1073" spans="2:48" s="475" customFormat="1" x14ac:dyDescent="0.2">
      <c r="B1073" s="250"/>
      <c r="C1073" s="250"/>
      <c r="D1073" s="250"/>
      <c r="E1073" s="250"/>
      <c r="F1073" s="250"/>
      <c r="G1073" s="250"/>
      <c r="H1073" s="250"/>
      <c r="I1073" s="250"/>
      <c r="J1073" s="250"/>
      <c r="K1073" s="250"/>
      <c r="L1073" s="250"/>
      <c r="M1073" s="250"/>
      <c r="N1073" s="250"/>
      <c r="O1073" s="250"/>
      <c r="P1073" s="250"/>
      <c r="Q1073" s="250"/>
      <c r="R1073" s="250"/>
      <c r="S1073" s="250"/>
      <c r="T1073" s="250"/>
      <c r="U1073" s="250"/>
      <c r="V1073" s="250"/>
      <c r="W1073" s="250"/>
      <c r="X1073" s="250"/>
      <c r="Y1073" s="250"/>
      <c r="Z1073" s="250"/>
      <c r="AA1073" s="250"/>
      <c r="AB1073" s="250"/>
      <c r="AC1073" s="250"/>
      <c r="AD1073" s="250"/>
      <c r="AE1073" s="250"/>
      <c r="AF1073" s="250"/>
      <c r="AG1073" s="250"/>
      <c r="AH1073" s="250"/>
      <c r="AI1073" s="250"/>
      <c r="AJ1073" s="250"/>
      <c r="AK1073" s="250"/>
      <c r="AL1073" s="250"/>
      <c r="AM1073" s="250"/>
      <c r="AN1073" s="250"/>
      <c r="AO1073" s="250"/>
      <c r="AP1073" s="250"/>
      <c r="AQ1073" s="250"/>
      <c r="AR1073" s="250"/>
      <c r="AS1073" s="250"/>
      <c r="AT1073" s="250"/>
      <c r="AU1073" s="250"/>
      <c r="AV1073" s="124"/>
    </row>
    <row r="1074" spans="2:48" s="475" customFormat="1" x14ac:dyDescent="0.2">
      <c r="B1074" s="250"/>
      <c r="C1074" s="250"/>
      <c r="D1074" s="250"/>
      <c r="E1074" s="250"/>
      <c r="F1074" s="250"/>
      <c r="G1074" s="250"/>
      <c r="H1074" s="250"/>
      <c r="I1074" s="250"/>
      <c r="J1074" s="250"/>
      <c r="K1074" s="250"/>
      <c r="L1074" s="250"/>
      <c r="M1074" s="250"/>
      <c r="N1074" s="250"/>
      <c r="O1074" s="250"/>
      <c r="P1074" s="250"/>
      <c r="Q1074" s="250"/>
      <c r="R1074" s="250"/>
      <c r="S1074" s="250"/>
      <c r="T1074" s="250"/>
      <c r="U1074" s="250"/>
      <c r="V1074" s="250"/>
      <c r="W1074" s="250"/>
      <c r="X1074" s="250"/>
      <c r="Y1074" s="250"/>
      <c r="Z1074" s="250"/>
      <c r="AA1074" s="250"/>
      <c r="AB1074" s="250"/>
      <c r="AC1074" s="250"/>
      <c r="AD1074" s="250"/>
      <c r="AE1074" s="250"/>
      <c r="AF1074" s="250"/>
      <c r="AG1074" s="250"/>
      <c r="AH1074" s="250"/>
      <c r="AI1074" s="250"/>
      <c r="AJ1074" s="250"/>
      <c r="AK1074" s="250"/>
      <c r="AL1074" s="250"/>
      <c r="AM1074" s="250"/>
      <c r="AN1074" s="250"/>
      <c r="AO1074" s="250"/>
      <c r="AP1074" s="250"/>
      <c r="AQ1074" s="250"/>
      <c r="AR1074" s="250"/>
      <c r="AS1074" s="250"/>
      <c r="AT1074" s="250"/>
      <c r="AU1074" s="250"/>
      <c r="AV1074" s="124"/>
    </row>
    <row r="1075" spans="2:48" s="475" customFormat="1" x14ac:dyDescent="0.2">
      <c r="B1075" s="250"/>
      <c r="C1075" s="250"/>
      <c r="D1075" s="250"/>
      <c r="E1075" s="250"/>
      <c r="F1075" s="250"/>
      <c r="G1075" s="250"/>
      <c r="H1075" s="250"/>
      <c r="I1075" s="250"/>
      <c r="J1075" s="250"/>
      <c r="K1075" s="250"/>
      <c r="L1075" s="250"/>
      <c r="M1075" s="250"/>
      <c r="N1075" s="250"/>
      <c r="O1075" s="250"/>
      <c r="P1075" s="250"/>
      <c r="Q1075" s="250"/>
      <c r="R1075" s="250"/>
      <c r="S1075" s="250"/>
      <c r="T1075" s="250"/>
      <c r="U1075" s="250"/>
      <c r="V1075" s="250"/>
      <c r="W1075" s="250"/>
      <c r="X1075" s="250"/>
      <c r="Y1075" s="250"/>
      <c r="Z1075" s="250"/>
      <c r="AA1075" s="250"/>
      <c r="AB1075" s="250"/>
      <c r="AC1075" s="250"/>
      <c r="AD1075" s="250"/>
      <c r="AE1075" s="250"/>
      <c r="AF1075" s="250"/>
      <c r="AG1075" s="250"/>
      <c r="AH1075" s="250"/>
      <c r="AI1075" s="250"/>
      <c r="AJ1075" s="250"/>
      <c r="AK1075" s="250"/>
      <c r="AL1075" s="250"/>
      <c r="AM1075" s="250"/>
      <c r="AN1075" s="250"/>
      <c r="AO1075" s="250"/>
      <c r="AP1075" s="250"/>
      <c r="AQ1075" s="250"/>
      <c r="AR1075" s="250"/>
      <c r="AS1075" s="250"/>
      <c r="AT1075" s="250"/>
      <c r="AU1075" s="250"/>
      <c r="AV1075" s="124"/>
    </row>
    <row r="1076" spans="2:48" s="475" customFormat="1" x14ac:dyDescent="0.2">
      <c r="B1076" s="250"/>
      <c r="C1076" s="250"/>
      <c r="D1076" s="250"/>
      <c r="E1076" s="250"/>
      <c r="F1076" s="250"/>
      <c r="G1076" s="250"/>
      <c r="H1076" s="250"/>
      <c r="I1076" s="250"/>
      <c r="J1076" s="250"/>
      <c r="K1076" s="250"/>
      <c r="L1076" s="250"/>
      <c r="M1076" s="250"/>
      <c r="N1076" s="250"/>
      <c r="O1076" s="250"/>
      <c r="P1076" s="250"/>
      <c r="Q1076" s="250"/>
      <c r="R1076" s="250"/>
      <c r="S1076" s="250"/>
      <c r="T1076" s="250"/>
      <c r="U1076" s="250"/>
      <c r="V1076" s="250"/>
      <c r="W1076" s="250"/>
      <c r="X1076" s="250"/>
      <c r="Y1076" s="250"/>
      <c r="Z1076" s="250"/>
      <c r="AA1076" s="250"/>
      <c r="AB1076" s="250"/>
      <c r="AC1076" s="250"/>
      <c r="AD1076" s="250"/>
      <c r="AE1076" s="250"/>
      <c r="AF1076" s="250"/>
      <c r="AG1076" s="250"/>
      <c r="AH1076" s="250"/>
      <c r="AI1076" s="250"/>
      <c r="AJ1076" s="250"/>
      <c r="AK1076" s="250"/>
      <c r="AL1076" s="250"/>
      <c r="AM1076" s="250"/>
      <c r="AN1076" s="250"/>
      <c r="AO1076" s="250"/>
      <c r="AP1076" s="250"/>
      <c r="AQ1076" s="250"/>
      <c r="AR1076" s="250"/>
      <c r="AS1076" s="250"/>
      <c r="AT1076" s="250"/>
      <c r="AU1076" s="250"/>
      <c r="AV1076" s="124"/>
    </row>
    <row r="1077" spans="2:48" s="475" customFormat="1" x14ac:dyDescent="0.2">
      <c r="B1077" s="250"/>
      <c r="C1077" s="250"/>
      <c r="D1077" s="250"/>
      <c r="E1077" s="250"/>
      <c r="F1077" s="250"/>
      <c r="G1077" s="250"/>
      <c r="H1077" s="250"/>
      <c r="I1077" s="250"/>
      <c r="J1077" s="250"/>
      <c r="K1077" s="250"/>
      <c r="L1077" s="250"/>
      <c r="M1077" s="250"/>
      <c r="N1077" s="250"/>
      <c r="O1077" s="250"/>
      <c r="P1077" s="250"/>
      <c r="Q1077" s="250"/>
      <c r="R1077" s="250"/>
      <c r="S1077" s="250"/>
      <c r="T1077" s="250"/>
      <c r="U1077" s="250"/>
      <c r="V1077" s="250"/>
      <c r="W1077" s="250"/>
      <c r="X1077" s="250"/>
      <c r="Y1077" s="250"/>
      <c r="Z1077" s="250"/>
      <c r="AA1077" s="250"/>
      <c r="AB1077" s="250"/>
      <c r="AC1077" s="250"/>
      <c r="AD1077" s="250"/>
      <c r="AE1077" s="250"/>
      <c r="AF1077" s="250"/>
      <c r="AG1077" s="250"/>
      <c r="AH1077" s="250"/>
      <c r="AI1077" s="250"/>
      <c r="AJ1077" s="250"/>
      <c r="AK1077" s="250"/>
      <c r="AL1077" s="250"/>
      <c r="AM1077" s="250"/>
      <c r="AN1077" s="250"/>
      <c r="AO1077" s="250"/>
      <c r="AP1077" s="250"/>
      <c r="AQ1077" s="250"/>
      <c r="AR1077" s="250"/>
      <c r="AS1077" s="250"/>
      <c r="AT1077" s="250"/>
      <c r="AU1077" s="250"/>
      <c r="AV1077" s="124"/>
    </row>
    <row r="1078" spans="2:48" s="475" customFormat="1" x14ac:dyDescent="0.2">
      <c r="B1078" s="250"/>
      <c r="C1078" s="250"/>
      <c r="D1078" s="250"/>
      <c r="E1078" s="250"/>
      <c r="F1078" s="250"/>
      <c r="G1078" s="250"/>
      <c r="H1078" s="250"/>
      <c r="I1078" s="250"/>
      <c r="J1078" s="250"/>
      <c r="K1078" s="250"/>
      <c r="L1078" s="250"/>
      <c r="M1078" s="250"/>
      <c r="N1078" s="250"/>
      <c r="O1078" s="250"/>
      <c r="P1078" s="250"/>
      <c r="Q1078" s="250"/>
      <c r="R1078" s="250"/>
      <c r="S1078" s="250"/>
      <c r="T1078" s="250"/>
      <c r="U1078" s="250"/>
      <c r="V1078" s="250"/>
      <c r="W1078" s="250"/>
      <c r="X1078" s="250"/>
      <c r="Y1078" s="250"/>
      <c r="Z1078" s="250"/>
      <c r="AA1078" s="250"/>
      <c r="AB1078" s="250"/>
      <c r="AC1078" s="250"/>
      <c r="AD1078" s="250"/>
      <c r="AE1078" s="250"/>
      <c r="AF1078" s="250"/>
      <c r="AG1078" s="250"/>
      <c r="AH1078" s="250"/>
      <c r="AI1078" s="250"/>
      <c r="AJ1078" s="250"/>
      <c r="AK1078" s="250"/>
      <c r="AL1078" s="250"/>
      <c r="AM1078" s="250"/>
      <c r="AN1078" s="250"/>
      <c r="AO1078" s="250"/>
      <c r="AP1078" s="250"/>
      <c r="AQ1078" s="250"/>
      <c r="AR1078" s="250"/>
      <c r="AS1078" s="250"/>
      <c r="AT1078" s="250"/>
      <c r="AU1078" s="250"/>
      <c r="AV1078" s="124"/>
    </row>
    <row r="1079" spans="2:48" s="475" customFormat="1" x14ac:dyDescent="0.2">
      <c r="B1079" s="250"/>
      <c r="C1079" s="250"/>
      <c r="D1079" s="250"/>
      <c r="E1079" s="250"/>
      <c r="F1079" s="250"/>
      <c r="G1079" s="250"/>
      <c r="H1079" s="250"/>
      <c r="I1079" s="250"/>
      <c r="J1079" s="250"/>
      <c r="K1079" s="250"/>
      <c r="L1079" s="250"/>
      <c r="M1079" s="250"/>
      <c r="N1079" s="250"/>
      <c r="O1079" s="250"/>
      <c r="P1079" s="250"/>
      <c r="Q1079" s="250"/>
      <c r="R1079" s="250"/>
      <c r="S1079" s="250"/>
      <c r="T1079" s="250"/>
      <c r="U1079" s="250"/>
      <c r="V1079" s="250"/>
      <c r="W1079" s="250"/>
      <c r="X1079" s="250"/>
      <c r="Y1079" s="250"/>
      <c r="Z1079" s="250"/>
      <c r="AA1079" s="250"/>
      <c r="AB1079" s="250"/>
      <c r="AC1079" s="250"/>
      <c r="AD1079" s="250"/>
      <c r="AE1079" s="250"/>
      <c r="AF1079" s="250"/>
      <c r="AG1079" s="250"/>
      <c r="AH1079" s="250"/>
      <c r="AI1079" s="250"/>
      <c r="AJ1079" s="250"/>
      <c r="AK1079" s="250"/>
      <c r="AL1079" s="250"/>
      <c r="AM1079" s="250"/>
      <c r="AN1079" s="250"/>
      <c r="AO1079" s="250"/>
      <c r="AP1079" s="250"/>
      <c r="AQ1079" s="250"/>
      <c r="AR1079" s="250"/>
      <c r="AS1079" s="250"/>
      <c r="AT1079" s="250"/>
      <c r="AU1079" s="250"/>
      <c r="AV1079" s="124"/>
    </row>
    <row r="1080" spans="2:48" s="475" customFormat="1" x14ac:dyDescent="0.2">
      <c r="B1080" s="250"/>
      <c r="C1080" s="250"/>
      <c r="D1080" s="250"/>
      <c r="E1080" s="250"/>
      <c r="F1080" s="250"/>
      <c r="G1080" s="250"/>
      <c r="H1080" s="250"/>
      <c r="I1080" s="250"/>
      <c r="J1080" s="250"/>
      <c r="K1080" s="250"/>
      <c r="L1080" s="250"/>
      <c r="M1080" s="250"/>
      <c r="N1080" s="250"/>
      <c r="O1080" s="250"/>
      <c r="P1080" s="250"/>
      <c r="Q1080" s="250"/>
      <c r="R1080" s="250"/>
      <c r="S1080" s="250"/>
      <c r="T1080" s="250"/>
      <c r="U1080" s="250"/>
      <c r="V1080" s="250"/>
      <c r="W1080" s="250"/>
      <c r="X1080" s="250"/>
      <c r="Y1080" s="250"/>
      <c r="Z1080" s="250"/>
      <c r="AA1080" s="250"/>
      <c r="AB1080" s="250"/>
      <c r="AC1080" s="250"/>
      <c r="AD1080" s="250"/>
      <c r="AE1080" s="250"/>
      <c r="AF1080" s="250"/>
      <c r="AG1080" s="250"/>
      <c r="AH1080" s="250"/>
      <c r="AI1080" s="250"/>
      <c r="AJ1080" s="250"/>
      <c r="AK1080" s="250"/>
      <c r="AL1080" s="250"/>
      <c r="AM1080" s="250"/>
      <c r="AN1080" s="250"/>
      <c r="AO1080" s="250"/>
      <c r="AP1080" s="250"/>
      <c r="AQ1080" s="250"/>
      <c r="AR1080" s="250"/>
      <c r="AS1080" s="250"/>
      <c r="AT1080" s="250"/>
      <c r="AU1080" s="250"/>
      <c r="AV1080" s="124"/>
    </row>
    <row r="1081" spans="2:48" s="475" customFormat="1" x14ac:dyDescent="0.2">
      <c r="B1081" s="250"/>
      <c r="C1081" s="250"/>
      <c r="D1081" s="250"/>
      <c r="E1081" s="250"/>
      <c r="F1081" s="250"/>
      <c r="G1081" s="250"/>
      <c r="H1081" s="250"/>
      <c r="I1081" s="250"/>
      <c r="J1081" s="250"/>
      <c r="K1081" s="250"/>
      <c r="L1081" s="250"/>
      <c r="M1081" s="250"/>
      <c r="N1081" s="250"/>
      <c r="O1081" s="250"/>
      <c r="P1081" s="250"/>
      <c r="Q1081" s="250"/>
      <c r="R1081" s="250"/>
      <c r="S1081" s="250"/>
      <c r="T1081" s="250"/>
      <c r="U1081" s="250"/>
      <c r="V1081" s="250"/>
      <c r="W1081" s="250"/>
      <c r="X1081" s="250"/>
      <c r="Y1081" s="250"/>
      <c r="Z1081" s="250"/>
      <c r="AA1081" s="250"/>
      <c r="AB1081" s="250"/>
      <c r="AC1081" s="250"/>
      <c r="AD1081" s="250"/>
      <c r="AE1081" s="250"/>
      <c r="AF1081" s="250"/>
      <c r="AG1081" s="250"/>
      <c r="AH1081" s="250"/>
      <c r="AI1081" s="250"/>
      <c r="AJ1081" s="250"/>
      <c r="AK1081" s="250"/>
      <c r="AL1081" s="250"/>
      <c r="AM1081" s="250"/>
      <c r="AN1081" s="250"/>
      <c r="AO1081" s="250"/>
      <c r="AP1081" s="250"/>
      <c r="AQ1081" s="250"/>
      <c r="AR1081" s="250"/>
      <c r="AS1081" s="250"/>
      <c r="AT1081" s="250"/>
      <c r="AU1081" s="250"/>
      <c r="AV1081" s="124"/>
    </row>
    <row r="1082" spans="2:48" s="475" customFormat="1" x14ac:dyDescent="0.2">
      <c r="B1082" s="250"/>
      <c r="C1082" s="250"/>
      <c r="D1082" s="250"/>
      <c r="E1082" s="250"/>
      <c r="F1082" s="250"/>
      <c r="G1082" s="250"/>
      <c r="H1082" s="250"/>
      <c r="I1082" s="250"/>
      <c r="J1082" s="250"/>
      <c r="K1082" s="250"/>
      <c r="L1082" s="250"/>
      <c r="M1082" s="250"/>
      <c r="N1082" s="250"/>
      <c r="O1082" s="250"/>
      <c r="P1082" s="250"/>
      <c r="Q1082" s="250"/>
      <c r="R1082" s="250"/>
      <c r="S1082" s="250"/>
      <c r="T1082" s="250"/>
      <c r="U1082" s="250"/>
      <c r="V1082" s="250"/>
      <c r="W1082" s="250"/>
      <c r="X1082" s="250"/>
      <c r="Y1082" s="250"/>
      <c r="Z1082" s="250"/>
      <c r="AA1082" s="250"/>
      <c r="AB1082" s="250"/>
      <c r="AC1082" s="250"/>
      <c r="AD1082" s="250"/>
      <c r="AE1082" s="250"/>
      <c r="AF1082" s="250"/>
      <c r="AG1082" s="250"/>
      <c r="AH1082" s="250"/>
      <c r="AI1082" s="250"/>
      <c r="AJ1082" s="250"/>
      <c r="AK1082" s="250"/>
      <c r="AL1082" s="250"/>
      <c r="AM1082" s="250"/>
      <c r="AN1082" s="250"/>
      <c r="AO1082" s="250"/>
      <c r="AP1082" s="250"/>
      <c r="AQ1082" s="250"/>
      <c r="AR1082" s="250"/>
      <c r="AS1082" s="250"/>
      <c r="AT1082" s="250"/>
      <c r="AU1082" s="250"/>
      <c r="AV1082" s="124"/>
    </row>
    <row r="1083" spans="2:48" s="475" customFormat="1" x14ac:dyDescent="0.2">
      <c r="B1083" s="250"/>
      <c r="C1083" s="250"/>
      <c r="D1083" s="250"/>
      <c r="E1083" s="250"/>
      <c r="F1083" s="250"/>
      <c r="G1083" s="250"/>
      <c r="H1083" s="250"/>
      <c r="I1083" s="250"/>
      <c r="J1083" s="250"/>
      <c r="K1083" s="250"/>
      <c r="L1083" s="250"/>
      <c r="M1083" s="250"/>
      <c r="N1083" s="250"/>
      <c r="O1083" s="250"/>
      <c r="P1083" s="250"/>
      <c r="Q1083" s="250"/>
      <c r="R1083" s="250"/>
      <c r="S1083" s="250"/>
      <c r="T1083" s="250"/>
      <c r="U1083" s="250"/>
      <c r="V1083" s="250"/>
      <c r="W1083" s="250"/>
      <c r="X1083" s="250"/>
      <c r="Y1083" s="250"/>
      <c r="Z1083" s="250"/>
      <c r="AA1083" s="250"/>
      <c r="AB1083" s="250"/>
      <c r="AC1083" s="250"/>
      <c r="AD1083" s="250"/>
      <c r="AE1083" s="250"/>
      <c r="AF1083" s="250"/>
      <c r="AG1083" s="250"/>
      <c r="AH1083" s="250"/>
      <c r="AI1083" s="250"/>
      <c r="AJ1083" s="250"/>
      <c r="AK1083" s="250"/>
      <c r="AL1083" s="250"/>
      <c r="AM1083" s="250"/>
      <c r="AN1083" s="250"/>
      <c r="AO1083" s="250"/>
      <c r="AP1083" s="250"/>
      <c r="AQ1083" s="250"/>
      <c r="AR1083" s="250"/>
      <c r="AS1083" s="250"/>
      <c r="AT1083" s="250"/>
      <c r="AU1083" s="250"/>
      <c r="AV1083" s="124"/>
    </row>
    <row r="1084" spans="2:48" s="475" customFormat="1" x14ac:dyDescent="0.2">
      <c r="B1084" s="250"/>
      <c r="C1084" s="250"/>
      <c r="D1084" s="250"/>
      <c r="E1084" s="250"/>
      <c r="F1084" s="250"/>
      <c r="G1084" s="250"/>
      <c r="H1084" s="250"/>
      <c r="I1084" s="250"/>
      <c r="J1084" s="250"/>
      <c r="K1084" s="250"/>
      <c r="L1084" s="250"/>
      <c r="M1084" s="250"/>
      <c r="N1084" s="250"/>
      <c r="O1084" s="250"/>
      <c r="P1084" s="250"/>
      <c r="Q1084" s="250"/>
      <c r="R1084" s="250"/>
      <c r="S1084" s="250"/>
      <c r="T1084" s="250"/>
      <c r="U1084" s="250"/>
      <c r="V1084" s="250"/>
      <c r="W1084" s="250"/>
      <c r="X1084" s="250"/>
      <c r="Y1084" s="250"/>
      <c r="Z1084" s="250"/>
      <c r="AA1084" s="250"/>
      <c r="AB1084" s="250"/>
      <c r="AC1084" s="250"/>
      <c r="AD1084" s="250"/>
      <c r="AE1084" s="250"/>
      <c r="AF1084" s="250"/>
      <c r="AG1084" s="250"/>
      <c r="AH1084" s="250"/>
      <c r="AI1084" s="250"/>
      <c r="AJ1084" s="250"/>
      <c r="AK1084" s="250"/>
      <c r="AL1084" s="250"/>
      <c r="AM1084" s="250"/>
      <c r="AN1084" s="250"/>
      <c r="AO1084" s="250"/>
      <c r="AP1084" s="250"/>
      <c r="AQ1084" s="250"/>
      <c r="AR1084" s="250"/>
      <c r="AS1084" s="250"/>
      <c r="AT1084" s="250"/>
      <c r="AU1084" s="250"/>
      <c r="AV1084" s="124"/>
    </row>
    <row r="1085" spans="2:48" s="475" customFormat="1" x14ac:dyDescent="0.2">
      <c r="B1085" s="250"/>
      <c r="C1085" s="250"/>
      <c r="D1085" s="250"/>
      <c r="E1085" s="250"/>
      <c r="F1085" s="250"/>
      <c r="G1085" s="250"/>
      <c r="H1085" s="250"/>
      <c r="I1085" s="250"/>
      <c r="J1085" s="250"/>
      <c r="K1085" s="250"/>
      <c r="L1085" s="250"/>
      <c r="M1085" s="250"/>
      <c r="N1085" s="250"/>
      <c r="O1085" s="250"/>
      <c r="P1085" s="250"/>
      <c r="Q1085" s="250"/>
      <c r="R1085" s="250"/>
      <c r="S1085" s="250"/>
      <c r="T1085" s="250"/>
      <c r="U1085" s="250"/>
      <c r="V1085" s="250"/>
      <c r="W1085" s="250"/>
      <c r="X1085" s="250"/>
      <c r="Y1085" s="250"/>
      <c r="Z1085" s="250"/>
      <c r="AA1085" s="250"/>
      <c r="AB1085" s="250"/>
      <c r="AC1085" s="250"/>
      <c r="AD1085" s="250"/>
      <c r="AE1085" s="250"/>
      <c r="AF1085" s="250"/>
      <c r="AG1085" s="250"/>
      <c r="AH1085" s="250"/>
      <c r="AI1085" s="250"/>
      <c r="AJ1085" s="250"/>
      <c r="AK1085" s="250"/>
      <c r="AL1085" s="250"/>
      <c r="AM1085" s="250"/>
      <c r="AN1085" s="250"/>
      <c r="AO1085" s="250"/>
      <c r="AP1085" s="250"/>
      <c r="AQ1085" s="250"/>
      <c r="AR1085" s="250"/>
      <c r="AS1085" s="250"/>
      <c r="AT1085" s="250"/>
      <c r="AU1085" s="250"/>
      <c r="AV1085" s="124"/>
    </row>
    <row r="1086" spans="2:48" s="475" customFormat="1" ht="13.5" thickBot="1" x14ac:dyDescent="0.25">
      <c r="B1086" s="250"/>
      <c r="C1086" s="250"/>
      <c r="D1086" s="250"/>
      <c r="E1086" s="250"/>
      <c r="F1086" s="250"/>
      <c r="G1086" s="250"/>
      <c r="H1086" s="250"/>
      <c r="I1086" s="250"/>
      <c r="J1086" s="250"/>
      <c r="K1086" s="250"/>
      <c r="L1086" s="250"/>
      <c r="M1086" s="250"/>
      <c r="N1086" s="250"/>
      <c r="O1086" s="250"/>
      <c r="P1086" s="250"/>
      <c r="Q1086" s="250"/>
      <c r="R1086" s="250"/>
      <c r="S1086" s="250"/>
      <c r="T1086" s="250"/>
      <c r="U1086" s="250"/>
      <c r="V1086" s="250"/>
      <c r="W1086" s="250"/>
      <c r="X1086" s="250"/>
      <c r="Y1086" s="250"/>
      <c r="Z1086" s="250"/>
      <c r="AA1086" s="250"/>
      <c r="AB1086" s="250"/>
      <c r="AC1086" s="250"/>
      <c r="AD1086" s="250"/>
      <c r="AE1086" s="250"/>
      <c r="AF1086" s="250"/>
      <c r="AG1086" s="250"/>
      <c r="AH1086" s="250"/>
      <c r="AI1086" s="250"/>
      <c r="AJ1086" s="250"/>
      <c r="AK1086" s="250"/>
      <c r="AL1086" s="250"/>
      <c r="AM1086" s="250"/>
      <c r="AN1086" s="250"/>
      <c r="AO1086" s="250"/>
      <c r="AP1086" s="250"/>
      <c r="AQ1086" s="250"/>
      <c r="AR1086" s="250"/>
      <c r="AS1086" s="250"/>
      <c r="AT1086" s="250"/>
      <c r="AU1086" s="250"/>
      <c r="AV1086" s="124"/>
    </row>
    <row r="1087" spans="2:48" ht="15" customHeight="1" x14ac:dyDescent="0.2">
      <c r="B1087" s="250"/>
      <c r="C1087" s="1395" t="s">
        <v>772</v>
      </c>
      <c r="D1087" s="1396"/>
      <c r="E1087" s="1396"/>
      <c r="F1087" s="1396"/>
      <c r="G1087" s="1396"/>
      <c r="H1087" s="1396"/>
      <c r="I1087" s="1396"/>
      <c r="J1087" s="1396"/>
      <c r="K1087" s="1396"/>
      <c r="L1087" s="1396"/>
      <c r="M1087" s="1396"/>
      <c r="N1087" s="1396"/>
      <c r="O1087" s="1396"/>
      <c r="P1087" s="1396"/>
      <c r="Q1087" s="1397"/>
      <c r="R1087" s="250"/>
      <c r="S1087" s="250"/>
      <c r="T1087" s="250"/>
      <c r="U1087" s="250"/>
      <c r="V1087" s="250"/>
      <c r="W1087" s="250"/>
      <c r="X1087" s="250"/>
      <c r="Y1087" s="250"/>
      <c r="Z1087" s="250"/>
      <c r="AA1087" s="250"/>
      <c r="AB1087" s="250"/>
      <c r="AC1087" s="250"/>
      <c r="AD1087" s="250"/>
      <c r="AE1087" s="250"/>
      <c r="AF1087" s="250"/>
      <c r="AG1087" s="250"/>
      <c r="AH1087" s="250"/>
      <c r="AI1087" s="250"/>
      <c r="AJ1087" s="250"/>
      <c r="AK1087" s="250"/>
      <c r="AL1087" s="250"/>
      <c r="AM1087" s="250"/>
      <c r="AN1087" s="250"/>
      <c r="AO1087" s="250"/>
      <c r="AP1087" s="250"/>
      <c r="AQ1087" s="250"/>
      <c r="AR1087" s="250"/>
      <c r="AS1087" s="250"/>
      <c r="AT1087" s="250"/>
      <c r="AU1087" s="250"/>
      <c r="AV1087" s="124"/>
    </row>
    <row r="1088" spans="2:48" ht="15" customHeight="1" thickBot="1" x14ac:dyDescent="0.25">
      <c r="B1088" s="250"/>
      <c r="C1088" s="1398"/>
      <c r="D1088" s="1399"/>
      <c r="E1088" s="1399"/>
      <c r="F1088" s="1399"/>
      <c r="G1088" s="1399"/>
      <c r="H1088" s="1399"/>
      <c r="I1088" s="1399"/>
      <c r="J1088" s="1399"/>
      <c r="K1088" s="1399"/>
      <c r="L1088" s="1399"/>
      <c r="M1088" s="1399"/>
      <c r="N1088" s="1399"/>
      <c r="O1088" s="1399"/>
      <c r="P1088" s="1399"/>
      <c r="Q1088" s="1400"/>
      <c r="R1088" s="250"/>
      <c r="S1088" s="250"/>
      <c r="T1088" s="250"/>
      <c r="U1088" s="250"/>
      <c r="V1088" s="250"/>
      <c r="W1088" s="250"/>
      <c r="X1088" s="250"/>
      <c r="Y1088" s="250"/>
      <c r="Z1088" s="250"/>
      <c r="AA1088" s="250"/>
      <c r="AB1088" s="250"/>
      <c r="AC1088" s="250"/>
      <c r="AD1088" s="250"/>
      <c r="AE1088" s="250"/>
      <c r="AF1088" s="250"/>
      <c r="AG1088" s="250"/>
      <c r="AH1088" s="250"/>
      <c r="AI1088" s="250"/>
      <c r="AJ1088" s="250"/>
      <c r="AK1088" s="250"/>
      <c r="AL1088" s="250"/>
      <c r="AM1088" s="250"/>
      <c r="AN1088" s="250"/>
      <c r="AO1088" s="250"/>
      <c r="AP1088" s="250"/>
      <c r="AQ1088" s="250"/>
      <c r="AR1088" s="250"/>
      <c r="AS1088" s="250"/>
      <c r="AT1088" s="250"/>
      <c r="AU1088" s="250"/>
      <c r="AV1088" s="124"/>
    </row>
    <row r="1089" spans="2:48" ht="12.75" customHeight="1" x14ac:dyDescent="0.2">
      <c r="B1089" s="250"/>
      <c r="C1089" s="1201"/>
      <c r="D1089" s="165"/>
      <c r="E1089" s="165"/>
      <c r="F1089" s="165"/>
      <c r="G1089" s="165"/>
      <c r="H1089" s="165"/>
      <c r="I1089" s="165"/>
      <c r="J1089" s="165"/>
      <c r="K1089" s="165"/>
      <c r="L1089" s="165"/>
      <c r="M1089" s="165"/>
      <c r="N1089" s="165"/>
      <c r="O1089" s="165"/>
      <c r="P1089" s="165"/>
      <c r="Q1089" s="1202"/>
      <c r="R1089" s="250"/>
      <c r="S1089" s="250"/>
      <c r="T1089" s="250"/>
      <c r="U1089" s="250"/>
      <c r="V1089" s="250"/>
      <c r="W1089" s="250"/>
      <c r="X1089" s="250"/>
      <c r="Y1089" s="250"/>
      <c r="Z1089" s="250"/>
      <c r="AA1089" s="250"/>
      <c r="AB1089" s="250"/>
      <c r="AC1089" s="250"/>
      <c r="AD1089" s="250"/>
      <c r="AE1089" s="250"/>
      <c r="AF1089" s="250"/>
      <c r="AG1089" s="250"/>
      <c r="AH1089" s="250"/>
      <c r="AI1089" s="250"/>
      <c r="AJ1089" s="250"/>
      <c r="AK1089" s="250"/>
      <c r="AL1089" s="250"/>
      <c r="AM1089" s="250"/>
      <c r="AN1089" s="250"/>
      <c r="AO1089" s="250"/>
      <c r="AP1089" s="250"/>
      <c r="AQ1089" s="250"/>
      <c r="AR1089" s="250"/>
      <c r="AS1089" s="250"/>
      <c r="AT1089" s="250"/>
      <c r="AU1089" s="250"/>
      <c r="AV1089" s="124"/>
    </row>
    <row r="1090" spans="2:48" ht="18" x14ac:dyDescent="0.25">
      <c r="B1090" s="250"/>
      <c r="C1090" s="1201"/>
      <c r="D1090" s="150"/>
      <c r="E1090" s="150"/>
      <c r="F1090" s="153" t="s">
        <v>739</v>
      </c>
      <c r="G1090" s="150"/>
      <c r="H1090" s="150"/>
      <c r="I1090" s="150"/>
      <c r="J1090" s="150"/>
      <c r="K1090" s="150"/>
      <c r="L1090" s="150"/>
      <c r="M1090" s="150"/>
      <c r="N1090" s="150"/>
      <c r="O1090" s="150"/>
      <c r="P1090" s="150"/>
      <c r="Q1090" s="1202"/>
      <c r="R1090" s="250"/>
      <c r="S1090" s="250"/>
      <c r="T1090" s="250"/>
      <c r="U1090" s="250"/>
      <c r="V1090" s="250"/>
      <c r="W1090" s="250"/>
      <c r="X1090" s="250"/>
      <c r="Y1090" s="250"/>
      <c r="Z1090" s="250"/>
      <c r="AA1090" s="250"/>
      <c r="AB1090" s="250"/>
      <c r="AC1090" s="250"/>
      <c r="AD1090" s="250"/>
      <c r="AE1090" s="250"/>
      <c r="AF1090" s="250"/>
      <c r="AG1090" s="250"/>
      <c r="AH1090" s="250"/>
      <c r="AI1090" s="250"/>
      <c r="AJ1090" s="250"/>
      <c r="AK1090" s="250"/>
      <c r="AL1090" s="250"/>
      <c r="AM1090" s="250"/>
      <c r="AN1090" s="250"/>
      <c r="AO1090" s="250"/>
      <c r="AP1090" s="250"/>
      <c r="AQ1090" s="250"/>
      <c r="AR1090" s="250"/>
      <c r="AS1090" s="250"/>
      <c r="AT1090" s="250"/>
      <c r="AU1090" s="250"/>
      <c r="AV1090" s="124"/>
    </row>
    <row r="1091" spans="2:48" ht="18" x14ac:dyDescent="0.25">
      <c r="B1091" s="250"/>
      <c r="C1091" s="1201"/>
      <c r="D1091" s="150"/>
      <c r="E1091" s="150"/>
      <c r="F1091" s="159" t="s">
        <v>201</v>
      </c>
      <c r="G1091" s="150"/>
      <c r="H1091" s="150"/>
      <c r="I1091" s="150"/>
      <c r="J1091" s="150"/>
      <c r="K1091" s="150"/>
      <c r="L1091" s="150"/>
      <c r="M1091" s="150"/>
      <c r="N1091" s="150"/>
      <c r="O1091" s="150"/>
      <c r="P1091" s="150"/>
      <c r="Q1091" s="1202"/>
      <c r="R1091" s="250"/>
      <c r="S1091" s="250"/>
      <c r="T1091" s="250"/>
      <c r="U1091" s="250"/>
      <c r="V1091" s="250"/>
      <c r="W1091" s="250"/>
      <c r="X1091" s="250"/>
      <c r="Y1091" s="250"/>
      <c r="Z1091" s="250"/>
      <c r="AA1091" s="250"/>
      <c r="AB1091" s="250"/>
      <c r="AC1091" s="250"/>
      <c r="AD1091" s="250"/>
      <c r="AE1091" s="250"/>
      <c r="AF1091" s="250"/>
      <c r="AG1091" s="250"/>
      <c r="AH1091" s="250"/>
      <c r="AI1091" s="250"/>
      <c r="AJ1091" s="250"/>
      <c r="AK1091" s="250"/>
      <c r="AL1091" s="250"/>
      <c r="AM1091" s="250"/>
      <c r="AN1091" s="250"/>
      <c r="AO1091" s="250"/>
      <c r="AP1091" s="250"/>
      <c r="AQ1091" s="250"/>
      <c r="AR1091" s="250"/>
      <c r="AS1091" s="250"/>
      <c r="AT1091" s="250"/>
      <c r="AU1091" s="250"/>
      <c r="AV1091" s="124"/>
    </row>
    <row r="1092" spans="2:48" ht="15" x14ac:dyDescent="0.2">
      <c r="B1092" s="250"/>
      <c r="C1092" s="1201"/>
      <c r="D1092" s="150"/>
      <c r="E1092" s="150"/>
      <c r="F1092" s="156" t="s">
        <v>504</v>
      </c>
      <c r="G1092" s="150"/>
      <c r="H1092" s="150"/>
      <c r="I1092" s="150"/>
      <c r="J1092" s="150"/>
      <c r="K1092" s="150"/>
      <c r="L1092" s="150"/>
      <c r="M1092" s="150"/>
      <c r="N1092" s="150"/>
      <c r="O1092" s="150"/>
      <c r="P1092" s="150"/>
      <c r="Q1092" s="1202"/>
      <c r="R1092" s="250"/>
      <c r="S1092" s="250"/>
      <c r="T1092" s="250"/>
      <c r="U1092" s="250"/>
      <c r="V1092" s="250"/>
      <c r="W1092" s="250"/>
      <c r="X1092" s="250"/>
      <c r="Y1092" s="250"/>
      <c r="Z1092" s="250"/>
      <c r="AA1092" s="250"/>
      <c r="AB1092" s="250"/>
      <c r="AC1092" s="250"/>
      <c r="AD1092" s="250"/>
      <c r="AE1092" s="250"/>
      <c r="AF1092" s="250"/>
      <c r="AG1092" s="250"/>
      <c r="AH1092" s="250"/>
      <c r="AI1092" s="250"/>
      <c r="AJ1092" s="250"/>
      <c r="AK1092" s="250"/>
      <c r="AL1092" s="250"/>
      <c r="AM1092" s="250"/>
      <c r="AN1092" s="250"/>
      <c r="AO1092" s="250"/>
      <c r="AP1092" s="250"/>
      <c r="AQ1092" s="250"/>
      <c r="AR1092" s="250"/>
      <c r="AS1092" s="250"/>
      <c r="AT1092" s="250"/>
      <c r="AU1092" s="250"/>
      <c r="AV1092" s="124"/>
    </row>
    <row r="1093" spans="2:48" x14ac:dyDescent="0.2">
      <c r="B1093" s="250"/>
      <c r="C1093" s="1201"/>
      <c r="D1093" s="150"/>
      <c r="E1093" s="150"/>
      <c r="F1093" s="150"/>
      <c r="G1093" s="150"/>
      <c r="H1093" s="150"/>
      <c r="I1093" s="150"/>
      <c r="J1093" s="150"/>
      <c r="K1093" s="150"/>
      <c r="L1093" s="150"/>
      <c r="M1093" s="150"/>
      <c r="N1093" s="150"/>
      <c r="O1093" s="150"/>
      <c r="P1093" s="150"/>
      <c r="Q1093" s="1202"/>
      <c r="R1093" s="250"/>
      <c r="S1093" s="250"/>
      <c r="T1093" s="250"/>
      <c r="U1093" s="250"/>
      <c r="V1093" s="250"/>
      <c r="W1093" s="250"/>
      <c r="X1093" s="250"/>
      <c r="Y1093" s="250"/>
      <c r="Z1093" s="250"/>
      <c r="AA1093" s="250"/>
      <c r="AB1093" s="250"/>
      <c r="AC1093" s="250"/>
      <c r="AD1093" s="250"/>
      <c r="AE1093" s="250"/>
      <c r="AF1093" s="250"/>
      <c r="AG1093" s="250"/>
      <c r="AH1093" s="250"/>
      <c r="AI1093" s="250"/>
      <c r="AJ1093" s="250"/>
      <c r="AK1093" s="250"/>
      <c r="AL1093" s="250"/>
      <c r="AM1093" s="250"/>
      <c r="AN1093" s="250"/>
      <c r="AO1093" s="250"/>
      <c r="AP1093" s="250"/>
      <c r="AQ1093" s="250"/>
      <c r="AR1093" s="250"/>
      <c r="AS1093" s="250"/>
      <c r="AT1093" s="250"/>
      <c r="AU1093" s="250"/>
      <c r="AV1093" s="124"/>
    </row>
    <row r="1094" spans="2:48" ht="18" x14ac:dyDescent="0.25">
      <c r="B1094" s="250"/>
      <c r="C1094" s="1203"/>
      <c r="D1094" s="154"/>
      <c r="E1094" s="153"/>
      <c r="F1094" s="914" t="s">
        <v>770</v>
      </c>
      <c r="G1094" s="915"/>
      <c r="H1094" s="915"/>
      <c r="I1094" s="915"/>
      <c r="J1094" s="915"/>
      <c r="K1094" s="915"/>
      <c r="L1094" s="915"/>
      <c r="M1094" s="915"/>
      <c r="N1094" s="915"/>
      <c r="O1094" s="915"/>
      <c r="P1094" s="916"/>
      <c r="Q1094" s="1208"/>
      <c r="R1094" s="250"/>
      <c r="S1094" s="250"/>
      <c r="T1094" s="250"/>
      <c r="U1094" s="250"/>
      <c r="V1094" s="250"/>
      <c r="W1094" s="250"/>
      <c r="X1094" s="250"/>
      <c r="Y1094" s="250"/>
      <c r="Z1094" s="250"/>
      <c r="AA1094" s="250"/>
      <c r="AB1094" s="250"/>
      <c r="AC1094" s="250"/>
      <c r="AD1094" s="250"/>
      <c r="AE1094" s="250"/>
      <c r="AF1094" s="250"/>
      <c r="AG1094" s="250"/>
      <c r="AH1094" s="250"/>
      <c r="AI1094" s="250"/>
      <c r="AJ1094" s="250"/>
      <c r="AK1094" s="250"/>
      <c r="AL1094" s="250"/>
      <c r="AM1094" s="250"/>
      <c r="AN1094" s="250"/>
      <c r="AO1094" s="250"/>
      <c r="AP1094" s="250"/>
      <c r="AQ1094" s="250"/>
      <c r="AR1094" s="250"/>
      <c r="AS1094" s="250"/>
      <c r="AT1094" s="250"/>
      <c r="AU1094" s="250"/>
      <c r="AV1094" s="124"/>
    </row>
    <row r="1095" spans="2:48" ht="15" x14ac:dyDescent="0.2">
      <c r="B1095" s="250"/>
      <c r="C1095" s="1203"/>
      <c r="D1095" s="154"/>
      <c r="E1095" s="156"/>
      <c r="F1095" s="1216" t="s">
        <v>1147</v>
      </c>
      <c r="G1095" s="156"/>
      <c r="H1095" s="154"/>
      <c r="I1095" s="154"/>
      <c r="J1095" s="154"/>
      <c r="K1095" s="154"/>
      <c r="L1095" s="154"/>
      <c r="M1095" s="154"/>
      <c r="N1095" s="154"/>
      <c r="O1095" s="154"/>
      <c r="P1095" s="154"/>
      <c r="Q1095" s="1208"/>
      <c r="R1095" s="250"/>
      <c r="S1095" s="250"/>
      <c r="T1095" s="250"/>
      <c r="U1095" s="250"/>
      <c r="V1095" s="250"/>
      <c r="W1095" s="250"/>
      <c r="X1095" s="250"/>
      <c r="Y1095" s="250"/>
      <c r="Z1095" s="250"/>
      <c r="AA1095" s="250"/>
      <c r="AB1095" s="250"/>
      <c r="AC1095" s="250"/>
      <c r="AD1095" s="250"/>
      <c r="AE1095" s="250"/>
      <c r="AF1095" s="250"/>
      <c r="AG1095" s="250"/>
      <c r="AH1095" s="250"/>
      <c r="AI1095" s="250"/>
      <c r="AJ1095" s="250"/>
      <c r="AK1095" s="250"/>
      <c r="AL1095" s="250"/>
      <c r="AM1095" s="250"/>
      <c r="AN1095" s="250"/>
      <c r="AO1095" s="250"/>
      <c r="AP1095" s="250"/>
      <c r="AQ1095" s="250"/>
      <c r="AR1095" s="250"/>
      <c r="AS1095" s="250"/>
      <c r="AT1095" s="250"/>
      <c r="AU1095" s="250"/>
      <c r="AV1095" s="124"/>
    </row>
    <row r="1096" spans="2:48" ht="15" x14ac:dyDescent="0.2">
      <c r="B1096" s="250"/>
      <c r="C1096" s="1201"/>
      <c r="D1096" s="1092"/>
      <c r="E1096" s="168"/>
      <c r="F1096" s="171" t="s">
        <v>101</v>
      </c>
      <c r="G1096" s="156"/>
      <c r="H1096" s="175"/>
      <c r="I1096" s="175"/>
      <c r="J1096" s="1092"/>
      <c r="K1096" s="1092"/>
      <c r="L1096" s="1092"/>
      <c r="M1096" s="1092"/>
      <c r="N1096" s="1092"/>
      <c r="O1096" s="1092"/>
      <c r="P1096" s="1092"/>
      <c r="Q1096" s="1202"/>
      <c r="R1096" s="250"/>
      <c r="S1096" s="250"/>
      <c r="T1096" s="250"/>
      <c r="U1096" s="250"/>
      <c r="V1096" s="250"/>
      <c r="W1096" s="250"/>
      <c r="X1096" s="250"/>
      <c r="Y1096" s="250"/>
      <c r="Z1096" s="250"/>
      <c r="AA1096" s="250"/>
      <c r="AB1096" s="250"/>
      <c r="AC1096" s="250"/>
      <c r="AD1096" s="250"/>
      <c r="AE1096" s="250"/>
      <c r="AF1096" s="250"/>
      <c r="AG1096" s="250"/>
      <c r="AH1096" s="250"/>
      <c r="AI1096" s="250"/>
      <c r="AJ1096" s="250"/>
      <c r="AK1096" s="250"/>
      <c r="AL1096" s="250"/>
      <c r="AM1096" s="250"/>
      <c r="AN1096" s="250"/>
      <c r="AO1096" s="250"/>
      <c r="AP1096" s="250"/>
      <c r="AQ1096" s="250"/>
      <c r="AR1096" s="250"/>
      <c r="AS1096" s="250"/>
      <c r="AT1096" s="250"/>
      <c r="AU1096" s="250"/>
      <c r="AV1096" s="124"/>
    </row>
    <row r="1097" spans="2:48" ht="15" x14ac:dyDescent="0.2">
      <c r="B1097" s="250"/>
      <c r="C1097" s="1201"/>
      <c r="D1097" s="1092"/>
      <c r="E1097" s="168"/>
      <c r="F1097" s="167"/>
      <c r="G1097" s="156"/>
      <c r="H1097" s="175"/>
      <c r="I1097" s="175"/>
      <c r="J1097" s="1092"/>
      <c r="K1097" s="1092"/>
      <c r="L1097" s="1092"/>
      <c r="M1097" s="1092"/>
      <c r="N1097" s="1092"/>
      <c r="O1097" s="1092"/>
      <c r="P1097" s="1092"/>
      <c r="Q1097" s="1202"/>
      <c r="R1097" s="250"/>
      <c r="S1097" s="250"/>
      <c r="T1097" s="250"/>
      <c r="U1097" s="250"/>
      <c r="V1097" s="250"/>
      <c r="W1097" s="250"/>
      <c r="X1097" s="250"/>
      <c r="Y1097" s="250"/>
      <c r="Z1097" s="250"/>
      <c r="AA1097" s="250"/>
      <c r="AB1097" s="250"/>
      <c r="AC1097" s="250"/>
      <c r="AD1097" s="250"/>
      <c r="AE1097" s="250"/>
      <c r="AF1097" s="250"/>
      <c r="AG1097" s="250"/>
      <c r="AH1097" s="250"/>
      <c r="AI1097" s="250"/>
      <c r="AJ1097" s="250"/>
      <c r="AK1097" s="250"/>
      <c r="AL1097" s="250"/>
      <c r="AM1097" s="250"/>
      <c r="AN1097" s="250"/>
      <c r="AO1097" s="250"/>
      <c r="AP1097" s="250"/>
      <c r="AQ1097" s="250"/>
      <c r="AR1097" s="250"/>
      <c r="AS1097" s="250"/>
      <c r="AT1097" s="250"/>
      <c r="AU1097" s="250"/>
      <c r="AV1097" s="124"/>
    </row>
    <row r="1098" spans="2:48" ht="18" x14ac:dyDescent="0.25">
      <c r="B1098" s="250"/>
      <c r="C1098" s="1201"/>
      <c r="D1098" s="1092"/>
      <c r="E1098" s="168"/>
      <c r="F1098" s="914" t="s">
        <v>518</v>
      </c>
      <c r="G1098" s="915"/>
      <c r="H1098" s="915"/>
      <c r="I1098" s="915"/>
      <c r="J1098" s="915"/>
      <c r="K1098" s="915"/>
      <c r="L1098" s="915"/>
      <c r="M1098" s="915"/>
      <c r="N1098" s="915"/>
      <c r="O1098" s="915"/>
      <c r="P1098" s="916"/>
      <c r="Q1098" s="1202"/>
      <c r="R1098" s="250"/>
      <c r="S1098" s="250"/>
      <c r="T1098" s="250"/>
      <c r="U1098" s="250"/>
      <c r="V1098" s="250"/>
      <c r="W1098" s="250"/>
      <c r="X1098" s="250"/>
      <c r="Y1098" s="250"/>
      <c r="Z1098" s="250"/>
      <c r="AA1098" s="250"/>
      <c r="AB1098" s="250"/>
      <c r="AC1098" s="250"/>
      <c r="AD1098" s="250"/>
      <c r="AE1098" s="250"/>
      <c r="AF1098" s="250"/>
      <c r="AG1098" s="250"/>
      <c r="AH1098" s="250"/>
      <c r="AI1098" s="250"/>
      <c r="AJ1098" s="250"/>
      <c r="AK1098" s="250"/>
      <c r="AL1098" s="250"/>
      <c r="AM1098" s="250"/>
      <c r="AN1098" s="250"/>
      <c r="AO1098" s="250"/>
      <c r="AP1098" s="250"/>
      <c r="AQ1098" s="250"/>
      <c r="AR1098" s="250"/>
      <c r="AS1098" s="250"/>
      <c r="AT1098" s="250"/>
      <c r="AU1098" s="250"/>
      <c r="AV1098" s="124"/>
    </row>
    <row r="1099" spans="2:48" ht="15" x14ac:dyDescent="0.2">
      <c r="B1099" s="250"/>
      <c r="C1099" s="1201"/>
      <c r="D1099" s="1092"/>
      <c r="E1099" s="168"/>
      <c r="F1099" s="1216" t="s">
        <v>202</v>
      </c>
      <c r="G1099" s="156"/>
      <c r="H1099" s="175"/>
      <c r="I1099" s="175"/>
      <c r="J1099" s="1092"/>
      <c r="K1099" s="1092"/>
      <c r="L1099" s="1092"/>
      <c r="M1099" s="1092"/>
      <c r="N1099" s="1092"/>
      <c r="O1099" s="1092"/>
      <c r="P1099" s="1092"/>
      <c r="Q1099" s="1202"/>
      <c r="R1099" s="250"/>
      <c r="S1099" s="250"/>
      <c r="T1099" s="250"/>
      <c r="U1099" s="250"/>
      <c r="V1099" s="250"/>
      <c r="W1099" s="250"/>
      <c r="X1099" s="250"/>
      <c r="Y1099" s="250"/>
      <c r="Z1099" s="250"/>
      <c r="AA1099" s="250"/>
      <c r="AB1099" s="250"/>
      <c r="AC1099" s="250"/>
      <c r="AD1099" s="250"/>
      <c r="AE1099" s="250"/>
      <c r="AF1099" s="250"/>
      <c r="AG1099" s="250"/>
      <c r="AH1099" s="250"/>
      <c r="AI1099" s="250"/>
      <c r="AJ1099" s="250"/>
      <c r="AK1099" s="250"/>
      <c r="AL1099" s="250"/>
      <c r="AM1099" s="250"/>
      <c r="AN1099" s="250"/>
      <c r="AO1099" s="250"/>
      <c r="AP1099" s="250"/>
      <c r="AQ1099" s="250"/>
      <c r="AR1099" s="250"/>
      <c r="AS1099" s="250"/>
      <c r="AT1099" s="250"/>
      <c r="AU1099" s="250"/>
      <c r="AV1099" s="124"/>
    </row>
    <row r="1100" spans="2:48" ht="15" x14ac:dyDescent="0.2">
      <c r="B1100" s="250"/>
      <c r="C1100" s="1201"/>
      <c r="D1100" s="1092"/>
      <c r="E1100" s="168"/>
      <c r="F1100" s="171" t="s">
        <v>102</v>
      </c>
      <c r="G1100" s="156"/>
      <c r="H1100" s="175"/>
      <c r="I1100" s="175"/>
      <c r="J1100" s="1092"/>
      <c r="K1100" s="1092"/>
      <c r="L1100" s="1092"/>
      <c r="M1100" s="1092"/>
      <c r="N1100" s="1092"/>
      <c r="O1100" s="1092"/>
      <c r="P1100" s="1092"/>
      <c r="Q1100" s="1202"/>
      <c r="R1100" s="250"/>
      <c r="S1100" s="250"/>
      <c r="T1100" s="250"/>
      <c r="U1100" s="250"/>
      <c r="V1100" s="250"/>
      <c r="W1100" s="250"/>
      <c r="X1100" s="250"/>
      <c r="Y1100" s="250"/>
      <c r="Z1100" s="250"/>
      <c r="AA1100" s="250"/>
      <c r="AB1100" s="250"/>
      <c r="AC1100" s="250"/>
      <c r="AD1100" s="250"/>
      <c r="AE1100" s="250"/>
      <c r="AF1100" s="250"/>
      <c r="AG1100" s="250"/>
      <c r="AH1100" s="250"/>
      <c r="AI1100" s="250"/>
      <c r="AJ1100" s="250"/>
      <c r="AK1100" s="250"/>
      <c r="AL1100" s="250"/>
      <c r="AM1100" s="250"/>
      <c r="AN1100" s="250"/>
      <c r="AO1100" s="250"/>
      <c r="AP1100" s="250"/>
      <c r="AQ1100" s="250"/>
      <c r="AR1100" s="250"/>
      <c r="AS1100" s="250"/>
      <c r="AT1100" s="250"/>
      <c r="AU1100" s="250"/>
      <c r="AV1100" s="124"/>
    </row>
    <row r="1101" spans="2:48" ht="15" x14ac:dyDescent="0.2">
      <c r="B1101" s="250"/>
      <c r="C1101" s="1201"/>
      <c r="D1101" s="1092"/>
      <c r="E1101" s="168"/>
      <c r="F1101" s="167"/>
      <c r="G1101" s="156"/>
      <c r="H1101" s="175"/>
      <c r="I1101" s="175"/>
      <c r="J1101" s="1092"/>
      <c r="K1101" s="1092"/>
      <c r="L1101" s="1092"/>
      <c r="M1101" s="1092"/>
      <c r="N1101" s="1092"/>
      <c r="O1101" s="1092"/>
      <c r="P1101" s="1092"/>
      <c r="Q1101" s="1202"/>
      <c r="R1101" s="250"/>
      <c r="S1101" s="250"/>
      <c r="T1101" s="250"/>
      <c r="U1101" s="250"/>
      <c r="V1101" s="250"/>
      <c r="W1101" s="250"/>
      <c r="X1101" s="250"/>
      <c r="Y1101" s="250"/>
      <c r="Z1101" s="250"/>
      <c r="AA1101" s="250"/>
      <c r="AB1101" s="250"/>
      <c r="AC1101" s="250"/>
      <c r="AD1101" s="250"/>
      <c r="AE1101" s="250"/>
      <c r="AF1101" s="250"/>
      <c r="AG1101" s="250"/>
      <c r="AH1101" s="250"/>
      <c r="AI1101" s="250"/>
      <c r="AJ1101" s="250"/>
      <c r="AK1101" s="250"/>
      <c r="AL1101" s="250"/>
      <c r="AM1101" s="250"/>
      <c r="AN1101" s="250"/>
      <c r="AO1101" s="250"/>
      <c r="AP1101" s="250"/>
      <c r="AQ1101" s="250"/>
      <c r="AR1101" s="250"/>
      <c r="AS1101" s="250"/>
      <c r="AT1101" s="250"/>
      <c r="AU1101" s="250"/>
      <c r="AV1101" s="124"/>
    </row>
    <row r="1102" spans="2:48" ht="18" x14ac:dyDescent="0.25">
      <c r="B1102" s="250"/>
      <c r="C1102" s="1201"/>
      <c r="D1102" s="1092"/>
      <c r="E1102" s="168"/>
      <c r="F1102" s="914" t="s">
        <v>519</v>
      </c>
      <c r="G1102" s="915"/>
      <c r="H1102" s="915"/>
      <c r="I1102" s="915"/>
      <c r="J1102" s="915"/>
      <c r="K1102" s="915"/>
      <c r="L1102" s="915"/>
      <c r="M1102" s="915"/>
      <c r="N1102" s="915"/>
      <c r="O1102" s="915"/>
      <c r="P1102" s="916"/>
      <c r="Q1102" s="1202"/>
      <c r="R1102" s="250"/>
      <c r="S1102" s="250"/>
      <c r="T1102" s="250"/>
      <c r="U1102" s="250"/>
      <c r="V1102" s="250"/>
      <c r="W1102" s="250"/>
      <c r="X1102" s="250"/>
      <c r="Y1102" s="250"/>
      <c r="Z1102" s="250"/>
      <c r="AA1102" s="250"/>
      <c r="AB1102" s="250"/>
      <c r="AC1102" s="250"/>
      <c r="AD1102" s="250"/>
      <c r="AE1102" s="250"/>
      <c r="AF1102" s="250"/>
      <c r="AG1102" s="250"/>
      <c r="AH1102" s="250"/>
      <c r="AI1102" s="250"/>
      <c r="AJ1102" s="250"/>
      <c r="AK1102" s="250"/>
      <c r="AL1102" s="250"/>
      <c r="AM1102" s="250"/>
      <c r="AN1102" s="250"/>
      <c r="AO1102" s="250"/>
      <c r="AP1102" s="250"/>
      <c r="AQ1102" s="250"/>
      <c r="AR1102" s="250"/>
      <c r="AS1102" s="250"/>
      <c r="AT1102" s="250"/>
      <c r="AU1102" s="250"/>
      <c r="AV1102" s="124"/>
    </row>
    <row r="1103" spans="2:48" ht="15" x14ac:dyDescent="0.2">
      <c r="B1103" s="250"/>
      <c r="C1103" s="1201"/>
      <c r="D1103" s="1092"/>
      <c r="E1103" s="168"/>
      <c r="F1103" s="1216" t="s">
        <v>1148</v>
      </c>
      <c r="G1103" s="156"/>
      <c r="H1103" s="175"/>
      <c r="I1103" s="175"/>
      <c r="J1103" s="1092"/>
      <c r="K1103" s="1092"/>
      <c r="L1103" s="1092"/>
      <c r="M1103" s="1092"/>
      <c r="N1103" s="1092"/>
      <c r="O1103" s="1092"/>
      <c r="P1103" s="1092"/>
      <c r="Q1103" s="1202"/>
      <c r="R1103" s="250"/>
      <c r="S1103" s="250"/>
      <c r="T1103" s="250"/>
      <c r="U1103" s="250"/>
      <c r="V1103" s="250"/>
      <c r="W1103" s="250"/>
      <c r="X1103" s="250"/>
      <c r="Y1103" s="250"/>
      <c r="Z1103" s="250"/>
      <c r="AA1103" s="250"/>
      <c r="AB1103" s="250"/>
      <c r="AC1103" s="250"/>
      <c r="AD1103" s="250"/>
      <c r="AE1103" s="250"/>
      <c r="AF1103" s="250"/>
      <c r="AG1103" s="250"/>
      <c r="AH1103" s="250"/>
      <c r="AI1103" s="250"/>
      <c r="AJ1103" s="250"/>
      <c r="AK1103" s="250"/>
      <c r="AL1103" s="250"/>
      <c r="AM1103" s="250"/>
      <c r="AN1103" s="250"/>
      <c r="AO1103" s="250"/>
      <c r="AP1103" s="250"/>
      <c r="AQ1103" s="250"/>
      <c r="AR1103" s="250"/>
      <c r="AS1103" s="250"/>
      <c r="AT1103" s="250"/>
      <c r="AU1103" s="250"/>
      <c r="AV1103" s="124"/>
    </row>
    <row r="1104" spans="2:48" ht="15" x14ac:dyDescent="0.2">
      <c r="B1104" s="250"/>
      <c r="C1104" s="1201"/>
      <c r="D1104" s="1092"/>
      <c r="E1104" s="168"/>
      <c r="F1104" s="167" t="s">
        <v>740</v>
      </c>
      <c r="G1104" s="175"/>
      <c r="H1104" s="175"/>
      <c r="I1104" s="175"/>
      <c r="J1104" s="175"/>
      <c r="K1104" s="167"/>
      <c r="L1104" s="167"/>
      <c r="M1104" s="167"/>
      <c r="N1104" s="167"/>
      <c r="O1104" s="167"/>
      <c r="P1104" s="167"/>
      <c r="Q1104" s="1202"/>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250"/>
      <c r="AN1104" s="250"/>
      <c r="AO1104" s="250"/>
      <c r="AP1104" s="250"/>
      <c r="AQ1104" s="250"/>
      <c r="AR1104" s="250"/>
      <c r="AS1104" s="250"/>
      <c r="AT1104" s="250"/>
      <c r="AU1104" s="250"/>
      <c r="AV1104" s="124"/>
    </row>
    <row r="1105" spans="2:48" ht="10.5" customHeight="1" x14ac:dyDescent="0.2">
      <c r="B1105" s="250"/>
      <c r="C1105" s="1201"/>
      <c r="D1105" s="1092"/>
      <c r="E1105" s="168"/>
      <c r="F1105" s="167"/>
      <c r="G1105" s="175"/>
      <c r="H1105" s="175"/>
      <c r="I1105" s="175"/>
      <c r="J1105" s="175"/>
      <c r="K1105" s="167"/>
      <c r="L1105" s="167"/>
      <c r="M1105" s="167"/>
      <c r="N1105" s="167"/>
      <c r="O1105" s="167"/>
      <c r="P1105" s="167"/>
      <c r="Q1105" s="1202"/>
      <c r="R1105" s="250"/>
      <c r="S1105" s="250"/>
      <c r="T1105" s="250"/>
      <c r="U1105" s="250"/>
      <c r="V1105" s="250"/>
      <c r="W1105" s="250"/>
      <c r="X1105" s="250"/>
      <c r="Y1105" s="250"/>
      <c r="Z1105" s="250"/>
      <c r="AA1105" s="250"/>
      <c r="AB1105" s="250"/>
      <c r="AC1105" s="250"/>
      <c r="AD1105" s="250"/>
      <c r="AE1105" s="250"/>
      <c r="AF1105" s="250"/>
      <c r="AG1105" s="250"/>
      <c r="AH1105" s="250"/>
      <c r="AI1105" s="250"/>
      <c r="AJ1105" s="250"/>
      <c r="AK1105" s="250"/>
      <c r="AL1105" s="250"/>
      <c r="AM1105" s="250"/>
      <c r="AN1105" s="250"/>
      <c r="AO1105" s="250"/>
      <c r="AP1105" s="250"/>
      <c r="AQ1105" s="250"/>
      <c r="AR1105" s="250"/>
      <c r="AS1105" s="250"/>
      <c r="AT1105" s="250"/>
      <c r="AU1105" s="250"/>
      <c r="AV1105" s="124"/>
    </row>
    <row r="1106" spans="2:48" ht="15" x14ac:dyDescent="0.2">
      <c r="B1106" s="250"/>
      <c r="C1106" s="1201"/>
      <c r="D1106" s="1092"/>
      <c r="E1106" s="168"/>
      <c r="F1106" s="179" t="s">
        <v>103</v>
      </c>
      <c r="G1106" s="180"/>
      <c r="H1106" s="175"/>
      <c r="I1106" s="175"/>
      <c r="J1106" s="175"/>
      <c r="K1106" s="167"/>
      <c r="L1106" s="167"/>
      <c r="M1106" s="167"/>
      <c r="N1106" s="167"/>
      <c r="O1106" s="167"/>
      <c r="P1106" s="167"/>
      <c r="Q1106" s="1202"/>
      <c r="R1106" s="250"/>
      <c r="S1106" s="250"/>
      <c r="T1106" s="250"/>
      <c r="U1106" s="250"/>
      <c r="V1106" s="250"/>
      <c r="W1106" s="250"/>
      <c r="X1106" s="250"/>
      <c r="Y1106" s="250"/>
      <c r="Z1106" s="250"/>
      <c r="AA1106" s="250"/>
      <c r="AB1106" s="250"/>
      <c r="AC1106" s="250"/>
      <c r="AD1106" s="250"/>
      <c r="AE1106" s="250"/>
      <c r="AF1106" s="250"/>
      <c r="AG1106" s="250"/>
      <c r="AH1106" s="250"/>
      <c r="AI1106" s="250"/>
      <c r="AJ1106" s="250"/>
      <c r="AK1106" s="250"/>
      <c r="AL1106" s="250"/>
      <c r="AM1106" s="250"/>
      <c r="AN1106" s="250"/>
      <c r="AO1106" s="250"/>
      <c r="AP1106" s="250"/>
      <c r="AQ1106" s="250"/>
      <c r="AR1106" s="250"/>
      <c r="AS1106" s="250"/>
      <c r="AT1106" s="250"/>
      <c r="AU1106" s="250"/>
      <c r="AV1106" s="124"/>
    </row>
    <row r="1107" spans="2:48" ht="15" customHeight="1" x14ac:dyDescent="0.2">
      <c r="B1107" s="250"/>
      <c r="C1107" s="1201"/>
      <c r="D1107" s="1092"/>
      <c r="E1107" s="168"/>
      <c r="F1107" s="156" t="s">
        <v>520</v>
      </c>
      <c r="G1107" s="1211"/>
      <c r="H1107" s="156"/>
      <c r="I1107" s="156"/>
      <c r="J1107" s="156"/>
      <c r="K1107" s="167"/>
      <c r="L1107" s="167"/>
      <c r="M1107" s="167"/>
      <c r="N1107" s="167"/>
      <c r="O1107" s="167"/>
      <c r="P1107" s="167"/>
      <c r="Q1107" s="1202"/>
      <c r="R1107" s="250"/>
      <c r="S1107" s="250"/>
      <c r="T1107" s="250"/>
      <c r="U1107" s="250"/>
      <c r="V1107" s="250"/>
      <c r="W1107" s="250"/>
      <c r="X1107" s="250"/>
      <c r="Y1107" s="250"/>
      <c r="Z1107" s="250"/>
      <c r="AA1107" s="250"/>
      <c r="AB1107" s="250"/>
      <c r="AC1107" s="250"/>
      <c r="AD1107" s="250"/>
      <c r="AE1107" s="250"/>
      <c r="AF1107" s="250"/>
      <c r="AG1107" s="250"/>
      <c r="AH1107" s="250"/>
      <c r="AI1107" s="250"/>
      <c r="AJ1107" s="250"/>
      <c r="AK1107" s="250"/>
      <c r="AL1107" s="250"/>
      <c r="AM1107" s="250"/>
      <c r="AN1107" s="250"/>
      <c r="AO1107" s="250"/>
      <c r="AP1107" s="250"/>
      <c r="AQ1107" s="250"/>
      <c r="AR1107" s="250"/>
      <c r="AS1107" s="250"/>
      <c r="AT1107" s="250"/>
      <c r="AU1107" s="250"/>
      <c r="AV1107" s="124"/>
    </row>
    <row r="1108" spans="2:48" ht="6" customHeight="1" x14ac:dyDescent="0.2">
      <c r="B1108" s="250"/>
      <c r="C1108" s="1201"/>
      <c r="D1108" s="1092"/>
      <c r="E1108" s="168"/>
      <c r="F1108" s="171"/>
      <c r="G1108" s="1212"/>
      <c r="H1108" s="171"/>
      <c r="I1108" s="156"/>
      <c r="J1108" s="156"/>
      <c r="K1108" s="167"/>
      <c r="L1108" s="167"/>
      <c r="M1108" s="167"/>
      <c r="N1108" s="167"/>
      <c r="O1108" s="167"/>
      <c r="P1108" s="167"/>
      <c r="Q1108" s="1202"/>
      <c r="R1108" s="250"/>
      <c r="S1108" s="250"/>
      <c r="T1108" s="250"/>
      <c r="U1108" s="250"/>
      <c r="V1108" s="250"/>
      <c r="W1108" s="250"/>
      <c r="X1108" s="250"/>
      <c r="Y1108" s="250"/>
      <c r="Z1108" s="250"/>
      <c r="AA1108" s="250"/>
      <c r="AB1108" s="250"/>
      <c r="AC1108" s="250"/>
      <c r="AD1108" s="250"/>
      <c r="AE1108" s="250"/>
      <c r="AF1108" s="250"/>
      <c r="AG1108" s="250"/>
      <c r="AH1108" s="250"/>
      <c r="AI1108" s="250"/>
      <c r="AJ1108" s="250"/>
      <c r="AK1108" s="250"/>
      <c r="AL1108" s="250"/>
      <c r="AM1108" s="250"/>
      <c r="AN1108" s="250"/>
      <c r="AO1108" s="250"/>
      <c r="AP1108" s="250"/>
      <c r="AQ1108" s="250"/>
      <c r="AR1108" s="250"/>
      <c r="AS1108" s="250"/>
      <c r="AT1108" s="250"/>
      <c r="AU1108" s="250"/>
      <c r="AV1108" s="124"/>
    </row>
    <row r="1109" spans="2:48" ht="15" x14ac:dyDescent="0.2">
      <c r="B1109" s="250"/>
      <c r="C1109" s="1201"/>
      <c r="D1109" s="1092"/>
      <c r="E1109" s="168"/>
      <c r="F1109" s="179" t="s">
        <v>526</v>
      </c>
      <c r="G1109" s="180"/>
      <c r="H1109" s="156" t="s">
        <v>522</v>
      </c>
      <c r="I1109" s="175"/>
      <c r="J1109" s="175"/>
      <c r="K1109" s="167"/>
      <c r="L1109" s="167"/>
      <c r="M1109" s="167"/>
      <c r="N1109" s="167"/>
      <c r="O1109" s="167"/>
      <c r="P1109" s="167"/>
      <c r="Q1109" s="1202"/>
      <c r="R1109" s="250"/>
      <c r="S1109" s="250"/>
      <c r="T1109" s="250"/>
      <c r="U1109" s="250"/>
      <c r="V1109" s="250"/>
      <c r="W1109" s="250"/>
      <c r="X1109" s="250"/>
      <c r="Y1109" s="250"/>
      <c r="Z1109" s="250"/>
      <c r="AA1109" s="250"/>
      <c r="AB1109" s="250"/>
      <c r="AC1109" s="250"/>
      <c r="AD1109" s="250"/>
      <c r="AE1109" s="250"/>
      <c r="AF1109" s="250"/>
      <c r="AG1109" s="250"/>
      <c r="AH1109" s="250"/>
      <c r="AI1109" s="250"/>
      <c r="AJ1109" s="250"/>
      <c r="AK1109" s="250"/>
      <c r="AL1109" s="250"/>
      <c r="AM1109" s="250"/>
      <c r="AN1109" s="250"/>
      <c r="AO1109" s="250"/>
      <c r="AP1109" s="250"/>
      <c r="AQ1109" s="250"/>
      <c r="AR1109" s="250"/>
      <c r="AS1109" s="250"/>
      <c r="AT1109" s="250"/>
      <c r="AU1109" s="250"/>
      <c r="AV1109" s="124"/>
    </row>
    <row r="1110" spans="2:48" ht="15" x14ac:dyDescent="0.2">
      <c r="B1110" s="250"/>
      <c r="C1110" s="1201"/>
      <c r="D1110" s="1092"/>
      <c r="E1110" s="168"/>
      <c r="F1110" s="156" t="s">
        <v>523</v>
      </c>
      <c r="G1110" s="175"/>
      <c r="H1110" s="156"/>
      <c r="I1110" s="175"/>
      <c r="J1110" s="175"/>
      <c r="K1110" s="167"/>
      <c r="L1110" s="167"/>
      <c r="M1110" s="167"/>
      <c r="N1110" s="167"/>
      <c r="O1110" s="167"/>
      <c r="P1110" s="167"/>
      <c r="Q1110" s="1202"/>
      <c r="R1110" s="250"/>
      <c r="S1110" s="250"/>
      <c r="T1110" s="250"/>
      <c r="U1110" s="250"/>
      <c r="V1110" s="250"/>
      <c r="W1110" s="250"/>
      <c r="X1110" s="250"/>
      <c r="Y1110" s="250"/>
      <c r="Z1110" s="250"/>
      <c r="AA1110" s="250"/>
      <c r="AB1110" s="250"/>
      <c r="AC1110" s="250"/>
      <c r="AD1110" s="250"/>
      <c r="AE1110" s="250"/>
      <c r="AF1110" s="250"/>
      <c r="AG1110" s="250"/>
      <c r="AH1110" s="250"/>
      <c r="AI1110" s="250"/>
      <c r="AJ1110" s="250"/>
      <c r="AK1110" s="250"/>
      <c r="AL1110" s="250"/>
      <c r="AM1110" s="250"/>
      <c r="AN1110" s="250"/>
      <c r="AO1110" s="250"/>
      <c r="AP1110" s="250"/>
      <c r="AQ1110" s="250"/>
      <c r="AR1110" s="250"/>
      <c r="AS1110" s="250"/>
      <c r="AT1110" s="250"/>
      <c r="AU1110" s="250"/>
      <c r="AV1110" s="124"/>
    </row>
    <row r="1111" spans="2:48" ht="15" x14ac:dyDescent="0.2">
      <c r="B1111" s="250"/>
      <c r="C1111" s="1201"/>
      <c r="D1111" s="1092"/>
      <c r="E1111" s="168"/>
      <c r="F1111" s="156" t="s">
        <v>527</v>
      </c>
      <c r="G1111" s="175"/>
      <c r="H1111" s="156"/>
      <c r="I1111" s="175"/>
      <c r="J1111" s="175"/>
      <c r="K1111" s="167"/>
      <c r="L1111" s="167"/>
      <c r="M1111" s="167"/>
      <c r="N1111" s="167"/>
      <c r="O1111" s="167"/>
      <c r="P1111" s="167"/>
      <c r="Q1111" s="1202"/>
      <c r="R1111" s="250"/>
      <c r="S1111" s="250"/>
      <c r="T1111" s="250"/>
      <c r="U1111" s="250"/>
      <c r="V1111" s="250"/>
      <c r="W1111" s="250"/>
      <c r="X1111" s="250"/>
      <c r="Y1111" s="250"/>
      <c r="Z1111" s="250"/>
      <c r="AA1111" s="250"/>
      <c r="AB1111" s="250"/>
      <c r="AC1111" s="250"/>
      <c r="AD1111" s="250"/>
      <c r="AE1111" s="250"/>
      <c r="AF1111" s="250"/>
      <c r="AG1111" s="250"/>
      <c r="AH1111" s="250"/>
      <c r="AI1111" s="250"/>
      <c r="AJ1111" s="250"/>
      <c r="AK1111" s="250"/>
      <c r="AL1111" s="250"/>
      <c r="AM1111" s="250"/>
      <c r="AN1111" s="250"/>
      <c r="AO1111" s="250"/>
      <c r="AP1111" s="250"/>
      <c r="AQ1111" s="250"/>
      <c r="AR1111" s="250"/>
      <c r="AS1111" s="250"/>
      <c r="AT1111" s="250"/>
      <c r="AU1111" s="250"/>
      <c r="AV1111" s="124"/>
    </row>
    <row r="1112" spans="2:48" ht="6.75" customHeight="1" x14ac:dyDescent="0.2">
      <c r="B1112" s="250"/>
      <c r="C1112" s="1201"/>
      <c r="D1112" s="1092"/>
      <c r="E1112" s="168"/>
      <c r="F1112" s="175"/>
      <c r="G1112" s="175"/>
      <c r="H1112" s="175"/>
      <c r="I1112" s="175"/>
      <c r="J1112" s="175"/>
      <c r="K1112" s="175"/>
      <c r="L1112" s="167"/>
      <c r="M1112" s="167"/>
      <c r="N1112" s="167"/>
      <c r="O1112" s="167"/>
      <c r="P1112" s="167"/>
      <c r="Q1112" s="1202"/>
      <c r="R1112" s="250"/>
      <c r="S1112" s="250"/>
      <c r="T1112" s="250"/>
      <c r="U1112" s="250"/>
      <c r="V1112" s="250"/>
      <c r="W1112" s="250"/>
      <c r="X1112" s="250"/>
      <c r="Y1112" s="250"/>
      <c r="Z1112" s="250"/>
      <c r="AA1112" s="250"/>
      <c r="AB1112" s="250"/>
      <c r="AC1112" s="250"/>
      <c r="AD1112" s="250"/>
      <c r="AE1112" s="250"/>
      <c r="AF1112" s="250"/>
      <c r="AG1112" s="250"/>
      <c r="AH1112" s="250"/>
      <c r="AI1112" s="250"/>
      <c r="AJ1112" s="250"/>
      <c r="AK1112" s="250"/>
      <c r="AL1112" s="250"/>
      <c r="AM1112" s="250"/>
      <c r="AN1112" s="250"/>
      <c r="AO1112" s="250"/>
      <c r="AP1112" s="250"/>
      <c r="AQ1112" s="250"/>
      <c r="AR1112" s="250"/>
      <c r="AS1112" s="250"/>
      <c r="AT1112" s="250"/>
      <c r="AU1112" s="250"/>
      <c r="AV1112" s="124"/>
    </row>
    <row r="1113" spans="2:48" ht="15" x14ac:dyDescent="0.2">
      <c r="B1113" s="250"/>
      <c r="C1113" s="1201"/>
      <c r="D1113" s="1092"/>
      <c r="E1113" s="168"/>
      <c r="F1113" s="179" t="s">
        <v>528</v>
      </c>
      <c r="G1113" s="180"/>
      <c r="H1113" s="175"/>
      <c r="I1113" s="175"/>
      <c r="J1113" s="175"/>
      <c r="K1113" s="175"/>
      <c r="L1113" s="167"/>
      <c r="M1113" s="167"/>
      <c r="N1113" s="167"/>
      <c r="O1113" s="167"/>
      <c r="P1113" s="167"/>
      <c r="Q1113" s="1202"/>
      <c r="R1113" s="250"/>
      <c r="S1113" s="250"/>
      <c r="T1113" s="250"/>
      <c r="U1113" s="250"/>
      <c r="V1113" s="250"/>
      <c r="W1113" s="250"/>
      <c r="X1113" s="250"/>
      <c r="Y1113" s="250"/>
      <c r="Z1113" s="250"/>
      <c r="AA1113" s="250"/>
      <c r="AB1113" s="250"/>
      <c r="AC1113" s="250"/>
      <c r="AD1113" s="250"/>
      <c r="AE1113" s="250"/>
      <c r="AF1113" s="250"/>
      <c r="AG1113" s="250"/>
      <c r="AH1113" s="250"/>
      <c r="AI1113" s="250"/>
      <c r="AJ1113" s="250"/>
      <c r="AK1113" s="250"/>
      <c r="AL1113" s="250"/>
      <c r="AM1113" s="250"/>
      <c r="AN1113" s="250"/>
      <c r="AO1113" s="250"/>
      <c r="AP1113" s="250"/>
      <c r="AQ1113" s="250"/>
      <c r="AR1113" s="250"/>
      <c r="AS1113" s="250"/>
      <c r="AT1113" s="250"/>
      <c r="AU1113" s="250"/>
      <c r="AV1113" s="124"/>
    </row>
    <row r="1114" spans="2:48" ht="15" x14ac:dyDescent="0.2">
      <c r="B1114" s="250"/>
      <c r="C1114" s="1201"/>
      <c r="D1114" s="158"/>
      <c r="E1114" s="156"/>
      <c r="F1114" s="156" t="s">
        <v>521</v>
      </c>
      <c r="G1114" s="175"/>
      <c r="H1114" s="175"/>
      <c r="I1114" s="175"/>
      <c r="J1114" s="175"/>
      <c r="K1114" s="167"/>
      <c r="L1114" s="167"/>
      <c r="M1114" s="167"/>
      <c r="N1114" s="167"/>
      <c r="O1114" s="167"/>
      <c r="P1114" s="167"/>
      <c r="Q1114" s="1202"/>
      <c r="R1114" s="250"/>
      <c r="S1114" s="250"/>
      <c r="T1114" s="250"/>
      <c r="U1114" s="250"/>
      <c r="V1114" s="250"/>
      <c r="W1114" s="250"/>
      <c r="X1114" s="250"/>
      <c r="Y1114" s="250"/>
      <c r="Z1114" s="250"/>
      <c r="AA1114" s="250"/>
      <c r="AB1114" s="250"/>
      <c r="AC1114" s="250"/>
      <c r="AD1114" s="250"/>
      <c r="AE1114" s="250"/>
      <c r="AF1114" s="250"/>
      <c r="AG1114" s="250"/>
      <c r="AH1114" s="250"/>
      <c r="AI1114" s="250"/>
      <c r="AJ1114" s="250"/>
      <c r="AK1114" s="250"/>
      <c r="AL1114" s="250"/>
      <c r="AM1114" s="250"/>
      <c r="AN1114" s="250"/>
      <c r="AO1114" s="250"/>
      <c r="AP1114" s="250"/>
      <c r="AQ1114" s="250"/>
      <c r="AR1114" s="250"/>
      <c r="AS1114" s="250"/>
      <c r="AT1114" s="250"/>
      <c r="AU1114" s="250"/>
      <c r="AV1114" s="124"/>
    </row>
    <row r="1115" spans="2:48" ht="15" x14ac:dyDescent="0.2">
      <c r="B1115" s="250"/>
      <c r="C1115" s="1201"/>
      <c r="D1115" s="158"/>
      <c r="E1115" s="156"/>
      <c r="F1115" s="1285"/>
      <c r="G1115" s="175"/>
      <c r="H1115" s="175"/>
      <c r="I1115" s="175"/>
      <c r="J1115" s="175"/>
      <c r="K1115" s="167"/>
      <c r="L1115" s="167"/>
      <c r="M1115" s="167"/>
      <c r="N1115" s="167"/>
      <c r="O1115" s="167"/>
      <c r="P1115" s="167"/>
      <c r="Q1115" s="1202"/>
      <c r="R1115" s="250"/>
      <c r="S1115" s="250"/>
      <c r="T1115" s="250"/>
      <c r="U1115" s="250"/>
      <c r="V1115" s="250"/>
      <c r="W1115" s="250"/>
      <c r="X1115" s="250"/>
      <c r="Y1115" s="250"/>
      <c r="Z1115" s="250"/>
      <c r="AA1115" s="250"/>
      <c r="AB1115" s="250"/>
      <c r="AC1115" s="250"/>
      <c r="AD1115" s="250"/>
      <c r="AE1115" s="250"/>
      <c r="AF1115" s="250"/>
      <c r="AG1115" s="250"/>
      <c r="AH1115" s="250"/>
      <c r="AI1115" s="250"/>
      <c r="AJ1115" s="250"/>
      <c r="AK1115" s="250"/>
      <c r="AL1115" s="250"/>
      <c r="AM1115" s="250"/>
      <c r="AN1115" s="250"/>
      <c r="AO1115" s="250"/>
      <c r="AP1115" s="250"/>
      <c r="AQ1115" s="250"/>
      <c r="AR1115" s="250"/>
      <c r="AS1115" s="250"/>
      <c r="AT1115" s="250"/>
      <c r="AU1115" s="250"/>
      <c r="AV1115" s="124"/>
    </row>
    <row r="1116" spans="2:48" ht="18" x14ac:dyDescent="0.25">
      <c r="B1116" s="250"/>
      <c r="C1116" s="1201"/>
      <c r="D1116" s="158"/>
      <c r="E1116" s="156"/>
      <c r="F1116" s="1286" t="s">
        <v>529</v>
      </c>
      <c r="G1116" s="175"/>
      <c r="H1116" s="175"/>
      <c r="I1116" s="175"/>
      <c r="J1116" s="175"/>
      <c r="K1116" s="167"/>
      <c r="L1116" s="167"/>
      <c r="M1116" s="167"/>
      <c r="N1116" s="167"/>
      <c r="O1116" s="167"/>
      <c r="P1116" s="167"/>
      <c r="Q1116" s="1202"/>
      <c r="R1116" s="250"/>
      <c r="S1116" s="250"/>
      <c r="T1116" s="250"/>
      <c r="U1116" s="250"/>
      <c r="V1116" s="250"/>
      <c r="W1116" s="250"/>
      <c r="X1116" s="250"/>
      <c r="Y1116" s="250"/>
      <c r="Z1116" s="250"/>
      <c r="AA1116" s="250"/>
      <c r="AB1116" s="250"/>
      <c r="AC1116" s="250"/>
      <c r="AD1116" s="250"/>
      <c r="AE1116" s="250"/>
      <c r="AF1116" s="250"/>
      <c r="AG1116" s="250"/>
      <c r="AH1116" s="250"/>
      <c r="AI1116" s="250"/>
      <c r="AJ1116" s="250"/>
      <c r="AK1116" s="250"/>
      <c r="AL1116" s="250"/>
      <c r="AM1116" s="250"/>
      <c r="AN1116" s="250"/>
      <c r="AO1116" s="250"/>
      <c r="AP1116" s="250"/>
      <c r="AQ1116" s="250"/>
      <c r="AR1116" s="250"/>
      <c r="AS1116" s="250"/>
      <c r="AT1116" s="250"/>
      <c r="AU1116" s="250"/>
      <c r="AV1116" s="124"/>
    </row>
    <row r="1117" spans="2:48" ht="18" x14ac:dyDescent="0.25">
      <c r="B1117" s="250"/>
      <c r="C1117" s="1201"/>
      <c r="D1117" s="158"/>
      <c r="E1117" s="156"/>
      <c r="F1117" s="1287" t="s">
        <v>525</v>
      </c>
      <c r="G1117" s="175"/>
      <c r="H1117" s="175"/>
      <c r="I1117" s="175"/>
      <c r="J1117" s="175"/>
      <c r="K1117" s="167"/>
      <c r="L1117" s="167"/>
      <c r="M1117" s="167"/>
      <c r="N1117" s="167"/>
      <c r="O1117" s="167"/>
      <c r="P1117" s="167"/>
      <c r="Q1117" s="1202"/>
      <c r="R1117" s="250"/>
      <c r="S1117" s="250"/>
      <c r="T1117" s="250"/>
      <c r="U1117" s="250"/>
      <c r="V1117" s="250"/>
      <c r="W1117" s="250"/>
      <c r="X1117" s="250"/>
      <c r="Y1117" s="250"/>
      <c r="Z1117" s="250"/>
      <c r="AA1117" s="250"/>
      <c r="AB1117" s="250"/>
      <c r="AC1117" s="250"/>
      <c r="AD1117" s="250"/>
      <c r="AE1117" s="250"/>
      <c r="AF1117" s="250"/>
      <c r="AG1117" s="250"/>
      <c r="AH1117" s="250"/>
      <c r="AI1117" s="250"/>
      <c r="AJ1117" s="250"/>
      <c r="AK1117" s="250"/>
      <c r="AL1117" s="250"/>
      <c r="AM1117" s="250"/>
      <c r="AN1117" s="250"/>
      <c r="AO1117" s="250"/>
      <c r="AP1117" s="250"/>
      <c r="AQ1117" s="250"/>
      <c r="AR1117" s="250"/>
      <c r="AS1117" s="250"/>
      <c r="AT1117" s="250"/>
      <c r="AU1117" s="250"/>
      <c r="AV1117" s="124"/>
    </row>
    <row r="1118" spans="2:48" ht="18" x14ac:dyDescent="0.25">
      <c r="B1118" s="250"/>
      <c r="C1118" s="1201"/>
      <c r="D1118" s="158"/>
      <c r="E1118" s="156"/>
      <c r="F1118" s="1287"/>
      <c r="G1118" s="175"/>
      <c r="H1118" s="175"/>
      <c r="I1118" s="175"/>
      <c r="J1118" s="175"/>
      <c r="K1118" s="167"/>
      <c r="L1118" s="167"/>
      <c r="M1118" s="167"/>
      <c r="N1118" s="167"/>
      <c r="O1118" s="167"/>
      <c r="P1118" s="167"/>
      <c r="Q1118" s="1202"/>
      <c r="R1118" s="250"/>
      <c r="S1118" s="250"/>
      <c r="T1118" s="250"/>
      <c r="U1118" s="250"/>
      <c r="V1118" s="250"/>
      <c r="W1118" s="250"/>
      <c r="X1118" s="250"/>
      <c r="Y1118" s="250"/>
      <c r="Z1118" s="250"/>
      <c r="AA1118" s="250"/>
      <c r="AB1118" s="250"/>
      <c r="AC1118" s="250"/>
      <c r="AD1118" s="250"/>
      <c r="AE1118" s="250"/>
      <c r="AF1118" s="250"/>
      <c r="AG1118" s="250"/>
      <c r="AH1118" s="250"/>
      <c r="AI1118" s="250"/>
      <c r="AJ1118" s="250"/>
      <c r="AK1118" s="250"/>
      <c r="AL1118" s="250"/>
      <c r="AM1118" s="250"/>
      <c r="AN1118" s="250"/>
      <c r="AO1118" s="250"/>
      <c r="AP1118" s="250"/>
      <c r="AQ1118" s="250"/>
      <c r="AR1118" s="250"/>
      <c r="AS1118" s="250"/>
      <c r="AT1118" s="250"/>
      <c r="AU1118" s="250"/>
      <c r="AV1118" s="124"/>
    </row>
    <row r="1119" spans="2:48" ht="18" x14ac:dyDescent="0.25">
      <c r="B1119" s="250"/>
      <c r="C1119" s="1201"/>
      <c r="D1119" s="158"/>
      <c r="E1119" s="156"/>
      <c r="F1119" s="1287"/>
      <c r="G1119" s="175"/>
      <c r="H1119" s="175"/>
      <c r="I1119" s="175"/>
      <c r="J1119" s="175"/>
      <c r="K1119" s="167"/>
      <c r="L1119" s="167"/>
      <c r="M1119" s="167"/>
      <c r="N1119" s="167"/>
      <c r="O1119" s="167"/>
      <c r="P1119" s="167"/>
      <c r="Q1119" s="1202"/>
      <c r="R1119" s="250"/>
      <c r="S1119" s="250"/>
      <c r="T1119" s="250"/>
      <c r="U1119" s="250"/>
      <c r="V1119" s="250"/>
      <c r="W1119" s="250"/>
      <c r="X1119" s="250"/>
      <c r="Y1119" s="250"/>
      <c r="Z1119" s="250"/>
      <c r="AA1119" s="250"/>
      <c r="AB1119" s="250"/>
      <c r="AC1119" s="250"/>
      <c r="AD1119" s="250"/>
      <c r="AE1119" s="250"/>
      <c r="AF1119" s="250"/>
      <c r="AG1119" s="250"/>
      <c r="AH1119" s="250"/>
      <c r="AI1119" s="250"/>
      <c r="AJ1119" s="250"/>
      <c r="AK1119" s="250"/>
      <c r="AL1119" s="250"/>
      <c r="AM1119" s="250"/>
      <c r="AN1119" s="250"/>
      <c r="AO1119" s="250"/>
      <c r="AP1119" s="250"/>
      <c r="AQ1119" s="250"/>
      <c r="AR1119" s="250"/>
      <c r="AS1119" s="250"/>
      <c r="AT1119" s="250"/>
      <c r="AU1119" s="250"/>
      <c r="AV1119" s="124"/>
    </row>
    <row r="1120" spans="2:48" ht="18" x14ac:dyDescent="0.25">
      <c r="B1120" s="250"/>
      <c r="C1120" s="1201"/>
      <c r="D1120" s="158"/>
      <c r="E1120" s="156"/>
      <c r="F1120" s="1287"/>
      <c r="G1120" s="175"/>
      <c r="H1120" s="175"/>
      <c r="I1120" s="175"/>
      <c r="J1120" s="175"/>
      <c r="K1120" s="167"/>
      <c r="L1120" s="167"/>
      <c r="M1120" s="167"/>
      <c r="N1120" s="167"/>
      <c r="O1120" s="167"/>
      <c r="P1120" s="167"/>
      <c r="Q1120" s="1202"/>
      <c r="R1120" s="250"/>
      <c r="S1120" s="250"/>
      <c r="T1120" s="250"/>
      <c r="U1120" s="250"/>
      <c r="V1120" s="250"/>
      <c r="W1120" s="250"/>
      <c r="X1120" s="250"/>
      <c r="Y1120" s="250"/>
      <c r="Z1120" s="250"/>
      <c r="AA1120" s="250"/>
      <c r="AB1120" s="250"/>
      <c r="AC1120" s="250"/>
      <c r="AD1120" s="250"/>
      <c r="AE1120" s="250"/>
      <c r="AF1120" s="250"/>
      <c r="AG1120" s="250"/>
      <c r="AH1120" s="250"/>
      <c r="AI1120" s="250"/>
      <c r="AJ1120" s="250"/>
      <c r="AK1120" s="250"/>
      <c r="AL1120" s="250"/>
      <c r="AM1120" s="250"/>
      <c r="AN1120" s="250"/>
      <c r="AO1120" s="250"/>
      <c r="AP1120" s="250"/>
      <c r="AQ1120" s="250"/>
      <c r="AR1120" s="250"/>
      <c r="AS1120" s="250"/>
      <c r="AT1120" s="250"/>
      <c r="AU1120" s="250"/>
      <c r="AV1120" s="124"/>
    </row>
    <row r="1121" spans="2:48" ht="18" x14ac:dyDescent="0.25">
      <c r="B1121" s="250"/>
      <c r="C1121" s="1201"/>
      <c r="D1121" s="158"/>
      <c r="E1121" s="156"/>
      <c r="F1121" s="1287"/>
      <c r="G1121" s="175"/>
      <c r="H1121" s="175"/>
      <c r="I1121" s="175"/>
      <c r="J1121" s="175"/>
      <c r="K1121" s="167"/>
      <c r="L1121" s="167"/>
      <c r="M1121" s="167"/>
      <c r="N1121" s="167"/>
      <c r="O1121" s="167"/>
      <c r="P1121" s="167"/>
      <c r="Q1121" s="1202"/>
      <c r="R1121" s="250"/>
      <c r="S1121" s="250"/>
      <c r="T1121" s="250"/>
      <c r="U1121" s="250"/>
      <c r="V1121" s="250"/>
      <c r="W1121" s="250"/>
      <c r="X1121" s="250"/>
      <c r="Y1121" s="250"/>
      <c r="Z1121" s="250"/>
      <c r="AA1121" s="250"/>
      <c r="AB1121" s="250"/>
      <c r="AC1121" s="250"/>
      <c r="AD1121" s="250"/>
      <c r="AE1121" s="250"/>
      <c r="AF1121" s="250"/>
      <c r="AG1121" s="250"/>
      <c r="AH1121" s="250"/>
      <c r="AI1121" s="250"/>
      <c r="AJ1121" s="250"/>
      <c r="AK1121" s="250"/>
      <c r="AL1121" s="250"/>
      <c r="AM1121" s="250"/>
      <c r="AN1121" s="250"/>
      <c r="AO1121" s="250"/>
      <c r="AP1121" s="250"/>
      <c r="AQ1121" s="250"/>
      <c r="AR1121" s="250"/>
      <c r="AS1121" s="250"/>
      <c r="AT1121" s="250"/>
      <c r="AU1121" s="250"/>
      <c r="AV1121" s="124"/>
    </row>
    <row r="1122" spans="2:48" ht="18" x14ac:dyDescent="0.25">
      <c r="B1122" s="250"/>
      <c r="C1122" s="1201"/>
      <c r="D1122" s="158"/>
      <c r="E1122" s="156"/>
      <c r="F1122" s="1287"/>
      <c r="G1122" s="175"/>
      <c r="H1122" s="175"/>
      <c r="I1122" s="175"/>
      <c r="J1122" s="175"/>
      <c r="K1122" s="167"/>
      <c r="L1122" s="167"/>
      <c r="M1122" s="167"/>
      <c r="N1122" s="167"/>
      <c r="O1122" s="167"/>
      <c r="P1122" s="167"/>
      <c r="Q1122" s="1202"/>
      <c r="R1122" s="250"/>
      <c r="S1122" s="250"/>
      <c r="T1122" s="250"/>
      <c r="U1122" s="250"/>
      <c r="V1122" s="250"/>
      <c r="W1122" s="250"/>
      <c r="X1122" s="250"/>
      <c r="Y1122" s="250"/>
      <c r="Z1122" s="250"/>
      <c r="AA1122" s="250"/>
      <c r="AB1122" s="250"/>
      <c r="AC1122" s="250"/>
      <c r="AD1122" s="250"/>
      <c r="AE1122" s="250"/>
      <c r="AF1122" s="250"/>
      <c r="AG1122" s="250"/>
      <c r="AH1122" s="250"/>
      <c r="AI1122" s="250"/>
      <c r="AJ1122" s="250"/>
      <c r="AK1122" s="250"/>
      <c r="AL1122" s="250"/>
      <c r="AM1122" s="250"/>
      <c r="AN1122" s="250"/>
      <c r="AO1122" s="250"/>
      <c r="AP1122" s="250"/>
      <c r="AQ1122" s="250"/>
      <c r="AR1122" s="250"/>
      <c r="AS1122" s="250"/>
      <c r="AT1122" s="250"/>
      <c r="AU1122" s="250"/>
      <c r="AV1122" s="124"/>
    </row>
    <row r="1123" spans="2:48" ht="18" x14ac:dyDescent="0.25">
      <c r="B1123" s="250"/>
      <c r="C1123" s="1201"/>
      <c r="D1123" s="158"/>
      <c r="E1123" s="156"/>
      <c r="F1123" s="1287"/>
      <c r="G1123" s="175"/>
      <c r="H1123" s="175"/>
      <c r="I1123" s="175"/>
      <c r="J1123" s="175"/>
      <c r="K1123" s="167"/>
      <c r="L1123" s="167"/>
      <c r="M1123" s="167"/>
      <c r="N1123" s="167"/>
      <c r="O1123" s="167"/>
      <c r="P1123" s="167"/>
      <c r="Q1123" s="1202"/>
      <c r="R1123" s="250"/>
      <c r="S1123" s="250"/>
      <c r="T1123" s="250"/>
      <c r="U1123" s="250"/>
      <c r="V1123" s="250"/>
      <c r="W1123" s="250"/>
      <c r="X1123" s="250"/>
      <c r="Y1123" s="250"/>
      <c r="Z1123" s="250"/>
      <c r="AA1123" s="250"/>
      <c r="AB1123" s="250"/>
      <c r="AC1123" s="250"/>
      <c r="AD1123" s="250"/>
      <c r="AE1123" s="250"/>
      <c r="AF1123" s="250"/>
      <c r="AG1123" s="250"/>
      <c r="AH1123" s="250"/>
      <c r="AI1123" s="250"/>
      <c r="AJ1123" s="250"/>
      <c r="AK1123" s="250"/>
      <c r="AL1123" s="250"/>
      <c r="AM1123" s="250"/>
      <c r="AN1123" s="250"/>
      <c r="AO1123" s="250"/>
      <c r="AP1123" s="250"/>
      <c r="AQ1123" s="250"/>
      <c r="AR1123" s="250"/>
      <c r="AS1123" s="250"/>
      <c r="AT1123" s="250"/>
      <c r="AU1123" s="250"/>
      <c r="AV1123" s="124"/>
    </row>
    <row r="1124" spans="2:48" ht="15" x14ac:dyDescent="0.2">
      <c r="B1124" s="250"/>
      <c r="C1124" s="1201"/>
      <c r="D1124" s="158"/>
      <c r="E1124" s="156"/>
      <c r="F1124" s="156"/>
      <c r="G1124" s="158"/>
      <c r="H1124" s="158"/>
      <c r="I1124" s="158"/>
      <c r="J1124" s="158"/>
      <c r="K1124" s="158"/>
      <c r="L1124" s="158"/>
      <c r="M1124" s="158"/>
      <c r="N1124" s="158"/>
      <c r="O1124" s="158"/>
      <c r="P1124" s="158"/>
      <c r="Q1124" s="1202"/>
      <c r="R1124" s="250"/>
      <c r="S1124" s="250"/>
      <c r="T1124" s="250"/>
      <c r="U1124" s="250"/>
      <c r="V1124" s="250"/>
      <c r="W1124" s="250"/>
      <c r="X1124" s="250"/>
      <c r="Y1124" s="250"/>
      <c r="Z1124" s="250"/>
      <c r="AA1124" s="250"/>
      <c r="AB1124" s="250"/>
      <c r="AC1124" s="250"/>
      <c r="AD1124" s="250"/>
      <c r="AE1124" s="250"/>
      <c r="AF1124" s="250"/>
      <c r="AG1124" s="250"/>
      <c r="AH1124" s="250"/>
      <c r="AI1124" s="250"/>
      <c r="AJ1124" s="250"/>
      <c r="AK1124" s="250"/>
      <c r="AL1124" s="250"/>
      <c r="AM1124" s="250"/>
      <c r="AN1124" s="250"/>
      <c r="AO1124" s="250"/>
      <c r="AP1124" s="250"/>
      <c r="AQ1124" s="250"/>
      <c r="AR1124" s="250"/>
      <c r="AS1124" s="250"/>
      <c r="AT1124" s="250"/>
      <c r="AU1124" s="250"/>
      <c r="AV1124" s="124"/>
    </row>
    <row r="1125" spans="2:48" ht="15" x14ac:dyDescent="0.2">
      <c r="B1125" s="250"/>
      <c r="C1125" s="1201"/>
      <c r="D1125" s="158"/>
      <c r="E1125" s="156"/>
      <c r="F1125" s="156"/>
      <c r="G1125" s="158"/>
      <c r="H1125" s="158"/>
      <c r="I1125" s="158"/>
      <c r="J1125" s="158"/>
      <c r="K1125" s="158"/>
      <c r="L1125" s="158"/>
      <c r="M1125" s="158"/>
      <c r="N1125" s="158"/>
      <c r="O1125" s="158"/>
      <c r="P1125" s="158"/>
      <c r="Q1125" s="1202"/>
      <c r="R1125" s="250"/>
      <c r="S1125" s="250"/>
      <c r="T1125" s="250"/>
      <c r="U1125" s="250"/>
      <c r="V1125" s="250"/>
      <c r="W1125" s="250"/>
      <c r="X1125" s="250"/>
      <c r="Y1125" s="250"/>
      <c r="Z1125" s="250"/>
      <c r="AA1125" s="250"/>
      <c r="AB1125" s="250"/>
      <c r="AC1125" s="250"/>
      <c r="AD1125" s="250"/>
      <c r="AE1125" s="250"/>
      <c r="AF1125" s="250"/>
      <c r="AG1125" s="250"/>
      <c r="AH1125" s="250"/>
      <c r="AI1125" s="250"/>
      <c r="AJ1125" s="250"/>
      <c r="AK1125" s="250"/>
      <c r="AL1125" s="250"/>
      <c r="AM1125" s="250"/>
      <c r="AN1125" s="250"/>
      <c r="AO1125" s="250"/>
      <c r="AP1125" s="250"/>
      <c r="AQ1125" s="250"/>
      <c r="AR1125" s="250"/>
      <c r="AS1125" s="250"/>
      <c r="AT1125" s="250"/>
      <c r="AU1125" s="250"/>
      <c r="AV1125" s="124"/>
    </row>
    <row r="1126" spans="2:48" ht="15" x14ac:dyDescent="0.2">
      <c r="B1126" s="250"/>
      <c r="C1126" s="1201"/>
      <c r="D1126" s="158"/>
      <c r="E1126" s="156"/>
      <c r="F1126" s="156"/>
      <c r="G1126" s="158"/>
      <c r="H1126" s="158"/>
      <c r="I1126" s="158"/>
      <c r="J1126" s="158"/>
      <c r="K1126" s="158"/>
      <c r="L1126" s="158"/>
      <c r="M1126" s="158"/>
      <c r="N1126" s="158"/>
      <c r="O1126" s="158"/>
      <c r="P1126" s="158"/>
      <c r="Q1126" s="1202"/>
      <c r="R1126" s="250"/>
      <c r="S1126" s="250"/>
      <c r="T1126" s="250"/>
      <c r="U1126" s="250"/>
      <c r="V1126" s="250"/>
      <c r="W1126" s="250"/>
      <c r="X1126" s="250"/>
      <c r="Y1126" s="250"/>
      <c r="Z1126" s="250"/>
      <c r="AA1126" s="250"/>
      <c r="AB1126" s="250"/>
      <c r="AC1126" s="250"/>
      <c r="AD1126" s="250"/>
      <c r="AE1126" s="250"/>
      <c r="AF1126" s="250"/>
      <c r="AG1126" s="250"/>
      <c r="AH1126" s="250"/>
      <c r="AI1126" s="250"/>
      <c r="AJ1126" s="250"/>
      <c r="AK1126" s="250"/>
      <c r="AL1126" s="250"/>
      <c r="AM1126" s="250"/>
      <c r="AN1126" s="250"/>
      <c r="AO1126" s="250"/>
      <c r="AP1126" s="250"/>
      <c r="AQ1126" s="250"/>
      <c r="AR1126" s="250"/>
      <c r="AS1126" s="250"/>
      <c r="AT1126" s="250"/>
      <c r="AU1126" s="250"/>
      <c r="AV1126" s="124"/>
    </row>
    <row r="1127" spans="2:48" ht="15" x14ac:dyDescent="0.2">
      <c r="B1127" s="250"/>
      <c r="C1127" s="1201"/>
      <c r="D1127" s="158"/>
      <c r="E1127" s="156"/>
      <c r="F1127" s="156"/>
      <c r="G1127" s="158"/>
      <c r="H1127" s="158"/>
      <c r="I1127" s="158"/>
      <c r="J1127" s="158"/>
      <c r="K1127" s="158"/>
      <c r="L1127" s="158"/>
      <c r="M1127" s="158"/>
      <c r="N1127" s="158"/>
      <c r="O1127" s="158"/>
      <c r="P1127" s="158"/>
      <c r="Q1127" s="1202"/>
      <c r="R1127" s="250"/>
      <c r="S1127" s="250"/>
      <c r="T1127" s="250"/>
      <c r="U1127" s="250"/>
      <c r="V1127" s="250"/>
      <c r="W1127" s="250"/>
      <c r="X1127" s="250"/>
      <c r="Y1127" s="250"/>
      <c r="Z1127" s="250"/>
      <c r="AA1127" s="250"/>
      <c r="AB1127" s="250"/>
      <c r="AC1127" s="250"/>
      <c r="AD1127" s="250"/>
      <c r="AE1127" s="250"/>
      <c r="AF1127" s="250"/>
      <c r="AG1127" s="250"/>
      <c r="AH1127" s="250"/>
      <c r="AI1127" s="250"/>
      <c r="AJ1127" s="250"/>
      <c r="AK1127" s="250"/>
      <c r="AL1127" s="250"/>
      <c r="AM1127" s="250"/>
      <c r="AN1127" s="250"/>
      <c r="AO1127" s="250"/>
      <c r="AP1127" s="250"/>
      <c r="AQ1127" s="250"/>
      <c r="AR1127" s="250"/>
      <c r="AS1127" s="250"/>
      <c r="AT1127" s="250"/>
      <c r="AU1127" s="250"/>
      <c r="AV1127" s="124"/>
    </row>
    <row r="1128" spans="2:48" x14ac:dyDescent="0.2">
      <c r="B1128" s="250"/>
      <c r="C1128" s="1204"/>
      <c r="D1128" s="1205"/>
      <c r="E1128" s="1205"/>
      <c r="F1128" s="1205"/>
      <c r="G1128" s="1205"/>
      <c r="H1128" s="1205"/>
      <c r="I1128" s="1205"/>
      <c r="J1128" s="1205"/>
      <c r="K1128" s="1205"/>
      <c r="L1128" s="1205"/>
      <c r="M1128" s="1205"/>
      <c r="N1128" s="1205"/>
      <c r="O1128" s="1205"/>
      <c r="P1128" s="1205"/>
      <c r="Q1128" s="1210"/>
      <c r="R1128" s="250"/>
      <c r="S1128" s="250"/>
      <c r="T1128" s="250"/>
      <c r="U1128" s="250"/>
      <c r="V1128" s="250"/>
      <c r="W1128" s="250"/>
      <c r="X1128" s="250"/>
      <c r="Y1128" s="250"/>
      <c r="Z1128" s="250"/>
      <c r="AA1128" s="250"/>
      <c r="AB1128" s="250"/>
      <c r="AC1128" s="250"/>
      <c r="AD1128" s="250"/>
      <c r="AE1128" s="250"/>
      <c r="AF1128" s="250"/>
      <c r="AG1128" s="250"/>
      <c r="AH1128" s="250"/>
      <c r="AI1128" s="250"/>
      <c r="AJ1128" s="250"/>
      <c r="AK1128" s="250"/>
      <c r="AL1128" s="250"/>
      <c r="AM1128" s="250"/>
      <c r="AN1128" s="250"/>
      <c r="AO1128" s="250"/>
      <c r="AP1128" s="250"/>
      <c r="AQ1128" s="250"/>
      <c r="AR1128" s="250"/>
      <c r="AS1128" s="250"/>
      <c r="AT1128" s="250"/>
      <c r="AU1128" s="250"/>
      <c r="AV1128" s="124"/>
    </row>
    <row r="1129" spans="2:48" s="475" customFormat="1" x14ac:dyDescent="0.2">
      <c r="B1129" s="250"/>
      <c r="C1129" s="250"/>
      <c r="D1129" s="250"/>
      <c r="E1129" s="250"/>
      <c r="F1129" s="250"/>
      <c r="G1129" s="250"/>
      <c r="H1129" s="250"/>
      <c r="I1129" s="250"/>
      <c r="J1129" s="250"/>
      <c r="K1129" s="250"/>
      <c r="L1129" s="250"/>
      <c r="M1129" s="250"/>
      <c r="N1129" s="250"/>
      <c r="O1129" s="250"/>
      <c r="P1129" s="250"/>
      <c r="Q1129" s="250"/>
      <c r="R1129" s="250"/>
      <c r="S1129" s="250"/>
      <c r="T1129" s="250"/>
      <c r="U1129" s="250"/>
      <c r="V1129" s="250"/>
      <c r="W1129" s="250"/>
      <c r="X1129" s="250"/>
      <c r="Y1129" s="250"/>
      <c r="Z1129" s="250"/>
      <c r="AA1129" s="250"/>
      <c r="AB1129" s="250"/>
      <c r="AC1129" s="250"/>
      <c r="AD1129" s="250"/>
      <c r="AE1129" s="250"/>
      <c r="AF1129" s="250"/>
      <c r="AG1129" s="250"/>
      <c r="AH1129" s="250"/>
      <c r="AI1129" s="250"/>
      <c r="AJ1129" s="250"/>
      <c r="AK1129" s="250"/>
      <c r="AL1129" s="250"/>
      <c r="AM1129" s="250"/>
      <c r="AN1129" s="250"/>
      <c r="AO1129" s="250"/>
      <c r="AP1129" s="250"/>
      <c r="AQ1129" s="250"/>
      <c r="AR1129" s="250"/>
      <c r="AS1129" s="250"/>
      <c r="AT1129" s="250"/>
      <c r="AU1129" s="250"/>
      <c r="AV1129" s="124"/>
    </row>
    <row r="1130" spans="2:48" s="475" customFormat="1" x14ac:dyDescent="0.2">
      <c r="B1130" s="250"/>
      <c r="C1130" s="250"/>
      <c r="D1130" s="250"/>
      <c r="E1130" s="250"/>
      <c r="F1130" s="250"/>
      <c r="G1130" s="250"/>
      <c r="H1130" s="250"/>
      <c r="I1130" s="250"/>
      <c r="J1130" s="250"/>
      <c r="K1130" s="250"/>
      <c r="L1130" s="250"/>
      <c r="M1130" s="250"/>
      <c r="N1130" s="250"/>
      <c r="O1130" s="250"/>
      <c r="P1130" s="250"/>
      <c r="Q1130" s="250"/>
      <c r="R1130" s="250"/>
      <c r="S1130" s="250"/>
      <c r="T1130" s="250"/>
      <c r="U1130" s="250"/>
      <c r="V1130" s="250"/>
      <c r="W1130" s="250"/>
      <c r="X1130" s="250"/>
      <c r="Y1130" s="250"/>
      <c r="Z1130" s="250"/>
      <c r="AA1130" s="250"/>
      <c r="AB1130" s="250"/>
      <c r="AC1130" s="250"/>
      <c r="AD1130" s="250"/>
      <c r="AE1130" s="250"/>
      <c r="AF1130" s="250"/>
      <c r="AG1130" s="250"/>
      <c r="AH1130" s="250"/>
      <c r="AI1130" s="250"/>
      <c r="AJ1130" s="250"/>
      <c r="AK1130" s="250"/>
      <c r="AL1130" s="250"/>
      <c r="AM1130" s="250"/>
      <c r="AN1130" s="250"/>
      <c r="AO1130" s="250"/>
      <c r="AP1130" s="250"/>
      <c r="AQ1130" s="250"/>
      <c r="AR1130" s="250"/>
      <c r="AS1130" s="250"/>
      <c r="AT1130" s="250"/>
      <c r="AU1130" s="250"/>
      <c r="AV1130" s="124"/>
    </row>
    <row r="1131" spans="2:48" s="475" customFormat="1" x14ac:dyDescent="0.2">
      <c r="B1131" s="250"/>
      <c r="C1131" s="250"/>
      <c r="D1131" s="250"/>
      <c r="E1131" s="250"/>
      <c r="F1131" s="250"/>
      <c r="G1131" s="250"/>
      <c r="H1131" s="250"/>
      <c r="I1131" s="250"/>
      <c r="J1131" s="250"/>
      <c r="K1131" s="250"/>
      <c r="L1131" s="250"/>
      <c r="M1131" s="250"/>
      <c r="N1131" s="250"/>
      <c r="O1131" s="250"/>
      <c r="P1131" s="250"/>
      <c r="Q1131" s="250"/>
      <c r="R1131" s="250"/>
      <c r="S1131" s="250"/>
      <c r="T1131" s="250"/>
      <c r="U1131" s="250"/>
      <c r="V1131" s="250"/>
      <c r="W1131" s="250"/>
      <c r="X1131" s="250"/>
      <c r="Y1131" s="250"/>
      <c r="Z1131" s="250"/>
      <c r="AA1131" s="250"/>
      <c r="AB1131" s="250"/>
      <c r="AC1131" s="250"/>
      <c r="AD1131" s="250"/>
      <c r="AE1131" s="250"/>
      <c r="AF1131" s="250"/>
      <c r="AG1131" s="250"/>
      <c r="AH1131" s="250"/>
      <c r="AI1131" s="250"/>
      <c r="AJ1131" s="250"/>
      <c r="AK1131" s="250"/>
      <c r="AL1131" s="250"/>
      <c r="AM1131" s="250"/>
      <c r="AN1131" s="250"/>
      <c r="AO1131" s="250"/>
      <c r="AP1131" s="250"/>
      <c r="AQ1131" s="250"/>
      <c r="AR1131" s="250"/>
      <c r="AS1131" s="250"/>
      <c r="AT1131" s="250"/>
      <c r="AU1131" s="250"/>
      <c r="AV1131" s="124"/>
    </row>
    <row r="1132" spans="2:48" s="475" customFormat="1" x14ac:dyDescent="0.2">
      <c r="B1132" s="250"/>
      <c r="C1132" s="250"/>
      <c r="D1132" s="250"/>
      <c r="E1132" s="250"/>
      <c r="F1132" s="250"/>
      <c r="G1132" s="250"/>
      <c r="H1132" s="250"/>
      <c r="I1132" s="250"/>
      <c r="J1132" s="250"/>
      <c r="K1132" s="250"/>
      <c r="L1132" s="250"/>
      <c r="M1132" s="250"/>
      <c r="N1132" s="250"/>
      <c r="O1132" s="250"/>
      <c r="P1132" s="250"/>
      <c r="Q1132" s="250"/>
      <c r="R1132" s="250"/>
      <c r="S1132" s="250"/>
      <c r="T1132" s="250"/>
      <c r="U1132" s="250"/>
      <c r="V1132" s="250"/>
      <c r="W1132" s="250"/>
      <c r="X1132" s="250"/>
      <c r="Y1132" s="250"/>
      <c r="Z1132" s="250"/>
      <c r="AA1132" s="250"/>
      <c r="AB1132" s="250"/>
      <c r="AC1132" s="250"/>
      <c r="AD1132" s="250"/>
      <c r="AE1132" s="250"/>
      <c r="AF1132" s="250"/>
      <c r="AG1132" s="250"/>
      <c r="AH1132" s="250"/>
      <c r="AI1132" s="250"/>
      <c r="AJ1132" s="250"/>
      <c r="AK1132" s="250"/>
      <c r="AL1132" s="250"/>
      <c r="AM1132" s="250"/>
      <c r="AN1132" s="250"/>
      <c r="AO1132" s="250"/>
      <c r="AP1132" s="250"/>
      <c r="AQ1132" s="250"/>
      <c r="AR1132" s="250"/>
      <c r="AS1132" s="250"/>
      <c r="AT1132" s="250"/>
      <c r="AU1132" s="250"/>
      <c r="AV1132" s="124"/>
    </row>
    <row r="1133" spans="2:48" s="475" customFormat="1" x14ac:dyDescent="0.2">
      <c r="B1133" s="250"/>
      <c r="C1133" s="250"/>
      <c r="D1133" s="250"/>
      <c r="E1133" s="250"/>
      <c r="F1133" s="250"/>
      <c r="G1133" s="250"/>
      <c r="H1133" s="250"/>
      <c r="I1133" s="250"/>
      <c r="J1133" s="250"/>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250"/>
      <c r="AN1133" s="250"/>
      <c r="AO1133" s="250"/>
      <c r="AP1133" s="250"/>
      <c r="AQ1133" s="250"/>
      <c r="AR1133" s="250"/>
      <c r="AS1133" s="250"/>
      <c r="AT1133" s="250"/>
      <c r="AU1133" s="250"/>
      <c r="AV1133" s="124"/>
    </row>
    <row r="1134" spans="2:48" s="475" customFormat="1" x14ac:dyDescent="0.2">
      <c r="B1134" s="250"/>
      <c r="C1134" s="250"/>
      <c r="D1134" s="250"/>
      <c r="E1134" s="250"/>
      <c r="F1134" s="250"/>
      <c r="G1134" s="250"/>
      <c r="H1134" s="250"/>
      <c r="I1134" s="250"/>
      <c r="J1134" s="250"/>
      <c r="K1134" s="250"/>
      <c r="L1134" s="250"/>
      <c r="M1134" s="250"/>
      <c r="N1134" s="250"/>
      <c r="O1134" s="250"/>
      <c r="P1134" s="250"/>
      <c r="Q1134" s="250"/>
      <c r="R1134" s="250"/>
      <c r="S1134" s="250"/>
      <c r="T1134" s="250"/>
      <c r="U1134" s="250"/>
      <c r="V1134" s="250"/>
      <c r="W1134" s="250"/>
      <c r="X1134" s="250"/>
      <c r="Y1134" s="250"/>
      <c r="Z1134" s="250"/>
      <c r="AA1134" s="250"/>
      <c r="AB1134" s="250"/>
      <c r="AC1134" s="250"/>
      <c r="AD1134" s="250"/>
      <c r="AE1134" s="250"/>
      <c r="AF1134" s="250"/>
      <c r="AG1134" s="250"/>
      <c r="AH1134" s="250"/>
      <c r="AI1134" s="250"/>
      <c r="AJ1134" s="250"/>
      <c r="AK1134" s="250"/>
      <c r="AL1134" s="250"/>
      <c r="AM1134" s="250"/>
      <c r="AN1134" s="250"/>
      <c r="AO1134" s="250"/>
      <c r="AP1134" s="250"/>
      <c r="AQ1134" s="250"/>
      <c r="AR1134" s="250"/>
      <c r="AS1134" s="250"/>
      <c r="AT1134" s="250"/>
      <c r="AU1134" s="250"/>
      <c r="AV1134" s="124"/>
    </row>
    <row r="1135" spans="2:48" s="475" customFormat="1" x14ac:dyDescent="0.2">
      <c r="B1135" s="250"/>
      <c r="C1135" s="250"/>
      <c r="D1135" s="250"/>
      <c r="E1135" s="250"/>
      <c r="F1135" s="250"/>
      <c r="G1135" s="250"/>
      <c r="H1135" s="250"/>
      <c r="I1135" s="250"/>
      <c r="J1135" s="250"/>
      <c r="K1135" s="250"/>
      <c r="L1135" s="250"/>
      <c r="M1135" s="250"/>
      <c r="N1135" s="250"/>
      <c r="O1135" s="250"/>
      <c r="P1135" s="250"/>
      <c r="Q1135" s="250"/>
      <c r="R1135" s="250"/>
      <c r="S1135" s="250"/>
      <c r="T1135" s="250"/>
      <c r="U1135" s="250"/>
      <c r="V1135" s="250"/>
      <c r="W1135" s="250"/>
      <c r="X1135" s="250"/>
      <c r="Y1135" s="250"/>
      <c r="Z1135" s="250"/>
      <c r="AA1135" s="250"/>
      <c r="AB1135" s="250"/>
      <c r="AC1135" s="250"/>
      <c r="AD1135" s="250"/>
      <c r="AE1135" s="250"/>
      <c r="AF1135" s="250"/>
      <c r="AG1135" s="250"/>
      <c r="AH1135" s="250"/>
      <c r="AI1135" s="250"/>
      <c r="AJ1135" s="250"/>
      <c r="AK1135" s="250"/>
      <c r="AL1135" s="250"/>
      <c r="AM1135" s="250"/>
      <c r="AN1135" s="250"/>
      <c r="AO1135" s="250"/>
      <c r="AP1135" s="250"/>
      <c r="AQ1135" s="250"/>
      <c r="AR1135" s="250"/>
      <c r="AS1135" s="250"/>
      <c r="AT1135" s="250"/>
      <c r="AU1135" s="250"/>
      <c r="AV1135" s="124"/>
    </row>
    <row r="1136" spans="2:48" s="475" customFormat="1" x14ac:dyDescent="0.2">
      <c r="B1136" s="250"/>
      <c r="C1136" s="250"/>
      <c r="D1136" s="250"/>
      <c r="E1136" s="250"/>
      <c r="F1136" s="250"/>
      <c r="G1136" s="250"/>
      <c r="H1136" s="250"/>
      <c r="I1136" s="250"/>
      <c r="J1136" s="250"/>
      <c r="K1136" s="250"/>
      <c r="L1136" s="250"/>
      <c r="M1136" s="250"/>
      <c r="N1136" s="250"/>
      <c r="O1136" s="250"/>
      <c r="P1136" s="250"/>
      <c r="Q1136" s="250"/>
      <c r="R1136" s="250"/>
      <c r="S1136" s="250"/>
      <c r="T1136" s="250"/>
      <c r="U1136" s="250"/>
      <c r="V1136" s="250"/>
      <c r="W1136" s="250"/>
      <c r="X1136" s="250"/>
      <c r="Y1136" s="250"/>
      <c r="Z1136" s="250"/>
      <c r="AA1136" s="250"/>
      <c r="AB1136" s="250"/>
      <c r="AC1136" s="250"/>
      <c r="AD1136" s="250"/>
      <c r="AE1136" s="250"/>
      <c r="AF1136" s="250"/>
      <c r="AG1136" s="250"/>
      <c r="AH1136" s="250"/>
      <c r="AI1136" s="250"/>
      <c r="AJ1136" s="250"/>
      <c r="AK1136" s="250"/>
      <c r="AL1136" s="250"/>
      <c r="AM1136" s="250"/>
      <c r="AN1136" s="250"/>
      <c r="AO1136" s="250"/>
      <c r="AP1136" s="250"/>
      <c r="AQ1136" s="250"/>
      <c r="AR1136" s="250"/>
      <c r="AS1136" s="250"/>
      <c r="AT1136" s="250"/>
      <c r="AU1136" s="250"/>
      <c r="AV1136" s="124"/>
    </row>
    <row r="1137" spans="2:48" s="475" customFormat="1" x14ac:dyDescent="0.2">
      <c r="B1137" s="250"/>
      <c r="C1137" s="250"/>
      <c r="D1137" s="250"/>
      <c r="E1137" s="250"/>
      <c r="F1137" s="250"/>
      <c r="G1137" s="250"/>
      <c r="H1137" s="250"/>
      <c r="I1137" s="250"/>
      <c r="J1137" s="250"/>
      <c r="K1137" s="250"/>
      <c r="L1137" s="250"/>
      <c r="M1137" s="250"/>
      <c r="N1137" s="250"/>
      <c r="O1137" s="250"/>
      <c r="P1137" s="250"/>
      <c r="Q1137" s="250"/>
      <c r="R1137" s="250"/>
      <c r="S1137" s="250"/>
      <c r="T1137" s="250"/>
      <c r="U1137" s="250"/>
      <c r="V1137" s="250"/>
      <c r="W1137" s="250"/>
      <c r="X1137" s="250"/>
      <c r="Y1137" s="250"/>
      <c r="Z1137" s="250"/>
      <c r="AA1137" s="250"/>
      <c r="AB1137" s="250"/>
      <c r="AC1137" s="250"/>
      <c r="AD1137" s="250"/>
      <c r="AE1137" s="250"/>
      <c r="AF1137" s="250"/>
      <c r="AG1137" s="250"/>
      <c r="AH1137" s="250"/>
      <c r="AI1137" s="250"/>
      <c r="AJ1137" s="250"/>
      <c r="AK1137" s="250"/>
      <c r="AL1137" s="250"/>
      <c r="AM1137" s="250"/>
      <c r="AN1137" s="250"/>
      <c r="AO1137" s="250"/>
      <c r="AP1137" s="250"/>
      <c r="AQ1137" s="250"/>
      <c r="AR1137" s="250"/>
      <c r="AS1137" s="250"/>
      <c r="AT1137" s="250"/>
      <c r="AU1137" s="250"/>
      <c r="AV1137" s="124"/>
    </row>
    <row r="1138" spans="2:48" s="475" customFormat="1" x14ac:dyDescent="0.2">
      <c r="B1138" s="250"/>
      <c r="C1138" s="250"/>
      <c r="D1138" s="250"/>
      <c r="E1138" s="250"/>
      <c r="F1138" s="250"/>
      <c r="G1138" s="250"/>
      <c r="H1138" s="250"/>
      <c r="I1138" s="250"/>
      <c r="J1138" s="250"/>
      <c r="K1138" s="250"/>
      <c r="L1138" s="250"/>
      <c r="M1138" s="250"/>
      <c r="N1138" s="250"/>
      <c r="O1138" s="250"/>
      <c r="P1138" s="250"/>
      <c r="Q1138" s="250"/>
      <c r="R1138" s="250"/>
      <c r="S1138" s="250"/>
      <c r="T1138" s="250"/>
      <c r="U1138" s="250"/>
      <c r="V1138" s="250"/>
      <c r="W1138" s="250"/>
      <c r="X1138" s="250"/>
      <c r="Y1138" s="250"/>
      <c r="Z1138" s="250"/>
      <c r="AA1138" s="250"/>
      <c r="AB1138" s="250"/>
      <c r="AC1138" s="250"/>
      <c r="AD1138" s="250"/>
      <c r="AE1138" s="250"/>
      <c r="AF1138" s="250"/>
      <c r="AG1138" s="250"/>
      <c r="AH1138" s="250"/>
      <c r="AI1138" s="250"/>
      <c r="AJ1138" s="250"/>
      <c r="AK1138" s="250"/>
      <c r="AL1138" s="250"/>
      <c r="AM1138" s="250"/>
      <c r="AN1138" s="250"/>
      <c r="AO1138" s="250"/>
      <c r="AP1138" s="250"/>
      <c r="AQ1138" s="250"/>
      <c r="AR1138" s="250"/>
      <c r="AS1138" s="250"/>
      <c r="AT1138" s="250"/>
      <c r="AU1138" s="250"/>
      <c r="AV1138" s="124"/>
    </row>
    <row r="1139" spans="2:48" s="475" customFormat="1" x14ac:dyDescent="0.2">
      <c r="B1139" s="250"/>
      <c r="C1139" s="250"/>
      <c r="D1139" s="250"/>
      <c r="E1139" s="250"/>
      <c r="F1139" s="250"/>
      <c r="G1139" s="250"/>
      <c r="H1139" s="250"/>
      <c r="I1139" s="250"/>
      <c r="J1139" s="250"/>
      <c r="K1139" s="250"/>
      <c r="L1139" s="250"/>
      <c r="M1139" s="250"/>
      <c r="N1139" s="250"/>
      <c r="O1139" s="250"/>
      <c r="P1139" s="250"/>
      <c r="Q1139" s="250"/>
      <c r="R1139" s="250"/>
      <c r="S1139" s="250"/>
      <c r="T1139" s="250"/>
      <c r="U1139" s="250"/>
      <c r="V1139" s="250"/>
      <c r="W1139" s="250"/>
      <c r="X1139" s="250"/>
      <c r="Y1139" s="250"/>
      <c r="Z1139" s="250"/>
      <c r="AA1139" s="250"/>
      <c r="AB1139" s="250"/>
      <c r="AC1139" s="250"/>
      <c r="AD1139" s="250"/>
      <c r="AE1139" s="250"/>
      <c r="AF1139" s="250"/>
      <c r="AG1139" s="250"/>
      <c r="AH1139" s="250"/>
      <c r="AI1139" s="250"/>
      <c r="AJ1139" s="250"/>
      <c r="AK1139" s="250"/>
      <c r="AL1139" s="250"/>
      <c r="AM1139" s="250"/>
      <c r="AN1139" s="250"/>
      <c r="AO1139" s="250"/>
      <c r="AP1139" s="250"/>
      <c r="AQ1139" s="250"/>
      <c r="AR1139" s="250"/>
      <c r="AS1139" s="250"/>
      <c r="AT1139" s="250"/>
      <c r="AU1139" s="250"/>
      <c r="AV1139" s="124"/>
    </row>
    <row r="1140" spans="2:48" s="475" customFormat="1" x14ac:dyDescent="0.2">
      <c r="B1140" s="250"/>
      <c r="C1140" s="250"/>
      <c r="D1140" s="250"/>
      <c r="E1140" s="250"/>
      <c r="F1140" s="250"/>
      <c r="G1140" s="250"/>
      <c r="H1140" s="250"/>
      <c r="I1140" s="250"/>
      <c r="J1140" s="250"/>
      <c r="K1140" s="250"/>
      <c r="L1140" s="250"/>
      <c r="M1140" s="250"/>
      <c r="N1140" s="250"/>
      <c r="O1140" s="250"/>
      <c r="P1140" s="250"/>
      <c r="Q1140" s="250"/>
      <c r="R1140" s="250"/>
      <c r="S1140" s="250"/>
      <c r="T1140" s="250"/>
      <c r="U1140" s="250"/>
      <c r="V1140" s="250"/>
      <c r="W1140" s="250"/>
      <c r="X1140" s="250"/>
      <c r="Y1140" s="250"/>
      <c r="Z1140" s="250"/>
      <c r="AA1140" s="250"/>
      <c r="AB1140" s="250"/>
      <c r="AC1140" s="250"/>
      <c r="AD1140" s="250"/>
      <c r="AE1140" s="250"/>
      <c r="AF1140" s="250"/>
      <c r="AG1140" s="250"/>
      <c r="AH1140" s="250"/>
      <c r="AI1140" s="250"/>
      <c r="AJ1140" s="250"/>
      <c r="AK1140" s="250"/>
      <c r="AL1140" s="250"/>
      <c r="AM1140" s="250"/>
      <c r="AN1140" s="250"/>
      <c r="AO1140" s="250"/>
      <c r="AP1140" s="250"/>
      <c r="AQ1140" s="250"/>
      <c r="AR1140" s="250"/>
      <c r="AS1140" s="250"/>
      <c r="AT1140" s="250"/>
      <c r="AU1140" s="250"/>
      <c r="AV1140" s="124"/>
    </row>
    <row r="1141" spans="2:48" s="475" customFormat="1" x14ac:dyDescent="0.2">
      <c r="B1141" s="250"/>
      <c r="C1141" s="250"/>
      <c r="D1141" s="250"/>
      <c r="E1141" s="250"/>
      <c r="F1141" s="250"/>
      <c r="G1141" s="250"/>
      <c r="H1141" s="250"/>
      <c r="I1141" s="250"/>
      <c r="J1141" s="250"/>
      <c r="K1141" s="250"/>
      <c r="L1141" s="250"/>
      <c r="M1141" s="250"/>
      <c r="N1141" s="250"/>
      <c r="O1141" s="250"/>
      <c r="P1141" s="250"/>
      <c r="Q1141" s="250"/>
      <c r="R1141" s="250"/>
      <c r="S1141" s="250"/>
      <c r="T1141" s="250"/>
      <c r="U1141" s="250"/>
      <c r="V1141" s="250"/>
      <c r="W1141" s="250"/>
      <c r="X1141" s="250"/>
      <c r="Y1141" s="250"/>
      <c r="Z1141" s="250"/>
      <c r="AA1141" s="250"/>
      <c r="AB1141" s="250"/>
      <c r="AC1141" s="250"/>
      <c r="AD1141" s="250"/>
      <c r="AE1141" s="250"/>
      <c r="AF1141" s="250"/>
      <c r="AG1141" s="250"/>
      <c r="AH1141" s="250"/>
      <c r="AI1141" s="250"/>
      <c r="AJ1141" s="250"/>
      <c r="AK1141" s="250"/>
      <c r="AL1141" s="250"/>
      <c r="AM1141" s="250"/>
      <c r="AN1141" s="250"/>
      <c r="AO1141" s="250"/>
      <c r="AP1141" s="250"/>
      <c r="AQ1141" s="250"/>
      <c r="AR1141" s="250"/>
      <c r="AS1141" s="250"/>
      <c r="AT1141" s="250"/>
      <c r="AU1141" s="250"/>
      <c r="AV1141" s="124"/>
    </row>
    <row r="1142" spans="2:48" s="475" customFormat="1" x14ac:dyDescent="0.2">
      <c r="B1142" s="250"/>
      <c r="C1142" s="250"/>
      <c r="D1142" s="250"/>
      <c r="E1142" s="250"/>
      <c r="F1142" s="250"/>
      <c r="G1142" s="250"/>
      <c r="H1142" s="250"/>
      <c r="I1142" s="250"/>
      <c r="J1142" s="250"/>
      <c r="K1142" s="250"/>
      <c r="L1142" s="250"/>
      <c r="M1142" s="250"/>
      <c r="N1142" s="250"/>
      <c r="O1142" s="250"/>
      <c r="P1142" s="250"/>
      <c r="Q1142" s="250"/>
      <c r="R1142" s="250"/>
      <c r="S1142" s="250"/>
      <c r="T1142" s="250"/>
      <c r="U1142" s="250"/>
      <c r="V1142" s="250"/>
      <c r="W1142" s="250"/>
      <c r="X1142" s="250"/>
      <c r="Y1142" s="250"/>
      <c r="Z1142" s="250"/>
      <c r="AA1142" s="250"/>
      <c r="AB1142" s="250"/>
      <c r="AC1142" s="250"/>
      <c r="AD1142" s="250"/>
      <c r="AE1142" s="250"/>
      <c r="AF1142" s="250"/>
      <c r="AG1142" s="250"/>
      <c r="AH1142" s="250"/>
      <c r="AI1142" s="250"/>
      <c r="AJ1142" s="250"/>
      <c r="AK1142" s="250"/>
      <c r="AL1142" s="250"/>
      <c r="AM1142" s="250"/>
      <c r="AN1142" s="250"/>
      <c r="AO1142" s="250"/>
      <c r="AP1142" s="250"/>
      <c r="AQ1142" s="250"/>
      <c r="AR1142" s="250"/>
      <c r="AS1142" s="250"/>
      <c r="AT1142" s="250"/>
      <c r="AU1142" s="250"/>
      <c r="AV1142" s="124"/>
    </row>
    <row r="1143" spans="2:48" s="475" customFormat="1" x14ac:dyDescent="0.2">
      <c r="B1143" s="250"/>
      <c r="C1143" s="250"/>
      <c r="D1143" s="250"/>
      <c r="E1143" s="250"/>
      <c r="F1143" s="250"/>
      <c r="G1143" s="250"/>
      <c r="H1143" s="250"/>
      <c r="I1143" s="250"/>
      <c r="J1143" s="250"/>
      <c r="K1143" s="250"/>
      <c r="L1143" s="250"/>
      <c r="M1143" s="250"/>
      <c r="N1143" s="250"/>
      <c r="O1143" s="250"/>
      <c r="P1143" s="250"/>
      <c r="Q1143" s="250"/>
      <c r="R1143" s="250"/>
      <c r="S1143" s="250"/>
      <c r="T1143" s="250"/>
      <c r="U1143" s="250"/>
      <c r="V1143" s="250"/>
      <c r="W1143" s="250"/>
      <c r="X1143" s="250"/>
      <c r="Y1143" s="250"/>
      <c r="Z1143" s="250"/>
      <c r="AA1143" s="250"/>
      <c r="AB1143" s="250"/>
      <c r="AC1143" s="250"/>
      <c r="AD1143" s="250"/>
      <c r="AE1143" s="250"/>
      <c r="AF1143" s="250"/>
      <c r="AG1143" s="250"/>
      <c r="AH1143" s="250"/>
      <c r="AI1143" s="250"/>
      <c r="AJ1143" s="250"/>
      <c r="AK1143" s="250"/>
      <c r="AL1143" s="250"/>
      <c r="AM1143" s="250"/>
      <c r="AN1143" s="250"/>
      <c r="AO1143" s="250"/>
      <c r="AP1143" s="250"/>
      <c r="AQ1143" s="250"/>
      <c r="AR1143" s="250"/>
      <c r="AS1143" s="250"/>
      <c r="AT1143" s="250"/>
      <c r="AU1143" s="250"/>
      <c r="AV1143" s="124"/>
    </row>
    <row r="1144" spans="2:48" s="475" customFormat="1" x14ac:dyDescent="0.2">
      <c r="B1144" s="250"/>
      <c r="C1144" s="250"/>
      <c r="D1144" s="250"/>
      <c r="E1144" s="250"/>
      <c r="F1144" s="250"/>
      <c r="G1144" s="250"/>
      <c r="H1144" s="250"/>
      <c r="I1144" s="250"/>
      <c r="J1144" s="250"/>
      <c r="K1144" s="250"/>
      <c r="L1144" s="250"/>
      <c r="M1144" s="250"/>
      <c r="N1144" s="250"/>
      <c r="O1144" s="250"/>
      <c r="P1144" s="250"/>
      <c r="Q1144" s="250"/>
      <c r="R1144" s="250"/>
      <c r="S1144" s="250"/>
      <c r="T1144" s="250"/>
      <c r="U1144" s="250"/>
      <c r="V1144" s="250"/>
      <c r="W1144" s="250"/>
      <c r="X1144" s="250"/>
      <c r="Y1144" s="250"/>
      <c r="Z1144" s="250"/>
      <c r="AA1144" s="250"/>
      <c r="AB1144" s="250"/>
      <c r="AC1144" s="250"/>
      <c r="AD1144" s="250"/>
      <c r="AE1144" s="250"/>
      <c r="AF1144" s="250"/>
      <c r="AG1144" s="250"/>
      <c r="AH1144" s="250"/>
      <c r="AI1144" s="250"/>
      <c r="AJ1144" s="250"/>
      <c r="AK1144" s="250"/>
      <c r="AL1144" s="250"/>
      <c r="AM1144" s="250"/>
      <c r="AN1144" s="250"/>
      <c r="AO1144" s="250"/>
      <c r="AP1144" s="250"/>
      <c r="AQ1144" s="250"/>
      <c r="AR1144" s="250"/>
      <c r="AS1144" s="250"/>
      <c r="AT1144" s="250"/>
      <c r="AU1144" s="250"/>
      <c r="AV1144" s="124"/>
    </row>
    <row r="1145" spans="2:48" s="475" customFormat="1" x14ac:dyDescent="0.2">
      <c r="B1145" s="250"/>
      <c r="C1145" s="250"/>
      <c r="D1145" s="250"/>
      <c r="E1145" s="250"/>
      <c r="F1145" s="250"/>
      <c r="G1145" s="250"/>
      <c r="H1145" s="250"/>
      <c r="I1145" s="250"/>
      <c r="J1145" s="250"/>
      <c r="K1145" s="250"/>
      <c r="L1145" s="250"/>
      <c r="M1145" s="250"/>
      <c r="N1145" s="250"/>
      <c r="O1145" s="250"/>
      <c r="P1145" s="250"/>
      <c r="Q1145" s="250"/>
      <c r="R1145" s="250"/>
      <c r="S1145" s="250"/>
      <c r="T1145" s="250"/>
      <c r="U1145" s="250"/>
      <c r="V1145" s="250"/>
      <c r="W1145" s="250"/>
      <c r="X1145" s="250"/>
      <c r="Y1145" s="250"/>
      <c r="Z1145" s="250"/>
      <c r="AA1145" s="250"/>
      <c r="AB1145" s="250"/>
      <c r="AC1145" s="250"/>
      <c r="AD1145" s="250"/>
      <c r="AE1145" s="250"/>
      <c r="AF1145" s="250"/>
      <c r="AG1145" s="250"/>
      <c r="AH1145" s="250"/>
      <c r="AI1145" s="250"/>
      <c r="AJ1145" s="250"/>
      <c r="AK1145" s="250"/>
      <c r="AL1145" s="250"/>
      <c r="AM1145" s="250"/>
      <c r="AN1145" s="250"/>
      <c r="AO1145" s="250"/>
      <c r="AP1145" s="250"/>
      <c r="AQ1145" s="250"/>
      <c r="AR1145" s="250"/>
      <c r="AS1145" s="250"/>
      <c r="AT1145" s="250"/>
      <c r="AU1145" s="250"/>
      <c r="AV1145" s="124"/>
    </row>
    <row r="1146" spans="2:48" s="475" customFormat="1" x14ac:dyDescent="0.2">
      <c r="B1146" s="250"/>
      <c r="C1146" s="250"/>
      <c r="D1146" s="250"/>
      <c r="E1146" s="250"/>
      <c r="F1146" s="250"/>
      <c r="G1146" s="250"/>
      <c r="H1146" s="250"/>
      <c r="I1146" s="250"/>
      <c r="J1146" s="250"/>
      <c r="K1146" s="250"/>
      <c r="L1146" s="250"/>
      <c r="M1146" s="250"/>
      <c r="N1146" s="250"/>
      <c r="O1146" s="250"/>
      <c r="P1146" s="250"/>
      <c r="Q1146" s="250"/>
      <c r="R1146" s="250"/>
      <c r="S1146" s="250"/>
      <c r="T1146" s="250"/>
      <c r="U1146" s="250"/>
      <c r="V1146" s="250"/>
      <c r="W1146" s="250"/>
      <c r="X1146" s="250"/>
      <c r="Y1146" s="250"/>
      <c r="Z1146" s="250"/>
      <c r="AA1146" s="250"/>
      <c r="AB1146" s="250"/>
      <c r="AC1146" s="250"/>
      <c r="AD1146" s="250"/>
      <c r="AE1146" s="250"/>
      <c r="AF1146" s="250"/>
      <c r="AG1146" s="250"/>
      <c r="AH1146" s="250"/>
      <c r="AI1146" s="250"/>
      <c r="AJ1146" s="250"/>
      <c r="AK1146" s="250"/>
      <c r="AL1146" s="250"/>
      <c r="AM1146" s="250"/>
      <c r="AN1146" s="250"/>
      <c r="AO1146" s="250"/>
      <c r="AP1146" s="250"/>
      <c r="AQ1146" s="250"/>
      <c r="AR1146" s="250"/>
      <c r="AS1146" s="250"/>
      <c r="AT1146" s="250"/>
      <c r="AU1146" s="250"/>
      <c r="AV1146" s="124"/>
    </row>
    <row r="1147" spans="2:48" s="475" customFormat="1" x14ac:dyDescent="0.2">
      <c r="B1147" s="250"/>
      <c r="C1147" s="250"/>
      <c r="D1147" s="250"/>
      <c r="E1147" s="250"/>
      <c r="F1147" s="250"/>
      <c r="G1147" s="250"/>
      <c r="H1147" s="250"/>
      <c r="I1147" s="250"/>
      <c r="J1147" s="250"/>
      <c r="K1147" s="250"/>
      <c r="L1147" s="250"/>
      <c r="M1147" s="250"/>
      <c r="N1147" s="250"/>
      <c r="O1147" s="250"/>
      <c r="P1147" s="250"/>
      <c r="Q1147" s="250"/>
      <c r="R1147" s="250"/>
      <c r="S1147" s="250"/>
      <c r="T1147" s="250"/>
      <c r="U1147" s="250"/>
      <c r="V1147" s="250"/>
      <c r="W1147" s="250"/>
      <c r="X1147" s="250"/>
      <c r="Y1147" s="250"/>
      <c r="Z1147" s="250"/>
      <c r="AA1147" s="250"/>
      <c r="AB1147" s="250"/>
      <c r="AC1147" s="250"/>
      <c r="AD1147" s="250"/>
      <c r="AE1147" s="250"/>
      <c r="AF1147" s="250"/>
      <c r="AG1147" s="250"/>
      <c r="AH1147" s="250"/>
      <c r="AI1147" s="250"/>
      <c r="AJ1147" s="250"/>
      <c r="AK1147" s="250"/>
      <c r="AL1147" s="250"/>
      <c r="AM1147" s="250"/>
      <c r="AN1147" s="250"/>
      <c r="AO1147" s="250"/>
      <c r="AP1147" s="250"/>
      <c r="AQ1147" s="250"/>
      <c r="AR1147" s="250"/>
      <c r="AS1147" s="250"/>
      <c r="AT1147" s="250"/>
      <c r="AU1147" s="250"/>
      <c r="AV1147" s="124"/>
    </row>
    <row r="1148" spans="2:48" s="475" customFormat="1" x14ac:dyDescent="0.2">
      <c r="B1148" s="250"/>
      <c r="C1148" s="250"/>
      <c r="D1148" s="250"/>
      <c r="E1148" s="250"/>
      <c r="F1148" s="250"/>
      <c r="G1148" s="250"/>
      <c r="H1148" s="250"/>
      <c r="I1148" s="250"/>
      <c r="J1148" s="250"/>
      <c r="K1148" s="250"/>
      <c r="L1148" s="250"/>
      <c r="M1148" s="250"/>
      <c r="N1148" s="250"/>
      <c r="O1148" s="250"/>
      <c r="P1148" s="250"/>
      <c r="Q1148" s="250"/>
      <c r="R1148" s="250"/>
      <c r="S1148" s="250"/>
      <c r="T1148" s="250"/>
      <c r="U1148" s="250"/>
      <c r="V1148" s="250"/>
      <c r="W1148" s="250"/>
      <c r="X1148" s="250"/>
      <c r="Y1148" s="250"/>
      <c r="Z1148" s="250"/>
      <c r="AA1148" s="250"/>
      <c r="AB1148" s="250"/>
      <c r="AC1148" s="250"/>
      <c r="AD1148" s="250"/>
      <c r="AE1148" s="250"/>
      <c r="AF1148" s="250"/>
      <c r="AG1148" s="250"/>
      <c r="AH1148" s="250"/>
      <c r="AI1148" s="250"/>
      <c r="AJ1148" s="250"/>
      <c r="AK1148" s="250"/>
      <c r="AL1148" s="250"/>
      <c r="AM1148" s="250"/>
      <c r="AN1148" s="250"/>
      <c r="AO1148" s="250"/>
      <c r="AP1148" s="250"/>
      <c r="AQ1148" s="250"/>
      <c r="AR1148" s="250"/>
      <c r="AS1148" s="250"/>
      <c r="AT1148" s="250"/>
      <c r="AU1148" s="250"/>
      <c r="AV1148" s="124"/>
    </row>
    <row r="1149" spans="2:48" s="475" customFormat="1" x14ac:dyDescent="0.2">
      <c r="B1149" s="250"/>
      <c r="C1149" s="250"/>
      <c r="D1149" s="250"/>
      <c r="E1149" s="250"/>
      <c r="F1149" s="250"/>
      <c r="G1149" s="250"/>
      <c r="H1149" s="250"/>
      <c r="I1149" s="250"/>
      <c r="J1149" s="250"/>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0"/>
      <c r="AN1149" s="250"/>
      <c r="AO1149" s="250"/>
      <c r="AP1149" s="250"/>
      <c r="AQ1149" s="250"/>
      <c r="AR1149" s="250"/>
      <c r="AS1149" s="250"/>
      <c r="AT1149" s="250"/>
      <c r="AU1149" s="250"/>
      <c r="AV1149" s="124"/>
    </row>
    <row r="1150" spans="2:48" s="475" customFormat="1" x14ac:dyDescent="0.2">
      <c r="B1150" s="250"/>
      <c r="C1150" s="250"/>
      <c r="D1150" s="250"/>
      <c r="E1150" s="250"/>
      <c r="F1150" s="250"/>
      <c r="G1150" s="250"/>
      <c r="H1150" s="250"/>
      <c r="I1150" s="250"/>
      <c r="J1150" s="250"/>
      <c r="K1150" s="250"/>
      <c r="L1150" s="250"/>
      <c r="M1150" s="250"/>
      <c r="N1150" s="250"/>
      <c r="O1150" s="250"/>
      <c r="P1150" s="250"/>
      <c r="Q1150" s="250"/>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0"/>
      <c r="AN1150" s="250"/>
      <c r="AO1150" s="250"/>
      <c r="AP1150" s="250"/>
      <c r="AQ1150" s="250"/>
      <c r="AR1150" s="250"/>
      <c r="AS1150" s="250"/>
      <c r="AT1150" s="250"/>
      <c r="AU1150" s="250"/>
      <c r="AV1150" s="124"/>
    </row>
    <row r="1151" spans="2:48" s="475" customFormat="1" x14ac:dyDescent="0.2">
      <c r="B1151" s="250"/>
      <c r="C1151" s="250"/>
      <c r="D1151" s="250"/>
      <c r="E1151" s="250"/>
      <c r="F1151" s="250"/>
      <c r="G1151" s="250"/>
      <c r="H1151" s="250"/>
      <c r="I1151" s="250"/>
      <c r="J1151" s="250"/>
      <c r="K1151" s="250"/>
      <c r="L1151" s="250"/>
      <c r="M1151" s="250"/>
      <c r="N1151" s="250"/>
      <c r="O1151" s="250"/>
      <c r="P1151" s="250"/>
      <c r="Q1151" s="250"/>
      <c r="R1151" s="250"/>
      <c r="S1151" s="250"/>
      <c r="T1151" s="250"/>
      <c r="U1151" s="250"/>
      <c r="V1151" s="250"/>
      <c r="W1151" s="250"/>
      <c r="X1151" s="250"/>
      <c r="Y1151" s="250"/>
      <c r="Z1151" s="250"/>
      <c r="AA1151" s="250"/>
      <c r="AB1151" s="250"/>
      <c r="AC1151" s="250"/>
      <c r="AD1151" s="250"/>
      <c r="AE1151" s="250"/>
      <c r="AF1151" s="250"/>
      <c r="AG1151" s="250"/>
      <c r="AH1151" s="250"/>
      <c r="AI1151" s="250"/>
      <c r="AJ1151" s="250"/>
      <c r="AK1151" s="250"/>
      <c r="AL1151" s="250"/>
      <c r="AM1151" s="250"/>
      <c r="AN1151" s="250"/>
      <c r="AO1151" s="250"/>
      <c r="AP1151" s="250"/>
      <c r="AQ1151" s="250"/>
      <c r="AR1151" s="250"/>
      <c r="AS1151" s="250"/>
      <c r="AT1151" s="250"/>
      <c r="AU1151" s="250"/>
      <c r="AV1151" s="124"/>
    </row>
    <row r="1152" spans="2:48" s="475" customFormat="1" x14ac:dyDescent="0.2">
      <c r="B1152" s="250"/>
      <c r="C1152" s="250"/>
      <c r="D1152" s="250"/>
      <c r="E1152" s="250"/>
      <c r="F1152" s="250"/>
      <c r="G1152" s="250"/>
      <c r="H1152" s="250"/>
      <c r="I1152" s="250"/>
      <c r="J1152" s="250"/>
      <c r="K1152" s="250"/>
      <c r="L1152" s="250"/>
      <c r="M1152" s="250"/>
      <c r="N1152" s="250"/>
      <c r="O1152" s="250"/>
      <c r="P1152" s="250"/>
      <c r="Q1152" s="250"/>
      <c r="R1152" s="250"/>
      <c r="S1152" s="250"/>
      <c r="T1152" s="250"/>
      <c r="U1152" s="250"/>
      <c r="V1152" s="250"/>
      <c r="W1152" s="250"/>
      <c r="X1152" s="250"/>
      <c r="Y1152" s="250"/>
      <c r="Z1152" s="250"/>
      <c r="AA1152" s="250"/>
      <c r="AB1152" s="250"/>
      <c r="AC1152" s="250"/>
      <c r="AD1152" s="250"/>
      <c r="AE1152" s="250"/>
      <c r="AF1152" s="250"/>
      <c r="AG1152" s="250"/>
      <c r="AH1152" s="250"/>
      <c r="AI1152" s="250"/>
      <c r="AJ1152" s="250"/>
      <c r="AK1152" s="250"/>
      <c r="AL1152" s="250"/>
      <c r="AM1152" s="250"/>
      <c r="AN1152" s="250"/>
      <c r="AO1152" s="250"/>
      <c r="AP1152" s="250"/>
      <c r="AQ1152" s="250"/>
      <c r="AR1152" s="250"/>
      <c r="AS1152" s="250"/>
      <c r="AT1152" s="250"/>
      <c r="AU1152" s="250"/>
      <c r="AV1152" s="124"/>
    </row>
    <row r="1153" spans="2:48" s="475" customFormat="1" x14ac:dyDescent="0.2">
      <c r="B1153" s="250"/>
      <c r="C1153" s="250"/>
      <c r="D1153" s="250"/>
      <c r="E1153" s="250"/>
      <c r="F1153" s="250"/>
      <c r="G1153" s="250"/>
      <c r="H1153" s="250"/>
      <c r="I1153" s="250"/>
      <c r="J1153" s="250"/>
      <c r="K1153" s="250"/>
      <c r="L1153" s="250"/>
      <c r="M1153" s="250"/>
      <c r="N1153" s="250"/>
      <c r="O1153" s="250"/>
      <c r="P1153" s="250"/>
      <c r="Q1153" s="250"/>
      <c r="R1153" s="250"/>
      <c r="S1153" s="250"/>
      <c r="T1153" s="250"/>
      <c r="U1153" s="250"/>
      <c r="V1153" s="250"/>
      <c r="W1153" s="250"/>
      <c r="X1153" s="250"/>
      <c r="Y1153" s="250"/>
      <c r="Z1153" s="250"/>
      <c r="AA1153" s="250"/>
      <c r="AB1153" s="250"/>
      <c r="AC1153" s="250"/>
      <c r="AD1153" s="250"/>
      <c r="AE1153" s="250"/>
      <c r="AF1153" s="250"/>
      <c r="AG1153" s="250"/>
      <c r="AH1153" s="250"/>
      <c r="AI1153" s="250"/>
      <c r="AJ1153" s="250"/>
      <c r="AK1153" s="250"/>
      <c r="AL1153" s="250"/>
      <c r="AM1153" s="250"/>
      <c r="AN1153" s="250"/>
      <c r="AO1153" s="250"/>
      <c r="AP1153" s="250"/>
      <c r="AQ1153" s="250"/>
      <c r="AR1153" s="250"/>
      <c r="AS1153" s="250"/>
      <c r="AT1153" s="250"/>
      <c r="AU1153" s="250"/>
      <c r="AV1153" s="124"/>
    </row>
    <row r="1154" spans="2:48" s="475" customFormat="1" x14ac:dyDescent="0.2">
      <c r="B1154" s="250"/>
      <c r="C1154" s="250"/>
      <c r="D1154" s="250"/>
      <c r="E1154" s="250"/>
      <c r="F1154" s="250"/>
      <c r="G1154" s="250"/>
      <c r="H1154" s="250"/>
      <c r="I1154" s="250"/>
      <c r="J1154" s="250"/>
      <c r="K1154" s="250"/>
      <c r="L1154" s="250"/>
      <c r="M1154" s="250"/>
      <c r="N1154" s="250"/>
      <c r="O1154" s="250"/>
      <c r="P1154" s="250"/>
      <c r="Q1154" s="250"/>
      <c r="R1154" s="250"/>
      <c r="S1154" s="250"/>
      <c r="T1154" s="250"/>
      <c r="U1154" s="250"/>
      <c r="V1154" s="250"/>
      <c r="W1154" s="250"/>
      <c r="X1154" s="250"/>
      <c r="Y1154" s="250"/>
      <c r="Z1154" s="250"/>
      <c r="AA1154" s="250"/>
      <c r="AB1154" s="250"/>
      <c r="AC1154" s="250"/>
      <c r="AD1154" s="250"/>
      <c r="AE1154" s="250"/>
      <c r="AF1154" s="250"/>
      <c r="AG1154" s="250"/>
      <c r="AH1154" s="250"/>
      <c r="AI1154" s="250"/>
      <c r="AJ1154" s="250"/>
      <c r="AK1154" s="250"/>
      <c r="AL1154" s="250"/>
      <c r="AM1154" s="250"/>
      <c r="AN1154" s="250"/>
      <c r="AO1154" s="250"/>
      <c r="AP1154" s="250"/>
      <c r="AQ1154" s="250"/>
      <c r="AR1154" s="250"/>
      <c r="AS1154" s="250"/>
      <c r="AT1154" s="250"/>
      <c r="AU1154" s="250"/>
      <c r="AV1154" s="124"/>
    </row>
    <row r="1155" spans="2:48" s="475" customFormat="1" x14ac:dyDescent="0.2">
      <c r="B1155" s="250"/>
      <c r="C1155" s="250"/>
      <c r="D1155" s="250"/>
      <c r="E1155" s="250"/>
      <c r="F1155" s="250"/>
      <c r="G1155" s="250"/>
      <c r="H1155" s="250"/>
      <c r="I1155" s="250"/>
      <c r="J1155" s="250"/>
      <c r="K1155" s="250"/>
      <c r="L1155" s="250"/>
      <c r="M1155" s="250"/>
      <c r="N1155" s="250"/>
      <c r="O1155" s="250"/>
      <c r="P1155" s="250"/>
      <c r="Q1155" s="250"/>
      <c r="R1155" s="250"/>
      <c r="S1155" s="250"/>
      <c r="T1155" s="250"/>
      <c r="U1155" s="250"/>
      <c r="V1155" s="250"/>
      <c r="W1155" s="250"/>
      <c r="X1155" s="250"/>
      <c r="Y1155" s="250"/>
      <c r="Z1155" s="250"/>
      <c r="AA1155" s="250"/>
      <c r="AB1155" s="250"/>
      <c r="AC1155" s="250"/>
      <c r="AD1155" s="250"/>
      <c r="AE1155" s="250"/>
      <c r="AF1155" s="250"/>
      <c r="AG1155" s="250"/>
      <c r="AH1155" s="250"/>
      <c r="AI1155" s="250"/>
      <c r="AJ1155" s="250"/>
      <c r="AK1155" s="250"/>
      <c r="AL1155" s="250"/>
      <c r="AM1155" s="250"/>
      <c r="AN1155" s="250"/>
      <c r="AO1155" s="250"/>
      <c r="AP1155" s="250"/>
      <c r="AQ1155" s="250"/>
      <c r="AR1155" s="250"/>
      <c r="AS1155" s="250"/>
      <c r="AT1155" s="250"/>
      <c r="AU1155" s="250"/>
      <c r="AV1155" s="124"/>
    </row>
    <row r="1156" spans="2:48" s="475" customFormat="1" x14ac:dyDescent="0.2">
      <c r="B1156" s="250"/>
      <c r="C1156" s="250"/>
      <c r="D1156" s="250"/>
      <c r="E1156" s="250"/>
      <c r="F1156" s="250"/>
      <c r="G1156" s="250"/>
      <c r="H1156" s="250"/>
      <c r="I1156" s="250"/>
      <c r="J1156" s="250"/>
      <c r="K1156" s="250"/>
      <c r="L1156" s="250"/>
      <c r="M1156" s="250"/>
      <c r="N1156" s="250"/>
      <c r="O1156" s="250"/>
      <c r="P1156" s="250"/>
      <c r="Q1156" s="250"/>
      <c r="R1156" s="250"/>
      <c r="S1156" s="250"/>
      <c r="T1156" s="250"/>
      <c r="U1156" s="250"/>
      <c r="V1156" s="250"/>
      <c r="W1156" s="250"/>
      <c r="X1156" s="250"/>
      <c r="Y1156" s="250"/>
      <c r="Z1156" s="250"/>
      <c r="AA1156" s="250"/>
      <c r="AB1156" s="250"/>
      <c r="AC1156" s="250"/>
      <c r="AD1156" s="250"/>
      <c r="AE1156" s="250"/>
      <c r="AF1156" s="250"/>
      <c r="AG1156" s="250"/>
      <c r="AH1156" s="250"/>
      <c r="AI1156" s="250"/>
      <c r="AJ1156" s="250"/>
      <c r="AK1156" s="250"/>
      <c r="AL1156" s="250"/>
      <c r="AM1156" s="250"/>
      <c r="AN1156" s="250"/>
      <c r="AO1156" s="250"/>
      <c r="AP1156" s="250"/>
      <c r="AQ1156" s="250"/>
      <c r="AR1156" s="250"/>
      <c r="AS1156" s="250"/>
      <c r="AT1156" s="250"/>
      <c r="AU1156" s="250"/>
      <c r="AV1156" s="124"/>
    </row>
    <row r="1157" spans="2:48" s="475" customFormat="1" x14ac:dyDescent="0.2">
      <c r="B1157" s="250"/>
      <c r="C1157" s="250"/>
      <c r="D1157" s="250"/>
      <c r="E1157" s="250"/>
      <c r="F1157" s="250"/>
      <c r="G1157" s="250"/>
      <c r="H1157" s="250"/>
      <c r="I1157" s="250"/>
      <c r="J1157" s="250"/>
      <c r="K1157" s="250"/>
      <c r="L1157" s="250"/>
      <c r="M1157" s="250"/>
      <c r="N1157" s="250"/>
      <c r="O1157" s="250"/>
      <c r="P1157" s="250"/>
      <c r="Q1157" s="250"/>
      <c r="R1157" s="250"/>
      <c r="S1157" s="250"/>
      <c r="T1157" s="250"/>
      <c r="U1157" s="250"/>
      <c r="V1157" s="250"/>
      <c r="W1157" s="250"/>
      <c r="X1157" s="250"/>
      <c r="Y1157" s="250"/>
      <c r="Z1157" s="250"/>
      <c r="AA1157" s="250"/>
      <c r="AB1157" s="250"/>
      <c r="AC1157" s="250"/>
      <c r="AD1157" s="250"/>
      <c r="AE1157" s="250"/>
      <c r="AF1157" s="250"/>
      <c r="AG1157" s="250"/>
      <c r="AH1157" s="250"/>
      <c r="AI1157" s="250"/>
      <c r="AJ1157" s="250"/>
      <c r="AK1157" s="250"/>
      <c r="AL1157" s="250"/>
      <c r="AM1157" s="250"/>
      <c r="AN1157" s="250"/>
      <c r="AO1157" s="250"/>
      <c r="AP1157" s="250"/>
      <c r="AQ1157" s="250"/>
      <c r="AR1157" s="250"/>
      <c r="AS1157" s="250"/>
      <c r="AT1157" s="250"/>
      <c r="AU1157" s="250"/>
      <c r="AV1157" s="124"/>
    </row>
    <row r="1158" spans="2:48" s="475" customFormat="1" x14ac:dyDescent="0.2">
      <c r="B1158" s="250"/>
      <c r="C1158" s="250"/>
      <c r="D1158" s="250"/>
      <c r="E1158" s="250"/>
      <c r="F1158" s="250"/>
      <c r="G1158" s="250"/>
      <c r="H1158" s="250"/>
      <c r="I1158" s="250"/>
      <c r="J1158" s="250"/>
      <c r="K1158" s="250"/>
      <c r="L1158" s="250"/>
      <c r="M1158" s="250"/>
      <c r="N1158" s="250"/>
      <c r="O1158" s="250"/>
      <c r="P1158" s="250"/>
      <c r="Q1158" s="250"/>
      <c r="R1158" s="250"/>
      <c r="S1158" s="250"/>
      <c r="T1158" s="250"/>
      <c r="U1158" s="250"/>
      <c r="V1158" s="250"/>
      <c r="W1158" s="250"/>
      <c r="X1158" s="250"/>
      <c r="Y1158" s="250"/>
      <c r="Z1158" s="250"/>
      <c r="AA1158" s="250"/>
      <c r="AB1158" s="250"/>
      <c r="AC1158" s="250"/>
      <c r="AD1158" s="250"/>
      <c r="AE1158" s="250"/>
      <c r="AF1158" s="250"/>
      <c r="AG1158" s="250"/>
      <c r="AH1158" s="250"/>
      <c r="AI1158" s="250"/>
      <c r="AJ1158" s="250"/>
      <c r="AK1158" s="250"/>
      <c r="AL1158" s="250"/>
      <c r="AM1158" s="250"/>
      <c r="AN1158" s="250"/>
      <c r="AO1158" s="250"/>
      <c r="AP1158" s="250"/>
      <c r="AQ1158" s="250"/>
      <c r="AR1158" s="250"/>
      <c r="AS1158" s="250"/>
      <c r="AT1158" s="250"/>
      <c r="AU1158" s="250"/>
      <c r="AV1158" s="124"/>
    </row>
    <row r="1159" spans="2:48" s="475" customFormat="1" x14ac:dyDescent="0.2">
      <c r="B1159" s="250"/>
      <c r="C1159" s="250"/>
      <c r="D1159" s="250"/>
      <c r="E1159" s="250"/>
      <c r="F1159" s="250"/>
      <c r="G1159" s="250"/>
      <c r="H1159" s="250"/>
      <c r="I1159" s="250"/>
      <c r="J1159" s="250"/>
      <c r="K1159" s="250"/>
      <c r="L1159" s="250"/>
      <c r="M1159" s="250"/>
      <c r="N1159" s="250"/>
      <c r="O1159" s="250"/>
      <c r="P1159" s="250"/>
      <c r="Q1159" s="250"/>
      <c r="R1159" s="250"/>
      <c r="S1159" s="250"/>
      <c r="T1159" s="250"/>
      <c r="U1159" s="250"/>
      <c r="V1159" s="250"/>
      <c r="W1159" s="250"/>
      <c r="X1159" s="250"/>
      <c r="Y1159" s="250"/>
      <c r="Z1159" s="250"/>
      <c r="AA1159" s="250"/>
      <c r="AB1159" s="250"/>
      <c r="AC1159" s="250"/>
      <c r="AD1159" s="250"/>
      <c r="AE1159" s="250"/>
      <c r="AF1159" s="250"/>
      <c r="AG1159" s="250"/>
      <c r="AH1159" s="250"/>
      <c r="AI1159" s="250"/>
      <c r="AJ1159" s="250"/>
      <c r="AK1159" s="250"/>
      <c r="AL1159" s="250"/>
      <c r="AM1159" s="250"/>
      <c r="AN1159" s="250"/>
      <c r="AO1159" s="250"/>
      <c r="AP1159" s="250"/>
      <c r="AQ1159" s="250"/>
      <c r="AR1159" s="250"/>
      <c r="AS1159" s="250"/>
      <c r="AT1159" s="250"/>
      <c r="AU1159" s="250"/>
      <c r="AV1159" s="124"/>
    </row>
    <row r="1160" spans="2:48" s="475" customFormat="1" x14ac:dyDescent="0.2">
      <c r="B1160" s="250"/>
      <c r="C1160" s="250"/>
      <c r="D1160" s="250"/>
      <c r="E1160" s="250"/>
      <c r="F1160" s="250"/>
      <c r="G1160" s="250"/>
      <c r="H1160" s="250"/>
      <c r="I1160" s="250"/>
      <c r="J1160" s="250"/>
      <c r="K1160" s="250"/>
      <c r="L1160" s="250"/>
      <c r="M1160" s="250"/>
      <c r="N1160" s="250"/>
      <c r="O1160" s="250"/>
      <c r="P1160" s="250"/>
      <c r="Q1160" s="250"/>
      <c r="R1160" s="250"/>
      <c r="S1160" s="250"/>
      <c r="T1160" s="250"/>
      <c r="U1160" s="250"/>
      <c r="V1160" s="250"/>
      <c r="W1160" s="250"/>
      <c r="X1160" s="250"/>
      <c r="Y1160" s="250"/>
      <c r="Z1160" s="250"/>
      <c r="AA1160" s="250"/>
      <c r="AB1160" s="250"/>
      <c r="AC1160" s="250"/>
      <c r="AD1160" s="250"/>
      <c r="AE1160" s="250"/>
      <c r="AF1160" s="250"/>
      <c r="AG1160" s="250"/>
      <c r="AH1160" s="250"/>
      <c r="AI1160" s="250"/>
      <c r="AJ1160" s="250"/>
      <c r="AK1160" s="250"/>
      <c r="AL1160" s="250"/>
      <c r="AM1160" s="250"/>
      <c r="AN1160" s="250"/>
      <c r="AO1160" s="250"/>
      <c r="AP1160" s="250"/>
      <c r="AQ1160" s="250"/>
      <c r="AR1160" s="250"/>
      <c r="AS1160" s="250"/>
      <c r="AT1160" s="250"/>
      <c r="AU1160" s="250"/>
      <c r="AV1160" s="124"/>
    </row>
    <row r="1161" spans="2:48" s="475" customFormat="1" x14ac:dyDescent="0.2">
      <c r="B1161" s="250"/>
      <c r="C1161" s="250"/>
      <c r="D1161" s="250"/>
      <c r="E1161" s="250"/>
      <c r="F1161" s="250"/>
      <c r="G1161" s="250"/>
      <c r="H1161" s="250"/>
      <c r="I1161" s="250"/>
      <c r="J1161" s="250"/>
      <c r="K1161" s="250"/>
      <c r="L1161" s="250"/>
      <c r="M1161" s="250"/>
      <c r="N1161" s="250"/>
      <c r="O1161" s="250"/>
      <c r="P1161" s="250"/>
      <c r="Q1161" s="250"/>
      <c r="R1161" s="250"/>
      <c r="S1161" s="250"/>
      <c r="T1161" s="250"/>
      <c r="U1161" s="250"/>
      <c r="V1161" s="250"/>
      <c r="W1161" s="250"/>
      <c r="X1161" s="250"/>
      <c r="Y1161" s="250"/>
      <c r="Z1161" s="250"/>
      <c r="AA1161" s="250"/>
      <c r="AB1161" s="250"/>
      <c r="AC1161" s="250"/>
      <c r="AD1161" s="250"/>
      <c r="AE1161" s="250"/>
      <c r="AF1161" s="250"/>
      <c r="AG1161" s="250"/>
      <c r="AH1161" s="250"/>
      <c r="AI1161" s="250"/>
      <c r="AJ1161" s="250"/>
      <c r="AK1161" s="250"/>
      <c r="AL1161" s="250"/>
      <c r="AM1161" s="250"/>
      <c r="AN1161" s="250"/>
      <c r="AO1161" s="250"/>
      <c r="AP1161" s="250"/>
      <c r="AQ1161" s="250"/>
      <c r="AR1161" s="250"/>
      <c r="AS1161" s="250"/>
      <c r="AT1161" s="250"/>
      <c r="AU1161" s="250"/>
      <c r="AV1161" s="124"/>
    </row>
    <row r="1162" spans="2:48" s="475" customFormat="1" x14ac:dyDescent="0.2">
      <c r="B1162" s="250"/>
      <c r="C1162" s="250"/>
      <c r="D1162" s="250"/>
      <c r="E1162" s="250"/>
      <c r="F1162" s="250"/>
      <c r="G1162" s="250"/>
      <c r="H1162" s="250"/>
      <c r="I1162" s="250"/>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c r="AN1162" s="250"/>
      <c r="AO1162" s="250"/>
      <c r="AP1162" s="250"/>
      <c r="AQ1162" s="250"/>
      <c r="AR1162" s="250"/>
      <c r="AS1162" s="250"/>
      <c r="AT1162" s="250"/>
      <c r="AU1162" s="250"/>
      <c r="AV1162" s="124"/>
    </row>
    <row r="1163" spans="2:48" s="475" customFormat="1" x14ac:dyDescent="0.2">
      <c r="B1163" s="250"/>
      <c r="C1163" s="250"/>
      <c r="D1163" s="250"/>
      <c r="E1163" s="250"/>
      <c r="F1163" s="250"/>
      <c r="G1163" s="250"/>
      <c r="H1163" s="250"/>
      <c r="I1163" s="250"/>
      <c r="J1163" s="250"/>
      <c r="K1163" s="250"/>
      <c r="L1163" s="250"/>
      <c r="M1163" s="250"/>
      <c r="N1163" s="250"/>
      <c r="O1163" s="250"/>
      <c r="P1163" s="250"/>
      <c r="Q1163" s="250"/>
      <c r="R1163" s="250"/>
      <c r="S1163" s="250"/>
      <c r="T1163" s="250"/>
      <c r="U1163" s="250"/>
      <c r="V1163" s="250"/>
      <c r="W1163" s="250"/>
      <c r="X1163" s="250"/>
      <c r="Y1163" s="250"/>
      <c r="Z1163" s="250"/>
      <c r="AA1163" s="250"/>
      <c r="AB1163" s="250"/>
      <c r="AC1163" s="250"/>
      <c r="AD1163" s="250"/>
      <c r="AE1163" s="250"/>
      <c r="AF1163" s="250"/>
      <c r="AG1163" s="250"/>
      <c r="AH1163" s="250"/>
      <c r="AI1163" s="250"/>
      <c r="AJ1163" s="250"/>
      <c r="AK1163" s="250"/>
      <c r="AL1163" s="250"/>
      <c r="AM1163" s="250"/>
      <c r="AN1163" s="250"/>
      <c r="AO1163" s="250"/>
      <c r="AP1163" s="250"/>
      <c r="AQ1163" s="250"/>
      <c r="AR1163" s="250"/>
      <c r="AS1163" s="250"/>
      <c r="AT1163" s="250"/>
      <c r="AU1163" s="250"/>
      <c r="AV1163" s="124"/>
    </row>
    <row r="1164" spans="2:48" s="475" customFormat="1" x14ac:dyDescent="0.2">
      <c r="B1164" s="250"/>
      <c r="C1164" s="250"/>
      <c r="D1164" s="250"/>
      <c r="E1164" s="250"/>
      <c r="F1164" s="250"/>
      <c r="G1164" s="250"/>
      <c r="H1164" s="250"/>
      <c r="I1164" s="250"/>
      <c r="J1164" s="250"/>
      <c r="K1164" s="250"/>
      <c r="L1164" s="250"/>
      <c r="M1164" s="250"/>
      <c r="N1164" s="250"/>
      <c r="O1164" s="250"/>
      <c r="P1164" s="250"/>
      <c r="Q1164" s="250"/>
      <c r="R1164" s="250"/>
      <c r="S1164" s="250"/>
      <c r="T1164" s="250"/>
      <c r="U1164" s="250"/>
      <c r="V1164" s="250"/>
      <c r="W1164" s="250"/>
      <c r="X1164" s="250"/>
      <c r="Y1164" s="250"/>
      <c r="Z1164" s="250"/>
      <c r="AA1164" s="250"/>
      <c r="AB1164" s="250"/>
      <c r="AC1164" s="250"/>
      <c r="AD1164" s="250"/>
      <c r="AE1164" s="250"/>
      <c r="AF1164" s="250"/>
      <c r="AG1164" s="250"/>
      <c r="AH1164" s="250"/>
      <c r="AI1164" s="250"/>
      <c r="AJ1164" s="250"/>
      <c r="AK1164" s="250"/>
      <c r="AL1164" s="250"/>
      <c r="AM1164" s="250"/>
      <c r="AN1164" s="250"/>
      <c r="AO1164" s="250"/>
      <c r="AP1164" s="250"/>
      <c r="AQ1164" s="250"/>
      <c r="AR1164" s="250"/>
      <c r="AS1164" s="250"/>
      <c r="AT1164" s="250"/>
      <c r="AU1164" s="250"/>
      <c r="AV1164" s="124"/>
    </row>
    <row r="1165" spans="2:48" s="475" customFormat="1" x14ac:dyDescent="0.2">
      <c r="B1165" s="250"/>
      <c r="C1165" s="250"/>
      <c r="D1165" s="250"/>
      <c r="E1165" s="250"/>
      <c r="F1165" s="250"/>
      <c r="G1165" s="250"/>
      <c r="H1165" s="250"/>
      <c r="I1165" s="250"/>
      <c r="J1165" s="250"/>
      <c r="K1165" s="250"/>
      <c r="L1165" s="250"/>
      <c r="M1165" s="250"/>
      <c r="N1165" s="250"/>
      <c r="O1165" s="250"/>
      <c r="P1165" s="250"/>
      <c r="Q1165" s="250"/>
      <c r="R1165" s="250"/>
      <c r="S1165" s="250"/>
      <c r="T1165" s="250"/>
      <c r="U1165" s="250"/>
      <c r="V1165" s="250"/>
      <c r="W1165" s="250"/>
      <c r="X1165" s="250"/>
      <c r="Y1165" s="250"/>
      <c r="Z1165" s="250"/>
      <c r="AA1165" s="250"/>
      <c r="AB1165" s="250"/>
      <c r="AC1165" s="250"/>
      <c r="AD1165" s="250"/>
      <c r="AE1165" s="250"/>
      <c r="AF1165" s="250"/>
      <c r="AG1165" s="250"/>
      <c r="AH1165" s="250"/>
      <c r="AI1165" s="250"/>
      <c r="AJ1165" s="250"/>
      <c r="AK1165" s="250"/>
      <c r="AL1165" s="250"/>
      <c r="AM1165" s="250"/>
      <c r="AN1165" s="250"/>
      <c r="AO1165" s="250"/>
      <c r="AP1165" s="250"/>
      <c r="AQ1165" s="250"/>
      <c r="AR1165" s="250"/>
      <c r="AS1165" s="250"/>
      <c r="AT1165" s="250"/>
      <c r="AU1165" s="250"/>
      <c r="AV1165" s="124"/>
    </row>
    <row r="1166" spans="2:48" s="475" customFormat="1" x14ac:dyDescent="0.2">
      <c r="B1166" s="250"/>
      <c r="C1166" s="250"/>
      <c r="D1166" s="250"/>
      <c r="E1166" s="250"/>
      <c r="F1166" s="250"/>
      <c r="G1166" s="250"/>
      <c r="H1166" s="250"/>
      <c r="I1166" s="250"/>
      <c r="J1166" s="250"/>
      <c r="K1166" s="250"/>
      <c r="L1166" s="250"/>
      <c r="M1166" s="250"/>
      <c r="N1166" s="250"/>
      <c r="O1166" s="250"/>
      <c r="P1166" s="250"/>
      <c r="Q1166" s="250"/>
      <c r="R1166" s="250"/>
      <c r="S1166" s="250"/>
      <c r="T1166" s="250"/>
      <c r="U1166" s="250"/>
      <c r="V1166" s="250"/>
      <c r="W1166" s="250"/>
      <c r="X1166" s="250"/>
      <c r="Y1166" s="250"/>
      <c r="Z1166" s="250"/>
      <c r="AA1166" s="250"/>
      <c r="AB1166" s="250"/>
      <c r="AC1166" s="250"/>
      <c r="AD1166" s="250"/>
      <c r="AE1166" s="250"/>
      <c r="AF1166" s="250"/>
      <c r="AG1166" s="250"/>
      <c r="AH1166" s="250"/>
      <c r="AI1166" s="250"/>
      <c r="AJ1166" s="250"/>
      <c r="AK1166" s="250"/>
      <c r="AL1166" s="250"/>
      <c r="AM1166" s="250"/>
      <c r="AN1166" s="250"/>
      <c r="AO1166" s="250"/>
      <c r="AP1166" s="250"/>
      <c r="AQ1166" s="250"/>
      <c r="AR1166" s="250"/>
      <c r="AS1166" s="250"/>
      <c r="AT1166" s="250"/>
      <c r="AU1166" s="250"/>
      <c r="AV1166" s="124"/>
    </row>
    <row r="1167" spans="2:48" s="475" customFormat="1" x14ac:dyDescent="0.2">
      <c r="B1167" s="250"/>
      <c r="C1167" s="250"/>
      <c r="D1167" s="250"/>
      <c r="E1167" s="250"/>
      <c r="F1167" s="250"/>
      <c r="G1167" s="250"/>
      <c r="H1167" s="250"/>
      <c r="I1167" s="250"/>
      <c r="J1167" s="250"/>
      <c r="K1167" s="250"/>
      <c r="L1167" s="250"/>
      <c r="M1167" s="250"/>
      <c r="N1167" s="250"/>
      <c r="O1167" s="250"/>
      <c r="P1167" s="250"/>
      <c r="Q1167" s="250"/>
      <c r="R1167" s="250"/>
      <c r="S1167" s="250"/>
      <c r="T1167" s="250"/>
      <c r="U1167" s="250"/>
      <c r="V1167" s="250"/>
      <c r="W1167" s="250"/>
      <c r="X1167" s="250"/>
      <c r="Y1167" s="250"/>
      <c r="Z1167" s="250"/>
      <c r="AA1167" s="250"/>
      <c r="AB1167" s="250"/>
      <c r="AC1167" s="250"/>
      <c r="AD1167" s="250"/>
      <c r="AE1167" s="250"/>
      <c r="AF1167" s="250"/>
      <c r="AG1167" s="250"/>
      <c r="AH1167" s="250"/>
      <c r="AI1167" s="250"/>
      <c r="AJ1167" s="250"/>
      <c r="AK1167" s="250"/>
      <c r="AL1167" s="250"/>
      <c r="AM1167" s="250"/>
      <c r="AN1167" s="250"/>
      <c r="AO1167" s="250"/>
      <c r="AP1167" s="250"/>
      <c r="AQ1167" s="250"/>
      <c r="AR1167" s="250"/>
      <c r="AS1167" s="250"/>
      <c r="AT1167" s="250"/>
      <c r="AU1167" s="250"/>
      <c r="AV1167" s="124"/>
    </row>
    <row r="1168" spans="2:48" s="475" customFormat="1" x14ac:dyDescent="0.2">
      <c r="B1168" s="250"/>
      <c r="C1168" s="250"/>
      <c r="D1168" s="250"/>
      <c r="E1168" s="250"/>
      <c r="F1168" s="250"/>
      <c r="G1168" s="250"/>
      <c r="H1168" s="250"/>
      <c r="I1168" s="250"/>
      <c r="J1168" s="250"/>
      <c r="K1168" s="250"/>
      <c r="L1168" s="250"/>
      <c r="M1168" s="250"/>
      <c r="N1168" s="250"/>
      <c r="O1168" s="250"/>
      <c r="P1168" s="250"/>
      <c r="Q1168" s="250"/>
      <c r="R1168" s="250"/>
      <c r="S1168" s="250"/>
      <c r="T1168" s="250"/>
      <c r="U1168" s="250"/>
      <c r="V1168" s="250"/>
      <c r="W1168" s="250"/>
      <c r="X1168" s="250"/>
      <c r="Y1168" s="250"/>
      <c r="Z1168" s="250"/>
      <c r="AA1168" s="250"/>
      <c r="AB1168" s="250"/>
      <c r="AC1168" s="250"/>
      <c r="AD1168" s="250"/>
      <c r="AE1168" s="250"/>
      <c r="AF1168" s="250"/>
      <c r="AG1168" s="250"/>
      <c r="AH1168" s="250"/>
      <c r="AI1168" s="250"/>
      <c r="AJ1168" s="250"/>
      <c r="AK1168" s="250"/>
      <c r="AL1168" s="250"/>
      <c r="AM1168" s="250"/>
      <c r="AN1168" s="250"/>
      <c r="AO1168" s="250"/>
      <c r="AP1168" s="250"/>
      <c r="AQ1168" s="250"/>
      <c r="AR1168" s="250"/>
      <c r="AS1168" s="250"/>
      <c r="AT1168" s="250"/>
      <c r="AU1168" s="250"/>
      <c r="AV1168" s="124"/>
    </row>
    <row r="1169" spans="2:48" s="475" customFormat="1" x14ac:dyDescent="0.2">
      <c r="B1169" s="250"/>
      <c r="C1169" s="250"/>
      <c r="D1169" s="250"/>
      <c r="E1169" s="250"/>
      <c r="F1169" s="250"/>
      <c r="G1169" s="250"/>
      <c r="H1169" s="250"/>
      <c r="I1169" s="250"/>
      <c r="J1169" s="250"/>
      <c r="K1169" s="250"/>
      <c r="L1169" s="250"/>
      <c r="M1169" s="250"/>
      <c r="N1169" s="250"/>
      <c r="O1169" s="250"/>
      <c r="P1169" s="250"/>
      <c r="Q1169" s="250"/>
      <c r="R1169" s="250"/>
      <c r="S1169" s="250"/>
      <c r="T1169" s="250"/>
      <c r="U1169" s="250"/>
      <c r="V1169" s="250"/>
      <c r="W1169" s="250"/>
      <c r="X1169" s="250"/>
      <c r="Y1169" s="250"/>
      <c r="Z1169" s="250"/>
      <c r="AA1169" s="250"/>
      <c r="AB1169" s="250"/>
      <c r="AC1169" s="250"/>
      <c r="AD1169" s="250"/>
      <c r="AE1169" s="250"/>
      <c r="AF1169" s="250"/>
      <c r="AG1169" s="250"/>
      <c r="AH1169" s="250"/>
      <c r="AI1169" s="250"/>
      <c r="AJ1169" s="250"/>
      <c r="AK1169" s="250"/>
      <c r="AL1169" s="250"/>
      <c r="AM1169" s="250"/>
      <c r="AN1169" s="250"/>
      <c r="AO1169" s="250"/>
      <c r="AP1169" s="250"/>
      <c r="AQ1169" s="250"/>
      <c r="AR1169" s="250"/>
      <c r="AS1169" s="250"/>
      <c r="AT1169" s="250"/>
      <c r="AU1169" s="250"/>
      <c r="AV1169" s="124"/>
    </row>
    <row r="1170" spans="2:48" s="475" customFormat="1" x14ac:dyDescent="0.2">
      <c r="B1170" s="250"/>
      <c r="C1170" s="250"/>
      <c r="D1170" s="250"/>
      <c r="E1170" s="250"/>
      <c r="F1170" s="250"/>
      <c r="G1170" s="250"/>
      <c r="H1170" s="250"/>
      <c r="I1170" s="250"/>
      <c r="J1170" s="250"/>
      <c r="K1170" s="250"/>
      <c r="L1170" s="250"/>
      <c r="M1170" s="250"/>
      <c r="N1170" s="250"/>
      <c r="O1170" s="250"/>
      <c r="P1170" s="250"/>
      <c r="Q1170" s="250"/>
      <c r="R1170" s="250"/>
      <c r="S1170" s="250"/>
      <c r="T1170" s="250"/>
      <c r="U1170" s="250"/>
      <c r="V1170" s="250"/>
      <c r="W1170" s="250"/>
      <c r="X1170" s="250"/>
      <c r="Y1170" s="250"/>
      <c r="Z1170" s="250"/>
      <c r="AA1170" s="250"/>
      <c r="AB1170" s="250"/>
      <c r="AC1170" s="250"/>
      <c r="AD1170" s="250"/>
      <c r="AE1170" s="250"/>
      <c r="AF1170" s="250"/>
      <c r="AG1170" s="250"/>
      <c r="AH1170" s="250"/>
      <c r="AI1170" s="250"/>
      <c r="AJ1170" s="250"/>
      <c r="AK1170" s="250"/>
      <c r="AL1170" s="250"/>
      <c r="AM1170" s="250"/>
      <c r="AN1170" s="250"/>
      <c r="AO1170" s="250"/>
      <c r="AP1170" s="250"/>
      <c r="AQ1170" s="250"/>
      <c r="AR1170" s="250"/>
      <c r="AS1170" s="250"/>
      <c r="AT1170" s="250"/>
      <c r="AU1170" s="250"/>
      <c r="AV1170" s="124"/>
    </row>
    <row r="1171" spans="2:48" s="475" customFormat="1" x14ac:dyDescent="0.2">
      <c r="B1171" s="250"/>
      <c r="C1171" s="250"/>
      <c r="D1171" s="250"/>
      <c r="E1171" s="250"/>
      <c r="F1171" s="250"/>
      <c r="G1171" s="250"/>
      <c r="H1171" s="250"/>
      <c r="I1171" s="250"/>
      <c r="J1171" s="250"/>
      <c r="K1171" s="250"/>
      <c r="L1171" s="250"/>
      <c r="M1171" s="250"/>
      <c r="N1171" s="250"/>
      <c r="O1171" s="250"/>
      <c r="P1171" s="250"/>
      <c r="Q1171" s="250"/>
      <c r="R1171" s="250"/>
      <c r="S1171" s="250"/>
      <c r="T1171" s="250"/>
      <c r="U1171" s="250"/>
      <c r="V1171" s="250"/>
      <c r="W1171" s="250"/>
      <c r="X1171" s="250"/>
      <c r="Y1171" s="250"/>
      <c r="Z1171" s="250"/>
      <c r="AA1171" s="250"/>
      <c r="AB1171" s="250"/>
      <c r="AC1171" s="250"/>
      <c r="AD1171" s="250"/>
      <c r="AE1171" s="250"/>
      <c r="AF1171" s="250"/>
      <c r="AG1171" s="250"/>
      <c r="AH1171" s="250"/>
      <c r="AI1171" s="250"/>
      <c r="AJ1171" s="250"/>
      <c r="AK1171" s="250"/>
      <c r="AL1171" s="250"/>
      <c r="AM1171" s="250"/>
      <c r="AN1171" s="250"/>
      <c r="AO1171" s="250"/>
      <c r="AP1171" s="250"/>
      <c r="AQ1171" s="250"/>
      <c r="AR1171" s="250"/>
      <c r="AS1171" s="250"/>
      <c r="AT1171" s="250"/>
      <c r="AU1171" s="250"/>
      <c r="AV1171" s="124"/>
    </row>
    <row r="1172" spans="2:48" s="475" customFormat="1" x14ac:dyDescent="0.2">
      <c r="B1172" s="250"/>
      <c r="C1172" s="250"/>
      <c r="D1172" s="250"/>
      <c r="E1172" s="250"/>
      <c r="F1172" s="250"/>
      <c r="G1172" s="250"/>
      <c r="H1172" s="250"/>
      <c r="I1172" s="250"/>
      <c r="J1172" s="250"/>
      <c r="K1172" s="250"/>
      <c r="L1172" s="250"/>
      <c r="M1172" s="250"/>
      <c r="N1172" s="250"/>
      <c r="O1172" s="250"/>
      <c r="P1172" s="250"/>
      <c r="Q1172" s="250"/>
      <c r="R1172" s="250"/>
      <c r="S1172" s="250"/>
      <c r="T1172" s="250"/>
      <c r="U1172" s="250"/>
      <c r="V1172" s="250"/>
      <c r="W1172" s="250"/>
      <c r="X1172" s="250"/>
      <c r="Y1172" s="250"/>
      <c r="Z1172" s="250"/>
      <c r="AA1172" s="250"/>
      <c r="AB1172" s="250"/>
      <c r="AC1172" s="250"/>
      <c r="AD1172" s="250"/>
      <c r="AE1172" s="250"/>
      <c r="AF1172" s="250"/>
      <c r="AG1172" s="250"/>
      <c r="AH1172" s="250"/>
      <c r="AI1172" s="250"/>
      <c r="AJ1172" s="250"/>
      <c r="AK1172" s="250"/>
      <c r="AL1172" s="250"/>
      <c r="AM1172" s="250"/>
      <c r="AN1172" s="250"/>
      <c r="AO1172" s="250"/>
      <c r="AP1172" s="250"/>
      <c r="AQ1172" s="250"/>
      <c r="AR1172" s="250"/>
      <c r="AS1172" s="250"/>
      <c r="AT1172" s="250"/>
      <c r="AU1172" s="250"/>
      <c r="AV1172" s="124"/>
    </row>
    <row r="1173" spans="2:48" s="475" customFormat="1" x14ac:dyDescent="0.2">
      <c r="B1173" s="250"/>
      <c r="C1173" s="250"/>
      <c r="D1173" s="250"/>
      <c r="E1173" s="250"/>
      <c r="F1173" s="250"/>
      <c r="G1173" s="250"/>
      <c r="H1173" s="250"/>
      <c r="I1173" s="250"/>
      <c r="J1173" s="250"/>
      <c r="K1173" s="250"/>
      <c r="L1173" s="250"/>
      <c r="M1173" s="250"/>
      <c r="N1173" s="250"/>
      <c r="O1173" s="250"/>
      <c r="P1173" s="250"/>
      <c r="Q1173" s="250"/>
      <c r="R1173" s="250"/>
      <c r="S1173" s="250"/>
      <c r="T1173" s="250"/>
      <c r="U1173" s="250"/>
      <c r="V1173" s="250"/>
      <c r="W1173" s="250"/>
      <c r="X1173" s="250"/>
      <c r="Y1173" s="250"/>
      <c r="Z1173" s="250"/>
      <c r="AA1173" s="250"/>
      <c r="AB1173" s="250"/>
      <c r="AC1173" s="250"/>
      <c r="AD1173" s="250"/>
      <c r="AE1173" s="250"/>
      <c r="AF1173" s="250"/>
      <c r="AG1173" s="250"/>
      <c r="AH1173" s="250"/>
      <c r="AI1173" s="250"/>
      <c r="AJ1173" s="250"/>
      <c r="AK1173" s="250"/>
      <c r="AL1173" s="250"/>
      <c r="AM1173" s="250"/>
      <c r="AN1173" s="250"/>
      <c r="AO1173" s="250"/>
      <c r="AP1173" s="250"/>
      <c r="AQ1173" s="250"/>
      <c r="AR1173" s="250"/>
      <c r="AS1173" s="250"/>
      <c r="AT1173" s="250"/>
      <c r="AU1173" s="250"/>
      <c r="AV1173" s="124"/>
    </row>
    <row r="1174" spans="2:48" s="475" customFormat="1" x14ac:dyDescent="0.2">
      <c r="B1174" s="250"/>
      <c r="C1174" s="250"/>
      <c r="D1174" s="250"/>
      <c r="E1174" s="250"/>
      <c r="F1174" s="250"/>
      <c r="G1174" s="250"/>
      <c r="H1174" s="250"/>
      <c r="I1174" s="250"/>
      <c r="J1174" s="250"/>
      <c r="K1174" s="250"/>
      <c r="L1174" s="250"/>
      <c r="M1174" s="250"/>
      <c r="N1174" s="250"/>
      <c r="O1174" s="250"/>
      <c r="P1174" s="250"/>
      <c r="Q1174" s="250"/>
      <c r="R1174" s="250"/>
      <c r="S1174" s="250"/>
      <c r="T1174" s="250"/>
      <c r="U1174" s="250"/>
      <c r="V1174" s="250"/>
      <c r="W1174" s="250"/>
      <c r="X1174" s="250"/>
      <c r="Y1174" s="250"/>
      <c r="Z1174" s="250"/>
      <c r="AA1174" s="250"/>
      <c r="AB1174" s="250"/>
      <c r="AC1174" s="250"/>
      <c r="AD1174" s="250"/>
      <c r="AE1174" s="250"/>
      <c r="AF1174" s="250"/>
      <c r="AG1174" s="250"/>
      <c r="AH1174" s="250"/>
      <c r="AI1174" s="250"/>
      <c r="AJ1174" s="250"/>
      <c r="AK1174" s="250"/>
      <c r="AL1174" s="250"/>
      <c r="AM1174" s="250"/>
      <c r="AN1174" s="250"/>
      <c r="AO1174" s="250"/>
      <c r="AP1174" s="250"/>
      <c r="AQ1174" s="250"/>
      <c r="AR1174" s="250"/>
      <c r="AS1174" s="250"/>
      <c r="AT1174" s="250"/>
      <c r="AU1174" s="250"/>
      <c r="AV1174" s="124"/>
    </row>
    <row r="1175" spans="2:48" s="475" customFormat="1" x14ac:dyDescent="0.2">
      <c r="B1175" s="250"/>
      <c r="C1175" s="250"/>
      <c r="D1175" s="250"/>
      <c r="E1175" s="250"/>
      <c r="F1175" s="250"/>
      <c r="G1175" s="250"/>
      <c r="H1175" s="250"/>
      <c r="I1175" s="250"/>
      <c r="J1175" s="250"/>
      <c r="K1175" s="250"/>
      <c r="L1175" s="250"/>
      <c r="M1175" s="250"/>
      <c r="N1175" s="250"/>
      <c r="O1175" s="250"/>
      <c r="P1175" s="250"/>
      <c r="Q1175" s="250"/>
      <c r="R1175" s="250"/>
      <c r="S1175" s="250"/>
      <c r="T1175" s="250"/>
      <c r="U1175" s="250"/>
      <c r="V1175" s="250"/>
      <c r="W1175" s="250"/>
      <c r="X1175" s="250"/>
      <c r="Y1175" s="250"/>
      <c r="Z1175" s="250"/>
      <c r="AA1175" s="250"/>
      <c r="AB1175" s="250"/>
      <c r="AC1175" s="250"/>
      <c r="AD1175" s="250"/>
      <c r="AE1175" s="250"/>
      <c r="AF1175" s="250"/>
      <c r="AG1175" s="250"/>
      <c r="AH1175" s="250"/>
      <c r="AI1175" s="250"/>
      <c r="AJ1175" s="250"/>
      <c r="AK1175" s="250"/>
      <c r="AL1175" s="250"/>
      <c r="AM1175" s="250"/>
      <c r="AN1175" s="250"/>
      <c r="AO1175" s="250"/>
      <c r="AP1175" s="250"/>
      <c r="AQ1175" s="250"/>
      <c r="AR1175" s="250"/>
      <c r="AS1175" s="250"/>
      <c r="AT1175" s="250"/>
      <c r="AU1175" s="250"/>
      <c r="AV1175" s="124"/>
    </row>
    <row r="1176" spans="2:48" s="475" customFormat="1" x14ac:dyDescent="0.2">
      <c r="B1176" s="250"/>
      <c r="C1176" s="250"/>
      <c r="D1176" s="250"/>
      <c r="E1176" s="250"/>
      <c r="F1176" s="250"/>
      <c r="G1176" s="250"/>
      <c r="H1176" s="250"/>
      <c r="I1176" s="250"/>
      <c r="J1176" s="250"/>
      <c r="K1176" s="250"/>
      <c r="L1176" s="250"/>
      <c r="M1176" s="250"/>
      <c r="N1176" s="250"/>
      <c r="O1176" s="250"/>
      <c r="P1176" s="250"/>
      <c r="Q1176" s="250"/>
      <c r="R1176" s="250"/>
      <c r="S1176" s="250"/>
      <c r="T1176" s="250"/>
      <c r="U1176" s="250"/>
      <c r="V1176" s="250"/>
      <c r="W1176" s="250"/>
      <c r="X1176" s="250"/>
      <c r="Y1176" s="250"/>
      <c r="Z1176" s="250"/>
      <c r="AA1176" s="250"/>
      <c r="AB1176" s="250"/>
      <c r="AC1176" s="250"/>
      <c r="AD1176" s="250"/>
      <c r="AE1176" s="250"/>
      <c r="AF1176" s="250"/>
      <c r="AG1176" s="250"/>
      <c r="AH1176" s="250"/>
      <c r="AI1176" s="250"/>
      <c r="AJ1176" s="250"/>
      <c r="AK1176" s="250"/>
      <c r="AL1176" s="250"/>
      <c r="AM1176" s="250"/>
      <c r="AN1176" s="250"/>
      <c r="AO1176" s="250"/>
      <c r="AP1176" s="250"/>
      <c r="AQ1176" s="250"/>
      <c r="AR1176" s="250"/>
      <c r="AS1176" s="250"/>
      <c r="AT1176" s="250"/>
      <c r="AU1176" s="250"/>
      <c r="AV1176" s="124"/>
    </row>
    <row r="1177" spans="2:48" s="475" customFormat="1" x14ac:dyDescent="0.2">
      <c r="B1177" s="250"/>
      <c r="C1177" s="250"/>
      <c r="D1177" s="250"/>
      <c r="E1177" s="250"/>
      <c r="F1177" s="250"/>
      <c r="G1177" s="250"/>
      <c r="H1177" s="250"/>
      <c r="I1177" s="250"/>
      <c r="J1177" s="250"/>
      <c r="K1177" s="250"/>
      <c r="L1177" s="250"/>
      <c r="M1177" s="250"/>
      <c r="N1177" s="250"/>
      <c r="O1177" s="250"/>
      <c r="P1177" s="250"/>
      <c r="Q1177" s="250"/>
      <c r="R1177" s="250"/>
      <c r="S1177" s="250"/>
      <c r="T1177" s="250"/>
      <c r="U1177" s="250"/>
      <c r="V1177" s="250"/>
      <c r="W1177" s="250"/>
      <c r="X1177" s="250"/>
      <c r="Y1177" s="250"/>
      <c r="Z1177" s="250"/>
      <c r="AA1177" s="250"/>
      <c r="AB1177" s="250"/>
      <c r="AC1177" s="250"/>
      <c r="AD1177" s="250"/>
      <c r="AE1177" s="250"/>
      <c r="AF1177" s="250"/>
      <c r="AG1177" s="250"/>
      <c r="AH1177" s="250"/>
      <c r="AI1177" s="250"/>
      <c r="AJ1177" s="250"/>
      <c r="AK1177" s="250"/>
      <c r="AL1177" s="250"/>
      <c r="AM1177" s="250"/>
      <c r="AN1177" s="250"/>
      <c r="AO1177" s="250"/>
      <c r="AP1177" s="250"/>
      <c r="AQ1177" s="250"/>
      <c r="AR1177" s="250"/>
      <c r="AS1177" s="250"/>
      <c r="AT1177" s="250"/>
      <c r="AU1177" s="250"/>
      <c r="AV1177" s="124"/>
    </row>
    <row r="1178" spans="2:48" s="475" customFormat="1" x14ac:dyDescent="0.2">
      <c r="B1178" s="250"/>
      <c r="C1178" s="250"/>
      <c r="D1178" s="250"/>
      <c r="E1178" s="250"/>
      <c r="F1178" s="250"/>
      <c r="G1178" s="250"/>
      <c r="H1178" s="250"/>
      <c r="I1178" s="250"/>
      <c r="J1178" s="250"/>
      <c r="K1178" s="250"/>
      <c r="L1178" s="250"/>
      <c r="M1178" s="250"/>
      <c r="N1178" s="250"/>
      <c r="O1178" s="250"/>
      <c r="P1178" s="250"/>
      <c r="Q1178" s="250"/>
      <c r="R1178" s="250"/>
      <c r="S1178" s="250"/>
      <c r="T1178" s="250"/>
      <c r="U1178" s="250"/>
      <c r="V1178" s="250"/>
      <c r="W1178" s="250"/>
      <c r="X1178" s="250"/>
      <c r="Y1178" s="250"/>
      <c r="Z1178" s="250"/>
      <c r="AA1178" s="250"/>
      <c r="AB1178" s="250"/>
      <c r="AC1178" s="250"/>
      <c r="AD1178" s="250"/>
      <c r="AE1178" s="250"/>
      <c r="AF1178" s="250"/>
      <c r="AG1178" s="250"/>
      <c r="AH1178" s="250"/>
      <c r="AI1178" s="250"/>
      <c r="AJ1178" s="250"/>
      <c r="AK1178" s="250"/>
      <c r="AL1178" s="250"/>
      <c r="AM1178" s="250"/>
      <c r="AN1178" s="250"/>
      <c r="AO1178" s="250"/>
      <c r="AP1178" s="250"/>
      <c r="AQ1178" s="250"/>
      <c r="AR1178" s="250"/>
      <c r="AS1178" s="250"/>
      <c r="AT1178" s="250"/>
      <c r="AU1178" s="250"/>
      <c r="AV1178" s="124"/>
    </row>
    <row r="1179" spans="2:48" s="475" customFormat="1" x14ac:dyDescent="0.2">
      <c r="B1179" s="250"/>
      <c r="C1179" s="250"/>
      <c r="D1179" s="250"/>
      <c r="E1179" s="250"/>
      <c r="F1179" s="250"/>
      <c r="G1179" s="250"/>
      <c r="H1179" s="250"/>
      <c r="I1179" s="250"/>
      <c r="J1179" s="250"/>
      <c r="K1179" s="250"/>
      <c r="L1179" s="250"/>
      <c r="M1179" s="250"/>
      <c r="N1179" s="250"/>
      <c r="O1179" s="250"/>
      <c r="P1179" s="250"/>
      <c r="Q1179" s="250"/>
      <c r="R1179" s="250"/>
      <c r="S1179" s="250"/>
      <c r="T1179" s="250"/>
      <c r="U1179" s="250"/>
      <c r="V1179" s="250"/>
      <c r="W1179" s="250"/>
      <c r="X1179" s="250"/>
      <c r="Y1179" s="250"/>
      <c r="Z1179" s="250"/>
      <c r="AA1179" s="250"/>
      <c r="AB1179" s="250"/>
      <c r="AC1179" s="250"/>
      <c r="AD1179" s="250"/>
      <c r="AE1179" s="250"/>
      <c r="AF1179" s="250"/>
      <c r="AG1179" s="250"/>
      <c r="AH1179" s="250"/>
      <c r="AI1179" s="250"/>
      <c r="AJ1179" s="250"/>
      <c r="AK1179" s="250"/>
      <c r="AL1179" s="250"/>
      <c r="AM1179" s="250"/>
      <c r="AN1179" s="250"/>
      <c r="AO1179" s="250"/>
      <c r="AP1179" s="250"/>
      <c r="AQ1179" s="250"/>
      <c r="AR1179" s="250"/>
      <c r="AS1179" s="250"/>
      <c r="AT1179" s="250"/>
      <c r="AU1179" s="250"/>
      <c r="AV1179" s="124"/>
    </row>
    <row r="1180" spans="2:48" s="475" customFormat="1" x14ac:dyDescent="0.2">
      <c r="B1180" s="250"/>
      <c r="C1180" s="250"/>
      <c r="D1180" s="250"/>
      <c r="E1180" s="250"/>
      <c r="F1180" s="250"/>
      <c r="G1180" s="250"/>
      <c r="H1180" s="250"/>
      <c r="I1180" s="250"/>
      <c r="J1180" s="250"/>
      <c r="K1180" s="250"/>
      <c r="L1180" s="250"/>
      <c r="M1180" s="250"/>
      <c r="N1180" s="250"/>
      <c r="O1180" s="250"/>
      <c r="P1180" s="250"/>
      <c r="Q1180" s="250"/>
      <c r="R1180" s="250"/>
      <c r="S1180" s="250"/>
      <c r="T1180" s="250"/>
      <c r="U1180" s="250"/>
      <c r="V1180" s="250"/>
      <c r="W1180" s="250"/>
      <c r="X1180" s="250"/>
      <c r="Y1180" s="250"/>
      <c r="Z1180" s="250"/>
      <c r="AA1180" s="250"/>
      <c r="AB1180" s="250"/>
      <c r="AC1180" s="250"/>
      <c r="AD1180" s="250"/>
      <c r="AE1180" s="250"/>
      <c r="AF1180" s="250"/>
      <c r="AG1180" s="250"/>
      <c r="AH1180" s="250"/>
      <c r="AI1180" s="250"/>
      <c r="AJ1180" s="250"/>
      <c r="AK1180" s="250"/>
      <c r="AL1180" s="250"/>
      <c r="AM1180" s="250"/>
      <c r="AN1180" s="250"/>
      <c r="AO1180" s="250"/>
      <c r="AP1180" s="250"/>
      <c r="AQ1180" s="250"/>
      <c r="AR1180" s="250"/>
      <c r="AS1180" s="250"/>
      <c r="AT1180" s="250"/>
      <c r="AU1180" s="250"/>
      <c r="AV1180" s="124"/>
    </row>
    <row r="1181" spans="2:48" s="475" customFormat="1" x14ac:dyDescent="0.2">
      <c r="B1181" s="250"/>
      <c r="C1181" s="250"/>
      <c r="D1181" s="250"/>
      <c r="E1181" s="250"/>
      <c r="F1181" s="250"/>
      <c r="G1181" s="250"/>
      <c r="H1181" s="250"/>
      <c r="I1181" s="250"/>
      <c r="J1181" s="250"/>
      <c r="K1181" s="250"/>
      <c r="L1181" s="250"/>
      <c r="M1181" s="250"/>
      <c r="N1181" s="250"/>
      <c r="O1181" s="250"/>
      <c r="P1181" s="250"/>
      <c r="Q1181" s="250"/>
      <c r="R1181" s="250"/>
      <c r="S1181" s="250"/>
      <c r="T1181" s="250"/>
      <c r="U1181" s="250"/>
      <c r="V1181" s="250"/>
      <c r="W1181" s="250"/>
      <c r="X1181" s="250"/>
      <c r="Y1181" s="250"/>
      <c r="Z1181" s="250"/>
      <c r="AA1181" s="250"/>
      <c r="AB1181" s="250"/>
      <c r="AC1181" s="250"/>
      <c r="AD1181" s="250"/>
      <c r="AE1181" s="250"/>
      <c r="AF1181" s="250"/>
      <c r="AG1181" s="250"/>
      <c r="AH1181" s="250"/>
      <c r="AI1181" s="250"/>
      <c r="AJ1181" s="250"/>
      <c r="AK1181" s="250"/>
      <c r="AL1181" s="250"/>
      <c r="AM1181" s="250"/>
      <c r="AN1181" s="250"/>
      <c r="AO1181" s="250"/>
      <c r="AP1181" s="250"/>
      <c r="AQ1181" s="250"/>
      <c r="AR1181" s="250"/>
      <c r="AS1181" s="250"/>
      <c r="AT1181" s="250"/>
      <c r="AU1181" s="250"/>
      <c r="AV1181" s="124"/>
    </row>
    <row r="1182" spans="2:48" s="475" customFormat="1" x14ac:dyDescent="0.2">
      <c r="B1182" s="250"/>
      <c r="C1182" s="250"/>
      <c r="D1182" s="250"/>
      <c r="E1182" s="250"/>
      <c r="F1182" s="250"/>
      <c r="G1182" s="250"/>
      <c r="H1182" s="250"/>
      <c r="I1182" s="250"/>
      <c r="J1182" s="250"/>
      <c r="K1182" s="250"/>
      <c r="L1182" s="250"/>
      <c r="M1182" s="250"/>
      <c r="N1182" s="250"/>
      <c r="O1182" s="250"/>
      <c r="P1182" s="250"/>
      <c r="Q1182" s="250"/>
      <c r="R1182" s="250"/>
      <c r="S1182" s="250"/>
      <c r="T1182" s="250"/>
      <c r="U1182" s="250"/>
      <c r="V1182" s="250"/>
      <c r="W1182" s="250"/>
      <c r="X1182" s="250"/>
      <c r="Y1182" s="250"/>
      <c r="Z1182" s="250"/>
      <c r="AA1182" s="250"/>
      <c r="AB1182" s="250"/>
      <c r="AC1182" s="250"/>
      <c r="AD1182" s="250"/>
      <c r="AE1182" s="250"/>
      <c r="AF1182" s="250"/>
      <c r="AG1182" s="250"/>
      <c r="AH1182" s="250"/>
      <c r="AI1182" s="250"/>
      <c r="AJ1182" s="250"/>
      <c r="AK1182" s="250"/>
      <c r="AL1182" s="250"/>
      <c r="AM1182" s="250"/>
      <c r="AN1182" s="250"/>
      <c r="AO1182" s="250"/>
      <c r="AP1182" s="250"/>
      <c r="AQ1182" s="250"/>
      <c r="AR1182" s="250"/>
      <c r="AS1182" s="250"/>
      <c r="AT1182" s="250"/>
      <c r="AU1182" s="250"/>
      <c r="AV1182" s="124"/>
    </row>
    <row r="1183" spans="2:48" s="475" customFormat="1" x14ac:dyDescent="0.2">
      <c r="B1183" s="250"/>
      <c r="C1183" s="250"/>
      <c r="D1183" s="250"/>
      <c r="E1183" s="250"/>
      <c r="F1183" s="250"/>
      <c r="G1183" s="250"/>
      <c r="H1183" s="250"/>
      <c r="I1183" s="250"/>
      <c r="J1183" s="250"/>
      <c r="K1183" s="250"/>
      <c r="L1183" s="250"/>
      <c r="M1183" s="250"/>
      <c r="N1183" s="250"/>
      <c r="O1183" s="250"/>
      <c r="P1183" s="250"/>
      <c r="Q1183" s="250"/>
      <c r="R1183" s="250"/>
      <c r="S1183" s="250"/>
      <c r="T1183" s="250"/>
      <c r="U1183" s="250"/>
      <c r="V1183" s="250"/>
      <c r="W1183" s="250"/>
      <c r="X1183" s="250"/>
      <c r="Y1183" s="250"/>
      <c r="Z1183" s="250"/>
      <c r="AA1183" s="250"/>
      <c r="AB1183" s="250"/>
      <c r="AC1183" s="250"/>
      <c r="AD1183" s="250"/>
      <c r="AE1183" s="250"/>
      <c r="AF1183" s="250"/>
      <c r="AG1183" s="250"/>
      <c r="AH1183" s="250"/>
      <c r="AI1183" s="250"/>
      <c r="AJ1183" s="250"/>
      <c r="AK1183" s="250"/>
      <c r="AL1183" s="250"/>
      <c r="AM1183" s="250"/>
      <c r="AN1183" s="250"/>
      <c r="AO1183" s="250"/>
      <c r="AP1183" s="250"/>
      <c r="AQ1183" s="250"/>
      <c r="AR1183" s="250"/>
      <c r="AS1183" s="250"/>
      <c r="AT1183" s="250"/>
      <c r="AU1183" s="250"/>
      <c r="AV1183" s="124"/>
    </row>
    <row r="1184" spans="2:48" s="475" customFormat="1" x14ac:dyDescent="0.2">
      <c r="B1184" s="250"/>
      <c r="C1184" s="250"/>
      <c r="D1184" s="250"/>
      <c r="E1184" s="250"/>
      <c r="F1184" s="250"/>
      <c r="G1184" s="250"/>
      <c r="H1184" s="250"/>
      <c r="I1184" s="250"/>
      <c r="J1184" s="250"/>
      <c r="K1184" s="250"/>
      <c r="L1184" s="250"/>
      <c r="M1184" s="250"/>
      <c r="N1184" s="250"/>
      <c r="O1184" s="250"/>
      <c r="P1184" s="250"/>
      <c r="Q1184" s="250"/>
      <c r="R1184" s="250"/>
      <c r="S1184" s="250"/>
      <c r="T1184" s="250"/>
      <c r="U1184" s="250"/>
      <c r="V1184" s="250"/>
      <c r="W1184" s="250"/>
      <c r="X1184" s="250"/>
      <c r="Y1184" s="250"/>
      <c r="Z1184" s="250"/>
      <c r="AA1184" s="250"/>
      <c r="AB1184" s="250"/>
      <c r="AC1184" s="250"/>
      <c r="AD1184" s="250"/>
      <c r="AE1184" s="250"/>
      <c r="AF1184" s="250"/>
      <c r="AG1184" s="250"/>
      <c r="AH1184" s="250"/>
      <c r="AI1184" s="250"/>
      <c r="AJ1184" s="250"/>
      <c r="AK1184" s="250"/>
      <c r="AL1184" s="250"/>
      <c r="AM1184" s="250"/>
      <c r="AN1184" s="250"/>
      <c r="AO1184" s="250"/>
      <c r="AP1184" s="250"/>
      <c r="AQ1184" s="250"/>
      <c r="AR1184" s="250"/>
      <c r="AS1184" s="250"/>
      <c r="AT1184" s="250"/>
      <c r="AU1184" s="250"/>
      <c r="AV1184" s="124"/>
    </row>
    <row r="1185" spans="2:48" s="475" customFormat="1" x14ac:dyDescent="0.2">
      <c r="B1185" s="250"/>
      <c r="C1185" s="250"/>
      <c r="D1185" s="250"/>
      <c r="E1185" s="250"/>
      <c r="F1185" s="250"/>
      <c r="G1185" s="250"/>
      <c r="H1185" s="250"/>
      <c r="I1185" s="250"/>
      <c r="J1185" s="250"/>
      <c r="K1185" s="250"/>
      <c r="L1185" s="250"/>
      <c r="M1185" s="250"/>
      <c r="N1185" s="250"/>
      <c r="O1185" s="250"/>
      <c r="P1185" s="250"/>
      <c r="Q1185" s="250"/>
      <c r="R1185" s="250"/>
      <c r="S1185" s="250"/>
      <c r="T1185" s="250"/>
      <c r="U1185" s="250"/>
      <c r="V1185" s="250"/>
      <c r="W1185" s="250"/>
      <c r="X1185" s="250"/>
      <c r="Y1185" s="250"/>
      <c r="Z1185" s="250"/>
      <c r="AA1185" s="250"/>
      <c r="AB1185" s="250"/>
      <c r="AC1185" s="250"/>
      <c r="AD1185" s="250"/>
      <c r="AE1185" s="250"/>
      <c r="AF1185" s="250"/>
      <c r="AG1185" s="250"/>
      <c r="AH1185" s="250"/>
      <c r="AI1185" s="250"/>
      <c r="AJ1185" s="250"/>
      <c r="AK1185" s="250"/>
      <c r="AL1185" s="250"/>
      <c r="AM1185" s="250"/>
      <c r="AN1185" s="250"/>
      <c r="AO1185" s="250"/>
      <c r="AP1185" s="250"/>
      <c r="AQ1185" s="250"/>
      <c r="AR1185" s="250"/>
      <c r="AS1185" s="250"/>
      <c r="AT1185" s="250"/>
      <c r="AU1185" s="250"/>
      <c r="AV1185" s="124"/>
    </row>
    <row r="1186" spans="2:48" s="475" customFormat="1" x14ac:dyDescent="0.2">
      <c r="B1186" s="250"/>
      <c r="C1186" s="250"/>
      <c r="D1186" s="250"/>
      <c r="E1186" s="250"/>
      <c r="F1186" s="250"/>
      <c r="G1186" s="250"/>
      <c r="H1186" s="250"/>
      <c r="I1186" s="250"/>
      <c r="J1186" s="250"/>
      <c r="K1186" s="250"/>
      <c r="L1186" s="250"/>
      <c r="M1186" s="250"/>
      <c r="N1186" s="250"/>
      <c r="O1186" s="250"/>
      <c r="P1186" s="250"/>
      <c r="Q1186" s="250"/>
      <c r="R1186" s="250"/>
      <c r="S1186" s="250"/>
      <c r="T1186" s="250"/>
      <c r="U1186" s="250"/>
      <c r="V1186" s="250"/>
      <c r="W1186" s="250"/>
      <c r="X1186" s="250"/>
      <c r="Y1186" s="250"/>
      <c r="Z1186" s="250"/>
      <c r="AA1186" s="250"/>
      <c r="AB1186" s="250"/>
      <c r="AC1186" s="250"/>
      <c r="AD1186" s="250"/>
      <c r="AE1186" s="250"/>
      <c r="AF1186" s="250"/>
      <c r="AG1186" s="250"/>
      <c r="AH1186" s="250"/>
      <c r="AI1186" s="250"/>
      <c r="AJ1186" s="250"/>
      <c r="AK1186" s="250"/>
      <c r="AL1186" s="250"/>
      <c r="AM1186" s="250"/>
      <c r="AN1186" s="250"/>
      <c r="AO1186" s="250"/>
      <c r="AP1186" s="250"/>
      <c r="AQ1186" s="250"/>
      <c r="AR1186" s="250"/>
      <c r="AS1186" s="250"/>
      <c r="AT1186" s="250"/>
      <c r="AU1186" s="250"/>
      <c r="AV1186" s="124"/>
    </row>
    <row r="1187" spans="2:48" s="475" customFormat="1" x14ac:dyDescent="0.2">
      <c r="B1187" s="250"/>
      <c r="C1187" s="250"/>
      <c r="D1187" s="250"/>
      <c r="E1187" s="250"/>
      <c r="F1187" s="250"/>
      <c r="G1187" s="250"/>
      <c r="H1187" s="250"/>
      <c r="I1187" s="250"/>
      <c r="J1187" s="250"/>
      <c r="K1187" s="250"/>
      <c r="L1187" s="250"/>
      <c r="M1187" s="250"/>
      <c r="N1187" s="250"/>
      <c r="O1187" s="250"/>
      <c r="P1187" s="250"/>
      <c r="Q1187" s="250"/>
      <c r="R1187" s="250"/>
      <c r="S1187" s="250"/>
      <c r="T1187" s="250"/>
      <c r="U1187" s="250"/>
      <c r="V1187" s="250"/>
      <c r="W1187" s="250"/>
      <c r="X1187" s="250"/>
      <c r="Y1187" s="250"/>
      <c r="Z1187" s="250"/>
      <c r="AA1187" s="250"/>
      <c r="AB1187" s="250"/>
      <c r="AC1187" s="250"/>
      <c r="AD1187" s="250"/>
      <c r="AE1187" s="250"/>
      <c r="AF1187" s="250"/>
      <c r="AG1187" s="250"/>
      <c r="AH1187" s="250"/>
      <c r="AI1187" s="250"/>
      <c r="AJ1187" s="250"/>
      <c r="AK1187" s="250"/>
      <c r="AL1187" s="250"/>
      <c r="AM1187" s="250"/>
      <c r="AN1187" s="250"/>
      <c r="AO1187" s="250"/>
      <c r="AP1187" s="250"/>
      <c r="AQ1187" s="250"/>
      <c r="AR1187" s="250"/>
      <c r="AS1187" s="250"/>
      <c r="AT1187" s="250"/>
      <c r="AU1187" s="250"/>
      <c r="AV1187" s="124"/>
    </row>
    <row r="1188" spans="2:48" s="475" customFormat="1" x14ac:dyDescent="0.2">
      <c r="B1188" s="250"/>
      <c r="C1188" s="250"/>
      <c r="D1188" s="250"/>
      <c r="E1188" s="250"/>
      <c r="F1188" s="250"/>
      <c r="G1188" s="250"/>
      <c r="H1188" s="250"/>
      <c r="I1188" s="250"/>
      <c r="J1188" s="250"/>
      <c r="K1188" s="250"/>
      <c r="L1188" s="250"/>
      <c r="M1188" s="250"/>
      <c r="N1188" s="250"/>
      <c r="O1188" s="250"/>
      <c r="P1188" s="250"/>
      <c r="Q1188" s="250"/>
      <c r="R1188" s="250"/>
      <c r="S1188" s="250"/>
      <c r="T1188" s="250"/>
      <c r="U1188" s="250"/>
      <c r="V1188" s="250"/>
      <c r="W1188" s="250"/>
      <c r="X1188" s="250"/>
      <c r="Y1188" s="250"/>
      <c r="Z1188" s="250"/>
      <c r="AA1188" s="250"/>
      <c r="AB1188" s="250"/>
      <c r="AC1188" s="250"/>
      <c r="AD1188" s="250"/>
      <c r="AE1188" s="250"/>
      <c r="AF1188" s="250"/>
      <c r="AG1188" s="250"/>
      <c r="AH1188" s="250"/>
      <c r="AI1188" s="250"/>
      <c r="AJ1188" s="250"/>
      <c r="AK1188" s="250"/>
      <c r="AL1188" s="250"/>
      <c r="AM1188" s="250"/>
      <c r="AN1188" s="250"/>
      <c r="AO1188" s="250"/>
      <c r="AP1188" s="250"/>
      <c r="AQ1188" s="250"/>
      <c r="AR1188" s="250"/>
      <c r="AS1188" s="250"/>
      <c r="AT1188" s="250"/>
      <c r="AU1188" s="250"/>
      <c r="AV1188" s="124"/>
    </row>
    <row r="1189" spans="2:48" s="475" customFormat="1" x14ac:dyDescent="0.2">
      <c r="B1189" s="250"/>
      <c r="C1189" s="250"/>
      <c r="D1189" s="250"/>
      <c r="E1189" s="250"/>
      <c r="F1189" s="250"/>
      <c r="G1189" s="250"/>
      <c r="H1189" s="250"/>
      <c r="I1189" s="250"/>
      <c r="J1189" s="250"/>
      <c r="K1189" s="250"/>
      <c r="L1189" s="250"/>
      <c r="M1189" s="250"/>
      <c r="N1189" s="250"/>
      <c r="O1189" s="250"/>
      <c r="P1189" s="250"/>
      <c r="Q1189" s="250"/>
      <c r="R1189" s="250"/>
      <c r="S1189" s="250"/>
      <c r="T1189" s="250"/>
      <c r="U1189" s="250"/>
      <c r="V1189" s="250"/>
      <c r="W1189" s="250"/>
      <c r="X1189" s="250"/>
      <c r="Y1189" s="250"/>
      <c r="Z1189" s="250"/>
      <c r="AA1189" s="250"/>
      <c r="AB1189" s="250"/>
      <c r="AC1189" s="250"/>
      <c r="AD1189" s="250"/>
      <c r="AE1189" s="250"/>
      <c r="AF1189" s="250"/>
      <c r="AG1189" s="250"/>
      <c r="AH1189" s="250"/>
      <c r="AI1189" s="250"/>
      <c r="AJ1189" s="250"/>
      <c r="AK1189" s="250"/>
      <c r="AL1189" s="250"/>
      <c r="AM1189" s="250"/>
      <c r="AN1189" s="250"/>
      <c r="AO1189" s="250"/>
      <c r="AP1189" s="250"/>
      <c r="AQ1189" s="250"/>
      <c r="AR1189" s="250"/>
      <c r="AS1189" s="250"/>
      <c r="AT1189" s="250"/>
      <c r="AU1189" s="250"/>
      <c r="AV1189" s="124"/>
    </row>
    <row r="1190" spans="2:48" s="475" customFormat="1" x14ac:dyDescent="0.2">
      <c r="B1190" s="250"/>
      <c r="C1190" s="250"/>
      <c r="D1190" s="250"/>
      <c r="E1190" s="250"/>
      <c r="F1190" s="250"/>
      <c r="G1190" s="250"/>
      <c r="H1190" s="250"/>
      <c r="I1190" s="250"/>
      <c r="J1190" s="250"/>
      <c r="K1190" s="250"/>
      <c r="L1190" s="250"/>
      <c r="M1190" s="250"/>
      <c r="N1190" s="250"/>
      <c r="O1190" s="250"/>
      <c r="P1190" s="250"/>
      <c r="Q1190" s="250"/>
      <c r="R1190" s="250"/>
      <c r="S1190" s="250"/>
      <c r="T1190" s="250"/>
      <c r="U1190" s="250"/>
      <c r="V1190" s="250"/>
      <c r="W1190" s="250"/>
      <c r="X1190" s="250"/>
      <c r="Y1190" s="250"/>
      <c r="Z1190" s="250"/>
      <c r="AA1190" s="250"/>
      <c r="AB1190" s="250"/>
      <c r="AC1190" s="250"/>
      <c r="AD1190" s="250"/>
      <c r="AE1190" s="250"/>
      <c r="AF1190" s="250"/>
      <c r="AG1190" s="250"/>
      <c r="AH1190" s="250"/>
      <c r="AI1190" s="250"/>
      <c r="AJ1190" s="250"/>
      <c r="AK1190" s="250"/>
      <c r="AL1190" s="250"/>
      <c r="AM1190" s="250"/>
      <c r="AN1190" s="250"/>
      <c r="AO1190" s="250"/>
      <c r="AP1190" s="250"/>
      <c r="AQ1190" s="250"/>
      <c r="AR1190" s="250"/>
      <c r="AS1190" s="250"/>
      <c r="AT1190" s="250"/>
      <c r="AU1190" s="250"/>
      <c r="AV1190" s="124"/>
    </row>
    <row r="1191" spans="2:48" s="475" customFormat="1" x14ac:dyDescent="0.2">
      <c r="B1191" s="250"/>
      <c r="C1191" s="250"/>
      <c r="D1191" s="250"/>
      <c r="E1191" s="250"/>
      <c r="F1191" s="250"/>
      <c r="G1191" s="250"/>
      <c r="H1191" s="250"/>
      <c r="I1191" s="250"/>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c r="AN1191" s="250"/>
      <c r="AO1191" s="250"/>
      <c r="AP1191" s="250"/>
      <c r="AQ1191" s="250"/>
      <c r="AR1191" s="250"/>
      <c r="AS1191" s="250"/>
      <c r="AT1191" s="250"/>
      <c r="AU1191" s="250"/>
      <c r="AV1191" s="124"/>
    </row>
    <row r="1192" spans="2:48" s="475" customFormat="1" x14ac:dyDescent="0.2">
      <c r="B1192" s="250"/>
      <c r="C1192" s="250"/>
      <c r="D1192" s="250"/>
      <c r="E1192" s="250"/>
      <c r="F1192" s="250"/>
      <c r="G1192" s="250"/>
      <c r="H1192" s="250"/>
      <c r="I1192" s="250"/>
      <c r="J1192" s="250"/>
      <c r="K1192" s="250"/>
      <c r="L1192" s="250"/>
      <c r="M1192" s="250"/>
      <c r="N1192" s="250"/>
      <c r="O1192" s="250"/>
      <c r="P1192" s="250"/>
      <c r="Q1192" s="250"/>
      <c r="R1192" s="250"/>
      <c r="S1192" s="250"/>
      <c r="T1192" s="250"/>
      <c r="U1192" s="250"/>
      <c r="V1192" s="250"/>
      <c r="W1192" s="250"/>
      <c r="X1192" s="250"/>
      <c r="Y1192" s="250"/>
      <c r="Z1192" s="250"/>
      <c r="AA1192" s="250"/>
      <c r="AB1192" s="250"/>
      <c r="AC1192" s="250"/>
      <c r="AD1192" s="250"/>
      <c r="AE1192" s="250"/>
      <c r="AF1192" s="250"/>
      <c r="AG1192" s="250"/>
      <c r="AH1192" s="250"/>
      <c r="AI1192" s="250"/>
      <c r="AJ1192" s="250"/>
      <c r="AK1192" s="250"/>
      <c r="AL1192" s="250"/>
      <c r="AM1192" s="250"/>
      <c r="AN1192" s="250"/>
      <c r="AO1192" s="250"/>
      <c r="AP1192" s="250"/>
      <c r="AQ1192" s="250"/>
      <c r="AR1192" s="250"/>
      <c r="AS1192" s="250"/>
      <c r="AT1192" s="250"/>
      <c r="AU1192" s="250"/>
      <c r="AV1192" s="124"/>
    </row>
    <row r="1193" spans="2:48" s="475" customFormat="1" x14ac:dyDescent="0.2">
      <c r="B1193" s="250"/>
      <c r="C1193" s="250"/>
      <c r="D1193" s="250"/>
      <c r="E1193" s="250"/>
      <c r="F1193" s="250"/>
      <c r="G1193" s="250"/>
      <c r="H1193" s="250"/>
      <c r="I1193" s="250"/>
      <c r="J1193" s="250"/>
      <c r="K1193" s="250"/>
      <c r="L1193" s="250"/>
      <c r="M1193" s="250"/>
      <c r="N1193" s="250"/>
      <c r="O1193" s="250"/>
      <c r="P1193" s="250"/>
      <c r="Q1193" s="250"/>
      <c r="R1193" s="250"/>
      <c r="S1193" s="250"/>
      <c r="T1193" s="250"/>
      <c r="U1193" s="250"/>
      <c r="V1193" s="250"/>
      <c r="W1193" s="250"/>
      <c r="X1193" s="250"/>
      <c r="Y1193" s="250"/>
      <c r="Z1193" s="250"/>
      <c r="AA1193" s="250"/>
      <c r="AB1193" s="250"/>
      <c r="AC1193" s="250"/>
      <c r="AD1193" s="250"/>
      <c r="AE1193" s="250"/>
      <c r="AF1193" s="250"/>
      <c r="AG1193" s="250"/>
      <c r="AH1193" s="250"/>
      <c r="AI1193" s="250"/>
      <c r="AJ1193" s="250"/>
      <c r="AK1193" s="250"/>
      <c r="AL1193" s="250"/>
      <c r="AM1193" s="250"/>
      <c r="AN1193" s="250"/>
      <c r="AO1193" s="250"/>
      <c r="AP1193" s="250"/>
      <c r="AQ1193" s="250"/>
      <c r="AR1193" s="250"/>
      <c r="AS1193" s="250"/>
      <c r="AT1193" s="250"/>
      <c r="AU1193" s="250"/>
      <c r="AV1193" s="124"/>
    </row>
    <row r="1194" spans="2:48" s="475" customFormat="1" x14ac:dyDescent="0.2">
      <c r="B1194" s="250"/>
      <c r="C1194" s="250"/>
      <c r="D1194" s="250"/>
      <c r="E1194" s="250"/>
      <c r="F1194" s="250"/>
      <c r="G1194" s="250"/>
      <c r="H1194" s="250"/>
      <c r="I1194" s="250"/>
      <c r="J1194" s="250"/>
      <c r="K1194" s="250"/>
      <c r="L1194" s="250"/>
      <c r="M1194" s="250"/>
      <c r="N1194" s="250"/>
      <c r="O1194" s="250"/>
      <c r="P1194" s="250"/>
      <c r="Q1194" s="250"/>
      <c r="R1194" s="250"/>
      <c r="S1194" s="250"/>
      <c r="T1194" s="250"/>
      <c r="U1194" s="250"/>
      <c r="V1194" s="250"/>
      <c r="W1194" s="250"/>
      <c r="X1194" s="250"/>
      <c r="Y1194" s="250"/>
      <c r="Z1194" s="250"/>
      <c r="AA1194" s="250"/>
      <c r="AB1194" s="250"/>
      <c r="AC1194" s="250"/>
      <c r="AD1194" s="250"/>
      <c r="AE1194" s="250"/>
      <c r="AF1194" s="250"/>
      <c r="AG1194" s="250"/>
      <c r="AH1194" s="250"/>
      <c r="AI1194" s="250"/>
      <c r="AJ1194" s="250"/>
      <c r="AK1194" s="250"/>
      <c r="AL1194" s="250"/>
      <c r="AM1194" s="250"/>
      <c r="AN1194" s="250"/>
      <c r="AO1194" s="250"/>
      <c r="AP1194" s="250"/>
      <c r="AQ1194" s="250"/>
      <c r="AR1194" s="250"/>
      <c r="AS1194" s="250"/>
      <c r="AT1194" s="250"/>
      <c r="AU1194" s="250"/>
      <c r="AV1194" s="124"/>
    </row>
    <row r="1195" spans="2:48" s="475" customFormat="1" x14ac:dyDescent="0.2">
      <c r="B1195" s="250"/>
      <c r="C1195" s="250"/>
      <c r="D1195" s="250"/>
      <c r="E1195" s="250"/>
      <c r="F1195" s="250"/>
      <c r="G1195" s="250"/>
      <c r="H1195" s="250"/>
      <c r="I1195" s="250"/>
      <c r="J1195" s="250"/>
      <c r="K1195" s="250"/>
      <c r="L1195" s="250"/>
      <c r="M1195" s="250"/>
      <c r="N1195" s="250"/>
      <c r="O1195" s="250"/>
      <c r="P1195" s="250"/>
      <c r="Q1195" s="250"/>
      <c r="R1195" s="250"/>
      <c r="S1195" s="250"/>
      <c r="T1195" s="250"/>
      <c r="U1195" s="250"/>
      <c r="V1195" s="250"/>
      <c r="W1195" s="250"/>
      <c r="X1195" s="250"/>
      <c r="Y1195" s="250"/>
      <c r="Z1195" s="250"/>
      <c r="AA1195" s="250"/>
      <c r="AB1195" s="250"/>
      <c r="AC1195" s="250"/>
      <c r="AD1195" s="250"/>
      <c r="AE1195" s="250"/>
      <c r="AF1195" s="250"/>
      <c r="AG1195" s="250"/>
      <c r="AH1195" s="250"/>
      <c r="AI1195" s="250"/>
      <c r="AJ1195" s="250"/>
      <c r="AK1195" s="250"/>
      <c r="AL1195" s="250"/>
      <c r="AM1195" s="250"/>
      <c r="AN1195" s="250"/>
      <c r="AO1195" s="250"/>
      <c r="AP1195" s="250"/>
      <c r="AQ1195" s="250"/>
      <c r="AR1195" s="250"/>
      <c r="AS1195" s="250"/>
      <c r="AT1195" s="250"/>
      <c r="AU1195" s="250"/>
      <c r="AV1195" s="124"/>
    </row>
    <row r="1196" spans="2:48" s="475" customFormat="1" x14ac:dyDescent="0.2">
      <c r="B1196" s="250"/>
      <c r="C1196" s="250"/>
      <c r="D1196" s="250"/>
      <c r="E1196" s="250"/>
      <c r="F1196" s="250"/>
      <c r="G1196" s="250"/>
      <c r="H1196" s="250"/>
      <c r="I1196" s="250"/>
      <c r="J1196" s="250"/>
      <c r="K1196" s="250"/>
      <c r="L1196" s="250"/>
      <c r="M1196" s="250"/>
      <c r="N1196" s="250"/>
      <c r="O1196" s="250"/>
      <c r="P1196" s="250"/>
      <c r="Q1196" s="250"/>
      <c r="R1196" s="250"/>
      <c r="S1196" s="250"/>
      <c r="T1196" s="250"/>
      <c r="U1196" s="250"/>
      <c r="V1196" s="250"/>
      <c r="W1196" s="250"/>
      <c r="X1196" s="250"/>
      <c r="Y1196" s="250"/>
      <c r="Z1196" s="250"/>
      <c r="AA1196" s="250"/>
      <c r="AB1196" s="250"/>
      <c r="AC1196" s="250"/>
      <c r="AD1196" s="250"/>
      <c r="AE1196" s="250"/>
      <c r="AF1196" s="250"/>
      <c r="AG1196" s="250"/>
      <c r="AH1196" s="250"/>
      <c r="AI1196" s="250"/>
      <c r="AJ1196" s="250"/>
      <c r="AK1196" s="250"/>
      <c r="AL1196" s="250"/>
      <c r="AM1196" s="250"/>
      <c r="AN1196" s="250"/>
      <c r="AO1196" s="250"/>
      <c r="AP1196" s="250"/>
      <c r="AQ1196" s="250"/>
      <c r="AR1196" s="250"/>
      <c r="AS1196" s="250"/>
      <c r="AT1196" s="250"/>
      <c r="AU1196" s="250"/>
      <c r="AV1196" s="124"/>
    </row>
    <row r="1197" spans="2:48" s="475" customFormat="1" x14ac:dyDescent="0.2">
      <c r="B1197" s="250"/>
      <c r="C1197" s="250"/>
      <c r="D1197" s="250"/>
      <c r="E1197" s="250"/>
      <c r="F1197" s="250"/>
      <c r="G1197" s="250"/>
      <c r="H1197" s="250"/>
      <c r="I1197" s="250"/>
      <c r="J1197" s="250"/>
      <c r="K1197" s="250"/>
      <c r="L1197" s="250"/>
      <c r="M1197" s="250"/>
      <c r="N1197" s="250"/>
      <c r="O1197" s="250"/>
      <c r="P1197" s="250"/>
      <c r="Q1197" s="250"/>
      <c r="R1197" s="250"/>
      <c r="S1197" s="250"/>
      <c r="T1197" s="250"/>
      <c r="U1197" s="250"/>
      <c r="V1197" s="250"/>
      <c r="W1197" s="250"/>
      <c r="X1197" s="250"/>
      <c r="Y1197" s="250"/>
      <c r="Z1197" s="250"/>
      <c r="AA1197" s="250"/>
      <c r="AB1197" s="250"/>
      <c r="AC1197" s="250"/>
      <c r="AD1197" s="250"/>
      <c r="AE1197" s="250"/>
      <c r="AF1197" s="250"/>
      <c r="AG1197" s="250"/>
      <c r="AH1197" s="250"/>
      <c r="AI1197" s="250"/>
      <c r="AJ1197" s="250"/>
      <c r="AK1197" s="250"/>
      <c r="AL1197" s="250"/>
      <c r="AM1197" s="250"/>
      <c r="AN1197" s="250"/>
      <c r="AO1197" s="250"/>
      <c r="AP1197" s="250"/>
      <c r="AQ1197" s="250"/>
      <c r="AR1197" s="250"/>
      <c r="AS1197" s="250"/>
      <c r="AT1197" s="250"/>
      <c r="AU1197" s="250"/>
      <c r="AV1197" s="124"/>
    </row>
    <row r="1198" spans="2:48" s="475" customFormat="1" x14ac:dyDescent="0.2">
      <c r="B1198" s="250"/>
      <c r="C1198" s="250"/>
      <c r="D1198" s="250"/>
      <c r="E1198" s="250"/>
      <c r="F1198" s="250"/>
      <c r="G1198" s="250"/>
      <c r="H1198" s="250"/>
      <c r="I1198" s="250"/>
      <c r="J1198" s="250"/>
      <c r="K1198" s="250"/>
      <c r="L1198" s="250"/>
      <c r="M1198" s="250"/>
      <c r="N1198" s="250"/>
      <c r="O1198" s="250"/>
      <c r="P1198" s="250"/>
      <c r="Q1198" s="250"/>
      <c r="R1198" s="250"/>
      <c r="S1198" s="250"/>
      <c r="T1198" s="250"/>
      <c r="U1198" s="250"/>
      <c r="V1198" s="250"/>
      <c r="W1198" s="250"/>
      <c r="X1198" s="250"/>
      <c r="Y1198" s="250"/>
      <c r="Z1198" s="250"/>
      <c r="AA1198" s="250"/>
      <c r="AB1198" s="250"/>
      <c r="AC1198" s="250"/>
      <c r="AD1198" s="250"/>
      <c r="AE1198" s="250"/>
      <c r="AF1198" s="250"/>
      <c r="AG1198" s="250"/>
      <c r="AH1198" s="250"/>
      <c r="AI1198" s="250"/>
      <c r="AJ1198" s="250"/>
      <c r="AK1198" s="250"/>
      <c r="AL1198" s="250"/>
      <c r="AM1198" s="250"/>
      <c r="AN1198" s="250"/>
      <c r="AO1198" s="250"/>
      <c r="AP1198" s="250"/>
      <c r="AQ1198" s="250"/>
      <c r="AR1198" s="250"/>
      <c r="AS1198" s="250"/>
      <c r="AT1198" s="250"/>
      <c r="AU1198" s="250"/>
      <c r="AV1198" s="124"/>
    </row>
    <row r="1199" spans="2:48" s="475" customFormat="1" x14ac:dyDescent="0.2">
      <c r="B1199" s="250"/>
      <c r="C1199" s="250"/>
      <c r="D1199" s="250"/>
      <c r="E1199" s="250"/>
      <c r="F1199" s="250"/>
      <c r="G1199" s="250"/>
      <c r="H1199" s="250"/>
      <c r="I1199" s="250"/>
      <c r="J1199" s="250"/>
      <c r="K1199" s="250"/>
      <c r="L1199" s="250"/>
      <c r="M1199" s="250"/>
      <c r="N1199" s="250"/>
      <c r="O1199" s="250"/>
      <c r="P1199" s="250"/>
      <c r="Q1199" s="250"/>
      <c r="R1199" s="250"/>
      <c r="S1199" s="250"/>
      <c r="T1199" s="250"/>
      <c r="U1199" s="250"/>
      <c r="V1199" s="250"/>
      <c r="W1199" s="250"/>
      <c r="X1199" s="250"/>
      <c r="Y1199" s="250"/>
      <c r="Z1199" s="250"/>
      <c r="AA1199" s="250"/>
      <c r="AB1199" s="250"/>
      <c r="AC1199" s="250"/>
      <c r="AD1199" s="250"/>
      <c r="AE1199" s="250"/>
      <c r="AF1199" s="250"/>
      <c r="AG1199" s="250"/>
      <c r="AH1199" s="250"/>
      <c r="AI1199" s="250"/>
      <c r="AJ1199" s="250"/>
      <c r="AK1199" s="250"/>
      <c r="AL1199" s="250"/>
      <c r="AM1199" s="250"/>
      <c r="AN1199" s="250"/>
      <c r="AO1199" s="250"/>
      <c r="AP1199" s="250"/>
      <c r="AQ1199" s="250"/>
      <c r="AR1199" s="250"/>
      <c r="AS1199" s="250"/>
      <c r="AT1199" s="250"/>
      <c r="AU1199" s="250"/>
      <c r="AV1199" s="124"/>
    </row>
    <row r="1200" spans="2:48" s="475" customFormat="1" x14ac:dyDescent="0.2">
      <c r="B1200" s="250"/>
      <c r="C1200" s="250"/>
      <c r="D1200" s="250"/>
      <c r="E1200" s="250"/>
      <c r="F1200" s="250"/>
      <c r="G1200" s="250"/>
      <c r="H1200" s="250"/>
      <c r="I1200" s="250"/>
      <c r="J1200" s="250"/>
      <c r="K1200" s="250"/>
      <c r="L1200" s="250"/>
      <c r="M1200" s="250"/>
      <c r="N1200" s="250"/>
      <c r="O1200" s="250"/>
      <c r="P1200" s="250"/>
      <c r="Q1200" s="250"/>
      <c r="R1200" s="250"/>
      <c r="S1200" s="250"/>
      <c r="T1200" s="250"/>
      <c r="U1200" s="250"/>
      <c r="V1200" s="250"/>
      <c r="W1200" s="250"/>
      <c r="X1200" s="250"/>
      <c r="Y1200" s="250"/>
      <c r="Z1200" s="250"/>
      <c r="AA1200" s="250"/>
      <c r="AB1200" s="250"/>
      <c r="AC1200" s="250"/>
      <c r="AD1200" s="250"/>
      <c r="AE1200" s="250"/>
      <c r="AF1200" s="250"/>
      <c r="AG1200" s="250"/>
      <c r="AH1200" s="250"/>
      <c r="AI1200" s="250"/>
      <c r="AJ1200" s="250"/>
      <c r="AK1200" s="250"/>
      <c r="AL1200" s="250"/>
      <c r="AM1200" s="250"/>
      <c r="AN1200" s="250"/>
      <c r="AO1200" s="250"/>
      <c r="AP1200" s="250"/>
      <c r="AQ1200" s="250"/>
      <c r="AR1200" s="250"/>
      <c r="AS1200" s="250"/>
      <c r="AT1200" s="250"/>
      <c r="AU1200" s="250"/>
      <c r="AV1200" s="124"/>
    </row>
    <row r="1201" spans="2:48" s="475" customFormat="1" x14ac:dyDescent="0.2">
      <c r="B1201" s="250"/>
      <c r="C1201" s="250"/>
      <c r="D1201" s="250"/>
      <c r="E1201" s="250"/>
      <c r="F1201" s="250"/>
      <c r="G1201" s="250"/>
      <c r="H1201" s="250"/>
      <c r="I1201" s="250"/>
      <c r="J1201" s="250"/>
      <c r="K1201" s="250"/>
      <c r="L1201" s="250"/>
      <c r="M1201" s="250"/>
      <c r="N1201" s="250"/>
      <c r="O1201" s="250"/>
      <c r="P1201" s="250"/>
      <c r="Q1201" s="250"/>
      <c r="R1201" s="250"/>
      <c r="S1201" s="250"/>
      <c r="T1201" s="250"/>
      <c r="U1201" s="250"/>
      <c r="V1201" s="250"/>
      <c r="W1201" s="250"/>
      <c r="X1201" s="250"/>
      <c r="Y1201" s="250"/>
      <c r="Z1201" s="250"/>
      <c r="AA1201" s="250"/>
      <c r="AB1201" s="250"/>
      <c r="AC1201" s="250"/>
      <c r="AD1201" s="250"/>
      <c r="AE1201" s="250"/>
      <c r="AF1201" s="250"/>
      <c r="AG1201" s="250"/>
      <c r="AH1201" s="250"/>
      <c r="AI1201" s="250"/>
      <c r="AJ1201" s="250"/>
      <c r="AK1201" s="250"/>
      <c r="AL1201" s="250"/>
      <c r="AM1201" s="250"/>
      <c r="AN1201" s="250"/>
      <c r="AO1201" s="250"/>
      <c r="AP1201" s="250"/>
      <c r="AQ1201" s="250"/>
      <c r="AR1201" s="250"/>
      <c r="AS1201" s="250"/>
      <c r="AT1201" s="250"/>
      <c r="AU1201" s="250"/>
      <c r="AV1201" s="124"/>
    </row>
    <row r="1202" spans="2:48" s="475" customFormat="1" x14ac:dyDescent="0.2">
      <c r="B1202" s="250"/>
      <c r="C1202" s="250"/>
      <c r="D1202" s="250"/>
      <c r="E1202" s="250"/>
      <c r="F1202" s="250"/>
      <c r="G1202" s="250"/>
      <c r="H1202" s="250"/>
      <c r="I1202" s="250"/>
      <c r="J1202" s="250"/>
      <c r="K1202" s="250"/>
      <c r="L1202" s="250"/>
      <c r="M1202" s="250"/>
      <c r="N1202" s="250"/>
      <c r="O1202" s="250"/>
      <c r="P1202" s="250"/>
      <c r="Q1202" s="250"/>
      <c r="R1202" s="250"/>
      <c r="S1202" s="250"/>
      <c r="T1202" s="250"/>
      <c r="U1202" s="250"/>
      <c r="V1202" s="250"/>
      <c r="W1202" s="250"/>
      <c r="X1202" s="250"/>
      <c r="Y1202" s="250"/>
      <c r="Z1202" s="250"/>
      <c r="AA1202" s="250"/>
      <c r="AB1202" s="250"/>
      <c r="AC1202" s="250"/>
      <c r="AD1202" s="250"/>
      <c r="AE1202" s="250"/>
      <c r="AF1202" s="250"/>
      <c r="AG1202" s="250"/>
      <c r="AH1202" s="250"/>
      <c r="AI1202" s="250"/>
      <c r="AJ1202" s="250"/>
      <c r="AK1202" s="250"/>
      <c r="AL1202" s="250"/>
      <c r="AM1202" s="250"/>
      <c r="AN1202" s="250"/>
      <c r="AO1202" s="250"/>
      <c r="AP1202" s="250"/>
      <c r="AQ1202" s="250"/>
      <c r="AR1202" s="250"/>
      <c r="AS1202" s="250"/>
      <c r="AT1202" s="250"/>
      <c r="AU1202" s="250"/>
      <c r="AV1202" s="124"/>
    </row>
    <row r="1203" spans="2:48" s="475" customFormat="1" x14ac:dyDescent="0.2">
      <c r="B1203" s="250"/>
      <c r="C1203" s="250"/>
      <c r="D1203" s="250"/>
      <c r="E1203" s="250"/>
      <c r="F1203" s="250"/>
      <c r="G1203" s="250"/>
      <c r="H1203" s="250"/>
      <c r="I1203" s="250"/>
      <c r="J1203" s="250"/>
      <c r="K1203" s="250"/>
      <c r="L1203" s="250"/>
      <c r="M1203" s="250"/>
      <c r="N1203" s="250"/>
      <c r="O1203" s="250"/>
      <c r="P1203" s="250"/>
      <c r="Q1203" s="250"/>
      <c r="R1203" s="250"/>
      <c r="S1203" s="250"/>
      <c r="T1203" s="250"/>
      <c r="U1203" s="250"/>
      <c r="V1203" s="250"/>
      <c r="W1203" s="250"/>
      <c r="X1203" s="250"/>
      <c r="Y1203" s="250"/>
      <c r="Z1203" s="250"/>
      <c r="AA1203" s="250"/>
      <c r="AB1203" s="250"/>
      <c r="AC1203" s="250"/>
      <c r="AD1203" s="250"/>
      <c r="AE1203" s="250"/>
      <c r="AF1203" s="250"/>
      <c r="AG1203" s="250"/>
      <c r="AH1203" s="250"/>
      <c r="AI1203" s="250"/>
      <c r="AJ1203" s="250"/>
      <c r="AK1203" s="250"/>
      <c r="AL1203" s="250"/>
      <c r="AM1203" s="250"/>
      <c r="AN1203" s="250"/>
      <c r="AO1203" s="250"/>
      <c r="AP1203" s="250"/>
      <c r="AQ1203" s="250"/>
      <c r="AR1203" s="250"/>
      <c r="AS1203" s="250"/>
      <c r="AT1203" s="250"/>
      <c r="AU1203" s="250"/>
      <c r="AV1203" s="124"/>
    </row>
    <row r="1204" spans="2:48" s="475" customFormat="1" x14ac:dyDescent="0.2">
      <c r="B1204" s="250"/>
      <c r="C1204" s="250"/>
      <c r="D1204" s="250"/>
      <c r="E1204" s="250"/>
      <c r="F1204" s="250"/>
      <c r="G1204" s="250"/>
      <c r="H1204" s="250"/>
      <c r="I1204" s="250"/>
      <c r="J1204" s="250"/>
      <c r="K1204" s="250"/>
      <c r="L1204" s="250"/>
      <c r="M1204" s="250"/>
      <c r="N1204" s="250"/>
      <c r="O1204" s="250"/>
      <c r="P1204" s="250"/>
      <c r="Q1204" s="250"/>
      <c r="R1204" s="250"/>
      <c r="S1204" s="250"/>
      <c r="T1204" s="250"/>
      <c r="U1204" s="250"/>
      <c r="V1204" s="250"/>
      <c r="W1204" s="250"/>
      <c r="X1204" s="250"/>
      <c r="Y1204" s="250"/>
      <c r="Z1204" s="250"/>
      <c r="AA1204" s="250"/>
      <c r="AB1204" s="250"/>
      <c r="AC1204" s="250"/>
      <c r="AD1204" s="250"/>
      <c r="AE1204" s="250"/>
      <c r="AF1204" s="250"/>
      <c r="AG1204" s="250"/>
      <c r="AH1204" s="250"/>
      <c r="AI1204" s="250"/>
      <c r="AJ1204" s="250"/>
      <c r="AK1204" s="250"/>
      <c r="AL1204" s="250"/>
      <c r="AM1204" s="250"/>
      <c r="AN1204" s="250"/>
      <c r="AO1204" s="250"/>
      <c r="AP1204" s="250"/>
      <c r="AQ1204" s="250"/>
      <c r="AR1204" s="250"/>
      <c r="AS1204" s="250"/>
      <c r="AT1204" s="250"/>
      <c r="AU1204" s="250"/>
      <c r="AV1204" s="124"/>
    </row>
    <row r="1205" spans="2:48" s="475" customFormat="1" x14ac:dyDescent="0.2">
      <c r="B1205" s="250"/>
      <c r="C1205" s="250"/>
      <c r="D1205" s="250"/>
      <c r="E1205" s="250"/>
      <c r="F1205" s="250"/>
      <c r="G1205" s="250"/>
      <c r="H1205" s="250"/>
      <c r="I1205" s="250"/>
      <c r="J1205" s="250"/>
      <c r="K1205" s="250"/>
      <c r="L1205" s="250"/>
      <c r="M1205" s="250"/>
      <c r="N1205" s="250"/>
      <c r="O1205" s="250"/>
      <c r="P1205" s="250"/>
      <c r="Q1205" s="250"/>
      <c r="R1205" s="250"/>
      <c r="S1205" s="250"/>
      <c r="T1205" s="250"/>
      <c r="U1205" s="250"/>
      <c r="V1205" s="250"/>
      <c r="W1205" s="250"/>
      <c r="X1205" s="250"/>
      <c r="Y1205" s="250"/>
      <c r="Z1205" s="250"/>
      <c r="AA1205" s="250"/>
      <c r="AB1205" s="250"/>
      <c r="AC1205" s="250"/>
      <c r="AD1205" s="250"/>
      <c r="AE1205" s="250"/>
      <c r="AF1205" s="250"/>
      <c r="AG1205" s="250"/>
      <c r="AH1205" s="250"/>
      <c r="AI1205" s="250"/>
      <c r="AJ1205" s="250"/>
      <c r="AK1205" s="250"/>
      <c r="AL1205" s="250"/>
      <c r="AM1205" s="250"/>
      <c r="AN1205" s="250"/>
      <c r="AO1205" s="250"/>
      <c r="AP1205" s="250"/>
      <c r="AQ1205" s="250"/>
      <c r="AR1205" s="250"/>
      <c r="AS1205" s="250"/>
      <c r="AT1205" s="250"/>
      <c r="AU1205" s="250"/>
      <c r="AV1205" s="124"/>
    </row>
    <row r="1206" spans="2:48" s="475" customFormat="1" x14ac:dyDescent="0.2">
      <c r="B1206" s="250"/>
      <c r="C1206" s="250"/>
      <c r="D1206" s="250"/>
      <c r="E1206" s="250"/>
      <c r="F1206" s="250"/>
      <c r="G1206" s="250"/>
      <c r="H1206" s="250"/>
      <c r="I1206" s="250"/>
      <c r="J1206" s="250"/>
      <c r="K1206" s="250"/>
      <c r="L1206" s="250"/>
      <c r="M1206" s="250"/>
      <c r="N1206" s="250"/>
      <c r="O1206" s="250"/>
      <c r="P1206" s="250"/>
      <c r="Q1206" s="250"/>
      <c r="R1206" s="250"/>
      <c r="S1206" s="250"/>
      <c r="T1206" s="250"/>
      <c r="U1206" s="250"/>
      <c r="V1206" s="250"/>
      <c r="W1206" s="250"/>
      <c r="X1206" s="250"/>
      <c r="Y1206" s="250"/>
      <c r="Z1206" s="250"/>
      <c r="AA1206" s="250"/>
      <c r="AB1206" s="250"/>
      <c r="AC1206" s="250"/>
      <c r="AD1206" s="250"/>
      <c r="AE1206" s="250"/>
      <c r="AF1206" s="250"/>
      <c r="AG1206" s="250"/>
      <c r="AH1206" s="250"/>
      <c r="AI1206" s="250"/>
      <c r="AJ1206" s="250"/>
      <c r="AK1206" s="250"/>
      <c r="AL1206" s="250"/>
      <c r="AM1206" s="250"/>
      <c r="AN1206" s="250"/>
      <c r="AO1206" s="250"/>
      <c r="AP1206" s="250"/>
      <c r="AQ1206" s="250"/>
      <c r="AR1206" s="250"/>
      <c r="AS1206" s="250"/>
      <c r="AT1206" s="250"/>
      <c r="AU1206" s="250"/>
      <c r="AV1206" s="124"/>
    </row>
    <row r="1207" spans="2:48" s="475" customFormat="1" x14ac:dyDescent="0.2">
      <c r="B1207" s="250"/>
      <c r="C1207" s="250"/>
      <c r="D1207" s="250"/>
      <c r="E1207" s="250"/>
      <c r="F1207" s="250"/>
      <c r="G1207" s="250"/>
      <c r="H1207" s="250"/>
      <c r="I1207" s="250"/>
      <c r="J1207" s="250"/>
      <c r="K1207" s="250"/>
      <c r="L1207" s="250"/>
      <c r="M1207" s="250"/>
      <c r="N1207" s="250"/>
      <c r="O1207" s="250"/>
      <c r="P1207" s="250"/>
      <c r="Q1207" s="250"/>
      <c r="R1207" s="250"/>
      <c r="S1207" s="250"/>
      <c r="T1207" s="250"/>
      <c r="U1207" s="250"/>
      <c r="V1207" s="250"/>
      <c r="W1207" s="250"/>
      <c r="X1207" s="250"/>
      <c r="Y1207" s="250"/>
      <c r="Z1207" s="250"/>
      <c r="AA1207" s="250"/>
      <c r="AB1207" s="250"/>
      <c r="AC1207" s="250"/>
      <c r="AD1207" s="250"/>
      <c r="AE1207" s="250"/>
      <c r="AF1207" s="250"/>
      <c r="AG1207" s="250"/>
      <c r="AH1207" s="250"/>
      <c r="AI1207" s="250"/>
      <c r="AJ1207" s="250"/>
      <c r="AK1207" s="250"/>
      <c r="AL1207" s="250"/>
      <c r="AM1207" s="250"/>
      <c r="AN1207" s="250"/>
      <c r="AO1207" s="250"/>
      <c r="AP1207" s="250"/>
      <c r="AQ1207" s="250"/>
      <c r="AR1207" s="250"/>
      <c r="AS1207" s="250"/>
      <c r="AT1207" s="250"/>
      <c r="AU1207" s="250"/>
      <c r="AV1207" s="124"/>
    </row>
    <row r="1208" spans="2:48" s="475" customFormat="1" x14ac:dyDescent="0.2">
      <c r="B1208" s="250"/>
      <c r="C1208" s="250"/>
      <c r="D1208" s="250"/>
      <c r="E1208" s="250"/>
      <c r="F1208" s="250"/>
      <c r="G1208" s="250"/>
      <c r="H1208" s="250"/>
      <c r="I1208" s="250"/>
      <c r="J1208" s="250"/>
      <c r="K1208" s="250"/>
      <c r="L1208" s="250"/>
      <c r="M1208" s="250"/>
      <c r="N1208" s="250"/>
      <c r="O1208" s="250"/>
      <c r="P1208" s="250"/>
      <c r="Q1208" s="250"/>
      <c r="R1208" s="250"/>
      <c r="S1208" s="250"/>
      <c r="T1208" s="250"/>
      <c r="U1208" s="250"/>
      <c r="V1208" s="250"/>
      <c r="W1208" s="250"/>
      <c r="X1208" s="250"/>
      <c r="Y1208" s="250"/>
      <c r="Z1208" s="250"/>
      <c r="AA1208" s="250"/>
      <c r="AB1208" s="250"/>
      <c r="AC1208" s="250"/>
      <c r="AD1208" s="250"/>
      <c r="AE1208" s="250"/>
      <c r="AF1208" s="250"/>
      <c r="AG1208" s="250"/>
      <c r="AH1208" s="250"/>
      <c r="AI1208" s="250"/>
      <c r="AJ1208" s="250"/>
      <c r="AK1208" s="250"/>
      <c r="AL1208" s="250"/>
      <c r="AM1208" s="250"/>
      <c r="AN1208" s="250"/>
      <c r="AO1208" s="250"/>
      <c r="AP1208" s="250"/>
      <c r="AQ1208" s="250"/>
      <c r="AR1208" s="250"/>
      <c r="AS1208" s="250"/>
      <c r="AT1208" s="250"/>
      <c r="AU1208" s="250"/>
      <c r="AV1208" s="124"/>
    </row>
    <row r="1209" spans="2:48" s="475" customFormat="1" x14ac:dyDescent="0.2">
      <c r="B1209" s="250"/>
      <c r="C1209" s="250"/>
      <c r="D1209" s="250"/>
      <c r="E1209" s="250"/>
      <c r="F1209" s="250"/>
      <c r="G1209" s="250"/>
      <c r="H1209" s="250"/>
      <c r="I1209" s="250"/>
      <c r="J1209" s="250"/>
      <c r="K1209" s="250"/>
      <c r="L1209" s="250"/>
      <c r="M1209" s="250"/>
      <c r="N1209" s="250"/>
      <c r="O1209" s="250"/>
      <c r="P1209" s="250"/>
      <c r="Q1209" s="250"/>
      <c r="R1209" s="250"/>
      <c r="S1209" s="250"/>
      <c r="T1209" s="250"/>
      <c r="U1209" s="250"/>
      <c r="V1209" s="250"/>
      <c r="W1209" s="250"/>
      <c r="X1209" s="250"/>
      <c r="Y1209" s="250"/>
      <c r="Z1209" s="250"/>
      <c r="AA1209" s="250"/>
      <c r="AB1209" s="250"/>
      <c r="AC1209" s="250"/>
      <c r="AD1209" s="250"/>
      <c r="AE1209" s="250"/>
      <c r="AF1209" s="250"/>
      <c r="AG1209" s="250"/>
      <c r="AH1209" s="250"/>
      <c r="AI1209" s="250"/>
      <c r="AJ1209" s="250"/>
      <c r="AK1209" s="250"/>
      <c r="AL1209" s="250"/>
      <c r="AM1209" s="250"/>
      <c r="AN1209" s="250"/>
      <c r="AO1209" s="250"/>
      <c r="AP1209" s="250"/>
      <c r="AQ1209" s="250"/>
      <c r="AR1209" s="250"/>
      <c r="AS1209" s="250"/>
      <c r="AT1209" s="250"/>
      <c r="AU1209" s="250"/>
      <c r="AV1209" s="124"/>
    </row>
    <row r="1210" spans="2:48" s="475" customFormat="1" x14ac:dyDescent="0.2">
      <c r="B1210" s="250"/>
      <c r="C1210" s="250"/>
      <c r="D1210" s="250"/>
      <c r="E1210" s="250"/>
      <c r="F1210" s="250"/>
      <c r="G1210" s="250"/>
      <c r="H1210" s="250"/>
      <c r="I1210" s="250"/>
      <c r="J1210" s="250"/>
      <c r="K1210" s="250"/>
      <c r="L1210" s="250"/>
      <c r="M1210" s="250"/>
      <c r="N1210" s="250"/>
      <c r="O1210" s="250"/>
      <c r="P1210" s="250"/>
      <c r="Q1210" s="250"/>
      <c r="R1210" s="250"/>
      <c r="S1210" s="250"/>
      <c r="T1210" s="250"/>
      <c r="U1210" s="250"/>
      <c r="V1210" s="250"/>
      <c r="W1210" s="250"/>
      <c r="X1210" s="250"/>
      <c r="Y1210" s="250"/>
      <c r="Z1210" s="250"/>
      <c r="AA1210" s="250"/>
      <c r="AB1210" s="250"/>
      <c r="AC1210" s="250"/>
      <c r="AD1210" s="250"/>
      <c r="AE1210" s="250"/>
      <c r="AF1210" s="250"/>
      <c r="AG1210" s="250"/>
      <c r="AH1210" s="250"/>
      <c r="AI1210" s="250"/>
      <c r="AJ1210" s="250"/>
      <c r="AK1210" s="250"/>
      <c r="AL1210" s="250"/>
      <c r="AM1210" s="250"/>
      <c r="AN1210" s="250"/>
      <c r="AO1210" s="250"/>
      <c r="AP1210" s="250"/>
      <c r="AQ1210" s="250"/>
      <c r="AR1210" s="250"/>
      <c r="AS1210" s="250"/>
      <c r="AT1210" s="250"/>
      <c r="AU1210" s="250"/>
      <c r="AV1210" s="124"/>
    </row>
    <row r="1211" spans="2:48" s="475" customFormat="1" x14ac:dyDescent="0.2">
      <c r="B1211" s="250"/>
      <c r="C1211" s="250"/>
      <c r="D1211" s="250"/>
      <c r="E1211" s="250"/>
      <c r="F1211" s="250"/>
      <c r="G1211" s="250"/>
      <c r="H1211" s="250"/>
      <c r="I1211" s="250"/>
      <c r="J1211" s="250"/>
      <c r="K1211" s="250"/>
      <c r="L1211" s="250"/>
      <c r="M1211" s="250"/>
      <c r="N1211" s="250"/>
      <c r="O1211" s="250"/>
      <c r="P1211" s="250"/>
      <c r="Q1211" s="250"/>
      <c r="R1211" s="250"/>
      <c r="S1211" s="250"/>
      <c r="T1211" s="250"/>
      <c r="U1211" s="250"/>
      <c r="V1211" s="250"/>
      <c r="W1211" s="250"/>
      <c r="X1211" s="250"/>
      <c r="Y1211" s="250"/>
      <c r="Z1211" s="250"/>
      <c r="AA1211" s="250"/>
      <c r="AB1211" s="250"/>
      <c r="AC1211" s="250"/>
      <c r="AD1211" s="250"/>
      <c r="AE1211" s="250"/>
      <c r="AF1211" s="250"/>
      <c r="AG1211" s="250"/>
      <c r="AH1211" s="250"/>
      <c r="AI1211" s="250"/>
      <c r="AJ1211" s="250"/>
      <c r="AK1211" s="250"/>
      <c r="AL1211" s="250"/>
      <c r="AM1211" s="250"/>
      <c r="AN1211" s="250"/>
      <c r="AO1211" s="250"/>
      <c r="AP1211" s="250"/>
      <c r="AQ1211" s="250"/>
      <c r="AR1211" s="250"/>
      <c r="AS1211" s="250"/>
      <c r="AT1211" s="250"/>
      <c r="AU1211" s="250"/>
      <c r="AV1211" s="124"/>
    </row>
    <row r="1212" spans="2:48" s="475" customFormat="1" x14ac:dyDescent="0.2">
      <c r="B1212" s="250"/>
      <c r="C1212" s="250"/>
      <c r="D1212" s="250"/>
      <c r="E1212" s="250"/>
      <c r="F1212" s="250"/>
      <c r="G1212" s="250"/>
      <c r="H1212" s="250"/>
      <c r="I1212" s="250"/>
      <c r="J1212" s="250"/>
      <c r="K1212" s="250"/>
      <c r="L1212" s="250"/>
      <c r="M1212" s="250"/>
      <c r="N1212" s="250"/>
      <c r="O1212" s="250"/>
      <c r="P1212" s="250"/>
      <c r="Q1212" s="250"/>
      <c r="R1212" s="250"/>
      <c r="S1212" s="250"/>
      <c r="T1212" s="250"/>
      <c r="U1212" s="250"/>
      <c r="V1212" s="250"/>
      <c r="W1212" s="250"/>
      <c r="X1212" s="250"/>
      <c r="Y1212" s="250"/>
      <c r="Z1212" s="250"/>
      <c r="AA1212" s="250"/>
      <c r="AB1212" s="250"/>
      <c r="AC1212" s="250"/>
      <c r="AD1212" s="250"/>
      <c r="AE1212" s="250"/>
      <c r="AF1212" s="250"/>
      <c r="AG1212" s="250"/>
      <c r="AH1212" s="250"/>
      <c r="AI1212" s="250"/>
      <c r="AJ1212" s="250"/>
      <c r="AK1212" s="250"/>
      <c r="AL1212" s="250"/>
      <c r="AM1212" s="250"/>
      <c r="AN1212" s="250"/>
      <c r="AO1212" s="250"/>
      <c r="AP1212" s="250"/>
      <c r="AQ1212" s="250"/>
      <c r="AR1212" s="250"/>
      <c r="AS1212" s="250"/>
      <c r="AT1212" s="250"/>
      <c r="AU1212" s="250"/>
      <c r="AV1212" s="124"/>
    </row>
    <row r="1213" spans="2:48" s="475" customFormat="1" x14ac:dyDescent="0.2">
      <c r="B1213" s="250"/>
      <c r="C1213" s="250"/>
      <c r="D1213" s="250"/>
      <c r="E1213" s="250"/>
      <c r="F1213" s="250"/>
      <c r="G1213" s="250"/>
      <c r="H1213" s="250"/>
      <c r="I1213" s="250"/>
      <c r="J1213" s="250"/>
      <c r="K1213" s="250"/>
      <c r="L1213" s="250"/>
      <c r="M1213" s="250"/>
      <c r="N1213" s="250"/>
      <c r="O1213" s="250"/>
      <c r="P1213" s="250"/>
      <c r="Q1213" s="250"/>
      <c r="R1213" s="250"/>
      <c r="S1213" s="250"/>
      <c r="T1213" s="250"/>
      <c r="U1213" s="250"/>
      <c r="V1213" s="250"/>
      <c r="W1213" s="250"/>
      <c r="X1213" s="250"/>
      <c r="Y1213" s="250"/>
      <c r="Z1213" s="250"/>
      <c r="AA1213" s="250"/>
      <c r="AB1213" s="250"/>
      <c r="AC1213" s="250"/>
      <c r="AD1213" s="250"/>
      <c r="AE1213" s="250"/>
      <c r="AF1213" s="250"/>
      <c r="AG1213" s="250"/>
      <c r="AH1213" s="250"/>
      <c r="AI1213" s="250"/>
      <c r="AJ1213" s="250"/>
      <c r="AK1213" s="250"/>
      <c r="AL1213" s="250"/>
      <c r="AM1213" s="250"/>
      <c r="AN1213" s="250"/>
      <c r="AO1213" s="250"/>
      <c r="AP1213" s="250"/>
      <c r="AQ1213" s="250"/>
      <c r="AR1213" s="250"/>
      <c r="AS1213" s="250"/>
      <c r="AT1213" s="250"/>
      <c r="AU1213" s="250"/>
      <c r="AV1213" s="124"/>
    </row>
    <row r="1214" spans="2:48" s="475" customFormat="1" x14ac:dyDescent="0.2">
      <c r="B1214" s="250"/>
      <c r="C1214" s="250"/>
      <c r="D1214" s="250"/>
      <c r="E1214" s="250"/>
      <c r="F1214" s="250"/>
      <c r="G1214" s="250"/>
      <c r="H1214" s="250"/>
      <c r="I1214" s="250"/>
      <c r="J1214" s="250"/>
      <c r="K1214" s="250"/>
      <c r="L1214" s="250"/>
      <c r="M1214" s="250"/>
      <c r="N1214" s="250"/>
      <c r="O1214" s="250"/>
      <c r="P1214" s="250"/>
      <c r="Q1214" s="250"/>
      <c r="R1214" s="250"/>
      <c r="S1214" s="250"/>
      <c r="T1214" s="250"/>
      <c r="U1214" s="250"/>
      <c r="V1214" s="250"/>
      <c r="W1214" s="250"/>
      <c r="X1214" s="250"/>
      <c r="Y1214" s="250"/>
      <c r="Z1214" s="250"/>
      <c r="AA1214" s="250"/>
      <c r="AB1214" s="250"/>
      <c r="AC1214" s="250"/>
      <c r="AD1214" s="250"/>
      <c r="AE1214" s="250"/>
      <c r="AF1214" s="250"/>
      <c r="AG1214" s="250"/>
      <c r="AH1214" s="250"/>
      <c r="AI1214" s="250"/>
      <c r="AJ1214" s="250"/>
      <c r="AK1214" s="250"/>
      <c r="AL1214" s="250"/>
      <c r="AM1214" s="250"/>
      <c r="AN1214" s="250"/>
      <c r="AO1214" s="250"/>
      <c r="AP1214" s="250"/>
      <c r="AQ1214" s="250"/>
      <c r="AR1214" s="250"/>
      <c r="AS1214" s="250"/>
      <c r="AT1214" s="250"/>
      <c r="AU1214" s="250"/>
      <c r="AV1214" s="124"/>
    </row>
    <row r="1215" spans="2:48" s="475" customFormat="1" x14ac:dyDescent="0.2">
      <c r="B1215" s="250"/>
      <c r="C1215" s="250"/>
      <c r="D1215" s="250"/>
      <c r="E1215" s="250"/>
      <c r="F1215" s="250"/>
      <c r="G1215" s="250"/>
      <c r="H1215" s="250"/>
      <c r="I1215" s="250"/>
      <c r="J1215" s="250"/>
      <c r="K1215" s="250"/>
      <c r="L1215" s="250"/>
      <c r="M1215" s="250"/>
      <c r="N1215" s="250"/>
      <c r="O1215" s="250"/>
      <c r="P1215" s="250"/>
      <c r="Q1215" s="250"/>
      <c r="R1215" s="250"/>
      <c r="S1215" s="250"/>
      <c r="T1215" s="250"/>
      <c r="U1215" s="250"/>
      <c r="V1215" s="250"/>
      <c r="W1215" s="250"/>
      <c r="X1215" s="250"/>
      <c r="Y1215" s="250"/>
      <c r="Z1215" s="250"/>
      <c r="AA1215" s="250"/>
      <c r="AB1215" s="250"/>
      <c r="AC1215" s="250"/>
      <c r="AD1215" s="250"/>
      <c r="AE1215" s="250"/>
      <c r="AF1215" s="250"/>
      <c r="AG1215" s="250"/>
      <c r="AH1215" s="250"/>
      <c r="AI1215" s="250"/>
      <c r="AJ1215" s="250"/>
      <c r="AK1215" s="250"/>
      <c r="AL1215" s="250"/>
      <c r="AM1215" s="250"/>
      <c r="AN1215" s="250"/>
      <c r="AO1215" s="250"/>
      <c r="AP1215" s="250"/>
      <c r="AQ1215" s="250"/>
      <c r="AR1215" s="250"/>
      <c r="AS1215" s="250"/>
      <c r="AT1215" s="250"/>
      <c r="AU1215" s="250"/>
      <c r="AV1215" s="124"/>
    </row>
    <row r="1216" spans="2:48" s="475" customFormat="1" x14ac:dyDescent="0.2">
      <c r="B1216" s="250"/>
      <c r="C1216" s="250"/>
      <c r="D1216" s="250"/>
      <c r="E1216" s="250"/>
      <c r="F1216" s="250"/>
      <c r="G1216" s="250"/>
      <c r="H1216" s="250"/>
      <c r="I1216" s="250"/>
      <c r="J1216" s="250"/>
      <c r="K1216" s="250"/>
      <c r="L1216" s="250"/>
      <c r="M1216" s="250"/>
      <c r="N1216" s="250"/>
      <c r="O1216" s="250"/>
      <c r="P1216" s="250"/>
      <c r="Q1216" s="250"/>
      <c r="R1216" s="250"/>
      <c r="S1216" s="250"/>
      <c r="T1216" s="250"/>
      <c r="U1216" s="250"/>
      <c r="V1216" s="250"/>
      <c r="W1216" s="250"/>
      <c r="X1216" s="250"/>
      <c r="Y1216" s="250"/>
      <c r="Z1216" s="250"/>
      <c r="AA1216" s="250"/>
      <c r="AB1216" s="250"/>
      <c r="AC1216" s="250"/>
      <c r="AD1216" s="250"/>
      <c r="AE1216" s="250"/>
      <c r="AF1216" s="250"/>
      <c r="AG1216" s="250"/>
      <c r="AH1216" s="250"/>
      <c r="AI1216" s="250"/>
      <c r="AJ1216" s="250"/>
      <c r="AK1216" s="250"/>
      <c r="AL1216" s="250"/>
      <c r="AM1216" s="250"/>
      <c r="AN1216" s="250"/>
      <c r="AO1216" s="250"/>
      <c r="AP1216" s="250"/>
      <c r="AQ1216" s="250"/>
      <c r="AR1216" s="250"/>
      <c r="AS1216" s="250"/>
      <c r="AT1216" s="250"/>
      <c r="AU1216" s="250"/>
      <c r="AV1216" s="124"/>
    </row>
    <row r="1217" spans="2:48" s="475" customFormat="1" x14ac:dyDescent="0.2">
      <c r="B1217" s="250"/>
      <c r="C1217" s="250"/>
      <c r="D1217" s="250"/>
      <c r="E1217" s="250"/>
      <c r="F1217" s="250"/>
      <c r="G1217" s="250"/>
      <c r="H1217" s="250"/>
      <c r="I1217" s="250"/>
      <c r="J1217" s="250"/>
      <c r="K1217" s="250"/>
      <c r="L1217" s="250"/>
      <c r="M1217" s="250"/>
      <c r="N1217" s="250"/>
      <c r="O1217" s="250"/>
      <c r="P1217" s="250"/>
      <c r="Q1217" s="250"/>
      <c r="R1217" s="250"/>
      <c r="S1217" s="250"/>
      <c r="T1217" s="250"/>
      <c r="U1217" s="250"/>
      <c r="V1217" s="250"/>
      <c r="W1217" s="250"/>
      <c r="X1217" s="250"/>
      <c r="Y1217" s="250"/>
      <c r="Z1217" s="250"/>
      <c r="AA1217" s="250"/>
      <c r="AB1217" s="250"/>
      <c r="AC1217" s="250"/>
      <c r="AD1217" s="250"/>
      <c r="AE1217" s="250"/>
      <c r="AF1217" s="250"/>
      <c r="AG1217" s="250"/>
      <c r="AH1217" s="250"/>
      <c r="AI1217" s="250"/>
      <c r="AJ1217" s="250"/>
      <c r="AK1217" s="250"/>
      <c r="AL1217" s="250"/>
      <c r="AM1217" s="250"/>
      <c r="AN1217" s="250"/>
      <c r="AO1217" s="250"/>
      <c r="AP1217" s="250"/>
      <c r="AQ1217" s="250"/>
      <c r="AR1217" s="250"/>
      <c r="AS1217" s="250"/>
      <c r="AT1217" s="250"/>
      <c r="AU1217" s="250"/>
      <c r="AV1217" s="124"/>
    </row>
    <row r="1218" spans="2:48" s="475" customFormat="1" x14ac:dyDescent="0.2">
      <c r="B1218" s="250"/>
      <c r="C1218" s="250"/>
      <c r="D1218" s="250"/>
      <c r="E1218" s="250"/>
      <c r="F1218" s="250"/>
      <c r="G1218" s="250"/>
      <c r="H1218" s="250"/>
      <c r="I1218" s="250"/>
      <c r="J1218" s="250"/>
      <c r="K1218" s="250"/>
      <c r="L1218" s="250"/>
      <c r="M1218" s="250"/>
      <c r="N1218" s="250"/>
      <c r="O1218" s="250"/>
      <c r="P1218" s="250"/>
      <c r="Q1218" s="250"/>
      <c r="R1218" s="250"/>
      <c r="S1218" s="250"/>
      <c r="T1218" s="250"/>
      <c r="U1218" s="250"/>
      <c r="V1218" s="250"/>
      <c r="W1218" s="250"/>
      <c r="X1218" s="250"/>
      <c r="Y1218" s="250"/>
      <c r="Z1218" s="250"/>
      <c r="AA1218" s="250"/>
      <c r="AB1218" s="250"/>
      <c r="AC1218" s="250"/>
      <c r="AD1218" s="250"/>
      <c r="AE1218" s="250"/>
      <c r="AF1218" s="250"/>
      <c r="AG1218" s="250"/>
      <c r="AH1218" s="250"/>
      <c r="AI1218" s="250"/>
      <c r="AJ1218" s="250"/>
      <c r="AK1218" s="250"/>
      <c r="AL1218" s="250"/>
      <c r="AM1218" s="250"/>
      <c r="AN1218" s="250"/>
      <c r="AO1218" s="250"/>
      <c r="AP1218" s="250"/>
      <c r="AQ1218" s="250"/>
      <c r="AR1218" s="250"/>
      <c r="AS1218" s="250"/>
      <c r="AT1218" s="250"/>
      <c r="AU1218" s="250"/>
      <c r="AV1218" s="124"/>
    </row>
    <row r="1219" spans="2:48" s="475" customFormat="1" x14ac:dyDescent="0.2">
      <c r="B1219" s="250"/>
      <c r="C1219" s="250"/>
      <c r="D1219" s="250"/>
      <c r="E1219" s="250"/>
      <c r="F1219" s="250"/>
      <c r="G1219" s="250"/>
      <c r="H1219" s="250"/>
      <c r="I1219" s="250"/>
      <c r="J1219" s="250"/>
      <c r="K1219" s="250"/>
      <c r="L1219" s="250"/>
      <c r="M1219" s="250"/>
      <c r="N1219" s="250"/>
      <c r="O1219" s="250"/>
      <c r="P1219" s="250"/>
      <c r="Q1219" s="250"/>
      <c r="R1219" s="250"/>
      <c r="S1219" s="250"/>
      <c r="T1219" s="250"/>
      <c r="U1219" s="250"/>
      <c r="V1219" s="250"/>
      <c r="W1219" s="250"/>
      <c r="X1219" s="250"/>
      <c r="Y1219" s="250"/>
      <c r="Z1219" s="250"/>
      <c r="AA1219" s="250"/>
      <c r="AB1219" s="250"/>
      <c r="AC1219" s="250"/>
      <c r="AD1219" s="250"/>
      <c r="AE1219" s="250"/>
      <c r="AF1219" s="250"/>
      <c r="AG1219" s="250"/>
      <c r="AH1219" s="250"/>
      <c r="AI1219" s="250"/>
      <c r="AJ1219" s="250"/>
      <c r="AK1219" s="250"/>
      <c r="AL1219" s="250"/>
      <c r="AM1219" s="250"/>
      <c r="AN1219" s="250"/>
      <c r="AO1219" s="250"/>
      <c r="AP1219" s="250"/>
      <c r="AQ1219" s="250"/>
      <c r="AR1219" s="250"/>
      <c r="AS1219" s="250"/>
      <c r="AT1219" s="250"/>
      <c r="AU1219" s="250"/>
      <c r="AV1219" s="124"/>
    </row>
    <row r="1220" spans="2:48" s="475" customFormat="1" x14ac:dyDescent="0.2">
      <c r="B1220" s="250"/>
      <c r="C1220" s="250"/>
      <c r="D1220" s="250"/>
      <c r="E1220" s="250"/>
      <c r="F1220" s="250"/>
      <c r="G1220" s="250"/>
      <c r="H1220" s="250"/>
      <c r="I1220" s="250"/>
      <c r="J1220" s="250"/>
      <c r="K1220" s="250"/>
      <c r="L1220" s="250"/>
      <c r="M1220" s="250"/>
      <c r="N1220" s="250"/>
      <c r="O1220" s="250"/>
      <c r="P1220" s="250"/>
      <c r="Q1220" s="250"/>
      <c r="R1220" s="250"/>
      <c r="S1220" s="250"/>
      <c r="T1220" s="250"/>
      <c r="U1220" s="250"/>
      <c r="V1220" s="250"/>
      <c r="W1220" s="250"/>
      <c r="X1220" s="250"/>
      <c r="Y1220" s="250"/>
      <c r="Z1220" s="250"/>
      <c r="AA1220" s="250"/>
      <c r="AB1220" s="250"/>
      <c r="AC1220" s="250"/>
      <c r="AD1220" s="250"/>
      <c r="AE1220" s="250"/>
      <c r="AF1220" s="250"/>
      <c r="AG1220" s="250"/>
      <c r="AH1220" s="250"/>
      <c r="AI1220" s="250"/>
      <c r="AJ1220" s="250"/>
      <c r="AK1220" s="250"/>
      <c r="AL1220" s="250"/>
      <c r="AM1220" s="250"/>
      <c r="AN1220" s="250"/>
      <c r="AO1220" s="250"/>
      <c r="AP1220" s="250"/>
      <c r="AQ1220" s="250"/>
      <c r="AR1220" s="250"/>
      <c r="AS1220" s="250"/>
      <c r="AT1220" s="250"/>
      <c r="AU1220" s="250"/>
      <c r="AV1220" s="124"/>
    </row>
    <row r="1221" spans="2:48" s="475" customFormat="1" x14ac:dyDescent="0.2">
      <c r="B1221" s="250"/>
      <c r="C1221" s="250"/>
      <c r="D1221" s="250"/>
      <c r="E1221" s="250"/>
      <c r="F1221" s="250"/>
      <c r="G1221" s="250"/>
      <c r="H1221" s="250"/>
      <c r="I1221" s="250"/>
      <c r="J1221" s="250"/>
      <c r="K1221" s="250"/>
      <c r="L1221" s="250"/>
      <c r="M1221" s="250"/>
      <c r="N1221" s="250"/>
      <c r="O1221" s="250"/>
      <c r="P1221" s="250"/>
      <c r="Q1221" s="250"/>
      <c r="R1221" s="250"/>
      <c r="S1221" s="250"/>
      <c r="T1221" s="250"/>
      <c r="U1221" s="250"/>
      <c r="V1221" s="250"/>
      <c r="W1221" s="250"/>
      <c r="X1221" s="250"/>
      <c r="Y1221" s="250"/>
      <c r="Z1221" s="250"/>
      <c r="AA1221" s="250"/>
      <c r="AB1221" s="250"/>
      <c r="AC1221" s="250"/>
      <c r="AD1221" s="250"/>
      <c r="AE1221" s="250"/>
      <c r="AF1221" s="250"/>
      <c r="AG1221" s="250"/>
      <c r="AH1221" s="250"/>
      <c r="AI1221" s="250"/>
      <c r="AJ1221" s="250"/>
      <c r="AK1221" s="250"/>
      <c r="AL1221" s="250"/>
      <c r="AM1221" s="250"/>
      <c r="AN1221" s="250"/>
      <c r="AO1221" s="250"/>
      <c r="AP1221" s="250"/>
      <c r="AQ1221" s="250"/>
      <c r="AR1221" s="250"/>
      <c r="AS1221" s="250"/>
      <c r="AT1221" s="250"/>
      <c r="AU1221" s="250"/>
      <c r="AV1221" s="124"/>
    </row>
    <row r="1222" spans="2:48" s="475" customFormat="1" x14ac:dyDescent="0.2">
      <c r="B1222" s="250"/>
      <c r="C1222" s="250"/>
      <c r="D1222" s="250"/>
      <c r="E1222" s="250"/>
      <c r="F1222" s="250"/>
      <c r="G1222" s="250"/>
      <c r="H1222" s="250"/>
      <c r="I1222" s="250"/>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c r="AN1222" s="250"/>
      <c r="AO1222" s="250"/>
      <c r="AP1222" s="250"/>
      <c r="AQ1222" s="250"/>
      <c r="AR1222" s="250"/>
      <c r="AS1222" s="250"/>
      <c r="AT1222" s="250"/>
      <c r="AU1222" s="250"/>
      <c r="AV1222" s="124"/>
    </row>
    <row r="1223" spans="2:48" s="475" customFormat="1" x14ac:dyDescent="0.2">
      <c r="B1223" s="250"/>
      <c r="C1223" s="250"/>
      <c r="D1223" s="250"/>
      <c r="E1223" s="250"/>
      <c r="F1223" s="250"/>
      <c r="G1223" s="250"/>
      <c r="H1223" s="250"/>
      <c r="I1223" s="250"/>
      <c r="J1223" s="250"/>
      <c r="K1223" s="250"/>
      <c r="L1223" s="250"/>
      <c r="M1223" s="250"/>
      <c r="N1223" s="250"/>
      <c r="O1223" s="250"/>
      <c r="P1223" s="250"/>
      <c r="Q1223" s="250"/>
      <c r="R1223" s="250"/>
      <c r="S1223" s="250"/>
      <c r="T1223" s="250"/>
      <c r="U1223" s="250"/>
      <c r="V1223" s="250"/>
      <c r="W1223" s="250"/>
      <c r="X1223" s="250"/>
      <c r="Y1223" s="250"/>
      <c r="Z1223" s="250"/>
      <c r="AA1223" s="250"/>
      <c r="AB1223" s="250"/>
      <c r="AC1223" s="250"/>
      <c r="AD1223" s="250"/>
      <c r="AE1223" s="250"/>
      <c r="AF1223" s="250"/>
      <c r="AG1223" s="250"/>
      <c r="AH1223" s="250"/>
      <c r="AI1223" s="250"/>
      <c r="AJ1223" s="250"/>
      <c r="AK1223" s="250"/>
      <c r="AL1223" s="250"/>
      <c r="AM1223" s="250"/>
      <c r="AN1223" s="250"/>
      <c r="AO1223" s="250"/>
      <c r="AP1223" s="250"/>
      <c r="AQ1223" s="250"/>
      <c r="AR1223" s="250"/>
      <c r="AS1223" s="250"/>
      <c r="AT1223" s="250"/>
      <c r="AU1223" s="250"/>
      <c r="AV1223" s="124"/>
    </row>
    <row r="1224" spans="2:48" s="475" customFormat="1" x14ac:dyDescent="0.2">
      <c r="B1224" s="250"/>
      <c r="C1224" s="250"/>
      <c r="D1224" s="250"/>
      <c r="E1224" s="250"/>
      <c r="F1224" s="250"/>
      <c r="G1224" s="250"/>
      <c r="H1224" s="250"/>
      <c r="I1224" s="250"/>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c r="AN1224" s="250"/>
      <c r="AO1224" s="250"/>
      <c r="AP1224" s="250"/>
      <c r="AQ1224" s="250"/>
      <c r="AR1224" s="250"/>
      <c r="AS1224" s="250"/>
      <c r="AT1224" s="250"/>
      <c r="AU1224" s="250"/>
      <c r="AV1224" s="124"/>
    </row>
    <row r="1225" spans="2:48" s="475" customFormat="1" x14ac:dyDescent="0.2">
      <c r="B1225" s="250"/>
      <c r="C1225" s="250"/>
      <c r="D1225" s="250"/>
      <c r="E1225" s="250"/>
      <c r="F1225" s="250"/>
      <c r="G1225" s="250"/>
      <c r="H1225" s="250"/>
      <c r="I1225" s="250"/>
      <c r="J1225" s="250"/>
      <c r="K1225" s="250"/>
      <c r="L1225" s="250"/>
      <c r="M1225" s="250"/>
      <c r="N1225" s="250"/>
      <c r="O1225" s="250"/>
      <c r="P1225" s="250"/>
      <c r="Q1225" s="250"/>
      <c r="R1225" s="250"/>
      <c r="S1225" s="250"/>
      <c r="T1225" s="250"/>
      <c r="U1225" s="250"/>
      <c r="V1225" s="250"/>
      <c r="W1225" s="250"/>
      <c r="X1225" s="250"/>
      <c r="Y1225" s="250"/>
      <c r="Z1225" s="250"/>
      <c r="AA1225" s="250"/>
      <c r="AB1225" s="250"/>
      <c r="AC1225" s="250"/>
      <c r="AD1225" s="250"/>
      <c r="AE1225" s="250"/>
      <c r="AF1225" s="250"/>
      <c r="AG1225" s="250"/>
      <c r="AH1225" s="250"/>
      <c r="AI1225" s="250"/>
      <c r="AJ1225" s="250"/>
      <c r="AK1225" s="250"/>
      <c r="AL1225" s="250"/>
      <c r="AM1225" s="250"/>
      <c r="AN1225" s="250"/>
      <c r="AO1225" s="250"/>
      <c r="AP1225" s="250"/>
      <c r="AQ1225" s="250"/>
      <c r="AR1225" s="250"/>
      <c r="AS1225" s="250"/>
      <c r="AT1225" s="250"/>
      <c r="AU1225" s="250"/>
      <c r="AV1225" s="124"/>
    </row>
    <row r="1226" spans="2:48" s="475" customFormat="1" x14ac:dyDescent="0.2">
      <c r="B1226" s="250"/>
      <c r="C1226" s="250"/>
      <c r="D1226" s="250"/>
      <c r="E1226" s="250"/>
      <c r="F1226" s="250"/>
      <c r="G1226" s="250"/>
      <c r="H1226" s="250"/>
      <c r="I1226" s="250"/>
      <c r="J1226" s="250"/>
      <c r="K1226" s="250"/>
      <c r="L1226" s="250"/>
      <c r="M1226" s="250"/>
      <c r="N1226" s="250"/>
      <c r="O1226" s="250"/>
      <c r="P1226" s="250"/>
      <c r="Q1226" s="250"/>
      <c r="R1226" s="250"/>
      <c r="S1226" s="250"/>
      <c r="T1226" s="250"/>
      <c r="U1226" s="250"/>
      <c r="V1226" s="250"/>
      <c r="W1226" s="250"/>
      <c r="X1226" s="250"/>
      <c r="Y1226" s="250"/>
      <c r="Z1226" s="250"/>
      <c r="AA1226" s="250"/>
      <c r="AB1226" s="250"/>
      <c r="AC1226" s="250"/>
      <c r="AD1226" s="250"/>
      <c r="AE1226" s="250"/>
      <c r="AF1226" s="250"/>
      <c r="AG1226" s="250"/>
      <c r="AH1226" s="250"/>
      <c r="AI1226" s="250"/>
      <c r="AJ1226" s="250"/>
      <c r="AK1226" s="250"/>
      <c r="AL1226" s="250"/>
      <c r="AM1226" s="250"/>
      <c r="AN1226" s="250"/>
      <c r="AO1226" s="250"/>
      <c r="AP1226" s="250"/>
      <c r="AQ1226" s="250"/>
      <c r="AR1226" s="250"/>
      <c r="AS1226" s="250"/>
      <c r="AT1226" s="250"/>
      <c r="AU1226" s="250"/>
      <c r="AV1226" s="124"/>
    </row>
    <row r="1227" spans="2:48" s="475" customFormat="1" x14ac:dyDescent="0.2">
      <c r="B1227" s="250"/>
      <c r="C1227" s="250"/>
      <c r="D1227" s="250"/>
      <c r="E1227" s="250"/>
      <c r="F1227" s="250"/>
      <c r="G1227" s="250"/>
      <c r="H1227" s="250"/>
      <c r="I1227" s="250"/>
      <c r="J1227" s="250"/>
      <c r="K1227" s="250"/>
      <c r="L1227" s="250"/>
      <c r="M1227" s="250"/>
      <c r="N1227" s="250"/>
      <c r="O1227" s="250"/>
      <c r="P1227" s="250"/>
      <c r="Q1227" s="250"/>
      <c r="R1227" s="250"/>
      <c r="S1227" s="250"/>
      <c r="T1227" s="250"/>
      <c r="U1227" s="250"/>
      <c r="V1227" s="250"/>
      <c r="W1227" s="250"/>
      <c r="X1227" s="250"/>
      <c r="Y1227" s="250"/>
      <c r="Z1227" s="250"/>
      <c r="AA1227" s="250"/>
      <c r="AB1227" s="250"/>
      <c r="AC1227" s="250"/>
      <c r="AD1227" s="250"/>
      <c r="AE1227" s="250"/>
      <c r="AF1227" s="250"/>
      <c r="AG1227" s="250"/>
      <c r="AH1227" s="250"/>
      <c r="AI1227" s="250"/>
      <c r="AJ1227" s="250"/>
      <c r="AK1227" s="250"/>
      <c r="AL1227" s="250"/>
      <c r="AM1227" s="250"/>
      <c r="AN1227" s="250"/>
      <c r="AO1227" s="250"/>
      <c r="AP1227" s="250"/>
      <c r="AQ1227" s="250"/>
      <c r="AR1227" s="250"/>
      <c r="AS1227" s="250"/>
      <c r="AT1227" s="250"/>
      <c r="AU1227" s="250"/>
      <c r="AV1227" s="124"/>
    </row>
    <row r="1228" spans="2:48" s="475" customFormat="1" x14ac:dyDescent="0.2">
      <c r="B1228" s="250"/>
      <c r="C1228" s="250"/>
      <c r="D1228" s="250"/>
      <c r="E1228" s="250"/>
      <c r="F1228" s="250"/>
      <c r="G1228" s="250"/>
      <c r="H1228" s="250"/>
      <c r="I1228" s="250"/>
      <c r="J1228" s="250"/>
      <c r="K1228" s="250"/>
      <c r="L1228" s="250"/>
      <c r="M1228" s="250"/>
      <c r="N1228" s="250"/>
      <c r="O1228" s="250"/>
      <c r="P1228" s="250"/>
      <c r="Q1228" s="250"/>
      <c r="R1228" s="250"/>
      <c r="S1228" s="250"/>
      <c r="T1228" s="250"/>
      <c r="U1228" s="250"/>
      <c r="V1228" s="250"/>
      <c r="W1228" s="250"/>
      <c r="X1228" s="250"/>
      <c r="Y1228" s="250"/>
      <c r="Z1228" s="250"/>
      <c r="AA1228" s="250"/>
      <c r="AB1228" s="250"/>
      <c r="AC1228" s="250"/>
      <c r="AD1228" s="250"/>
      <c r="AE1228" s="250"/>
      <c r="AF1228" s="250"/>
      <c r="AG1228" s="250"/>
      <c r="AH1228" s="250"/>
      <c r="AI1228" s="250"/>
      <c r="AJ1228" s="250"/>
      <c r="AK1228" s="250"/>
      <c r="AL1228" s="250"/>
      <c r="AM1228" s="250"/>
      <c r="AN1228" s="250"/>
      <c r="AO1228" s="250"/>
      <c r="AP1228" s="250"/>
      <c r="AQ1228" s="250"/>
      <c r="AR1228" s="250"/>
      <c r="AS1228" s="250"/>
      <c r="AT1228" s="250"/>
      <c r="AU1228" s="250"/>
      <c r="AV1228" s="124"/>
    </row>
    <row r="1229" spans="2:48" s="475" customFormat="1" x14ac:dyDescent="0.2">
      <c r="B1229" s="250"/>
      <c r="C1229" s="250"/>
      <c r="D1229" s="250"/>
      <c r="E1229" s="250"/>
      <c r="F1229" s="250"/>
      <c r="G1229" s="250"/>
      <c r="H1229" s="250"/>
      <c r="I1229" s="250"/>
      <c r="J1229" s="250"/>
      <c r="K1229" s="250"/>
      <c r="L1229" s="250"/>
      <c r="M1229" s="250"/>
      <c r="N1229" s="250"/>
      <c r="O1229" s="250"/>
      <c r="P1229" s="250"/>
      <c r="Q1229" s="250"/>
      <c r="R1229" s="250"/>
      <c r="S1229" s="250"/>
      <c r="T1229" s="250"/>
      <c r="U1229" s="250"/>
      <c r="V1229" s="250"/>
      <c r="W1229" s="250"/>
      <c r="X1229" s="250"/>
      <c r="Y1229" s="250"/>
      <c r="Z1229" s="250"/>
      <c r="AA1229" s="250"/>
      <c r="AB1229" s="250"/>
      <c r="AC1229" s="250"/>
      <c r="AD1229" s="250"/>
      <c r="AE1229" s="250"/>
      <c r="AF1229" s="250"/>
      <c r="AG1229" s="250"/>
      <c r="AH1229" s="250"/>
      <c r="AI1229" s="250"/>
      <c r="AJ1229" s="250"/>
      <c r="AK1229" s="250"/>
      <c r="AL1229" s="250"/>
      <c r="AM1229" s="250"/>
      <c r="AN1229" s="250"/>
      <c r="AO1229" s="250"/>
      <c r="AP1229" s="250"/>
      <c r="AQ1229" s="250"/>
      <c r="AR1229" s="250"/>
      <c r="AS1229" s="250"/>
      <c r="AT1229" s="250"/>
      <c r="AU1229" s="250"/>
      <c r="AV1229" s="124"/>
    </row>
    <row r="1230" spans="2:48" s="475" customFormat="1" x14ac:dyDescent="0.2">
      <c r="B1230" s="250"/>
      <c r="C1230" s="250"/>
      <c r="D1230" s="250"/>
      <c r="E1230" s="250"/>
      <c r="F1230" s="250"/>
      <c r="G1230" s="250"/>
      <c r="H1230" s="250"/>
      <c r="I1230" s="250"/>
      <c r="J1230" s="250"/>
      <c r="K1230" s="250"/>
      <c r="L1230" s="250"/>
      <c r="M1230" s="250"/>
      <c r="N1230" s="250"/>
      <c r="O1230" s="250"/>
      <c r="P1230" s="250"/>
      <c r="Q1230" s="250"/>
      <c r="R1230" s="250"/>
      <c r="S1230" s="250"/>
      <c r="T1230" s="250"/>
      <c r="U1230" s="250"/>
      <c r="V1230" s="250"/>
      <c r="W1230" s="250"/>
      <c r="X1230" s="250"/>
      <c r="Y1230" s="250"/>
      <c r="Z1230" s="250"/>
      <c r="AA1230" s="250"/>
      <c r="AB1230" s="250"/>
      <c r="AC1230" s="250"/>
      <c r="AD1230" s="250"/>
      <c r="AE1230" s="250"/>
      <c r="AF1230" s="250"/>
      <c r="AG1230" s="250"/>
      <c r="AH1230" s="250"/>
      <c r="AI1230" s="250"/>
      <c r="AJ1230" s="250"/>
      <c r="AK1230" s="250"/>
      <c r="AL1230" s="250"/>
      <c r="AM1230" s="250"/>
      <c r="AN1230" s="250"/>
      <c r="AO1230" s="250"/>
      <c r="AP1230" s="250"/>
      <c r="AQ1230" s="250"/>
      <c r="AR1230" s="250"/>
      <c r="AS1230" s="250"/>
      <c r="AT1230" s="250"/>
      <c r="AU1230" s="250"/>
      <c r="AV1230" s="124"/>
    </row>
    <row r="1231" spans="2:48" s="475" customFormat="1" x14ac:dyDescent="0.2">
      <c r="B1231" s="250"/>
      <c r="C1231" s="250"/>
      <c r="D1231" s="250"/>
      <c r="E1231" s="250"/>
      <c r="F1231" s="250"/>
      <c r="G1231" s="250"/>
      <c r="H1231" s="250"/>
      <c r="I1231" s="250"/>
      <c r="J1231" s="250"/>
      <c r="K1231" s="250"/>
      <c r="L1231" s="250"/>
      <c r="M1231" s="250"/>
      <c r="N1231" s="250"/>
      <c r="O1231" s="250"/>
      <c r="P1231" s="250"/>
      <c r="Q1231" s="250"/>
      <c r="R1231" s="250"/>
      <c r="S1231" s="250"/>
      <c r="T1231" s="250"/>
      <c r="U1231" s="250"/>
      <c r="V1231" s="250"/>
      <c r="W1231" s="250"/>
      <c r="X1231" s="250"/>
      <c r="Y1231" s="250"/>
      <c r="Z1231" s="250"/>
      <c r="AA1231" s="250"/>
      <c r="AB1231" s="250"/>
      <c r="AC1231" s="250"/>
      <c r="AD1231" s="250"/>
      <c r="AE1231" s="250"/>
      <c r="AF1231" s="250"/>
      <c r="AG1231" s="250"/>
      <c r="AH1231" s="250"/>
      <c r="AI1231" s="250"/>
      <c r="AJ1231" s="250"/>
      <c r="AK1231" s="250"/>
      <c r="AL1231" s="250"/>
      <c r="AM1231" s="250"/>
      <c r="AN1231" s="250"/>
      <c r="AO1231" s="250"/>
      <c r="AP1231" s="250"/>
      <c r="AQ1231" s="250"/>
      <c r="AR1231" s="250"/>
      <c r="AS1231" s="250"/>
      <c r="AT1231" s="250"/>
      <c r="AU1231" s="250"/>
      <c r="AV1231" s="124"/>
    </row>
    <row r="1232" spans="2:48" s="475" customFormat="1" x14ac:dyDescent="0.2">
      <c r="B1232" s="250"/>
      <c r="C1232" s="250"/>
      <c r="D1232" s="250"/>
      <c r="E1232" s="250"/>
      <c r="F1232" s="250"/>
      <c r="G1232" s="250"/>
      <c r="H1232" s="250"/>
      <c r="I1232" s="250"/>
      <c r="J1232" s="250"/>
      <c r="K1232" s="250"/>
      <c r="L1232" s="250"/>
      <c r="M1232" s="250"/>
      <c r="N1232" s="250"/>
      <c r="O1232" s="250"/>
      <c r="P1232" s="250"/>
      <c r="Q1232" s="250"/>
      <c r="R1232" s="250"/>
      <c r="S1232" s="250"/>
      <c r="T1232" s="250"/>
      <c r="U1232" s="250"/>
      <c r="V1232" s="250"/>
      <c r="W1232" s="250"/>
      <c r="X1232" s="250"/>
      <c r="Y1232" s="250"/>
      <c r="Z1232" s="250"/>
      <c r="AA1232" s="250"/>
      <c r="AB1232" s="250"/>
      <c r="AC1232" s="250"/>
      <c r="AD1232" s="250"/>
      <c r="AE1232" s="250"/>
      <c r="AF1232" s="250"/>
      <c r="AG1232" s="250"/>
      <c r="AH1232" s="250"/>
      <c r="AI1232" s="250"/>
      <c r="AJ1232" s="250"/>
      <c r="AK1232" s="250"/>
      <c r="AL1232" s="250"/>
      <c r="AM1232" s="250"/>
      <c r="AN1232" s="250"/>
      <c r="AO1232" s="250"/>
      <c r="AP1232" s="250"/>
      <c r="AQ1232" s="250"/>
      <c r="AR1232" s="250"/>
      <c r="AS1232" s="250"/>
      <c r="AT1232" s="250"/>
      <c r="AU1232" s="250"/>
      <c r="AV1232" s="124"/>
    </row>
    <row r="1233" spans="2:48" s="475" customFormat="1" x14ac:dyDescent="0.2">
      <c r="B1233" s="250"/>
      <c r="C1233" s="250"/>
      <c r="D1233" s="250"/>
      <c r="E1233" s="250"/>
      <c r="F1233" s="250"/>
      <c r="G1233" s="250"/>
      <c r="H1233" s="250"/>
      <c r="I1233" s="250"/>
      <c r="J1233" s="250"/>
      <c r="K1233" s="250"/>
      <c r="L1233" s="250"/>
      <c r="M1233" s="250"/>
      <c r="N1233" s="250"/>
      <c r="O1233" s="250"/>
      <c r="P1233" s="250"/>
      <c r="Q1233" s="250"/>
      <c r="R1233" s="250"/>
      <c r="S1233" s="250"/>
      <c r="T1233" s="250"/>
      <c r="U1233" s="250"/>
      <c r="V1233" s="250"/>
      <c r="W1233" s="250"/>
      <c r="X1233" s="250"/>
      <c r="Y1233" s="250"/>
      <c r="Z1233" s="250"/>
      <c r="AA1233" s="250"/>
      <c r="AB1233" s="250"/>
      <c r="AC1233" s="250"/>
      <c r="AD1233" s="250"/>
      <c r="AE1233" s="250"/>
      <c r="AF1233" s="250"/>
      <c r="AG1233" s="250"/>
      <c r="AH1233" s="250"/>
      <c r="AI1233" s="250"/>
      <c r="AJ1233" s="250"/>
      <c r="AK1233" s="250"/>
      <c r="AL1233" s="250"/>
      <c r="AM1233" s="250"/>
      <c r="AN1233" s="250"/>
      <c r="AO1233" s="250"/>
      <c r="AP1233" s="250"/>
      <c r="AQ1233" s="250"/>
      <c r="AR1233" s="250"/>
      <c r="AS1233" s="250"/>
      <c r="AT1233" s="250"/>
      <c r="AU1233" s="250"/>
      <c r="AV1233" s="124"/>
    </row>
    <row r="1234" spans="2:48" s="475" customFormat="1" x14ac:dyDescent="0.2">
      <c r="B1234" s="250"/>
      <c r="C1234" s="250"/>
      <c r="D1234" s="250"/>
      <c r="E1234" s="250"/>
      <c r="F1234" s="250"/>
      <c r="G1234" s="250"/>
      <c r="H1234" s="250"/>
      <c r="I1234" s="250"/>
      <c r="J1234" s="250"/>
      <c r="K1234" s="250"/>
      <c r="L1234" s="250"/>
      <c r="M1234" s="250"/>
      <c r="N1234" s="250"/>
      <c r="O1234" s="250"/>
      <c r="P1234" s="250"/>
      <c r="Q1234" s="250"/>
      <c r="R1234" s="250"/>
      <c r="S1234" s="250"/>
      <c r="T1234" s="250"/>
      <c r="U1234" s="250"/>
      <c r="V1234" s="250"/>
      <c r="W1234" s="250"/>
      <c r="X1234" s="250"/>
      <c r="Y1234" s="250"/>
      <c r="Z1234" s="250"/>
      <c r="AA1234" s="250"/>
      <c r="AB1234" s="250"/>
      <c r="AC1234" s="250"/>
      <c r="AD1234" s="250"/>
      <c r="AE1234" s="250"/>
      <c r="AF1234" s="250"/>
      <c r="AG1234" s="250"/>
      <c r="AH1234" s="250"/>
      <c r="AI1234" s="250"/>
      <c r="AJ1234" s="250"/>
      <c r="AK1234" s="250"/>
      <c r="AL1234" s="250"/>
      <c r="AM1234" s="250"/>
      <c r="AN1234" s="250"/>
      <c r="AO1234" s="250"/>
      <c r="AP1234" s="250"/>
      <c r="AQ1234" s="250"/>
      <c r="AR1234" s="250"/>
      <c r="AS1234" s="250"/>
      <c r="AT1234" s="250"/>
      <c r="AU1234" s="250"/>
      <c r="AV1234" s="124"/>
    </row>
    <row r="1235" spans="2:48" s="475" customFormat="1" x14ac:dyDescent="0.2">
      <c r="B1235" s="250"/>
      <c r="C1235" s="250"/>
      <c r="D1235" s="250"/>
      <c r="E1235" s="250"/>
      <c r="F1235" s="250"/>
      <c r="G1235" s="250"/>
      <c r="H1235" s="250"/>
      <c r="I1235" s="250"/>
      <c r="J1235" s="250"/>
      <c r="K1235" s="250"/>
      <c r="L1235" s="250"/>
      <c r="M1235" s="250"/>
      <c r="N1235" s="250"/>
      <c r="O1235" s="250"/>
      <c r="P1235" s="250"/>
      <c r="Q1235" s="250"/>
      <c r="R1235" s="250"/>
      <c r="S1235" s="250"/>
      <c r="T1235" s="250"/>
      <c r="U1235" s="250"/>
      <c r="V1235" s="250"/>
      <c r="W1235" s="250"/>
      <c r="X1235" s="250"/>
      <c r="Y1235" s="250"/>
      <c r="Z1235" s="250"/>
      <c r="AA1235" s="250"/>
      <c r="AB1235" s="250"/>
      <c r="AC1235" s="250"/>
      <c r="AD1235" s="250"/>
      <c r="AE1235" s="250"/>
      <c r="AF1235" s="250"/>
      <c r="AG1235" s="250"/>
      <c r="AH1235" s="250"/>
      <c r="AI1235" s="250"/>
      <c r="AJ1235" s="250"/>
      <c r="AK1235" s="250"/>
      <c r="AL1235" s="250"/>
      <c r="AM1235" s="250"/>
      <c r="AN1235" s="250"/>
      <c r="AO1235" s="250"/>
      <c r="AP1235" s="250"/>
      <c r="AQ1235" s="250"/>
      <c r="AR1235" s="250"/>
      <c r="AS1235" s="250"/>
      <c r="AT1235" s="250"/>
      <c r="AU1235" s="250"/>
      <c r="AV1235" s="124"/>
    </row>
    <row r="1236" spans="2:48" s="475" customFormat="1" x14ac:dyDescent="0.2">
      <c r="B1236" s="250"/>
      <c r="C1236" s="250"/>
      <c r="D1236" s="250"/>
      <c r="E1236" s="250"/>
      <c r="F1236" s="250"/>
      <c r="G1236" s="250"/>
      <c r="H1236" s="250"/>
      <c r="I1236" s="250"/>
      <c r="J1236" s="250"/>
      <c r="K1236" s="250"/>
      <c r="L1236" s="250"/>
      <c r="M1236" s="250"/>
      <c r="N1236" s="250"/>
      <c r="O1236" s="250"/>
      <c r="P1236" s="250"/>
      <c r="Q1236" s="250"/>
      <c r="R1236" s="250"/>
      <c r="S1236" s="250"/>
      <c r="T1236" s="250"/>
      <c r="U1236" s="250"/>
      <c r="V1236" s="250"/>
      <c r="W1236" s="250"/>
      <c r="X1236" s="250"/>
      <c r="Y1236" s="250"/>
      <c r="Z1236" s="250"/>
      <c r="AA1236" s="250"/>
      <c r="AB1236" s="250"/>
      <c r="AC1236" s="250"/>
      <c r="AD1236" s="250"/>
      <c r="AE1236" s="250"/>
      <c r="AF1236" s="250"/>
      <c r="AG1236" s="250"/>
      <c r="AH1236" s="250"/>
      <c r="AI1236" s="250"/>
      <c r="AJ1236" s="250"/>
      <c r="AK1236" s="250"/>
      <c r="AL1236" s="250"/>
      <c r="AM1236" s="250"/>
      <c r="AN1236" s="250"/>
      <c r="AO1236" s="250"/>
      <c r="AP1236" s="250"/>
      <c r="AQ1236" s="250"/>
      <c r="AR1236" s="250"/>
      <c r="AS1236" s="250"/>
      <c r="AT1236" s="250"/>
      <c r="AU1236" s="250"/>
      <c r="AV1236" s="124"/>
    </row>
    <row r="1237" spans="2:48" s="475" customFormat="1" x14ac:dyDescent="0.2">
      <c r="B1237" s="250"/>
      <c r="C1237" s="250"/>
      <c r="D1237" s="250"/>
      <c r="E1237" s="250"/>
      <c r="F1237" s="250"/>
      <c r="G1237" s="250"/>
      <c r="H1237" s="250"/>
      <c r="I1237" s="250"/>
      <c r="J1237" s="250"/>
      <c r="K1237" s="250"/>
      <c r="L1237" s="250"/>
      <c r="M1237" s="250"/>
      <c r="N1237" s="250"/>
      <c r="O1237" s="250"/>
      <c r="P1237" s="250"/>
      <c r="Q1237" s="250"/>
      <c r="R1237" s="250"/>
      <c r="S1237" s="250"/>
      <c r="T1237" s="250"/>
      <c r="U1237" s="250"/>
      <c r="V1237" s="250"/>
      <c r="W1237" s="250"/>
      <c r="X1237" s="250"/>
      <c r="Y1237" s="250"/>
      <c r="Z1237" s="250"/>
      <c r="AA1237" s="250"/>
      <c r="AB1237" s="250"/>
      <c r="AC1237" s="250"/>
      <c r="AD1237" s="250"/>
      <c r="AE1237" s="250"/>
      <c r="AF1237" s="250"/>
      <c r="AG1237" s="250"/>
      <c r="AH1237" s="250"/>
      <c r="AI1237" s="250"/>
      <c r="AJ1237" s="250"/>
      <c r="AK1237" s="250"/>
      <c r="AL1237" s="250"/>
      <c r="AM1237" s="250"/>
      <c r="AN1237" s="250"/>
      <c r="AO1237" s="250"/>
      <c r="AP1237" s="250"/>
      <c r="AQ1237" s="250"/>
      <c r="AR1237" s="250"/>
      <c r="AS1237" s="250"/>
      <c r="AT1237" s="250"/>
      <c r="AU1237" s="250"/>
      <c r="AV1237" s="124"/>
    </row>
    <row r="1238" spans="2:48" s="475" customFormat="1" x14ac:dyDescent="0.2">
      <c r="B1238" s="250"/>
      <c r="C1238" s="250"/>
      <c r="D1238" s="250"/>
      <c r="E1238" s="250"/>
      <c r="F1238" s="250"/>
      <c r="G1238" s="250"/>
      <c r="H1238" s="250"/>
      <c r="I1238" s="250"/>
      <c r="J1238" s="250"/>
      <c r="K1238" s="250"/>
      <c r="L1238" s="250"/>
      <c r="M1238" s="250"/>
      <c r="N1238" s="250"/>
      <c r="O1238" s="250"/>
      <c r="P1238" s="250"/>
      <c r="Q1238" s="250"/>
      <c r="R1238" s="250"/>
      <c r="S1238" s="250"/>
      <c r="T1238" s="250"/>
      <c r="U1238" s="250"/>
      <c r="V1238" s="250"/>
      <c r="W1238" s="250"/>
      <c r="X1238" s="250"/>
      <c r="Y1238" s="250"/>
      <c r="Z1238" s="250"/>
      <c r="AA1238" s="250"/>
      <c r="AB1238" s="250"/>
      <c r="AC1238" s="250"/>
      <c r="AD1238" s="250"/>
      <c r="AE1238" s="250"/>
      <c r="AF1238" s="250"/>
      <c r="AG1238" s="250"/>
      <c r="AH1238" s="250"/>
      <c r="AI1238" s="250"/>
      <c r="AJ1238" s="250"/>
      <c r="AK1238" s="250"/>
      <c r="AL1238" s="250"/>
      <c r="AM1238" s="250"/>
      <c r="AN1238" s="250"/>
      <c r="AO1238" s="250"/>
      <c r="AP1238" s="250"/>
      <c r="AQ1238" s="250"/>
      <c r="AR1238" s="250"/>
      <c r="AS1238" s="250"/>
      <c r="AT1238" s="250"/>
      <c r="AU1238" s="250"/>
      <c r="AV1238" s="124"/>
    </row>
    <row r="1239" spans="2:48" s="475" customFormat="1" x14ac:dyDescent="0.2">
      <c r="B1239" s="250"/>
      <c r="C1239" s="250"/>
      <c r="D1239" s="250"/>
      <c r="E1239" s="250"/>
      <c r="F1239" s="250"/>
      <c r="G1239" s="250"/>
      <c r="H1239" s="250"/>
      <c r="I1239" s="250"/>
      <c r="J1239" s="250"/>
      <c r="K1239" s="250"/>
      <c r="L1239" s="250"/>
      <c r="M1239" s="250"/>
      <c r="N1239" s="250"/>
      <c r="O1239" s="250"/>
      <c r="P1239" s="250"/>
      <c r="Q1239" s="250"/>
      <c r="R1239" s="250"/>
      <c r="S1239" s="250"/>
      <c r="T1239" s="250"/>
      <c r="U1239" s="250"/>
      <c r="V1239" s="250"/>
      <c r="W1239" s="250"/>
      <c r="X1239" s="250"/>
      <c r="Y1239" s="250"/>
      <c r="Z1239" s="250"/>
      <c r="AA1239" s="250"/>
      <c r="AB1239" s="250"/>
      <c r="AC1239" s="250"/>
      <c r="AD1239" s="250"/>
      <c r="AE1239" s="250"/>
      <c r="AF1239" s="250"/>
      <c r="AG1239" s="250"/>
      <c r="AH1239" s="250"/>
      <c r="AI1239" s="250"/>
      <c r="AJ1239" s="250"/>
      <c r="AK1239" s="250"/>
      <c r="AL1239" s="250"/>
      <c r="AM1239" s="250"/>
      <c r="AN1239" s="250"/>
      <c r="AO1239" s="250"/>
      <c r="AP1239" s="250"/>
      <c r="AQ1239" s="250"/>
      <c r="AR1239" s="250"/>
      <c r="AS1239" s="250"/>
      <c r="AT1239" s="250"/>
      <c r="AU1239" s="250"/>
      <c r="AV1239" s="124"/>
    </row>
    <row r="1240" spans="2:48" s="475" customFormat="1" x14ac:dyDescent="0.2">
      <c r="B1240" s="250"/>
      <c r="C1240" s="250"/>
      <c r="D1240" s="250"/>
      <c r="E1240" s="250"/>
      <c r="F1240" s="250"/>
      <c r="G1240" s="250"/>
      <c r="H1240" s="250"/>
      <c r="I1240" s="250"/>
      <c r="J1240" s="250"/>
      <c r="K1240" s="250"/>
      <c r="L1240" s="250"/>
      <c r="M1240" s="250"/>
      <c r="N1240" s="250"/>
      <c r="O1240" s="250"/>
      <c r="P1240" s="250"/>
      <c r="Q1240" s="250"/>
      <c r="R1240" s="250"/>
      <c r="S1240" s="250"/>
      <c r="T1240" s="250"/>
      <c r="U1240" s="250"/>
      <c r="V1240" s="250"/>
      <c r="W1240" s="250"/>
      <c r="X1240" s="250"/>
      <c r="Y1240" s="250"/>
      <c r="Z1240" s="250"/>
      <c r="AA1240" s="250"/>
      <c r="AB1240" s="250"/>
      <c r="AC1240" s="250"/>
      <c r="AD1240" s="250"/>
      <c r="AE1240" s="250"/>
      <c r="AF1240" s="250"/>
      <c r="AG1240" s="250"/>
      <c r="AH1240" s="250"/>
      <c r="AI1240" s="250"/>
      <c r="AJ1240" s="250"/>
      <c r="AK1240" s="250"/>
      <c r="AL1240" s="250"/>
      <c r="AM1240" s="250"/>
      <c r="AN1240" s="250"/>
      <c r="AO1240" s="250"/>
      <c r="AP1240" s="250"/>
      <c r="AQ1240" s="250"/>
      <c r="AR1240" s="250"/>
      <c r="AS1240" s="250"/>
      <c r="AT1240" s="250"/>
      <c r="AU1240" s="250"/>
      <c r="AV1240" s="124"/>
    </row>
    <row r="1241" spans="2:48" s="475" customFormat="1" x14ac:dyDescent="0.2">
      <c r="B1241" s="250"/>
      <c r="C1241" s="250"/>
      <c r="D1241" s="250"/>
      <c r="E1241" s="250"/>
      <c r="F1241" s="250"/>
      <c r="G1241" s="250"/>
      <c r="H1241" s="250"/>
      <c r="I1241" s="250"/>
      <c r="J1241" s="250"/>
      <c r="K1241" s="250"/>
      <c r="L1241" s="250"/>
      <c r="M1241" s="250"/>
      <c r="N1241" s="250"/>
      <c r="O1241" s="250"/>
      <c r="P1241" s="250"/>
      <c r="Q1241" s="250"/>
      <c r="R1241" s="250"/>
      <c r="S1241" s="250"/>
      <c r="T1241" s="250"/>
      <c r="U1241" s="250"/>
      <c r="V1241" s="250"/>
      <c r="W1241" s="250"/>
      <c r="X1241" s="250"/>
      <c r="Y1241" s="250"/>
      <c r="Z1241" s="250"/>
      <c r="AA1241" s="250"/>
      <c r="AB1241" s="250"/>
      <c r="AC1241" s="250"/>
      <c r="AD1241" s="250"/>
      <c r="AE1241" s="250"/>
      <c r="AF1241" s="250"/>
      <c r="AG1241" s="250"/>
      <c r="AH1241" s="250"/>
      <c r="AI1241" s="250"/>
      <c r="AJ1241" s="250"/>
      <c r="AK1241" s="250"/>
      <c r="AL1241" s="250"/>
      <c r="AM1241" s="250"/>
      <c r="AN1241" s="250"/>
      <c r="AO1241" s="250"/>
      <c r="AP1241" s="250"/>
      <c r="AQ1241" s="250"/>
      <c r="AR1241" s="250"/>
      <c r="AS1241" s="250"/>
      <c r="AT1241" s="250"/>
      <c r="AU1241" s="250"/>
      <c r="AV1241" s="124"/>
    </row>
    <row r="1242" spans="2:48" s="475" customFormat="1" x14ac:dyDescent="0.2">
      <c r="B1242" s="250"/>
      <c r="C1242" s="250"/>
      <c r="D1242" s="250"/>
      <c r="E1242" s="250"/>
      <c r="F1242" s="250"/>
      <c r="G1242" s="250"/>
      <c r="H1242" s="250"/>
      <c r="I1242" s="250"/>
      <c r="J1242" s="250"/>
      <c r="K1242" s="250"/>
      <c r="L1242" s="250"/>
      <c r="M1242" s="250"/>
      <c r="N1242" s="250"/>
      <c r="O1242" s="250"/>
      <c r="P1242" s="250"/>
      <c r="Q1242" s="250"/>
      <c r="R1242" s="250"/>
      <c r="S1242" s="250"/>
      <c r="T1242" s="250"/>
      <c r="U1242" s="250"/>
      <c r="V1242" s="250"/>
      <c r="W1242" s="250"/>
      <c r="X1242" s="250"/>
      <c r="Y1242" s="250"/>
      <c r="Z1242" s="250"/>
      <c r="AA1242" s="250"/>
      <c r="AB1242" s="250"/>
      <c r="AC1242" s="250"/>
      <c r="AD1242" s="250"/>
      <c r="AE1242" s="250"/>
      <c r="AF1242" s="250"/>
      <c r="AG1242" s="250"/>
      <c r="AH1242" s="250"/>
      <c r="AI1242" s="250"/>
      <c r="AJ1242" s="250"/>
      <c r="AK1242" s="250"/>
      <c r="AL1242" s="250"/>
      <c r="AM1242" s="250"/>
      <c r="AN1242" s="250"/>
      <c r="AO1242" s="250"/>
      <c r="AP1242" s="250"/>
      <c r="AQ1242" s="250"/>
      <c r="AR1242" s="250"/>
      <c r="AS1242" s="250"/>
      <c r="AT1242" s="250"/>
      <c r="AU1242" s="250"/>
      <c r="AV1242" s="124"/>
    </row>
    <row r="1243" spans="2:48" s="475" customFormat="1" x14ac:dyDescent="0.2">
      <c r="B1243" s="250"/>
      <c r="C1243" s="250"/>
      <c r="D1243" s="250"/>
      <c r="E1243" s="250"/>
      <c r="F1243" s="250"/>
      <c r="G1243" s="250"/>
      <c r="H1243" s="250"/>
      <c r="I1243" s="250"/>
      <c r="J1243" s="250"/>
      <c r="K1243" s="250"/>
      <c r="L1243" s="250"/>
      <c r="M1243" s="250"/>
      <c r="N1243" s="250"/>
      <c r="O1243" s="250"/>
      <c r="P1243" s="250"/>
      <c r="Q1243" s="250"/>
      <c r="R1243" s="250"/>
      <c r="S1243" s="250"/>
      <c r="T1243" s="250"/>
      <c r="U1243" s="250"/>
      <c r="V1243" s="250"/>
      <c r="W1243" s="250"/>
      <c r="X1243" s="250"/>
      <c r="Y1243" s="250"/>
      <c r="Z1243" s="250"/>
      <c r="AA1243" s="250"/>
      <c r="AB1243" s="250"/>
      <c r="AC1243" s="250"/>
      <c r="AD1243" s="250"/>
      <c r="AE1243" s="250"/>
      <c r="AF1243" s="250"/>
      <c r="AG1243" s="250"/>
      <c r="AH1243" s="250"/>
      <c r="AI1243" s="250"/>
      <c r="AJ1243" s="250"/>
      <c r="AK1243" s="250"/>
      <c r="AL1243" s="250"/>
      <c r="AM1243" s="250"/>
      <c r="AN1243" s="250"/>
      <c r="AO1243" s="250"/>
      <c r="AP1243" s="250"/>
      <c r="AQ1243" s="250"/>
      <c r="AR1243" s="250"/>
      <c r="AS1243" s="250"/>
      <c r="AT1243" s="250"/>
      <c r="AU1243" s="250"/>
      <c r="AV1243" s="124"/>
    </row>
    <row r="1244" spans="2:48" s="475" customFormat="1" x14ac:dyDescent="0.2">
      <c r="B1244" s="250"/>
      <c r="C1244" s="250"/>
      <c r="D1244" s="250"/>
      <c r="E1244" s="250"/>
      <c r="F1244" s="250"/>
      <c r="G1244" s="250"/>
      <c r="H1244" s="250"/>
      <c r="I1244" s="250"/>
      <c r="J1244" s="250"/>
      <c r="K1244" s="250"/>
      <c r="L1244" s="250"/>
      <c r="M1244" s="250"/>
      <c r="N1244" s="250"/>
      <c r="O1244" s="250"/>
      <c r="P1244" s="250"/>
      <c r="Q1244" s="250"/>
      <c r="R1244" s="250"/>
      <c r="S1244" s="250"/>
      <c r="T1244" s="250"/>
      <c r="U1244" s="250"/>
      <c r="V1244" s="250"/>
      <c r="W1244" s="250"/>
      <c r="X1244" s="250"/>
      <c r="Y1244" s="250"/>
      <c r="Z1244" s="250"/>
      <c r="AA1244" s="250"/>
      <c r="AB1244" s="250"/>
      <c r="AC1244" s="250"/>
      <c r="AD1244" s="250"/>
      <c r="AE1244" s="250"/>
      <c r="AF1244" s="250"/>
      <c r="AG1244" s="250"/>
      <c r="AH1244" s="250"/>
      <c r="AI1244" s="250"/>
      <c r="AJ1244" s="250"/>
      <c r="AK1244" s="250"/>
      <c r="AL1244" s="250"/>
      <c r="AM1244" s="250"/>
      <c r="AN1244" s="250"/>
      <c r="AO1244" s="250"/>
      <c r="AP1244" s="250"/>
      <c r="AQ1244" s="250"/>
      <c r="AR1244" s="250"/>
      <c r="AS1244" s="250"/>
      <c r="AT1244" s="250"/>
      <c r="AU1244" s="250"/>
      <c r="AV1244" s="124"/>
    </row>
    <row r="1245" spans="2:48" s="475" customFormat="1" x14ac:dyDescent="0.2">
      <c r="B1245" s="250"/>
      <c r="C1245" s="250"/>
      <c r="D1245" s="250"/>
      <c r="E1245" s="250"/>
      <c r="F1245" s="250"/>
      <c r="G1245" s="250"/>
      <c r="H1245" s="250"/>
      <c r="I1245" s="250"/>
      <c r="J1245" s="250"/>
      <c r="K1245" s="250"/>
      <c r="L1245" s="250"/>
      <c r="M1245" s="250"/>
      <c r="N1245" s="250"/>
      <c r="O1245" s="250"/>
      <c r="P1245" s="250"/>
      <c r="Q1245" s="250"/>
      <c r="R1245" s="250"/>
      <c r="S1245" s="250"/>
      <c r="T1245" s="250"/>
      <c r="U1245" s="250"/>
      <c r="V1245" s="250"/>
      <c r="W1245" s="250"/>
      <c r="X1245" s="250"/>
      <c r="Y1245" s="250"/>
      <c r="Z1245" s="250"/>
      <c r="AA1245" s="250"/>
      <c r="AB1245" s="250"/>
      <c r="AC1245" s="250"/>
      <c r="AD1245" s="250"/>
      <c r="AE1245" s="250"/>
      <c r="AF1245" s="250"/>
      <c r="AG1245" s="250"/>
      <c r="AH1245" s="250"/>
      <c r="AI1245" s="250"/>
      <c r="AJ1245" s="250"/>
      <c r="AK1245" s="250"/>
      <c r="AL1245" s="250"/>
      <c r="AM1245" s="250"/>
      <c r="AN1245" s="250"/>
      <c r="AO1245" s="250"/>
      <c r="AP1245" s="250"/>
      <c r="AQ1245" s="250"/>
      <c r="AR1245" s="250"/>
      <c r="AS1245" s="250"/>
      <c r="AT1245" s="250"/>
      <c r="AU1245" s="250"/>
      <c r="AV1245" s="124"/>
    </row>
    <row r="1246" spans="2:48" s="475" customFormat="1" x14ac:dyDescent="0.2">
      <c r="B1246" s="250"/>
      <c r="C1246" s="250"/>
      <c r="D1246" s="250"/>
      <c r="E1246" s="250"/>
      <c r="F1246" s="250"/>
      <c r="G1246" s="250"/>
      <c r="H1246" s="250"/>
      <c r="I1246" s="250"/>
      <c r="J1246" s="250"/>
      <c r="K1246" s="250"/>
      <c r="L1246" s="250"/>
      <c r="M1246" s="250"/>
      <c r="N1246" s="250"/>
      <c r="O1246" s="250"/>
      <c r="P1246" s="250"/>
      <c r="Q1246" s="250"/>
      <c r="R1246" s="250"/>
      <c r="S1246" s="250"/>
      <c r="T1246" s="250"/>
      <c r="U1246" s="250"/>
      <c r="V1246" s="250"/>
      <c r="W1246" s="250"/>
      <c r="X1246" s="250"/>
      <c r="Y1246" s="250"/>
      <c r="Z1246" s="250"/>
      <c r="AA1246" s="250"/>
      <c r="AB1246" s="250"/>
      <c r="AC1246" s="250"/>
      <c r="AD1246" s="250"/>
      <c r="AE1246" s="250"/>
      <c r="AF1246" s="250"/>
      <c r="AG1246" s="250"/>
      <c r="AH1246" s="250"/>
      <c r="AI1246" s="250"/>
      <c r="AJ1246" s="250"/>
      <c r="AK1246" s="250"/>
      <c r="AL1246" s="250"/>
      <c r="AM1246" s="250"/>
      <c r="AN1246" s="250"/>
      <c r="AO1246" s="250"/>
      <c r="AP1246" s="250"/>
      <c r="AQ1246" s="250"/>
      <c r="AR1246" s="250"/>
      <c r="AS1246" s="250"/>
      <c r="AT1246" s="250"/>
      <c r="AU1246" s="250"/>
      <c r="AV1246" s="124"/>
    </row>
    <row r="1247" spans="2:48" s="475" customFormat="1" x14ac:dyDescent="0.2">
      <c r="B1247" s="250"/>
      <c r="C1247" s="250"/>
      <c r="D1247" s="250"/>
      <c r="E1247" s="250"/>
      <c r="F1247" s="250"/>
      <c r="G1247" s="250"/>
      <c r="H1247" s="250"/>
      <c r="I1247" s="250"/>
      <c r="J1247" s="250"/>
      <c r="K1247" s="250"/>
      <c r="L1247" s="250"/>
      <c r="M1247" s="250"/>
      <c r="N1247" s="250"/>
      <c r="O1247" s="250"/>
      <c r="P1247" s="250"/>
      <c r="Q1247" s="250"/>
      <c r="R1247" s="250"/>
      <c r="S1247" s="250"/>
      <c r="T1247" s="250"/>
      <c r="U1247" s="250"/>
      <c r="V1247" s="250"/>
      <c r="W1247" s="250"/>
      <c r="X1247" s="250"/>
      <c r="Y1247" s="250"/>
      <c r="Z1247" s="250"/>
      <c r="AA1247" s="250"/>
      <c r="AB1247" s="250"/>
      <c r="AC1247" s="250"/>
      <c r="AD1247" s="250"/>
      <c r="AE1247" s="250"/>
      <c r="AF1247" s="250"/>
      <c r="AG1247" s="250"/>
      <c r="AH1247" s="250"/>
      <c r="AI1247" s="250"/>
      <c r="AJ1247" s="250"/>
      <c r="AK1247" s="250"/>
      <c r="AL1247" s="250"/>
      <c r="AM1247" s="250"/>
      <c r="AN1247" s="250"/>
      <c r="AO1247" s="250"/>
      <c r="AP1247" s="250"/>
      <c r="AQ1247" s="250"/>
      <c r="AR1247" s="250"/>
      <c r="AS1247" s="250"/>
      <c r="AT1247" s="250"/>
      <c r="AU1247" s="250"/>
      <c r="AV1247" s="124"/>
    </row>
    <row r="1248" spans="2:48" s="475" customFormat="1" x14ac:dyDescent="0.2">
      <c r="B1248" s="250"/>
      <c r="C1248" s="250"/>
      <c r="D1248" s="250"/>
      <c r="E1248" s="250"/>
      <c r="F1248" s="250"/>
      <c r="G1248" s="250"/>
      <c r="H1248" s="250"/>
      <c r="I1248" s="250"/>
      <c r="J1248" s="250"/>
      <c r="K1248" s="250"/>
      <c r="L1248" s="250"/>
      <c r="M1248" s="250"/>
      <c r="N1248" s="250"/>
      <c r="O1248" s="250"/>
      <c r="P1248" s="250"/>
      <c r="Q1248" s="250"/>
      <c r="R1248" s="250"/>
      <c r="S1248" s="250"/>
      <c r="T1248" s="250"/>
      <c r="U1248" s="250"/>
      <c r="V1248" s="250"/>
      <c r="W1248" s="250"/>
      <c r="X1248" s="250"/>
      <c r="Y1248" s="250"/>
      <c r="Z1248" s="250"/>
      <c r="AA1248" s="250"/>
      <c r="AB1248" s="250"/>
      <c r="AC1248" s="250"/>
      <c r="AD1248" s="250"/>
      <c r="AE1248" s="250"/>
      <c r="AF1248" s="250"/>
      <c r="AG1248" s="250"/>
      <c r="AH1248" s="250"/>
      <c r="AI1248" s="250"/>
      <c r="AJ1248" s="250"/>
      <c r="AK1248" s="250"/>
      <c r="AL1248" s="250"/>
      <c r="AM1248" s="250"/>
      <c r="AN1248" s="250"/>
      <c r="AO1248" s="250"/>
      <c r="AP1248" s="250"/>
      <c r="AQ1248" s="250"/>
      <c r="AR1248" s="250"/>
      <c r="AS1248" s="250"/>
      <c r="AT1248" s="250"/>
      <c r="AU1248" s="250"/>
      <c r="AV1248" s="124"/>
    </row>
    <row r="1249" spans="2:48" s="475" customFormat="1" x14ac:dyDescent="0.2">
      <c r="B1249" s="250"/>
      <c r="C1249" s="250"/>
      <c r="D1249" s="250"/>
      <c r="E1249" s="250"/>
      <c r="F1249" s="250"/>
      <c r="G1249" s="250"/>
      <c r="H1249" s="250"/>
      <c r="I1249" s="250"/>
      <c r="J1249" s="250"/>
      <c r="K1249" s="250"/>
      <c r="L1249" s="250"/>
      <c r="M1249" s="250"/>
      <c r="N1249" s="250"/>
      <c r="O1249" s="250"/>
      <c r="P1249" s="250"/>
      <c r="Q1249" s="250"/>
      <c r="R1249" s="250"/>
      <c r="S1249" s="250"/>
      <c r="T1249" s="250"/>
      <c r="U1249" s="250"/>
      <c r="V1249" s="250"/>
      <c r="W1249" s="250"/>
      <c r="X1249" s="250"/>
      <c r="Y1249" s="250"/>
      <c r="Z1249" s="250"/>
      <c r="AA1249" s="250"/>
      <c r="AB1249" s="250"/>
      <c r="AC1249" s="250"/>
      <c r="AD1249" s="250"/>
      <c r="AE1249" s="250"/>
      <c r="AF1249" s="250"/>
      <c r="AG1249" s="250"/>
      <c r="AH1249" s="250"/>
      <c r="AI1249" s="250"/>
      <c r="AJ1249" s="250"/>
      <c r="AK1249" s="250"/>
      <c r="AL1249" s="250"/>
      <c r="AM1249" s="250"/>
      <c r="AN1249" s="250"/>
      <c r="AO1249" s="250"/>
      <c r="AP1249" s="250"/>
      <c r="AQ1249" s="250"/>
      <c r="AR1249" s="250"/>
      <c r="AS1249" s="250"/>
      <c r="AT1249" s="250"/>
      <c r="AU1249" s="250"/>
      <c r="AV1249" s="124"/>
    </row>
    <row r="1250" spans="2:48" s="475" customFormat="1" x14ac:dyDescent="0.2">
      <c r="B1250" s="250"/>
      <c r="C1250" s="250"/>
      <c r="D1250" s="250"/>
      <c r="E1250" s="250"/>
      <c r="F1250" s="250"/>
      <c r="G1250" s="250"/>
      <c r="H1250" s="250"/>
      <c r="I1250" s="250"/>
      <c r="J1250" s="250"/>
      <c r="K1250" s="250"/>
      <c r="L1250" s="250"/>
      <c r="M1250" s="250"/>
      <c r="N1250" s="250"/>
      <c r="O1250" s="250"/>
      <c r="P1250" s="250"/>
      <c r="Q1250" s="250"/>
      <c r="R1250" s="250"/>
      <c r="S1250" s="250"/>
      <c r="T1250" s="250"/>
      <c r="U1250" s="250"/>
      <c r="V1250" s="250"/>
      <c r="W1250" s="250"/>
      <c r="X1250" s="250"/>
      <c r="Y1250" s="250"/>
      <c r="Z1250" s="250"/>
      <c r="AA1250" s="250"/>
      <c r="AB1250" s="250"/>
      <c r="AC1250" s="250"/>
      <c r="AD1250" s="250"/>
      <c r="AE1250" s="250"/>
      <c r="AF1250" s="250"/>
      <c r="AG1250" s="250"/>
      <c r="AH1250" s="250"/>
      <c r="AI1250" s="250"/>
      <c r="AJ1250" s="250"/>
      <c r="AK1250" s="250"/>
      <c r="AL1250" s="250"/>
      <c r="AM1250" s="250"/>
      <c r="AN1250" s="250"/>
      <c r="AO1250" s="250"/>
      <c r="AP1250" s="250"/>
      <c r="AQ1250" s="250"/>
      <c r="AR1250" s="250"/>
      <c r="AS1250" s="250"/>
      <c r="AT1250" s="250"/>
      <c r="AU1250" s="250"/>
      <c r="AV1250" s="124"/>
    </row>
    <row r="1251" spans="2:48" s="475" customFormat="1" x14ac:dyDescent="0.2">
      <c r="B1251" s="250"/>
      <c r="C1251" s="250"/>
      <c r="D1251" s="250"/>
      <c r="E1251" s="250"/>
      <c r="F1251" s="250"/>
      <c r="G1251" s="250"/>
      <c r="H1251" s="250"/>
      <c r="I1251" s="250"/>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c r="AN1251" s="250"/>
      <c r="AO1251" s="250"/>
      <c r="AP1251" s="250"/>
      <c r="AQ1251" s="250"/>
      <c r="AR1251" s="250"/>
      <c r="AS1251" s="250"/>
      <c r="AT1251" s="250"/>
      <c r="AU1251" s="250"/>
      <c r="AV1251" s="124"/>
    </row>
    <row r="1252" spans="2:48" s="475" customFormat="1" x14ac:dyDescent="0.2">
      <c r="B1252" s="250"/>
      <c r="C1252" s="250"/>
      <c r="D1252" s="250"/>
      <c r="E1252" s="250"/>
      <c r="F1252" s="250"/>
      <c r="G1252" s="250"/>
      <c r="H1252" s="250"/>
      <c r="I1252" s="250"/>
      <c r="J1252" s="250"/>
      <c r="K1252" s="250"/>
      <c r="L1252" s="250"/>
      <c r="M1252" s="250"/>
      <c r="N1252" s="250"/>
      <c r="O1252" s="250"/>
      <c r="P1252" s="250"/>
      <c r="Q1252" s="250"/>
      <c r="R1252" s="250"/>
      <c r="S1252" s="250"/>
      <c r="T1252" s="250"/>
      <c r="U1252" s="250"/>
      <c r="V1252" s="250"/>
      <c r="W1252" s="250"/>
      <c r="X1252" s="250"/>
      <c r="Y1252" s="250"/>
      <c r="Z1252" s="250"/>
      <c r="AA1252" s="250"/>
      <c r="AB1252" s="250"/>
      <c r="AC1252" s="250"/>
      <c r="AD1252" s="250"/>
      <c r="AE1252" s="250"/>
      <c r="AF1252" s="250"/>
      <c r="AG1252" s="250"/>
      <c r="AH1252" s="250"/>
      <c r="AI1252" s="250"/>
      <c r="AJ1252" s="250"/>
      <c r="AK1252" s="250"/>
      <c r="AL1252" s="250"/>
      <c r="AM1252" s="250"/>
      <c r="AN1252" s="250"/>
      <c r="AO1252" s="250"/>
      <c r="AP1252" s="250"/>
      <c r="AQ1252" s="250"/>
      <c r="AR1252" s="250"/>
      <c r="AS1252" s="250"/>
      <c r="AT1252" s="250"/>
      <c r="AU1252" s="250"/>
      <c r="AV1252" s="124"/>
    </row>
    <row r="1253" spans="2:48" s="475" customFormat="1" x14ac:dyDescent="0.2">
      <c r="B1253" s="250"/>
      <c r="C1253" s="250"/>
      <c r="D1253" s="250"/>
      <c r="E1253" s="250"/>
      <c r="F1253" s="250"/>
      <c r="G1253" s="250"/>
      <c r="H1253" s="250"/>
      <c r="I1253" s="250"/>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c r="AN1253" s="250"/>
      <c r="AO1253" s="250"/>
      <c r="AP1253" s="250"/>
      <c r="AQ1253" s="250"/>
      <c r="AR1253" s="250"/>
      <c r="AS1253" s="250"/>
      <c r="AT1253" s="250"/>
      <c r="AU1253" s="250"/>
      <c r="AV1253" s="124"/>
    </row>
    <row r="1254" spans="2:48" s="475" customFormat="1" x14ac:dyDescent="0.2">
      <c r="B1254" s="250"/>
      <c r="C1254" s="250"/>
      <c r="D1254" s="250"/>
      <c r="E1254" s="250"/>
      <c r="F1254" s="250"/>
      <c r="G1254" s="250"/>
      <c r="H1254" s="250"/>
      <c r="I1254" s="250"/>
      <c r="J1254" s="250"/>
      <c r="K1254" s="250"/>
      <c r="L1254" s="250"/>
      <c r="M1254" s="250"/>
      <c r="N1254" s="250"/>
      <c r="O1254" s="250"/>
      <c r="P1254" s="250"/>
      <c r="Q1254" s="250"/>
      <c r="R1254" s="250"/>
      <c r="S1254" s="250"/>
      <c r="T1254" s="250"/>
      <c r="U1254" s="250"/>
      <c r="V1254" s="250"/>
      <c r="W1254" s="250"/>
      <c r="X1254" s="250"/>
      <c r="Y1254" s="250"/>
      <c r="Z1254" s="250"/>
      <c r="AA1254" s="250"/>
      <c r="AB1254" s="250"/>
      <c r="AC1254" s="250"/>
      <c r="AD1254" s="250"/>
      <c r="AE1254" s="250"/>
      <c r="AF1254" s="250"/>
      <c r="AG1254" s="250"/>
      <c r="AH1254" s="250"/>
      <c r="AI1254" s="250"/>
      <c r="AJ1254" s="250"/>
      <c r="AK1254" s="250"/>
      <c r="AL1254" s="250"/>
      <c r="AM1254" s="250"/>
      <c r="AN1254" s="250"/>
      <c r="AO1254" s="250"/>
      <c r="AP1254" s="250"/>
      <c r="AQ1254" s="250"/>
      <c r="AR1254" s="250"/>
      <c r="AS1254" s="250"/>
      <c r="AT1254" s="250"/>
      <c r="AU1254" s="250"/>
      <c r="AV1254" s="124"/>
    </row>
    <row r="1255" spans="2:48" s="475" customFormat="1" x14ac:dyDescent="0.2">
      <c r="B1255" s="250"/>
      <c r="C1255" s="250"/>
      <c r="D1255" s="250"/>
      <c r="E1255" s="250"/>
      <c r="F1255" s="250"/>
      <c r="G1255" s="250"/>
      <c r="H1255" s="250"/>
      <c r="I1255" s="250"/>
      <c r="J1255" s="250"/>
      <c r="K1255" s="250"/>
      <c r="L1255" s="250"/>
      <c r="M1255" s="250"/>
      <c r="N1255" s="250"/>
      <c r="O1255" s="250"/>
      <c r="P1255" s="250"/>
      <c r="Q1255" s="250"/>
      <c r="R1255" s="250"/>
      <c r="S1255" s="250"/>
      <c r="T1255" s="250"/>
      <c r="U1255" s="250"/>
      <c r="V1255" s="250"/>
      <c r="W1255" s="250"/>
      <c r="X1255" s="250"/>
      <c r="Y1255" s="250"/>
      <c r="Z1255" s="250"/>
      <c r="AA1255" s="250"/>
      <c r="AB1255" s="250"/>
      <c r="AC1255" s="250"/>
      <c r="AD1255" s="250"/>
      <c r="AE1255" s="250"/>
      <c r="AF1255" s="250"/>
      <c r="AG1255" s="250"/>
      <c r="AH1255" s="250"/>
      <c r="AI1255" s="250"/>
      <c r="AJ1255" s="250"/>
      <c r="AK1255" s="250"/>
      <c r="AL1255" s="250"/>
      <c r="AM1255" s="250"/>
      <c r="AN1255" s="250"/>
      <c r="AO1255" s="250"/>
      <c r="AP1255" s="250"/>
      <c r="AQ1255" s="250"/>
      <c r="AR1255" s="250"/>
      <c r="AS1255" s="250"/>
      <c r="AT1255" s="250"/>
      <c r="AU1255" s="250"/>
      <c r="AV1255" s="124"/>
    </row>
    <row r="1256" spans="2:48" s="475" customFormat="1" x14ac:dyDescent="0.2">
      <c r="B1256" s="250"/>
      <c r="C1256" s="250"/>
      <c r="D1256" s="250"/>
      <c r="E1256" s="250"/>
      <c r="F1256" s="250"/>
      <c r="G1256" s="250"/>
      <c r="H1256" s="250"/>
      <c r="I1256" s="250"/>
      <c r="J1256" s="250"/>
      <c r="K1256" s="250"/>
      <c r="L1256" s="250"/>
      <c r="M1256" s="250"/>
      <c r="N1256" s="250"/>
      <c r="O1256" s="250"/>
      <c r="P1256" s="250"/>
      <c r="Q1256" s="250"/>
      <c r="R1256" s="250"/>
      <c r="S1256" s="250"/>
      <c r="T1256" s="250"/>
      <c r="U1256" s="250"/>
      <c r="V1256" s="250"/>
      <c r="W1256" s="250"/>
      <c r="X1256" s="250"/>
      <c r="Y1256" s="250"/>
      <c r="Z1256" s="250"/>
      <c r="AA1256" s="250"/>
      <c r="AB1256" s="250"/>
      <c r="AC1256" s="250"/>
      <c r="AD1256" s="250"/>
      <c r="AE1256" s="250"/>
      <c r="AF1256" s="250"/>
      <c r="AG1256" s="250"/>
      <c r="AH1256" s="250"/>
      <c r="AI1256" s="250"/>
      <c r="AJ1256" s="250"/>
      <c r="AK1256" s="250"/>
      <c r="AL1256" s="250"/>
      <c r="AM1256" s="250"/>
      <c r="AN1256" s="250"/>
      <c r="AO1256" s="250"/>
      <c r="AP1256" s="250"/>
      <c r="AQ1256" s="250"/>
      <c r="AR1256" s="250"/>
      <c r="AS1256" s="250"/>
      <c r="AT1256" s="250"/>
      <c r="AU1256" s="250"/>
      <c r="AV1256" s="124"/>
    </row>
    <row r="1257" spans="2:48" s="475" customFormat="1" x14ac:dyDescent="0.2">
      <c r="B1257" s="250"/>
      <c r="C1257" s="250"/>
      <c r="D1257" s="250"/>
      <c r="E1257" s="250"/>
      <c r="F1257" s="250"/>
      <c r="G1257" s="250"/>
      <c r="H1257" s="250"/>
      <c r="I1257" s="250"/>
      <c r="J1257" s="250"/>
      <c r="K1257" s="250"/>
      <c r="L1257" s="250"/>
      <c r="M1257" s="250"/>
      <c r="N1257" s="250"/>
      <c r="O1257" s="250"/>
      <c r="P1257" s="250"/>
      <c r="Q1257" s="250"/>
      <c r="R1257" s="250"/>
      <c r="S1257" s="250"/>
      <c r="T1257" s="250"/>
      <c r="U1257" s="250"/>
      <c r="V1257" s="250"/>
      <c r="W1257" s="250"/>
      <c r="X1257" s="250"/>
      <c r="Y1257" s="250"/>
      <c r="Z1257" s="250"/>
      <c r="AA1257" s="250"/>
      <c r="AB1257" s="250"/>
      <c r="AC1257" s="250"/>
      <c r="AD1257" s="250"/>
      <c r="AE1257" s="250"/>
      <c r="AF1257" s="250"/>
      <c r="AG1257" s="250"/>
      <c r="AH1257" s="250"/>
      <c r="AI1257" s="250"/>
      <c r="AJ1257" s="250"/>
      <c r="AK1257" s="250"/>
      <c r="AL1257" s="250"/>
      <c r="AM1257" s="250"/>
      <c r="AN1257" s="250"/>
      <c r="AO1257" s="250"/>
      <c r="AP1257" s="250"/>
      <c r="AQ1257" s="250"/>
      <c r="AR1257" s="250"/>
      <c r="AS1257" s="250"/>
      <c r="AT1257" s="250"/>
      <c r="AU1257" s="250"/>
      <c r="AV1257" s="124"/>
    </row>
    <row r="1258" spans="2:48" s="475" customFormat="1" x14ac:dyDescent="0.2">
      <c r="B1258" s="250"/>
      <c r="C1258" s="250"/>
      <c r="D1258" s="250"/>
      <c r="E1258" s="250"/>
      <c r="F1258" s="250"/>
      <c r="G1258" s="250"/>
      <c r="H1258" s="250"/>
      <c r="I1258" s="250"/>
      <c r="J1258" s="250"/>
      <c r="K1258" s="250"/>
      <c r="L1258" s="250"/>
      <c r="M1258" s="250"/>
      <c r="N1258" s="250"/>
      <c r="O1258" s="250"/>
      <c r="P1258" s="250"/>
      <c r="Q1258" s="250"/>
      <c r="R1258" s="250"/>
      <c r="S1258" s="250"/>
      <c r="T1258" s="250"/>
      <c r="U1258" s="250"/>
      <c r="V1258" s="250"/>
      <c r="W1258" s="250"/>
      <c r="X1258" s="250"/>
      <c r="Y1258" s="250"/>
      <c r="Z1258" s="250"/>
      <c r="AA1258" s="250"/>
      <c r="AB1258" s="250"/>
      <c r="AC1258" s="250"/>
      <c r="AD1258" s="250"/>
      <c r="AE1258" s="250"/>
      <c r="AF1258" s="250"/>
      <c r="AG1258" s="250"/>
      <c r="AH1258" s="250"/>
      <c r="AI1258" s="250"/>
      <c r="AJ1258" s="250"/>
      <c r="AK1258" s="250"/>
      <c r="AL1258" s="250"/>
      <c r="AM1258" s="250"/>
      <c r="AN1258" s="250"/>
      <c r="AO1258" s="250"/>
      <c r="AP1258" s="250"/>
      <c r="AQ1258" s="250"/>
      <c r="AR1258" s="250"/>
      <c r="AS1258" s="250"/>
      <c r="AT1258" s="250"/>
      <c r="AU1258" s="250"/>
      <c r="AV1258" s="124"/>
    </row>
    <row r="1259" spans="2:48" s="475" customFormat="1" x14ac:dyDescent="0.2">
      <c r="B1259" s="250"/>
      <c r="C1259" s="250"/>
      <c r="D1259" s="250"/>
      <c r="E1259" s="250"/>
      <c r="F1259" s="250"/>
      <c r="G1259" s="250"/>
      <c r="H1259" s="250"/>
      <c r="I1259" s="250"/>
      <c r="J1259" s="250"/>
      <c r="K1259" s="250"/>
      <c r="L1259" s="250"/>
      <c r="M1259" s="250"/>
      <c r="N1259" s="250"/>
      <c r="O1259" s="250"/>
      <c r="P1259" s="250"/>
      <c r="Q1259" s="250"/>
      <c r="R1259" s="250"/>
      <c r="S1259" s="250"/>
      <c r="T1259" s="250"/>
      <c r="U1259" s="250"/>
      <c r="V1259" s="250"/>
      <c r="W1259" s="250"/>
      <c r="X1259" s="250"/>
      <c r="Y1259" s="250"/>
      <c r="Z1259" s="250"/>
      <c r="AA1259" s="250"/>
      <c r="AB1259" s="250"/>
      <c r="AC1259" s="250"/>
      <c r="AD1259" s="250"/>
      <c r="AE1259" s="250"/>
      <c r="AF1259" s="250"/>
      <c r="AG1259" s="250"/>
      <c r="AH1259" s="250"/>
      <c r="AI1259" s="250"/>
      <c r="AJ1259" s="250"/>
      <c r="AK1259" s="250"/>
      <c r="AL1259" s="250"/>
      <c r="AM1259" s="250"/>
      <c r="AN1259" s="250"/>
      <c r="AO1259" s="250"/>
      <c r="AP1259" s="250"/>
      <c r="AQ1259" s="250"/>
      <c r="AR1259" s="250"/>
      <c r="AS1259" s="250"/>
      <c r="AT1259" s="250"/>
      <c r="AU1259" s="250"/>
      <c r="AV1259" s="124"/>
    </row>
    <row r="1260" spans="2:48" s="475" customFormat="1" x14ac:dyDescent="0.2">
      <c r="B1260" s="250"/>
      <c r="C1260" s="250"/>
      <c r="D1260" s="250"/>
      <c r="E1260" s="250"/>
      <c r="F1260" s="250"/>
      <c r="G1260" s="250"/>
      <c r="H1260" s="250"/>
      <c r="I1260" s="250"/>
      <c r="J1260" s="250"/>
      <c r="K1260" s="250"/>
      <c r="L1260" s="250"/>
      <c r="M1260" s="250"/>
      <c r="N1260" s="250"/>
      <c r="O1260" s="250"/>
      <c r="P1260" s="250"/>
      <c r="Q1260" s="250"/>
      <c r="R1260" s="250"/>
      <c r="S1260" s="250"/>
      <c r="T1260" s="250"/>
      <c r="U1260" s="250"/>
      <c r="V1260" s="250"/>
      <c r="W1260" s="250"/>
      <c r="X1260" s="250"/>
      <c r="Y1260" s="250"/>
      <c r="Z1260" s="250"/>
      <c r="AA1260" s="250"/>
      <c r="AB1260" s="250"/>
      <c r="AC1260" s="250"/>
      <c r="AD1260" s="250"/>
      <c r="AE1260" s="250"/>
      <c r="AF1260" s="250"/>
      <c r="AG1260" s="250"/>
      <c r="AH1260" s="250"/>
      <c r="AI1260" s="250"/>
      <c r="AJ1260" s="250"/>
      <c r="AK1260" s="250"/>
      <c r="AL1260" s="250"/>
      <c r="AM1260" s="250"/>
      <c r="AN1260" s="250"/>
      <c r="AO1260" s="250"/>
      <c r="AP1260" s="250"/>
      <c r="AQ1260" s="250"/>
      <c r="AR1260" s="250"/>
      <c r="AS1260" s="250"/>
      <c r="AT1260" s="250"/>
      <c r="AU1260" s="250"/>
      <c r="AV1260" s="124"/>
    </row>
    <row r="1261" spans="2:48" s="475" customFormat="1" x14ac:dyDescent="0.2">
      <c r="B1261" s="250"/>
      <c r="C1261" s="250"/>
      <c r="D1261" s="250"/>
      <c r="E1261" s="250"/>
      <c r="F1261" s="250"/>
      <c r="G1261" s="250"/>
      <c r="H1261" s="250"/>
      <c r="I1261" s="250"/>
      <c r="J1261" s="250"/>
      <c r="K1261" s="250"/>
      <c r="L1261" s="250"/>
      <c r="M1261" s="250"/>
      <c r="N1261" s="250"/>
      <c r="O1261" s="250"/>
      <c r="P1261" s="250"/>
      <c r="Q1261" s="250"/>
      <c r="R1261" s="250"/>
      <c r="S1261" s="250"/>
      <c r="T1261" s="250"/>
      <c r="U1261" s="250"/>
      <c r="V1261" s="250"/>
      <c r="W1261" s="250"/>
      <c r="X1261" s="250"/>
      <c r="Y1261" s="250"/>
      <c r="Z1261" s="250"/>
      <c r="AA1261" s="250"/>
      <c r="AB1261" s="250"/>
      <c r="AC1261" s="250"/>
      <c r="AD1261" s="250"/>
      <c r="AE1261" s="250"/>
      <c r="AF1261" s="250"/>
      <c r="AG1261" s="250"/>
      <c r="AH1261" s="250"/>
      <c r="AI1261" s="250"/>
      <c r="AJ1261" s="250"/>
      <c r="AK1261" s="250"/>
      <c r="AL1261" s="250"/>
      <c r="AM1261" s="250"/>
      <c r="AN1261" s="250"/>
      <c r="AO1261" s="250"/>
      <c r="AP1261" s="250"/>
      <c r="AQ1261" s="250"/>
      <c r="AR1261" s="250"/>
      <c r="AS1261" s="250"/>
      <c r="AT1261" s="250"/>
      <c r="AU1261" s="250"/>
      <c r="AV1261" s="124"/>
    </row>
    <row r="1262" spans="2:48" s="475" customFormat="1" x14ac:dyDescent="0.2">
      <c r="B1262" s="250"/>
      <c r="C1262" s="250"/>
      <c r="D1262" s="250"/>
      <c r="E1262" s="250"/>
      <c r="F1262" s="250"/>
      <c r="G1262" s="250"/>
      <c r="H1262" s="250"/>
      <c r="I1262" s="250"/>
      <c r="J1262" s="250"/>
      <c r="K1262" s="250"/>
      <c r="L1262" s="250"/>
      <c r="M1262" s="250"/>
      <c r="N1262" s="250"/>
      <c r="O1262" s="250"/>
      <c r="P1262" s="250"/>
      <c r="Q1262" s="250"/>
      <c r="R1262" s="250"/>
      <c r="S1262" s="250"/>
      <c r="T1262" s="250"/>
      <c r="U1262" s="250"/>
      <c r="V1262" s="250"/>
      <c r="W1262" s="250"/>
      <c r="X1262" s="250"/>
      <c r="Y1262" s="250"/>
      <c r="Z1262" s="250"/>
      <c r="AA1262" s="250"/>
      <c r="AB1262" s="250"/>
      <c r="AC1262" s="250"/>
      <c r="AD1262" s="250"/>
      <c r="AE1262" s="250"/>
      <c r="AF1262" s="250"/>
      <c r="AG1262" s="250"/>
      <c r="AH1262" s="250"/>
      <c r="AI1262" s="250"/>
      <c r="AJ1262" s="250"/>
      <c r="AK1262" s="250"/>
      <c r="AL1262" s="250"/>
      <c r="AM1262" s="250"/>
      <c r="AN1262" s="250"/>
      <c r="AO1262" s="250"/>
      <c r="AP1262" s="250"/>
      <c r="AQ1262" s="250"/>
      <c r="AR1262" s="250"/>
      <c r="AS1262" s="250"/>
      <c r="AT1262" s="250"/>
      <c r="AU1262" s="250"/>
      <c r="AV1262" s="124"/>
    </row>
    <row r="1263" spans="2:48" s="475" customFormat="1" x14ac:dyDescent="0.2">
      <c r="B1263" s="250"/>
      <c r="C1263" s="250"/>
      <c r="D1263" s="250"/>
      <c r="E1263" s="250"/>
      <c r="F1263" s="250"/>
      <c r="G1263" s="250"/>
      <c r="H1263" s="250"/>
      <c r="I1263" s="250"/>
      <c r="J1263" s="250"/>
      <c r="K1263" s="250"/>
      <c r="L1263" s="250"/>
      <c r="M1263" s="250"/>
      <c r="N1263" s="250"/>
      <c r="O1263" s="250"/>
      <c r="P1263" s="250"/>
      <c r="Q1263" s="250"/>
      <c r="R1263" s="250"/>
      <c r="S1263" s="250"/>
      <c r="T1263" s="250"/>
      <c r="U1263" s="250"/>
      <c r="V1263" s="250"/>
      <c r="W1263" s="250"/>
      <c r="X1263" s="250"/>
      <c r="Y1263" s="250"/>
      <c r="Z1263" s="250"/>
      <c r="AA1263" s="250"/>
      <c r="AB1263" s="250"/>
      <c r="AC1263" s="250"/>
      <c r="AD1263" s="250"/>
      <c r="AE1263" s="250"/>
      <c r="AF1263" s="250"/>
      <c r="AG1263" s="250"/>
      <c r="AH1263" s="250"/>
      <c r="AI1263" s="250"/>
      <c r="AJ1263" s="250"/>
      <c r="AK1263" s="250"/>
      <c r="AL1263" s="250"/>
      <c r="AM1263" s="250"/>
      <c r="AN1263" s="250"/>
      <c r="AO1263" s="250"/>
      <c r="AP1263" s="250"/>
      <c r="AQ1263" s="250"/>
      <c r="AR1263" s="250"/>
      <c r="AS1263" s="250"/>
      <c r="AT1263" s="250"/>
      <c r="AU1263" s="250"/>
      <c r="AV1263" s="124"/>
    </row>
    <row r="1264" spans="2:48" s="475" customFormat="1" x14ac:dyDescent="0.2">
      <c r="B1264" s="250"/>
      <c r="C1264" s="250"/>
      <c r="D1264" s="250"/>
      <c r="E1264" s="250"/>
      <c r="F1264" s="250"/>
      <c r="G1264" s="250"/>
      <c r="H1264" s="250"/>
      <c r="I1264" s="250"/>
      <c r="J1264" s="250"/>
      <c r="K1264" s="250"/>
      <c r="L1264" s="250"/>
      <c r="M1264" s="250"/>
      <c r="N1264" s="250"/>
      <c r="O1264" s="250"/>
      <c r="P1264" s="250"/>
      <c r="Q1264" s="250"/>
      <c r="R1264" s="250"/>
      <c r="S1264" s="250"/>
      <c r="T1264" s="250"/>
      <c r="U1264" s="250"/>
      <c r="V1264" s="250"/>
      <c r="W1264" s="250"/>
      <c r="X1264" s="250"/>
      <c r="Y1264" s="250"/>
      <c r="Z1264" s="250"/>
      <c r="AA1264" s="250"/>
      <c r="AB1264" s="250"/>
      <c r="AC1264" s="250"/>
      <c r="AD1264" s="250"/>
      <c r="AE1264" s="250"/>
      <c r="AF1264" s="250"/>
      <c r="AG1264" s="250"/>
      <c r="AH1264" s="250"/>
      <c r="AI1264" s="250"/>
      <c r="AJ1264" s="250"/>
      <c r="AK1264" s="250"/>
      <c r="AL1264" s="250"/>
      <c r="AM1264" s="250"/>
      <c r="AN1264" s="250"/>
      <c r="AO1264" s="250"/>
      <c r="AP1264" s="250"/>
      <c r="AQ1264" s="250"/>
      <c r="AR1264" s="250"/>
      <c r="AS1264" s="250"/>
      <c r="AT1264" s="250"/>
      <c r="AU1264" s="250"/>
      <c r="AV1264" s="124"/>
    </row>
    <row r="1265" spans="2:48" s="475" customFormat="1" x14ac:dyDescent="0.2">
      <c r="B1265" s="250"/>
      <c r="C1265" s="250"/>
      <c r="D1265" s="250"/>
      <c r="E1265" s="250"/>
      <c r="F1265" s="250"/>
      <c r="G1265" s="250"/>
      <c r="H1265" s="250"/>
      <c r="I1265" s="250"/>
      <c r="J1265" s="250"/>
      <c r="K1265" s="250"/>
      <c r="L1265" s="250"/>
      <c r="M1265" s="250"/>
      <c r="N1265" s="250"/>
      <c r="O1265" s="250"/>
      <c r="P1265" s="250"/>
      <c r="Q1265" s="250"/>
      <c r="R1265" s="250"/>
      <c r="S1265" s="250"/>
      <c r="T1265" s="250"/>
      <c r="U1265" s="250"/>
      <c r="V1265" s="250"/>
      <c r="W1265" s="250"/>
      <c r="X1265" s="250"/>
      <c r="Y1265" s="250"/>
      <c r="Z1265" s="250"/>
      <c r="AA1265" s="250"/>
      <c r="AB1265" s="250"/>
      <c r="AC1265" s="250"/>
      <c r="AD1265" s="250"/>
      <c r="AE1265" s="250"/>
      <c r="AF1265" s="250"/>
      <c r="AG1265" s="250"/>
      <c r="AH1265" s="250"/>
      <c r="AI1265" s="250"/>
      <c r="AJ1265" s="250"/>
      <c r="AK1265" s="250"/>
      <c r="AL1265" s="250"/>
      <c r="AM1265" s="250"/>
      <c r="AN1265" s="250"/>
      <c r="AO1265" s="250"/>
      <c r="AP1265" s="250"/>
      <c r="AQ1265" s="250"/>
      <c r="AR1265" s="250"/>
      <c r="AS1265" s="250"/>
      <c r="AT1265" s="250"/>
      <c r="AU1265" s="250"/>
      <c r="AV1265" s="124"/>
    </row>
    <row r="1266" spans="2:48" s="475" customFormat="1" x14ac:dyDescent="0.2">
      <c r="B1266" s="250"/>
      <c r="C1266" s="250"/>
      <c r="D1266" s="250"/>
      <c r="E1266" s="250"/>
      <c r="F1266" s="250"/>
      <c r="G1266" s="250"/>
      <c r="H1266" s="250"/>
      <c r="I1266" s="250"/>
      <c r="J1266" s="250"/>
      <c r="K1266" s="250"/>
      <c r="L1266" s="250"/>
      <c r="M1266" s="250"/>
      <c r="N1266" s="250"/>
      <c r="O1266" s="250"/>
      <c r="P1266" s="250"/>
      <c r="Q1266" s="250"/>
      <c r="R1266" s="250"/>
      <c r="S1266" s="250"/>
      <c r="T1266" s="250"/>
      <c r="U1266" s="250"/>
      <c r="V1266" s="250"/>
      <c r="W1266" s="250"/>
      <c r="X1266" s="250"/>
      <c r="Y1266" s="250"/>
      <c r="Z1266" s="250"/>
      <c r="AA1266" s="250"/>
      <c r="AB1266" s="250"/>
      <c r="AC1266" s="250"/>
      <c r="AD1266" s="250"/>
      <c r="AE1266" s="250"/>
      <c r="AF1266" s="250"/>
      <c r="AG1266" s="250"/>
      <c r="AH1266" s="250"/>
      <c r="AI1266" s="250"/>
      <c r="AJ1266" s="250"/>
      <c r="AK1266" s="250"/>
      <c r="AL1266" s="250"/>
      <c r="AM1266" s="250"/>
      <c r="AN1266" s="250"/>
      <c r="AO1266" s="250"/>
      <c r="AP1266" s="250"/>
      <c r="AQ1266" s="250"/>
      <c r="AR1266" s="250"/>
      <c r="AS1266" s="250"/>
      <c r="AT1266" s="250"/>
      <c r="AU1266" s="250"/>
      <c r="AV1266" s="124"/>
    </row>
    <row r="1267" spans="2:48" s="475" customFormat="1" x14ac:dyDescent="0.2">
      <c r="B1267" s="250"/>
      <c r="C1267" s="250"/>
      <c r="D1267" s="250"/>
      <c r="E1267" s="250"/>
      <c r="F1267" s="250"/>
      <c r="G1267" s="250"/>
      <c r="H1267" s="250"/>
      <c r="I1267" s="250"/>
      <c r="J1267" s="250"/>
      <c r="K1267" s="250"/>
      <c r="L1267" s="250"/>
      <c r="M1267" s="250"/>
      <c r="N1267" s="250"/>
      <c r="O1267" s="250"/>
      <c r="P1267" s="250"/>
      <c r="Q1267" s="250"/>
      <c r="R1267" s="250"/>
      <c r="S1267" s="250"/>
      <c r="T1267" s="250"/>
      <c r="U1267" s="250"/>
      <c r="V1267" s="250"/>
      <c r="W1267" s="250"/>
      <c r="X1267" s="250"/>
      <c r="Y1267" s="250"/>
      <c r="Z1267" s="250"/>
      <c r="AA1267" s="250"/>
      <c r="AB1267" s="250"/>
      <c r="AC1267" s="250"/>
      <c r="AD1267" s="250"/>
      <c r="AE1267" s="250"/>
      <c r="AF1267" s="250"/>
      <c r="AG1267" s="250"/>
      <c r="AH1267" s="250"/>
      <c r="AI1267" s="250"/>
      <c r="AJ1267" s="250"/>
      <c r="AK1267" s="250"/>
      <c r="AL1267" s="250"/>
      <c r="AM1267" s="250"/>
      <c r="AN1267" s="250"/>
      <c r="AO1267" s="250"/>
      <c r="AP1267" s="250"/>
      <c r="AQ1267" s="250"/>
      <c r="AR1267" s="250"/>
      <c r="AS1267" s="250"/>
      <c r="AT1267" s="250"/>
      <c r="AU1267" s="250"/>
      <c r="AV1267" s="124"/>
    </row>
    <row r="1268" spans="2:48" s="475" customFormat="1" x14ac:dyDescent="0.2">
      <c r="B1268" s="250"/>
      <c r="C1268" s="250"/>
      <c r="D1268" s="250"/>
      <c r="E1268" s="250"/>
      <c r="F1268" s="250"/>
      <c r="G1268" s="250"/>
      <c r="H1268" s="250"/>
      <c r="I1268" s="250"/>
      <c r="J1268" s="250"/>
      <c r="K1268" s="250"/>
      <c r="L1268" s="250"/>
      <c r="M1268" s="250"/>
      <c r="N1268" s="250"/>
      <c r="O1268" s="250"/>
      <c r="P1268" s="250"/>
      <c r="Q1268" s="250"/>
      <c r="R1268" s="250"/>
      <c r="S1268" s="250"/>
      <c r="T1268" s="250"/>
      <c r="U1268" s="250"/>
      <c r="V1268" s="250"/>
      <c r="W1268" s="250"/>
      <c r="X1268" s="250"/>
      <c r="Y1268" s="250"/>
      <c r="Z1268" s="250"/>
      <c r="AA1268" s="250"/>
      <c r="AB1268" s="250"/>
      <c r="AC1268" s="250"/>
      <c r="AD1268" s="250"/>
      <c r="AE1268" s="250"/>
      <c r="AF1268" s="250"/>
      <c r="AG1268" s="250"/>
      <c r="AH1268" s="250"/>
      <c r="AI1268" s="250"/>
      <c r="AJ1268" s="250"/>
      <c r="AK1268" s="250"/>
      <c r="AL1268" s="250"/>
      <c r="AM1268" s="250"/>
      <c r="AN1268" s="250"/>
      <c r="AO1268" s="250"/>
      <c r="AP1268" s="250"/>
      <c r="AQ1268" s="250"/>
      <c r="AR1268" s="250"/>
      <c r="AS1268" s="250"/>
      <c r="AT1268" s="250"/>
      <c r="AU1268" s="250"/>
      <c r="AV1268" s="124"/>
    </row>
    <row r="1269" spans="2:48" s="475" customFormat="1" x14ac:dyDescent="0.2">
      <c r="B1269" s="250"/>
      <c r="C1269" s="250"/>
      <c r="D1269" s="250"/>
      <c r="E1269" s="250"/>
      <c r="F1269" s="250"/>
      <c r="G1269" s="250"/>
      <c r="H1269" s="250"/>
      <c r="I1269" s="250"/>
      <c r="J1269" s="250"/>
      <c r="K1269" s="250"/>
      <c r="L1269" s="250"/>
      <c r="M1269" s="250"/>
      <c r="N1269" s="250"/>
      <c r="O1269" s="250"/>
      <c r="P1269" s="250"/>
      <c r="Q1269" s="250"/>
      <c r="R1269" s="250"/>
      <c r="S1269" s="250"/>
      <c r="T1269" s="250"/>
      <c r="U1269" s="250"/>
      <c r="V1269" s="250"/>
      <c r="W1269" s="250"/>
      <c r="X1269" s="250"/>
      <c r="Y1269" s="250"/>
      <c r="Z1269" s="250"/>
      <c r="AA1269" s="250"/>
      <c r="AB1269" s="250"/>
      <c r="AC1269" s="250"/>
      <c r="AD1269" s="250"/>
      <c r="AE1269" s="250"/>
      <c r="AF1269" s="250"/>
      <c r="AG1269" s="250"/>
      <c r="AH1269" s="250"/>
      <c r="AI1269" s="250"/>
      <c r="AJ1269" s="250"/>
      <c r="AK1269" s="250"/>
      <c r="AL1269" s="250"/>
      <c r="AM1269" s="250"/>
      <c r="AN1269" s="250"/>
      <c r="AO1269" s="250"/>
      <c r="AP1269" s="250"/>
      <c r="AQ1269" s="250"/>
      <c r="AR1269" s="250"/>
      <c r="AS1269" s="250"/>
      <c r="AT1269" s="250"/>
      <c r="AU1269" s="250"/>
      <c r="AV1269" s="124"/>
    </row>
    <row r="1270" spans="2:48" s="475" customFormat="1" x14ac:dyDescent="0.2">
      <c r="B1270" s="250"/>
      <c r="C1270" s="250"/>
      <c r="D1270" s="250"/>
      <c r="E1270" s="250"/>
      <c r="F1270" s="250"/>
      <c r="G1270" s="250"/>
      <c r="H1270" s="250"/>
      <c r="I1270" s="250"/>
      <c r="J1270" s="250"/>
      <c r="K1270" s="250"/>
      <c r="L1270" s="250"/>
      <c r="M1270" s="250"/>
      <c r="N1270" s="250"/>
      <c r="O1270" s="250"/>
      <c r="P1270" s="250"/>
      <c r="Q1270" s="250"/>
      <c r="R1270" s="250"/>
      <c r="S1270" s="250"/>
      <c r="T1270" s="250"/>
      <c r="U1270" s="250"/>
      <c r="V1270" s="250"/>
      <c r="W1270" s="250"/>
      <c r="X1270" s="250"/>
      <c r="Y1270" s="250"/>
      <c r="Z1270" s="250"/>
      <c r="AA1270" s="250"/>
      <c r="AB1270" s="250"/>
      <c r="AC1270" s="250"/>
      <c r="AD1270" s="250"/>
      <c r="AE1270" s="250"/>
      <c r="AF1270" s="250"/>
      <c r="AG1270" s="250"/>
      <c r="AH1270" s="250"/>
      <c r="AI1270" s="250"/>
      <c r="AJ1270" s="250"/>
      <c r="AK1270" s="250"/>
      <c r="AL1270" s="250"/>
      <c r="AM1270" s="250"/>
      <c r="AN1270" s="250"/>
      <c r="AO1270" s="250"/>
      <c r="AP1270" s="250"/>
      <c r="AQ1270" s="250"/>
      <c r="AR1270" s="250"/>
      <c r="AS1270" s="250"/>
      <c r="AT1270" s="250"/>
      <c r="AU1270" s="250"/>
      <c r="AV1270" s="124"/>
    </row>
    <row r="1271" spans="2:48" s="475" customFormat="1" x14ac:dyDescent="0.2">
      <c r="B1271" s="250"/>
      <c r="C1271" s="250"/>
      <c r="D1271" s="250"/>
      <c r="E1271" s="250"/>
      <c r="F1271" s="250"/>
      <c r="G1271" s="250"/>
      <c r="H1271" s="250"/>
      <c r="I1271" s="250"/>
      <c r="J1271" s="250"/>
      <c r="K1271" s="250"/>
      <c r="L1271" s="250"/>
      <c r="M1271" s="250"/>
      <c r="N1271" s="250"/>
      <c r="O1271" s="250"/>
      <c r="P1271" s="250"/>
      <c r="Q1271" s="250"/>
      <c r="R1271" s="250"/>
      <c r="S1271" s="250"/>
      <c r="T1271" s="250"/>
      <c r="U1271" s="250"/>
      <c r="V1271" s="250"/>
      <c r="W1271" s="250"/>
      <c r="X1271" s="250"/>
      <c r="Y1271" s="250"/>
      <c r="Z1271" s="250"/>
      <c r="AA1271" s="250"/>
      <c r="AB1271" s="250"/>
      <c r="AC1271" s="250"/>
      <c r="AD1271" s="250"/>
      <c r="AE1271" s="250"/>
      <c r="AF1271" s="250"/>
      <c r="AG1271" s="250"/>
      <c r="AH1271" s="250"/>
      <c r="AI1271" s="250"/>
      <c r="AJ1271" s="250"/>
      <c r="AK1271" s="250"/>
      <c r="AL1271" s="250"/>
      <c r="AM1271" s="250"/>
      <c r="AN1271" s="250"/>
      <c r="AO1271" s="250"/>
      <c r="AP1271" s="250"/>
      <c r="AQ1271" s="250"/>
      <c r="AR1271" s="250"/>
      <c r="AS1271" s="250"/>
      <c r="AT1271" s="250"/>
      <c r="AU1271" s="250"/>
      <c r="AV1271" s="124"/>
    </row>
    <row r="1272" spans="2:48" s="475" customFormat="1" x14ac:dyDescent="0.2">
      <c r="B1272" s="250"/>
      <c r="C1272" s="250"/>
      <c r="D1272" s="250"/>
      <c r="E1272" s="250"/>
      <c r="F1272" s="250"/>
      <c r="G1272" s="250"/>
      <c r="H1272" s="250"/>
      <c r="I1272" s="250"/>
      <c r="J1272" s="250"/>
      <c r="K1272" s="250"/>
      <c r="L1272" s="250"/>
      <c r="M1272" s="250"/>
      <c r="N1272" s="250"/>
      <c r="O1272" s="250"/>
      <c r="P1272" s="250"/>
      <c r="Q1272" s="250"/>
      <c r="R1272" s="250"/>
      <c r="S1272" s="250"/>
      <c r="T1272" s="250"/>
      <c r="U1272" s="250"/>
      <c r="V1272" s="250"/>
      <c r="W1272" s="250"/>
      <c r="X1272" s="250"/>
      <c r="Y1272" s="250"/>
      <c r="Z1272" s="250"/>
      <c r="AA1272" s="250"/>
      <c r="AB1272" s="250"/>
      <c r="AC1272" s="250"/>
      <c r="AD1272" s="250"/>
      <c r="AE1272" s="250"/>
      <c r="AF1272" s="250"/>
      <c r="AG1272" s="250"/>
      <c r="AH1272" s="250"/>
      <c r="AI1272" s="250"/>
      <c r="AJ1272" s="250"/>
      <c r="AK1272" s="250"/>
      <c r="AL1272" s="250"/>
      <c r="AM1272" s="250"/>
      <c r="AN1272" s="250"/>
      <c r="AO1272" s="250"/>
      <c r="AP1272" s="250"/>
      <c r="AQ1272" s="250"/>
      <c r="AR1272" s="250"/>
      <c r="AS1272" s="250"/>
      <c r="AT1272" s="250"/>
      <c r="AU1272" s="250"/>
      <c r="AV1272" s="124"/>
    </row>
    <row r="1273" spans="2:48" s="475" customFormat="1" x14ac:dyDescent="0.2">
      <c r="B1273" s="250"/>
      <c r="C1273" s="250"/>
      <c r="D1273" s="250"/>
      <c r="E1273" s="250"/>
      <c r="F1273" s="250"/>
      <c r="G1273" s="250"/>
      <c r="H1273" s="250"/>
      <c r="I1273" s="250"/>
      <c r="J1273" s="250"/>
      <c r="K1273" s="250"/>
      <c r="L1273" s="250"/>
      <c r="M1273" s="250"/>
      <c r="N1273" s="250"/>
      <c r="O1273" s="250"/>
      <c r="P1273" s="250"/>
      <c r="Q1273" s="250"/>
      <c r="R1273" s="250"/>
      <c r="S1273" s="250"/>
      <c r="T1273" s="250"/>
      <c r="U1273" s="250"/>
      <c r="V1273" s="250"/>
      <c r="W1273" s="250"/>
      <c r="X1273" s="250"/>
      <c r="Y1273" s="250"/>
      <c r="Z1273" s="250"/>
      <c r="AA1273" s="250"/>
      <c r="AB1273" s="250"/>
      <c r="AC1273" s="250"/>
      <c r="AD1273" s="250"/>
      <c r="AE1273" s="250"/>
      <c r="AF1273" s="250"/>
      <c r="AG1273" s="250"/>
      <c r="AH1273" s="250"/>
      <c r="AI1273" s="250"/>
      <c r="AJ1273" s="250"/>
      <c r="AK1273" s="250"/>
      <c r="AL1273" s="250"/>
      <c r="AM1273" s="250"/>
      <c r="AN1273" s="250"/>
      <c r="AO1273" s="250"/>
      <c r="AP1273" s="250"/>
      <c r="AQ1273" s="250"/>
      <c r="AR1273" s="250"/>
      <c r="AS1273" s="250"/>
      <c r="AT1273" s="250"/>
      <c r="AU1273" s="250"/>
      <c r="AV1273" s="124"/>
    </row>
    <row r="1274" spans="2:48" s="475" customFormat="1" x14ac:dyDescent="0.2">
      <c r="B1274" s="250"/>
      <c r="C1274" s="250"/>
      <c r="D1274" s="250"/>
      <c r="E1274" s="250"/>
      <c r="F1274" s="250"/>
      <c r="G1274" s="250"/>
      <c r="H1274" s="250"/>
      <c r="I1274" s="250"/>
      <c r="J1274" s="250"/>
      <c r="K1274" s="250"/>
      <c r="L1274" s="250"/>
      <c r="M1274" s="250"/>
      <c r="N1274" s="250"/>
      <c r="O1274" s="250"/>
      <c r="P1274" s="250"/>
      <c r="Q1274" s="250"/>
      <c r="R1274" s="250"/>
      <c r="S1274" s="250"/>
      <c r="T1274" s="250"/>
      <c r="U1274" s="250"/>
      <c r="V1274" s="250"/>
      <c r="W1274" s="250"/>
      <c r="X1274" s="250"/>
      <c r="Y1274" s="250"/>
      <c r="Z1274" s="250"/>
      <c r="AA1274" s="250"/>
      <c r="AB1274" s="250"/>
      <c r="AC1274" s="250"/>
      <c r="AD1274" s="250"/>
      <c r="AE1274" s="250"/>
      <c r="AF1274" s="250"/>
      <c r="AG1274" s="250"/>
      <c r="AH1274" s="250"/>
      <c r="AI1274" s="250"/>
      <c r="AJ1274" s="250"/>
      <c r="AK1274" s="250"/>
      <c r="AL1274" s="250"/>
      <c r="AM1274" s="250"/>
      <c r="AN1274" s="250"/>
      <c r="AO1274" s="250"/>
      <c r="AP1274" s="250"/>
      <c r="AQ1274" s="250"/>
      <c r="AR1274" s="250"/>
      <c r="AS1274" s="250"/>
      <c r="AT1274" s="250"/>
      <c r="AU1274" s="250"/>
      <c r="AV1274" s="124"/>
    </row>
    <row r="1275" spans="2:48" s="475" customFormat="1" x14ac:dyDescent="0.2">
      <c r="B1275" s="250"/>
      <c r="C1275" s="250"/>
      <c r="D1275" s="250"/>
      <c r="E1275" s="250"/>
      <c r="F1275" s="250"/>
      <c r="G1275" s="250"/>
      <c r="H1275" s="250"/>
      <c r="I1275" s="250"/>
      <c r="J1275" s="250"/>
      <c r="K1275" s="250"/>
      <c r="L1275" s="250"/>
      <c r="M1275" s="250"/>
      <c r="N1275" s="250"/>
      <c r="O1275" s="250"/>
      <c r="P1275" s="250"/>
      <c r="Q1275" s="250"/>
      <c r="R1275" s="250"/>
      <c r="S1275" s="250"/>
      <c r="T1275" s="250"/>
      <c r="U1275" s="250"/>
      <c r="V1275" s="250"/>
      <c r="W1275" s="250"/>
      <c r="X1275" s="250"/>
      <c r="Y1275" s="250"/>
      <c r="Z1275" s="250"/>
      <c r="AA1275" s="250"/>
      <c r="AB1275" s="250"/>
      <c r="AC1275" s="250"/>
      <c r="AD1275" s="250"/>
      <c r="AE1275" s="250"/>
      <c r="AF1275" s="250"/>
      <c r="AG1275" s="250"/>
      <c r="AH1275" s="250"/>
      <c r="AI1275" s="250"/>
      <c r="AJ1275" s="250"/>
      <c r="AK1275" s="250"/>
      <c r="AL1275" s="250"/>
      <c r="AM1275" s="250"/>
      <c r="AN1275" s="250"/>
      <c r="AO1275" s="250"/>
      <c r="AP1275" s="250"/>
      <c r="AQ1275" s="250"/>
      <c r="AR1275" s="250"/>
      <c r="AS1275" s="250"/>
      <c r="AT1275" s="250"/>
      <c r="AU1275" s="250"/>
      <c r="AV1275" s="124"/>
    </row>
    <row r="1276" spans="2:48" s="475" customFormat="1" x14ac:dyDescent="0.2">
      <c r="B1276" s="250"/>
      <c r="C1276" s="250"/>
      <c r="D1276" s="250"/>
      <c r="E1276" s="250"/>
      <c r="F1276" s="250"/>
      <c r="G1276" s="250"/>
      <c r="H1276" s="250"/>
      <c r="I1276" s="250"/>
      <c r="J1276" s="250"/>
      <c r="K1276" s="250"/>
      <c r="L1276" s="250"/>
      <c r="M1276" s="250"/>
      <c r="N1276" s="250"/>
      <c r="O1276" s="250"/>
      <c r="P1276" s="250"/>
      <c r="Q1276" s="250"/>
      <c r="R1276" s="250"/>
      <c r="S1276" s="250"/>
      <c r="T1276" s="250"/>
      <c r="U1276" s="250"/>
      <c r="V1276" s="250"/>
      <c r="W1276" s="250"/>
      <c r="X1276" s="250"/>
      <c r="Y1276" s="250"/>
      <c r="Z1276" s="250"/>
      <c r="AA1276" s="250"/>
      <c r="AB1276" s="250"/>
      <c r="AC1276" s="250"/>
      <c r="AD1276" s="250"/>
      <c r="AE1276" s="250"/>
      <c r="AF1276" s="250"/>
      <c r="AG1276" s="250"/>
      <c r="AH1276" s="250"/>
      <c r="AI1276" s="250"/>
      <c r="AJ1276" s="250"/>
      <c r="AK1276" s="250"/>
      <c r="AL1276" s="250"/>
      <c r="AM1276" s="250"/>
      <c r="AN1276" s="250"/>
      <c r="AO1276" s="250"/>
      <c r="AP1276" s="250"/>
      <c r="AQ1276" s="250"/>
      <c r="AR1276" s="250"/>
      <c r="AS1276" s="250"/>
      <c r="AT1276" s="250"/>
      <c r="AU1276" s="250"/>
      <c r="AV1276" s="124"/>
    </row>
    <row r="1277" spans="2:48" s="475" customFormat="1" x14ac:dyDescent="0.2">
      <c r="B1277" s="250"/>
      <c r="C1277" s="250"/>
      <c r="D1277" s="250"/>
      <c r="E1277" s="250"/>
      <c r="F1277" s="250"/>
      <c r="G1277" s="250"/>
      <c r="H1277" s="250"/>
      <c r="I1277" s="250"/>
      <c r="J1277" s="250"/>
      <c r="K1277" s="250"/>
      <c r="L1277" s="250"/>
      <c r="M1277" s="250"/>
      <c r="N1277" s="250"/>
      <c r="O1277" s="250"/>
      <c r="P1277" s="250"/>
      <c r="Q1277" s="250"/>
      <c r="R1277" s="250"/>
      <c r="S1277" s="250"/>
      <c r="T1277" s="250"/>
      <c r="U1277" s="250"/>
      <c r="V1277" s="250"/>
      <c r="W1277" s="250"/>
      <c r="X1277" s="250"/>
      <c r="Y1277" s="250"/>
      <c r="Z1277" s="250"/>
      <c r="AA1277" s="250"/>
      <c r="AB1277" s="250"/>
      <c r="AC1277" s="250"/>
      <c r="AD1277" s="250"/>
      <c r="AE1277" s="250"/>
      <c r="AF1277" s="250"/>
      <c r="AG1277" s="250"/>
      <c r="AH1277" s="250"/>
      <c r="AI1277" s="250"/>
      <c r="AJ1277" s="250"/>
      <c r="AK1277" s="250"/>
      <c r="AL1277" s="250"/>
      <c r="AM1277" s="250"/>
      <c r="AN1277" s="250"/>
      <c r="AO1277" s="250"/>
      <c r="AP1277" s="250"/>
      <c r="AQ1277" s="250"/>
      <c r="AR1277" s="250"/>
      <c r="AS1277" s="250"/>
      <c r="AT1277" s="250"/>
      <c r="AU1277" s="250"/>
      <c r="AV1277" s="124"/>
    </row>
    <row r="1278" spans="2:48" s="475" customFormat="1" x14ac:dyDescent="0.2">
      <c r="B1278" s="250"/>
      <c r="C1278" s="250"/>
      <c r="D1278" s="250"/>
      <c r="E1278" s="250"/>
      <c r="F1278" s="250"/>
      <c r="G1278" s="250"/>
      <c r="H1278" s="250"/>
      <c r="I1278" s="250"/>
      <c r="J1278" s="250"/>
      <c r="K1278" s="250"/>
      <c r="L1278" s="250"/>
      <c r="M1278" s="250"/>
      <c r="N1278" s="250"/>
      <c r="O1278" s="250"/>
      <c r="P1278" s="250"/>
      <c r="Q1278" s="250"/>
      <c r="R1278" s="250"/>
      <c r="S1278" s="250"/>
      <c r="T1278" s="250"/>
      <c r="U1278" s="250"/>
      <c r="V1278" s="250"/>
      <c r="W1278" s="250"/>
      <c r="X1278" s="250"/>
      <c r="Y1278" s="250"/>
      <c r="Z1278" s="250"/>
      <c r="AA1278" s="250"/>
      <c r="AB1278" s="250"/>
      <c r="AC1278" s="250"/>
      <c r="AD1278" s="250"/>
      <c r="AE1278" s="250"/>
      <c r="AF1278" s="250"/>
      <c r="AG1278" s="250"/>
      <c r="AH1278" s="250"/>
      <c r="AI1278" s="250"/>
      <c r="AJ1278" s="250"/>
      <c r="AK1278" s="250"/>
      <c r="AL1278" s="250"/>
      <c r="AM1278" s="250"/>
      <c r="AN1278" s="250"/>
      <c r="AO1278" s="250"/>
      <c r="AP1278" s="250"/>
      <c r="AQ1278" s="250"/>
      <c r="AR1278" s="250"/>
      <c r="AS1278" s="250"/>
      <c r="AT1278" s="250"/>
      <c r="AU1278" s="250"/>
      <c r="AV1278" s="124"/>
    </row>
    <row r="1279" spans="2:48" s="475" customFormat="1" x14ac:dyDescent="0.2">
      <c r="B1279" s="250"/>
      <c r="C1279" s="250"/>
      <c r="D1279" s="250"/>
      <c r="E1279" s="250"/>
      <c r="F1279" s="250"/>
      <c r="G1279" s="250"/>
      <c r="H1279" s="250"/>
      <c r="I1279" s="250"/>
      <c r="J1279" s="250"/>
      <c r="K1279" s="250"/>
      <c r="L1279" s="250"/>
      <c r="M1279" s="250"/>
      <c r="N1279" s="250"/>
      <c r="O1279" s="250"/>
      <c r="P1279" s="250"/>
      <c r="Q1279" s="250"/>
      <c r="R1279" s="250"/>
      <c r="S1279" s="250"/>
      <c r="T1279" s="250"/>
      <c r="U1279" s="250"/>
      <c r="V1279" s="250"/>
      <c r="W1279" s="250"/>
      <c r="X1279" s="250"/>
      <c r="Y1279" s="250"/>
      <c r="Z1279" s="250"/>
      <c r="AA1279" s="250"/>
      <c r="AB1279" s="250"/>
      <c r="AC1279" s="250"/>
      <c r="AD1279" s="250"/>
      <c r="AE1279" s="250"/>
      <c r="AF1279" s="250"/>
      <c r="AG1279" s="250"/>
      <c r="AH1279" s="250"/>
      <c r="AI1279" s="250"/>
      <c r="AJ1279" s="250"/>
      <c r="AK1279" s="250"/>
      <c r="AL1279" s="250"/>
      <c r="AM1279" s="250"/>
      <c r="AN1279" s="250"/>
      <c r="AO1279" s="250"/>
      <c r="AP1279" s="250"/>
      <c r="AQ1279" s="250"/>
      <c r="AR1279" s="250"/>
      <c r="AS1279" s="250"/>
      <c r="AT1279" s="250"/>
      <c r="AU1279" s="250"/>
      <c r="AV1279" s="124"/>
    </row>
    <row r="1280" spans="2:48" s="475" customFormat="1" x14ac:dyDescent="0.2">
      <c r="B1280" s="250"/>
      <c r="C1280" s="250"/>
      <c r="D1280" s="250"/>
      <c r="E1280" s="250"/>
      <c r="F1280" s="250"/>
      <c r="G1280" s="250"/>
      <c r="H1280" s="250"/>
      <c r="I1280" s="250"/>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c r="AN1280" s="250"/>
      <c r="AO1280" s="250"/>
      <c r="AP1280" s="250"/>
      <c r="AQ1280" s="250"/>
      <c r="AR1280" s="250"/>
      <c r="AS1280" s="250"/>
      <c r="AT1280" s="250"/>
      <c r="AU1280" s="250"/>
      <c r="AV1280" s="124"/>
    </row>
    <row r="1281" spans="2:48" s="475" customFormat="1" x14ac:dyDescent="0.2">
      <c r="B1281" s="250"/>
      <c r="C1281" s="250"/>
      <c r="D1281" s="250"/>
      <c r="E1281" s="250"/>
      <c r="F1281" s="250"/>
      <c r="G1281" s="250"/>
      <c r="H1281" s="250"/>
      <c r="I1281" s="250"/>
      <c r="J1281" s="250"/>
      <c r="K1281" s="250"/>
      <c r="L1281" s="250"/>
      <c r="M1281" s="250"/>
      <c r="N1281" s="250"/>
      <c r="O1281" s="250"/>
      <c r="P1281" s="250"/>
      <c r="Q1281" s="250"/>
      <c r="R1281" s="250"/>
      <c r="S1281" s="250"/>
      <c r="T1281" s="250"/>
      <c r="U1281" s="250"/>
      <c r="V1281" s="250"/>
      <c r="W1281" s="250"/>
      <c r="X1281" s="250"/>
      <c r="Y1281" s="250"/>
      <c r="Z1281" s="250"/>
      <c r="AA1281" s="250"/>
      <c r="AB1281" s="250"/>
      <c r="AC1281" s="250"/>
      <c r="AD1281" s="250"/>
      <c r="AE1281" s="250"/>
      <c r="AF1281" s="250"/>
      <c r="AG1281" s="250"/>
      <c r="AH1281" s="250"/>
      <c r="AI1281" s="250"/>
      <c r="AJ1281" s="250"/>
      <c r="AK1281" s="250"/>
      <c r="AL1281" s="250"/>
      <c r="AM1281" s="250"/>
      <c r="AN1281" s="250"/>
      <c r="AO1281" s="250"/>
      <c r="AP1281" s="250"/>
      <c r="AQ1281" s="250"/>
      <c r="AR1281" s="250"/>
      <c r="AS1281" s="250"/>
      <c r="AT1281" s="250"/>
      <c r="AU1281" s="250"/>
      <c r="AV1281" s="124"/>
    </row>
    <row r="1282" spans="2:48" s="475" customFormat="1" x14ac:dyDescent="0.2">
      <c r="B1282" s="250"/>
      <c r="C1282" s="250"/>
      <c r="D1282" s="250"/>
      <c r="E1282" s="250"/>
      <c r="F1282" s="250"/>
      <c r="G1282" s="250"/>
      <c r="H1282" s="250"/>
      <c r="I1282" s="250"/>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c r="AN1282" s="250"/>
      <c r="AO1282" s="250"/>
      <c r="AP1282" s="250"/>
      <c r="AQ1282" s="250"/>
      <c r="AR1282" s="250"/>
      <c r="AS1282" s="250"/>
      <c r="AT1282" s="250"/>
      <c r="AU1282" s="250"/>
      <c r="AV1282" s="124"/>
    </row>
    <row r="1283" spans="2:48" s="475" customFormat="1" x14ac:dyDescent="0.2">
      <c r="B1283" s="250"/>
      <c r="C1283" s="250"/>
      <c r="D1283" s="250"/>
      <c r="E1283" s="250"/>
      <c r="F1283" s="250"/>
      <c r="G1283" s="250"/>
      <c r="H1283" s="250"/>
      <c r="I1283" s="250"/>
      <c r="J1283" s="250"/>
      <c r="K1283" s="250"/>
      <c r="L1283" s="250"/>
      <c r="M1283" s="250"/>
      <c r="N1283" s="250"/>
      <c r="O1283" s="250"/>
      <c r="P1283" s="250"/>
      <c r="Q1283" s="250"/>
      <c r="R1283" s="250"/>
      <c r="S1283" s="250"/>
      <c r="T1283" s="250"/>
      <c r="U1283" s="250"/>
      <c r="V1283" s="250"/>
      <c r="W1283" s="250"/>
      <c r="X1283" s="250"/>
      <c r="Y1283" s="250"/>
      <c r="Z1283" s="250"/>
      <c r="AA1283" s="250"/>
      <c r="AB1283" s="250"/>
      <c r="AC1283" s="250"/>
      <c r="AD1283" s="250"/>
      <c r="AE1283" s="250"/>
      <c r="AF1283" s="250"/>
      <c r="AG1283" s="250"/>
      <c r="AH1283" s="250"/>
      <c r="AI1283" s="250"/>
      <c r="AJ1283" s="250"/>
      <c r="AK1283" s="250"/>
      <c r="AL1283" s="250"/>
      <c r="AM1283" s="250"/>
      <c r="AN1283" s="250"/>
      <c r="AO1283" s="250"/>
      <c r="AP1283" s="250"/>
      <c r="AQ1283" s="250"/>
      <c r="AR1283" s="250"/>
      <c r="AS1283" s="250"/>
      <c r="AT1283" s="250"/>
      <c r="AU1283" s="250"/>
      <c r="AV1283" s="124"/>
    </row>
    <row r="1284" spans="2:48" s="475" customFormat="1" x14ac:dyDescent="0.2">
      <c r="B1284" s="250"/>
      <c r="C1284" s="250"/>
      <c r="D1284" s="250"/>
      <c r="E1284" s="250"/>
      <c r="F1284" s="250"/>
      <c r="G1284" s="250"/>
      <c r="H1284" s="250"/>
      <c r="I1284" s="250"/>
      <c r="J1284" s="250"/>
      <c r="K1284" s="250"/>
      <c r="L1284" s="250"/>
      <c r="M1284" s="250"/>
      <c r="N1284" s="250"/>
      <c r="O1284" s="250"/>
      <c r="P1284" s="250"/>
      <c r="Q1284" s="250"/>
      <c r="R1284" s="250"/>
      <c r="S1284" s="250"/>
      <c r="T1284" s="250"/>
      <c r="U1284" s="250"/>
      <c r="V1284" s="250"/>
      <c r="W1284" s="250"/>
      <c r="X1284" s="250"/>
      <c r="Y1284" s="250"/>
      <c r="Z1284" s="250"/>
      <c r="AA1284" s="250"/>
      <c r="AB1284" s="250"/>
      <c r="AC1284" s="250"/>
      <c r="AD1284" s="250"/>
      <c r="AE1284" s="250"/>
      <c r="AF1284" s="250"/>
      <c r="AG1284" s="250"/>
      <c r="AH1284" s="250"/>
      <c r="AI1284" s="250"/>
      <c r="AJ1284" s="250"/>
      <c r="AK1284" s="250"/>
      <c r="AL1284" s="250"/>
      <c r="AM1284" s="250"/>
      <c r="AN1284" s="250"/>
      <c r="AO1284" s="250"/>
      <c r="AP1284" s="250"/>
      <c r="AQ1284" s="250"/>
      <c r="AR1284" s="250"/>
      <c r="AS1284" s="250"/>
      <c r="AT1284" s="250"/>
      <c r="AU1284" s="250"/>
      <c r="AV1284" s="124"/>
    </row>
    <row r="1285" spans="2:48" s="475" customFormat="1" x14ac:dyDescent="0.2">
      <c r="B1285" s="250"/>
      <c r="C1285" s="250"/>
      <c r="D1285" s="250"/>
      <c r="E1285" s="250"/>
      <c r="F1285" s="250"/>
      <c r="G1285" s="250"/>
      <c r="H1285" s="250"/>
      <c r="I1285" s="250"/>
      <c r="J1285" s="250"/>
      <c r="K1285" s="250"/>
      <c r="L1285" s="250"/>
      <c r="M1285" s="250"/>
      <c r="N1285" s="250"/>
      <c r="O1285" s="250"/>
      <c r="P1285" s="250"/>
      <c r="Q1285" s="250"/>
      <c r="R1285" s="250"/>
      <c r="S1285" s="250"/>
      <c r="T1285" s="250"/>
      <c r="U1285" s="250"/>
      <c r="V1285" s="250"/>
      <c r="W1285" s="250"/>
      <c r="X1285" s="250"/>
      <c r="Y1285" s="250"/>
      <c r="Z1285" s="250"/>
      <c r="AA1285" s="250"/>
      <c r="AB1285" s="250"/>
      <c r="AC1285" s="250"/>
      <c r="AD1285" s="250"/>
      <c r="AE1285" s="250"/>
      <c r="AF1285" s="250"/>
      <c r="AG1285" s="250"/>
      <c r="AH1285" s="250"/>
      <c r="AI1285" s="250"/>
      <c r="AJ1285" s="250"/>
      <c r="AK1285" s="250"/>
      <c r="AL1285" s="250"/>
      <c r="AM1285" s="250"/>
      <c r="AN1285" s="250"/>
      <c r="AO1285" s="250"/>
      <c r="AP1285" s="250"/>
      <c r="AQ1285" s="250"/>
      <c r="AR1285" s="250"/>
      <c r="AS1285" s="250"/>
      <c r="AT1285" s="250"/>
      <c r="AU1285" s="250"/>
      <c r="AV1285" s="124"/>
    </row>
    <row r="1286" spans="2:48" s="475" customFormat="1" x14ac:dyDescent="0.2">
      <c r="B1286" s="250"/>
      <c r="C1286" s="250"/>
      <c r="D1286" s="250"/>
      <c r="E1286" s="250"/>
      <c r="F1286" s="250"/>
      <c r="G1286" s="250"/>
      <c r="H1286" s="250"/>
      <c r="I1286" s="250"/>
      <c r="J1286" s="250"/>
      <c r="K1286" s="250"/>
      <c r="L1286" s="250"/>
      <c r="M1286" s="250"/>
      <c r="N1286" s="250"/>
      <c r="O1286" s="250"/>
      <c r="P1286" s="250"/>
      <c r="Q1286" s="250"/>
      <c r="R1286" s="250"/>
      <c r="S1286" s="250"/>
      <c r="T1286" s="250"/>
      <c r="U1286" s="250"/>
      <c r="V1286" s="250"/>
      <c r="W1286" s="250"/>
      <c r="X1286" s="250"/>
      <c r="Y1286" s="250"/>
      <c r="Z1286" s="250"/>
      <c r="AA1286" s="250"/>
      <c r="AB1286" s="250"/>
      <c r="AC1286" s="250"/>
      <c r="AD1286" s="250"/>
      <c r="AE1286" s="250"/>
      <c r="AF1286" s="250"/>
      <c r="AG1286" s="250"/>
      <c r="AH1286" s="250"/>
      <c r="AI1286" s="250"/>
      <c r="AJ1286" s="250"/>
      <c r="AK1286" s="250"/>
      <c r="AL1286" s="250"/>
      <c r="AM1286" s="250"/>
      <c r="AN1286" s="250"/>
      <c r="AO1286" s="250"/>
      <c r="AP1286" s="250"/>
      <c r="AQ1286" s="250"/>
      <c r="AR1286" s="250"/>
      <c r="AS1286" s="250"/>
      <c r="AT1286" s="250"/>
      <c r="AU1286" s="250"/>
      <c r="AV1286" s="124"/>
    </row>
    <row r="1287" spans="2:48" s="475" customFormat="1" x14ac:dyDescent="0.2">
      <c r="B1287" s="250"/>
      <c r="C1287" s="250"/>
      <c r="D1287" s="250"/>
      <c r="E1287" s="250"/>
      <c r="F1287" s="250"/>
      <c r="G1287" s="250"/>
      <c r="H1287" s="250"/>
      <c r="I1287" s="250"/>
      <c r="J1287" s="250"/>
      <c r="K1287" s="250"/>
      <c r="L1287" s="250"/>
      <c r="M1287" s="250"/>
      <c r="N1287" s="250"/>
      <c r="O1287" s="250"/>
      <c r="P1287" s="250"/>
      <c r="Q1287" s="250"/>
      <c r="R1287" s="250"/>
      <c r="S1287" s="250"/>
      <c r="T1287" s="250"/>
      <c r="U1287" s="250"/>
      <c r="V1287" s="250"/>
      <c r="W1287" s="250"/>
      <c r="X1287" s="250"/>
      <c r="Y1287" s="250"/>
      <c r="Z1287" s="250"/>
      <c r="AA1287" s="250"/>
      <c r="AB1287" s="250"/>
      <c r="AC1287" s="250"/>
      <c r="AD1287" s="250"/>
      <c r="AE1287" s="250"/>
      <c r="AF1287" s="250"/>
      <c r="AG1287" s="250"/>
      <c r="AH1287" s="250"/>
      <c r="AI1287" s="250"/>
      <c r="AJ1287" s="250"/>
      <c r="AK1287" s="250"/>
      <c r="AL1287" s="250"/>
      <c r="AM1287" s="250"/>
      <c r="AN1287" s="250"/>
      <c r="AO1287" s="250"/>
      <c r="AP1287" s="250"/>
      <c r="AQ1287" s="250"/>
      <c r="AR1287" s="250"/>
      <c r="AS1287" s="250"/>
      <c r="AT1287" s="250"/>
      <c r="AU1287" s="250"/>
      <c r="AV1287" s="124"/>
    </row>
    <row r="1288" spans="2:48" s="475" customFormat="1" x14ac:dyDescent="0.2">
      <c r="B1288" s="250"/>
      <c r="C1288" s="250"/>
      <c r="D1288" s="250"/>
      <c r="E1288" s="250"/>
      <c r="F1288" s="250"/>
      <c r="G1288" s="250"/>
      <c r="H1288" s="250"/>
      <c r="I1288" s="250"/>
      <c r="J1288" s="250"/>
      <c r="K1288" s="250"/>
      <c r="L1288" s="250"/>
      <c r="M1288" s="250"/>
      <c r="N1288" s="250"/>
      <c r="O1288" s="250"/>
      <c r="P1288" s="250"/>
      <c r="Q1288" s="250"/>
      <c r="R1288" s="250"/>
      <c r="S1288" s="250"/>
      <c r="T1288" s="250"/>
      <c r="U1288" s="250"/>
      <c r="V1288" s="250"/>
      <c r="W1288" s="250"/>
      <c r="X1288" s="250"/>
      <c r="Y1288" s="250"/>
      <c r="Z1288" s="250"/>
      <c r="AA1288" s="250"/>
      <c r="AB1288" s="250"/>
      <c r="AC1288" s="250"/>
      <c r="AD1288" s="250"/>
      <c r="AE1288" s="250"/>
      <c r="AF1288" s="250"/>
      <c r="AG1288" s="250"/>
      <c r="AH1288" s="250"/>
      <c r="AI1288" s="250"/>
      <c r="AJ1288" s="250"/>
      <c r="AK1288" s="250"/>
      <c r="AL1288" s="250"/>
      <c r="AM1288" s="250"/>
      <c r="AN1288" s="250"/>
      <c r="AO1288" s="250"/>
      <c r="AP1288" s="250"/>
      <c r="AQ1288" s="250"/>
      <c r="AR1288" s="250"/>
      <c r="AS1288" s="250"/>
      <c r="AT1288" s="250"/>
      <c r="AU1288" s="250"/>
      <c r="AV1288" s="124"/>
    </row>
    <row r="1289" spans="2:48" s="475" customFormat="1" x14ac:dyDescent="0.2">
      <c r="B1289" s="250"/>
      <c r="C1289" s="250"/>
      <c r="D1289" s="250"/>
      <c r="E1289" s="250"/>
      <c r="F1289" s="250"/>
      <c r="G1289" s="250"/>
      <c r="H1289" s="250"/>
      <c r="I1289" s="250"/>
      <c r="J1289" s="250"/>
      <c r="K1289" s="250"/>
      <c r="L1289" s="250"/>
      <c r="M1289" s="250"/>
      <c r="N1289" s="250"/>
      <c r="O1289" s="250"/>
      <c r="P1289" s="250"/>
      <c r="Q1289" s="250"/>
      <c r="R1289" s="250"/>
      <c r="S1289" s="250"/>
      <c r="T1289" s="250"/>
      <c r="U1289" s="250"/>
      <c r="V1289" s="250"/>
      <c r="W1289" s="250"/>
      <c r="X1289" s="250"/>
      <c r="Y1289" s="250"/>
      <c r="Z1289" s="250"/>
      <c r="AA1289" s="250"/>
      <c r="AB1289" s="250"/>
      <c r="AC1289" s="250"/>
      <c r="AD1289" s="250"/>
      <c r="AE1289" s="250"/>
      <c r="AF1289" s="250"/>
      <c r="AG1289" s="250"/>
      <c r="AH1289" s="250"/>
      <c r="AI1289" s="250"/>
      <c r="AJ1289" s="250"/>
      <c r="AK1289" s="250"/>
      <c r="AL1289" s="250"/>
      <c r="AM1289" s="250"/>
      <c r="AN1289" s="250"/>
      <c r="AO1289" s="250"/>
      <c r="AP1289" s="250"/>
      <c r="AQ1289" s="250"/>
      <c r="AR1289" s="250"/>
      <c r="AS1289" s="250"/>
      <c r="AT1289" s="250"/>
      <c r="AU1289" s="250"/>
      <c r="AV1289" s="124"/>
    </row>
    <row r="1290" spans="2:48" s="475" customFormat="1" x14ac:dyDescent="0.2">
      <c r="B1290" s="250"/>
      <c r="C1290" s="250"/>
      <c r="D1290" s="250"/>
      <c r="E1290" s="250"/>
      <c r="F1290" s="250"/>
      <c r="G1290" s="250"/>
      <c r="H1290" s="250"/>
      <c r="I1290" s="250"/>
      <c r="J1290" s="250"/>
      <c r="K1290" s="250"/>
      <c r="L1290" s="250"/>
      <c r="M1290" s="250"/>
      <c r="N1290" s="250"/>
      <c r="O1290" s="250"/>
      <c r="P1290" s="250"/>
      <c r="Q1290" s="250"/>
      <c r="R1290" s="250"/>
      <c r="S1290" s="250"/>
      <c r="T1290" s="250"/>
      <c r="U1290" s="250"/>
      <c r="V1290" s="250"/>
      <c r="W1290" s="250"/>
      <c r="X1290" s="250"/>
      <c r="Y1290" s="250"/>
      <c r="Z1290" s="250"/>
      <c r="AA1290" s="250"/>
      <c r="AB1290" s="250"/>
      <c r="AC1290" s="250"/>
      <c r="AD1290" s="250"/>
      <c r="AE1290" s="250"/>
      <c r="AF1290" s="250"/>
      <c r="AG1290" s="250"/>
      <c r="AH1290" s="250"/>
      <c r="AI1290" s="250"/>
      <c r="AJ1290" s="250"/>
      <c r="AK1290" s="250"/>
      <c r="AL1290" s="250"/>
      <c r="AM1290" s="250"/>
      <c r="AN1290" s="250"/>
      <c r="AO1290" s="250"/>
      <c r="AP1290" s="250"/>
      <c r="AQ1290" s="250"/>
      <c r="AR1290" s="250"/>
      <c r="AS1290" s="250"/>
      <c r="AT1290" s="250"/>
      <c r="AU1290" s="250"/>
      <c r="AV1290" s="124"/>
    </row>
    <row r="1291" spans="2:48" s="475" customFormat="1" ht="13.5" thickBot="1" x14ac:dyDescent="0.25">
      <c r="B1291" s="250"/>
      <c r="C1291" s="250"/>
      <c r="D1291" s="250"/>
      <c r="E1291" s="250"/>
      <c r="F1291" s="250"/>
      <c r="G1291" s="250"/>
      <c r="H1291" s="250"/>
      <c r="I1291" s="250"/>
      <c r="J1291" s="250"/>
      <c r="K1291" s="250"/>
      <c r="L1291" s="250"/>
      <c r="M1291" s="250"/>
      <c r="N1291" s="250"/>
      <c r="O1291" s="250"/>
      <c r="P1291" s="250"/>
      <c r="Q1291" s="250"/>
      <c r="R1291" s="250"/>
      <c r="S1291" s="250"/>
      <c r="T1291" s="250"/>
      <c r="U1291" s="250"/>
      <c r="V1291" s="250"/>
      <c r="W1291" s="250"/>
      <c r="X1291" s="250"/>
      <c r="Y1291" s="250"/>
      <c r="Z1291" s="250"/>
      <c r="AA1291" s="250"/>
      <c r="AB1291" s="250"/>
      <c r="AC1291" s="250"/>
      <c r="AD1291" s="250"/>
      <c r="AE1291" s="250"/>
      <c r="AF1291" s="250"/>
      <c r="AG1291" s="250"/>
      <c r="AH1291" s="250"/>
      <c r="AI1291" s="250"/>
      <c r="AJ1291" s="250"/>
      <c r="AK1291" s="250"/>
      <c r="AL1291" s="250"/>
      <c r="AM1291" s="250"/>
      <c r="AN1291" s="250"/>
      <c r="AO1291" s="250"/>
      <c r="AP1291" s="250"/>
      <c r="AQ1291" s="250"/>
      <c r="AR1291" s="250"/>
      <c r="AS1291" s="250"/>
      <c r="AT1291" s="250"/>
      <c r="AU1291" s="250"/>
      <c r="AV1291" s="124"/>
    </row>
    <row r="1292" spans="2:48" ht="15" customHeight="1" x14ac:dyDescent="0.2">
      <c r="B1292" s="250"/>
      <c r="C1292" s="1395" t="s">
        <v>763</v>
      </c>
      <c r="D1292" s="1396"/>
      <c r="E1292" s="1396"/>
      <c r="F1292" s="1396"/>
      <c r="G1292" s="1396"/>
      <c r="H1292" s="1396"/>
      <c r="I1292" s="1396"/>
      <c r="J1292" s="1396"/>
      <c r="K1292" s="1396"/>
      <c r="L1292" s="1396"/>
      <c r="M1292" s="1396"/>
      <c r="N1292" s="1396"/>
      <c r="O1292" s="1396"/>
      <c r="P1292" s="1396"/>
      <c r="Q1292" s="1397"/>
      <c r="R1292" s="250"/>
      <c r="S1292" s="250"/>
      <c r="T1292" s="250"/>
      <c r="U1292" s="250"/>
      <c r="V1292" s="250"/>
      <c r="W1292" s="250"/>
      <c r="X1292" s="250"/>
      <c r="Y1292" s="250"/>
      <c r="Z1292" s="250"/>
      <c r="AA1292" s="250"/>
      <c r="AB1292" s="250"/>
      <c r="AC1292" s="250"/>
      <c r="AD1292" s="250"/>
      <c r="AE1292" s="250"/>
      <c r="AF1292" s="250"/>
      <c r="AG1292" s="250"/>
      <c r="AH1292" s="250"/>
      <c r="AI1292" s="250"/>
      <c r="AJ1292" s="250"/>
      <c r="AK1292" s="250"/>
      <c r="AL1292" s="250"/>
      <c r="AM1292" s="250"/>
      <c r="AN1292" s="250"/>
      <c r="AO1292" s="250"/>
      <c r="AP1292" s="250"/>
      <c r="AQ1292" s="250"/>
      <c r="AR1292" s="250"/>
      <c r="AS1292" s="250"/>
      <c r="AT1292" s="250"/>
      <c r="AU1292" s="250"/>
      <c r="AV1292" s="124"/>
    </row>
    <row r="1293" spans="2:48" ht="15" customHeight="1" thickBot="1" x14ac:dyDescent="0.25">
      <c r="B1293" s="250"/>
      <c r="C1293" s="1398"/>
      <c r="D1293" s="1399"/>
      <c r="E1293" s="1399"/>
      <c r="F1293" s="1399"/>
      <c r="G1293" s="1399"/>
      <c r="H1293" s="1399"/>
      <c r="I1293" s="1399"/>
      <c r="J1293" s="1399"/>
      <c r="K1293" s="1399"/>
      <c r="L1293" s="1399"/>
      <c r="M1293" s="1399"/>
      <c r="N1293" s="1399"/>
      <c r="O1293" s="1399"/>
      <c r="P1293" s="1399"/>
      <c r="Q1293" s="1400"/>
      <c r="R1293" s="250"/>
      <c r="S1293" s="250"/>
      <c r="T1293" s="250"/>
      <c r="U1293" s="250"/>
      <c r="V1293" s="250"/>
      <c r="W1293" s="250"/>
      <c r="X1293" s="250"/>
      <c r="Y1293" s="250"/>
      <c r="Z1293" s="250"/>
      <c r="AA1293" s="250"/>
      <c r="AB1293" s="250"/>
      <c r="AC1293" s="250"/>
      <c r="AD1293" s="250"/>
      <c r="AE1293" s="250"/>
      <c r="AF1293" s="250"/>
      <c r="AG1293" s="250"/>
      <c r="AH1293" s="250"/>
      <c r="AI1293" s="250"/>
      <c r="AJ1293" s="250"/>
      <c r="AK1293" s="250"/>
      <c r="AL1293" s="250"/>
      <c r="AM1293" s="250"/>
      <c r="AN1293" s="250"/>
      <c r="AO1293" s="250"/>
      <c r="AP1293" s="250"/>
      <c r="AQ1293" s="250"/>
      <c r="AR1293" s="250"/>
      <c r="AS1293" s="250"/>
      <c r="AT1293" s="250"/>
      <c r="AU1293" s="250"/>
      <c r="AV1293" s="124"/>
    </row>
    <row r="1294" spans="2:48" x14ac:dyDescent="0.2">
      <c r="B1294" s="250"/>
      <c r="C1294" s="1201"/>
      <c r="D1294" s="165"/>
      <c r="E1294" s="165"/>
      <c r="F1294" s="165"/>
      <c r="G1294" s="165"/>
      <c r="H1294" s="165"/>
      <c r="I1294" s="165"/>
      <c r="J1294" s="165"/>
      <c r="K1294" s="165"/>
      <c r="L1294" s="165"/>
      <c r="M1294" s="165"/>
      <c r="N1294" s="165"/>
      <c r="O1294" s="165"/>
      <c r="P1294" s="165"/>
      <c r="Q1294" s="1202"/>
      <c r="R1294" s="250"/>
      <c r="S1294" s="250"/>
      <c r="T1294" s="250"/>
      <c r="U1294" s="250"/>
      <c r="V1294" s="250"/>
      <c r="W1294" s="250"/>
      <c r="X1294" s="250"/>
      <c r="Y1294" s="250"/>
      <c r="Z1294" s="250"/>
      <c r="AA1294" s="250"/>
      <c r="AB1294" s="250"/>
      <c r="AC1294" s="250"/>
      <c r="AD1294" s="250"/>
      <c r="AE1294" s="250"/>
      <c r="AF1294" s="250"/>
      <c r="AG1294" s="250"/>
      <c r="AH1294" s="250"/>
      <c r="AI1294" s="250"/>
      <c r="AJ1294" s="250"/>
      <c r="AK1294" s="250"/>
      <c r="AL1294" s="250"/>
      <c r="AM1294" s="250"/>
      <c r="AN1294" s="250"/>
      <c r="AO1294" s="250"/>
      <c r="AP1294" s="250"/>
      <c r="AQ1294" s="250"/>
      <c r="AR1294" s="250"/>
      <c r="AS1294" s="250"/>
      <c r="AT1294" s="250"/>
      <c r="AU1294" s="250"/>
      <c r="AV1294" s="124"/>
    </row>
    <row r="1295" spans="2:48" ht="18" x14ac:dyDescent="0.25">
      <c r="B1295" s="250"/>
      <c r="C1295" s="1201"/>
      <c r="D1295" s="150"/>
      <c r="E1295" s="150"/>
      <c r="F1295" s="153" t="s">
        <v>764</v>
      </c>
      <c r="G1295" s="150"/>
      <c r="H1295" s="150"/>
      <c r="I1295" s="150"/>
      <c r="J1295" s="150"/>
      <c r="K1295" s="150"/>
      <c r="L1295" s="150"/>
      <c r="M1295" s="150"/>
      <c r="N1295" s="150"/>
      <c r="O1295" s="150"/>
      <c r="P1295" s="150"/>
      <c r="Q1295" s="1202"/>
      <c r="R1295" s="250"/>
      <c r="S1295" s="250"/>
      <c r="T1295" s="250"/>
      <c r="U1295" s="250"/>
      <c r="V1295" s="250"/>
      <c r="W1295" s="250"/>
      <c r="X1295" s="250"/>
      <c r="Y1295" s="250"/>
      <c r="Z1295" s="250"/>
      <c r="AA1295" s="250"/>
      <c r="AB1295" s="250"/>
      <c r="AC1295" s="250"/>
      <c r="AD1295" s="250"/>
      <c r="AE1295" s="250"/>
      <c r="AF1295" s="250"/>
      <c r="AG1295" s="250"/>
      <c r="AH1295" s="250"/>
      <c r="AI1295" s="250"/>
      <c r="AJ1295" s="250"/>
      <c r="AK1295" s="250"/>
      <c r="AL1295" s="250"/>
      <c r="AM1295" s="250"/>
      <c r="AN1295" s="250"/>
      <c r="AO1295" s="250"/>
      <c r="AP1295" s="250"/>
      <c r="AQ1295" s="250"/>
      <c r="AR1295" s="250"/>
      <c r="AS1295" s="250"/>
      <c r="AT1295" s="250"/>
      <c r="AU1295" s="250"/>
      <c r="AV1295" s="124"/>
    </row>
    <row r="1296" spans="2:48" ht="15" x14ac:dyDescent="0.2">
      <c r="B1296" s="250"/>
      <c r="C1296" s="1201"/>
      <c r="D1296" s="150"/>
      <c r="E1296" s="150"/>
      <c r="F1296" s="156" t="s">
        <v>765</v>
      </c>
      <c r="G1296" s="150"/>
      <c r="H1296" s="150"/>
      <c r="I1296" s="150"/>
      <c r="J1296" s="150"/>
      <c r="K1296" s="150"/>
      <c r="L1296" s="150"/>
      <c r="M1296" s="150"/>
      <c r="N1296" s="150"/>
      <c r="O1296" s="150"/>
      <c r="P1296" s="150"/>
      <c r="Q1296" s="1202"/>
      <c r="R1296" s="250"/>
      <c r="S1296" s="250"/>
      <c r="T1296" s="250"/>
      <c r="U1296" s="250"/>
      <c r="V1296" s="250"/>
      <c r="W1296" s="250"/>
      <c r="X1296" s="250"/>
      <c r="Y1296" s="250"/>
      <c r="Z1296" s="250"/>
      <c r="AA1296" s="250"/>
      <c r="AB1296" s="250"/>
      <c r="AC1296" s="250"/>
      <c r="AD1296" s="250"/>
      <c r="AE1296" s="250"/>
      <c r="AF1296" s="250"/>
      <c r="AG1296" s="250"/>
      <c r="AH1296" s="250"/>
      <c r="AI1296" s="250"/>
      <c r="AJ1296" s="250"/>
      <c r="AK1296" s="250"/>
      <c r="AL1296" s="250"/>
      <c r="AM1296" s="250"/>
      <c r="AN1296" s="250"/>
      <c r="AO1296" s="250"/>
      <c r="AP1296" s="250"/>
      <c r="AQ1296" s="250"/>
      <c r="AR1296" s="250"/>
      <c r="AS1296" s="250"/>
      <c r="AT1296" s="250"/>
      <c r="AU1296" s="250"/>
      <c r="AV1296" s="124"/>
    </row>
    <row r="1297" spans="2:48" ht="15" x14ac:dyDescent="0.2">
      <c r="B1297" s="250"/>
      <c r="C1297" s="1201"/>
      <c r="D1297" s="150"/>
      <c r="E1297" s="150"/>
      <c r="F1297" s="156" t="s">
        <v>766</v>
      </c>
      <c r="G1297" s="150"/>
      <c r="H1297" s="150"/>
      <c r="I1297" s="150"/>
      <c r="J1297" s="150"/>
      <c r="K1297" s="150"/>
      <c r="L1297" s="150"/>
      <c r="M1297" s="150"/>
      <c r="N1297" s="150"/>
      <c r="O1297" s="150"/>
      <c r="P1297" s="150"/>
      <c r="Q1297" s="1202"/>
      <c r="R1297" s="250"/>
      <c r="S1297" s="250"/>
      <c r="T1297" s="250"/>
      <c r="U1297" s="250"/>
      <c r="V1297" s="250"/>
      <c r="W1297" s="250"/>
      <c r="X1297" s="250"/>
      <c r="Y1297" s="250"/>
      <c r="Z1297" s="250"/>
      <c r="AA1297" s="250"/>
      <c r="AB1297" s="250"/>
      <c r="AC1297" s="250"/>
      <c r="AD1297" s="250"/>
      <c r="AE1297" s="250"/>
      <c r="AF1297" s="250"/>
      <c r="AG1297" s="250"/>
      <c r="AH1297" s="250"/>
      <c r="AI1297" s="250"/>
      <c r="AJ1297" s="250"/>
      <c r="AK1297" s="250"/>
      <c r="AL1297" s="250"/>
      <c r="AM1297" s="250"/>
      <c r="AN1297" s="250"/>
      <c r="AO1297" s="250"/>
      <c r="AP1297" s="250"/>
      <c r="AQ1297" s="250"/>
      <c r="AR1297" s="250"/>
      <c r="AS1297" s="250"/>
      <c r="AT1297" s="250"/>
      <c r="AU1297" s="250"/>
      <c r="AV1297" s="124"/>
    </row>
    <row r="1298" spans="2:48" ht="15" x14ac:dyDescent="0.2">
      <c r="B1298" s="250"/>
      <c r="C1298" s="1201"/>
      <c r="D1298" s="150"/>
      <c r="E1298" s="150"/>
      <c r="F1298" s="167" t="s">
        <v>205</v>
      </c>
      <c r="G1298" s="150"/>
      <c r="H1298" s="150"/>
      <c r="I1298" s="150"/>
      <c r="J1298" s="150"/>
      <c r="K1298" s="150"/>
      <c r="L1298" s="150"/>
      <c r="M1298" s="150"/>
      <c r="N1298" s="150"/>
      <c r="O1298" s="150"/>
      <c r="P1298" s="150"/>
      <c r="Q1298" s="1202"/>
      <c r="R1298" s="250"/>
      <c r="S1298" s="250"/>
      <c r="T1298" s="250"/>
      <c r="U1298" s="250"/>
      <c r="V1298" s="250"/>
      <c r="W1298" s="250"/>
      <c r="X1298" s="250"/>
      <c r="Y1298" s="250"/>
      <c r="Z1298" s="250"/>
      <c r="AA1298" s="250"/>
      <c r="AB1298" s="250"/>
      <c r="AC1298" s="250"/>
      <c r="AD1298" s="250"/>
      <c r="AE1298" s="250"/>
      <c r="AF1298" s="250"/>
      <c r="AG1298" s="250"/>
      <c r="AH1298" s="250"/>
      <c r="AI1298" s="250"/>
      <c r="AJ1298" s="250"/>
      <c r="AK1298" s="250"/>
      <c r="AL1298" s="250"/>
      <c r="AM1298" s="250"/>
      <c r="AN1298" s="250"/>
      <c r="AO1298" s="250"/>
      <c r="AP1298" s="250"/>
      <c r="AQ1298" s="250"/>
      <c r="AR1298" s="250"/>
      <c r="AS1298" s="250"/>
      <c r="AT1298" s="250"/>
      <c r="AU1298" s="250"/>
      <c r="AV1298" s="124"/>
    </row>
    <row r="1299" spans="2:48" ht="18" x14ac:dyDescent="0.25">
      <c r="B1299" s="250"/>
      <c r="C1299" s="1201"/>
      <c r="D1299" s="150"/>
      <c r="E1299" s="150"/>
      <c r="F1299" s="159"/>
      <c r="G1299" s="150"/>
      <c r="H1299" s="150"/>
      <c r="I1299" s="150"/>
      <c r="J1299" s="150"/>
      <c r="K1299" s="150"/>
      <c r="L1299" s="150"/>
      <c r="M1299" s="150"/>
      <c r="N1299" s="150"/>
      <c r="O1299" s="150"/>
      <c r="P1299" s="150"/>
      <c r="Q1299" s="1202"/>
      <c r="R1299" s="250"/>
      <c r="S1299" s="250"/>
      <c r="T1299" s="250"/>
      <c r="U1299" s="250"/>
      <c r="V1299" s="250"/>
      <c r="W1299" s="250"/>
      <c r="X1299" s="250"/>
      <c r="Y1299" s="250"/>
      <c r="Z1299" s="250"/>
      <c r="AA1299" s="250"/>
      <c r="AB1299" s="250"/>
      <c r="AC1299" s="250"/>
      <c r="AD1299" s="250"/>
      <c r="AE1299" s="250"/>
      <c r="AF1299" s="250"/>
      <c r="AG1299" s="250"/>
      <c r="AH1299" s="250"/>
      <c r="AI1299" s="250"/>
      <c r="AJ1299" s="250"/>
      <c r="AK1299" s="250"/>
      <c r="AL1299" s="250"/>
      <c r="AM1299" s="250"/>
      <c r="AN1299" s="250"/>
      <c r="AO1299" s="250"/>
      <c r="AP1299" s="250"/>
      <c r="AQ1299" s="250"/>
      <c r="AR1299" s="250"/>
      <c r="AS1299" s="250"/>
      <c r="AT1299" s="250"/>
      <c r="AU1299" s="250"/>
      <c r="AV1299" s="124"/>
    </row>
    <row r="1300" spans="2:48" ht="18" x14ac:dyDescent="0.25">
      <c r="B1300" s="250"/>
      <c r="C1300" s="1203"/>
      <c r="D1300" s="154"/>
      <c r="E1300" s="153"/>
      <c r="F1300" s="914" t="s">
        <v>530</v>
      </c>
      <c r="G1300" s="915"/>
      <c r="H1300" s="915"/>
      <c r="I1300" s="915"/>
      <c r="J1300" s="915"/>
      <c r="K1300" s="915"/>
      <c r="L1300" s="915"/>
      <c r="M1300" s="915"/>
      <c r="N1300" s="915"/>
      <c r="O1300" s="915"/>
      <c r="P1300" s="916"/>
      <c r="Q1300" s="1208"/>
      <c r="R1300" s="250"/>
      <c r="S1300" s="250"/>
      <c r="T1300" s="250"/>
      <c r="U1300" s="250"/>
      <c r="V1300" s="250"/>
      <c r="W1300" s="250"/>
      <c r="X1300" s="250"/>
      <c r="Y1300" s="250"/>
      <c r="Z1300" s="250"/>
      <c r="AA1300" s="250"/>
      <c r="AB1300" s="250"/>
      <c r="AC1300" s="250"/>
      <c r="AD1300" s="250"/>
      <c r="AE1300" s="250"/>
      <c r="AF1300" s="250"/>
      <c r="AG1300" s="250"/>
      <c r="AH1300" s="250"/>
      <c r="AI1300" s="250"/>
      <c r="AJ1300" s="250"/>
      <c r="AK1300" s="250"/>
      <c r="AL1300" s="250"/>
      <c r="AM1300" s="250"/>
      <c r="AN1300" s="250"/>
      <c r="AO1300" s="250"/>
      <c r="AP1300" s="250"/>
      <c r="AQ1300" s="250"/>
      <c r="AR1300" s="250"/>
      <c r="AS1300" s="250"/>
      <c r="AT1300" s="250"/>
      <c r="AU1300" s="250"/>
      <c r="AV1300" s="124"/>
    </row>
    <row r="1301" spans="2:48" ht="15" x14ac:dyDescent="0.2">
      <c r="B1301" s="250"/>
      <c r="C1301" s="1201"/>
      <c r="D1301" s="1092"/>
      <c r="E1301" s="168"/>
      <c r="F1301" s="1206" t="s">
        <v>767</v>
      </c>
      <c r="G1301" s="156"/>
      <c r="H1301" s="175"/>
      <c r="I1301" s="175"/>
      <c r="J1301" s="1092"/>
      <c r="K1301" s="1092"/>
      <c r="L1301" s="1092"/>
      <c r="M1301" s="1092"/>
      <c r="N1301" s="1092"/>
      <c r="O1301" s="1092"/>
      <c r="P1301" s="1092"/>
      <c r="Q1301" s="1202"/>
      <c r="R1301" s="250"/>
      <c r="S1301" s="250"/>
      <c r="T1301" s="250"/>
      <c r="U1301" s="250"/>
      <c r="V1301" s="250"/>
      <c r="W1301" s="250"/>
      <c r="X1301" s="250"/>
      <c r="Y1301" s="250"/>
      <c r="Z1301" s="250"/>
      <c r="AA1301" s="250"/>
      <c r="AB1301" s="250"/>
      <c r="AC1301" s="250"/>
      <c r="AD1301" s="250"/>
      <c r="AE1301" s="250"/>
      <c r="AF1301" s="250"/>
      <c r="AG1301" s="250"/>
      <c r="AH1301" s="250"/>
      <c r="AI1301" s="250"/>
      <c r="AJ1301" s="250"/>
      <c r="AK1301" s="250"/>
      <c r="AL1301" s="250"/>
      <c r="AM1301" s="250"/>
      <c r="AN1301" s="250"/>
      <c r="AO1301" s="250"/>
      <c r="AP1301" s="250"/>
      <c r="AQ1301" s="250"/>
      <c r="AR1301" s="250"/>
      <c r="AS1301" s="250"/>
      <c r="AT1301" s="250"/>
      <c r="AU1301" s="250"/>
      <c r="AV1301" s="124"/>
    </row>
    <row r="1302" spans="2:48" ht="15" x14ac:dyDescent="0.2">
      <c r="B1302" s="250"/>
      <c r="C1302" s="1201"/>
      <c r="D1302" s="1092"/>
      <c r="E1302" s="168"/>
      <c r="F1302" s="1207" t="s">
        <v>768</v>
      </c>
      <c r="G1302" s="156"/>
      <c r="H1302" s="175"/>
      <c r="I1302" s="175"/>
      <c r="J1302" s="1092"/>
      <c r="K1302" s="1092"/>
      <c r="L1302" s="1092"/>
      <c r="M1302" s="1092"/>
      <c r="N1302" s="1092"/>
      <c r="O1302" s="1092"/>
      <c r="P1302" s="1092"/>
      <c r="Q1302" s="1202"/>
      <c r="R1302" s="250"/>
      <c r="S1302" s="250"/>
      <c r="T1302" s="250"/>
      <c r="U1302" s="250"/>
      <c r="V1302" s="250"/>
      <c r="W1302" s="250"/>
      <c r="X1302" s="250"/>
      <c r="Y1302" s="250"/>
      <c r="Z1302" s="250"/>
      <c r="AA1302" s="250"/>
      <c r="AB1302" s="250"/>
      <c r="AC1302" s="250"/>
      <c r="AD1302" s="250"/>
      <c r="AE1302" s="250"/>
      <c r="AF1302" s="250"/>
      <c r="AG1302" s="250"/>
      <c r="AH1302" s="250"/>
      <c r="AI1302" s="250"/>
      <c r="AJ1302" s="250"/>
      <c r="AK1302" s="250"/>
      <c r="AL1302" s="250"/>
      <c r="AM1302" s="250"/>
      <c r="AN1302" s="250"/>
      <c r="AO1302" s="250"/>
      <c r="AP1302" s="250"/>
      <c r="AQ1302" s="250"/>
      <c r="AR1302" s="250"/>
      <c r="AS1302" s="250"/>
      <c r="AT1302" s="250"/>
      <c r="AU1302" s="250"/>
      <c r="AV1302" s="124"/>
    </row>
    <row r="1303" spans="2:48" ht="15" x14ac:dyDescent="0.2">
      <c r="B1303" s="250"/>
      <c r="C1303" s="1201"/>
      <c r="D1303" s="1092"/>
      <c r="E1303" s="168"/>
      <c r="F1303" s="167"/>
      <c r="G1303" s="156"/>
      <c r="H1303" s="175"/>
      <c r="I1303" s="175"/>
      <c r="J1303" s="1092"/>
      <c r="K1303" s="1092"/>
      <c r="L1303" s="1092"/>
      <c r="M1303" s="1092"/>
      <c r="N1303" s="1092"/>
      <c r="O1303" s="1092"/>
      <c r="P1303" s="1092"/>
      <c r="Q1303" s="1202"/>
      <c r="R1303" s="250"/>
      <c r="S1303" s="250"/>
      <c r="T1303" s="250"/>
      <c r="U1303" s="250"/>
      <c r="V1303" s="250"/>
      <c r="W1303" s="250"/>
      <c r="X1303" s="250"/>
      <c r="Y1303" s="250"/>
      <c r="Z1303" s="250"/>
      <c r="AA1303" s="250"/>
      <c r="AB1303" s="250"/>
      <c r="AC1303" s="250"/>
      <c r="AD1303" s="250"/>
      <c r="AE1303" s="250"/>
      <c r="AF1303" s="250"/>
      <c r="AG1303" s="250"/>
      <c r="AH1303" s="250"/>
      <c r="AI1303" s="250"/>
      <c r="AJ1303" s="250"/>
      <c r="AK1303" s="250"/>
      <c r="AL1303" s="250"/>
      <c r="AM1303" s="250"/>
      <c r="AN1303" s="250"/>
      <c r="AO1303" s="250"/>
      <c r="AP1303" s="250"/>
      <c r="AQ1303" s="250"/>
      <c r="AR1303" s="250"/>
      <c r="AS1303" s="250"/>
      <c r="AT1303" s="250"/>
      <c r="AU1303" s="250"/>
      <c r="AV1303" s="124"/>
    </row>
    <row r="1304" spans="2:48" ht="18" x14ac:dyDescent="0.25">
      <c r="B1304" s="250"/>
      <c r="C1304" s="1201"/>
      <c r="D1304" s="1092"/>
      <c r="E1304" s="168"/>
      <c r="F1304" s="914" t="s">
        <v>531</v>
      </c>
      <c r="G1304" s="915"/>
      <c r="H1304" s="915"/>
      <c r="I1304" s="915"/>
      <c r="J1304" s="915"/>
      <c r="K1304" s="915"/>
      <c r="L1304" s="915"/>
      <c r="M1304" s="915"/>
      <c r="N1304" s="915"/>
      <c r="O1304" s="915"/>
      <c r="P1304" s="916"/>
      <c r="Q1304" s="1202"/>
      <c r="R1304" s="250"/>
      <c r="S1304" s="250"/>
      <c r="T1304" s="250"/>
      <c r="U1304" s="250"/>
      <c r="V1304" s="250"/>
      <c r="W1304" s="250"/>
      <c r="X1304" s="250"/>
      <c r="Y1304" s="250"/>
      <c r="Z1304" s="250"/>
      <c r="AA1304" s="250"/>
      <c r="AB1304" s="250"/>
      <c r="AC1304" s="250"/>
      <c r="AD1304" s="250"/>
      <c r="AE1304" s="250"/>
      <c r="AF1304" s="250"/>
      <c r="AG1304" s="250"/>
      <c r="AH1304" s="250"/>
      <c r="AI1304" s="250"/>
      <c r="AJ1304" s="250"/>
      <c r="AK1304" s="250"/>
      <c r="AL1304" s="250"/>
      <c r="AM1304" s="250"/>
      <c r="AN1304" s="250"/>
      <c r="AO1304" s="250"/>
      <c r="AP1304" s="250"/>
      <c r="AQ1304" s="250"/>
      <c r="AR1304" s="250"/>
      <c r="AS1304" s="250"/>
      <c r="AT1304" s="250"/>
      <c r="AU1304" s="250"/>
      <c r="AV1304" s="124"/>
    </row>
    <row r="1305" spans="2:48" ht="15" x14ac:dyDescent="0.2">
      <c r="B1305" s="250"/>
      <c r="C1305" s="1201"/>
      <c r="D1305" s="1092"/>
      <c r="E1305" s="168"/>
      <c r="F1305" s="167" t="s">
        <v>1153</v>
      </c>
      <c r="G1305" s="156"/>
      <c r="H1305" s="175"/>
      <c r="I1305" s="175"/>
      <c r="J1305" s="1092"/>
      <c r="K1305" s="1092"/>
      <c r="L1305" s="1092"/>
      <c r="M1305" s="1092"/>
      <c r="N1305" s="1092"/>
      <c r="O1305" s="1092"/>
      <c r="P1305" s="1092"/>
      <c r="Q1305" s="1202"/>
      <c r="R1305" s="250"/>
      <c r="S1305" s="250"/>
      <c r="T1305" s="250"/>
      <c r="U1305" s="250"/>
      <c r="V1305" s="250"/>
      <c r="W1305" s="250"/>
      <c r="X1305" s="250"/>
      <c r="Y1305" s="250"/>
      <c r="Z1305" s="250"/>
      <c r="AA1305" s="250"/>
      <c r="AB1305" s="250"/>
      <c r="AC1305" s="250"/>
      <c r="AD1305" s="250"/>
      <c r="AE1305" s="250"/>
      <c r="AF1305" s="250"/>
      <c r="AG1305" s="250"/>
      <c r="AH1305" s="250"/>
      <c r="AI1305" s="250"/>
      <c r="AJ1305" s="250"/>
      <c r="AK1305" s="250"/>
      <c r="AL1305" s="250"/>
      <c r="AM1305" s="250"/>
      <c r="AN1305" s="250"/>
      <c r="AO1305" s="250"/>
      <c r="AP1305" s="250"/>
      <c r="AQ1305" s="250"/>
      <c r="AR1305" s="250"/>
      <c r="AS1305" s="250"/>
      <c r="AT1305" s="250"/>
      <c r="AU1305" s="250"/>
      <c r="AV1305" s="124"/>
    </row>
    <row r="1306" spans="2:48" ht="15" x14ac:dyDescent="0.2">
      <c r="B1306" s="250"/>
      <c r="C1306" s="1201"/>
      <c r="D1306" s="1092"/>
      <c r="E1306" s="168"/>
      <c r="F1306" s="171" t="s">
        <v>532</v>
      </c>
      <c r="G1306" s="175"/>
      <c r="H1306" s="175"/>
      <c r="I1306" s="175"/>
      <c r="J1306" s="175"/>
      <c r="K1306" s="167"/>
      <c r="L1306" s="167"/>
      <c r="M1306" s="167"/>
      <c r="N1306" s="167"/>
      <c r="O1306" s="167"/>
      <c r="P1306" s="167"/>
      <c r="Q1306" s="1202"/>
      <c r="R1306" s="250"/>
      <c r="S1306" s="250"/>
      <c r="T1306" s="250"/>
      <c r="U1306" s="250"/>
      <c r="V1306" s="250"/>
      <c r="W1306" s="250"/>
      <c r="X1306" s="250"/>
      <c r="Y1306" s="250"/>
      <c r="Z1306" s="250"/>
      <c r="AA1306" s="250"/>
      <c r="AB1306" s="250"/>
      <c r="AC1306" s="250"/>
      <c r="AD1306" s="250"/>
      <c r="AE1306" s="250"/>
      <c r="AF1306" s="250"/>
      <c r="AG1306" s="250"/>
      <c r="AH1306" s="250"/>
      <c r="AI1306" s="250"/>
      <c r="AJ1306" s="250"/>
      <c r="AK1306" s="250"/>
      <c r="AL1306" s="250"/>
      <c r="AM1306" s="250"/>
      <c r="AN1306" s="250"/>
      <c r="AO1306" s="250"/>
      <c r="AP1306" s="250"/>
      <c r="AQ1306" s="250"/>
      <c r="AR1306" s="250"/>
      <c r="AS1306" s="250"/>
      <c r="AT1306" s="250"/>
      <c r="AU1306" s="250"/>
      <c r="AV1306" s="124"/>
    </row>
    <row r="1307" spans="2:48" ht="15" x14ac:dyDescent="0.2">
      <c r="B1307" s="250"/>
      <c r="C1307" s="1201"/>
      <c r="D1307" s="1092"/>
      <c r="E1307" s="168"/>
      <c r="F1307" s="1207" t="s">
        <v>1152</v>
      </c>
      <c r="G1307" s="175"/>
      <c r="H1307" s="175"/>
      <c r="I1307" s="175"/>
      <c r="J1307" s="175"/>
      <c r="K1307" s="167"/>
      <c r="L1307" s="167"/>
      <c r="M1307" s="167"/>
      <c r="N1307" s="167"/>
      <c r="O1307" s="167"/>
      <c r="P1307" s="167"/>
      <c r="Q1307" s="1202"/>
      <c r="R1307" s="250"/>
      <c r="S1307" s="250"/>
      <c r="T1307" s="250"/>
      <c r="U1307" s="250"/>
      <c r="V1307" s="250"/>
      <c r="W1307" s="250"/>
      <c r="X1307" s="250"/>
      <c r="Y1307" s="250"/>
      <c r="Z1307" s="250"/>
      <c r="AA1307" s="250"/>
      <c r="AB1307" s="250"/>
      <c r="AC1307" s="250"/>
      <c r="AD1307" s="250"/>
      <c r="AE1307" s="250"/>
      <c r="AF1307" s="250"/>
      <c r="AG1307" s="250"/>
      <c r="AH1307" s="250"/>
      <c r="AI1307" s="250"/>
      <c r="AJ1307" s="250"/>
      <c r="AK1307" s="250"/>
      <c r="AL1307" s="250"/>
      <c r="AM1307" s="250"/>
      <c r="AN1307" s="250"/>
      <c r="AO1307" s="250"/>
      <c r="AP1307" s="250"/>
      <c r="AQ1307" s="250"/>
      <c r="AR1307" s="250"/>
      <c r="AS1307" s="250"/>
      <c r="AT1307" s="250"/>
      <c r="AU1307" s="250"/>
      <c r="AV1307" s="124"/>
    </row>
    <row r="1308" spans="2:48" ht="15" x14ac:dyDescent="0.2">
      <c r="B1308" s="250"/>
      <c r="C1308" s="1201"/>
      <c r="D1308" s="1092"/>
      <c r="E1308" s="168"/>
      <c r="F1308" s="167"/>
      <c r="G1308" s="175"/>
      <c r="H1308" s="175"/>
      <c r="I1308" s="175"/>
      <c r="J1308" s="175"/>
      <c r="K1308" s="167"/>
      <c r="L1308" s="167"/>
      <c r="M1308" s="167"/>
      <c r="N1308" s="167"/>
      <c r="O1308" s="167"/>
      <c r="P1308" s="167"/>
      <c r="Q1308" s="1202"/>
      <c r="R1308" s="250"/>
      <c r="S1308" s="250"/>
      <c r="T1308" s="250"/>
      <c r="U1308" s="250"/>
      <c r="V1308" s="250"/>
      <c r="W1308" s="250"/>
      <c r="X1308" s="250"/>
      <c r="Y1308" s="250"/>
      <c r="Z1308" s="250"/>
      <c r="AA1308" s="250"/>
      <c r="AB1308" s="250"/>
      <c r="AC1308" s="250"/>
      <c r="AD1308" s="250"/>
      <c r="AE1308" s="250"/>
      <c r="AF1308" s="250"/>
      <c r="AG1308" s="250"/>
      <c r="AH1308" s="250"/>
      <c r="AI1308" s="250"/>
      <c r="AJ1308" s="250"/>
      <c r="AK1308" s="250"/>
      <c r="AL1308" s="250"/>
      <c r="AM1308" s="250"/>
      <c r="AN1308" s="250"/>
      <c r="AO1308" s="250"/>
      <c r="AP1308" s="250"/>
      <c r="AQ1308" s="250"/>
      <c r="AR1308" s="250"/>
      <c r="AS1308" s="250"/>
      <c r="AT1308" s="250"/>
      <c r="AU1308" s="250"/>
      <c r="AV1308" s="124"/>
    </row>
    <row r="1309" spans="2:48" ht="18" x14ac:dyDescent="0.25">
      <c r="B1309" s="250"/>
      <c r="C1309" s="1201"/>
      <c r="D1309" s="1092"/>
      <c r="E1309" s="168"/>
      <c r="F1309" s="914" t="s">
        <v>771</v>
      </c>
      <c r="G1309" s="915"/>
      <c r="H1309" s="915"/>
      <c r="I1309" s="915"/>
      <c r="J1309" s="915"/>
      <c r="K1309" s="915"/>
      <c r="L1309" s="915"/>
      <c r="M1309" s="915"/>
      <c r="N1309" s="915"/>
      <c r="O1309" s="915"/>
      <c r="P1309" s="916"/>
      <c r="Q1309" s="1202"/>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c r="AN1309" s="250"/>
      <c r="AO1309" s="250"/>
      <c r="AP1309" s="250"/>
      <c r="AQ1309" s="250"/>
      <c r="AR1309" s="250"/>
      <c r="AS1309" s="250"/>
      <c r="AT1309" s="250"/>
      <c r="AU1309" s="250"/>
      <c r="AV1309" s="124"/>
    </row>
    <row r="1310" spans="2:48" ht="15" x14ac:dyDescent="0.2">
      <c r="B1310" s="250"/>
      <c r="C1310" s="1201"/>
      <c r="D1310" s="1092"/>
      <c r="E1310" s="168"/>
      <c r="F1310" s="167" t="s">
        <v>1154</v>
      </c>
      <c r="G1310" s="1211"/>
      <c r="H1310" s="156"/>
      <c r="I1310" s="156"/>
      <c r="J1310" s="156"/>
      <c r="K1310" s="167"/>
      <c r="L1310" s="167"/>
      <c r="M1310" s="167"/>
      <c r="N1310" s="167"/>
      <c r="O1310" s="167"/>
      <c r="P1310" s="167"/>
      <c r="Q1310" s="1202"/>
      <c r="R1310" s="250"/>
      <c r="S1310" s="250"/>
      <c r="T1310" s="250"/>
      <c r="U1310" s="250"/>
      <c r="V1310" s="250"/>
      <c r="W1310" s="250"/>
      <c r="X1310" s="250"/>
      <c r="Y1310" s="250"/>
      <c r="Z1310" s="250"/>
      <c r="AA1310" s="250"/>
      <c r="AB1310" s="250"/>
      <c r="AC1310" s="250"/>
      <c r="AD1310" s="250"/>
      <c r="AE1310" s="250"/>
      <c r="AF1310" s="250"/>
      <c r="AG1310" s="250"/>
      <c r="AH1310" s="250"/>
      <c r="AI1310" s="250"/>
      <c r="AJ1310" s="250"/>
      <c r="AK1310" s="250"/>
      <c r="AL1310" s="250"/>
      <c r="AM1310" s="250"/>
      <c r="AN1310" s="250"/>
      <c r="AO1310" s="250"/>
      <c r="AP1310" s="250"/>
      <c r="AQ1310" s="250"/>
      <c r="AR1310" s="250"/>
      <c r="AS1310" s="250"/>
      <c r="AT1310" s="250"/>
      <c r="AU1310" s="250"/>
      <c r="AV1310" s="124"/>
    </row>
    <row r="1311" spans="2:48" ht="15" x14ac:dyDescent="0.2">
      <c r="B1311" s="250"/>
      <c r="C1311" s="1201"/>
      <c r="D1311" s="1092"/>
      <c r="E1311" s="168"/>
      <c r="F1311" s="171" t="s">
        <v>533</v>
      </c>
      <c r="G1311" s="1212"/>
      <c r="H1311" s="171"/>
      <c r="I1311" s="156"/>
      <c r="J1311" s="156"/>
      <c r="K1311" s="167"/>
      <c r="L1311" s="167"/>
      <c r="M1311" s="167"/>
      <c r="N1311" s="167"/>
      <c r="O1311" s="167"/>
      <c r="P1311" s="167"/>
      <c r="Q1311" s="1202"/>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c r="AN1311" s="250"/>
      <c r="AO1311" s="250"/>
      <c r="AP1311" s="250"/>
      <c r="AQ1311" s="250"/>
      <c r="AR1311" s="250"/>
      <c r="AS1311" s="250"/>
      <c r="AT1311" s="250"/>
      <c r="AU1311" s="250"/>
      <c r="AV1311" s="124"/>
    </row>
    <row r="1312" spans="2:48" ht="15" x14ac:dyDescent="0.2">
      <c r="B1312" s="250"/>
      <c r="C1312" s="1201"/>
      <c r="D1312" s="1092"/>
      <c r="E1312" s="168"/>
      <c r="F1312" s="156" t="s">
        <v>534</v>
      </c>
      <c r="G1312" s="167"/>
      <c r="H1312" s="167"/>
      <c r="I1312" s="175"/>
      <c r="J1312" s="175"/>
      <c r="K1312" s="167"/>
      <c r="L1312" s="167"/>
      <c r="M1312" s="167"/>
      <c r="N1312" s="167"/>
      <c r="O1312" s="167"/>
      <c r="P1312" s="167"/>
      <c r="Q1312" s="1202"/>
      <c r="R1312" s="250"/>
      <c r="S1312" s="250"/>
      <c r="T1312" s="250"/>
      <c r="U1312" s="250"/>
      <c r="V1312" s="250"/>
      <c r="W1312" s="250"/>
      <c r="X1312" s="250"/>
      <c r="Y1312" s="250"/>
      <c r="Z1312" s="250"/>
      <c r="AA1312" s="250"/>
      <c r="AB1312" s="250"/>
      <c r="AC1312" s="250"/>
      <c r="AD1312" s="250"/>
      <c r="AE1312" s="250"/>
      <c r="AF1312" s="250"/>
      <c r="AG1312" s="250"/>
      <c r="AH1312" s="250"/>
      <c r="AI1312" s="250"/>
      <c r="AJ1312" s="250"/>
      <c r="AK1312" s="250"/>
      <c r="AL1312" s="250"/>
      <c r="AM1312" s="250"/>
      <c r="AN1312" s="250"/>
      <c r="AO1312" s="250"/>
      <c r="AP1312" s="250"/>
      <c r="AQ1312" s="250"/>
      <c r="AR1312" s="250"/>
      <c r="AS1312" s="250"/>
      <c r="AT1312" s="250"/>
      <c r="AU1312" s="250"/>
      <c r="AV1312" s="124"/>
    </row>
    <row r="1313" spans="2:48" ht="5.0999999999999996" customHeight="1" x14ac:dyDescent="0.2">
      <c r="B1313" s="250"/>
      <c r="C1313" s="1201"/>
      <c r="D1313" s="1092"/>
      <c r="E1313" s="168"/>
      <c r="F1313" s="167"/>
      <c r="G1313" s="167"/>
      <c r="H1313" s="167"/>
      <c r="I1313" s="175"/>
      <c r="J1313" s="175"/>
      <c r="K1313" s="167"/>
      <c r="L1313" s="167"/>
      <c r="M1313" s="167"/>
      <c r="N1313" s="167"/>
      <c r="O1313" s="167"/>
      <c r="P1313" s="167"/>
      <c r="Q1313" s="1202"/>
      <c r="R1313" s="250"/>
      <c r="S1313" s="250"/>
      <c r="T1313" s="250"/>
      <c r="U1313" s="250"/>
      <c r="V1313" s="250"/>
      <c r="W1313" s="250"/>
      <c r="X1313" s="250"/>
      <c r="Y1313" s="250"/>
      <c r="Z1313" s="250"/>
      <c r="AA1313" s="250"/>
      <c r="AB1313" s="250"/>
      <c r="AC1313" s="250"/>
      <c r="AD1313" s="250"/>
      <c r="AE1313" s="250"/>
      <c r="AF1313" s="250"/>
      <c r="AG1313" s="250"/>
      <c r="AH1313" s="250"/>
      <c r="AI1313" s="250"/>
      <c r="AJ1313" s="250"/>
      <c r="AK1313" s="250"/>
      <c r="AL1313" s="250"/>
      <c r="AM1313" s="250"/>
      <c r="AN1313" s="250"/>
      <c r="AO1313" s="250"/>
      <c r="AP1313" s="250"/>
      <c r="AQ1313" s="250"/>
      <c r="AR1313" s="250"/>
      <c r="AS1313" s="250"/>
      <c r="AT1313" s="250"/>
      <c r="AU1313" s="250"/>
      <c r="AV1313" s="124"/>
    </row>
    <row r="1314" spans="2:48" ht="15" x14ac:dyDescent="0.2">
      <c r="B1314" s="250"/>
      <c r="C1314" s="1201"/>
      <c r="D1314" s="1092"/>
      <c r="E1314" s="168"/>
      <c r="F1314" s="1390" t="s">
        <v>832</v>
      </c>
      <c r="G1314" s="1391"/>
      <c r="H1314" s="156" t="s">
        <v>1155</v>
      </c>
      <c r="I1314" s="175"/>
      <c r="J1314" s="175"/>
      <c r="K1314" s="167"/>
      <c r="L1314" s="167"/>
      <c r="M1314" s="167"/>
      <c r="N1314" s="167"/>
      <c r="O1314" s="167"/>
      <c r="P1314" s="167"/>
      <c r="Q1314" s="1202"/>
      <c r="R1314" s="250"/>
      <c r="S1314" s="250"/>
      <c r="T1314" s="250"/>
      <c r="U1314" s="250"/>
      <c r="V1314" s="250"/>
      <c r="W1314" s="250"/>
      <c r="X1314" s="250"/>
      <c r="Y1314" s="250"/>
      <c r="Z1314" s="250"/>
      <c r="AA1314" s="250"/>
      <c r="AB1314" s="250"/>
      <c r="AC1314" s="250"/>
      <c r="AD1314" s="250"/>
      <c r="AE1314" s="250"/>
      <c r="AF1314" s="250"/>
      <c r="AG1314" s="250"/>
      <c r="AH1314" s="250"/>
      <c r="AI1314" s="250"/>
      <c r="AJ1314" s="250"/>
      <c r="AK1314" s="250"/>
      <c r="AL1314" s="250"/>
      <c r="AM1314" s="250"/>
      <c r="AN1314" s="250"/>
      <c r="AO1314" s="250"/>
      <c r="AP1314" s="250"/>
      <c r="AQ1314" s="250"/>
      <c r="AR1314" s="250"/>
      <c r="AS1314" s="250"/>
      <c r="AT1314" s="250"/>
      <c r="AU1314" s="250"/>
      <c r="AV1314" s="124"/>
    </row>
    <row r="1315" spans="2:48" ht="15" x14ac:dyDescent="0.2">
      <c r="B1315" s="250"/>
      <c r="C1315" s="1201"/>
      <c r="D1315" s="1092"/>
      <c r="E1315" s="168"/>
      <c r="F1315" s="1384" t="s">
        <v>1401</v>
      </c>
      <c r="G1315" s="1385"/>
      <c r="H1315" s="156" t="s">
        <v>1156</v>
      </c>
      <c r="I1315" s="175"/>
      <c r="J1315" s="175"/>
      <c r="K1315" s="175"/>
      <c r="L1315" s="167"/>
      <c r="M1315" s="167"/>
      <c r="N1315" s="167"/>
      <c r="O1315" s="167"/>
      <c r="P1315" s="167"/>
      <c r="Q1315" s="1202"/>
      <c r="R1315" s="250"/>
      <c r="S1315" s="250"/>
      <c r="T1315" s="250"/>
      <c r="U1315" s="250"/>
      <c r="V1315" s="250"/>
      <c r="W1315" s="250"/>
      <c r="X1315" s="250"/>
      <c r="Y1315" s="250"/>
      <c r="Z1315" s="250"/>
      <c r="AA1315" s="250"/>
      <c r="AB1315" s="250"/>
      <c r="AC1315" s="250"/>
      <c r="AD1315" s="250"/>
      <c r="AE1315" s="250"/>
      <c r="AF1315" s="250"/>
      <c r="AG1315" s="250"/>
      <c r="AH1315" s="250"/>
      <c r="AI1315" s="250"/>
      <c r="AJ1315" s="250"/>
      <c r="AK1315" s="250"/>
      <c r="AL1315" s="250"/>
      <c r="AM1315" s="250"/>
      <c r="AN1315" s="250"/>
      <c r="AO1315" s="250"/>
      <c r="AP1315" s="250"/>
      <c r="AQ1315" s="250"/>
      <c r="AR1315" s="250"/>
      <c r="AS1315" s="250"/>
      <c r="AT1315" s="250"/>
      <c r="AU1315" s="250"/>
      <c r="AV1315" s="124"/>
    </row>
    <row r="1316" spans="2:48" ht="15" x14ac:dyDescent="0.2">
      <c r="B1316" s="250"/>
      <c r="C1316" s="1201"/>
      <c r="D1316" s="1092"/>
      <c r="E1316" s="168"/>
      <c r="F1316" s="1382" t="s">
        <v>1402</v>
      </c>
      <c r="G1316" s="1383"/>
      <c r="H1316" s="167" t="s">
        <v>1157</v>
      </c>
      <c r="I1316" s="175"/>
      <c r="J1316" s="175"/>
      <c r="K1316" s="175"/>
      <c r="L1316" s="167"/>
      <c r="M1316" s="167"/>
      <c r="N1316" s="167"/>
      <c r="O1316" s="167"/>
      <c r="P1316" s="167"/>
      <c r="Q1316" s="1202"/>
      <c r="R1316" s="250"/>
      <c r="S1316" s="250"/>
      <c r="T1316" s="250"/>
      <c r="U1316" s="250"/>
      <c r="V1316" s="250"/>
      <c r="W1316" s="250"/>
      <c r="X1316" s="250"/>
      <c r="Y1316" s="250"/>
      <c r="Z1316" s="250"/>
      <c r="AA1316" s="250"/>
      <c r="AB1316" s="250"/>
      <c r="AC1316" s="250"/>
      <c r="AD1316" s="250"/>
      <c r="AE1316" s="250"/>
      <c r="AF1316" s="250"/>
      <c r="AG1316" s="250"/>
      <c r="AH1316" s="250"/>
      <c r="AI1316" s="250"/>
      <c r="AJ1316" s="250"/>
      <c r="AK1316" s="250"/>
      <c r="AL1316" s="250"/>
      <c r="AM1316" s="250"/>
      <c r="AN1316" s="250"/>
      <c r="AO1316" s="250"/>
      <c r="AP1316" s="250"/>
      <c r="AQ1316" s="250"/>
      <c r="AR1316" s="250"/>
      <c r="AS1316" s="250"/>
      <c r="AT1316" s="250"/>
      <c r="AU1316" s="250"/>
      <c r="AV1316" s="124"/>
    </row>
    <row r="1317" spans="2:48" ht="15" x14ac:dyDescent="0.2">
      <c r="B1317" s="250"/>
      <c r="C1317" s="1201"/>
      <c r="D1317" s="158"/>
      <c r="E1317" s="156"/>
      <c r="F1317" s="1388" t="s">
        <v>1403</v>
      </c>
      <c r="G1317" s="1389"/>
      <c r="H1317" s="156" t="s">
        <v>104</v>
      </c>
      <c r="I1317" s="175"/>
      <c r="J1317" s="175"/>
      <c r="K1317" s="167"/>
      <c r="L1317" s="167"/>
      <c r="M1317" s="167"/>
      <c r="N1317" s="167"/>
      <c r="O1317" s="167"/>
      <c r="P1317" s="167"/>
      <c r="Q1317" s="1202"/>
      <c r="R1317" s="250"/>
      <c r="S1317" s="250"/>
      <c r="T1317" s="250"/>
      <c r="U1317" s="250"/>
      <c r="V1317" s="250"/>
      <c r="W1317" s="250"/>
      <c r="X1317" s="250"/>
      <c r="Y1317" s="250"/>
      <c r="Z1317" s="250"/>
      <c r="AA1317" s="250"/>
      <c r="AB1317" s="250"/>
      <c r="AC1317" s="250"/>
      <c r="AD1317" s="250"/>
      <c r="AE1317" s="250"/>
      <c r="AF1317" s="250"/>
      <c r="AG1317" s="250"/>
      <c r="AH1317" s="250"/>
      <c r="AI1317" s="250"/>
      <c r="AJ1317" s="250"/>
      <c r="AK1317" s="250"/>
      <c r="AL1317" s="250"/>
      <c r="AM1317" s="250"/>
      <c r="AN1317" s="250"/>
      <c r="AO1317" s="250"/>
      <c r="AP1317" s="250"/>
      <c r="AQ1317" s="250"/>
      <c r="AR1317" s="250"/>
      <c r="AS1317" s="250"/>
      <c r="AT1317" s="250"/>
      <c r="AU1317" s="250"/>
      <c r="AV1317" s="124"/>
    </row>
    <row r="1318" spans="2:48" ht="15" x14ac:dyDescent="0.2">
      <c r="B1318" s="250"/>
      <c r="C1318" s="1201"/>
      <c r="D1318" s="158"/>
      <c r="E1318" s="156"/>
      <c r="F1318" s="1382" t="s">
        <v>105</v>
      </c>
      <c r="G1318" s="1383"/>
      <c r="H1318" s="167" t="s">
        <v>1158</v>
      </c>
      <c r="I1318" s="175"/>
      <c r="J1318" s="175"/>
      <c r="K1318" s="167"/>
      <c r="L1318" s="167"/>
      <c r="M1318" s="167"/>
      <c r="N1318" s="167"/>
      <c r="O1318" s="167"/>
      <c r="P1318" s="167"/>
      <c r="Q1318" s="1202"/>
      <c r="R1318" s="250"/>
      <c r="S1318" s="250"/>
      <c r="T1318" s="250"/>
      <c r="U1318" s="250"/>
      <c r="V1318" s="250"/>
      <c r="W1318" s="250"/>
      <c r="X1318" s="250"/>
      <c r="Y1318" s="250"/>
      <c r="Z1318" s="250"/>
      <c r="AA1318" s="250"/>
      <c r="AB1318" s="250"/>
      <c r="AC1318" s="250"/>
      <c r="AD1318" s="250"/>
      <c r="AE1318" s="250"/>
      <c r="AF1318" s="250"/>
      <c r="AG1318" s="250"/>
      <c r="AH1318" s="250"/>
      <c r="AI1318" s="250"/>
      <c r="AJ1318" s="250"/>
      <c r="AK1318" s="250"/>
      <c r="AL1318" s="250"/>
      <c r="AM1318" s="250"/>
      <c r="AN1318" s="250"/>
      <c r="AO1318" s="250"/>
      <c r="AP1318" s="250"/>
      <c r="AQ1318" s="250"/>
      <c r="AR1318" s="250"/>
      <c r="AS1318" s="250"/>
      <c r="AT1318" s="250"/>
      <c r="AU1318" s="250"/>
      <c r="AV1318" s="124"/>
    </row>
    <row r="1319" spans="2:48" ht="15" x14ac:dyDescent="0.2">
      <c r="B1319" s="250"/>
      <c r="C1319" s="1201"/>
      <c r="D1319" s="158"/>
      <c r="E1319" s="156"/>
      <c r="F1319" s="1384" t="s">
        <v>831</v>
      </c>
      <c r="G1319" s="1385"/>
      <c r="H1319" s="156" t="s">
        <v>535</v>
      </c>
      <c r="I1319" s="175"/>
      <c r="J1319" s="175"/>
      <c r="K1319" s="167"/>
      <c r="L1319" s="167"/>
      <c r="M1319" s="167"/>
      <c r="N1319" s="167"/>
      <c r="O1319" s="167"/>
      <c r="P1319" s="167"/>
      <c r="Q1319" s="1202"/>
      <c r="R1319" s="250"/>
      <c r="S1319" s="250"/>
      <c r="T1319" s="250"/>
      <c r="U1319" s="250"/>
      <c r="V1319" s="250"/>
      <c r="W1319" s="250"/>
      <c r="X1319" s="250"/>
      <c r="Y1319" s="250"/>
      <c r="Z1319" s="250"/>
      <c r="AA1319" s="250"/>
      <c r="AB1319" s="250"/>
      <c r="AC1319" s="250"/>
      <c r="AD1319" s="250"/>
      <c r="AE1319" s="250"/>
      <c r="AF1319" s="250"/>
      <c r="AG1319" s="250"/>
      <c r="AH1319" s="250"/>
      <c r="AI1319" s="250"/>
      <c r="AJ1319" s="250"/>
      <c r="AK1319" s="250"/>
      <c r="AL1319" s="250"/>
      <c r="AM1319" s="250"/>
      <c r="AN1319" s="250"/>
      <c r="AO1319" s="250"/>
      <c r="AP1319" s="250"/>
      <c r="AQ1319" s="250"/>
      <c r="AR1319" s="250"/>
      <c r="AS1319" s="250"/>
      <c r="AT1319" s="250"/>
      <c r="AU1319" s="250"/>
      <c r="AV1319" s="124"/>
    </row>
    <row r="1320" spans="2:48" ht="15" x14ac:dyDescent="0.2">
      <c r="B1320" s="250"/>
      <c r="C1320" s="1201"/>
      <c r="D1320" s="158"/>
      <c r="E1320" s="156"/>
      <c r="F1320" s="1386" t="s">
        <v>536</v>
      </c>
      <c r="G1320" s="1387"/>
      <c r="H1320" s="1213" t="s">
        <v>1159</v>
      </c>
      <c r="I1320" s="176"/>
      <c r="J1320" s="176"/>
      <c r="K1320" s="1213"/>
      <c r="L1320" s="1213"/>
      <c r="M1320" s="1213"/>
      <c r="N1320" s="1213"/>
      <c r="O1320" s="1213"/>
      <c r="P1320" s="1213"/>
      <c r="Q1320" s="1209"/>
      <c r="R1320" s="250"/>
      <c r="S1320" s="250"/>
      <c r="T1320" s="250"/>
      <c r="U1320" s="250"/>
      <c r="V1320" s="250"/>
      <c r="W1320" s="250"/>
      <c r="X1320" s="250"/>
      <c r="Y1320" s="250"/>
      <c r="Z1320" s="250"/>
      <c r="AA1320" s="250"/>
      <c r="AB1320" s="250"/>
      <c r="AC1320" s="250"/>
      <c r="AD1320" s="250"/>
      <c r="AE1320" s="250"/>
      <c r="AF1320" s="250"/>
      <c r="AG1320" s="250"/>
      <c r="AH1320" s="250"/>
      <c r="AI1320" s="250"/>
      <c r="AJ1320" s="250"/>
      <c r="AK1320" s="250"/>
      <c r="AL1320" s="250"/>
      <c r="AM1320" s="250"/>
      <c r="AN1320" s="250"/>
      <c r="AO1320" s="250"/>
      <c r="AP1320" s="250"/>
      <c r="AQ1320" s="250"/>
      <c r="AR1320" s="250"/>
      <c r="AS1320" s="250"/>
      <c r="AT1320" s="250"/>
      <c r="AU1320" s="250"/>
      <c r="AV1320" s="124"/>
    </row>
    <row r="1321" spans="2:48" ht="15" x14ac:dyDescent="0.2">
      <c r="B1321" s="250"/>
      <c r="C1321" s="1201"/>
      <c r="D1321" s="158"/>
      <c r="E1321" s="156"/>
      <c r="F1321" s="1097"/>
      <c r="G1321" s="1098"/>
      <c r="H1321" s="1214" t="s">
        <v>1160</v>
      </c>
      <c r="I1321" s="177"/>
      <c r="J1321" s="177"/>
      <c r="K1321" s="1214"/>
      <c r="L1321" s="1214"/>
      <c r="M1321" s="1214"/>
      <c r="N1321" s="1214"/>
      <c r="O1321" s="1214"/>
      <c r="P1321" s="1214"/>
      <c r="Q1321" s="1209"/>
      <c r="R1321" s="250"/>
      <c r="S1321" s="250"/>
      <c r="T1321" s="250"/>
      <c r="U1321" s="250"/>
      <c r="V1321" s="250"/>
      <c r="W1321" s="250"/>
      <c r="X1321" s="250"/>
      <c r="Y1321" s="250"/>
      <c r="Z1321" s="250"/>
      <c r="AA1321" s="250"/>
      <c r="AB1321" s="250"/>
      <c r="AC1321" s="250"/>
      <c r="AD1321" s="250"/>
      <c r="AE1321" s="250"/>
      <c r="AF1321" s="250"/>
      <c r="AG1321" s="250"/>
      <c r="AH1321" s="250"/>
      <c r="AI1321" s="250"/>
      <c r="AJ1321" s="250"/>
      <c r="AK1321" s="250"/>
      <c r="AL1321" s="250"/>
      <c r="AM1321" s="250"/>
      <c r="AN1321" s="250"/>
      <c r="AO1321" s="250"/>
      <c r="AP1321" s="250"/>
      <c r="AQ1321" s="250"/>
      <c r="AR1321" s="250"/>
      <c r="AS1321" s="250"/>
      <c r="AT1321" s="250"/>
      <c r="AU1321" s="250"/>
      <c r="AV1321" s="124"/>
    </row>
    <row r="1322" spans="2:48" ht="15" x14ac:dyDescent="0.2">
      <c r="B1322" s="250"/>
      <c r="C1322" s="1201"/>
      <c r="D1322" s="158"/>
      <c r="E1322" s="156"/>
      <c r="F1322" s="156"/>
      <c r="G1322" s="158"/>
      <c r="H1322" s="158"/>
      <c r="I1322" s="158"/>
      <c r="J1322" s="158"/>
      <c r="K1322" s="158"/>
      <c r="L1322" s="158"/>
      <c r="M1322" s="158"/>
      <c r="N1322" s="158"/>
      <c r="O1322" s="158"/>
      <c r="P1322" s="158"/>
      <c r="Q1322" s="1202"/>
      <c r="R1322" s="250"/>
      <c r="S1322" s="250"/>
      <c r="T1322" s="250"/>
      <c r="U1322" s="250"/>
      <c r="V1322" s="250"/>
      <c r="W1322" s="250"/>
      <c r="X1322" s="250"/>
      <c r="Y1322" s="250"/>
      <c r="Z1322" s="250"/>
      <c r="AA1322" s="250"/>
      <c r="AB1322" s="250"/>
      <c r="AC1322" s="250"/>
      <c r="AD1322" s="250"/>
      <c r="AE1322" s="250"/>
      <c r="AF1322" s="250"/>
      <c r="AG1322" s="250"/>
      <c r="AH1322" s="250"/>
      <c r="AI1322" s="250"/>
      <c r="AJ1322" s="250"/>
      <c r="AK1322" s="250"/>
      <c r="AL1322" s="250"/>
      <c r="AM1322" s="250"/>
      <c r="AN1322" s="250"/>
      <c r="AO1322" s="250"/>
      <c r="AP1322" s="250"/>
      <c r="AQ1322" s="250"/>
      <c r="AR1322" s="250"/>
      <c r="AS1322" s="250"/>
      <c r="AT1322" s="250"/>
      <c r="AU1322" s="250"/>
      <c r="AV1322" s="124"/>
    </row>
    <row r="1323" spans="2:48" ht="15" x14ac:dyDescent="0.2">
      <c r="B1323" s="250"/>
      <c r="C1323" s="1201"/>
      <c r="D1323" s="158"/>
      <c r="E1323" s="156"/>
      <c r="F1323" s="156"/>
      <c r="G1323" s="158"/>
      <c r="H1323" s="158"/>
      <c r="I1323" s="158"/>
      <c r="J1323" s="158"/>
      <c r="K1323" s="158"/>
      <c r="L1323" s="158"/>
      <c r="M1323" s="158"/>
      <c r="N1323" s="158"/>
      <c r="O1323" s="158"/>
      <c r="P1323" s="158"/>
      <c r="Q1323" s="1202"/>
      <c r="R1323" s="250"/>
      <c r="S1323" s="250"/>
      <c r="T1323" s="250"/>
      <c r="U1323" s="250"/>
      <c r="V1323" s="250"/>
      <c r="W1323" s="250"/>
      <c r="X1323" s="250"/>
      <c r="Y1323" s="250"/>
      <c r="Z1323" s="250"/>
      <c r="AA1323" s="250"/>
      <c r="AB1323" s="250"/>
      <c r="AC1323" s="250"/>
      <c r="AD1323" s="250"/>
      <c r="AE1323" s="250"/>
      <c r="AF1323" s="250"/>
      <c r="AG1323" s="250"/>
      <c r="AH1323" s="250"/>
      <c r="AI1323" s="250"/>
      <c r="AJ1323" s="250"/>
      <c r="AK1323" s="250"/>
      <c r="AL1323" s="250"/>
      <c r="AM1323" s="250"/>
      <c r="AN1323" s="250"/>
      <c r="AO1323" s="250"/>
      <c r="AP1323" s="250"/>
      <c r="AQ1323" s="250"/>
      <c r="AR1323" s="250"/>
      <c r="AS1323" s="250"/>
      <c r="AT1323" s="250"/>
      <c r="AU1323" s="250"/>
      <c r="AV1323" s="124"/>
    </row>
    <row r="1324" spans="2:48" ht="15" x14ac:dyDescent="0.2">
      <c r="B1324" s="250"/>
      <c r="C1324" s="1201"/>
      <c r="D1324" s="158"/>
      <c r="E1324" s="156"/>
      <c r="F1324" s="156"/>
      <c r="G1324" s="158"/>
      <c r="H1324" s="158"/>
      <c r="I1324" s="158"/>
      <c r="J1324" s="158"/>
      <c r="K1324" s="158"/>
      <c r="L1324" s="158"/>
      <c r="M1324" s="158"/>
      <c r="N1324" s="158"/>
      <c r="O1324" s="158"/>
      <c r="P1324" s="158"/>
      <c r="Q1324" s="1202"/>
      <c r="R1324" s="250"/>
      <c r="S1324" s="250"/>
      <c r="T1324" s="250"/>
      <c r="U1324" s="250"/>
      <c r="V1324" s="250"/>
      <c r="W1324" s="250"/>
      <c r="X1324" s="250"/>
      <c r="Y1324" s="250"/>
      <c r="Z1324" s="250"/>
      <c r="AA1324" s="250"/>
      <c r="AB1324" s="250"/>
      <c r="AC1324" s="250"/>
      <c r="AD1324" s="250"/>
      <c r="AE1324" s="250"/>
      <c r="AF1324" s="250"/>
      <c r="AG1324" s="250"/>
      <c r="AH1324" s="250"/>
      <c r="AI1324" s="250"/>
      <c r="AJ1324" s="250"/>
      <c r="AK1324" s="250"/>
      <c r="AL1324" s="250"/>
      <c r="AM1324" s="250"/>
      <c r="AN1324" s="250"/>
      <c r="AO1324" s="250"/>
      <c r="AP1324" s="250"/>
      <c r="AQ1324" s="250"/>
      <c r="AR1324" s="250"/>
      <c r="AS1324" s="250"/>
      <c r="AT1324" s="250"/>
      <c r="AU1324" s="250"/>
      <c r="AV1324" s="124"/>
    </row>
    <row r="1325" spans="2:48" ht="15" x14ac:dyDescent="0.2">
      <c r="B1325" s="250"/>
      <c r="C1325" s="1201"/>
      <c r="D1325" s="158"/>
      <c r="E1325" s="156"/>
      <c r="F1325" s="156"/>
      <c r="G1325" s="158"/>
      <c r="H1325" s="158"/>
      <c r="I1325" s="158"/>
      <c r="J1325" s="158"/>
      <c r="K1325" s="158"/>
      <c r="L1325" s="158"/>
      <c r="M1325" s="158"/>
      <c r="N1325" s="158"/>
      <c r="O1325" s="158"/>
      <c r="P1325" s="158"/>
      <c r="Q1325" s="1202"/>
      <c r="R1325" s="250"/>
      <c r="S1325" s="250"/>
      <c r="T1325" s="250"/>
      <c r="U1325" s="250"/>
      <c r="V1325" s="250"/>
      <c r="W1325" s="250"/>
      <c r="X1325" s="250"/>
      <c r="Y1325" s="250"/>
      <c r="Z1325" s="250"/>
      <c r="AA1325" s="250"/>
      <c r="AB1325" s="250"/>
      <c r="AC1325" s="250"/>
      <c r="AD1325" s="250"/>
      <c r="AE1325" s="250"/>
      <c r="AF1325" s="250"/>
      <c r="AG1325" s="250"/>
      <c r="AH1325" s="250"/>
      <c r="AI1325" s="250"/>
      <c r="AJ1325" s="250"/>
      <c r="AK1325" s="250"/>
      <c r="AL1325" s="250"/>
      <c r="AM1325" s="250"/>
      <c r="AN1325" s="250"/>
      <c r="AO1325" s="250"/>
      <c r="AP1325" s="250"/>
      <c r="AQ1325" s="250"/>
      <c r="AR1325" s="250"/>
      <c r="AS1325" s="250"/>
      <c r="AT1325" s="250"/>
      <c r="AU1325" s="250"/>
      <c r="AV1325" s="124"/>
    </row>
    <row r="1326" spans="2:48" ht="15" x14ac:dyDescent="0.2">
      <c r="B1326" s="250"/>
      <c r="C1326" s="1201"/>
      <c r="D1326" s="158"/>
      <c r="E1326" s="156"/>
      <c r="F1326" s="156"/>
      <c r="G1326" s="158"/>
      <c r="H1326" s="158"/>
      <c r="I1326" s="158"/>
      <c r="J1326" s="158"/>
      <c r="K1326" s="158"/>
      <c r="L1326" s="158"/>
      <c r="M1326" s="158"/>
      <c r="N1326" s="158"/>
      <c r="O1326" s="158"/>
      <c r="P1326" s="158"/>
      <c r="Q1326" s="1202"/>
      <c r="R1326" s="250"/>
      <c r="S1326" s="250"/>
      <c r="T1326" s="250"/>
      <c r="U1326" s="250"/>
      <c r="V1326" s="250"/>
      <c r="W1326" s="250"/>
      <c r="X1326" s="250"/>
      <c r="Y1326" s="250"/>
      <c r="Z1326" s="250"/>
      <c r="AA1326" s="250"/>
      <c r="AB1326" s="250"/>
      <c r="AC1326" s="250"/>
      <c r="AD1326" s="250"/>
      <c r="AE1326" s="250"/>
      <c r="AF1326" s="250"/>
      <c r="AG1326" s="250"/>
      <c r="AH1326" s="250"/>
      <c r="AI1326" s="250"/>
      <c r="AJ1326" s="250"/>
      <c r="AK1326" s="250"/>
      <c r="AL1326" s="250"/>
      <c r="AM1326" s="250"/>
      <c r="AN1326" s="250"/>
      <c r="AO1326" s="250"/>
      <c r="AP1326" s="250"/>
      <c r="AQ1326" s="250"/>
      <c r="AR1326" s="250"/>
      <c r="AS1326" s="250"/>
      <c r="AT1326" s="250"/>
      <c r="AU1326" s="250"/>
      <c r="AV1326" s="124"/>
    </row>
    <row r="1327" spans="2:48" ht="15" x14ac:dyDescent="0.2">
      <c r="B1327" s="250"/>
      <c r="C1327" s="1201"/>
      <c r="D1327" s="158"/>
      <c r="E1327" s="156"/>
      <c r="F1327" s="156"/>
      <c r="G1327" s="158"/>
      <c r="H1327" s="158"/>
      <c r="I1327" s="158"/>
      <c r="J1327" s="158"/>
      <c r="K1327" s="158"/>
      <c r="L1327" s="158"/>
      <c r="M1327" s="158"/>
      <c r="N1327" s="158"/>
      <c r="O1327" s="158"/>
      <c r="P1327" s="158"/>
      <c r="Q1327" s="1202"/>
      <c r="R1327" s="250"/>
      <c r="S1327" s="250"/>
      <c r="T1327" s="250"/>
      <c r="U1327" s="250"/>
      <c r="V1327" s="250"/>
      <c r="W1327" s="250"/>
      <c r="X1327" s="250"/>
      <c r="Y1327" s="250"/>
      <c r="Z1327" s="250"/>
      <c r="AA1327" s="250"/>
      <c r="AB1327" s="250"/>
      <c r="AC1327" s="250"/>
      <c r="AD1327" s="250"/>
      <c r="AE1327" s="250"/>
      <c r="AF1327" s="250"/>
      <c r="AG1327" s="250"/>
      <c r="AH1327" s="250"/>
      <c r="AI1327" s="250"/>
      <c r="AJ1327" s="250"/>
      <c r="AK1327" s="250"/>
      <c r="AL1327" s="250"/>
      <c r="AM1327" s="250"/>
      <c r="AN1327" s="250"/>
      <c r="AO1327" s="250"/>
      <c r="AP1327" s="250"/>
      <c r="AQ1327" s="250"/>
      <c r="AR1327" s="250"/>
      <c r="AS1327" s="250"/>
      <c r="AT1327" s="250"/>
      <c r="AU1327" s="250"/>
      <c r="AV1327" s="124"/>
    </row>
    <row r="1328" spans="2:48" ht="15" x14ac:dyDescent="0.2">
      <c r="B1328" s="250"/>
      <c r="C1328" s="1201"/>
      <c r="D1328" s="158"/>
      <c r="E1328" s="156"/>
      <c r="F1328" s="156"/>
      <c r="G1328" s="158"/>
      <c r="H1328" s="158"/>
      <c r="I1328" s="158"/>
      <c r="J1328" s="158"/>
      <c r="K1328" s="158"/>
      <c r="L1328" s="158"/>
      <c r="M1328" s="158"/>
      <c r="N1328" s="158"/>
      <c r="O1328" s="158"/>
      <c r="P1328" s="158"/>
      <c r="Q1328" s="1202"/>
      <c r="R1328" s="250"/>
      <c r="S1328" s="250"/>
      <c r="T1328" s="250"/>
      <c r="U1328" s="250"/>
      <c r="V1328" s="250"/>
      <c r="W1328" s="250"/>
      <c r="X1328" s="250"/>
      <c r="Y1328" s="250"/>
      <c r="Z1328" s="250"/>
      <c r="AA1328" s="250"/>
      <c r="AB1328" s="250"/>
      <c r="AC1328" s="250"/>
      <c r="AD1328" s="250"/>
      <c r="AE1328" s="250"/>
      <c r="AF1328" s="250"/>
      <c r="AG1328" s="250"/>
      <c r="AH1328" s="250"/>
      <c r="AI1328" s="250"/>
      <c r="AJ1328" s="250"/>
      <c r="AK1328" s="250"/>
      <c r="AL1328" s="250"/>
      <c r="AM1328" s="250"/>
      <c r="AN1328" s="250"/>
      <c r="AO1328" s="250"/>
      <c r="AP1328" s="250"/>
      <c r="AQ1328" s="250"/>
      <c r="AR1328" s="250"/>
      <c r="AS1328" s="250"/>
      <c r="AT1328" s="250"/>
      <c r="AU1328" s="250"/>
      <c r="AV1328" s="124"/>
    </row>
    <row r="1329" spans="2:48" ht="15" x14ac:dyDescent="0.2">
      <c r="B1329" s="250"/>
      <c r="C1329" s="1201"/>
      <c r="D1329" s="158"/>
      <c r="E1329" s="156"/>
      <c r="F1329" s="156"/>
      <c r="G1329" s="158"/>
      <c r="H1329" s="158"/>
      <c r="I1329" s="158"/>
      <c r="J1329" s="158"/>
      <c r="K1329" s="158"/>
      <c r="L1329" s="158"/>
      <c r="M1329" s="158"/>
      <c r="N1329" s="158"/>
      <c r="O1329" s="158"/>
      <c r="P1329" s="158"/>
      <c r="Q1329" s="1202"/>
      <c r="R1329" s="250"/>
      <c r="S1329" s="250"/>
      <c r="T1329" s="250"/>
      <c r="U1329" s="250"/>
      <c r="V1329" s="250"/>
      <c r="W1329" s="250"/>
      <c r="X1329" s="250"/>
      <c r="Y1329" s="250"/>
      <c r="Z1329" s="250"/>
      <c r="AA1329" s="250"/>
      <c r="AB1329" s="250"/>
      <c r="AC1329" s="250"/>
      <c r="AD1329" s="250"/>
      <c r="AE1329" s="250"/>
      <c r="AF1329" s="250"/>
      <c r="AG1329" s="250"/>
      <c r="AH1329" s="250"/>
      <c r="AI1329" s="250"/>
      <c r="AJ1329" s="250"/>
      <c r="AK1329" s="250"/>
      <c r="AL1329" s="250"/>
      <c r="AM1329" s="250"/>
      <c r="AN1329" s="250"/>
      <c r="AO1329" s="250"/>
      <c r="AP1329" s="250"/>
      <c r="AQ1329" s="250"/>
      <c r="AR1329" s="250"/>
      <c r="AS1329" s="250"/>
      <c r="AT1329" s="250"/>
      <c r="AU1329" s="250"/>
      <c r="AV1329" s="124"/>
    </row>
    <row r="1330" spans="2:48" ht="15" x14ac:dyDescent="0.2">
      <c r="B1330" s="250"/>
      <c r="C1330" s="1201"/>
      <c r="D1330" s="158"/>
      <c r="E1330" s="156"/>
      <c r="F1330" s="156"/>
      <c r="G1330" s="158"/>
      <c r="H1330" s="158"/>
      <c r="I1330" s="158"/>
      <c r="J1330" s="158"/>
      <c r="K1330" s="158"/>
      <c r="L1330" s="158"/>
      <c r="M1330" s="158"/>
      <c r="N1330" s="158"/>
      <c r="O1330" s="158"/>
      <c r="P1330" s="158"/>
      <c r="Q1330" s="1202"/>
      <c r="R1330" s="250"/>
      <c r="S1330" s="250"/>
      <c r="T1330" s="250"/>
      <c r="U1330" s="250"/>
      <c r="V1330" s="250"/>
      <c r="W1330" s="250"/>
      <c r="X1330" s="250"/>
      <c r="Y1330" s="250"/>
      <c r="Z1330" s="250"/>
      <c r="AA1330" s="250"/>
      <c r="AB1330" s="250"/>
      <c r="AC1330" s="250"/>
      <c r="AD1330" s="250"/>
      <c r="AE1330" s="250"/>
      <c r="AF1330" s="250"/>
      <c r="AG1330" s="250"/>
      <c r="AH1330" s="250"/>
      <c r="AI1330" s="250"/>
      <c r="AJ1330" s="250"/>
      <c r="AK1330" s="250"/>
      <c r="AL1330" s="250"/>
      <c r="AM1330" s="250"/>
      <c r="AN1330" s="250"/>
      <c r="AO1330" s="250"/>
      <c r="AP1330" s="250"/>
      <c r="AQ1330" s="250"/>
      <c r="AR1330" s="250"/>
      <c r="AS1330" s="250"/>
      <c r="AT1330" s="250"/>
      <c r="AU1330" s="250"/>
      <c r="AV1330" s="124"/>
    </row>
    <row r="1331" spans="2:48" ht="27.75" customHeight="1" x14ac:dyDescent="0.2">
      <c r="B1331" s="250"/>
      <c r="C1331" s="1204"/>
      <c r="D1331" s="1205"/>
      <c r="E1331" s="1205"/>
      <c r="F1331" s="1205"/>
      <c r="G1331" s="1205"/>
      <c r="H1331" s="1205"/>
      <c r="I1331" s="1205"/>
      <c r="J1331" s="1205"/>
      <c r="K1331" s="1205"/>
      <c r="L1331" s="1205"/>
      <c r="M1331" s="1205"/>
      <c r="N1331" s="1205"/>
      <c r="O1331" s="1205"/>
      <c r="P1331" s="1205"/>
      <c r="Q1331" s="1210"/>
      <c r="R1331" s="250"/>
      <c r="S1331" s="250"/>
      <c r="T1331" s="250"/>
      <c r="U1331" s="250"/>
      <c r="V1331" s="250"/>
      <c r="W1331" s="250"/>
      <c r="X1331" s="250"/>
      <c r="Y1331" s="250"/>
      <c r="Z1331" s="250"/>
      <c r="AA1331" s="250"/>
      <c r="AB1331" s="250"/>
      <c r="AC1331" s="250"/>
      <c r="AD1331" s="250"/>
      <c r="AE1331" s="250"/>
      <c r="AF1331" s="250"/>
      <c r="AG1331" s="250"/>
      <c r="AH1331" s="250"/>
      <c r="AI1331" s="250"/>
      <c r="AJ1331" s="250"/>
      <c r="AK1331" s="250"/>
      <c r="AL1331" s="250"/>
      <c r="AM1331" s="250"/>
      <c r="AN1331" s="250"/>
      <c r="AO1331" s="250"/>
      <c r="AP1331" s="250"/>
      <c r="AQ1331" s="250"/>
      <c r="AR1331" s="250"/>
      <c r="AS1331" s="250"/>
      <c r="AT1331" s="250"/>
      <c r="AU1331" s="250"/>
      <c r="AV1331" s="124"/>
    </row>
    <row r="1332" spans="2:48" s="475" customFormat="1" x14ac:dyDescent="0.2">
      <c r="B1332" s="250"/>
      <c r="C1332" s="250"/>
      <c r="D1332" s="250"/>
      <c r="E1332" s="250"/>
      <c r="F1332" s="250"/>
      <c r="G1332" s="250"/>
      <c r="H1332" s="250"/>
      <c r="I1332" s="250"/>
      <c r="J1332" s="250"/>
      <c r="K1332" s="250"/>
      <c r="L1332" s="250"/>
      <c r="M1332" s="250"/>
      <c r="N1332" s="250"/>
      <c r="O1332" s="250"/>
      <c r="P1332" s="250"/>
      <c r="Q1332" s="250"/>
      <c r="R1332" s="250"/>
      <c r="S1332" s="250"/>
      <c r="T1332" s="250"/>
      <c r="U1332" s="250"/>
      <c r="V1332" s="250"/>
      <c r="W1332" s="250"/>
      <c r="X1332" s="250"/>
      <c r="Y1332" s="250"/>
      <c r="Z1332" s="250"/>
      <c r="AA1332" s="250"/>
      <c r="AB1332" s="250"/>
      <c r="AC1332" s="250"/>
      <c r="AD1332" s="250"/>
      <c r="AE1332" s="250"/>
      <c r="AF1332" s="250"/>
      <c r="AG1332" s="250"/>
      <c r="AH1332" s="250"/>
      <c r="AI1332" s="250"/>
      <c r="AJ1332" s="250"/>
      <c r="AK1332" s="250"/>
      <c r="AL1332" s="250"/>
      <c r="AM1332" s="250"/>
      <c r="AN1332" s="250"/>
      <c r="AO1332" s="250"/>
      <c r="AP1332" s="250"/>
      <c r="AQ1332" s="250"/>
      <c r="AR1332" s="250"/>
      <c r="AS1332" s="250"/>
      <c r="AT1332" s="250"/>
      <c r="AU1332" s="250"/>
      <c r="AV1332" s="124"/>
    </row>
    <row r="1333" spans="2:48" s="475" customFormat="1" x14ac:dyDescent="0.2">
      <c r="B1333" s="250"/>
      <c r="C1333" s="250"/>
      <c r="D1333" s="250"/>
      <c r="E1333" s="250"/>
      <c r="F1333" s="250"/>
      <c r="G1333" s="250"/>
      <c r="H1333" s="250"/>
      <c r="I1333" s="250"/>
      <c r="J1333" s="250"/>
      <c r="K1333" s="250"/>
      <c r="L1333" s="250"/>
      <c r="M1333" s="250"/>
      <c r="N1333" s="250"/>
      <c r="O1333" s="250"/>
      <c r="P1333" s="250"/>
      <c r="Q1333" s="250"/>
      <c r="R1333" s="250"/>
      <c r="S1333" s="250"/>
      <c r="T1333" s="250"/>
      <c r="U1333" s="250"/>
      <c r="V1333" s="250"/>
      <c r="W1333" s="250"/>
      <c r="X1333" s="250"/>
      <c r="Y1333" s="250"/>
      <c r="Z1333" s="250"/>
      <c r="AA1333" s="250"/>
      <c r="AB1333" s="250"/>
      <c r="AC1333" s="250"/>
      <c r="AD1333" s="250"/>
      <c r="AE1333" s="250"/>
      <c r="AF1333" s="250"/>
      <c r="AG1333" s="250"/>
      <c r="AH1333" s="250"/>
      <c r="AI1333" s="250"/>
      <c r="AJ1333" s="250"/>
      <c r="AK1333" s="250"/>
      <c r="AL1333" s="250"/>
      <c r="AM1333" s="250"/>
      <c r="AN1333" s="250"/>
      <c r="AO1333" s="250"/>
      <c r="AP1333" s="250"/>
      <c r="AQ1333" s="250"/>
      <c r="AR1333" s="250"/>
      <c r="AS1333" s="250"/>
      <c r="AT1333" s="250"/>
      <c r="AU1333" s="250"/>
      <c r="AV1333" s="124"/>
    </row>
    <row r="1334" spans="2:48" s="475" customFormat="1" x14ac:dyDescent="0.2">
      <c r="B1334" s="250"/>
      <c r="C1334" s="250"/>
      <c r="D1334" s="250"/>
      <c r="E1334" s="250"/>
      <c r="F1334" s="250"/>
      <c r="G1334" s="250"/>
      <c r="H1334" s="250"/>
      <c r="I1334" s="250"/>
      <c r="J1334" s="250"/>
      <c r="K1334" s="250"/>
      <c r="L1334" s="250"/>
      <c r="M1334" s="250"/>
      <c r="N1334" s="250"/>
      <c r="O1334" s="250"/>
      <c r="P1334" s="250"/>
      <c r="Q1334" s="250"/>
      <c r="R1334" s="250"/>
      <c r="S1334" s="250"/>
      <c r="T1334" s="250"/>
      <c r="U1334" s="250"/>
      <c r="V1334" s="250"/>
      <c r="W1334" s="250"/>
      <c r="X1334" s="250"/>
      <c r="Y1334" s="250"/>
      <c r="Z1334" s="250"/>
      <c r="AA1334" s="250"/>
      <c r="AB1334" s="250"/>
      <c r="AC1334" s="250"/>
      <c r="AD1334" s="250"/>
      <c r="AE1334" s="250"/>
      <c r="AF1334" s="250"/>
      <c r="AG1334" s="250"/>
      <c r="AH1334" s="250"/>
      <c r="AI1334" s="250"/>
      <c r="AJ1334" s="250"/>
      <c r="AK1334" s="250"/>
      <c r="AL1334" s="250"/>
      <c r="AM1334" s="250"/>
      <c r="AN1334" s="250"/>
      <c r="AO1334" s="250"/>
      <c r="AP1334" s="250"/>
      <c r="AQ1334" s="250"/>
      <c r="AR1334" s="250"/>
      <c r="AS1334" s="250"/>
      <c r="AT1334" s="250"/>
      <c r="AU1334" s="250"/>
      <c r="AV1334" s="124"/>
    </row>
    <row r="1335" spans="2:48" s="475" customFormat="1" x14ac:dyDescent="0.2">
      <c r="B1335" s="250"/>
      <c r="C1335" s="250"/>
      <c r="D1335" s="250"/>
      <c r="E1335" s="250"/>
      <c r="F1335" s="250"/>
      <c r="G1335" s="250"/>
      <c r="H1335" s="250"/>
      <c r="I1335" s="250"/>
      <c r="J1335" s="250"/>
      <c r="K1335" s="250"/>
      <c r="L1335" s="250"/>
      <c r="M1335" s="250"/>
      <c r="N1335" s="250"/>
      <c r="O1335" s="250"/>
      <c r="P1335" s="250"/>
      <c r="Q1335" s="250"/>
      <c r="R1335" s="250"/>
      <c r="S1335" s="250"/>
      <c r="T1335" s="250"/>
      <c r="U1335" s="250"/>
      <c r="V1335" s="250"/>
      <c r="W1335" s="250"/>
      <c r="X1335" s="250"/>
      <c r="Y1335" s="250"/>
      <c r="Z1335" s="250"/>
      <c r="AA1335" s="250"/>
      <c r="AB1335" s="250"/>
      <c r="AC1335" s="250"/>
      <c r="AD1335" s="250"/>
      <c r="AE1335" s="250"/>
      <c r="AF1335" s="250"/>
      <c r="AG1335" s="250"/>
      <c r="AH1335" s="250"/>
      <c r="AI1335" s="250"/>
      <c r="AJ1335" s="250"/>
      <c r="AK1335" s="250"/>
      <c r="AL1335" s="250"/>
      <c r="AM1335" s="250"/>
      <c r="AN1335" s="250"/>
      <c r="AO1335" s="250"/>
      <c r="AP1335" s="250"/>
      <c r="AQ1335" s="250"/>
      <c r="AR1335" s="250"/>
      <c r="AS1335" s="250"/>
      <c r="AT1335" s="250"/>
      <c r="AU1335" s="250"/>
      <c r="AV1335" s="124"/>
    </row>
    <row r="1336" spans="2:48" s="475" customFormat="1" x14ac:dyDescent="0.2">
      <c r="B1336" s="250"/>
      <c r="C1336" s="250"/>
      <c r="D1336" s="250"/>
      <c r="E1336" s="250"/>
      <c r="F1336" s="250"/>
      <c r="G1336" s="250"/>
      <c r="H1336" s="250"/>
      <c r="I1336" s="250"/>
      <c r="J1336" s="250"/>
      <c r="K1336" s="250"/>
      <c r="L1336" s="250"/>
      <c r="M1336" s="250"/>
      <c r="N1336" s="250"/>
      <c r="O1336" s="250"/>
      <c r="P1336" s="250"/>
      <c r="Q1336" s="250"/>
      <c r="R1336" s="250"/>
      <c r="S1336" s="250"/>
      <c r="T1336" s="250"/>
      <c r="U1336" s="250"/>
      <c r="V1336" s="250"/>
      <c r="W1336" s="250"/>
      <c r="X1336" s="250"/>
      <c r="Y1336" s="250"/>
      <c r="Z1336" s="250"/>
      <c r="AA1336" s="250"/>
      <c r="AB1336" s="250"/>
      <c r="AC1336" s="250"/>
      <c r="AD1336" s="250"/>
      <c r="AE1336" s="250"/>
      <c r="AF1336" s="250"/>
      <c r="AG1336" s="250"/>
      <c r="AH1336" s="250"/>
      <c r="AI1336" s="250"/>
      <c r="AJ1336" s="250"/>
      <c r="AK1336" s="250"/>
      <c r="AL1336" s="250"/>
      <c r="AM1336" s="250"/>
      <c r="AN1336" s="250"/>
      <c r="AO1336" s="250"/>
      <c r="AP1336" s="250"/>
      <c r="AQ1336" s="250"/>
      <c r="AR1336" s="250"/>
      <c r="AS1336" s="250"/>
      <c r="AT1336" s="250"/>
      <c r="AU1336" s="250"/>
      <c r="AV1336" s="124"/>
    </row>
    <row r="1337" spans="2:48" s="475" customFormat="1" x14ac:dyDescent="0.2">
      <c r="B1337" s="250"/>
      <c r="C1337" s="250"/>
      <c r="D1337" s="250"/>
      <c r="E1337" s="250"/>
      <c r="F1337" s="250"/>
      <c r="G1337" s="250"/>
      <c r="H1337" s="250"/>
      <c r="I1337" s="250"/>
      <c r="J1337" s="250"/>
      <c r="K1337" s="250"/>
      <c r="L1337" s="250"/>
      <c r="M1337" s="250"/>
      <c r="N1337" s="250"/>
      <c r="O1337" s="250"/>
      <c r="P1337" s="250"/>
      <c r="Q1337" s="250"/>
      <c r="R1337" s="250"/>
      <c r="S1337" s="250"/>
      <c r="T1337" s="250"/>
      <c r="U1337" s="250"/>
      <c r="V1337" s="250"/>
      <c r="W1337" s="250"/>
      <c r="X1337" s="250"/>
      <c r="Y1337" s="250"/>
      <c r="Z1337" s="250"/>
      <c r="AA1337" s="250"/>
      <c r="AB1337" s="250"/>
      <c r="AC1337" s="250"/>
      <c r="AD1337" s="250"/>
      <c r="AE1337" s="250"/>
      <c r="AF1337" s="250"/>
      <c r="AG1337" s="250"/>
      <c r="AH1337" s="250"/>
      <c r="AI1337" s="250"/>
      <c r="AJ1337" s="250"/>
      <c r="AK1337" s="250"/>
      <c r="AL1337" s="250"/>
      <c r="AM1337" s="250"/>
      <c r="AN1337" s="250"/>
      <c r="AO1337" s="250"/>
      <c r="AP1337" s="250"/>
      <c r="AQ1337" s="250"/>
      <c r="AR1337" s="250"/>
      <c r="AS1337" s="250"/>
      <c r="AT1337" s="250"/>
      <c r="AU1337" s="250"/>
      <c r="AV1337" s="124"/>
    </row>
    <row r="1338" spans="2:48" s="475" customFormat="1" x14ac:dyDescent="0.2">
      <c r="B1338" s="250"/>
      <c r="C1338" s="250"/>
      <c r="D1338" s="250"/>
      <c r="E1338" s="250"/>
      <c r="F1338" s="250"/>
      <c r="G1338" s="250"/>
      <c r="H1338" s="250"/>
      <c r="I1338" s="250"/>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c r="AN1338" s="250"/>
      <c r="AO1338" s="250"/>
      <c r="AP1338" s="250"/>
      <c r="AQ1338" s="250"/>
      <c r="AR1338" s="250"/>
      <c r="AS1338" s="250"/>
      <c r="AT1338" s="250"/>
      <c r="AU1338" s="250"/>
      <c r="AV1338" s="124"/>
    </row>
    <row r="1339" spans="2:48" s="475" customFormat="1" x14ac:dyDescent="0.2">
      <c r="B1339" s="250"/>
      <c r="C1339" s="250"/>
      <c r="D1339" s="250"/>
      <c r="E1339" s="250"/>
      <c r="F1339" s="250"/>
      <c r="G1339" s="250"/>
      <c r="H1339" s="250"/>
      <c r="I1339" s="250"/>
      <c r="J1339" s="250"/>
      <c r="K1339" s="250"/>
      <c r="L1339" s="250"/>
      <c r="M1339" s="250"/>
      <c r="N1339" s="250"/>
      <c r="O1339" s="250"/>
      <c r="P1339" s="250"/>
      <c r="Q1339" s="250"/>
      <c r="R1339" s="250"/>
      <c r="S1339" s="250"/>
      <c r="T1339" s="250"/>
      <c r="U1339" s="250"/>
      <c r="V1339" s="250"/>
      <c r="W1339" s="250"/>
      <c r="X1339" s="250"/>
      <c r="Y1339" s="250"/>
      <c r="Z1339" s="250"/>
      <c r="AA1339" s="250"/>
      <c r="AB1339" s="250"/>
      <c r="AC1339" s="250"/>
      <c r="AD1339" s="250"/>
      <c r="AE1339" s="250"/>
      <c r="AF1339" s="250"/>
      <c r="AG1339" s="250"/>
      <c r="AH1339" s="250"/>
      <c r="AI1339" s="250"/>
      <c r="AJ1339" s="250"/>
      <c r="AK1339" s="250"/>
      <c r="AL1339" s="250"/>
      <c r="AM1339" s="250"/>
      <c r="AN1339" s="250"/>
      <c r="AO1339" s="250"/>
      <c r="AP1339" s="250"/>
      <c r="AQ1339" s="250"/>
      <c r="AR1339" s="250"/>
      <c r="AS1339" s="250"/>
      <c r="AT1339" s="250"/>
      <c r="AU1339" s="250"/>
      <c r="AV1339" s="124"/>
    </row>
    <row r="1340" spans="2:48" s="475" customFormat="1" x14ac:dyDescent="0.2">
      <c r="B1340" s="250"/>
      <c r="C1340" s="250"/>
      <c r="D1340" s="250"/>
      <c r="E1340" s="250"/>
      <c r="F1340" s="250"/>
      <c r="G1340" s="250"/>
      <c r="H1340" s="250"/>
      <c r="I1340" s="250"/>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c r="AN1340" s="250"/>
      <c r="AO1340" s="250"/>
      <c r="AP1340" s="250"/>
      <c r="AQ1340" s="250"/>
      <c r="AR1340" s="250"/>
      <c r="AS1340" s="250"/>
      <c r="AT1340" s="250"/>
      <c r="AU1340" s="250"/>
      <c r="AV1340" s="124"/>
    </row>
    <row r="1341" spans="2:48" s="475" customFormat="1" x14ac:dyDescent="0.2">
      <c r="B1341" s="250"/>
      <c r="C1341" s="250"/>
      <c r="D1341" s="250"/>
      <c r="E1341" s="250"/>
      <c r="F1341" s="250"/>
      <c r="G1341" s="250"/>
      <c r="H1341" s="250"/>
      <c r="I1341" s="250"/>
      <c r="J1341" s="250"/>
      <c r="K1341" s="250"/>
      <c r="L1341" s="250"/>
      <c r="M1341" s="250"/>
      <c r="N1341" s="250"/>
      <c r="O1341" s="250"/>
      <c r="P1341" s="250"/>
      <c r="Q1341" s="250"/>
      <c r="R1341" s="250"/>
      <c r="S1341" s="250"/>
      <c r="T1341" s="250"/>
      <c r="U1341" s="250"/>
      <c r="V1341" s="250"/>
      <c r="W1341" s="250"/>
      <c r="X1341" s="250"/>
      <c r="Y1341" s="250"/>
      <c r="Z1341" s="250"/>
      <c r="AA1341" s="250"/>
      <c r="AB1341" s="250"/>
      <c r="AC1341" s="250"/>
      <c r="AD1341" s="250"/>
      <c r="AE1341" s="250"/>
      <c r="AF1341" s="250"/>
      <c r="AG1341" s="250"/>
      <c r="AH1341" s="250"/>
      <c r="AI1341" s="250"/>
      <c r="AJ1341" s="250"/>
      <c r="AK1341" s="250"/>
      <c r="AL1341" s="250"/>
      <c r="AM1341" s="250"/>
      <c r="AN1341" s="250"/>
      <c r="AO1341" s="250"/>
      <c r="AP1341" s="250"/>
      <c r="AQ1341" s="250"/>
      <c r="AR1341" s="250"/>
      <c r="AS1341" s="250"/>
      <c r="AT1341" s="250"/>
      <c r="AU1341" s="250"/>
      <c r="AV1341" s="124"/>
    </row>
    <row r="1342" spans="2:48" s="475" customFormat="1" x14ac:dyDescent="0.2">
      <c r="B1342" s="250"/>
      <c r="C1342" s="250"/>
      <c r="D1342" s="250"/>
      <c r="E1342" s="250"/>
      <c r="F1342" s="250"/>
      <c r="G1342" s="250"/>
      <c r="H1342" s="250"/>
      <c r="I1342" s="250"/>
      <c r="J1342" s="250"/>
      <c r="K1342" s="250"/>
      <c r="L1342" s="250"/>
      <c r="M1342" s="250"/>
      <c r="N1342" s="250"/>
      <c r="O1342" s="250"/>
      <c r="P1342" s="250"/>
      <c r="Q1342" s="250"/>
      <c r="R1342" s="250"/>
      <c r="S1342" s="250"/>
      <c r="T1342" s="250"/>
      <c r="U1342" s="250"/>
      <c r="V1342" s="250"/>
      <c r="W1342" s="250"/>
      <c r="X1342" s="250"/>
      <c r="Y1342" s="250"/>
      <c r="Z1342" s="250"/>
      <c r="AA1342" s="250"/>
      <c r="AB1342" s="250"/>
      <c r="AC1342" s="250"/>
      <c r="AD1342" s="250"/>
      <c r="AE1342" s="250"/>
      <c r="AF1342" s="250"/>
      <c r="AG1342" s="250"/>
      <c r="AH1342" s="250"/>
      <c r="AI1342" s="250"/>
      <c r="AJ1342" s="250"/>
      <c r="AK1342" s="250"/>
      <c r="AL1342" s="250"/>
      <c r="AM1342" s="250"/>
      <c r="AN1342" s="250"/>
      <c r="AO1342" s="250"/>
      <c r="AP1342" s="250"/>
      <c r="AQ1342" s="250"/>
      <c r="AR1342" s="250"/>
      <c r="AS1342" s="250"/>
      <c r="AT1342" s="250"/>
      <c r="AU1342" s="250"/>
      <c r="AV1342" s="124"/>
    </row>
    <row r="1343" spans="2:48" s="475" customFormat="1" x14ac:dyDescent="0.2">
      <c r="B1343" s="250"/>
      <c r="C1343" s="250"/>
      <c r="D1343" s="250"/>
      <c r="E1343" s="250"/>
      <c r="F1343" s="250"/>
      <c r="G1343" s="250"/>
      <c r="H1343" s="250"/>
      <c r="I1343" s="250"/>
      <c r="J1343" s="250"/>
      <c r="K1343" s="250"/>
      <c r="L1343" s="250"/>
      <c r="M1343" s="250"/>
      <c r="N1343" s="250"/>
      <c r="O1343" s="250"/>
      <c r="P1343" s="250"/>
      <c r="Q1343" s="250"/>
      <c r="R1343" s="250"/>
      <c r="S1343" s="250"/>
      <c r="T1343" s="250"/>
      <c r="U1343" s="250"/>
      <c r="V1343" s="250"/>
      <c r="W1343" s="250"/>
      <c r="X1343" s="250"/>
      <c r="Y1343" s="250"/>
      <c r="Z1343" s="250"/>
      <c r="AA1343" s="250"/>
      <c r="AB1343" s="250"/>
      <c r="AC1343" s="250"/>
      <c r="AD1343" s="250"/>
      <c r="AE1343" s="250"/>
      <c r="AF1343" s="250"/>
      <c r="AG1343" s="250"/>
      <c r="AH1343" s="250"/>
      <c r="AI1343" s="250"/>
      <c r="AJ1343" s="250"/>
      <c r="AK1343" s="250"/>
      <c r="AL1343" s="250"/>
      <c r="AM1343" s="250"/>
      <c r="AN1343" s="250"/>
      <c r="AO1343" s="250"/>
      <c r="AP1343" s="250"/>
      <c r="AQ1343" s="250"/>
      <c r="AR1343" s="250"/>
      <c r="AS1343" s="250"/>
      <c r="AT1343" s="250"/>
      <c r="AU1343" s="250"/>
      <c r="AV1343" s="124"/>
    </row>
    <row r="1344" spans="2:48" s="475" customFormat="1" x14ac:dyDescent="0.2">
      <c r="B1344" s="250"/>
      <c r="C1344" s="250"/>
      <c r="D1344" s="250"/>
      <c r="E1344" s="250"/>
      <c r="F1344" s="250"/>
      <c r="G1344" s="250"/>
      <c r="H1344" s="250"/>
      <c r="I1344" s="250"/>
      <c r="J1344" s="250"/>
      <c r="K1344" s="250"/>
      <c r="L1344" s="250"/>
      <c r="M1344" s="250"/>
      <c r="N1344" s="250"/>
      <c r="O1344" s="250"/>
      <c r="P1344" s="250"/>
      <c r="Q1344" s="250"/>
      <c r="R1344" s="250"/>
      <c r="S1344" s="250"/>
      <c r="T1344" s="250"/>
      <c r="U1344" s="250"/>
      <c r="V1344" s="250"/>
      <c r="W1344" s="250"/>
      <c r="X1344" s="250"/>
      <c r="Y1344" s="250"/>
      <c r="Z1344" s="250"/>
      <c r="AA1344" s="250"/>
      <c r="AB1344" s="250"/>
      <c r="AC1344" s="250"/>
      <c r="AD1344" s="250"/>
      <c r="AE1344" s="250"/>
      <c r="AF1344" s="250"/>
      <c r="AG1344" s="250"/>
      <c r="AH1344" s="250"/>
      <c r="AI1344" s="250"/>
      <c r="AJ1344" s="250"/>
      <c r="AK1344" s="250"/>
      <c r="AL1344" s="250"/>
      <c r="AM1344" s="250"/>
      <c r="AN1344" s="250"/>
      <c r="AO1344" s="250"/>
      <c r="AP1344" s="250"/>
      <c r="AQ1344" s="250"/>
      <c r="AR1344" s="250"/>
      <c r="AS1344" s="250"/>
      <c r="AT1344" s="250"/>
      <c r="AU1344" s="250"/>
      <c r="AV1344" s="124"/>
    </row>
    <row r="1345" spans="2:48" s="475" customFormat="1" x14ac:dyDescent="0.2">
      <c r="B1345" s="250"/>
      <c r="C1345" s="250"/>
      <c r="D1345" s="250"/>
      <c r="E1345" s="250"/>
      <c r="F1345" s="250"/>
      <c r="G1345" s="250"/>
      <c r="H1345" s="250"/>
      <c r="I1345" s="250"/>
      <c r="J1345" s="250"/>
      <c r="K1345" s="250"/>
      <c r="L1345" s="250"/>
      <c r="M1345" s="250"/>
      <c r="N1345" s="250"/>
      <c r="O1345" s="250"/>
      <c r="P1345" s="250"/>
      <c r="Q1345" s="250"/>
      <c r="R1345" s="250"/>
      <c r="S1345" s="250"/>
      <c r="T1345" s="250"/>
      <c r="U1345" s="250"/>
      <c r="V1345" s="250"/>
      <c r="W1345" s="250"/>
      <c r="X1345" s="250"/>
      <c r="Y1345" s="250"/>
      <c r="Z1345" s="250"/>
      <c r="AA1345" s="250"/>
      <c r="AB1345" s="250"/>
      <c r="AC1345" s="250"/>
      <c r="AD1345" s="250"/>
      <c r="AE1345" s="250"/>
      <c r="AF1345" s="250"/>
      <c r="AG1345" s="250"/>
      <c r="AH1345" s="250"/>
      <c r="AI1345" s="250"/>
      <c r="AJ1345" s="250"/>
      <c r="AK1345" s="250"/>
      <c r="AL1345" s="250"/>
      <c r="AM1345" s="250"/>
      <c r="AN1345" s="250"/>
      <c r="AO1345" s="250"/>
      <c r="AP1345" s="250"/>
      <c r="AQ1345" s="250"/>
      <c r="AR1345" s="250"/>
      <c r="AS1345" s="250"/>
      <c r="AT1345" s="250"/>
      <c r="AU1345" s="250"/>
      <c r="AV1345" s="124"/>
    </row>
    <row r="1346" spans="2:48" s="475" customFormat="1" x14ac:dyDescent="0.2">
      <c r="B1346" s="250"/>
      <c r="C1346" s="250"/>
      <c r="D1346" s="250"/>
      <c r="E1346" s="250"/>
      <c r="F1346" s="250"/>
      <c r="G1346" s="250"/>
      <c r="H1346" s="250"/>
      <c r="I1346" s="250"/>
      <c r="J1346" s="250"/>
      <c r="K1346" s="250"/>
      <c r="L1346" s="250"/>
      <c r="M1346" s="250"/>
      <c r="N1346" s="250"/>
      <c r="O1346" s="250"/>
      <c r="P1346" s="250"/>
      <c r="Q1346" s="250"/>
      <c r="R1346" s="250"/>
      <c r="S1346" s="250"/>
      <c r="T1346" s="250"/>
      <c r="U1346" s="250"/>
      <c r="V1346" s="250"/>
      <c r="W1346" s="250"/>
      <c r="X1346" s="250"/>
      <c r="Y1346" s="250"/>
      <c r="Z1346" s="250"/>
      <c r="AA1346" s="250"/>
      <c r="AB1346" s="250"/>
      <c r="AC1346" s="250"/>
      <c r="AD1346" s="250"/>
      <c r="AE1346" s="250"/>
      <c r="AF1346" s="250"/>
      <c r="AG1346" s="250"/>
      <c r="AH1346" s="250"/>
      <c r="AI1346" s="250"/>
      <c r="AJ1346" s="250"/>
      <c r="AK1346" s="250"/>
      <c r="AL1346" s="250"/>
      <c r="AM1346" s="250"/>
      <c r="AN1346" s="250"/>
      <c r="AO1346" s="250"/>
      <c r="AP1346" s="250"/>
      <c r="AQ1346" s="250"/>
      <c r="AR1346" s="250"/>
      <c r="AS1346" s="250"/>
      <c r="AT1346" s="250"/>
      <c r="AU1346" s="250"/>
      <c r="AV1346" s="124"/>
    </row>
    <row r="1347" spans="2:48" s="475" customFormat="1" x14ac:dyDescent="0.2">
      <c r="B1347" s="250"/>
      <c r="C1347" s="250"/>
      <c r="D1347" s="250"/>
      <c r="E1347" s="250"/>
      <c r="F1347" s="250"/>
      <c r="G1347" s="250"/>
      <c r="H1347" s="250"/>
      <c r="I1347" s="250"/>
      <c r="J1347" s="250"/>
      <c r="K1347" s="250"/>
      <c r="L1347" s="250"/>
      <c r="M1347" s="250"/>
      <c r="N1347" s="250"/>
      <c r="O1347" s="250"/>
      <c r="P1347" s="250"/>
      <c r="Q1347" s="250"/>
      <c r="R1347" s="250"/>
      <c r="S1347" s="250"/>
      <c r="T1347" s="250"/>
      <c r="U1347" s="250"/>
      <c r="V1347" s="250"/>
      <c r="W1347" s="250"/>
      <c r="X1347" s="250"/>
      <c r="Y1347" s="250"/>
      <c r="Z1347" s="250"/>
      <c r="AA1347" s="250"/>
      <c r="AB1347" s="250"/>
      <c r="AC1347" s="250"/>
      <c r="AD1347" s="250"/>
      <c r="AE1347" s="250"/>
      <c r="AF1347" s="250"/>
      <c r="AG1347" s="250"/>
      <c r="AH1347" s="250"/>
      <c r="AI1347" s="250"/>
      <c r="AJ1347" s="250"/>
      <c r="AK1347" s="250"/>
      <c r="AL1347" s="250"/>
      <c r="AM1347" s="250"/>
      <c r="AN1347" s="250"/>
      <c r="AO1347" s="250"/>
      <c r="AP1347" s="250"/>
      <c r="AQ1347" s="250"/>
      <c r="AR1347" s="250"/>
      <c r="AS1347" s="250"/>
      <c r="AT1347" s="250"/>
      <c r="AU1347" s="250"/>
      <c r="AV1347" s="124"/>
    </row>
    <row r="1348" spans="2:48" s="475" customFormat="1" x14ac:dyDescent="0.2">
      <c r="B1348" s="250"/>
      <c r="C1348" s="250"/>
      <c r="D1348" s="250"/>
      <c r="E1348" s="250"/>
      <c r="F1348" s="250"/>
      <c r="G1348" s="250"/>
      <c r="H1348" s="250"/>
      <c r="I1348" s="250"/>
      <c r="J1348" s="250"/>
      <c r="K1348" s="250"/>
      <c r="L1348" s="250"/>
      <c r="M1348" s="250"/>
      <c r="N1348" s="250"/>
      <c r="O1348" s="250"/>
      <c r="P1348" s="250"/>
      <c r="Q1348" s="250"/>
      <c r="R1348" s="250"/>
      <c r="S1348" s="250"/>
      <c r="T1348" s="250"/>
      <c r="U1348" s="250"/>
      <c r="V1348" s="250"/>
      <c r="W1348" s="250"/>
      <c r="X1348" s="250"/>
      <c r="Y1348" s="250"/>
      <c r="Z1348" s="250"/>
      <c r="AA1348" s="250"/>
      <c r="AB1348" s="250"/>
      <c r="AC1348" s="250"/>
      <c r="AD1348" s="250"/>
      <c r="AE1348" s="250"/>
      <c r="AF1348" s="250"/>
      <c r="AG1348" s="250"/>
      <c r="AH1348" s="250"/>
      <c r="AI1348" s="250"/>
      <c r="AJ1348" s="250"/>
      <c r="AK1348" s="250"/>
      <c r="AL1348" s="250"/>
      <c r="AM1348" s="250"/>
      <c r="AN1348" s="250"/>
      <c r="AO1348" s="250"/>
      <c r="AP1348" s="250"/>
      <c r="AQ1348" s="250"/>
      <c r="AR1348" s="250"/>
      <c r="AS1348" s="250"/>
      <c r="AT1348" s="250"/>
      <c r="AU1348" s="250"/>
      <c r="AV1348" s="124"/>
    </row>
    <row r="1349" spans="2:48" s="475" customFormat="1" x14ac:dyDescent="0.2">
      <c r="B1349" s="250"/>
      <c r="C1349" s="250"/>
      <c r="D1349" s="250"/>
      <c r="E1349" s="250"/>
      <c r="F1349" s="250"/>
      <c r="G1349" s="250"/>
      <c r="H1349" s="250"/>
      <c r="I1349" s="250"/>
      <c r="J1349" s="250"/>
      <c r="K1349" s="250"/>
      <c r="L1349" s="250"/>
      <c r="M1349" s="250"/>
      <c r="N1349" s="250"/>
      <c r="O1349" s="250"/>
      <c r="P1349" s="250"/>
      <c r="Q1349" s="250"/>
      <c r="R1349" s="250"/>
      <c r="S1349" s="250"/>
      <c r="T1349" s="250"/>
      <c r="U1349" s="250"/>
      <c r="V1349" s="250"/>
      <c r="W1349" s="250"/>
      <c r="X1349" s="250"/>
      <c r="Y1349" s="250"/>
      <c r="Z1349" s="250"/>
      <c r="AA1349" s="250"/>
      <c r="AB1349" s="250"/>
      <c r="AC1349" s="250"/>
      <c r="AD1349" s="250"/>
      <c r="AE1349" s="250"/>
      <c r="AF1349" s="250"/>
      <c r="AG1349" s="250"/>
      <c r="AH1349" s="250"/>
      <c r="AI1349" s="250"/>
      <c r="AJ1349" s="250"/>
      <c r="AK1349" s="250"/>
      <c r="AL1349" s="250"/>
      <c r="AM1349" s="250"/>
      <c r="AN1349" s="250"/>
      <c r="AO1349" s="250"/>
      <c r="AP1349" s="250"/>
      <c r="AQ1349" s="250"/>
      <c r="AR1349" s="250"/>
      <c r="AS1349" s="250"/>
      <c r="AT1349" s="250"/>
      <c r="AU1349" s="250"/>
      <c r="AV1349" s="124"/>
    </row>
    <row r="1350" spans="2:48" s="475" customFormat="1" x14ac:dyDescent="0.2">
      <c r="B1350" s="250"/>
      <c r="C1350" s="250"/>
      <c r="D1350" s="250"/>
      <c r="E1350" s="250"/>
      <c r="F1350" s="250"/>
      <c r="G1350" s="250"/>
      <c r="H1350" s="250"/>
      <c r="I1350" s="250"/>
      <c r="J1350" s="250"/>
      <c r="K1350" s="250"/>
      <c r="L1350" s="250"/>
      <c r="M1350" s="250"/>
      <c r="N1350" s="250"/>
      <c r="O1350" s="250"/>
      <c r="P1350" s="250"/>
      <c r="Q1350" s="250"/>
      <c r="R1350" s="250"/>
      <c r="S1350" s="250"/>
      <c r="T1350" s="250"/>
      <c r="U1350" s="250"/>
      <c r="V1350" s="250"/>
      <c r="W1350" s="250"/>
      <c r="X1350" s="250"/>
      <c r="Y1350" s="250"/>
      <c r="Z1350" s="250"/>
      <c r="AA1350" s="250"/>
      <c r="AB1350" s="250"/>
      <c r="AC1350" s="250"/>
      <c r="AD1350" s="250"/>
      <c r="AE1350" s="250"/>
      <c r="AF1350" s="250"/>
      <c r="AG1350" s="250"/>
      <c r="AH1350" s="250"/>
      <c r="AI1350" s="250"/>
      <c r="AJ1350" s="250"/>
      <c r="AK1350" s="250"/>
      <c r="AL1350" s="250"/>
      <c r="AM1350" s="250"/>
      <c r="AN1350" s="250"/>
      <c r="AO1350" s="250"/>
      <c r="AP1350" s="250"/>
      <c r="AQ1350" s="250"/>
      <c r="AR1350" s="250"/>
      <c r="AS1350" s="250"/>
      <c r="AT1350" s="250"/>
      <c r="AU1350" s="250"/>
      <c r="AV1350" s="124"/>
    </row>
    <row r="1351" spans="2:48" s="475" customFormat="1" x14ac:dyDescent="0.2">
      <c r="B1351" s="250"/>
      <c r="C1351" s="250"/>
      <c r="D1351" s="250"/>
      <c r="E1351" s="250"/>
      <c r="F1351" s="250"/>
      <c r="G1351" s="250"/>
      <c r="H1351" s="250"/>
      <c r="I1351" s="250"/>
      <c r="J1351" s="250"/>
      <c r="K1351" s="250"/>
      <c r="L1351" s="250"/>
      <c r="M1351" s="250"/>
      <c r="N1351" s="250"/>
      <c r="O1351" s="250"/>
      <c r="P1351" s="250"/>
      <c r="Q1351" s="250"/>
      <c r="R1351" s="250"/>
      <c r="S1351" s="250"/>
      <c r="T1351" s="250"/>
      <c r="U1351" s="250"/>
      <c r="V1351" s="250"/>
      <c r="W1351" s="250"/>
      <c r="X1351" s="250"/>
      <c r="Y1351" s="250"/>
      <c r="Z1351" s="250"/>
      <c r="AA1351" s="250"/>
      <c r="AB1351" s="250"/>
      <c r="AC1351" s="250"/>
      <c r="AD1351" s="250"/>
      <c r="AE1351" s="250"/>
      <c r="AF1351" s="250"/>
      <c r="AG1351" s="250"/>
      <c r="AH1351" s="250"/>
      <c r="AI1351" s="250"/>
      <c r="AJ1351" s="250"/>
      <c r="AK1351" s="250"/>
      <c r="AL1351" s="250"/>
      <c r="AM1351" s="250"/>
      <c r="AN1351" s="250"/>
      <c r="AO1351" s="250"/>
      <c r="AP1351" s="250"/>
      <c r="AQ1351" s="250"/>
      <c r="AR1351" s="250"/>
      <c r="AS1351" s="250"/>
      <c r="AT1351" s="250"/>
      <c r="AU1351" s="250"/>
      <c r="AV1351" s="124"/>
    </row>
    <row r="1352" spans="2:48" s="475" customFormat="1" x14ac:dyDescent="0.2">
      <c r="B1352" s="250"/>
      <c r="C1352" s="250"/>
      <c r="D1352" s="250"/>
      <c r="E1352" s="250"/>
      <c r="F1352" s="250"/>
      <c r="G1352" s="250"/>
      <c r="H1352" s="250"/>
      <c r="I1352" s="250"/>
      <c r="J1352" s="250"/>
      <c r="K1352" s="250"/>
      <c r="L1352" s="250"/>
      <c r="M1352" s="250"/>
      <c r="N1352" s="250"/>
      <c r="O1352" s="250"/>
      <c r="P1352" s="250"/>
      <c r="Q1352" s="250"/>
      <c r="R1352" s="250"/>
      <c r="S1352" s="250"/>
      <c r="T1352" s="250"/>
      <c r="U1352" s="250"/>
      <c r="V1352" s="250"/>
      <c r="W1352" s="250"/>
      <c r="X1352" s="250"/>
      <c r="Y1352" s="250"/>
      <c r="Z1352" s="250"/>
      <c r="AA1352" s="250"/>
      <c r="AB1352" s="250"/>
      <c r="AC1352" s="250"/>
      <c r="AD1352" s="250"/>
      <c r="AE1352" s="250"/>
      <c r="AF1352" s="250"/>
      <c r="AG1352" s="250"/>
      <c r="AH1352" s="250"/>
      <c r="AI1352" s="250"/>
      <c r="AJ1352" s="250"/>
      <c r="AK1352" s="250"/>
      <c r="AL1352" s="250"/>
      <c r="AM1352" s="250"/>
      <c r="AN1352" s="250"/>
      <c r="AO1352" s="250"/>
      <c r="AP1352" s="250"/>
      <c r="AQ1352" s="250"/>
      <c r="AR1352" s="250"/>
      <c r="AS1352" s="250"/>
      <c r="AT1352" s="250"/>
      <c r="AU1352" s="250"/>
      <c r="AV1352" s="124"/>
    </row>
    <row r="1353" spans="2:48" s="475" customFormat="1" x14ac:dyDescent="0.2">
      <c r="B1353" s="250"/>
      <c r="C1353" s="250"/>
      <c r="D1353" s="250"/>
      <c r="E1353" s="250"/>
      <c r="F1353" s="250"/>
      <c r="G1353" s="250"/>
      <c r="H1353" s="250"/>
      <c r="I1353" s="250"/>
      <c r="J1353" s="250"/>
      <c r="K1353" s="250"/>
      <c r="L1353" s="250"/>
      <c r="M1353" s="250"/>
      <c r="N1353" s="250"/>
      <c r="O1353" s="250"/>
      <c r="P1353" s="250"/>
      <c r="Q1353" s="250"/>
      <c r="R1353" s="250"/>
      <c r="S1353" s="250"/>
      <c r="T1353" s="250"/>
      <c r="U1353" s="250"/>
      <c r="V1353" s="250"/>
      <c r="W1353" s="250"/>
      <c r="X1353" s="250"/>
      <c r="Y1353" s="250"/>
      <c r="Z1353" s="250"/>
      <c r="AA1353" s="250"/>
      <c r="AB1353" s="250"/>
      <c r="AC1353" s="250"/>
      <c r="AD1353" s="250"/>
      <c r="AE1353" s="250"/>
      <c r="AF1353" s="250"/>
      <c r="AG1353" s="250"/>
      <c r="AH1353" s="250"/>
      <c r="AI1353" s="250"/>
      <c r="AJ1353" s="250"/>
      <c r="AK1353" s="250"/>
      <c r="AL1353" s="250"/>
      <c r="AM1353" s="250"/>
      <c r="AN1353" s="250"/>
      <c r="AO1353" s="250"/>
      <c r="AP1353" s="250"/>
      <c r="AQ1353" s="250"/>
      <c r="AR1353" s="250"/>
      <c r="AS1353" s="250"/>
      <c r="AT1353" s="250"/>
      <c r="AU1353" s="250"/>
      <c r="AV1353" s="124"/>
    </row>
    <row r="1354" spans="2:48" s="475" customFormat="1" x14ac:dyDescent="0.2">
      <c r="B1354" s="250"/>
      <c r="C1354" s="250"/>
      <c r="D1354" s="250"/>
      <c r="E1354" s="250"/>
      <c r="F1354" s="250"/>
      <c r="G1354" s="250"/>
      <c r="H1354" s="250"/>
      <c r="I1354" s="250"/>
      <c r="J1354" s="250"/>
      <c r="K1354" s="250"/>
      <c r="L1354" s="250"/>
      <c r="M1354" s="250"/>
      <c r="N1354" s="250"/>
      <c r="O1354" s="250"/>
      <c r="P1354" s="250"/>
      <c r="Q1354" s="250"/>
      <c r="R1354" s="250"/>
      <c r="S1354" s="250"/>
      <c r="T1354" s="250"/>
      <c r="U1354" s="250"/>
      <c r="V1354" s="250"/>
      <c r="W1354" s="250"/>
      <c r="X1354" s="250"/>
      <c r="Y1354" s="250"/>
      <c r="Z1354" s="250"/>
      <c r="AA1354" s="250"/>
      <c r="AB1354" s="250"/>
      <c r="AC1354" s="250"/>
      <c r="AD1354" s="250"/>
      <c r="AE1354" s="250"/>
      <c r="AF1354" s="250"/>
      <c r="AG1354" s="250"/>
      <c r="AH1354" s="250"/>
      <c r="AI1354" s="250"/>
      <c r="AJ1354" s="250"/>
      <c r="AK1354" s="250"/>
      <c r="AL1354" s="250"/>
      <c r="AM1354" s="250"/>
      <c r="AN1354" s="250"/>
      <c r="AO1354" s="250"/>
      <c r="AP1354" s="250"/>
      <c r="AQ1354" s="250"/>
      <c r="AR1354" s="250"/>
      <c r="AS1354" s="250"/>
      <c r="AT1354" s="250"/>
      <c r="AU1354" s="250"/>
      <c r="AV1354" s="124"/>
    </row>
    <row r="1355" spans="2:48" s="475" customFormat="1" x14ac:dyDescent="0.2">
      <c r="B1355" s="250"/>
      <c r="C1355" s="250"/>
      <c r="D1355" s="250"/>
      <c r="E1355" s="250"/>
      <c r="F1355" s="250"/>
      <c r="G1355" s="250"/>
      <c r="H1355" s="250"/>
      <c r="I1355" s="250"/>
      <c r="J1355" s="250"/>
      <c r="K1355" s="250"/>
      <c r="L1355" s="250"/>
      <c r="M1355" s="250"/>
      <c r="N1355" s="250"/>
      <c r="O1355" s="250"/>
      <c r="P1355" s="250"/>
      <c r="Q1355" s="250"/>
      <c r="R1355" s="250"/>
      <c r="S1355" s="250"/>
      <c r="T1355" s="250"/>
      <c r="U1355" s="250"/>
      <c r="V1355" s="250"/>
      <c r="W1355" s="250"/>
      <c r="X1355" s="250"/>
      <c r="Y1355" s="250"/>
      <c r="Z1355" s="250"/>
      <c r="AA1355" s="250"/>
      <c r="AB1355" s="250"/>
      <c r="AC1355" s="250"/>
      <c r="AD1355" s="250"/>
      <c r="AE1355" s="250"/>
      <c r="AF1355" s="250"/>
      <c r="AG1355" s="250"/>
      <c r="AH1355" s="250"/>
      <c r="AI1355" s="250"/>
      <c r="AJ1355" s="250"/>
      <c r="AK1355" s="250"/>
      <c r="AL1355" s="250"/>
      <c r="AM1355" s="250"/>
      <c r="AN1355" s="250"/>
      <c r="AO1355" s="250"/>
      <c r="AP1355" s="250"/>
      <c r="AQ1355" s="250"/>
      <c r="AR1355" s="250"/>
      <c r="AS1355" s="250"/>
      <c r="AT1355" s="250"/>
      <c r="AU1355" s="250"/>
      <c r="AV1355" s="124"/>
    </row>
    <row r="1356" spans="2:48" s="475" customFormat="1" x14ac:dyDescent="0.2">
      <c r="B1356" s="250"/>
      <c r="C1356" s="250"/>
      <c r="D1356" s="250"/>
      <c r="E1356" s="250"/>
      <c r="F1356" s="250"/>
      <c r="G1356" s="250"/>
      <c r="H1356" s="250"/>
      <c r="I1356" s="250"/>
      <c r="J1356" s="250"/>
      <c r="K1356" s="250"/>
      <c r="L1356" s="250"/>
      <c r="M1356" s="250"/>
      <c r="N1356" s="250"/>
      <c r="O1356" s="250"/>
      <c r="P1356" s="250"/>
      <c r="Q1356" s="250"/>
      <c r="R1356" s="250"/>
      <c r="S1356" s="250"/>
      <c r="T1356" s="250"/>
      <c r="U1356" s="250"/>
      <c r="V1356" s="250"/>
      <c r="W1356" s="250"/>
      <c r="X1356" s="250"/>
      <c r="Y1356" s="250"/>
      <c r="Z1356" s="250"/>
      <c r="AA1356" s="250"/>
      <c r="AB1356" s="250"/>
      <c r="AC1356" s="250"/>
      <c r="AD1356" s="250"/>
      <c r="AE1356" s="250"/>
      <c r="AF1356" s="250"/>
      <c r="AG1356" s="250"/>
      <c r="AH1356" s="250"/>
      <c r="AI1356" s="250"/>
      <c r="AJ1356" s="250"/>
      <c r="AK1356" s="250"/>
      <c r="AL1356" s="250"/>
      <c r="AM1356" s="250"/>
      <c r="AN1356" s="250"/>
      <c r="AO1356" s="250"/>
      <c r="AP1356" s="250"/>
      <c r="AQ1356" s="250"/>
      <c r="AR1356" s="250"/>
      <c r="AS1356" s="250"/>
      <c r="AT1356" s="250"/>
      <c r="AU1356" s="250"/>
      <c r="AV1356" s="124"/>
    </row>
    <row r="1357" spans="2:48" s="475" customFormat="1" x14ac:dyDescent="0.2">
      <c r="B1357" s="250"/>
      <c r="C1357" s="250"/>
      <c r="D1357" s="250"/>
      <c r="E1357" s="250"/>
      <c r="F1357" s="250"/>
      <c r="G1357" s="250"/>
      <c r="H1357" s="250"/>
      <c r="I1357" s="250"/>
      <c r="J1357" s="250"/>
      <c r="K1357" s="250"/>
      <c r="L1357" s="250"/>
      <c r="M1357" s="250"/>
      <c r="N1357" s="250"/>
      <c r="O1357" s="250"/>
      <c r="P1357" s="250"/>
      <c r="Q1357" s="250"/>
      <c r="R1357" s="250"/>
      <c r="S1357" s="250"/>
      <c r="T1357" s="250"/>
      <c r="U1357" s="250"/>
      <c r="V1357" s="250"/>
      <c r="W1357" s="250"/>
      <c r="X1357" s="250"/>
      <c r="Y1357" s="250"/>
      <c r="Z1357" s="250"/>
      <c r="AA1357" s="250"/>
      <c r="AB1357" s="250"/>
      <c r="AC1357" s="250"/>
      <c r="AD1357" s="250"/>
      <c r="AE1357" s="250"/>
      <c r="AF1357" s="250"/>
      <c r="AG1357" s="250"/>
      <c r="AH1357" s="250"/>
      <c r="AI1357" s="250"/>
      <c r="AJ1357" s="250"/>
      <c r="AK1357" s="250"/>
      <c r="AL1357" s="250"/>
      <c r="AM1357" s="250"/>
      <c r="AN1357" s="250"/>
      <c r="AO1357" s="250"/>
      <c r="AP1357" s="250"/>
      <c r="AQ1357" s="250"/>
      <c r="AR1357" s="250"/>
      <c r="AS1357" s="250"/>
      <c r="AT1357" s="250"/>
      <c r="AU1357" s="250"/>
      <c r="AV1357" s="124"/>
    </row>
    <row r="1358" spans="2:48" s="475" customFormat="1" x14ac:dyDescent="0.2">
      <c r="B1358" s="250"/>
      <c r="C1358" s="250"/>
      <c r="D1358" s="250"/>
      <c r="E1358" s="250"/>
      <c r="F1358" s="250"/>
      <c r="G1358" s="250"/>
      <c r="H1358" s="250"/>
      <c r="I1358" s="250"/>
      <c r="J1358" s="250"/>
      <c r="K1358" s="250"/>
      <c r="L1358" s="250"/>
      <c r="M1358" s="250"/>
      <c r="N1358" s="250"/>
      <c r="O1358" s="250"/>
      <c r="P1358" s="250"/>
      <c r="Q1358" s="250"/>
      <c r="R1358" s="250"/>
      <c r="S1358" s="250"/>
      <c r="T1358" s="250"/>
      <c r="U1358" s="250"/>
      <c r="V1358" s="250"/>
      <c r="W1358" s="250"/>
      <c r="X1358" s="250"/>
      <c r="Y1358" s="250"/>
      <c r="Z1358" s="250"/>
      <c r="AA1358" s="250"/>
      <c r="AB1358" s="250"/>
      <c r="AC1358" s="250"/>
      <c r="AD1358" s="250"/>
      <c r="AE1358" s="250"/>
      <c r="AF1358" s="250"/>
      <c r="AG1358" s="250"/>
      <c r="AH1358" s="250"/>
      <c r="AI1358" s="250"/>
      <c r="AJ1358" s="250"/>
      <c r="AK1358" s="250"/>
      <c r="AL1358" s="250"/>
      <c r="AM1358" s="250"/>
      <c r="AN1358" s="250"/>
      <c r="AO1358" s="250"/>
      <c r="AP1358" s="250"/>
      <c r="AQ1358" s="250"/>
      <c r="AR1358" s="250"/>
      <c r="AS1358" s="250"/>
      <c r="AT1358" s="250"/>
      <c r="AU1358" s="250"/>
      <c r="AV1358" s="124"/>
    </row>
    <row r="1359" spans="2:48" s="475" customFormat="1" x14ac:dyDescent="0.2">
      <c r="B1359" s="250"/>
      <c r="C1359" s="250"/>
      <c r="D1359" s="250"/>
      <c r="E1359" s="250"/>
      <c r="F1359" s="250"/>
      <c r="G1359" s="250"/>
      <c r="H1359" s="250"/>
      <c r="I1359" s="250"/>
      <c r="J1359" s="250"/>
      <c r="K1359" s="250"/>
      <c r="L1359" s="250"/>
      <c r="M1359" s="250"/>
      <c r="N1359" s="250"/>
      <c r="O1359" s="250"/>
      <c r="P1359" s="250"/>
      <c r="Q1359" s="250"/>
      <c r="R1359" s="250"/>
      <c r="S1359" s="250"/>
      <c r="T1359" s="250"/>
      <c r="U1359" s="250"/>
      <c r="V1359" s="250"/>
      <c r="W1359" s="250"/>
      <c r="X1359" s="250"/>
      <c r="Y1359" s="250"/>
      <c r="Z1359" s="250"/>
      <c r="AA1359" s="250"/>
      <c r="AB1359" s="250"/>
      <c r="AC1359" s="250"/>
      <c r="AD1359" s="250"/>
      <c r="AE1359" s="250"/>
      <c r="AF1359" s="250"/>
      <c r="AG1359" s="250"/>
      <c r="AH1359" s="250"/>
      <c r="AI1359" s="250"/>
      <c r="AJ1359" s="250"/>
      <c r="AK1359" s="250"/>
      <c r="AL1359" s="250"/>
      <c r="AM1359" s="250"/>
      <c r="AN1359" s="250"/>
      <c r="AO1359" s="250"/>
      <c r="AP1359" s="250"/>
      <c r="AQ1359" s="250"/>
      <c r="AR1359" s="250"/>
      <c r="AS1359" s="250"/>
      <c r="AT1359" s="250"/>
      <c r="AU1359" s="250"/>
      <c r="AV1359" s="124"/>
    </row>
    <row r="1360" spans="2:48" s="475" customFormat="1" x14ac:dyDescent="0.2">
      <c r="B1360" s="250"/>
      <c r="C1360" s="250"/>
      <c r="D1360" s="250"/>
      <c r="E1360" s="250"/>
      <c r="F1360" s="250"/>
      <c r="G1360" s="250"/>
      <c r="H1360" s="250"/>
      <c r="I1360" s="250"/>
      <c r="J1360" s="250"/>
      <c r="K1360" s="250"/>
      <c r="L1360" s="250"/>
      <c r="M1360" s="250"/>
      <c r="N1360" s="250"/>
      <c r="O1360" s="250"/>
      <c r="P1360" s="250"/>
      <c r="Q1360" s="250"/>
      <c r="R1360" s="250"/>
      <c r="S1360" s="250"/>
      <c r="T1360" s="250"/>
      <c r="U1360" s="250"/>
      <c r="V1360" s="250"/>
      <c r="W1360" s="250"/>
      <c r="X1360" s="250"/>
      <c r="Y1360" s="250"/>
      <c r="Z1360" s="250"/>
      <c r="AA1360" s="250"/>
      <c r="AB1360" s="250"/>
      <c r="AC1360" s="250"/>
      <c r="AD1360" s="250"/>
      <c r="AE1360" s="250"/>
      <c r="AF1360" s="250"/>
      <c r="AG1360" s="250"/>
      <c r="AH1360" s="250"/>
      <c r="AI1360" s="250"/>
      <c r="AJ1360" s="250"/>
      <c r="AK1360" s="250"/>
      <c r="AL1360" s="250"/>
      <c r="AM1360" s="250"/>
      <c r="AN1360" s="250"/>
      <c r="AO1360" s="250"/>
      <c r="AP1360" s="250"/>
      <c r="AQ1360" s="250"/>
      <c r="AR1360" s="250"/>
      <c r="AS1360" s="250"/>
      <c r="AT1360" s="250"/>
      <c r="AU1360" s="250"/>
      <c r="AV1360" s="124"/>
    </row>
    <row r="1361" spans="2:48" s="475" customFormat="1" x14ac:dyDescent="0.2">
      <c r="B1361" s="250"/>
      <c r="C1361" s="250"/>
      <c r="D1361" s="250"/>
      <c r="E1361" s="250"/>
      <c r="F1361" s="250"/>
      <c r="G1361" s="250"/>
      <c r="H1361" s="250"/>
      <c r="I1361" s="250"/>
      <c r="J1361" s="250"/>
      <c r="K1361" s="250"/>
      <c r="L1361" s="250"/>
      <c r="M1361" s="250"/>
      <c r="N1361" s="250"/>
      <c r="O1361" s="250"/>
      <c r="P1361" s="250"/>
      <c r="Q1361" s="250"/>
      <c r="R1361" s="250"/>
      <c r="S1361" s="250"/>
      <c r="T1361" s="250"/>
      <c r="U1361" s="250"/>
      <c r="V1361" s="250"/>
      <c r="W1361" s="250"/>
      <c r="X1361" s="250"/>
      <c r="Y1361" s="250"/>
      <c r="Z1361" s="250"/>
      <c r="AA1361" s="250"/>
      <c r="AB1361" s="250"/>
      <c r="AC1361" s="250"/>
      <c r="AD1361" s="250"/>
      <c r="AE1361" s="250"/>
      <c r="AF1361" s="250"/>
      <c r="AG1361" s="250"/>
      <c r="AH1361" s="250"/>
      <c r="AI1361" s="250"/>
      <c r="AJ1361" s="250"/>
      <c r="AK1361" s="250"/>
      <c r="AL1361" s="250"/>
      <c r="AM1361" s="250"/>
      <c r="AN1361" s="250"/>
      <c r="AO1361" s="250"/>
      <c r="AP1361" s="250"/>
      <c r="AQ1361" s="250"/>
      <c r="AR1361" s="250"/>
      <c r="AS1361" s="250"/>
      <c r="AT1361" s="250"/>
      <c r="AU1361" s="250"/>
      <c r="AV1361" s="124"/>
    </row>
    <row r="1362" spans="2:48" s="475" customFormat="1" x14ac:dyDescent="0.2">
      <c r="B1362" s="250"/>
      <c r="C1362" s="250"/>
      <c r="D1362" s="250"/>
      <c r="E1362" s="250"/>
      <c r="F1362" s="250"/>
      <c r="G1362" s="250"/>
      <c r="H1362" s="250"/>
      <c r="I1362" s="250"/>
      <c r="J1362" s="250"/>
      <c r="K1362" s="250"/>
      <c r="L1362" s="250"/>
      <c r="M1362" s="250"/>
      <c r="N1362" s="250"/>
      <c r="O1362" s="250"/>
      <c r="P1362" s="250"/>
      <c r="Q1362" s="250"/>
      <c r="R1362" s="250"/>
      <c r="S1362" s="250"/>
      <c r="T1362" s="250"/>
      <c r="U1362" s="250"/>
      <c r="V1362" s="250"/>
      <c r="W1362" s="250"/>
      <c r="X1362" s="250"/>
      <c r="Y1362" s="250"/>
      <c r="Z1362" s="250"/>
      <c r="AA1362" s="250"/>
      <c r="AB1362" s="250"/>
      <c r="AC1362" s="250"/>
      <c r="AD1362" s="250"/>
      <c r="AE1362" s="250"/>
      <c r="AF1362" s="250"/>
      <c r="AG1362" s="250"/>
      <c r="AH1362" s="250"/>
      <c r="AI1362" s="250"/>
      <c r="AJ1362" s="250"/>
      <c r="AK1362" s="250"/>
      <c r="AL1362" s="250"/>
      <c r="AM1362" s="250"/>
      <c r="AN1362" s="250"/>
      <c r="AO1362" s="250"/>
      <c r="AP1362" s="250"/>
      <c r="AQ1362" s="250"/>
      <c r="AR1362" s="250"/>
      <c r="AS1362" s="250"/>
      <c r="AT1362" s="250"/>
      <c r="AU1362" s="250"/>
      <c r="AV1362" s="124"/>
    </row>
    <row r="1363" spans="2:48" s="475" customFormat="1" x14ac:dyDescent="0.2">
      <c r="B1363" s="250"/>
      <c r="C1363" s="250"/>
      <c r="D1363" s="250"/>
      <c r="E1363" s="250"/>
      <c r="F1363" s="250"/>
      <c r="G1363" s="250"/>
      <c r="H1363" s="250"/>
      <c r="I1363" s="250"/>
      <c r="J1363" s="250"/>
      <c r="K1363" s="250"/>
      <c r="L1363" s="250"/>
      <c r="M1363" s="250"/>
      <c r="N1363" s="250"/>
      <c r="O1363" s="250"/>
      <c r="P1363" s="250"/>
      <c r="Q1363" s="250"/>
      <c r="R1363" s="250"/>
      <c r="S1363" s="250"/>
      <c r="T1363" s="250"/>
      <c r="U1363" s="250"/>
      <c r="V1363" s="250"/>
      <c r="W1363" s="250"/>
      <c r="X1363" s="250"/>
      <c r="Y1363" s="250"/>
      <c r="Z1363" s="250"/>
      <c r="AA1363" s="250"/>
      <c r="AB1363" s="250"/>
      <c r="AC1363" s="250"/>
      <c r="AD1363" s="250"/>
      <c r="AE1363" s="250"/>
      <c r="AF1363" s="250"/>
      <c r="AG1363" s="250"/>
      <c r="AH1363" s="250"/>
      <c r="AI1363" s="250"/>
      <c r="AJ1363" s="250"/>
      <c r="AK1363" s="250"/>
      <c r="AL1363" s="250"/>
      <c r="AM1363" s="250"/>
      <c r="AN1363" s="250"/>
      <c r="AO1363" s="250"/>
      <c r="AP1363" s="250"/>
      <c r="AQ1363" s="250"/>
      <c r="AR1363" s="250"/>
      <c r="AS1363" s="250"/>
      <c r="AT1363" s="250"/>
      <c r="AU1363" s="250"/>
      <c r="AV1363" s="124"/>
    </row>
    <row r="1364" spans="2:48" s="475" customFormat="1" x14ac:dyDescent="0.2">
      <c r="B1364" s="250"/>
      <c r="C1364" s="250"/>
      <c r="D1364" s="250"/>
      <c r="E1364" s="250"/>
      <c r="F1364" s="250"/>
      <c r="G1364" s="250"/>
      <c r="H1364" s="250"/>
      <c r="I1364" s="250"/>
      <c r="J1364" s="250"/>
      <c r="K1364" s="250"/>
      <c r="L1364" s="250"/>
      <c r="M1364" s="250"/>
      <c r="N1364" s="250"/>
      <c r="O1364" s="250"/>
      <c r="P1364" s="250"/>
      <c r="Q1364" s="250"/>
      <c r="R1364" s="250"/>
      <c r="S1364" s="250"/>
      <c r="T1364" s="250"/>
      <c r="U1364" s="250"/>
      <c r="V1364" s="250"/>
      <c r="W1364" s="250"/>
      <c r="X1364" s="250"/>
      <c r="Y1364" s="250"/>
      <c r="Z1364" s="250"/>
      <c r="AA1364" s="250"/>
      <c r="AB1364" s="250"/>
      <c r="AC1364" s="250"/>
      <c r="AD1364" s="250"/>
      <c r="AE1364" s="250"/>
      <c r="AF1364" s="250"/>
      <c r="AG1364" s="250"/>
      <c r="AH1364" s="250"/>
      <c r="AI1364" s="250"/>
      <c r="AJ1364" s="250"/>
      <c r="AK1364" s="250"/>
      <c r="AL1364" s="250"/>
      <c r="AM1364" s="250"/>
      <c r="AN1364" s="250"/>
      <c r="AO1364" s="250"/>
      <c r="AP1364" s="250"/>
      <c r="AQ1364" s="250"/>
      <c r="AR1364" s="250"/>
      <c r="AS1364" s="250"/>
      <c r="AT1364" s="250"/>
      <c r="AU1364" s="250"/>
      <c r="AV1364" s="124"/>
    </row>
    <row r="1365" spans="2:48" s="475" customFormat="1" x14ac:dyDescent="0.2">
      <c r="B1365" s="250"/>
      <c r="C1365" s="250"/>
      <c r="D1365" s="250"/>
      <c r="E1365" s="250"/>
      <c r="F1365" s="250"/>
      <c r="G1365" s="250"/>
      <c r="H1365" s="250"/>
      <c r="I1365" s="250"/>
      <c r="J1365" s="250"/>
      <c r="K1365" s="250"/>
      <c r="L1365" s="250"/>
      <c r="M1365" s="250"/>
      <c r="N1365" s="250"/>
      <c r="O1365" s="250"/>
      <c r="P1365" s="250"/>
      <c r="Q1365" s="250"/>
      <c r="R1365" s="250"/>
      <c r="S1365" s="250"/>
      <c r="T1365" s="250"/>
      <c r="U1365" s="250"/>
      <c r="V1365" s="250"/>
      <c r="W1365" s="250"/>
      <c r="X1365" s="250"/>
      <c r="Y1365" s="250"/>
      <c r="Z1365" s="250"/>
      <c r="AA1365" s="250"/>
      <c r="AB1365" s="250"/>
      <c r="AC1365" s="250"/>
      <c r="AD1365" s="250"/>
      <c r="AE1365" s="250"/>
      <c r="AF1365" s="250"/>
      <c r="AG1365" s="250"/>
      <c r="AH1365" s="250"/>
      <c r="AI1365" s="250"/>
      <c r="AJ1365" s="250"/>
      <c r="AK1365" s="250"/>
      <c r="AL1365" s="250"/>
      <c r="AM1365" s="250"/>
      <c r="AN1365" s="250"/>
      <c r="AO1365" s="250"/>
      <c r="AP1365" s="250"/>
      <c r="AQ1365" s="250"/>
      <c r="AR1365" s="250"/>
      <c r="AS1365" s="250"/>
      <c r="AT1365" s="250"/>
      <c r="AU1365" s="250"/>
      <c r="AV1365" s="124"/>
    </row>
    <row r="1366" spans="2:48" s="475" customFormat="1" x14ac:dyDescent="0.2">
      <c r="B1366" s="250"/>
      <c r="C1366" s="250"/>
      <c r="D1366" s="250"/>
      <c r="E1366" s="250"/>
      <c r="F1366" s="250"/>
      <c r="G1366" s="250"/>
      <c r="H1366" s="250"/>
      <c r="I1366" s="250"/>
      <c r="J1366" s="250"/>
      <c r="K1366" s="250"/>
      <c r="L1366" s="250"/>
      <c r="M1366" s="250"/>
      <c r="N1366" s="250"/>
      <c r="O1366" s="250"/>
      <c r="P1366" s="250"/>
      <c r="Q1366" s="250"/>
      <c r="R1366" s="250"/>
      <c r="S1366" s="250"/>
      <c r="T1366" s="250"/>
      <c r="U1366" s="250"/>
      <c r="V1366" s="250"/>
      <c r="W1366" s="250"/>
      <c r="X1366" s="250"/>
      <c r="Y1366" s="250"/>
      <c r="Z1366" s="250"/>
      <c r="AA1366" s="250"/>
      <c r="AB1366" s="250"/>
      <c r="AC1366" s="250"/>
      <c r="AD1366" s="250"/>
      <c r="AE1366" s="250"/>
      <c r="AF1366" s="250"/>
      <c r="AG1366" s="250"/>
      <c r="AH1366" s="250"/>
      <c r="AI1366" s="250"/>
      <c r="AJ1366" s="250"/>
      <c r="AK1366" s="250"/>
      <c r="AL1366" s="250"/>
      <c r="AM1366" s="250"/>
      <c r="AN1366" s="250"/>
      <c r="AO1366" s="250"/>
      <c r="AP1366" s="250"/>
      <c r="AQ1366" s="250"/>
      <c r="AR1366" s="250"/>
      <c r="AS1366" s="250"/>
      <c r="AT1366" s="250"/>
      <c r="AU1366" s="250"/>
      <c r="AV1366" s="124"/>
    </row>
    <row r="1367" spans="2:48" s="475" customFormat="1" x14ac:dyDescent="0.2">
      <c r="B1367" s="250"/>
      <c r="C1367" s="250"/>
      <c r="D1367" s="250"/>
      <c r="E1367" s="250"/>
      <c r="F1367" s="250"/>
      <c r="G1367" s="250"/>
      <c r="H1367" s="250"/>
      <c r="I1367" s="250"/>
      <c r="J1367" s="250"/>
      <c r="K1367" s="250"/>
      <c r="L1367" s="250"/>
      <c r="M1367" s="250"/>
      <c r="N1367" s="250"/>
      <c r="O1367" s="250"/>
      <c r="P1367" s="250"/>
      <c r="Q1367" s="250"/>
      <c r="R1367" s="250"/>
      <c r="S1367" s="250"/>
      <c r="T1367" s="250"/>
      <c r="U1367" s="250"/>
      <c r="V1367" s="250"/>
      <c r="W1367" s="250"/>
      <c r="X1367" s="250"/>
      <c r="Y1367" s="250"/>
      <c r="Z1367" s="250"/>
      <c r="AA1367" s="250"/>
      <c r="AB1367" s="250"/>
      <c r="AC1367" s="250"/>
      <c r="AD1367" s="250"/>
      <c r="AE1367" s="250"/>
      <c r="AF1367" s="250"/>
      <c r="AG1367" s="250"/>
      <c r="AH1367" s="250"/>
      <c r="AI1367" s="250"/>
      <c r="AJ1367" s="250"/>
      <c r="AK1367" s="250"/>
      <c r="AL1367" s="250"/>
      <c r="AM1367" s="250"/>
      <c r="AN1367" s="250"/>
      <c r="AO1367" s="250"/>
      <c r="AP1367" s="250"/>
      <c r="AQ1367" s="250"/>
      <c r="AR1367" s="250"/>
      <c r="AS1367" s="250"/>
      <c r="AT1367" s="250"/>
      <c r="AU1367" s="250"/>
      <c r="AV1367" s="124"/>
    </row>
    <row r="1368" spans="2:48" s="475" customFormat="1" x14ac:dyDescent="0.2">
      <c r="B1368" s="250"/>
      <c r="C1368" s="250"/>
      <c r="D1368" s="250"/>
      <c r="E1368" s="250"/>
      <c r="F1368" s="250"/>
      <c r="G1368" s="250"/>
      <c r="H1368" s="250"/>
      <c r="I1368" s="250"/>
      <c r="J1368" s="250"/>
      <c r="K1368" s="250"/>
      <c r="L1368" s="250"/>
      <c r="M1368" s="250"/>
      <c r="N1368" s="250"/>
      <c r="O1368" s="250"/>
      <c r="P1368" s="250"/>
      <c r="Q1368" s="250"/>
      <c r="R1368" s="250"/>
      <c r="S1368" s="250"/>
      <c r="T1368" s="250"/>
      <c r="U1368" s="250"/>
      <c r="V1368" s="250"/>
      <c r="W1368" s="250"/>
      <c r="X1368" s="250"/>
      <c r="Y1368" s="250"/>
      <c r="Z1368" s="250"/>
      <c r="AA1368" s="250"/>
      <c r="AB1368" s="250"/>
      <c r="AC1368" s="250"/>
      <c r="AD1368" s="250"/>
      <c r="AE1368" s="250"/>
      <c r="AF1368" s="250"/>
      <c r="AG1368" s="250"/>
      <c r="AH1368" s="250"/>
      <c r="AI1368" s="250"/>
      <c r="AJ1368" s="250"/>
      <c r="AK1368" s="250"/>
      <c r="AL1368" s="250"/>
      <c r="AM1368" s="250"/>
      <c r="AN1368" s="250"/>
      <c r="AO1368" s="250"/>
      <c r="AP1368" s="250"/>
      <c r="AQ1368" s="250"/>
      <c r="AR1368" s="250"/>
      <c r="AS1368" s="250"/>
      <c r="AT1368" s="250"/>
      <c r="AU1368" s="250"/>
      <c r="AV1368" s="124"/>
    </row>
    <row r="1369" spans="2:48" s="475" customFormat="1" x14ac:dyDescent="0.2">
      <c r="B1369" s="250"/>
      <c r="C1369" s="250"/>
      <c r="D1369" s="250"/>
      <c r="E1369" s="250"/>
      <c r="F1369" s="250"/>
      <c r="G1369" s="250"/>
      <c r="H1369" s="250"/>
      <c r="I1369" s="250"/>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c r="AN1369" s="250"/>
      <c r="AO1369" s="250"/>
      <c r="AP1369" s="250"/>
      <c r="AQ1369" s="250"/>
      <c r="AR1369" s="250"/>
      <c r="AS1369" s="250"/>
      <c r="AT1369" s="250"/>
      <c r="AU1369" s="250"/>
      <c r="AV1369" s="124"/>
    </row>
    <row r="1370" spans="2:48" s="475" customFormat="1" x14ac:dyDescent="0.2">
      <c r="B1370" s="250"/>
      <c r="C1370" s="250"/>
      <c r="D1370" s="250"/>
      <c r="E1370" s="250"/>
      <c r="F1370" s="250"/>
      <c r="G1370" s="250"/>
      <c r="H1370" s="250"/>
      <c r="I1370" s="250"/>
      <c r="J1370" s="250"/>
      <c r="K1370" s="250"/>
      <c r="L1370" s="250"/>
      <c r="M1370" s="250"/>
      <c r="N1370" s="250"/>
      <c r="O1370" s="250"/>
      <c r="P1370" s="250"/>
      <c r="Q1370" s="250"/>
      <c r="R1370" s="250"/>
      <c r="S1370" s="250"/>
      <c r="T1370" s="250"/>
      <c r="U1370" s="250"/>
      <c r="V1370" s="250"/>
      <c r="W1370" s="250"/>
      <c r="X1370" s="250"/>
      <c r="Y1370" s="250"/>
      <c r="Z1370" s="250"/>
      <c r="AA1370" s="250"/>
      <c r="AB1370" s="250"/>
      <c r="AC1370" s="250"/>
      <c r="AD1370" s="250"/>
      <c r="AE1370" s="250"/>
      <c r="AF1370" s="250"/>
      <c r="AG1370" s="250"/>
      <c r="AH1370" s="250"/>
      <c r="AI1370" s="250"/>
      <c r="AJ1370" s="250"/>
      <c r="AK1370" s="250"/>
      <c r="AL1370" s="250"/>
      <c r="AM1370" s="250"/>
      <c r="AN1370" s="250"/>
      <c r="AO1370" s="250"/>
      <c r="AP1370" s="250"/>
      <c r="AQ1370" s="250"/>
      <c r="AR1370" s="250"/>
      <c r="AS1370" s="250"/>
      <c r="AT1370" s="250"/>
      <c r="AU1370" s="250"/>
      <c r="AV1370" s="124"/>
    </row>
    <row r="1371" spans="2:48" s="475" customFormat="1" x14ac:dyDescent="0.2">
      <c r="B1371" s="250"/>
      <c r="C1371" s="250"/>
      <c r="D1371" s="250"/>
      <c r="E1371" s="250"/>
      <c r="F1371" s="250"/>
      <c r="G1371" s="250"/>
      <c r="H1371" s="250"/>
      <c r="I1371" s="250"/>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c r="AN1371" s="250"/>
      <c r="AO1371" s="250"/>
      <c r="AP1371" s="250"/>
      <c r="AQ1371" s="250"/>
      <c r="AR1371" s="250"/>
      <c r="AS1371" s="250"/>
      <c r="AT1371" s="250"/>
      <c r="AU1371" s="250"/>
      <c r="AV1371" s="124"/>
    </row>
    <row r="1372" spans="2:48" s="475" customFormat="1" x14ac:dyDescent="0.2">
      <c r="B1372" s="250"/>
      <c r="C1372" s="250"/>
      <c r="D1372" s="250"/>
      <c r="E1372" s="250"/>
      <c r="F1372" s="250"/>
      <c r="G1372" s="250"/>
      <c r="H1372" s="250"/>
      <c r="I1372" s="250"/>
      <c r="J1372" s="250"/>
      <c r="K1372" s="250"/>
      <c r="L1372" s="250"/>
      <c r="M1372" s="250"/>
      <c r="N1372" s="250"/>
      <c r="O1372" s="250"/>
      <c r="P1372" s="250"/>
      <c r="Q1372" s="250"/>
      <c r="R1372" s="250"/>
      <c r="S1372" s="250"/>
      <c r="T1372" s="250"/>
      <c r="U1372" s="250"/>
      <c r="V1372" s="250"/>
      <c r="W1372" s="250"/>
      <c r="X1372" s="250"/>
      <c r="Y1372" s="250"/>
      <c r="Z1372" s="250"/>
      <c r="AA1372" s="250"/>
      <c r="AB1372" s="250"/>
      <c r="AC1372" s="250"/>
      <c r="AD1372" s="250"/>
      <c r="AE1372" s="250"/>
      <c r="AF1372" s="250"/>
      <c r="AG1372" s="250"/>
      <c r="AH1372" s="250"/>
      <c r="AI1372" s="250"/>
      <c r="AJ1372" s="250"/>
      <c r="AK1372" s="250"/>
      <c r="AL1372" s="250"/>
      <c r="AM1372" s="250"/>
      <c r="AN1372" s="250"/>
      <c r="AO1372" s="250"/>
      <c r="AP1372" s="250"/>
      <c r="AQ1372" s="250"/>
      <c r="AR1372" s="250"/>
      <c r="AS1372" s="250"/>
      <c r="AT1372" s="250"/>
      <c r="AU1372" s="250"/>
      <c r="AV1372" s="124"/>
    </row>
    <row r="1373" spans="2:48" s="475" customFormat="1" x14ac:dyDescent="0.2">
      <c r="B1373" s="250"/>
      <c r="C1373" s="250"/>
      <c r="D1373" s="250"/>
      <c r="E1373" s="250"/>
      <c r="F1373" s="250"/>
      <c r="G1373" s="250"/>
      <c r="H1373" s="250"/>
      <c r="I1373" s="250"/>
      <c r="J1373" s="250"/>
      <c r="K1373" s="250"/>
      <c r="L1373" s="250"/>
      <c r="M1373" s="250"/>
      <c r="N1373" s="250"/>
      <c r="O1373" s="250"/>
      <c r="P1373" s="250"/>
      <c r="Q1373" s="250"/>
      <c r="R1373" s="250"/>
      <c r="S1373" s="250"/>
      <c r="T1373" s="250"/>
      <c r="U1373" s="250"/>
      <c r="V1373" s="250"/>
      <c r="W1373" s="250"/>
      <c r="X1373" s="250"/>
      <c r="Y1373" s="250"/>
      <c r="Z1373" s="250"/>
      <c r="AA1373" s="250"/>
      <c r="AB1373" s="250"/>
      <c r="AC1373" s="250"/>
      <c r="AD1373" s="250"/>
      <c r="AE1373" s="250"/>
      <c r="AF1373" s="250"/>
      <c r="AG1373" s="250"/>
      <c r="AH1373" s="250"/>
      <c r="AI1373" s="250"/>
      <c r="AJ1373" s="250"/>
      <c r="AK1373" s="250"/>
      <c r="AL1373" s="250"/>
      <c r="AM1373" s="250"/>
      <c r="AN1373" s="250"/>
      <c r="AO1373" s="250"/>
      <c r="AP1373" s="250"/>
      <c r="AQ1373" s="250"/>
      <c r="AR1373" s="250"/>
      <c r="AS1373" s="250"/>
      <c r="AT1373" s="250"/>
      <c r="AU1373" s="250"/>
      <c r="AV1373" s="124"/>
    </row>
    <row r="1374" spans="2:48" s="475" customFormat="1" x14ac:dyDescent="0.2">
      <c r="B1374" s="250"/>
      <c r="C1374" s="250"/>
      <c r="D1374" s="250"/>
      <c r="E1374" s="250"/>
      <c r="F1374" s="250"/>
      <c r="G1374" s="250"/>
      <c r="H1374" s="250"/>
      <c r="I1374" s="250"/>
      <c r="J1374" s="250"/>
      <c r="K1374" s="250"/>
      <c r="L1374" s="250"/>
      <c r="M1374" s="250"/>
      <c r="N1374" s="250"/>
      <c r="O1374" s="250"/>
      <c r="P1374" s="250"/>
      <c r="Q1374" s="250"/>
      <c r="R1374" s="250"/>
      <c r="S1374" s="250"/>
      <c r="T1374" s="250"/>
      <c r="U1374" s="250"/>
      <c r="V1374" s="250"/>
      <c r="W1374" s="250"/>
      <c r="X1374" s="250"/>
      <c r="Y1374" s="250"/>
      <c r="Z1374" s="250"/>
      <c r="AA1374" s="250"/>
      <c r="AB1374" s="250"/>
      <c r="AC1374" s="250"/>
      <c r="AD1374" s="250"/>
      <c r="AE1374" s="250"/>
      <c r="AF1374" s="250"/>
      <c r="AG1374" s="250"/>
      <c r="AH1374" s="250"/>
      <c r="AI1374" s="250"/>
      <c r="AJ1374" s="250"/>
      <c r="AK1374" s="250"/>
      <c r="AL1374" s="250"/>
      <c r="AM1374" s="250"/>
      <c r="AN1374" s="250"/>
      <c r="AO1374" s="250"/>
      <c r="AP1374" s="250"/>
      <c r="AQ1374" s="250"/>
      <c r="AR1374" s="250"/>
      <c r="AS1374" s="250"/>
      <c r="AT1374" s="250"/>
      <c r="AU1374" s="250"/>
      <c r="AV1374" s="124"/>
    </row>
    <row r="1375" spans="2:48" s="475" customFormat="1" x14ac:dyDescent="0.2">
      <c r="B1375" s="250"/>
      <c r="C1375" s="250"/>
      <c r="D1375" s="250"/>
      <c r="E1375" s="250"/>
      <c r="F1375" s="250"/>
      <c r="G1375" s="250"/>
      <c r="H1375" s="250"/>
      <c r="I1375" s="250"/>
      <c r="J1375" s="250"/>
      <c r="K1375" s="250"/>
      <c r="L1375" s="250"/>
      <c r="M1375" s="250"/>
      <c r="N1375" s="250"/>
      <c r="O1375" s="250"/>
      <c r="P1375" s="250"/>
      <c r="Q1375" s="250"/>
      <c r="R1375" s="250"/>
      <c r="S1375" s="250"/>
      <c r="T1375" s="250"/>
      <c r="U1375" s="250"/>
      <c r="V1375" s="250"/>
      <c r="W1375" s="250"/>
      <c r="X1375" s="250"/>
      <c r="Y1375" s="250"/>
      <c r="Z1375" s="250"/>
      <c r="AA1375" s="250"/>
      <c r="AB1375" s="250"/>
      <c r="AC1375" s="250"/>
      <c r="AD1375" s="250"/>
      <c r="AE1375" s="250"/>
      <c r="AF1375" s="250"/>
      <c r="AG1375" s="250"/>
      <c r="AH1375" s="250"/>
      <c r="AI1375" s="250"/>
      <c r="AJ1375" s="250"/>
      <c r="AK1375" s="250"/>
      <c r="AL1375" s="250"/>
      <c r="AM1375" s="250"/>
      <c r="AN1375" s="250"/>
      <c r="AO1375" s="250"/>
      <c r="AP1375" s="250"/>
      <c r="AQ1375" s="250"/>
      <c r="AR1375" s="250"/>
      <c r="AS1375" s="250"/>
      <c r="AT1375" s="250"/>
      <c r="AU1375" s="250"/>
      <c r="AV1375" s="124"/>
    </row>
    <row r="1376" spans="2:48" s="475" customFormat="1" x14ac:dyDescent="0.2">
      <c r="B1376" s="250"/>
      <c r="C1376" s="250"/>
      <c r="D1376" s="250"/>
      <c r="E1376" s="250"/>
      <c r="F1376" s="250"/>
      <c r="G1376" s="250"/>
      <c r="H1376" s="250"/>
      <c r="I1376" s="250"/>
      <c r="J1376" s="250"/>
      <c r="K1376" s="250"/>
      <c r="L1376" s="250"/>
      <c r="M1376" s="250"/>
      <c r="N1376" s="250"/>
      <c r="O1376" s="250"/>
      <c r="P1376" s="250"/>
      <c r="Q1376" s="250"/>
      <c r="R1376" s="250"/>
      <c r="S1376" s="250"/>
      <c r="T1376" s="250"/>
      <c r="U1376" s="250"/>
      <c r="V1376" s="250"/>
      <c r="W1376" s="250"/>
      <c r="X1376" s="250"/>
      <c r="Y1376" s="250"/>
      <c r="Z1376" s="250"/>
      <c r="AA1376" s="250"/>
      <c r="AB1376" s="250"/>
      <c r="AC1376" s="250"/>
      <c r="AD1376" s="250"/>
      <c r="AE1376" s="250"/>
      <c r="AF1376" s="250"/>
      <c r="AG1376" s="250"/>
      <c r="AH1376" s="250"/>
      <c r="AI1376" s="250"/>
      <c r="AJ1376" s="250"/>
      <c r="AK1376" s="250"/>
      <c r="AL1376" s="250"/>
      <c r="AM1376" s="250"/>
      <c r="AN1376" s="250"/>
      <c r="AO1376" s="250"/>
      <c r="AP1376" s="250"/>
      <c r="AQ1376" s="250"/>
      <c r="AR1376" s="250"/>
      <c r="AS1376" s="250"/>
      <c r="AT1376" s="250"/>
      <c r="AU1376" s="250"/>
      <c r="AV1376" s="124"/>
    </row>
    <row r="1377" spans="2:48" s="475" customFormat="1" x14ac:dyDescent="0.2">
      <c r="B1377" s="250"/>
      <c r="C1377" s="250"/>
      <c r="D1377" s="250"/>
      <c r="E1377" s="250"/>
      <c r="F1377" s="250"/>
      <c r="G1377" s="250"/>
      <c r="H1377" s="250"/>
      <c r="I1377" s="250"/>
      <c r="J1377" s="250"/>
      <c r="K1377" s="250"/>
      <c r="L1377" s="250"/>
      <c r="M1377" s="250"/>
      <c r="N1377" s="250"/>
      <c r="O1377" s="250"/>
      <c r="P1377" s="250"/>
      <c r="Q1377" s="250"/>
      <c r="R1377" s="250"/>
      <c r="S1377" s="250"/>
      <c r="T1377" s="250"/>
      <c r="U1377" s="250"/>
      <c r="V1377" s="250"/>
      <c r="W1377" s="250"/>
      <c r="X1377" s="250"/>
      <c r="Y1377" s="250"/>
      <c r="Z1377" s="250"/>
      <c r="AA1377" s="250"/>
      <c r="AB1377" s="250"/>
      <c r="AC1377" s="250"/>
      <c r="AD1377" s="250"/>
      <c r="AE1377" s="250"/>
      <c r="AF1377" s="250"/>
      <c r="AG1377" s="250"/>
      <c r="AH1377" s="250"/>
      <c r="AI1377" s="250"/>
      <c r="AJ1377" s="250"/>
      <c r="AK1377" s="250"/>
      <c r="AL1377" s="250"/>
      <c r="AM1377" s="250"/>
      <c r="AN1377" s="250"/>
      <c r="AO1377" s="250"/>
      <c r="AP1377" s="250"/>
      <c r="AQ1377" s="250"/>
      <c r="AR1377" s="250"/>
      <c r="AS1377" s="250"/>
      <c r="AT1377" s="250"/>
      <c r="AU1377" s="250"/>
      <c r="AV1377" s="124"/>
    </row>
    <row r="1378" spans="2:48" s="475" customFormat="1" x14ac:dyDescent="0.2">
      <c r="B1378" s="250"/>
      <c r="C1378" s="250"/>
      <c r="D1378" s="250"/>
      <c r="E1378" s="250"/>
      <c r="F1378" s="250"/>
      <c r="G1378" s="250"/>
      <c r="H1378" s="250"/>
      <c r="I1378" s="250"/>
      <c r="J1378" s="250"/>
      <c r="K1378" s="250"/>
      <c r="L1378" s="250"/>
      <c r="M1378" s="250"/>
      <c r="N1378" s="250"/>
      <c r="O1378" s="250"/>
      <c r="P1378" s="250"/>
      <c r="Q1378" s="250"/>
      <c r="R1378" s="250"/>
      <c r="S1378" s="250"/>
      <c r="T1378" s="250"/>
      <c r="U1378" s="250"/>
      <c r="V1378" s="250"/>
      <c r="W1378" s="250"/>
      <c r="X1378" s="250"/>
      <c r="Y1378" s="250"/>
      <c r="Z1378" s="250"/>
      <c r="AA1378" s="250"/>
      <c r="AB1378" s="250"/>
      <c r="AC1378" s="250"/>
      <c r="AD1378" s="250"/>
      <c r="AE1378" s="250"/>
      <c r="AF1378" s="250"/>
      <c r="AG1378" s="250"/>
      <c r="AH1378" s="250"/>
      <c r="AI1378" s="250"/>
      <c r="AJ1378" s="250"/>
      <c r="AK1378" s="250"/>
      <c r="AL1378" s="250"/>
      <c r="AM1378" s="250"/>
      <c r="AN1378" s="250"/>
      <c r="AO1378" s="250"/>
      <c r="AP1378" s="250"/>
      <c r="AQ1378" s="250"/>
      <c r="AR1378" s="250"/>
      <c r="AS1378" s="250"/>
      <c r="AT1378" s="250"/>
      <c r="AU1378" s="250"/>
      <c r="AV1378" s="124"/>
    </row>
    <row r="1379" spans="2:48" s="475" customFormat="1" x14ac:dyDescent="0.2">
      <c r="B1379" s="250"/>
      <c r="C1379" s="250"/>
      <c r="D1379" s="250"/>
      <c r="E1379" s="250"/>
      <c r="F1379" s="250"/>
      <c r="G1379" s="250"/>
      <c r="H1379" s="250"/>
      <c r="I1379" s="250"/>
      <c r="J1379" s="250"/>
      <c r="K1379" s="250"/>
      <c r="L1379" s="250"/>
      <c r="M1379" s="250"/>
      <c r="N1379" s="250"/>
      <c r="O1379" s="250"/>
      <c r="P1379" s="250"/>
      <c r="Q1379" s="250"/>
      <c r="R1379" s="250"/>
      <c r="S1379" s="250"/>
      <c r="T1379" s="250"/>
      <c r="U1379" s="250"/>
      <c r="V1379" s="250"/>
      <c r="W1379" s="250"/>
      <c r="X1379" s="250"/>
      <c r="Y1379" s="250"/>
      <c r="Z1379" s="250"/>
      <c r="AA1379" s="250"/>
      <c r="AB1379" s="250"/>
      <c r="AC1379" s="250"/>
      <c r="AD1379" s="250"/>
      <c r="AE1379" s="250"/>
      <c r="AF1379" s="250"/>
      <c r="AG1379" s="250"/>
      <c r="AH1379" s="250"/>
      <c r="AI1379" s="250"/>
      <c r="AJ1379" s="250"/>
      <c r="AK1379" s="250"/>
      <c r="AL1379" s="250"/>
      <c r="AM1379" s="250"/>
      <c r="AN1379" s="250"/>
      <c r="AO1379" s="250"/>
      <c r="AP1379" s="250"/>
      <c r="AQ1379" s="250"/>
      <c r="AR1379" s="250"/>
      <c r="AS1379" s="250"/>
      <c r="AT1379" s="250"/>
      <c r="AU1379" s="250"/>
      <c r="AV1379" s="124"/>
    </row>
    <row r="1380" spans="2:48" s="475" customFormat="1" x14ac:dyDescent="0.2">
      <c r="B1380" s="250"/>
      <c r="C1380" s="250"/>
      <c r="D1380" s="250"/>
      <c r="E1380" s="250"/>
      <c r="F1380" s="250"/>
      <c r="G1380" s="250"/>
      <c r="H1380" s="250"/>
      <c r="I1380" s="250"/>
      <c r="J1380" s="250"/>
      <c r="K1380" s="250"/>
      <c r="L1380" s="250"/>
      <c r="M1380" s="250"/>
      <c r="N1380" s="250"/>
      <c r="O1380" s="250"/>
      <c r="P1380" s="250"/>
      <c r="Q1380" s="250"/>
      <c r="R1380" s="250"/>
      <c r="S1380" s="250"/>
      <c r="T1380" s="250"/>
      <c r="U1380" s="250"/>
      <c r="V1380" s="250"/>
      <c r="W1380" s="250"/>
      <c r="X1380" s="250"/>
      <c r="Y1380" s="250"/>
      <c r="Z1380" s="250"/>
      <c r="AA1380" s="250"/>
      <c r="AB1380" s="250"/>
      <c r="AC1380" s="250"/>
      <c r="AD1380" s="250"/>
      <c r="AE1380" s="250"/>
      <c r="AF1380" s="250"/>
      <c r="AG1380" s="250"/>
      <c r="AH1380" s="250"/>
      <c r="AI1380" s="250"/>
      <c r="AJ1380" s="250"/>
      <c r="AK1380" s="250"/>
      <c r="AL1380" s="250"/>
      <c r="AM1380" s="250"/>
      <c r="AN1380" s="250"/>
      <c r="AO1380" s="250"/>
      <c r="AP1380" s="250"/>
      <c r="AQ1380" s="250"/>
      <c r="AR1380" s="250"/>
      <c r="AS1380" s="250"/>
      <c r="AT1380" s="250"/>
      <c r="AU1380" s="250"/>
      <c r="AV1380" s="124"/>
    </row>
    <row r="1381" spans="2:48" s="475" customFormat="1" x14ac:dyDescent="0.2">
      <c r="B1381" s="250"/>
      <c r="C1381" s="250"/>
      <c r="D1381" s="250"/>
      <c r="E1381" s="250"/>
      <c r="F1381" s="250"/>
      <c r="G1381" s="250"/>
      <c r="H1381" s="250"/>
      <c r="I1381" s="250"/>
      <c r="J1381" s="250"/>
      <c r="K1381" s="250"/>
      <c r="L1381" s="250"/>
      <c r="M1381" s="250"/>
      <c r="N1381" s="250"/>
      <c r="O1381" s="250"/>
      <c r="P1381" s="250"/>
      <c r="Q1381" s="250"/>
      <c r="R1381" s="250"/>
      <c r="S1381" s="250"/>
      <c r="T1381" s="250"/>
      <c r="U1381" s="250"/>
      <c r="V1381" s="250"/>
      <c r="W1381" s="250"/>
      <c r="X1381" s="250"/>
      <c r="Y1381" s="250"/>
      <c r="Z1381" s="250"/>
      <c r="AA1381" s="250"/>
      <c r="AB1381" s="250"/>
      <c r="AC1381" s="250"/>
      <c r="AD1381" s="250"/>
      <c r="AE1381" s="250"/>
      <c r="AF1381" s="250"/>
      <c r="AG1381" s="250"/>
      <c r="AH1381" s="250"/>
      <c r="AI1381" s="250"/>
      <c r="AJ1381" s="250"/>
      <c r="AK1381" s="250"/>
      <c r="AL1381" s="250"/>
      <c r="AM1381" s="250"/>
      <c r="AN1381" s="250"/>
      <c r="AO1381" s="250"/>
      <c r="AP1381" s="250"/>
      <c r="AQ1381" s="250"/>
      <c r="AR1381" s="250"/>
      <c r="AS1381" s="250"/>
      <c r="AT1381" s="250"/>
      <c r="AU1381" s="250"/>
      <c r="AV1381" s="124"/>
    </row>
    <row r="1382" spans="2:48" s="475" customFormat="1" x14ac:dyDescent="0.2">
      <c r="B1382" s="250"/>
      <c r="C1382" s="250"/>
      <c r="D1382" s="250"/>
      <c r="E1382" s="250"/>
      <c r="F1382" s="250"/>
      <c r="G1382" s="250"/>
      <c r="H1382" s="250"/>
      <c r="I1382" s="250"/>
      <c r="J1382" s="250"/>
      <c r="K1382" s="250"/>
      <c r="L1382" s="250"/>
      <c r="M1382" s="250"/>
      <c r="N1382" s="250"/>
      <c r="O1382" s="250"/>
      <c r="P1382" s="250"/>
      <c r="Q1382" s="250"/>
      <c r="R1382" s="250"/>
      <c r="S1382" s="250"/>
      <c r="T1382" s="250"/>
      <c r="U1382" s="250"/>
      <c r="V1382" s="250"/>
      <c r="W1382" s="250"/>
      <c r="X1382" s="250"/>
      <c r="Y1382" s="250"/>
      <c r="Z1382" s="250"/>
      <c r="AA1382" s="250"/>
      <c r="AB1382" s="250"/>
      <c r="AC1382" s="250"/>
      <c r="AD1382" s="250"/>
      <c r="AE1382" s="250"/>
      <c r="AF1382" s="250"/>
      <c r="AG1382" s="250"/>
      <c r="AH1382" s="250"/>
      <c r="AI1382" s="250"/>
      <c r="AJ1382" s="250"/>
      <c r="AK1382" s="250"/>
      <c r="AL1382" s="250"/>
      <c r="AM1382" s="250"/>
      <c r="AN1382" s="250"/>
      <c r="AO1382" s="250"/>
      <c r="AP1382" s="250"/>
      <c r="AQ1382" s="250"/>
      <c r="AR1382" s="250"/>
      <c r="AS1382" s="250"/>
      <c r="AT1382" s="250"/>
      <c r="AU1382" s="250"/>
      <c r="AV1382" s="124"/>
    </row>
    <row r="1383" spans="2:48" s="475" customFormat="1" x14ac:dyDescent="0.2">
      <c r="B1383" s="250"/>
      <c r="C1383" s="250"/>
      <c r="D1383" s="250"/>
      <c r="E1383" s="250"/>
      <c r="F1383" s="250"/>
      <c r="G1383" s="250"/>
      <c r="H1383" s="250"/>
      <c r="I1383" s="250"/>
      <c r="J1383" s="250"/>
      <c r="K1383" s="250"/>
      <c r="L1383" s="250"/>
      <c r="M1383" s="250"/>
      <c r="N1383" s="250"/>
      <c r="O1383" s="250"/>
      <c r="P1383" s="250"/>
      <c r="Q1383" s="250"/>
      <c r="R1383" s="250"/>
      <c r="S1383" s="250"/>
      <c r="T1383" s="250"/>
      <c r="U1383" s="250"/>
      <c r="V1383" s="250"/>
      <c r="W1383" s="250"/>
      <c r="X1383" s="250"/>
      <c r="Y1383" s="250"/>
      <c r="Z1383" s="250"/>
      <c r="AA1383" s="250"/>
      <c r="AB1383" s="250"/>
      <c r="AC1383" s="250"/>
      <c r="AD1383" s="250"/>
      <c r="AE1383" s="250"/>
      <c r="AF1383" s="250"/>
      <c r="AG1383" s="250"/>
      <c r="AH1383" s="250"/>
      <c r="AI1383" s="250"/>
      <c r="AJ1383" s="250"/>
      <c r="AK1383" s="250"/>
      <c r="AL1383" s="250"/>
      <c r="AM1383" s="250"/>
      <c r="AN1383" s="250"/>
      <c r="AO1383" s="250"/>
      <c r="AP1383" s="250"/>
      <c r="AQ1383" s="250"/>
      <c r="AR1383" s="250"/>
      <c r="AS1383" s="250"/>
      <c r="AT1383" s="250"/>
      <c r="AU1383" s="250"/>
      <c r="AV1383" s="124"/>
    </row>
    <row r="1384" spans="2:48" s="475" customFormat="1" x14ac:dyDescent="0.2">
      <c r="B1384" s="250"/>
      <c r="C1384" s="250"/>
      <c r="D1384" s="250"/>
      <c r="E1384" s="250"/>
      <c r="F1384" s="250"/>
      <c r="G1384" s="250"/>
      <c r="H1384" s="250"/>
      <c r="I1384" s="250"/>
      <c r="J1384" s="250"/>
      <c r="K1384" s="250"/>
      <c r="L1384" s="250"/>
      <c r="M1384" s="250"/>
      <c r="N1384" s="250"/>
      <c r="O1384" s="250"/>
      <c r="P1384" s="250"/>
      <c r="Q1384" s="250"/>
      <c r="R1384" s="250"/>
      <c r="S1384" s="250"/>
      <c r="T1384" s="250"/>
      <c r="U1384" s="250"/>
      <c r="V1384" s="250"/>
      <c r="W1384" s="250"/>
      <c r="X1384" s="250"/>
      <c r="Y1384" s="250"/>
      <c r="Z1384" s="250"/>
      <c r="AA1384" s="250"/>
      <c r="AB1384" s="250"/>
      <c r="AC1384" s="250"/>
      <c r="AD1384" s="250"/>
      <c r="AE1384" s="250"/>
      <c r="AF1384" s="250"/>
      <c r="AG1384" s="250"/>
      <c r="AH1384" s="250"/>
      <c r="AI1384" s="250"/>
      <c r="AJ1384" s="250"/>
      <c r="AK1384" s="250"/>
      <c r="AL1384" s="250"/>
      <c r="AM1384" s="250"/>
      <c r="AN1384" s="250"/>
      <c r="AO1384" s="250"/>
      <c r="AP1384" s="250"/>
      <c r="AQ1384" s="250"/>
      <c r="AR1384" s="250"/>
      <c r="AS1384" s="250"/>
      <c r="AT1384" s="250"/>
      <c r="AU1384" s="250"/>
      <c r="AV1384" s="124"/>
    </row>
    <row r="1385" spans="2:48" s="475" customFormat="1" x14ac:dyDescent="0.2">
      <c r="B1385" s="250"/>
      <c r="C1385" s="250"/>
      <c r="D1385" s="250"/>
      <c r="E1385" s="250"/>
      <c r="F1385" s="250"/>
      <c r="G1385" s="250"/>
      <c r="H1385" s="250"/>
      <c r="I1385" s="250"/>
      <c r="J1385" s="250"/>
      <c r="K1385" s="250"/>
      <c r="L1385" s="250"/>
      <c r="M1385" s="250"/>
      <c r="N1385" s="250"/>
      <c r="O1385" s="250"/>
      <c r="P1385" s="250"/>
      <c r="Q1385" s="250"/>
      <c r="R1385" s="250"/>
      <c r="S1385" s="250"/>
      <c r="T1385" s="250"/>
      <c r="U1385" s="250"/>
      <c r="V1385" s="250"/>
      <c r="W1385" s="250"/>
      <c r="X1385" s="250"/>
      <c r="Y1385" s="250"/>
      <c r="Z1385" s="250"/>
      <c r="AA1385" s="250"/>
      <c r="AB1385" s="250"/>
      <c r="AC1385" s="250"/>
      <c r="AD1385" s="250"/>
      <c r="AE1385" s="250"/>
      <c r="AF1385" s="250"/>
      <c r="AG1385" s="250"/>
      <c r="AH1385" s="250"/>
      <c r="AI1385" s="250"/>
      <c r="AJ1385" s="250"/>
      <c r="AK1385" s="250"/>
      <c r="AL1385" s="250"/>
      <c r="AM1385" s="250"/>
      <c r="AN1385" s="250"/>
      <c r="AO1385" s="250"/>
      <c r="AP1385" s="250"/>
      <c r="AQ1385" s="250"/>
      <c r="AR1385" s="250"/>
      <c r="AS1385" s="250"/>
      <c r="AT1385" s="250"/>
      <c r="AU1385" s="250"/>
      <c r="AV1385" s="124"/>
    </row>
    <row r="1386" spans="2:48" s="475" customFormat="1" x14ac:dyDescent="0.2">
      <c r="B1386" s="250"/>
      <c r="C1386" s="250"/>
      <c r="D1386" s="250"/>
      <c r="E1386" s="250"/>
      <c r="F1386" s="250"/>
      <c r="G1386" s="250"/>
      <c r="H1386" s="250"/>
      <c r="I1386" s="250"/>
      <c r="J1386" s="250"/>
      <c r="K1386" s="250"/>
      <c r="L1386" s="250"/>
      <c r="M1386" s="250"/>
      <c r="N1386" s="250"/>
      <c r="O1386" s="250"/>
      <c r="P1386" s="250"/>
      <c r="Q1386" s="250"/>
      <c r="R1386" s="250"/>
      <c r="S1386" s="250"/>
      <c r="T1386" s="250"/>
      <c r="U1386" s="250"/>
      <c r="V1386" s="250"/>
      <c r="W1386" s="250"/>
      <c r="X1386" s="250"/>
      <c r="Y1386" s="250"/>
      <c r="Z1386" s="250"/>
      <c r="AA1386" s="250"/>
      <c r="AB1386" s="250"/>
      <c r="AC1386" s="250"/>
      <c r="AD1386" s="250"/>
      <c r="AE1386" s="250"/>
      <c r="AF1386" s="250"/>
      <c r="AG1386" s="250"/>
      <c r="AH1386" s="250"/>
      <c r="AI1386" s="250"/>
      <c r="AJ1386" s="250"/>
      <c r="AK1386" s="250"/>
      <c r="AL1386" s="250"/>
      <c r="AM1386" s="250"/>
      <c r="AN1386" s="250"/>
      <c r="AO1386" s="250"/>
      <c r="AP1386" s="250"/>
      <c r="AQ1386" s="250"/>
      <c r="AR1386" s="250"/>
      <c r="AS1386" s="250"/>
      <c r="AT1386" s="250"/>
      <c r="AU1386" s="250"/>
      <c r="AV1386" s="124"/>
    </row>
    <row r="1387" spans="2:48" s="475" customFormat="1" x14ac:dyDescent="0.2">
      <c r="B1387" s="250"/>
      <c r="C1387" s="250"/>
      <c r="D1387" s="250"/>
      <c r="E1387" s="250"/>
      <c r="F1387" s="250"/>
      <c r="G1387" s="250"/>
      <c r="H1387" s="250"/>
      <c r="I1387" s="250"/>
      <c r="J1387" s="250"/>
      <c r="K1387" s="250"/>
      <c r="L1387" s="250"/>
      <c r="M1387" s="250"/>
      <c r="N1387" s="250"/>
      <c r="O1387" s="250"/>
      <c r="P1387" s="250"/>
      <c r="Q1387" s="250"/>
      <c r="R1387" s="250"/>
      <c r="S1387" s="250"/>
      <c r="T1387" s="250"/>
      <c r="U1387" s="250"/>
      <c r="V1387" s="250"/>
      <c r="W1387" s="250"/>
      <c r="X1387" s="250"/>
      <c r="Y1387" s="250"/>
      <c r="Z1387" s="250"/>
      <c r="AA1387" s="250"/>
      <c r="AB1387" s="250"/>
      <c r="AC1387" s="250"/>
      <c r="AD1387" s="250"/>
      <c r="AE1387" s="250"/>
      <c r="AF1387" s="250"/>
      <c r="AG1387" s="250"/>
      <c r="AH1387" s="250"/>
      <c r="AI1387" s="250"/>
      <c r="AJ1387" s="250"/>
      <c r="AK1387" s="250"/>
      <c r="AL1387" s="250"/>
      <c r="AM1387" s="250"/>
      <c r="AN1387" s="250"/>
      <c r="AO1387" s="250"/>
      <c r="AP1387" s="250"/>
      <c r="AQ1387" s="250"/>
      <c r="AR1387" s="250"/>
      <c r="AS1387" s="250"/>
      <c r="AT1387" s="250"/>
      <c r="AU1387" s="250"/>
      <c r="AV1387" s="124"/>
    </row>
    <row r="1388" spans="2:48" s="475" customFormat="1" x14ac:dyDescent="0.2">
      <c r="B1388" s="250"/>
      <c r="C1388" s="250"/>
      <c r="D1388" s="250"/>
      <c r="E1388" s="250"/>
      <c r="F1388" s="250"/>
      <c r="G1388" s="250"/>
      <c r="H1388" s="250"/>
      <c r="I1388" s="250"/>
      <c r="J1388" s="250"/>
      <c r="K1388" s="250"/>
      <c r="L1388" s="250"/>
      <c r="M1388" s="250"/>
      <c r="N1388" s="250"/>
      <c r="O1388" s="250"/>
      <c r="P1388" s="250"/>
      <c r="Q1388" s="250"/>
      <c r="R1388" s="250"/>
      <c r="S1388" s="250"/>
      <c r="T1388" s="250"/>
      <c r="U1388" s="250"/>
      <c r="V1388" s="250"/>
      <c r="W1388" s="250"/>
      <c r="X1388" s="250"/>
      <c r="Y1388" s="250"/>
      <c r="Z1388" s="250"/>
      <c r="AA1388" s="250"/>
      <c r="AB1388" s="250"/>
      <c r="AC1388" s="250"/>
      <c r="AD1388" s="250"/>
      <c r="AE1388" s="250"/>
      <c r="AF1388" s="250"/>
      <c r="AG1388" s="250"/>
      <c r="AH1388" s="250"/>
      <c r="AI1388" s="250"/>
      <c r="AJ1388" s="250"/>
      <c r="AK1388" s="250"/>
      <c r="AL1388" s="250"/>
      <c r="AM1388" s="250"/>
      <c r="AN1388" s="250"/>
      <c r="AO1388" s="250"/>
      <c r="AP1388" s="250"/>
      <c r="AQ1388" s="250"/>
      <c r="AR1388" s="250"/>
      <c r="AS1388" s="250"/>
      <c r="AT1388" s="250"/>
      <c r="AU1388" s="250"/>
      <c r="AV1388" s="124"/>
    </row>
    <row r="1389" spans="2:48" s="475" customFormat="1" x14ac:dyDescent="0.2">
      <c r="B1389" s="250"/>
      <c r="C1389" s="250"/>
      <c r="D1389" s="250"/>
      <c r="E1389" s="250"/>
      <c r="F1389" s="250"/>
      <c r="G1389" s="250"/>
      <c r="H1389" s="250"/>
      <c r="I1389" s="250"/>
      <c r="J1389" s="250"/>
      <c r="K1389" s="250"/>
      <c r="L1389" s="250"/>
      <c r="M1389" s="250"/>
      <c r="N1389" s="250"/>
      <c r="O1389" s="250"/>
      <c r="P1389" s="250"/>
      <c r="Q1389" s="250"/>
      <c r="R1389" s="250"/>
      <c r="S1389" s="250"/>
      <c r="T1389" s="250"/>
      <c r="U1389" s="250"/>
      <c r="V1389" s="250"/>
      <c r="W1389" s="250"/>
      <c r="X1389" s="250"/>
      <c r="Y1389" s="250"/>
      <c r="Z1389" s="250"/>
      <c r="AA1389" s="250"/>
      <c r="AB1389" s="250"/>
      <c r="AC1389" s="250"/>
      <c r="AD1389" s="250"/>
      <c r="AE1389" s="250"/>
      <c r="AF1389" s="250"/>
      <c r="AG1389" s="250"/>
      <c r="AH1389" s="250"/>
      <c r="AI1389" s="250"/>
      <c r="AJ1389" s="250"/>
      <c r="AK1389" s="250"/>
      <c r="AL1389" s="250"/>
      <c r="AM1389" s="250"/>
      <c r="AN1389" s="250"/>
      <c r="AO1389" s="250"/>
      <c r="AP1389" s="250"/>
      <c r="AQ1389" s="250"/>
      <c r="AR1389" s="250"/>
      <c r="AS1389" s="250"/>
      <c r="AT1389" s="250"/>
      <c r="AU1389" s="250"/>
      <c r="AV1389" s="124"/>
    </row>
    <row r="1390" spans="2:48" s="475" customFormat="1" x14ac:dyDescent="0.2">
      <c r="B1390" s="250"/>
      <c r="C1390" s="250"/>
      <c r="D1390" s="250"/>
      <c r="E1390" s="250"/>
      <c r="F1390" s="250"/>
      <c r="G1390" s="250"/>
      <c r="H1390" s="250"/>
      <c r="I1390" s="250"/>
      <c r="J1390" s="250"/>
      <c r="K1390" s="250"/>
      <c r="L1390" s="250"/>
      <c r="M1390" s="250"/>
      <c r="N1390" s="250"/>
      <c r="O1390" s="250"/>
      <c r="P1390" s="250"/>
      <c r="Q1390" s="250"/>
      <c r="R1390" s="250"/>
      <c r="S1390" s="250"/>
      <c r="T1390" s="250"/>
      <c r="U1390" s="250"/>
      <c r="V1390" s="250"/>
      <c r="W1390" s="250"/>
      <c r="X1390" s="250"/>
      <c r="Y1390" s="250"/>
      <c r="Z1390" s="250"/>
      <c r="AA1390" s="250"/>
      <c r="AB1390" s="250"/>
      <c r="AC1390" s="250"/>
      <c r="AD1390" s="250"/>
      <c r="AE1390" s="250"/>
      <c r="AF1390" s="250"/>
      <c r="AG1390" s="250"/>
      <c r="AH1390" s="250"/>
      <c r="AI1390" s="250"/>
      <c r="AJ1390" s="250"/>
      <c r="AK1390" s="250"/>
      <c r="AL1390" s="250"/>
      <c r="AM1390" s="250"/>
      <c r="AN1390" s="250"/>
      <c r="AO1390" s="250"/>
      <c r="AP1390" s="250"/>
      <c r="AQ1390" s="250"/>
      <c r="AR1390" s="250"/>
      <c r="AS1390" s="250"/>
      <c r="AT1390" s="250"/>
      <c r="AU1390" s="250"/>
      <c r="AV1390" s="124"/>
    </row>
    <row r="1391" spans="2:48" s="475" customFormat="1" x14ac:dyDescent="0.2">
      <c r="B1391" s="250"/>
      <c r="C1391" s="250"/>
      <c r="D1391" s="250"/>
      <c r="E1391" s="250"/>
      <c r="F1391" s="250"/>
      <c r="G1391" s="250"/>
      <c r="H1391" s="250"/>
      <c r="I1391" s="250"/>
      <c r="J1391" s="250"/>
      <c r="K1391" s="250"/>
      <c r="L1391" s="250"/>
      <c r="M1391" s="250"/>
      <c r="N1391" s="250"/>
      <c r="O1391" s="250"/>
      <c r="P1391" s="250"/>
      <c r="Q1391" s="250"/>
      <c r="R1391" s="250"/>
      <c r="S1391" s="250"/>
      <c r="T1391" s="250"/>
      <c r="U1391" s="250"/>
      <c r="V1391" s="250"/>
      <c r="W1391" s="250"/>
      <c r="X1391" s="250"/>
      <c r="Y1391" s="250"/>
      <c r="Z1391" s="250"/>
      <c r="AA1391" s="250"/>
      <c r="AB1391" s="250"/>
      <c r="AC1391" s="250"/>
      <c r="AD1391" s="250"/>
      <c r="AE1391" s="250"/>
      <c r="AF1391" s="250"/>
      <c r="AG1391" s="250"/>
      <c r="AH1391" s="250"/>
      <c r="AI1391" s="250"/>
      <c r="AJ1391" s="250"/>
      <c r="AK1391" s="250"/>
      <c r="AL1391" s="250"/>
      <c r="AM1391" s="250"/>
      <c r="AN1391" s="250"/>
      <c r="AO1391" s="250"/>
      <c r="AP1391" s="250"/>
      <c r="AQ1391" s="250"/>
      <c r="AR1391" s="250"/>
      <c r="AS1391" s="250"/>
      <c r="AT1391" s="250"/>
      <c r="AU1391" s="250"/>
      <c r="AV1391" s="124"/>
    </row>
    <row r="1392" spans="2:48" s="475" customFormat="1" x14ac:dyDescent="0.2">
      <c r="B1392" s="250"/>
      <c r="C1392" s="250"/>
      <c r="D1392" s="250"/>
      <c r="E1392" s="250"/>
      <c r="F1392" s="250"/>
      <c r="G1392" s="250"/>
      <c r="H1392" s="250"/>
      <c r="I1392" s="250"/>
      <c r="J1392" s="250"/>
      <c r="K1392" s="250"/>
      <c r="L1392" s="250"/>
      <c r="M1392" s="250"/>
      <c r="N1392" s="250"/>
      <c r="O1392" s="250"/>
      <c r="P1392" s="250"/>
      <c r="Q1392" s="250"/>
      <c r="R1392" s="250"/>
      <c r="S1392" s="250"/>
      <c r="T1392" s="250"/>
      <c r="U1392" s="250"/>
      <c r="V1392" s="250"/>
      <c r="W1392" s="250"/>
      <c r="X1392" s="250"/>
      <c r="Y1392" s="250"/>
      <c r="Z1392" s="250"/>
      <c r="AA1392" s="250"/>
      <c r="AB1392" s="250"/>
      <c r="AC1392" s="250"/>
      <c r="AD1392" s="250"/>
      <c r="AE1392" s="250"/>
      <c r="AF1392" s="250"/>
      <c r="AG1392" s="250"/>
      <c r="AH1392" s="250"/>
      <c r="AI1392" s="250"/>
      <c r="AJ1392" s="250"/>
      <c r="AK1392" s="250"/>
      <c r="AL1392" s="250"/>
      <c r="AM1392" s="250"/>
      <c r="AN1392" s="250"/>
      <c r="AO1392" s="250"/>
      <c r="AP1392" s="250"/>
      <c r="AQ1392" s="250"/>
      <c r="AR1392" s="250"/>
      <c r="AS1392" s="250"/>
      <c r="AT1392" s="250"/>
      <c r="AU1392" s="250"/>
      <c r="AV1392" s="124"/>
    </row>
    <row r="1393" spans="2:48" s="475" customFormat="1" x14ac:dyDescent="0.2">
      <c r="B1393" s="250"/>
      <c r="C1393" s="250"/>
      <c r="D1393" s="250"/>
      <c r="E1393" s="250"/>
      <c r="F1393" s="250"/>
      <c r="G1393" s="250"/>
      <c r="H1393" s="250"/>
      <c r="I1393" s="250"/>
      <c r="J1393" s="250"/>
      <c r="K1393" s="250"/>
      <c r="L1393" s="250"/>
      <c r="M1393" s="250"/>
      <c r="N1393" s="250"/>
      <c r="O1393" s="250"/>
      <c r="P1393" s="250"/>
      <c r="Q1393" s="250"/>
      <c r="R1393" s="250"/>
      <c r="S1393" s="250"/>
      <c r="T1393" s="250"/>
      <c r="U1393" s="250"/>
      <c r="V1393" s="250"/>
      <c r="W1393" s="250"/>
      <c r="X1393" s="250"/>
      <c r="Y1393" s="250"/>
      <c r="Z1393" s="250"/>
      <c r="AA1393" s="250"/>
      <c r="AB1393" s="250"/>
      <c r="AC1393" s="250"/>
      <c r="AD1393" s="250"/>
      <c r="AE1393" s="250"/>
      <c r="AF1393" s="250"/>
      <c r="AG1393" s="250"/>
      <c r="AH1393" s="250"/>
      <c r="AI1393" s="250"/>
      <c r="AJ1393" s="250"/>
      <c r="AK1393" s="250"/>
      <c r="AL1393" s="250"/>
      <c r="AM1393" s="250"/>
      <c r="AN1393" s="250"/>
      <c r="AO1393" s="250"/>
      <c r="AP1393" s="250"/>
      <c r="AQ1393" s="250"/>
      <c r="AR1393" s="250"/>
      <c r="AS1393" s="250"/>
      <c r="AT1393" s="250"/>
      <c r="AU1393" s="250"/>
      <c r="AV1393" s="124"/>
    </row>
    <row r="1394" spans="2:48" s="475" customFormat="1" x14ac:dyDescent="0.2">
      <c r="B1394" s="250"/>
      <c r="C1394" s="250"/>
      <c r="D1394" s="250"/>
      <c r="E1394" s="250"/>
      <c r="F1394" s="250"/>
      <c r="G1394" s="250"/>
      <c r="H1394" s="250"/>
      <c r="I1394" s="250"/>
      <c r="J1394" s="250"/>
      <c r="K1394" s="250"/>
      <c r="L1394" s="250"/>
      <c r="M1394" s="250"/>
      <c r="N1394" s="250"/>
      <c r="O1394" s="250"/>
      <c r="P1394" s="250"/>
      <c r="Q1394" s="250"/>
      <c r="R1394" s="250"/>
      <c r="S1394" s="250"/>
      <c r="T1394" s="250"/>
      <c r="U1394" s="250"/>
      <c r="V1394" s="250"/>
      <c r="W1394" s="250"/>
      <c r="X1394" s="250"/>
      <c r="Y1394" s="250"/>
      <c r="Z1394" s="250"/>
      <c r="AA1394" s="250"/>
      <c r="AB1394" s="250"/>
      <c r="AC1394" s="250"/>
      <c r="AD1394" s="250"/>
      <c r="AE1394" s="250"/>
      <c r="AF1394" s="250"/>
      <c r="AG1394" s="250"/>
      <c r="AH1394" s="250"/>
      <c r="AI1394" s="250"/>
      <c r="AJ1394" s="250"/>
      <c r="AK1394" s="250"/>
      <c r="AL1394" s="250"/>
      <c r="AM1394" s="250"/>
      <c r="AN1394" s="250"/>
      <c r="AO1394" s="250"/>
      <c r="AP1394" s="250"/>
      <c r="AQ1394" s="250"/>
      <c r="AR1394" s="250"/>
      <c r="AS1394" s="250"/>
      <c r="AT1394" s="250"/>
      <c r="AU1394" s="250"/>
      <c r="AV1394" s="124"/>
    </row>
    <row r="1395" spans="2:48" s="475" customFormat="1" x14ac:dyDescent="0.2">
      <c r="B1395" s="250"/>
      <c r="C1395" s="250"/>
      <c r="D1395" s="250"/>
      <c r="E1395" s="250"/>
      <c r="F1395" s="250"/>
      <c r="G1395" s="250"/>
      <c r="H1395" s="250"/>
      <c r="I1395" s="250"/>
      <c r="J1395" s="250"/>
      <c r="K1395" s="250"/>
      <c r="L1395" s="250"/>
      <c r="M1395" s="250"/>
      <c r="N1395" s="250"/>
      <c r="O1395" s="250"/>
      <c r="P1395" s="250"/>
      <c r="Q1395" s="250"/>
      <c r="R1395" s="250"/>
      <c r="S1395" s="250"/>
      <c r="T1395" s="250"/>
      <c r="U1395" s="250"/>
      <c r="V1395" s="250"/>
      <c r="W1395" s="250"/>
      <c r="X1395" s="250"/>
      <c r="Y1395" s="250"/>
      <c r="Z1395" s="250"/>
      <c r="AA1395" s="250"/>
      <c r="AB1395" s="250"/>
      <c r="AC1395" s="250"/>
      <c r="AD1395" s="250"/>
      <c r="AE1395" s="250"/>
      <c r="AF1395" s="250"/>
      <c r="AG1395" s="250"/>
      <c r="AH1395" s="250"/>
      <c r="AI1395" s="250"/>
      <c r="AJ1395" s="250"/>
      <c r="AK1395" s="250"/>
      <c r="AL1395" s="250"/>
      <c r="AM1395" s="250"/>
      <c r="AN1395" s="250"/>
      <c r="AO1395" s="250"/>
      <c r="AP1395" s="250"/>
      <c r="AQ1395" s="250"/>
      <c r="AR1395" s="250"/>
      <c r="AS1395" s="250"/>
      <c r="AT1395" s="250"/>
      <c r="AU1395" s="250"/>
      <c r="AV1395" s="124"/>
    </row>
    <row r="1396" spans="2:48" s="475" customFormat="1" x14ac:dyDescent="0.2">
      <c r="B1396" s="250"/>
      <c r="C1396" s="250"/>
      <c r="D1396" s="250"/>
      <c r="E1396" s="250"/>
      <c r="F1396" s="250"/>
      <c r="G1396" s="250"/>
      <c r="H1396" s="250"/>
      <c r="I1396" s="250"/>
      <c r="J1396" s="250"/>
      <c r="K1396" s="250"/>
      <c r="L1396" s="250"/>
      <c r="M1396" s="250"/>
      <c r="N1396" s="250"/>
      <c r="O1396" s="250"/>
      <c r="P1396" s="250"/>
      <c r="Q1396" s="250"/>
      <c r="R1396" s="250"/>
      <c r="S1396" s="250"/>
      <c r="T1396" s="250"/>
      <c r="U1396" s="250"/>
      <c r="V1396" s="250"/>
      <c r="W1396" s="250"/>
      <c r="X1396" s="250"/>
      <c r="Y1396" s="250"/>
      <c r="Z1396" s="250"/>
      <c r="AA1396" s="250"/>
      <c r="AB1396" s="250"/>
      <c r="AC1396" s="250"/>
      <c r="AD1396" s="250"/>
      <c r="AE1396" s="250"/>
      <c r="AF1396" s="250"/>
      <c r="AG1396" s="250"/>
      <c r="AH1396" s="250"/>
      <c r="AI1396" s="250"/>
      <c r="AJ1396" s="250"/>
      <c r="AK1396" s="250"/>
      <c r="AL1396" s="250"/>
      <c r="AM1396" s="250"/>
      <c r="AN1396" s="250"/>
      <c r="AO1396" s="250"/>
      <c r="AP1396" s="250"/>
      <c r="AQ1396" s="250"/>
      <c r="AR1396" s="250"/>
      <c r="AS1396" s="250"/>
      <c r="AT1396" s="250"/>
      <c r="AU1396" s="250"/>
      <c r="AV1396" s="124"/>
    </row>
    <row r="1397" spans="2:48" s="475" customFormat="1" x14ac:dyDescent="0.2">
      <c r="B1397" s="250"/>
      <c r="C1397" s="250"/>
      <c r="D1397" s="250"/>
      <c r="E1397" s="250"/>
      <c r="F1397" s="250"/>
      <c r="G1397" s="250"/>
      <c r="H1397" s="250"/>
      <c r="I1397" s="250"/>
      <c r="J1397" s="250"/>
      <c r="K1397" s="250"/>
      <c r="L1397" s="250"/>
      <c r="M1397" s="250"/>
      <c r="N1397" s="250"/>
      <c r="O1397" s="250"/>
      <c r="P1397" s="250"/>
      <c r="Q1397" s="250"/>
      <c r="R1397" s="250"/>
      <c r="S1397" s="250"/>
      <c r="T1397" s="250"/>
      <c r="U1397" s="250"/>
      <c r="V1397" s="250"/>
      <c r="W1397" s="250"/>
      <c r="X1397" s="250"/>
      <c r="Y1397" s="250"/>
      <c r="Z1397" s="250"/>
      <c r="AA1397" s="250"/>
      <c r="AB1397" s="250"/>
      <c r="AC1397" s="250"/>
      <c r="AD1397" s="250"/>
      <c r="AE1397" s="250"/>
      <c r="AF1397" s="250"/>
      <c r="AG1397" s="250"/>
      <c r="AH1397" s="250"/>
      <c r="AI1397" s="250"/>
      <c r="AJ1397" s="250"/>
      <c r="AK1397" s="250"/>
      <c r="AL1397" s="250"/>
      <c r="AM1397" s="250"/>
      <c r="AN1397" s="250"/>
      <c r="AO1397" s="250"/>
      <c r="AP1397" s="250"/>
      <c r="AQ1397" s="250"/>
      <c r="AR1397" s="250"/>
      <c r="AS1397" s="250"/>
      <c r="AT1397" s="250"/>
      <c r="AU1397" s="250"/>
      <c r="AV1397" s="124"/>
    </row>
    <row r="1398" spans="2:48" s="475" customFormat="1" x14ac:dyDescent="0.2">
      <c r="B1398" s="250"/>
      <c r="C1398" s="250"/>
      <c r="D1398" s="250"/>
      <c r="E1398" s="250"/>
      <c r="F1398" s="250"/>
      <c r="G1398" s="250"/>
      <c r="H1398" s="250"/>
      <c r="I1398" s="250"/>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c r="AN1398" s="250"/>
      <c r="AO1398" s="250"/>
      <c r="AP1398" s="250"/>
      <c r="AQ1398" s="250"/>
      <c r="AR1398" s="250"/>
      <c r="AS1398" s="250"/>
      <c r="AT1398" s="250"/>
      <c r="AU1398" s="250"/>
      <c r="AV1398" s="124"/>
    </row>
    <row r="1399" spans="2:48" s="475" customFormat="1" x14ac:dyDescent="0.2">
      <c r="B1399" s="250"/>
      <c r="C1399" s="250"/>
      <c r="D1399" s="250"/>
      <c r="E1399" s="250"/>
      <c r="F1399" s="250"/>
      <c r="G1399" s="250"/>
      <c r="H1399" s="250"/>
      <c r="I1399" s="250"/>
      <c r="J1399" s="250"/>
      <c r="K1399" s="250"/>
      <c r="L1399" s="250"/>
      <c r="M1399" s="250"/>
      <c r="N1399" s="250"/>
      <c r="O1399" s="250"/>
      <c r="P1399" s="250"/>
      <c r="Q1399" s="250"/>
      <c r="R1399" s="250"/>
      <c r="S1399" s="250"/>
      <c r="T1399" s="250"/>
      <c r="U1399" s="250"/>
      <c r="V1399" s="250"/>
      <c r="W1399" s="250"/>
      <c r="X1399" s="250"/>
      <c r="Y1399" s="250"/>
      <c r="Z1399" s="250"/>
      <c r="AA1399" s="250"/>
      <c r="AB1399" s="250"/>
      <c r="AC1399" s="250"/>
      <c r="AD1399" s="250"/>
      <c r="AE1399" s="250"/>
      <c r="AF1399" s="250"/>
      <c r="AG1399" s="250"/>
      <c r="AH1399" s="250"/>
      <c r="AI1399" s="250"/>
      <c r="AJ1399" s="250"/>
      <c r="AK1399" s="250"/>
      <c r="AL1399" s="250"/>
      <c r="AM1399" s="250"/>
      <c r="AN1399" s="250"/>
      <c r="AO1399" s="250"/>
      <c r="AP1399" s="250"/>
      <c r="AQ1399" s="250"/>
      <c r="AR1399" s="250"/>
      <c r="AS1399" s="250"/>
      <c r="AT1399" s="250"/>
      <c r="AU1399" s="250"/>
      <c r="AV1399" s="124"/>
    </row>
    <row r="1400" spans="2:48" s="475" customFormat="1" x14ac:dyDescent="0.2">
      <c r="B1400" s="250"/>
      <c r="C1400" s="250"/>
      <c r="D1400" s="250"/>
      <c r="E1400" s="250"/>
      <c r="F1400" s="250"/>
      <c r="G1400" s="250"/>
      <c r="H1400" s="250"/>
      <c r="I1400" s="250"/>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c r="AN1400" s="250"/>
      <c r="AO1400" s="250"/>
      <c r="AP1400" s="250"/>
      <c r="AQ1400" s="250"/>
      <c r="AR1400" s="250"/>
      <c r="AS1400" s="250"/>
      <c r="AT1400" s="250"/>
      <c r="AU1400" s="250"/>
      <c r="AV1400" s="124"/>
    </row>
    <row r="1401" spans="2:48" s="475" customFormat="1" x14ac:dyDescent="0.2">
      <c r="B1401" s="250"/>
      <c r="C1401" s="250"/>
      <c r="D1401" s="250"/>
      <c r="E1401" s="250"/>
      <c r="F1401" s="250"/>
      <c r="G1401" s="250"/>
      <c r="H1401" s="250"/>
      <c r="I1401" s="250"/>
      <c r="J1401" s="250"/>
      <c r="K1401" s="250"/>
      <c r="L1401" s="250"/>
      <c r="M1401" s="250"/>
      <c r="N1401" s="250"/>
      <c r="O1401" s="250"/>
      <c r="P1401" s="250"/>
      <c r="Q1401" s="250"/>
      <c r="R1401" s="250"/>
      <c r="S1401" s="250"/>
      <c r="T1401" s="250"/>
      <c r="U1401" s="250"/>
      <c r="V1401" s="250"/>
      <c r="W1401" s="250"/>
      <c r="X1401" s="250"/>
      <c r="Y1401" s="250"/>
      <c r="Z1401" s="250"/>
      <c r="AA1401" s="250"/>
      <c r="AB1401" s="250"/>
      <c r="AC1401" s="250"/>
      <c r="AD1401" s="250"/>
      <c r="AE1401" s="250"/>
      <c r="AF1401" s="250"/>
      <c r="AG1401" s="250"/>
      <c r="AH1401" s="250"/>
      <c r="AI1401" s="250"/>
      <c r="AJ1401" s="250"/>
      <c r="AK1401" s="250"/>
      <c r="AL1401" s="250"/>
      <c r="AM1401" s="250"/>
      <c r="AN1401" s="250"/>
      <c r="AO1401" s="250"/>
      <c r="AP1401" s="250"/>
      <c r="AQ1401" s="250"/>
      <c r="AR1401" s="250"/>
      <c r="AS1401" s="250"/>
      <c r="AT1401" s="250"/>
      <c r="AU1401" s="250"/>
      <c r="AV1401" s="124"/>
    </row>
    <row r="1402" spans="2:48" s="475" customFormat="1" x14ac:dyDescent="0.2">
      <c r="B1402" s="250"/>
      <c r="C1402" s="250"/>
      <c r="D1402" s="250"/>
      <c r="E1402" s="250"/>
      <c r="F1402" s="250"/>
      <c r="G1402" s="250"/>
      <c r="H1402" s="250"/>
      <c r="I1402" s="250"/>
      <c r="J1402" s="250"/>
      <c r="K1402" s="250"/>
      <c r="L1402" s="250"/>
      <c r="M1402" s="250"/>
      <c r="N1402" s="250"/>
      <c r="O1402" s="250"/>
      <c r="P1402" s="250"/>
      <c r="Q1402" s="250"/>
      <c r="R1402" s="250"/>
      <c r="S1402" s="250"/>
      <c r="T1402" s="250"/>
      <c r="U1402" s="250"/>
      <c r="V1402" s="250"/>
      <c r="W1402" s="250"/>
      <c r="X1402" s="250"/>
      <c r="Y1402" s="250"/>
      <c r="Z1402" s="250"/>
      <c r="AA1402" s="250"/>
      <c r="AB1402" s="250"/>
      <c r="AC1402" s="250"/>
      <c r="AD1402" s="250"/>
      <c r="AE1402" s="250"/>
      <c r="AF1402" s="250"/>
      <c r="AG1402" s="250"/>
      <c r="AH1402" s="250"/>
      <c r="AI1402" s="250"/>
      <c r="AJ1402" s="250"/>
      <c r="AK1402" s="250"/>
      <c r="AL1402" s="250"/>
      <c r="AM1402" s="250"/>
      <c r="AN1402" s="250"/>
      <c r="AO1402" s="250"/>
      <c r="AP1402" s="250"/>
      <c r="AQ1402" s="250"/>
      <c r="AR1402" s="250"/>
      <c r="AS1402" s="250"/>
      <c r="AT1402" s="250"/>
      <c r="AU1402" s="250"/>
      <c r="AV1402" s="124"/>
    </row>
    <row r="1403" spans="2:48" s="475" customFormat="1" x14ac:dyDescent="0.2">
      <c r="B1403" s="250"/>
      <c r="C1403" s="250"/>
      <c r="D1403" s="250"/>
      <c r="E1403" s="250"/>
      <c r="F1403" s="250"/>
      <c r="G1403" s="250"/>
      <c r="H1403" s="250"/>
      <c r="I1403" s="250"/>
      <c r="J1403" s="250"/>
      <c r="K1403" s="250"/>
      <c r="L1403" s="250"/>
      <c r="M1403" s="250"/>
      <c r="N1403" s="250"/>
      <c r="O1403" s="250"/>
      <c r="P1403" s="250"/>
      <c r="Q1403" s="250"/>
      <c r="R1403" s="250"/>
      <c r="S1403" s="250"/>
      <c r="T1403" s="250"/>
      <c r="U1403" s="250"/>
      <c r="V1403" s="250"/>
      <c r="W1403" s="250"/>
      <c r="X1403" s="250"/>
      <c r="Y1403" s="250"/>
      <c r="Z1403" s="250"/>
      <c r="AA1403" s="250"/>
      <c r="AB1403" s="250"/>
      <c r="AC1403" s="250"/>
      <c r="AD1403" s="250"/>
      <c r="AE1403" s="250"/>
      <c r="AF1403" s="250"/>
      <c r="AG1403" s="250"/>
      <c r="AH1403" s="250"/>
      <c r="AI1403" s="250"/>
      <c r="AJ1403" s="250"/>
      <c r="AK1403" s="250"/>
      <c r="AL1403" s="250"/>
      <c r="AM1403" s="250"/>
      <c r="AN1403" s="250"/>
      <c r="AO1403" s="250"/>
      <c r="AP1403" s="250"/>
      <c r="AQ1403" s="250"/>
      <c r="AR1403" s="250"/>
      <c r="AS1403" s="250"/>
      <c r="AT1403" s="250"/>
      <c r="AU1403" s="250"/>
      <c r="AV1403" s="124"/>
    </row>
    <row r="1404" spans="2:48" s="475" customFormat="1" x14ac:dyDescent="0.2">
      <c r="B1404" s="250"/>
      <c r="C1404" s="250"/>
      <c r="D1404" s="250"/>
      <c r="E1404" s="250"/>
      <c r="F1404" s="250"/>
      <c r="G1404" s="250"/>
      <c r="H1404" s="250"/>
      <c r="I1404" s="250"/>
      <c r="J1404" s="250"/>
      <c r="K1404" s="250"/>
      <c r="L1404" s="250"/>
      <c r="M1404" s="250"/>
      <c r="N1404" s="250"/>
      <c r="O1404" s="250"/>
      <c r="P1404" s="250"/>
      <c r="Q1404" s="250"/>
      <c r="R1404" s="250"/>
      <c r="S1404" s="250"/>
      <c r="T1404" s="250"/>
      <c r="U1404" s="250"/>
      <c r="V1404" s="250"/>
      <c r="W1404" s="250"/>
      <c r="X1404" s="250"/>
      <c r="Y1404" s="250"/>
      <c r="Z1404" s="250"/>
      <c r="AA1404" s="250"/>
      <c r="AB1404" s="250"/>
      <c r="AC1404" s="250"/>
      <c r="AD1404" s="250"/>
      <c r="AE1404" s="250"/>
      <c r="AF1404" s="250"/>
      <c r="AG1404" s="250"/>
      <c r="AH1404" s="250"/>
      <c r="AI1404" s="250"/>
      <c r="AJ1404" s="250"/>
      <c r="AK1404" s="250"/>
      <c r="AL1404" s="250"/>
      <c r="AM1404" s="250"/>
      <c r="AN1404" s="250"/>
      <c r="AO1404" s="250"/>
      <c r="AP1404" s="250"/>
      <c r="AQ1404" s="250"/>
      <c r="AR1404" s="250"/>
      <c r="AS1404" s="250"/>
      <c r="AT1404" s="250"/>
      <c r="AU1404" s="250"/>
      <c r="AV1404" s="124"/>
    </row>
    <row r="1405" spans="2:48" s="475" customFormat="1" x14ac:dyDescent="0.2">
      <c r="B1405" s="250"/>
      <c r="C1405" s="250"/>
      <c r="D1405" s="250"/>
      <c r="E1405" s="250"/>
      <c r="F1405" s="250"/>
      <c r="G1405" s="250"/>
      <c r="H1405" s="250"/>
      <c r="I1405" s="250"/>
      <c r="J1405" s="250"/>
      <c r="K1405" s="250"/>
      <c r="L1405" s="250"/>
      <c r="M1405" s="250"/>
      <c r="N1405" s="250"/>
      <c r="O1405" s="250"/>
      <c r="P1405" s="250"/>
      <c r="Q1405" s="250"/>
      <c r="R1405" s="250"/>
      <c r="S1405" s="250"/>
      <c r="T1405" s="250"/>
      <c r="U1405" s="250"/>
      <c r="V1405" s="250"/>
      <c r="W1405" s="250"/>
      <c r="X1405" s="250"/>
      <c r="Y1405" s="250"/>
      <c r="Z1405" s="250"/>
      <c r="AA1405" s="250"/>
      <c r="AB1405" s="250"/>
      <c r="AC1405" s="250"/>
      <c r="AD1405" s="250"/>
      <c r="AE1405" s="250"/>
      <c r="AF1405" s="250"/>
      <c r="AG1405" s="250"/>
      <c r="AH1405" s="250"/>
      <c r="AI1405" s="250"/>
      <c r="AJ1405" s="250"/>
      <c r="AK1405" s="250"/>
      <c r="AL1405" s="250"/>
      <c r="AM1405" s="250"/>
      <c r="AN1405" s="250"/>
      <c r="AO1405" s="250"/>
      <c r="AP1405" s="250"/>
      <c r="AQ1405" s="250"/>
      <c r="AR1405" s="250"/>
      <c r="AS1405" s="250"/>
      <c r="AT1405" s="250"/>
      <c r="AU1405" s="250"/>
      <c r="AV1405" s="124"/>
    </row>
    <row r="1406" spans="2:48" s="475" customFormat="1" x14ac:dyDescent="0.2">
      <c r="B1406" s="250"/>
      <c r="C1406" s="250"/>
      <c r="D1406" s="250"/>
      <c r="E1406" s="250"/>
      <c r="F1406" s="250"/>
      <c r="G1406" s="250"/>
      <c r="H1406" s="250"/>
      <c r="I1406" s="250"/>
      <c r="J1406" s="250"/>
      <c r="K1406" s="250"/>
      <c r="L1406" s="250"/>
      <c r="M1406" s="250"/>
      <c r="N1406" s="250"/>
      <c r="O1406" s="250"/>
      <c r="P1406" s="250"/>
      <c r="Q1406" s="250"/>
      <c r="R1406" s="250"/>
      <c r="S1406" s="250"/>
      <c r="T1406" s="250"/>
      <c r="U1406" s="250"/>
      <c r="V1406" s="250"/>
      <c r="W1406" s="250"/>
      <c r="X1406" s="250"/>
      <c r="Y1406" s="250"/>
      <c r="Z1406" s="250"/>
      <c r="AA1406" s="250"/>
      <c r="AB1406" s="250"/>
      <c r="AC1406" s="250"/>
      <c r="AD1406" s="250"/>
      <c r="AE1406" s="250"/>
      <c r="AF1406" s="250"/>
      <c r="AG1406" s="250"/>
      <c r="AH1406" s="250"/>
      <c r="AI1406" s="250"/>
      <c r="AJ1406" s="250"/>
      <c r="AK1406" s="250"/>
      <c r="AL1406" s="250"/>
      <c r="AM1406" s="250"/>
      <c r="AN1406" s="250"/>
      <c r="AO1406" s="250"/>
      <c r="AP1406" s="250"/>
      <c r="AQ1406" s="250"/>
      <c r="AR1406" s="250"/>
      <c r="AS1406" s="250"/>
      <c r="AT1406" s="250"/>
      <c r="AU1406" s="250"/>
      <c r="AV1406" s="124"/>
    </row>
    <row r="1407" spans="2:48" s="475" customFormat="1" x14ac:dyDescent="0.2">
      <c r="B1407" s="250"/>
      <c r="C1407" s="250"/>
      <c r="D1407" s="250"/>
      <c r="E1407" s="250"/>
      <c r="F1407" s="250"/>
      <c r="G1407" s="250"/>
      <c r="H1407" s="250"/>
      <c r="I1407" s="250"/>
      <c r="J1407" s="250"/>
      <c r="K1407" s="250"/>
      <c r="L1407" s="250"/>
      <c r="M1407" s="250"/>
      <c r="N1407" s="250"/>
      <c r="O1407" s="250"/>
      <c r="P1407" s="250"/>
      <c r="Q1407" s="250"/>
      <c r="R1407" s="250"/>
      <c r="S1407" s="250"/>
      <c r="T1407" s="250"/>
      <c r="U1407" s="250"/>
      <c r="V1407" s="250"/>
      <c r="W1407" s="250"/>
      <c r="X1407" s="250"/>
      <c r="Y1407" s="250"/>
      <c r="Z1407" s="250"/>
      <c r="AA1407" s="250"/>
      <c r="AB1407" s="250"/>
      <c r="AC1407" s="250"/>
      <c r="AD1407" s="250"/>
      <c r="AE1407" s="250"/>
      <c r="AF1407" s="250"/>
      <c r="AG1407" s="250"/>
      <c r="AH1407" s="250"/>
      <c r="AI1407" s="250"/>
      <c r="AJ1407" s="250"/>
      <c r="AK1407" s="250"/>
      <c r="AL1407" s="250"/>
      <c r="AM1407" s="250"/>
      <c r="AN1407" s="250"/>
      <c r="AO1407" s="250"/>
      <c r="AP1407" s="250"/>
      <c r="AQ1407" s="250"/>
      <c r="AR1407" s="250"/>
      <c r="AS1407" s="250"/>
      <c r="AT1407" s="250"/>
      <c r="AU1407" s="250"/>
      <c r="AV1407" s="124"/>
    </row>
    <row r="1408" spans="2:48" s="475" customFormat="1" x14ac:dyDescent="0.2">
      <c r="B1408" s="250"/>
      <c r="C1408" s="250"/>
      <c r="D1408" s="250"/>
      <c r="E1408" s="250"/>
      <c r="F1408" s="250"/>
      <c r="G1408" s="250"/>
      <c r="H1408" s="250"/>
      <c r="I1408" s="250"/>
      <c r="J1408" s="250"/>
      <c r="K1408" s="250"/>
      <c r="L1408" s="250"/>
      <c r="M1408" s="250"/>
      <c r="N1408" s="250"/>
      <c r="O1408" s="250"/>
      <c r="P1408" s="250"/>
      <c r="Q1408" s="250"/>
      <c r="R1408" s="250"/>
      <c r="S1408" s="250"/>
      <c r="T1408" s="250"/>
      <c r="U1408" s="250"/>
      <c r="V1408" s="250"/>
      <c r="W1408" s="250"/>
      <c r="X1408" s="250"/>
      <c r="Y1408" s="250"/>
      <c r="Z1408" s="250"/>
      <c r="AA1408" s="250"/>
      <c r="AB1408" s="250"/>
      <c r="AC1408" s="250"/>
      <c r="AD1408" s="250"/>
      <c r="AE1408" s="250"/>
      <c r="AF1408" s="250"/>
      <c r="AG1408" s="250"/>
      <c r="AH1408" s="250"/>
      <c r="AI1408" s="250"/>
      <c r="AJ1408" s="250"/>
      <c r="AK1408" s="250"/>
      <c r="AL1408" s="250"/>
      <c r="AM1408" s="250"/>
      <c r="AN1408" s="250"/>
      <c r="AO1408" s="250"/>
      <c r="AP1408" s="250"/>
      <c r="AQ1408" s="250"/>
      <c r="AR1408" s="250"/>
      <c r="AS1408" s="250"/>
      <c r="AT1408" s="250"/>
      <c r="AU1408" s="250"/>
      <c r="AV1408" s="124"/>
    </row>
    <row r="1409" spans="2:48" s="475" customFormat="1" x14ac:dyDescent="0.2">
      <c r="B1409" s="250"/>
      <c r="C1409" s="250"/>
      <c r="D1409" s="250"/>
      <c r="E1409" s="250"/>
      <c r="F1409" s="250"/>
      <c r="G1409" s="250"/>
      <c r="H1409" s="250"/>
      <c r="I1409" s="250"/>
      <c r="J1409" s="250"/>
      <c r="K1409" s="250"/>
      <c r="L1409" s="250"/>
      <c r="M1409" s="250"/>
      <c r="N1409" s="250"/>
      <c r="O1409" s="250"/>
      <c r="P1409" s="250"/>
      <c r="Q1409" s="250"/>
      <c r="R1409" s="250"/>
      <c r="S1409" s="250"/>
      <c r="T1409" s="250"/>
      <c r="U1409" s="250"/>
      <c r="V1409" s="250"/>
      <c r="W1409" s="250"/>
      <c r="X1409" s="250"/>
      <c r="Y1409" s="250"/>
      <c r="Z1409" s="250"/>
      <c r="AA1409" s="250"/>
      <c r="AB1409" s="250"/>
      <c r="AC1409" s="250"/>
      <c r="AD1409" s="250"/>
      <c r="AE1409" s="250"/>
      <c r="AF1409" s="250"/>
      <c r="AG1409" s="250"/>
      <c r="AH1409" s="250"/>
      <c r="AI1409" s="250"/>
      <c r="AJ1409" s="250"/>
      <c r="AK1409" s="250"/>
      <c r="AL1409" s="250"/>
      <c r="AM1409" s="250"/>
      <c r="AN1409" s="250"/>
      <c r="AO1409" s="250"/>
      <c r="AP1409" s="250"/>
      <c r="AQ1409" s="250"/>
      <c r="AR1409" s="250"/>
      <c r="AS1409" s="250"/>
      <c r="AT1409" s="250"/>
      <c r="AU1409" s="250"/>
      <c r="AV1409" s="124"/>
    </row>
    <row r="1410" spans="2:48" s="475" customFormat="1" x14ac:dyDescent="0.2">
      <c r="B1410" s="250"/>
      <c r="C1410" s="250"/>
      <c r="D1410" s="250"/>
      <c r="E1410" s="250"/>
      <c r="F1410" s="250"/>
      <c r="G1410" s="250"/>
      <c r="H1410" s="250"/>
      <c r="I1410" s="250"/>
      <c r="J1410" s="250"/>
      <c r="K1410" s="250"/>
      <c r="L1410" s="250"/>
      <c r="M1410" s="250"/>
      <c r="N1410" s="250"/>
      <c r="O1410" s="250"/>
      <c r="P1410" s="250"/>
      <c r="Q1410" s="250"/>
      <c r="R1410" s="250"/>
      <c r="S1410" s="250"/>
      <c r="T1410" s="250"/>
      <c r="U1410" s="250"/>
      <c r="V1410" s="250"/>
      <c r="W1410" s="250"/>
      <c r="X1410" s="250"/>
      <c r="Y1410" s="250"/>
      <c r="Z1410" s="250"/>
      <c r="AA1410" s="250"/>
      <c r="AB1410" s="250"/>
      <c r="AC1410" s="250"/>
      <c r="AD1410" s="250"/>
      <c r="AE1410" s="250"/>
      <c r="AF1410" s="250"/>
      <c r="AG1410" s="250"/>
      <c r="AH1410" s="250"/>
      <c r="AI1410" s="250"/>
      <c r="AJ1410" s="250"/>
      <c r="AK1410" s="250"/>
      <c r="AL1410" s="250"/>
      <c r="AM1410" s="250"/>
      <c r="AN1410" s="250"/>
      <c r="AO1410" s="250"/>
      <c r="AP1410" s="250"/>
      <c r="AQ1410" s="250"/>
      <c r="AR1410" s="250"/>
      <c r="AS1410" s="250"/>
      <c r="AT1410" s="250"/>
      <c r="AU1410" s="250"/>
      <c r="AV1410" s="124"/>
    </row>
    <row r="1411" spans="2:48" s="475" customFormat="1" x14ac:dyDescent="0.2">
      <c r="B1411" s="250"/>
      <c r="C1411" s="250"/>
      <c r="D1411" s="250"/>
      <c r="E1411" s="250"/>
      <c r="F1411" s="250"/>
      <c r="G1411" s="250"/>
      <c r="H1411" s="250"/>
      <c r="I1411" s="250"/>
      <c r="J1411" s="250"/>
      <c r="K1411" s="250"/>
      <c r="L1411" s="250"/>
      <c r="M1411" s="250"/>
      <c r="N1411" s="250"/>
      <c r="O1411" s="250"/>
      <c r="P1411" s="250"/>
      <c r="Q1411" s="250"/>
      <c r="R1411" s="250"/>
      <c r="S1411" s="250"/>
      <c r="T1411" s="250"/>
      <c r="U1411" s="250"/>
      <c r="V1411" s="250"/>
      <c r="W1411" s="250"/>
      <c r="X1411" s="250"/>
      <c r="Y1411" s="250"/>
      <c r="Z1411" s="250"/>
      <c r="AA1411" s="250"/>
      <c r="AB1411" s="250"/>
      <c r="AC1411" s="250"/>
      <c r="AD1411" s="250"/>
      <c r="AE1411" s="250"/>
      <c r="AF1411" s="250"/>
      <c r="AG1411" s="250"/>
      <c r="AH1411" s="250"/>
      <c r="AI1411" s="250"/>
      <c r="AJ1411" s="250"/>
      <c r="AK1411" s="250"/>
      <c r="AL1411" s="250"/>
      <c r="AM1411" s="250"/>
      <c r="AN1411" s="250"/>
      <c r="AO1411" s="250"/>
      <c r="AP1411" s="250"/>
      <c r="AQ1411" s="250"/>
      <c r="AR1411" s="250"/>
      <c r="AS1411" s="250"/>
      <c r="AT1411" s="250"/>
      <c r="AU1411" s="250"/>
      <c r="AV1411" s="124"/>
    </row>
    <row r="1412" spans="2:48" s="475" customFormat="1" x14ac:dyDescent="0.2">
      <c r="B1412" s="250"/>
      <c r="C1412" s="250"/>
      <c r="D1412" s="250"/>
      <c r="E1412" s="250"/>
      <c r="F1412" s="250"/>
      <c r="G1412" s="250"/>
      <c r="H1412" s="250"/>
      <c r="I1412" s="250"/>
      <c r="J1412" s="250"/>
      <c r="K1412" s="250"/>
      <c r="L1412" s="250"/>
      <c r="M1412" s="250"/>
      <c r="N1412" s="250"/>
      <c r="O1412" s="250"/>
      <c r="P1412" s="250"/>
      <c r="Q1412" s="250"/>
      <c r="R1412" s="250"/>
      <c r="S1412" s="250"/>
      <c r="T1412" s="250"/>
      <c r="U1412" s="250"/>
      <c r="V1412" s="250"/>
      <c r="W1412" s="250"/>
      <c r="X1412" s="250"/>
      <c r="Y1412" s="250"/>
      <c r="Z1412" s="250"/>
      <c r="AA1412" s="250"/>
      <c r="AB1412" s="250"/>
      <c r="AC1412" s="250"/>
      <c r="AD1412" s="250"/>
      <c r="AE1412" s="250"/>
      <c r="AF1412" s="250"/>
      <c r="AG1412" s="250"/>
      <c r="AH1412" s="250"/>
      <c r="AI1412" s="250"/>
      <c r="AJ1412" s="250"/>
      <c r="AK1412" s="250"/>
      <c r="AL1412" s="250"/>
      <c r="AM1412" s="250"/>
      <c r="AN1412" s="250"/>
      <c r="AO1412" s="250"/>
      <c r="AP1412" s="250"/>
      <c r="AQ1412" s="250"/>
      <c r="AR1412" s="250"/>
      <c r="AS1412" s="250"/>
      <c r="AT1412" s="250"/>
      <c r="AU1412" s="250"/>
      <c r="AV1412" s="124"/>
    </row>
    <row r="1413" spans="2:48" s="475" customFormat="1" x14ac:dyDescent="0.2">
      <c r="B1413" s="250"/>
      <c r="C1413" s="250"/>
      <c r="D1413" s="250"/>
      <c r="E1413" s="250"/>
      <c r="F1413" s="250"/>
      <c r="G1413" s="250"/>
      <c r="H1413" s="250"/>
      <c r="I1413" s="250"/>
      <c r="J1413" s="250"/>
      <c r="K1413" s="250"/>
      <c r="L1413" s="250"/>
      <c r="M1413" s="250"/>
      <c r="N1413" s="250"/>
      <c r="O1413" s="250"/>
      <c r="P1413" s="250"/>
      <c r="Q1413" s="250"/>
      <c r="R1413" s="250"/>
      <c r="S1413" s="250"/>
      <c r="T1413" s="250"/>
      <c r="U1413" s="250"/>
      <c r="V1413" s="250"/>
      <c r="W1413" s="250"/>
      <c r="X1413" s="250"/>
      <c r="Y1413" s="250"/>
      <c r="Z1413" s="250"/>
      <c r="AA1413" s="250"/>
      <c r="AB1413" s="250"/>
      <c r="AC1413" s="250"/>
      <c r="AD1413" s="250"/>
      <c r="AE1413" s="250"/>
      <c r="AF1413" s="250"/>
      <c r="AG1413" s="250"/>
      <c r="AH1413" s="250"/>
      <c r="AI1413" s="250"/>
      <c r="AJ1413" s="250"/>
      <c r="AK1413" s="250"/>
      <c r="AL1413" s="250"/>
      <c r="AM1413" s="250"/>
      <c r="AN1413" s="250"/>
      <c r="AO1413" s="250"/>
      <c r="AP1413" s="250"/>
      <c r="AQ1413" s="250"/>
      <c r="AR1413" s="250"/>
      <c r="AS1413" s="250"/>
      <c r="AT1413" s="250"/>
      <c r="AU1413" s="250"/>
      <c r="AV1413" s="124"/>
    </row>
    <row r="1414" spans="2:48" s="475" customFormat="1" x14ac:dyDescent="0.2">
      <c r="B1414" s="250"/>
      <c r="C1414" s="250"/>
      <c r="D1414" s="250"/>
      <c r="E1414" s="250"/>
      <c r="F1414" s="250"/>
      <c r="G1414" s="250"/>
      <c r="H1414" s="250"/>
      <c r="I1414" s="250"/>
      <c r="J1414" s="250"/>
      <c r="K1414" s="250"/>
      <c r="L1414" s="250"/>
      <c r="M1414" s="250"/>
      <c r="N1414" s="250"/>
      <c r="O1414" s="250"/>
      <c r="P1414" s="250"/>
      <c r="Q1414" s="250"/>
      <c r="R1414" s="250"/>
      <c r="S1414" s="250"/>
      <c r="T1414" s="250"/>
      <c r="U1414" s="250"/>
      <c r="V1414" s="250"/>
      <c r="W1414" s="250"/>
      <c r="X1414" s="250"/>
      <c r="Y1414" s="250"/>
      <c r="Z1414" s="250"/>
      <c r="AA1414" s="250"/>
      <c r="AB1414" s="250"/>
      <c r="AC1414" s="250"/>
      <c r="AD1414" s="250"/>
      <c r="AE1414" s="250"/>
      <c r="AF1414" s="250"/>
      <c r="AG1414" s="250"/>
      <c r="AH1414" s="250"/>
      <c r="AI1414" s="250"/>
      <c r="AJ1414" s="250"/>
      <c r="AK1414" s="250"/>
      <c r="AL1414" s="250"/>
      <c r="AM1414" s="250"/>
      <c r="AN1414" s="250"/>
      <c r="AO1414" s="250"/>
      <c r="AP1414" s="250"/>
      <c r="AQ1414" s="250"/>
      <c r="AR1414" s="250"/>
      <c r="AS1414" s="250"/>
      <c r="AT1414" s="250"/>
      <c r="AU1414" s="250"/>
      <c r="AV1414" s="124"/>
    </row>
    <row r="1415" spans="2:48" s="475" customFormat="1" x14ac:dyDescent="0.2">
      <c r="B1415" s="250"/>
      <c r="C1415" s="250"/>
      <c r="D1415" s="250"/>
      <c r="E1415" s="250"/>
      <c r="F1415" s="250"/>
      <c r="G1415" s="250"/>
      <c r="H1415" s="250"/>
      <c r="I1415" s="250"/>
      <c r="J1415" s="250"/>
      <c r="K1415" s="250"/>
      <c r="L1415" s="250"/>
      <c r="M1415" s="250"/>
      <c r="N1415" s="250"/>
      <c r="O1415" s="250"/>
      <c r="P1415" s="250"/>
      <c r="Q1415" s="250"/>
      <c r="R1415" s="250"/>
      <c r="S1415" s="250"/>
      <c r="T1415" s="250"/>
      <c r="U1415" s="250"/>
      <c r="V1415" s="250"/>
      <c r="W1415" s="250"/>
      <c r="X1415" s="250"/>
      <c r="Y1415" s="250"/>
      <c r="Z1415" s="250"/>
      <c r="AA1415" s="250"/>
      <c r="AB1415" s="250"/>
      <c r="AC1415" s="250"/>
      <c r="AD1415" s="250"/>
      <c r="AE1415" s="250"/>
      <c r="AF1415" s="250"/>
      <c r="AG1415" s="250"/>
      <c r="AH1415" s="250"/>
      <c r="AI1415" s="250"/>
      <c r="AJ1415" s="250"/>
      <c r="AK1415" s="250"/>
      <c r="AL1415" s="250"/>
      <c r="AM1415" s="250"/>
      <c r="AN1415" s="250"/>
      <c r="AO1415" s="250"/>
      <c r="AP1415" s="250"/>
      <c r="AQ1415" s="250"/>
      <c r="AR1415" s="250"/>
      <c r="AS1415" s="250"/>
      <c r="AT1415" s="250"/>
      <c r="AU1415" s="250"/>
      <c r="AV1415" s="124"/>
    </row>
    <row r="1416" spans="2:48" s="475" customFormat="1" x14ac:dyDescent="0.2">
      <c r="B1416" s="250"/>
      <c r="C1416" s="250"/>
      <c r="D1416" s="250"/>
      <c r="E1416" s="250"/>
      <c r="F1416" s="250"/>
      <c r="G1416" s="250"/>
      <c r="H1416" s="250"/>
      <c r="I1416" s="250"/>
      <c r="J1416" s="250"/>
      <c r="K1416" s="250"/>
      <c r="L1416" s="250"/>
      <c r="M1416" s="250"/>
      <c r="N1416" s="250"/>
      <c r="O1416" s="250"/>
      <c r="P1416" s="250"/>
      <c r="Q1416" s="250"/>
      <c r="R1416" s="250"/>
      <c r="S1416" s="250"/>
      <c r="T1416" s="250"/>
      <c r="U1416" s="250"/>
      <c r="V1416" s="250"/>
      <c r="W1416" s="250"/>
      <c r="X1416" s="250"/>
      <c r="Y1416" s="250"/>
      <c r="Z1416" s="250"/>
      <c r="AA1416" s="250"/>
      <c r="AB1416" s="250"/>
      <c r="AC1416" s="250"/>
      <c r="AD1416" s="250"/>
      <c r="AE1416" s="250"/>
      <c r="AF1416" s="250"/>
      <c r="AG1416" s="250"/>
      <c r="AH1416" s="250"/>
      <c r="AI1416" s="250"/>
      <c r="AJ1416" s="250"/>
      <c r="AK1416" s="250"/>
      <c r="AL1416" s="250"/>
      <c r="AM1416" s="250"/>
      <c r="AN1416" s="250"/>
      <c r="AO1416" s="250"/>
      <c r="AP1416" s="250"/>
      <c r="AQ1416" s="250"/>
      <c r="AR1416" s="250"/>
      <c r="AS1416" s="250"/>
      <c r="AT1416" s="250"/>
      <c r="AU1416" s="250"/>
      <c r="AV1416" s="124"/>
    </row>
    <row r="1417" spans="2:48" s="475" customFormat="1" x14ac:dyDescent="0.2">
      <c r="B1417" s="250"/>
      <c r="C1417" s="250"/>
      <c r="D1417" s="250"/>
      <c r="E1417" s="250"/>
      <c r="F1417" s="250"/>
      <c r="G1417" s="250"/>
      <c r="H1417" s="250"/>
      <c r="I1417" s="250"/>
      <c r="J1417" s="250"/>
      <c r="K1417" s="250"/>
      <c r="L1417" s="250"/>
      <c r="M1417" s="250"/>
      <c r="N1417" s="250"/>
      <c r="O1417" s="250"/>
      <c r="P1417" s="250"/>
      <c r="Q1417" s="250"/>
      <c r="R1417" s="250"/>
      <c r="S1417" s="250"/>
      <c r="T1417" s="250"/>
      <c r="U1417" s="250"/>
      <c r="V1417" s="250"/>
      <c r="W1417" s="250"/>
      <c r="X1417" s="250"/>
      <c r="Y1417" s="250"/>
      <c r="Z1417" s="250"/>
      <c r="AA1417" s="250"/>
      <c r="AB1417" s="250"/>
      <c r="AC1417" s="250"/>
      <c r="AD1417" s="250"/>
      <c r="AE1417" s="250"/>
      <c r="AF1417" s="250"/>
      <c r="AG1417" s="250"/>
      <c r="AH1417" s="250"/>
      <c r="AI1417" s="250"/>
      <c r="AJ1417" s="250"/>
      <c r="AK1417" s="250"/>
      <c r="AL1417" s="250"/>
      <c r="AM1417" s="250"/>
      <c r="AN1417" s="250"/>
      <c r="AO1417" s="250"/>
      <c r="AP1417" s="250"/>
      <c r="AQ1417" s="250"/>
      <c r="AR1417" s="250"/>
      <c r="AS1417" s="250"/>
      <c r="AT1417" s="250"/>
      <c r="AU1417" s="250"/>
      <c r="AV1417" s="124"/>
    </row>
    <row r="1418" spans="2:48" s="475" customFormat="1" x14ac:dyDescent="0.2">
      <c r="B1418" s="250"/>
      <c r="C1418" s="250"/>
      <c r="D1418" s="250"/>
      <c r="E1418" s="250"/>
      <c r="F1418" s="250"/>
      <c r="G1418" s="250"/>
      <c r="H1418" s="250"/>
      <c r="I1418" s="250"/>
      <c r="J1418" s="250"/>
      <c r="K1418" s="250"/>
      <c r="L1418" s="250"/>
      <c r="M1418" s="250"/>
      <c r="N1418" s="250"/>
      <c r="O1418" s="250"/>
      <c r="P1418" s="250"/>
      <c r="Q1418" s="250"/>
      <c r="R1418" s="250"/>
      <c r="S1418" s="250"/>
      <c r="T1418" s="250"/>
      <c r="U1418" s="250"/>
      <c r="V1418" s="250"/>
      <c r="W1418" s="250"/>
      <c r="X1418" s="250"/>
      <c r="Y1418" s="250"/>
      <c r="Z1418" s="250"/>
      <c r="AA1418" s="250"/>
      <c r="AB1418" s="250"/>
      <c r="AC1418" s="250"/>
      <c r="AD1418" s="250"/>
      <c r="AE1418" s="250"/>
      <c r="AF1418" s="250"/>
      <c r="AG1418" s="250"/>
      <c r="AH1418" s="250"/>
      <c r="AI1418" s="250"/>
      <c r="AJ1418" s="250"/>
      <c r="AK1418" s="250"/>
      <c r="AL1418" s="250"/>
      <c r="AM1418" s="250"/>
      <c r="AN1418" s="250"/>
      <c r="AO1418" s="250"/>
      <c r="AP1418" s="250"/>
      <c r="AQ1418" s="250"/>
      <c r="AR1418" s="250"/>
      <c r="AS1418" s="250"/>
      <c r="AT1418" s="250"/>
      <c r="AU1418" s="250"/>
      <c r="AV1418" s="124"/>
    </row>
    <row r="1419" spans="2:48" s="475" customFormat="1" x14ac:dyDescent="0.2">
      <c r="B1419" s="250"/>
      <c r="C1419" s="250"/>
      <c r="D1419" s="250"/>
      <c r="E1419" s="250"/>
      <c r="F1419" s="250"/>
      <c r="G1419" s="250"/>
      <c r="H1419" s="250"/>
      <c r="I1419" s="250"/>
      <c r="J1419" s="250"/>
      <c r="K1419" s="250"/>
      <c r="L1419" s="250"/>
      <c r="M1419" s="250"/>
      <c r="N1419" s="250"/>
      <c r="O1419" s="250"/>
      <c r="P1419" s="250"/>
      <c r="Q1419" s="250"/>
      <c r="R1419" s="250"/>
      <c r="S1419" s="250"/>
      <c r="T1419" s="250"/>
      <c r="U1419" s="250"/>
      <c r="V1419" s="250"/>
      <c r="W1419" s="250"/>
      <c r="X1419" s="250"/>
      <c r="Y1419" s="250"/>
      <c r="Z1419" s="250"/>
      <c r="AA1419" s="250"/>
      <c r="AB1419" s="250"/>
      <c r="AC1419" s="250"/>
      <c r="AD1419" s="250"/>
      <c r="AE1419" s="250"/>
      <c r="AF1419" s="250"/>
      <c r="AG1419" s="250"/>
      <c r="AH1419" s="250"/>
      <c r="AI1419" s="250"/>
      <c r="AJ1419" s="250"/>
      <c r="AK1419" s="250"/>
      <c r="AL1419" s="250"/>
      <c r="AM1419" s="250"/>
      <c r="AN1419" s="250"/>
      <c r="AO1419" s="250"/>
      <c r="AP1419" s="250"/>
      <c r="AQ1419" s="250"/>
      <c r="AR1419" s="250"/>
      <c r="AS1419" s="250"/>
      <c r="AT1419" s="250"/>
      <c r="AU1419" s="250"/>
      <c r="AV1419" s="124"/>
    </row>
    <row r="1420" spans="2:48" s="475" customFormat="1" x14ac:dyDescent="0.2">
      <c r="B1420" s="250"/>
      <c r="C1420" s="250"/>
      <c r="D1420" s="250"/>
      <c r="E1420" s="250"/>
      <c r="F1420" s="250"/>
      <c r="G1420" s="250"/>
      <c r="H1420" s="250"/>
      <c r="I1420" s="250"/>
      <c r="J1420" s="250"/>
      <c r="K1420" s="250"/>
      <c r="L1420" s="250"/>
      <c r="M1420" s="250"/>
      <c r="N1420" s="250"/>
      <c r="O1420" s="250"/>
      <c r="P1420" s="250"/>
      <c r="Q1420" s="250"/>
      <c r="R1420" s="250"/>
      <c r="S1420" s="250"/>
      <c r="T1420" s="250"/>
      <c r="U1420" s="250"/>
      <c r="V1420" s="250"/>
      <c r="W1420" s="250"/>
      <c r="X1420" s="250"/>
      <c r="Y1420" s="250"/>
      <c r="Z1420" s="250"/>
      <c r="AA1420" s="250"/>
      <c r="AB1420" s="250"/>
      <c r="AC1420" s="250"/>
      <c r="AD1420" s="250"/>
      <c r="AE1420" s="250"/>
      <c r="AF1420" s="250"/>
      <c r="AG1420" s="250"/>
      <c r="AH1420" s="250"/>
      <c r="AI1420" s="250"/>
      <c r="AJ1420" s="250"/>
      <c r="AK1420" s="250"/>
      <c r="AL1420" s="250"/>
      <c r="AM1420" s="250"/>
      <c r="AN1420" s="250"/>
      <c r="AO1420" s="250"/>
      <c r="AP1420" s="250"/>
      <c r="AQ1420" s="250"/>
      <c r="AR1420" s="250"/>
      <c r="AS1420" s="250"/>
      <c r="AT1420" s="250"/>
      <c r="AU1420" s="250"/>
      <c r="AV1420" s="124"/>
    </row>
    <row r="1421" spans="2:48" s="475" customFormat="1" x14ac:dyDescent="0.2">
      <c r="B1421" s="250"/>
      <c r="C1421" s="250"/>
      <c r="D1421" s="250"/>
      <c r="E1421" s="250"/>
      <c r="F1421" s="250"/>
      <c r="G1421" s="250"/>
      <c r="H1421" s="250"/>
      <c r="I1421" s="250"/>
      <c r="J1421" s="250"/>
      <c r="K1421" s="250"/>
      <c r="L1421" s="250"/>
      <c r="M1421" s="250"/>
      <c r="N1421" s="250"/>
      <c r="O1421" s="250"/>
      <c r="P1421" s="250"/>
      <c r="Q1421" s="250"/>
      <c r="R1421" s="250"/>
      <c r="S1421" s="250"/>
      <c r="T1421" s="250"/>
      <c r="U1421" s="250"/>
      <c r="V1421" s="250"/>
      <c r="W1421" s="250"/>
      <c r="X1421" s="250"/>
      <c r="Y1421" s="250"/>
      <c r="Z1421" s="250"/>
      <c r="AA1421" s="250"/>
      <c r="AB1421" s="250"/>
      <c r="AC1421" s="250"/>
      <c r="AD1421" s="250"/>
      <c r="AE1421" s="250"/>
      <c r="AF1421" s="250"/>
      <c r="AG1421" s="250"/>
      <c r="AH1421" s="250"/>
      <c r="AI1421" s="250"/>
      <c r="AJ1421" s="250"/>
      <c r="AK1421" s="250"/>
      <c r="AL1421" s="250"/>
      <c r="AM1421" s="250"/>
      <c r="AN1421" s="250"/>
      <c r="AO1421" s="250"/>
      <c r="AP1421" s="250"/>
      <c r="AQ1421" s="250"/>
      <c r="AR1421" s="250"/>
      <c r="AS1421" s="250"/>
      <c r="AT1421" s="250"/>
      <c r="AU1421" s="250"/>
      <c r="AV1421" s="124"/>
    </row>
    <row r="1422" spans="2:48" s="475" customFormat="1" x14ac:dyDescent="0.2">
      <c r="B1422" s="250"/>
      <c r="C1422" s="250"/>
      <c r="D1422" s="250"/>
      <c r="E1422" s="250"/>
      <c r="F1422" s="250"/>
      <c r="G1422" s="250"/>
      <c r="H1422" s="250"/>
      <c r="I1422" s="250"/>
      <c r="J1422" s="250"/>
      <c r="K1422" s="250"/>
      <c r="L1422" s="250"/>
      <c r="M1422" s="250"/>
      <c r="N1422" s="250"/>
      <c r="O1422" s="250"/>
      <c r="P1422" s="250"/>
      <c r="Q1422" s="250"/>
      <c r="R1422" s="250"/>
      <c r="S1422" s="250"/>
      <c r="T1422" s="250"/>
      <c r="U1422" s="250"/>
      <c r="V1422" s="250"/>
      <c r="W1422" s="250"/>
      <c r="X1422" s="250"/>
      <c r="Y1422" s="250"/>
      <c r="Z1422" s="250"/>
      <c r="AA1422" s="250"/>
      <c r="AB1422" s="250"/>
      <c r="AC1422" s="250"/>
      <c r="AD1422" s="250"/>
      <c r="AE1422" s="250"/>
      <c r="AF1422" s="250"/>
      <c r="AG1422" s="250"/>
      <c r="AH1422" s="250"/>
      <c r="AI1422" s="250"/>
      <c r="AJ1422" s="250"/>
      <c r="AK1422" s="250"/>
      <c r="AL1422" s="250"/>
      <c r="AM1422" s="250"/>
      <c r="AN1422" s="250"/>
      <c r="AO1422" s="250"/>
      <c r="AP1422" s="250"/>
      <c r="AQ1422" s="250"/>
      <c r="AR1422" s="250"/>
      <c r="AS1422" s="250"/>
      <c r="AT1422" s="250"/>
      <c r="AU1422" s="250"/>
      <c r="AV1422" s="124"/>
    </row>
    <row r="1423" spans="2:48" s="475" customFormat="1" x14ac:dyDescent="0.2">
      <c r="B1423" s="250"/>
      <c r="C1423" s="250"/>
      <c r="D1423" s="250"/>
      <c r="E1423" s="250"/>
      <c r="F1423" s="250"/>
      <c r="G1423" s="250"/>
      <c r="H1423" s="250"/>
      <c r="I1423" s="250"/>
      <c r="J1423" s="250"/>
      <c r="K1423" s="250"/>
      <c r="L1423" s="250"/>
      <c r="M1423" s="250"/>
      <c r="N1423" s="250"/>
      <c r="O1423" s="250"/>
      <c r="P1423" s="250"/>
      <c r="Q1423" s="250"/>
      <c r="R1423" s="250"/>
      <c r="S1423" s="250"/>
      <c r="T1423" s="250"/>
      <c r="U1423" s="250"/>
      <c r="V1423" s="250"/>
      <c r="W1423" s="250"/>
      <c r="X1423" s="250"/>
      <c r="Y1423" s="250"/>
      <c r="Z1423" s="250"/>
      <c r="AA1423" s="250"/>
      <c r="AB1423" s="250"/>
      <c r="AC1423" s="250"/>
      <c r="AD1423" s="250"/>
      <c r="AE1423" s="250"/>
      <c r="AF1423" s="250"/>
      <c r="AG1423" s="250"/>
      <c r="AH1423" s="250"/>
      <c r="AI1423" s="250"/>
      <c r="AJ1423" s="250"/>
      <c r="AK1423" s="250"/>
      <c r="AL1423" s="250"/>
      <c r="AM1423" s="250"/>
      <c r="AN1423" s="250"/>
      <c r="AO1423" s="250"/>
      <c r="AP1423" s="250"/>
      <c r="AQ1423" s="250"/>
      <c r="AR1423" s="250"/>
      <c r="AS1423" s="250"/>
      <c r="AT1423" s="250"/>
      <c r="AU1423" s="250"/>
      <c r="AV1423" s="124"/>
    </row>
    <row r="1424" spans="2:48" s="475" customFormat="1" x14ac:dyDescent="0.2">
      <c r="B1424" s="250"/>
      <c r="C1424" s="250"/>
      <c r="D1424" s="250"/>
      <c r="E1424" s="250"/>
      <c r="F1424" s="250"/>
      <c r="G1424" s="250"/>
      <c r="H1424" s="250"/>
      <c r="I1424" s="250"/>
      <c r="J1424" s="250"/>
      <c r="K1424" s="250"/>
      <c r="L1424" s="250"/>
      <c r="M1424" s="250"/>
      <c r="N1424" s="250"/>
      <c r="O1424" s="250"/>
      <c r="P1424" s="250"/>
      <c r="Q1424" s="250"/>
      <c r="R1424" s="250"/>
      <c r="S1424" s="250"/>
      <c r="T1424" s="250"/>
      <c r="U1424" s="250"/>
      <c r="V1424" s="250"/>
      <c r="W1424" s="250"/>
      <c r="X1424" s="250"/>
      <c r="Y1424" s="250"/>
      <c r="Z1424" s="250"/>
      <c r="AA1424" s="250"/>
      <c r="AB1424" s="250"/>
      <c r="AC1424" s="250"/>
      <c r="AD1424" s="250"/>
      <c r="AE1424" s="250"/>
      <c r="AF1424" s="250"/>
      <c r="AG1424" s="250"/>
      <c r="AH1424" s="250"/>
      <c r="AI1424" s="250"/>
      <c r="AJ1424" s="250"/>
      <c r="AK1424" s="250"/>
      <c r="AL1424" s="250"/>
      <c r="AM1424" s="250"/>
      <c r="AN1424" s="250"/>
      <c r="AO1424" s="250"/>
      <c r="AP1424" s="250"/>
      <c r="AQ1424" s="250"/>
      <c r="AR1424" s="250"/>
      <c r="AS1424" s="250"/>
      <c r="AT1424" s="250"/>
      <c r="AU1424" s="250"/>
      <c r="AV1424" s="124"/>
    </row>
    <row r="1425" spans="2:48" s="475" customFormat="1" x14ac:dyDescent="0.2">
      <c r="B1425" s="250"/>
      <c r="C1425" s="250"/>
      <c r="D1425" s="250"/>
      <c r="E1425" s="250"/>
      <c r="F1425" s="250"/>
      <c r="G1425" s="250"/>
      <c r="H1425" s="250"/>
      <c r="I1425" s="250"/>
      <c r="J1425" s="250"/>
      <c r="K1425" s="250"/>
      <c r="L1425" s="250"/>
      <c r="M1425" s="250"/>
      <c r="N1425" s="250"/>
      <c r="O1425" s="250"/>
      <c r="P1425" s="250"/>
      <c r="Q1425" s="250"/>
      <c r="R1425" s="250"/>
      <c r="S1425" s="250"/>
      <c r="T1425" s="250"/>
      <c r="U1425" s="250"/>
      <c r="V1425" s="250"/>
      <c r="W1425" s="250"/>
      <c r="X1425" s="250"/>
      <c r="Y1425" s="250"/>
      <c r="Z1425" s="250"/>
      <c r="AA1425" s="250"/>
      <c r="AB1425" s="250"/>
      <c r="AC1425" s="250"/>
      <c r="AD1425" s="250"/>
      <c r="AE1425" s="250"/>
      <c r="AF1425" s="250"/>
      <c r="AG1425" s="250"/>
      <c r="AH1425" s="250"/>
      <c r="AI1425" s="250"/>
      <c r="AJ1425" s="250"/>
      <c r="AK1425" s="250"/>
      <c r="AL1425" s="250"/>
      <c r="AM1425" s="250"/>
      <c r="AN1425" s="250"/>
      <c r="AO1425" s="250"/>
      <c r="AP1425" s="250"/>
      <c r="AQ1425" s="250"/>
      <c r="AR1425" s="250"/>
      <c r="AS1425" s="250"/>
      <c r="AT1425" s="250"/>
      <c r="AU1425" s="250"/>
      <c r="AV1425" s="124"/>
    </row>
    <row r="1426" spans="2:48" s="475" customFormat="1" x14ac:dyDescent="0.2">
      <c r="B1426" s="250"/>
      <c r="C1426" s="250"/>
      <c r="D1426" s="250"/>
      <c r="E1426" s="250"/>
      <c r="F1426" s="250"/>
      <c r="G1426" s="250"/>
      <c r="H1426" s="250"/>
      <c r="I1426" s="250"/>
      <c r="J1426" s="250"/>
      <c r="K1426" s="250"/>
      <c r="L1426" s="250"/>
      <c r="M1426" s="250"/>
      <c r="N1426" s="250"/>
      <c r="O1426" s="250"/>
      <c r="P1426" s="250"/>
      <c r="Q1426" s="250"/>
      <c r="R1426" s="250"/>
      <c r="S1426" s="250"/>
      <c r="T1426" s="250"/>
      <c r="U1426" s="250"/>
      <c r="V1426" s="250"/>
      <c r="W1426" s="250"/>
      <c r="X1426" s="250"/>
      <c r="Y1426" s="250"/>
      <c r="Z1426" s="250"/>
      <c r="AA1426" s="250"/>
      <c r="AB1426" s="250"/>
      <c r="AC1426" s="250"/>
      <c r="AD1426" s="250"/>
      <c r="AE1426" s="250"/>
      <c r="AF1426" s="250"/>
      <c r="AG1426" s="250"/>
      <c r="AH1426" s="250"/>
      <c r="AI1426" s="250"/>
      <c r="AJ1426" s="250"/>
      <c r="AK1426" s="250"/>
      <c r="AL1426" s="250"/>
      <c r="AM1426" s="250"/>
      <c r="AN1426" s="250"/>
      <c r="AO1426" s="250"/>
      <c r="AP1426" s="250"/>
      <c r="AQ1426" s="250"/>
      <c r="AR1426" s="250"/>
      <c r="AS1426" s="250"/>
      <c r="AT1426" s="250"/>
      <c r="AU1426" s="250"/>
      <c r="AV1426" s="124"/>
    </row>
    <row r="1427" spans="2:48" s="475" customFormat="1" x14ac:dyDescent="0.2">
      <c r="B1427" s="250"/>
      <c r="C1427" s="250"/>
      <c r="D1427" s="250"/>
      <c r="E1427" s="250"/>
      <c r="F1427" s="250"/>
      <c r="G1427" s="250"/>
      <c r="H1427" s="250"/>
      <c r="I1427" s="250"/>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c r="AN1427" s="250"/>
      <c r="AO1427" s="250"/>
      <c r="AP1427" s="250"/>
      <c r="AQ1427" s="250"/>
      <c r="AR1427" s="250"/>
      <c r="AS1427" s="250"/>
      <c r="AT1427" s="250"/>
      <c r="AU1427" s="250"/>
      <c r="AV1427" s="124"/>
    </row>
    <row r="1428" spans="2:48" s="475" customFormat="1" x14ac:dyDescent="0.2">
      <c r="B1428" s="250"/>
      <c r="C1428" s="250"/>
      <c r="D1428" s="250"/>
      <c r="E1428" s="250"/>
      <c r="F1428" s="250"/>
      <c r="G1428" s="250"/>
      <c r="H1428" s="250"/>
      <c r="I1428" s="250"/>
      <c r="J1428" s="250"/>
      <c r="K1428" s="250"/>
      <c r="L1428" s="250"/>
      <c r="M1428" s="250"/>
      <c r="N1428" s="250"/>
      <c r="O1428" s="250"/>
      <c r="P1428" s="250"/>
      <c r="Q1428" s="250"/>
      <c r="R1428" s="250"/>
      <c r="S1428" s="250"/>
      <c r="T1428" s="250"/>
      <c r="U1428" s="250"/>
      <c r="V1428" s="250"/>
      <c r="W1428" s="250"/>
      <c r="X1428" s="250"/>
      <c r="Y1428" s="250"/>
      <c r="Z1428" s="250"/>
      <c r="AA1428" s="250"/>
      <c r="AB1428" s="250"/>
      <c r="AC1428" s="250"/>
      <c r="AD1428" s="250"/>
      <c r="AE1428" s="250"/>
      <c r="AF1428" s="250"/>
      <c r="AG1428" s="250"/>
      <c r="AH1428" s="250"/>
      <c r="AI1428" s="250"/>
      <c r="AJ1428" s="250"/>
      <c r="AK1428" s="250"/>
      <c r="AL1428" s="250"/>
      <c r="AM1428" s="250"/>
      <c r="AN1428" s="250"/>
      <c r="AO1428" s="250"/>
      <c r="AP1428" s="250"/>
      <c r="AQ1428" s="250"/>
      <c r="AR1428" s="250"/>
      <c r="AS1428" s="250"/>
      <c r="AT1428" s="250"/>
      <c r="AU1428" s="250"/>
      <c r="AV1428" s="124"/>
    </row>
    <row r="1429" spans="2:48" s="475" customFormat="1" x14ac:dyDescent="0.2">
      <c r="B1429" s="250"/>
      <c r="C1429" s="250"/>
      <c r="D1429" s="250"/>
      <c r="E1429" s="250"/>
      <c r="F1429" s="250"/>
      <c r="G1429" s="250"/>
      <c r="H1429" s="250"/>
      <c r="I1429" s="250"/>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c r="AN1429" s="250"/>
      <c r="AO1429" s="250"/>
      <c r="AP1429" s="250"/>
      <c r="AQ1429" s="250"/>
      <c r="AR1429" s="250"/>
      <c r="AS1429" s="250"/>
      <c r="AT1429" s="250"/>
      <c r="AU1429" s="250"/>
      <c r="AV1429" s="124"/>
    </row>
    <row r="1430" spans="2:48" s="475" customFormat="1" x14ac:dyDescent="0.2">
      <c r="B1430" s="250"/>
      <c r="C1430" s="250"/>
      <c r="D1430" s="250"/>
      <c r="E1430" s="250"/>
      <c r="F1430" s="250"/>
      <c r="G1430" s="250"/>
      <c r="H1430" s="250"/>
      <c r="I1430" s="250"/>
      <c r="J1430" s="250"/>
      <c r="K1430" s="250"/>
      <c r="L1430" s="250"/>
      <c r="M1430" s="250"/>
      <c r="N1430" s="250"/>
      <c r="O1430" s="250"/>
      <c r="P1430" s="250"/>
      <c r="Q1430" s="250"/>
      <c r="R1430" s="250"/>
      <c r="S1430" s="250"/>
      <c r="T1430" s="250"/>
      <c r="U1430" s="250"/>
      <c r="V1430" s="250"/>
      <c r="W1430" s="250"/>
      <c r="X1430" s="250"/>
      <c r="Y1430" s="250"/>
      <c r="Z1430" s="250"/>
      <c r="AA1430" s="250"/>
      <c r="AB1430" s="250"/>
      <c r="AC1430" s="250"/>
      <c r="AD1430" s="250"/>
      <c r="AE1430" s="250"/>
      <c r="AF1430" s="250"/>
      <c r="AG1430" s="250"/>
      <c r="AH1430" s="250"/>
      <c r="AI1430" s="250"/>
      <c r="AJ1430" s="250"/>
      <c r="AK1430" s="250"/>
      <c r="AL1430" s="250"/>
      <c r="AM1430" s="250"/>
      <c r="AN1430" s="250"/>
      <c r="AO1430" s="250"/>
      <c r="AP1430" s="250"/>
      <c r="AQ1430" s="250"/>
      <c r="AR1430" s="250"/>
      <c r="AS1430" s="250"/>
      <c r="AT1430" s="250"/>
      <c r="AU1430" s="250"/>
      <c r="AV1430" s="124"/>
    </row>
    <row r="1431" spans="2:48" s="475" customFormat="1" x14ac:dyDescent="0.2">
      <c r="B1431" s="250"/>
      <c r="C1431" s="250"/>
      <c r="D1431" s="250"/>
      <c r="E1431" s="250"/>
      <c r="F1431" s="250"/>
      <c r="G1431" s="250"/>
      <c r="H1431" s="250"/>
      <c r="I1431" s="250"/>
      <c r="J1431" s="250"/>
      <c r="K1431" s="250"/>
      <c r="L1431" s="250"/>
      <c r="M1431" s="250"/>
      <c r="N1431" s="250"/>
      <c r="O1431" s="250"/>
      <c r="P1431" s="250"/>
      <c r="Q1431" s="250"/>
      <c r="R1431" s="250"/>
      <c r="S1431" s="250"/>
      <c r="T1431" s="250"/>
      <c r="U1431" s="250"/>
      <c r="V1431" s="250"/>
      <c r="W1431" s="250"/>
      <c r="X1431" s="250"/>
      <c r="Y1431" s="250"/>
      <c r="Z1431" s="250"/>
      <c r="AA1431" s="250"/>
      <c r="AB1431" s="250"/>
      <c r="AC1431" s="250"/>
      <c r="AD1431" s="250"/>
      <c r="AE1431" s="250"/>
      <c r="AF1431" s="250"/>
      <c r="AG1431" s="250"/>
      <c r="AH1431" s="250"/>
      <c r="AI1431" s="250"/>
      <c r="AJ1431" s="250"/>
      <c r="AK1431" s="250"/>
      <c r="AL1431" s="250"/>
      <c r="AM1431" s="250"/>
      <c r="AN1431" s="250"/>
      <c r="AO1431" s="250"/>
      <c r="AP1431" s="250"/>
      <c r="AQ1431" s="250"/>
      <c r="AR1431" s="250"/>
      <c r="AS1431" s="250"/>
      <c r="AT1431" s="250"/>
      <c r="AU1431" s="250"/>
      <c r="AV1431" s="124"/>
    </row>
    <row r="1432" spans="2:48" s="475" customFormat="1" x14ac:dyDescent="0.2">
      <c r="B1432" s="250"/>
      <c r="C1432" s="250"/>
      <c r="D1432" s="250"/>
      <c r="E1432" s="250"/>
      <c r="F1432" s="250"/>
      <c r="G1432" s="250"/>
      <c r="H1432" s="250"/>
      <c r="I1432" s="250"/>
      <c r="J1432" s="250"/>
      <c r="K1432" s="250"/>
      <c r="L1432" s="250"/>
      <c r="M1432" s="250"/>
      <c r="N1432" s="250"/>
      <c r="O1432" s="250"/>
      <c r="P1432" s="250"/>
      <c r="Q1432" s="250"/>
      <c r="R1432" s="250"/>
      <c r="S1432" s="250"/>
      <c r="T1432" s="250"/>
      <c r="U1432" s="250"/>
      <c r="V1432" s="250"/>
      <c r="W1432" s="250"/>
      <c r="X1432" s="250"/>
      <c r="Y1432" s="250"/>
      <c r="Z1432" s="250"/>
      <c r="AA1432" s="250"/>
      <c r="AB1432" s="250"/>
      <c r="AC1432" s="250"/>
      <c r="AD1432" s="250"/>
      <c r="AE1432" s="250"/>
      <c r="AF1432" s="250"/>
      <c r="AG1432" s="250"/>
      <c r="AH1432" s="250"/>
      <c r="AI1432" s="250"/>
      <c r="AJ1432" s="250"/>
      <c r="AK1432" s="250"/>
      <c r="AL1432" s="250"/>
      <c r="AM1432" s="250"/>
      <c r="AN1432" s="250"/>
      <c r="AO1432" s="250"/>
      <c r="AP1432" s="250"/>
      <c r="AQ1432" s="250"/>
      <c r="AR1432" s="250"/>
      <c r="AS1432" s="250"/>
      <c r="AT1432" s="250"/>
      <c r="AU1432" s="250"/>
      <c r="AV1432" s="124"/>
    </row>
    <row r="1433" spans="2:48" s="475" customFormat="1" x14ac:dyDescent="0.2">
      <c r="B1433" s="250"/>
      <c r="C1433" s="250"/>
      <c r="D1433" s="250"/>
      <c r="E1433" s="250"/>
      <c r="F1433" s="250"/>
      <c r="G1433" s="250"/>
      <c r="H1433" s="250"/>
      <c r="I1433" s="250"/>
      <c r="J1433" s="250"/>
      <c r="K1433" s="250"/>
      <c r="L1433" s="250"/>
      <c r="M1433" s="250"/>
      <c r="N1433" s="250"/>
      <c r="O1433" s="250"/>
      <c r="P1433" s="250"/>
      <c r="Q1433" s="250"/>
      <c r="R1433" s="250"/>
      <c r="S1433" s="250"/>
      <c r="T1433" s="250"/>
      <c r="U1433" s="250"/>
      <c r="V1433" s="250"/>
      <c r="W1433" s="250"/>
      <c r="X1433" s="250"/>
      <c r="Y1433" s="250"/>
      <c r="Z1433" s="250"/>
      <c r="AA1433" s="250"/>
      <c r="AB1433" s="250"/>
      <c r="AC1433" s="250"/>
      <c r="AD1433" s="250"/>
      <c r="AE1433" s="250"/>
      <c r="AF1433" s="250"/>
      <c r="AG1433" s="250"/>
      <c r="AH1433" s="250"/>
      <c r="AI1433" s="250"/>
      <c r="AJ1433" s="250"/>
      <c r="AK1433" s="250"/>
      <c r="AL1433" s="250"/>
      <c r="AM1433" s="250"/>
      <c r="AN1433" s="250"/>
      <c r="AO1433" s="250"/>
      <c r="AP1433" s="250"/>
      <c r="AQ1433" s="250"/>
      <c r="AR1433" s="250"/>
      <c r="AS1433" s="250"/>
      <c r="AT1433" s="250"/>
      <c r="AU1433" s="250"/>
      <c r="AV1433" s="124"/>
    </row>
    <row r="1434" spans="2:48" s="475" customFormat="1" x14ac:dyDescent="0.2">
      <c r="B1434" s="250"/>
      <c r="C1434" s="250"/>
      <c r="D1434" s="250"/>
      <c r="E1434" s="250"/>
      <c r="F1434" s="250"/>
      <c r="G1434" s="250"/>
      <c r="H1434" s="250"/>
      <c r="I1434" s="250"/>
      <c r="J1434" s="250"/>
      <c r="K1434" s="250"/>
      <c r="L1434" s="250"/>
      <c r="M1434" s="250"/>
      <c r="N1434" s="250"/>
      <c r="O1434" s="250"/>
      <c r="P1434" s="250"/>
      <c r="Q1434" s="250"/>
      <c r="R1434" s="250"/>
      <c r="S1434" s="250"/>
      <c r="T1434" s="250"/>
      <c r="U1434" s="250"/>
      <c r="V1434" s="250"/>
      <c r="W1434" s="250"/>
      <c r="X1434" s="250"/>
      <c r="Y1434" s="250"/>
      <c r="Z1434" s="250"/>
      <c r="AA1434" s="250"/>
      <c r="AB1434" s="250"/>
      <c r="AC1434" s="250"/>
      <c r="AD1434" s="250"/>
      <c r="AE1434" s="250"/>
      <c r="AF1434" s="250"/>
      <c r="AG1434" s="250"/>
      <c r="AH1434" s="250"/>
      <c r="AI1434" s="250"/>
      <c r="AJ1434" s="250"/>
      <c r="AK1434" s="250"/>
      <c r="AL1434" s="250"/>
      <c r="AM1434" s="250"/>
      <c r="AN1434" s="250"/>
      <c r="AO1434" s="250"/>
      <c r="AP1434" s="250"/>
      <c r="AQ1434" s="250"/>
      <c r="AR1434" s="250"/>
      <c r="AS1434" s="250"/>
      <c r="AT1434" s="250"/>
      <c r="AU1434" s="250"/>
      <c r="AV1434" s="124"/>
    </row>
    <row r="1435" spans="2:48" s="475" customFormat="1" x14ac:dyDescent="0.2">
      <c r="B1435" s="250"/>
      <c r="C1435" s="250"/>
      <c r="D1435" s="250"/>
      <c r="E1435" s="250"/>
      <c r="F1435" s="250"/>
      <c r="G1435" s="250"/>
      <c r="H1435" s="250"/>
      <c r="I1435" s="250"/>
      <c r="J1435" s="250"/>
      <c r="K1435" s="250"/>
      <c r="L1435" s="250"/>
      <c r="M1435" s="250"/>
      <c r="N1435" s="250"/>
      <c r="O1435" s="250"/>
      <c r="P1435" s="250"/>
      <c r="Q1435" s="250"/>
      <c r="R1435" s="250"/>
      <c r="S1435" s="250"/>
      <c r="T1435" s="250"/>
      <c r="U1435" s="250"/>
      <c r="V1435" s="250"/>
      <c r="W1435" s="250"/>
      <c r="X1435" s="250"/>
      <c r="Y1435" s="250"/>
      <c r="Z1435" s="250"/>
      <c r="AA1435" s="250"/>
      <c r="AB1435" s="250"/>
      <c r="AC1435" s="250"/>
      <c r="AD1435" s="250"/>
      <c r="AE1435" s="250"/>
      <c r="AF1435" s="250"/>
      <c r="AG1435" s="250"/>
      <c r="AH1435" s="250"/>
      <c r="AI1435" s="250"/>
      <c r="AJ1435" s="250"/>
      <c r="AK1435" s="250"/>
      <c r="AL1435" s="250"/>
      <c r="AM1435" s="250"/>
      <c r="AN1435" s="250"/>
      <c r="AO1435" s="250"/>
      <c r="AP1435" s="250"/>
      <c r="AQ1435" s="250"/>
      <c r="AR1435" s="250"/>
      <c r="AS1435" s="250"/>
      <c r="AT1435" s="250"/>
      <c r="AU1435" s="250"/>
      <c r="AV1435" s="124"/>
    </row>
    <row r="1436" spans="2:48" s="475" customFormat="1" x14ac:dyDescent="0.2">
      <c r="B1436" s="250"/>
      <c r="C1436" s="250"/>
      <c r="D1436" s="250"/>
      <c r="E1436" s="250"/>
      <c r="F1436" s="250"/>
      <c r="G1436" s="250"/>
      <c r="H1436" s="250"/>
      <c r="I1436" s="250"/>
      <c r="J1436" s="250"/>
      <c r="K1436" s="250"/>
      <c r="L1436" s="250"/>
      <c r="M1436" s="250"/>
      <c r="N1436" s="250"/>
      <c r="O1436" s="250"/>
      <c r="P1436" s="250"/>
      <c r="Q1436" s="250"/>
      <c r="R1436" s="250"/>
      <c r="S1436" s="250"/>
      <c r="T1436" s="250"/>
      <c r="U1436" s="250"/>
      <c r="V1436" s="250"/>
      <c r="W1436" s="250"/>
      <c r="X1436" s="250"/>
      <c r="Y1436" s="250"/>
      <c r="Z1436" s="250"/>
      <c r="AA1436" s="250"/>
      <c r="AB1436" s="250"/>
      <c r="AC1436" s="250"/>
      <c r="AD1436" s="250"/>
      <c r="AE1436" s="250"/>
      <c r="AF1436" s="250"/>
      <c r="AG1436" s="250"/>
      <c r="AH1436" s="250"/>
      <c r="AI1436" s="250"/>
      <c r="AJ1436" s="250"/>
      <c r="AK1436" s="250"/>
      <c r="AL1436" s="250"/>
      <c r="AM1436" s="250"/>
      <c r="AN1436" s="250"/>
      <c r="AO1436" s="250"/>
      <c r="AP1436" s="250"/>
      <c r="AQ1436" s="250"/>
      <c r="AR1436" s="250"/>
      <c r="AS1436" s="250"/>
      <c r="AT1436" s="250"/>
      <c r="AU1436" s="250"/>
      <c r="AV1436" s="124"/>
    </row>
    <row r="1437" spans="2:48" s="475" customFormat="1" x14ac:dyDescent="0.2">
      <c r="B1437" s="250"/>
      <c r="C1437" s="250"/>
      <c r="D1437" s="250"/>
      <c r="E1437" s="250"/>
      <c r="F1437" s="250"/>
      <c r="G1437" s="250"/>
      <c r="H1437" s="250"/>
      <c r="I1437" s="250"/>
      <c r="J1437" s="250"/>
      <c r="K1437" s="250"/>
      <c r="L1437" s="250"/>
      <c r="M1437" s="250"/>
      <c r="N1437" s="250"/>
      <c r="O1437" s="250"/>
      <c r="P1437" s="250"/>
      <c r="Q1437" s="250"/>
      <c r="R1437" s="250"/>
      <c r="S1437" s="250"/>
      <c r="T1437" s="250"/>
      <c r="U1437" s="250"/>
      <c r="V1437" s="250"/>
      <c r="W1437" s="250"/>
      <c r="X1437" s="250"/>
      <c r="Y1437" s="250"/>
      <c r="Z1437" s="250"/>
      <c r="AA1437" s="250"/>
      <c r="AB1437" s="250"/>
      <c r="AC1437" s="250"/>
      <c r="AD1437" s="250"/>
      <c r="AE1437" s="250"/>
      <c r="AF1437" s="250"/>
      <c r="AG1437" s="250"/>
      <c r="AH1437" s="250"/>
      <c r="AI1437" s="250"/>
      <c r="AJ1437" s="250"/>
      <c r="AK1437" s="250"/>
      <c r="AL1437" s="250"/>
      <c r="AM1437" s="250"/>
      <c r="AN1437" s="250"/>
      <c r="AO1437" s="250"/>
      <c r="AP1437" s="250"/>
      <c r="AQ1437" s="250"/>
      <c r="AR1437" s="250"/>
      <c r="AS1437" s="250"/>
      <c r="AT1437" s="250"/>
      <c r="AU1437" s="250"/>
      <c r="AV1437" s="124"/>
    </row>
    <row r="1438" spans="2:48" s="475" customFormat="1" x14ac:dyDescent="0.2">
      <c r="B1438" s="250"/>
      <c r="C1438" s="250"/>
      <c r="D1438" s="250"/>
      <c r="E1438" s="250"/>
      <c r="F1438" s="250"/>
      <c r="G1438" s="250"/>
      <c r="H1438" s="250"/>
      <c r="I1438" s="250"/>
      <c r="J1438" s="250"/>
      <c r="K1438" s="250"/>
      <c r="L1438" s="250"/>
      <c r="M1438" s="250"/>
      <c r="N1438" s="250"/>
      <c r="O1438" s="250"/>
      <c r="P1438" s="250"/>
      <c r="Q1438" s="250"/>
      <c r="R1438" s="250"/>
      <c r="S1438" s="250"/>
      <c r="T1438" s="250"/>
      <c r="U1438" s="250"/>
      <c r="V1438" s="250"/>
      <c r="W1438" s="250"/>
      <c r="X1438" s="250"/>
      <c r="Y1438" s="250"/>
      <c r="Z1438" s="250"/>
      <c r="AA1438" s="250"/>
      <c r="AB1438" s="250"/>
      <c r="AC1438" s="250"/>
      <c r="AD1438" s="250"/>
      <c r="AE1438" s="250"/>
      <c r="AF1438" s="250"/>
      <c r="AG1438" s="250"/>
      <c r="AH1438" s="250"/>
      <c r="AI1438" s="250"/>
      <c r="AJ1438" s="250"/>
      <c r="AK1438" s="250"/>
      <c r="AL1438" s="250"/>
      <c r="AM1438" s="250"/>
      <c r="AN1438" s="250"/>
      <c r="AO1438" s="250"/>
      <c r="AP1438" s="250"/>
      <c r="AQ1438" s="250"/>
      <c r="AR1438" s="250"/>
      <c r="AS1438" s="250"/>
      <c r="AT1438" s="250"/>
      <c r="AU1438" s="250"/>
      <c r="AV1438" s="124"/>
    </row>
    <row r="1439" spans="2:48" s="475" customFormat="1" x14ac:dyDescent="0.2">
      <c r="B1439" s="250"/>
      <c r="C1439" s="250"/>
      <c r="D1439" s="250"/>
      <c r="E1439" s="250"/>
      <c r="F1439" s="250"/>
      <c r="G1439" s="250"/>
      <c r="H1439" s="250"/>
      <c r="I1439" s="250"/>
      <c r="J1439" s="250"/>
      <c r="K1439" s="250"/>
      <c r="L1439" s="250"/>
      <c r="M1439" s="250"/>
      <c r="N1439" s="250"/>
      <c r="O1439" s="250"/>
      <c r="P1439" s="250"/>
      <c r="Q1439" s="250"/>
      <c r="R1439" s="250"/>
      <c r="S1439" s="250"/>
      <c r="T1439" s="250"/>
      <c r="U1439" s="250"/>
      <c r="V1439" s="250"/>
      <c r="W1439" s="250"/>
      <c r="X1439" s="250"/>
      <c r="Y1439" s="250"/>
      <c r="Z1439" s="250"/>
      <c r="AA1439" s="250"/>
      <c r="AB1439" s="250"/>
      <c r="AC1439" s="250"/>
      <c r="AD1439" s="250"/>
      <c r="AE1439" s="250"/>
      <c r="AF1439" s="250"/>
      <c r="AG1439" s="250"/>
      <c r="AH1439" s="250"/>
      <c r="AI1439" s="250"/>
      <c r="AJ1439" s="250"/>
      <c r="AK1439" s="250"/>
      <c r="AL1439" s="250"/>
      <c r="AM1439" s="250"/>
      <c r="AN1439" s="250"/>
      <c r="AO1439" s="250"/>
      <c r="AP1439" s="250"/>
      <c r="AQ1439" s="250"/>
      <c r="AR1439" s="250"/>
      <c r="AS1439" s="250"/>
      <c r="AT1439" s="250"/>
      <c r="AU1439" s="250"/>
      <c r="AV1439" s="124"/>
    </row>
    <row r="1440" spans="2:48" s="475" customFormat="1" x14ac:dyDescent="0.2">
      <c r="B1440" s="250"/>
      <c r="C1440" s="250"/>
      <c r="D1440" s="250"/>
      <c r="E1440" s="250"/>
      <c r="F1440" s="250"/>
      <c r="G1440" s="250"/>
      <c r="H1440" s="250"/>
      <c r="I1440" s="250"/>
      <c r="J1440" s="250"/>
      <c r="K1440" s="250"/>
      <c r="L1440" s="250"/>
      <c r="M1440" s="250"/>
      <c r="N1440" s="250"/>
      <c r="O1440" s="250"/>
      <c r="P1440" s="250"/>
      <c r="Q1440" s="250"/>
      <c r="R1440" s="250"/>
      <c r="S1440" s="250"/>
      <c r="T1440" s="250"/>
      <c r="U1440" s="250"/>
      <c r="V1440" s="250"/>
      <c r="W1440" s="250"/>
      <c r="X1440" s="250"/>
      <c r="Y1440" s="250"/>
      <c r="Z1440" s="250"/>
      <c r="AA1440" s="250"/>
      <c r="AB1440" s="250"/>
      <c r="AC1440" s="250"/>
      <c r="AD1440" s="250"/>
      <c r="AE1440" s="250"/>
      <c r="AF1440" s="250"/>
      <c r="AG1440" s="250"/>
      <c r="AH1440" s="250"/>
      <c r="AI1440" s="250"/>
      <c r="AJ1440" s="250"/>
      <c r="AK1440" s="250"/>
      <c r="AL1440" s="250"/>
      <c r="AM1440" s="250"/>
      <c r="AN1440" s="250"/>
      <c r="AO1440" s="250"/>
      <c r="AP1440" s="250"/>
      <c r="AQ1440" s="250"/>
      <c r="AR1440" s="250"/>
      <c r="AS1440" s="250"/>
      <c r="AT1440" s="250"/>
      <c r="AU1440" s="250"/>
      <c r="AV1440" s="124"/>
    </row>
    <row r="1441" spans="2:48" s="475" customFormat="1" x14ac:dyDescent="0.2">
      <c r="B1441" s="250"/>
      <c r="C1441" s="250"/>
      <c r="D1441" s="250"/>
      <c r="E1441" s="250"/>
      <c r="F1441" s="250"/>
      <c r="G1441" s="250"/>
      <c r="H1441" s="250"/>
      <c r="I1441" s="250"/>
      <c r="J1441" s="250"/>
      <c r="K1441" s="250"/>
      <c r="L1441" s="250"/>
      <c r="M1441" s="250"/>
      <c r="N1441" s="250"/>
      <c r="O1441" s="250"/>
      <c r="P1441" s="250"/>
      <c r="Q1441" s="250"/>
      <c r="R1441" s="250"/>
      <c r="S1441" s="250"/>
      <c r="T1441" s="250"/>
      <c r="U1441" s="250"/>
      <c r="V1441" s="250"/>
      <c r="W1441" s="250"/>
      <c r="X1441" s="250"/>
      <c r="Y1441" s="250"/>
      <c r="Z1441" s="250"/>
      <c r="AA1441" s="250"/>
      <c r="AB1441" s="250"/>
      <c r="AC1441" s="250"/>
      <c r="AD1441" s="250"/>
      <c r="AE1441" s="250"/>
      <c r="AF1441" s="250"/>
      <c r="AG1441" s="250"/>
      <c r="AH1441" s="250"/>
      <c r="AI1441" s="250"/>
      <c r="AJ1441" s="250"/>
      <c r="AK1441" s="250"/>
      <c r="AL1441" s="250"/>
      <c r="AM1441" s="250"/>
      <c r="AN1441" s="250"/>
      <c r="AO1441" s="250"/>
      <c r="AP1441" s="250"/>
      <c r="AQ1441" s="250"/>
      <c r="AR1441" s="250"/>
      <c r="AS1441" s="250"/>
      <c r="AT1441" s="250"/>
      <c r="AU1441" s="250"/>
      <c r="AV1441" s="124"/>
    </row>
    <row r="1442" spans="2:48" s="475" customFormat="1" x14ac:dyDescent="0.2">
      <c r="B1442" s="250"/>
      <c r="C1442" s="250"/>
      <c r="D1442" s="250"/>
      <c r="E1442" s="250"/>
      <c r="F1442" s="250"/>
      <c r="G1442" s="250"/>
      <c r="H1442" s="250"/>
      <c r="I1442" s="250"/>
      <c r="J1442" s="250"/>
      <c r="K1442" s="250"/>
      <c r="L1442" s="250"/>
      <c r="M1442" s="250"/>
      <c r="N1442" s="250"/>
      <c r="O1442" s="250"/>
      <c r="P1442" s="250"/>
      <c r="Q1442" s="250"/>
      <c r="R1442" s="250"/>
      <c r="S1442" s="250"/>
      <c r="T1442" s="250"/>
      <c r="U1442" s="250"/>
      <c r="V1442" s="250"/>
      <c r="W1442" s="250"/>
      <c r="X1442" s="250"/>
      <c r="Y1442" s="250"/>
      <c r="Z1442" s="250"/>
      <c r="AA1442" s="250"/>
      <c r="AB1442" s="250"/>
      <c r="AC1442" s="250"/>
      <c r="AD1442" s="250"/>
      <c r="AE1442" s="250"/>
      <c r="AF1442" s="250"/>
      <c r="AG1442" s="250"/>
      <c r="AH1442" s="250"/>
      <c r="AI1442" s="250"/>
      <c r="AJ1442" s="250"/>
      <c r="AK1442" s="250"/>
      <c r="AL1442" s="250"/>
      <c r="AM1442" s="250"/>
      <c r="AN1442" s="250"/>
      <c r="AO1442" s="250"/>
      <c r="AP1442" s="250"/>
      <c r="AQ1442" s="250"/>
      <c r="AR1442" s="250"/>
      <c r="AS1442" s="250"/>
      <c r="AT1442" s="250"/>
      <c r="AU1442" s="250"/>
      <c r="AV1442" s="124"/>
    </row>
    <row r="1443" spans="2:48" s="475" customFormat="1" x14ac:dyDescent="0.2">
      <c r="B1443" s="250"/>
      <c r="C1443" s="250"/>
      <c r="D1443" s="250"/>
      <c r="E1443" s="250"/>
      <c r="F1443" s="250"/>
      <c r="G1443" s="250"/>
      <c r="H1443" s="250"/>
      <c r="I1443" s="250"/>
      <c r="J1443" s="250"/>
      <c r="K1443" s="250"/>
      <c r="L1443" s="250"/>
      <c r="M1443" s="250"/>
      <c r="N1443" s="250"/>
      <c r="O1443" s="250"/>
      <c r="P1443" s="250"/>
      <c r="Q1443" s="250"/>
      <c r="R1443" s="250"/>
      <c r="S1443" s="250"/>
      <c r="T1443" s="250"/>
      <c r="U1443" s="250"/>
      <c r="V1443" s="250"/>
      <c r="W1443" s="250"/>
      <c r="X1443" s="250"/>
      <c r="Y1443" s="250"/>
      <c r="Z1443" s="250"/>
      <c r="AA1443" s="250"/>
      <c r="AB1443" s="250"/>
      <c r="AC1443" s="250"/>
      <c r="AD1443" s="250"/>
      <c r="AE1443" s="250"/>
      <c r="AF1443" s="250"/>
      <c r="AG1443" s="250"/>
      <c r="AH1443" s="250"/>
      <c r="AI1443" s="250"/>
      <c r="AJ1443" s="250"/>
      <c r="AK1443" s="250"/>
      <c r="AL1443" s="250"/>
      <c r="AM1443" s="250"/>
      <c r="AN1443" s="250"/>
      <c r="AO1443" s="250"/>
      <c r="AP1443" s="250"/>
      <c r="AQ1443" s="250"/>
      <c r="AR1443" s="250"/>
      <c r="AS1443" s="250"/>
      <c r="AT1443" s="250"/>
      <c r="AU1443" s="250"/>
      <c r="AV1443" s="124"/>
    </row>
    <row r="1444" spans="2:48" s="475" customFormat="1" x14ac:dyDescent="0.2">
      <c r="B1444" s="250"/>
      <c r="C1444" s="250"/>
      <c r="D1444" s="250"/>
      <c r="E1444" s="250"/>
      <c r="F1444" s="250"/>
      <c r="G1444" s="250"/>
      <c r="H1444" s="250"/>
      <c r="I1444" s="250"/>
      <c r="J1444" s="250"/>
      <c r="K1444" s="250"/>
      <c r="L1444" s="250"/>
      <c r="M1444" s="250"/>
      <c r="N1444" s="250"/>
      <c r="O1444" s="250"/>
      <c r="P1444" s="250"/>
      <c r="Q1444" s="250"/>
      <c r="R1444" s="250"/>
      <c r="S1444" s="250"/>
      <c r="T1444" s="250"/>
      <c r="U1444" s="250"/>
      <c r="V1444" s="250"/>
      <c r="W1444" s="250"/>
      <c r="X1444" s="250"/>
      <c r="Y1444" s="250"/>
      <c r="Z1444" s="250"/>
      <c r="AA1444" s="250"/>
      <c r="AB1444" s="250"/>
      <c r="AC1444" s="250"/>
      <c r="AD1444" s="250"/>
      <c r="AE1444" s="250"/>
      <c r="AF1444" s="250"/>
      <c r="AG1444" s="250"/>
      <c r="AH1444" s="250"/>
      <c r="AI1444" s="250"/>
      <c r="AJ1444" s="250"/>
      <c r="AK1444" s="250"/>
      <c r="AL1444" s="250"/>
      <c r="AM1444" s="250"/>
      <c r="AN1444" s="250"/>
      <c r="AO1444" s="250"/>
      <c r="AP1444" s="250"/>
      <c r="AQ1444" s="250"/>
      <c r="AR1444" s="250"/>
      <c r="AS1444" s="250"/>
      <c r="AT1444" s="250"/>
      <c r="AU1444" s="250"/>
      <c r="AV1444" s="124"/>
    </row>
    <row r="1445" spans="2:48" s="475" customFormat="1" x14ac:dyDescent="0.2">
      <c r="B1445" s="250"/>
      <c r="C1445" s="250"/>
      <c r="D1445" s="250"/>
      <c r="E1445" s="250"/>
      <c r="F1445" s="250"/>
      <c r="G1445" s="250"/>
      <c r="H1445" s="250"/>
      <c r="I1445" s="250"/>
      <c r="J1445" s="250"/>
      <c r="K1445" s="250"/>
      <c r="L1445" s="250"/>
      <c r="M1445" s="250"/>
      <c r="N1445" s="250"/>
      <c r="O1445" s="250"/>
      <c r="P1445" s="250"/>
      <c r="Q1445" s="250"/>
      <c r="R1445" s="250"/>
      <c r="S1445" s="250"/>
      <c r="T1445" s="250"/>
      <c r="U1445" s="250"/>
      <c r="V1445" s="250"/>
      <c r="W1445" s="250"/>
      <c r="X1445" s="250"/>
      <c r="Y1445" s="250"/>
      <c r="Z1445" s="250"/>
      <c r="AA1445" s="250"/>
      <c r="AB1445" s="250"/>
      <c r="AC1445" s="250"/>
      <c r="AD1445" s="250"/>
      <c r="AE1445" s="250"/>
      <c r="AF1445" s="250"/>
      <c r="AG1445" s="250"/>
      <c r="AH1445" s="250"/>
      <c r="AI1445" s="250"/>
      <c r="AJ1445" s="250"/>
      <c r="AK1445" s="250"/>
      <c r="AL1445" s="250"/>
      <c r="AM1445" s="250"/>
      <c r="AN1445" s="250"/>
      <c r="AO1445" s="250"/>
      <c r="AP1445" s="250"/>
      <c r="AQ1445" s="250"/>
      <c r="AR1445" s="250"/>
      <c r="AS1445" s="250"/>
      <c r="AT1445" s="250"/>
      <c r="AU1445" s="250"/>
      <c r="AV1445" s="124"/>
    </row>
    <row r="1446" spans="2:48" s="475" customFormat="1" x14ac:dyDescent="0.2">
      <c r="B1446" s="250"/>
      <c r="C1446" s="250"/>
      <c r="D1446" s="250"/>
      <c r="E1446" s="250"/>
      <c r="F1446" s="250"/>
      <c r="G1446" s="250"/>
      <c r="H1446" s="250"/>
      <c r="I1446" s="250"/>
      <c r="J1446" s="250"/>
      <c r="K1446" s="250"/>
      <c r="L1446" s="250"/>
      <c r="M1446" s="250"/>
      <c r="N1446" s="250"/>
      <c r="O1446" s="250"/>
      <c r="P1446" s="250"/>
      <c r="Q1446" s="250"/>
      <c r="R1446" s="250"/>
      <c r="S1446" s="250"/>
      <c r="T1446" s="250"/>
      <c r="U1446" s="250"/>
      <c r="V1446" s="250"/>
      <c r="W1446" s="250"/>
      <c r="X1446" s="250"/>
      <c r="Y1446" s="250"/>
      <c r="Z1446" s="250"/>
      <c r="AA1446" s="250"/>
      <c r="AB1446" s="250"/>
      <c r="AC1446" s="250"/>
      <c r="AD1446" s="250"/>
      <c r="AE1446" s="250"/>
      <c r="AF1446" s="250"/>
      <c r="AG1446" s="250"/>
      <c r="AH1446" s="250"/>
      <c r="AI1446" s="250"/>
      <c r="AJ1446" s="250"/>
      <c r="AK1446" s="250"/>
      <c r="AL1446" s="250"/>
      <c r="AM1446" s="250"/>
      <c r="AN1446" s="250"/>
      <c r="AO1446" s="250"/>
      <c r="AP1446" s="250"/>
      <c r="AQ1446" s="250"/>
      <c r="AR1446" s="250"/>
      <c r="AS1446" s="250"/>
      <c r="AT1446" s="250"/>
      <c r="AU1446" s="250"/>
      <c r="AV1446" s="124"/>
    </row>
    <row r="1447" spans="2:48" s="475" customFormat="1" x14ac:dyDescent="0.2">
      <c r="B1447" s="250"/>
      <c r="C1447" s="250"/>
      <c r="D1447" s="250"/>
      <c r="E1447" s="250"/>
      <c r="F1447" s="250"/>
      <c r="G1447" s="250"/>
      <c r="H1447" s="250"/>
      <c r="I1447" s="250"/>
      <c r="J1447" s="250"/>
      <c r="K1447" s="250"/>
      <c r="L1447" s="250"/>
      <c r="M1447" s="250"/>
      <c r="N1447" s="250"/>
      <c r="O1447" s="250"/>
      <c r="P1447" s="250"/>
      <c r="Q1447" s="250"/>
      <c r="R1447" s="250"/>
      <c r="S1447" s="250"/>
      <c r="T1447" s="250"/>
      <c r="U1447" s="250"/>
      <c r="V1447" s="250"/>
      <c r="W1447" s="250"/>
      <c r="X1447" s="250"/>
      <c r="Y1447" s="250"/>
      <c r="Z1447" s="250"/>
      <c r="AA1447" s="250"/>
      <c r="AB1447" s="250"/>
      <c r="AC1447" s="250"/>
      <c r="AD1447" s="250"/>
      <c r="AE1447" s="250"/>
      <c r="AF1447" s="250"/>
      <c r="AG1447" s="250"/>
      <c r="AH1447" s="250"/>
      <c r="AI1447" s="250"/>
      <c r="AJ1447" s="250"/>
      <c r="AK1447" s="250"/>
      <c r="AL1447" s="250"/>
      <c r="AM1447" s="250"/>
      <c r="AN1447" s="250"/>
      <c r="AO1447" s="250"/>
      <c r="AP1447" s="250"/>
      <c r="AQ1447" s="250"/>
      <c r="AR1447" s="250"/>
      <c r="AS1447" s="250"/>
      <c r="AT1447" s="250"/>
      <c r="AU1447" s="250"/>
      <c r="AV1447" s="124"/>
    </row>
    <row r="1448" spans="2:48" s="475" customFormat="1" x14ac:dyDescent="0.2">
      <c r="B1448" s="250"/>
      <c r="C1448" s="250"/>
      <c r="D1448" s="250"/>
      <c r="E1448" s="250"/>
      <c r="F1448" s="250"/>
      <c r="G1448" s="250"/>
      <c r="H1448" s="250"/>
      <c r="I1448" s="250"/>
      <c r="J1448" s="250"/>
      <c r="K1448" s="250"/>
      <c r="L1448" s="250"/>
      <c r="M1448" s="250"/>
      <c r="N1448" s="250"/>
      <c r="O1448" s="250"/>
      <c r="P1448" s="250"/>
      <c r="Q1448" s="250"/>
      <c r="R1448" s="250"/>
      <c r="S1448" s="250"/>
      <c r="T1448" s="250"/>
      <c r="U1448" s="250"/>
      <c r="V1448" s="250"/>
      <c r="W1448" s="250"/>
      <c r="X1448" s="250"/>
      <c r="Y1448" s="250"/>
      <c r="Z1448" s="250"/>
      <c r="AA1448" s="250"/>
      <c r="AB1448" s="250"/>
      <c r="AC1448" s="250"/>
      <c r="AD1448" s="250"/>
      <c r="AE1448" s="250"/>
      <c r="AF1448" s="250"/>
      <c r="AG1448" s="250"/>
      <c r="AH1448" s="250"/>
      <c r="AI1448" s="250"/>
      <c r="AJ1448" s="250"/>
      <c r="AK1448" s="250"/>
      <c r="AL1448" s="250"/>
      <c r="AM1448" s="250"/>
      <c r="AN1448" s="250"/>
      <c r="AO1448" s="250"/>
      <c r="AP1448" s="250"/>
      <c r="AQ1448" s="250"/>
      <c r="AR1448" s="250"/>
      <c r="AS1448" s="250"/>
      <c r="AT1448" s="250"/>
      <c r="AU1448" s="250"/>
      <c r="AV1448" s="124"/>
    </row>
    <row r="1449" spans="2:48" s="475" customFormat="1" x14ac:dyDescent="0.2">
      <c r="B1449" s="250"/>
      <c r="C1449" s="250"/>
      <c r="D1449" s="250"/>
      <c r="E1449" s="250"/>
      <c r="F1449" s="250"/>
      <c r="G1449" s="250"/>
      <c r="H1449" s="250"/>
      <c r="I1449" s="250"/>
      <c r="J1449" s="250"/>
      <c r="K1449" s="250"/>
      <c r="L1449" s="250"/>
      <c r="M1449" s="250"/>
      <c r="N1449" s="250"/>
      <c r="O1449" s="250"/>
      <c r="P1449" s="250"/>
      <c r="Q1449" s="250"/>
      <c r="R1449" s="250"/>
      <c r="S1449" s="250"/>
      <c r="T1449" s="250"/>
      <c r="U1449" s="250"/>
      <c r="V1449" s="250"/>
      <c r="W1449" s="250"/>
      <c r="X1449" s="250"/>
      <c r="Y1449" s="250"/>
      <c r="Z1449" s="250"/>
      <c r="AA1449" s="250"/>
      <c r="AB1449" s="250"/>
      <c r="AC1449" s="250"/>
      <c r="AD1449" s="250"/>
      <c r="AE1449" s="250"/>
      <c r="AF1449" s="250"/>
      <c r="AG1449" s="250"/>
      <c r="AH1449" s="250"/>
      <c r="AI1449" s="250"/>
      <c r="AJ1449" s="250"/>
      <c r="AK1449" s="250"/>
      <c r="AL1449" s="250"/>
      <c r="AM1449" s="250"/>
      <c r="AN1449" s="250"/>
      <c r="AO1449" s="250"/>
      <c r="AP1449" s="250"/>
      <c r="AQ1449" s="250"/>
      <c r="AR1449" s="250"/>
      <c r="AS1449" s="250"/>
      <c r="AT1449" s="250"/>
      <c r="AU1449" s="250"/>
      <c r="AV1449" s="124"/>
    </row>
    <row r="1450" spans="2:48" s="475" customFormat="1" x14ac:dyDescent="0.2">
      <c r="B1450" s="250"/>
      <c r="C1450" s="250"/>
      <c r="D1450" s="250"/>
      <c r="E1450" s="250"/>
      <c r="F1450" s="250"/>
      <c r="G1450" s="250"/>
      <c r="H1450" s="250"/>
      <c r="I1450" s="250"/>
      <c r="J1450" s="250"/>
      <c r="K1450" s="250"/>
      <c r="L1450" s="250"/>
      <c r="M1450" s="250"/>
      <c r="N1450" s="250"/>
      <c r="O1450" s="250"/>
      <c r="P1450" s="250"/>
      <c r="Q1450" s="250"/>
      <c r="R1450" s="250"/>
      <c r="S1450" s="250"/>
      <c r="T1450" s="250"/>
      <c r="U1450" s="250"/>
      <c r="V1450" s="250"/>
      <c r="W1450" s="250"/>
      <c r="X1450" s="250"/>
      <c r="Y1450" s="250"/>
      <c r="Z1450" s="250"/>
      <c r="AA1450" s="250"/>
      <c r="AB1450" s="250"/>
      <c r="AC1450" s="250"/>
      <c r="AD1450" s="250"/>
      <c r="AE1450" s="250"/>
      <c r="AF1450" s="250"/>
      <c r="AG1450" s="250"/>
      <c r="AH1450" s="250"/>
      <c r="AI1450" s="250"/>
      <c r="AJ1450" s="250"/>
      <c r="AK1450" s="250"/>
      <c r="AL1450" s="250"/>
      <c r="AM1450" s="250"/>
      <c r="AN1450" s="250"/>
      <c r="AO1450" s="250"/>
      <c r="AP1450" s="250"/>
      <c r="AQ1450" s="250"/>
      <c r="AR1450" s="250"/>
      <c r="AS1450" s="250"/>
      <c r="AT1450" s="250"/>
      <c r="AU1450" s="250"/>
      <c r="AV1450" s="124"/>
    </row>
    <row r="1451" spans="2:48" s="475" customFormat="1" x14ac:dyDescent="0.2">
      <c r="B1451" s="250"/>
      <c r="C1451" s="250"/>
      <c r="D1451" s="250"/>
      <c r="E1451" s="250"/>
      <c r="F1451" s="250"/>
      <c r="G1451" s="250"/>
      <c r="H1451" s="250"/>
      <c r="I1451" s="250"/>
      <c r="J1451" s="250"/>
      <c r="K1451" s="250"/>
      <c r="L1451" s="250"/>
      <c r="M1451" s="250"/>
      <c r="N1451" s="250"/>
      <c r="O1451" s="250"/>
      <c r="P1451" s="250"/>
      <c r="Q1451" s="250"/>
      <c r="R1451" s="250"/>
      <c r="S1451" s="250"/>
      <c r="T1451" s="250"/>
      <c r="U1451" s="250"/>
      <c r="V1451" s="250"/>
      <c r="W1451" s="250"/>
      <c r="X1451" s="250"/>
      <c r="Y1451" s="250"/>
      <c r="Z1451" s="250"/>
      <c r="AA1451" s="250"/>
      <c r="AB1451" s="250"/>
      <c r="AC1451" s="250"/>
      <c r="AD1451" s="250"/>
      <c r="AE1451" s="250"/>
      <c r="AF1451" s="250"/>
      <c r="AG1451" s="250"/>
      <c r="AH1451" s="250"/>
      <c r="AI1451" s="250"/>
      <c r="AJ1451" s="250"/>
      <c r="AK1451" s="250"/>
      <c r="AL1451" s="250"/>
      <c r="AM1451" s="250"/>
      <c r="AN1451" s="250"/>
      <c r="AO1451" s="250"/>
      <c r="AP1451" s="250"/>
      <c r="AQ1451" s="250"/>
      <c r="AR1451" s="250"/>
      <c r="AS1451" s="250"/>
      <c r="AT1451" s="250"/>
      <c r="AU1451" s="250"/>
      <c r="AV1451" s="124"/>
    </row>
    <row r="1452" spans="2:48" s="475" customFormat="1" x14ac:dyDescent="0.2">
      <c r="B1452" s="250"/>
      <c r="C1452" s="250"/>
      <c r="D1452" s="250"/>
      <c r="E1452" s="250"/>
      <c r="F1452" s="250"/>
      <c r="G1452" s="250"/>
      <c r="H1452" s="250"/>
      <c r="I1452" s="250"/>
      <c r="J1452" s="250"/>
      <c r="K1452" s="250"/>
      <c r="L1452" s="250"/>
      <c r="M1452" s="250"/>
      <c r="N1452" s="250"/>
      <c r="O1452" s="250"/>
      <c r="P1452" s="250"/>
      <c r="Q1452" s="250"/>
      <c r="R1452" s="250"/>
      <c r="S1452" s="250"/>
      <c r="T1452" s="250"/>
      <c r="U1452" s="250"/>
      <c r="V1452" s="250"/>
      <c r="W1452" s="250"/>
      <c r="X1452" s="250"/>
      <c r="Y1452" s="250"/>
      <c r="Z1452" s="250"/>
      <c r="AA1452" s="250"/>
      <c r="AB1452" s="250"/>
      <c r="AC1452" s="250"/>
      <c r="AD1452" s="250"/>
      <c r="AE1452" s="250"/>
      <c r="AF1452" s="250"/>
      <c r="AG1452" s="250"/>
      <c r="AH1452" s="250"/>
      <c r="AI1452" s="250"/>
      <c r="AJ1452" s="250"/>
      <c r="AK1452" s="250"/>
      <c r="AL1452" s="250"/>
      <c r="AM1452" s="250"/>
      <c r="AN1452" s="250"/>
      <c r="AO1452" s="250"/>
      <c r="AP1452" s="250"/>
      <c r="AQ1452" s="250"/>
      <c r="AR1452" s="250"/>
      <c r="AS1452" s="250"/>
      <c r="AT1452" s="250"/>
      <c r="AU1452" s="250"/>
      <c r="AV1452" s="124"/>
    </row>
    <row r="1453" spans="2:48" s="475" customFormat="1" x14ac:dyDescent="0.2">
      <c r="B1453" s="250"/>
      <c r="C1453" s="250"/>
      <c r="D1453" s="250"/>
      <c r="E1453" s="250"/>
      <c r="F1453" s="250"/>
      <c r="G1453" s="250"/>
      <c r="H1453" s="250"/>
      <c r="I1453" s="250"/>
      <c r="J1453" s="250"/>
      <c r="K1453" s="250"/>
      <c r="L1453" s="250"/>
      <c r="M1453" s="250"/>
      <c r="N1453" s="250"/>
      <c r="O1453" s="250"/>
      <c r="P1453" s="250"/>
      <c r="Q1453" s="250"/>
      <c r="R1453" s="250"/>
      <c r="S1453" s="250"/>
      <c r="T1453" s="250"/>
      <c r="U1453" s="250"/>
      <c r="V1453" s="250"/>
      <c r="W1453" s="250"/>
      <c r="X1453" s="250"/>
      <c r="Y1453" s="250"/>
      <c r="Z1453" s="250"/>
      <c r="AA1453" s="250"/>
      <c r="AB1453" s="250"/>
      <c r="AC1453" s="250"/>
      <c r="AD1453" s="250"/>
      <c r="AE1453" s="250"/>
      <c r="AF1453" s="250"/>
      <c r="AG1453" s="250"/>
      <c r="AH1453" s="250"/>
      <c r="AI1453" s="250"/>
      <c r="AJ1453" s="250"/>
      <c r="AK1453" s="250"/>
      <c r="AL1453" s="250"/>
      <c r="AM1453" s="250"/>
      <c r="AN1453" s="250"/>
      <c r="AO1453" s="250"/>
      <c r="AP1453" s="250"/>
      <c r="AQ1453" s="250"/>
      <c r="AR1453" s="250"/>
      <c r="AS1453" s="250"/>
      <c r="AT1453" s="250"/>
      <c r="AU1453" s="250"/>
      <c r="AV1453" s="124"/>
    </row>
    <row r="1454" spans="2:48" s="475" customFormat="1" x14ac:dyDescent="0.2">
      <c r="B1454" s="250"/>
      <c r="C1454" s="250"/>
      <c r="D1454" s="250"/>
      <c r="E1454" s="250"/>
      <c r="F1454" s="250"/>
      <c r="G1454" s="250"/>
      <c r="H1454" s="250"/>
      <c r="I1454" s="250"/>
      <c r="J1454" s="250"/>
      <c r="K1454" s="250"/>
      <c r="L1454" s="250"/>
      <c r="M1454" s="250"/>
      <c r="N1454" s="250"/>
      <c r="O1454" s="250"/>
      <c r="P1454" s="250"/>
      <c r="Q1454" s="250"/>
      <c r="R1454" s="250"/>
      <c r="S1454" s="250"/>
      <c r="T1454" s="250"/>
      <c r="U1454" s="250"/>
      <c r="V1454" s="250"/>
      <c r="W1454" s="250"/>
      <c r="X1454" s="250"/>
      <c r="Y1454" s="250"/>
      <c r="Z1454" s="250"/>
      <c r="AA1454" s="250"/>
      <c r="AB1454" s="250"/>
      <c r="AC1454" s="250"/>
      <c r="AD1454" s="250"/>
      <c r="AE1454" s="250"/>
      <c r="AF1454" s="250"/>
      <c r="AG1454" s="250"/>
      <c r="AH1454" s="250"/>
      <c r="AI1454" s="250"/>
      <c r="AJ1454" s="250"/>
      <c r="AK1454" s="250"/>
      <c r="AL1454" s="250"/>
      <c r="AM1454" s="250"/>
      <c r="AN1454" s="250"/>
      <c r="AO1454" s="250"/>
      <c r="AP1454" s="250"/>
      <c r="AQ1454" s="250"/>
      <c r="AR1454" s="250"/>
      <c r="AS1454" s="250"/>
      <c r="AT1454" s="250"/>
      <c r="AU1454" s="250"/>
      <c r="AV1454" s="124"/>
    </row>
    <row r="1455" spans="2:48" s="475" customFormat="1" x14ac:dyDescent="0.2">
      <c r="B1455" s="250"/>
      <c r="C1455" s="250"/>
      <c r="D1455" s="250"/>
      <c r="E1455" s="250"/>
      <c r="F1455" s="250"/>
      <c r="G1455" s="250"/>
      <c r="H1455" s="250"/>
      <c r="I1455" s="250"/>
      <c r="J1455" s="250"/>
      <c r="K1455" s="250"/>
      <c r="L1455" s="250"/>
      <c r="M1455" s="250"/>
      <c r="N1455" s="250"/>
      <c r="O1455" s="250"/>
      <c r="P1455" s="250"/>
      <c r="Q1455" s="250"/>
      <c r="R1455" s="250"/>
      <c r="S1455" s="250"/>
      <c r="T1455" s="250"/>
      <c r="U1455" s="250"/>
      <c r="V1455" s="250"/>
      <c r="W1455" s="250"/>
      <c r="X1455" s="250"/>
      <c r="Y1455" s="250"/>
      <c r="Z1455" s="250"/>
      <c r="AA1455" s="250"/>
      <c r="AB1455" s="250"/>
      <c r="AC1455" s="250"/>
      <c r="AD1455" s="250"/>
      <c r="AE1455" s="250"/>
      <c r="AF1455" s="250"/>
      <c r="AG1455" s="250"/>
      <c r="AH1455" s="250"/>
      <c r="AI1455" s="250"/>
      <c r="AJ1455" s="250"/>
      <c r="AK1455" s="250"/>
      <c r="AL1455" s="250"/>
      <c r="AM1455" s="250"/>
      <c r="AN1455" s="250"/>
      <c r="AO1455" s="250"/>
      <c r="AP1455" s="250"/>
      <c r="AQ1455" s="250"/>
      <c r="AR1455" s="250"/>
      <c r="AS1455" s="250"/>
      <c r="AT1455" s="250"/>
      <c r="AU1455" s="250"/>
      <c r="AV1455" s="124"/>
    </row>
    <row r="1456" spans="2:48" s="475" customFormat="1" x14ac:dyDescent="0.2">
      <c r="B1456" s="250"/>
      <c r="C1456" s="250"/>
      <c r="D1456" s="250"/>
      <c r="E1456" s="250"/>
      <c r="F1456" s="250"/>
      <c r="G1456" s="250"/>
      <c r="H1456" s="250"/>
      <c r="I1456" s="250"/>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c r="AN1456" s="250"/>
      <c r="AO1456" s="250"/>
      <c r="AP1456" s="250"/>
      <c r="AQ1456" s="250"/>
      <c r="AR1456" s="250"/>
      <c r="AS1456" s="250"/>
      <c r="AT1456" s="250"/>
      <c r="AU1456" s="250"/>
      <c r="AV1456" s="124"/>
    </row>
    <row r="1457" spans="2:48" s="475" customFormat="1" x14ac:dyDescent="0.2">
      <c r="B1457" s="250"/>
      <c r="C1457" s="250"/>
      <c r="D1457" s="250"/>
      <c r="E1457" s="250"/>
      <c r="F1457" s="250"/>
      <c r="G1457" s="250"/>
      <c r="H1457" s="250"/>
      <c r="I1457" s="250"/>
      <c r="J1457" s="250"/>
      <c r="K1457" s="250"/>
      <c r="L1457" s="250"/>
      <c r="M1457" s="250"/>
      <c r="N1457" s="250"/>
      <c r="O1457" s="250"/>
      <c r="P1457" s="250"/>
      <c r="Q1457" s="250"/>
      <c r="R1457" s="250"/>
      <c r="S1457" s="250"/>
      <c r="T1457" s="250"/>
      <c r="U1457" s="250"/>
      <c r="V1457" s="250"/>
      <c r="W1457" s="250"/>
      <c r="X1457" s="250"/>
      <c r="Y1457" s="250"/>
      <c r="Z1457" s="250"/>
      <c r="AA1457" s="250"/>
      <c r="AB1457" s="250"/>
      <c r="AC1457" s="250"/>
      <c r="AD1457" s="250"/>
      <c r="AE1457" s="250"/>
      <c r="AF1457" s="250"/>
      <c r="AG1457" s="250"/>
      <c r="AH1457" s="250"/>
      <c r="AI1457" s="250"/>
      <c r="AJ1457" s="250"/>
      <c r="AK1457" s="250"/>
      <c r="AL1457" s="250"/>
      <c r="AM1457" s="250"/>
      <c r="AN1457" s="250"/>
      <c r="AO1457" s="250"/>
      <c r="AP1457" s="250"/>
      <c r="AQ1457" s="250"/>
      <c r="AR1457" s="250"/>
      <c r="AS1457" s="250"/>
      <c r="AT1457" s="250"/>
      <c r="AU1457" s="250"/>
      <c r="AV1457" s="124"/>
    </row>
    <row r="1458" spans="2:48" s="475" customFormat="1" x14ac:dyDescent="0.2">
      <c r="B1458" s="250"/>
      <c r="C1458" s="250"/>
      <c r="D1458" s="250"/>
      <c r="E1458" s="250"/>
      <c r="F1458" s="250"/>
      <c r="G1458" s="250"/>
      <c r="H1458" s="250"/>
      <c r="I1458" s="250"/>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c r="AN1458" s="250"/>
      <c r="AO1458" s="250"/>
      <c r="AP1458" s="250"/>
      <c r="AQ1458" s="250"/>
      <c r="AR1458" s="250"/>
      <c r="AS1458" s="250"/>
      <c r="AT1458" s="250"/>
      <c r="AU1458" s="250"/>
      <c r="AV1458" s="124"/>
    </row>
    <row r="1459" spans="2:48" s="475" customFormat="1" x14ac:dyDescent="0.2">
      <c r="B1459" s="250"/>
      <c r="C1459" s="250"/>
      <c r="D1459" s="250"/>
      <c r="E1459" s="250"/>
      <c r="F1459" s="250"/>
      <c r="G1459" s="250"/>
      <c r="H1459" s="250"/>
      <c r="I1459" s="250"/>
      <c r="J1459" s="250"/>
      <c r="K1459" s="250"/>
      <c r="L1459" s="250"/>
      <c r="M1459" s="250"/>
      <c r="N1459" s="250"/>
      <c r="O1459" s="250"/>
      <c r="P1459" s="250"/>
      <c r="Q1459" s="250"/>
      <c r="R1459" s="250"/>
      <c r="S1459" s="250"/>
      <c r="T1459" s="250"/>
      <c r="U1459" s="250"/>
      <c r="V1459" s="250"/>
      <c r="W1459" s="250"/>
      <c r="X1459" s="250"/>
      <c r="Y1459" s="250"/>
      <c r="Z1459" s="250"/>
      <c r="AA1459" s="250"/>
      <c r="AB1459" s="250"/>
      <c r="AC1459" s="250"/>
      <c r="AD1459" s="250"/>
      <c r="AE1459" s="250"/>
      <c r="AF1459" s="250"/>
      <c r="AG1459" s="250"/>
      <c r="AH1459" s="250"/>
      <c r="AI1459" s="250"/>
      <c r="AJ1459" s="250"/>
      <c r="AK1459" s="250"/>
      <c r="AL1459" s="250"/>
      <c r="AM1459" s="250"/>
      <c r="AN1459" s="250"/>
      <c r="AO1459" s="250"/>
      <c r="AP1459" s="250"/>
      <c r="AQ1459" s="250"/>
      <c r="AR1459" s="250"/>
      <c r="AS1459" s="250"/>
      <c r="AT1459" s="250"/>
      <c r="AU1459" s="250"/>
      <c r="AV1459" s="124"/>
    </row>
    <row r="1460" spans="2:48" s="475" customFormat="1" x14ac:dyDescent="0.2">
      <c r="B1460" s="250"/>
      <c r="C1460" s="250"/>
      <c r="D1460" s="250"/>
      <c r="E1460" s="250"/>
      <c r="F1460" s="250"/>
      <c r="G1460" s="250"/>
      <c r="H1460" s="250"/>
      <c r="I1460" s="250"/>
      <c r="J1460" s="250"/>
      <c r="K1460" s="250"/>
      <c r="L1460" s="250"/>
      <c r="M1460" s="250"/>
      <c r="N1460" s="250"/>
      <c r="O1460" s="250"/>
      <c r="P1460" s="250"/>
      <c r="Q1460" s="250"/>
      <c r="R1460" s="250"/>
      <c r="S1460" s="250"/>
      <c r="T1460" s="250"/>
      <c r="U1460" s="250"/>
      <c r="V1460" s="250"/>
      <c r="W1460" s="250"/>
      <c r="X1460" s="250"/>
      <c r="Y1460" s="250"/>
      <c r="Z1460" s="250"/>
      <c r="AA1460" s="250"/>
      <c r="AB1460" s="250"/>
      <c r="AC1460" s="250"/>
      <c r="AD1460" s="250"/>
      <c r="AE1460" s="250"/>
      <c r="AF1460" s="250"/>
      <c r="AG1460" s="250"/>
      <c r="AH1460" s="250"/>
      <c r="AI1460" s="250"/>
      <c r="AJ1460" s="250"/>
      <c r="AK1460" s="250"/>
      <c r="AL1460" s="250"/>
      <c r="AM1460" s="250"/>
      <c r="AN1460" s="250"/>
      <c r="AO1460" s="250"/>
      <c r="AP1460" s="250"/>
      <c r="AQ1460" s="250"/>
      <c r="AR1460" s="250"/>
      <c r="AS1460" s="250"/>
      <c r="AT1460" s="250"/>
      <c r="AU1460" s="250"/>
      <c r="AV1460" s="124"/>
    </row>
    <row r="1461" spans="2:48" s="475" customFormat="1" x14ac:dyDescent="0.2">
      <c r="B1461" s="250"/>
      <c r="C1461" s="250"/>
      <c r="D1461" s="250"/>
      <c r="E1461" s="250"/>
      <c r="F1461" s="250"/>
      <c r="G1461" s="250"/>
      <c r="H1461" s="250"/>
      <c r="I1461" s="250"/>
      <c r="J1461" s="250"/>
      <c r="K1461" s="250"/>
      <c r="L1461" s="250"/>
      <c r="M1461" s="250"/>
      <c r="N1461" s="250"/>
      <c r="O1461" s="250"/>
      <c r="P1461" s="250"/>
      <c r="Q1461" s="250"/>
      <c r="R1461" s="250"/>
      <c r="S1461" s="250"/>
      <c r="T1461" s="250"/>
      <c r="U1461" s="250"/>
      <c r="V1461" s="250"/>
      <c r="W1461" s="250"/>
      <c r="X1461" s="250"/>
      <c r="Y1461" s="250"/>
      <c r="Z1461" s="250"/>
      <c r="AA1461" s="250"/>
      <c r="AB1461" s="250"/>
      <c r="AC1461" s="250"/>
      <c r="AD1461" s="250"/>
      <c r="AE1461" s="250"/>
      <c r="AF1461" s="250"/>
      <c r="AG1461" s="250"/>
      <c r="AH1461" s="250"/>
      <c r="AI1461" s="250"/>
      <c r="AJ1461" s="250"/>
      <c r="AK1461" s="250"/>
      <c r="AL1461" s="250"/>
      <c r="AM1461" s="250"/>
      <c r="AN1461" s="250"/>
      <c r="AO1461" s="250"/>
      <c r="AP1461" s="250"/>
      <c r="AQ1461" s="250"/>
      <c r="AR1461" s="250"/>
      <c r="AS1461" s="250"/>
      <c r="AT1461" s="250"/>
      <c r="AU1461" s="250"/>
      <c r="AV1461" s="124"/>
    </row>
    <row r="1462" spans="2:48" s="475" customFormat="1" x14ac:dyDescent="0.2">
      <c r="B1462" s="250"/>
      <c r="C1462" s="250"/>
      <c r="D1462" s="250"/>
      <c r="E1462" s="250"/>
      <c r="F1462" s="250"/>
      <c r="G1462" s="250"/>
      <c r="H1462" s="250"/>
      <c r="I1462" s="250"/>
      <c r="J1462" s="250"/>
      <c r="K1462" s="250"/>
      <c r="L1462" s="250"/>
      <c r="M1462" s="250"/>
      <c r="N1462" s="250"/>
      <c r="O1462" s="250"/>
      <c r="P1462" s="250"/>
      <c r="Q1462" s="250"/>
      <c r="R1462" s="250"/>
      <c r="S1462" s="250"/>
      <c r="T1462" s="250"/>
      <c r="U1462" s="250"/>
      <c r="V1462" s="250"/>
      <c r="W1462" s="250"/>
      <c r="X1462" s="250"/>
      <c r="Y1462" s="250"/>
      <c r="Z1462" s="250"/>
      <c r="AA1462" s="250"/>
      <c r="AB1462" s="250"/>
      <c r="AC1462" s="250"/>
      <c r="AD1462" s="250"/>
      <c r="AE1462" s="250"/>
      <c r="AF1462" s="250"/>
      <c r="AG1462" s="250"/>
      <c r="AH1462" s="250"/>
      <c r="AI1462" s="250"/>
      <c r="AJ1462" s="250"/>
      <c r="AK1462" s="250"/>
      <c r="AL1462" s="250"/>
      <c r="AM1462" s="250"/>
      <c r="AN1462" s="250"/>
      <c r="AO1462" s="250"/>
      <c r="AP1462" s="250"/>
      <c r="AQ1462" s="250"/>
      <c r="AR1462" s="250"/>
      <c r="AS1462" s="250"/>
      <c r="AT1462" s="250"/>
      <c r="AU1462" s="250"/>
      <c r="AV1462" s="124"/>
    </row>
    <row r="1463" spans="2:48" s="475" customFormat="1" x14ac:dyDescent="0.2">
      <c r="B1463" s="250"/>
      <c r="C1463" s="250"/>
      <c r="D1463" s="250"/>
      <c r="E1463" s="250"/>
      <c r="F1463" s="250"/>
      <c r="G1463" s="250"/>
      <c r="H1463" s="250"/>
      <c r="I1463" s="250"/>
      <c r="J1463" s="250"/>
      <c r="K1463" s="250"/>
      <c r="L1463" s="250"/>
      <c r="M1463" s="250"/>
      <c r="N1463" s="250"/>
      <c r="O1463" s="250"/>
      <c r="P1463" s="250"/>
      <c r="Q1463" s="250"/>
      <c r="R1463" s="250"/>
      <c r="S1463" s="250"/>
      <c r="T1463" s="250"/>
      <c r="U1463" s="250"/>
      <c r="V1463" s="250"/>
      <c r="W1463" s="250"/>
      <c r="X1463" s="250"/>
      <c r="Y1463" s="250"/>
      <c r="Z1463" s="250"/>
      <c r="AA1463" s="250"/>
      <c r="AB1463" s="250"/>
      <c r="AC1463" s="250"/>
      <c r="AD1463" s="250"/>
      <c r="AE1463" s="250"/>
      <c r="AF1463" s="250"/>
      <c r="AG1463" s="250"/>
      <c r="AH1463" s="250"/>
      <c r="AI1463" s="250"/>
      <c r="AJ1463" s="250"/>
      <c r="AK1463" s="250"/>
      <c r="AL1463" s="250"/>
      <c r="AM1463" s="250"/>
      <c r="AN1463" s="250"/>
      <c r="AO1463" s="250"/>
      <c r="AP1463" s="250"/>
      <c r="AQ1463" s="250"/>
      <c r="AR1463" s="250"/>
      <c r="AS1463" s="250"/>
      <c r="AT1463" s="250"/>
      <c r="AU1463" s="250"/>
      <c r="AV1463" s="124"/>
    </row>
    <row r="1464" spans="2:48" s="475" customFormat="1" x14ac:dyDescent="0.2">
      <c r="B1464" s="250"/>
      <c r="C1464" s="250"/>
      <c r="D1464" s="250"/>
      <c r="E1464" s="250"/>
      <c r="F1464" s="250"/>
      <c r="G1464" s="250"/>
      <c r="H1464" s="250"/>
      <c r="I1464" s="250"/>
      <c r="J1464" s="250"/>
      <c r="K1464" s="250"/>
      <c r="L1464" s="250"/>
      <c r="M1464" s="250"/>
      <c r="N1464" s="250"/>
      <c r="O1464" s="250"/>
      <c r="P1464" s="250"/>
      <c r="Q1464" s="250"/>
      <c r="R1464" s="250"/>
      <c r="S1464" s="250"/>
      <c r="T1464" s="250"/>
      <c r="U1464" s="250"/>
      <c r="V1464" s="250"/>
      <c r="W1464" s="250"/>
      <c r="X1464" s="250"/>
      <c r="Y1464" s="250"/>
      <c r="Z1464" s="250"/>
      <c r="AA1464" s="250"/>
      <c r="AB1464" s="250"/>
      <c r="AC1464" s="250"/>
      <c r="AD1464" s="250"/>
      <c r="AE1464" s="250"/>
      <c r="AF1464" s="250"/>
      <c r="AG1464" s="250"/>
      <c r="AH1464" s="250"/>
      <c r="AI1464" s="250"/>
      <c r="AJ1464" s="250"/>
      <c r="AK1464" s="250"/>
      <c r="AL1464" s="250"/>
      <c r="AM1464" s="250"/>
      <c r="AN1464" s="250"/>
      <c r="AO1464" s="250"/>
      <c r="AP1464" s="250"/>
      <c r="AQ1464" s="250"/>
      <c r="AR1464" s="250"/>
      <c r="AS1464" s="250"/>
      <c r="AT1464" s="250"/>
      <c r="AU1464" s="250"/>
      <c r="AV1464" s="124"/>
    </row>
    <row r="1465" spans="2:48" s="475" customFormat="1" x14ac:dyDescent="0.2">
      <c r="B1465" s="250"/>
      <c r="C1465" s="250"/>
      <c r="D1465" s="250"/>
      <c r="E1465" s="250"/>
      <c r="F1465" s="250"/>
      <c r="G1465" s="250"/>
      <c r="H1465" s="250"/>
      <c r="I1465" s="250"/>
      <c r="J1465" s="250"/>
      <c r="K1465" s="250"/>
      <c r="L1465" s="250"/>
      <c r="M1465" s="250"/>
      <c r="N1465" s="250"/>
      <c r="O1465" s="250"/>
      <c r="P1465" s="250"/>
      <c r="Q1465" s="250"/>
      <c r="R1465" s="250"/>
      <c r="S1465" s="250"/>
      <c r="T1465" s="250"/>
      <c r="U1465" s="250"/>
      <c r="V1465" s="250"/>
      <c r="W1465" s="250"/>
      <c r="X1465" s="250"/>
      <c r="Y1465" s="250"/>
      <c r="Z1465" s="250"/>
      <c r="AA1465" s="250"/>
      <c r="AB1465" s="250"/>
      <c r="AC1465" s="250"/>
      <c r="AD1465" s="250"/>
      <c r="AE1465" s="250"/>
      <c r="AF1465" s="250"/>
      <c r="AG1465" s="250"/>
      <c r="AH1465" s="250"/>
      <c r="AI1465" s="250"/>
      <c r="AJ1465" s="250"/>
      <c r="AK1465" s="250"/>
      <c r="AL1465" s="250"/>
      <c r="AM1465" s="250"/>
      <c r="AN1465" s="250"/>
      <c r="AO1465" s="250"/>
      <c r="AP1465" s="250"/>
      <c r="AQ1465" s="250"/>
      <c r="AR1465" s="250"/>
      <c r="AS1465" s="250"/>
      <c r="AT1465" s="250"/>
      <c r="AU1465" s="250"/>
      <c r="AV1465" s="124"/>
    </row>
    <row r="1466" spans="2:48" s="475" customFormat="1" x14ac:dyDescent="0.2">
      <c r="B1466" s="250"/>
      <c r="C1466" s="250"/>
      <c r="D1466" s="250"/>
      <c r="E1466" s="250"/>
      <c r="F1466" s="250"/>
      <c r="G1466" s="250"/>
      <c r="H1466" s="250"/>
      <c r="I1466" s="250"/>
      <c r="J1466" s="250"/>
      <c r="K1466" s="250"/>
      <c r="L1466" s="250"/>
      <c r="M1466" s="250"/>
      <c r="N1466" s="250"/>
      <c r="O1466" s="250"/>
      <c r="P1466" s="250"/>
      <c r="Q1466" s="250"/>
      <c r="R1466" s="250"/>
      <c r="S1466" s="250"/>
      <c r="T1466" s="250"/>
      <c r="U1466" s="250"/>
      <c r="V1466" s="250"/>
      <c r="W1466" s="250"/>
      <c r="X1466" s="250"/>
      <c r="Y1466" s="250"/>
      <c r="Z1466" s="250"/>
      <c r="AA1466" s="250"/>
      <c r="AB1466" s="250"/>
      <c r="AC1466" s="250"/>
      <c r="AD1466" s="250"/>
      <c r="AE1466" s="250"/>
      <c r="AF1466" s="250"/>
      <c r="AG1466" s="250"/>
      <c r="AH1466" s="250"/>
      <c r="AI1466" s="250"/>
      <c r="AJ1466" s="250"/>
      <c r="AK1466" s="250"/>
      <c r="AL1466" s="250"/>
      <c r="AM1466" s="250"/>
      <c r="AN1466" s="250"/>
      <c r="AO1466" s="250"/>
      <c r="AP1466" s="250"/>
      <c r="AQ1466" s="250"/>
      <c r="AR1466" s="250"/>
      <c r="AS1466" s="250"/>
      <c r="AT1466" s="250"/>
      <c r="AU1466" s="250"/>
      <c r="AV1466" s="124"/>
    </row>
    <row r="1467" spans="2:48" s="475" customFormat="1" x14ac:dyDescent="0.2">
      <c r="B1467" s="250"/>
      <c r="C1467" s="250"/>
      <c r="D1467" s="250"/>
      <c r="E1467" s="250"/>
      <c r="F1467" s="250"/>
      <c r="G1467" s="250"/>
      <c r="H1467" s="250"/>
      <c r="I1467" s="250"/>
      <c r="J1467" s="250"/>
      <c r="K1467" s="250"/>
      <c r="L1467" s="250"/>
      <c r="M1467" s="250"/>
      <c r="N1467" s="250"/>
      <c r="O1467" s="250"/>
      <c r="P1467" s="250"/>
      <c r="Q1467" s="250"/>
      <c r="R1467" s="250"/>
      <c r="S1467" s="250"/>
      <c r="T1467" s="250"/>
      <c r="U1467" s="250"/>
      <c r="V1467" s="250"/>
      <c r="W1467" s="250"/>
      <c r="X1467" s="250"/>
      <c r="Y1467" s="250"/>
      <c r="Z1467" s="250"/>
      <c r="AA1467" s="250"/>
      <c r="AB1467" s="250"/>
      <c r="AC1467" s="250"/>
      <c r="AD1467" s="250"/>
      <c r="AE1467" s="250"/>
      <c r="AF1467" s="250"/>
      <c r="AG1467" s="250"/>
      <c r="AH1467" s="250"/>
      <c r="AI1467" s="250"/>
      <c r="AJ1467" s="250"/>
      <c r="AK1467" s="250"/>
      <c r="AL1467" s="250"/>
      <c r="AM1467" s="250"/>
      <c r="AN1467" s="250"/>
      <c r="AO1467" s="250"/>
      <c r="AP1467" s="250"/>
      <c r="AQ1467" s="250"/>
      <c r="AR1467" s="250"/>
      <c r="AS1467" s="250"/>
      <c r="AT1467" s="250"/>
      <c r="AU1467" s="250"/>
      <c r="AV1467" s="124"/>
    </row>
    <row r="1468" spans="2:48" s="475" customFormat="1" x14ac:dyDescent="0.2">
      <c r="B1468" s="250"/>
      <c r="C1468" s="250"/>
      <c r="D1468" s="250"/>
      <c r="E1468" s="250"/>
      <c r="F1468" s="250"/>
      <c r="G1468" s="250"/>
      <c r="H1468" s="250"/>
      <c r="I1468" s="250"/>
      <c r="J1468" s="250"/>
      <c r="K1468" s="250"/>
      <c r="L1468" s="250"/>
      <c r="M1468" s="250"/>
      <c r="N1468" s="250"/>
      <c r="O1468" s="250"/>
      <c r="P1468" s="250"/>
      <c r="Q1468" s="250"/>
      <c r="R1468" s="250"/>
      <c r="S1468" s="250"/>
      <c r="T1468" s="250"/>
      <c r="U1468" s="250"/>
      <c r="V1468" s="250"/>
      <c r="W1468" s="250"/>
      <c r="X1468" s="250"/>
      <c r="Y1468" s="250"/>
      <c r="Z1468" s="250"/>
      <c r="AA1468" s="250"/>
      <c r="AB1468" s="250"/>
      <c r="AC1468" s="250"/>
      <c r="AD1468" s="250"/>
      <c r="AE1468" s="250"/>
      <c r="AF1468" s="250"/>
      <c r="AG1468" s="250"/>
      <c r="AH1468" s="250"/>
      <c r="AI1468" s="250"/>
      <c r="AJ1468" s="250"/>
      <c r="AK1468" s="250"/>
      <c r="AL1468" s="250"/>
      <c r="AM1468" s="250"/>
      <c r="AN1468" s="250"/>
      <c r="AO1468" s="250"/>
      <c r="AP1468" s="250"/>
      <c r="AQ1468" s="250"/>
      <c r="AR1468" s="250"/>
      <c r="AS1468" s="250"/>
      <c r="AT1468" s="250"/>
      <c r="AU1468" s="250"/>
      <c r="AV1468" s="124"/>
    </row>
    <row r="1469" spans="2:48" s="475" customFormat="1" x14ac:dyDescent="0.2">
      <c r="B1469" s="250"/>
      <c r="C1469" s="250"/>
      <c r="D1469" s="250"/>
      <c r="E1469" s="250"/>
      <c r="F1469" s="250"/>
      <c r="G1469" s="250"/>
      <c r="H1469" s="250"/>
      <c r="I1469" s="250"/>
      <c r="J1469" s="250"/>
      <c r="K1469" s="250"/>
      <c r="L1469" s="250"/>
      <c r="M1469" s="250"/>
      <c r="N1469" s="250"/>
      <c r="O1469" s="250"/>
      <c r="P1469" s="250"/>
      <c r="Q1469" s="250"/>
      <c r="R1469" s="250"/>
      <c r="S1469" s="250"/>
      <c r="T1469" s="250"/>
      <c r="U1469" s="250"/>
      <c r="V1469" s="250"/>
      <c r="W1469" s="250"/>
      <c r="X1469" s="250"/>
      <c r="Y1469" s="250"/>
      <c r="Z1469" s="250"/>
      <c r="AA1469" s="250"/>
      <c r="AB1469" s="250"/>
      <c r="AC1469" s="250"/>
      <c r="AD1469" s="250"/>
      <c r="AE1469" s="250"/>
      <c r="AF1469" s="250"/>
      <c r="AG1469" s="250"/>
      <c r="AH1469" s="250"/>
      <c r="AI1469" s="250"/>
      <c r="AJ1469" s="250"/>
      <c r="AK1469" s="250"/>
      <c r="AL1469" s="250"/>
      <c r="AM1469" s="250"/>
      <c r="AN1469" s="250"/>
      <c r="AO1469" s="250"/>
      <c r="AP1469" s="250"/>
      <c r="AQ1469" s="250"/>
      <c r="AR1469" s="250"/>
      <c r="AS1469" s="250"/>
      <c r="AT1469" s="250"/>
      <c r="AU1469" s="250"/>
      <c r="AV1469" s="124"/>
    </row>
    <row r="1470" spans="2:48" s="475" customFormat="1" x14ac:dyDescent="0.2">
      <c r="B1470" s="250"/>
      <c r="C1470" s="250"/>
      <c r="D1470" s="250"/>
      <c r="E1470" s="250"/>
      <c r="F1470" s="250"/>
      <c r="G1470" s="250"/>
      <c r="H1470" s="250"/>
      <c r="I1470" s="250"/>
      <c r="J1470" s="250"/>
      <c r="K1470" s="250"/>
      <c r="L1470" s="250"/>
      <c r="M1470" s="250"/>
      <c r="N1470" s="250"/>
      <c r="O1470" s="250"/>
      <c r="P1470" s="250"/>
      <c r="Q1470" s="250"/>
      <c r="R1470" s="250"/>
      <c r="S1470" s="250"/>
      <c r="T1470" s="250"/>
      <c r="U1470" s="250"/>
      <c r="V1470" s="250"/>
      <c r="W1470" s="250"/>
      <c r="X1470" s="250"/>
      <c r="Y1470" s="250"/>
      <c r="Z1470" s="250"/>
      <c r="AA1470" s="250"/>
      <c r="AB1470" s="250"/>
      <c r="AC1470" s="250"/>
      <c r="AD1470" s="250"/>
      <c r="AE1470" s="250"/>
      <c r="AF1470" s="250"/>
      <c r="AG1470" s="250"/>
      <c r="AH1470" s="250"/>
      <c r="AI1470" s="250"/>
      <c r="AJ1470" s="250"/>
      <c r="AK1470" s="250"/>
      <c r="AL1470" s="250"/>
      <c r="AM1470" s="250"/>
      <c r="AN1470" s="250"/>
      <c r="AO1470" s="250"/>
      <c r="AP1470" s="250"/>
      <c r="AQ1470" s="250"/>
      <c r="AR1470" s="250"/>
      <c r="AS1470" s="250"/>
      <c r="AT1470" s="250"/>
      <c r="AU1470" s="250"/>
      <c r="AV1470" s="124"/>
    </row>
    <row r="1471" spans="2:48" s="475" customFormat="1" x14ac:dyDescent="0.2">
      <c r="B1471" s="250"/>
      <c r="C1471" s="250"/>
      <c r="D1471" s="250"/>
      <c r="E1471" s="250"/>
      <c r="F1471" s="250"/>
      <c r="G1471" s="250"/>
      <c r="H1471" s="250"/>
      <c r="I1471" s="250"/>
      <c r="J1471" s="250"/>
      <c r="K1471" s="250"/>
      <c r="L1471" s="250"/>
      <c r="M1471" s="250"/>
      <c r="N1471" s="250"/>
      <c r="O1471" s="250"/>
      <c r="P1471" s="250"/>
      <c r="Q1471" s="250"/>
      <c r="R1471" s="250"/>
      <c r="S1471" s="250"/>
      <c r="T1471" s="250"/>
      <c r="U1471" s="250"/>
      <c r="V1471" s="250"/>
      <c r="W1471" s="250"/>
      <c r="X1471" s="250"/>
      <c r="Y1471" s="250"/>
      <c r="Z1471" s="250"/>
      <c r="AA1471" s="250"/>
      <c r="AB1471" s="250"/>
      <c r="AC1471" s="250"/>
      <c r="AD1471" s="250"/>
      <c r="AE1471" s="250"/>
      <c r="AF1471" s="250"/>
      <c r="AG1471" s="250"/>
      <c r="AH1471" s="250"/>
      <c r="AI1471" s="250"/>
      <c r="AJ1471" s="250"/>
      <c r="AK1471" s="250"/>
      <c r="AL1471" s="250"/>
      <c r="AM1471" s="250"/>
      <c r="AN1471" s="250"/>
      <c r="AO1471" s="250"/>
      <c r="AP1471" s="250"/>
      <c r="AQ1471" s="250"/>
      <c r="AR1471" s="250"/>
      <c r="AS1471" s="250"/>
      <c r="AT1471" s="250"/>
      <c r="AU1471" s="250"/>
      <c r="AV1471" s="124"/>
    </row>
    <row r="1472" spans="2:48" s="475" customFormat="1" x14ac:dyDescent="0.2">
      <c r="B1472" s="250"/>
      <c r="C1472" s="250"/>
      <c r="D1472" s="250"/>
      <c r="E1472" s="250"/>
      <c r="F1472" s="250"/>
      <c r="G1472" s="250"/>
      <c r="H1472" s="250"/>
      <c r="I1472" s="250"/>
      <c r="J1472" s="250"/>
      <c r="K1472" s="250"/>
      <c r="L1472" s="250"/>
      <c r="M1472" s="250"/>
      <c r="N1472" s="250"/>
      <c r="O1472" s="250"/>
      <c r="P1472" s="250"/>
      <c r="Q1472" s="250"/>
      <c r="R1472" s="250"/>
      <c r="S1472" s="250"/>
      <c r="T1472" s="250"/>
      <c r="U1472" s="250"/>
      <c r="V1472" s="250"/>
      <c r="W1472" s="250"/>
      <c r="X1472" s="250"/>
      <c r="Y1472" s="250"/>
      <c r="Z1472" s="250"/>
      <c r="AA1472" s="250"/>
      <c r="AB1472" s="250"/>
      <c r="AC1472" s="250"/>
      <c r="AD1472" s="250"/>
      <c r="AE1472" s="250"/>
      <c r="AF1472" s="250"/>
      <c r="AG1472" s="250"/>
      <c r="AH1472" s="250"/>
      <c r="AI1472" s="250"/>
      <c r="AJ1472" s="250"/>
      <c r="AK1472" s="250"/>
      <c r="AL1472" s="250"/>
      <c r="AM1472" s="250"/>
      <c r="AN1472" s="250"/>
      <c r="AO1472" s="250"/>
      <c r="AP1472" s="250"/>
      <c r="AQ1472" s="250"/>
      <c r="AR1472" s="250"/>
      <c r="AS1472" s="250"/>
      <c r="AT1472" s="250"/>
      <c r="AU1472" s="250"/>
      <c r="AV1472" s="124"/>
    </row>
    <row r="1473" spans="2:48" s="475" customFormat="1" x14ac:dyDescent="0.2">
      <c r="B1473" s="250"/>
      <c r="C1473" s="250"/>
      <c r="D1473" s="250"/>
      <c r="E1473" s="250"/>
      <c r="F1473" s="250"/>
      <c r="G1473" s="250"/>
      <c r="H1473" s="250"/>
      <c r="I1473" s="250"/>
      <c r="J1473" s="250"/>
      <c r="K1473" s="250"/>
      <c r="L1473" s="250"/>
      <c r="M1473" s="250"/>
      <c r="N1473" s="250"/>
      <c r="O1473" s="250"/>
      <c r="P1473" s="250"/>
      <c r="Q1473" s="250"/>
      <c r="R1473" s="250"/>
      <c r="S1473" s="250"/>
      <c r="T1473" s="250"/>
      <c r="U1473" s="250"/>
      <c r="V1473" s="250"/>
      <c r="W1473" s="250"/>
      <c r="X1473" s="250"/>
      <c r="Y1473" s="250"/>
      <c r="Z1473" s="250"/>
      <c r="AA1473" s="250"/>
      <c r="AB1473" s="250"/>
      <c r="AC1473" s="250"/>
      <c r="AD1473" s="250"/>
      <c r="AE1473" s="250"/>
      <c r="AF1473" s="250"/>
      <c r="AG1473" s="250"/>
      <c r="AH1473" s="250"/>
      <c r="AI1473" s="250"/>
      <c r="AJ1473" s="250"/>
      <c r="AK1473" s="250"/>
      <c r="AL1473" s="250"/>
      <c r="AM1473" s="250"/>
      <c r="AN1473" s="250"/>
      <c r="AO1473" s="250"/>
      <c r="AP1473" s="250"/>
      <c r="AQ1473" s="250"/>
      <c r="AR1473" s="250"/>
      <c r="AS1473" s="250"/>
      <c r="AT1473" s="250"/>
      <c r="AU1473" s="250"/>
      <c r="AV1473" s="124"/>
    </row>
    <row r="1474" spans="2:48" s="475" customFormat="1" x14ac:dyDescent="0.2">
      <c r="B1474" s="250"/>
      <c r="C1474" s="250"/>
      <c r="D1474" s="250"/>
      <c r="E1474" s="250"/>
      <c r="F1474" s="250"/>
      <c r="G1474" s="250"/>
      <c r="H1474" s="250"/>
      <c r="I1474" s="250"/>
      <c r="J1474" s="250"/>
      <c r="K1474" s="250"/>
      <c r="L1474" s="250"/>
      <c r="M1474" s="250"/>
      <c r="N1474" s="250"/>
      <c r="O1474" s="250"/>
      <c r="P1474" s="250"/>
      <c r="Q1474" s="250"/>
      <c r="R1474" s="250"/>
      <c r="S1474" s="250"/>
      <c r="T1474" s="250"/>
      <c r="U1474" s="250"/>
      <c r="V1474" s="250"/>
      <c r="W1474" s="250"/>
      <c r="X1474" s="250"/>
      <c r="Y1474" s="250"/>
      <c r="Z1474" s="250"/>
      <c r="AA1474" s="250"/>
      <c r="AB1474" s="250"/>
      <c r="AC1474" s="250"/>
      <c r="AD1474" s="250"/>
      <c r="AE1474" s="250"/>
      <c r="AF1474" s="250"/>
      <c r="AG1474" s="250"/>
      <c r="AH1474" s="250"/>
      <c r="AI1474" s="250"/>
      <c r="AJ1474" s="250"/>
      <c r="AK1474" s="250"/>
      <c r="AL1474" s="250"/>
      <c r="AM1474" s="250"/>
      <c r="AN1474" s="250"/>
      <c r="AO1474" s="250"/>
      <c r="AP1474" s="250"/>
      <c r="AQ1474" s="250"/>
      <c r="AR1474" s="250"/>
      <c r="AS1474" s="250"/>
      <c r="AT1474" s="250"/>
      <c r="AU1474" s="250"/>
      <c r="AV1474" s="124"/>
    </row>
    <row r="1475" spans="2:48" s="475" customFormat="1" x14ac:dyDescent="0.2">
      <c r="B1475" s="250"/>
      <c r="C1475" s="250"/>
      <c r="D1475" s="250"/>
      <c r="E1475" s="250"/>
      <c r="F1475" s="250"/>
      <c r="G1475" s="250"/>
      <c r="H1475" s="250"/>
      <c r="I1475" s="250"/>
      <c r="J1475" s="250"/>
      <c r="K1475" s="250"/>
      <c r="L1475" s="250"/>
      <c r="M1475" s="250"/>
      <c r="N1475" s="250"/>
      <c r="O1475" s="250"/>
      <c r="P1475" s="250"/>
      <c r="Q1475" s="250"/>
      <c r="R1475" s="250"/>
      <c r="S1475" s="250"/>
      <c r="T1475" s="250"/>
      <c r="U1475" s="250"/>
      <c r="V1475" s="250"/>
      <c r="W1475" s="250"/>
      <c r="X1475" s="250"/>
      <c r="Y1475" s="250"/>
      <c r="Z1475" s="250"/>
      <c r="AA1475" s="250"/>
      <c r="AB1475" s="250"/>
      <c r="AC1475" s="250"/>
      <c r="AD1475" s="250"/>
      <c r="AE1475" s="250"/>
      <c r="AF1475" s="250"/>
      <c r="AG1475" s="250"/>
      <c r="AH1475" s="250"/>
      <c r="AI1475" s="250"/>
      <c r="AJ1475" s="250"/>
      <c r="AK1475" s="250"/>
      <c r="AL1475" s="250"/>
      <c r="AM1475" s="250"/>
      <c r="AN1475" s="250"/>
      <c r="AO1475" s="250"/>
      <c r="AP1475" s="250"/>
      <c r="AQ1475" s="250"/>
      <c r="AR1475" s="250"/>
      <c r="AS1475" s="250"/>
      <c r="AT1475" s="250"/>
      <c r="AU1475" s="250"/>
      <c r="AV1475" s="124"/>
    </row>
    <row r="1476" spans="2:48" s="475" customFormat="1" x14ac:dyDescent="0.2">
      <c r="B1476" s="250"/>
      <c r="C1476" s="250"/>
      <c r="D1476" s="250"/>
      <c r="E1476" s="250"/>
      <c r="F1476" s="250"/>
      <c r="G1476" s="250"/>
      <c r="H1476" s="250"/>
      <c r="I1476" s="250"/>
      <c r="J1476" s="250"/>
      <c r="K1476" s="250"/>
      <c r="L1476" s="250"/>
      <c r="M1476" s="250"/>
      <c r="N1476" s="250"/>
      <c r="O1476" s="250"/>
      <c r="P1476" s="250"/>
      <c r="Q1476" s="250"/>
      <c r="R1476" s="250"/>
      <c r="S1476" s="250"/>
      <c r="T1476" s="250"/>
      <c r="U1476" s="250"/>
      <c r="V1476" s="250"/>
      <c r="W1476" s="250"/>
      <c r="X1476" s="250"/>
      <c r="Y1476" s="250"/>
      <c r="Z1476" s="250"/>
      <c r="AA1476" s="250"/>
      <c r="AB1476" s="250"/>
      <c r="AC1476" s="250"/>
      <c r="AD1476" s="250"/>
      <c r="AE1476" s="250"/>
      <c r="AF1476" s="250"/>
      <c r="AG1476" s="250"/>
      <c r="AH1476" s="250"/>
      <c r="AI1476" s="250"/>
      <c r="AJ1476" s="250"/>
      <c r="AK1476" s="250"/>
      <c r="AL1476" s="250"/>
      <c r="AM1476" s="250"/>
      <c r="AN1476" s="250"/>
      <c r="AO1476" s="250"/>
      <c r="AP1476" s="250"/>
      <c r="AQ1476" s="250"/>
      <c r="AR1476" s="250"/>
      <c r="AS1476" s="250"/>
      <c r="AT1476" s="250"/>
      <c r="AU1476" s="250"/>
      <c r="AV1476" s="124"/>
    </row>
    <row r="1477" spans="2:48" s="475" customFormat="1" x14ac:dyDescent="0.2">
      <c r="B1477" s="250"/>
      <c r="C1477" s="250"/>
      <c r="D1477" s="250"/>
      <c r="E1477" s="250"/>
      <c r="F1477" s="250"/>
      <c r="G1477" s="250"/>
      <c r="H1477" s="250"/>
      <c r="I1477" s="250"/>
      <c r="J1477" s="250"/>
      <c r="K1477" s="250"/>
      <c r="L1477" s="250"/>
      <c r="M1477" s="250"/>
      <c r="N1477" s="250"/>
      <c r="O1477" s="250"/>
      <c r="P1477" s="250"/>
      <c r="Q1477" s="250"/>
      <c r="R1477" s="250"/>
      <c r="S1477" s="250"/>
      <c r="T1477" s="250"/>
      <c r="U1477" s="250"/>
      <c r="V1477" s="250"/>
      <c r="W1477" s="250"/>
      <c r="X1477" s="250"/>
      <c r="Y1477" s="250"/>
      <c r="Z1477" s="250"/>
      <c r="AA1477" s="250"/>
      <c r="AB1477" s="250"/>
      <c r="AC1477" s="250"/>
      <c r="AD1477" s="250"/>
      <c r="AE1477" s="250"/>
      <c r="AF1477" s="250"/>
      <c r="AG1477" s="250"/>
      <c r="AH1477" s="250"/>
      <c r="AI1477" s="250"/>
      <c r="AJ1477" s="250"/>
      <c r="AK1477" s="250"/>
      <c r="AL1477" s="250"/>
      <c r="AM1477" s="250"/>
      <c r="AN1477" s="250"/>
      <c r="AO1477" s="250"/>
      <c r="AP1477" s="250"/>
      <c r="AQ1477" s="250"/>
      <c r="AR1477" s="250"/>
      <c r="AS1477" s="250"/>
      <c r="AT1477" s="250"/>
      <c r="AU1477" s="250"/>
      <c r="AV1477" s="124"/>
    </row>
    <row r="1478" spans="2:48" s="475" customFormat="1" x14ac:dyDescent="0.2">
      <c r="B1478" s="250"/>
      <c r="C1478" s="250"/>
      <c r="D1478" s="250"/>
      <c r="E1478" s="250"/>
      <c r="F1478" s="250"/>
      <c r="G1478" s="250"/>
      <c r="H1478" s="250"/>
      <c r="I1478" s="250"/>
      <c r="J1478" s="250"/>
      <c r="K1478" s="250"/>
      <c r="L1478" s="250"/>
      <c r="M1478" s="250"/>
      <c r="N1478" s="250"/>
      <c r="O1478" s="250"/>
      <c r="P1478" s="250"/>
      <c r="Q1478" s="250"/>
      <c r="R1478" s="250"/>
      <c r="S1478" s="250"/>
      <c r="T1478" s="250"/>
      <c r="U1478" s="250"/>
      <c r="V1478" s="250"/>
      <c r="W1478" s="250"/>
      <c r="X1478" s="250"/>
      <c r="Y1478" s="250"/>
      <c r="Z1478" s="250"/>
      <c r="AA1478" s="250"/>
      <c r="AB1478" s="250"/>
      <c r="AC1478" s="250"/>
      <c r="AD1478" s="250"/>
      <c r="AE1478" s="250"/>
      <c r="AF1478" s="250"/>
      <c r="AG1478" s="250"/>
      <c r="AH1478" s="250"/>
      <c r="AI1478" s="250"/>
      <c r="AJ1478" s="250"/>
      <c r="AK1478" s="250"/>
      <c r="AL1478" s="250"/>
      <c r="AM1478" s="250"/>
      <c r="AN1478" s="250"/>
      <c r="AO1478" s="250"/>
      <c r="AP1478" s="250"/>
      <c r="AQ1478" s="250"/>
      <c r="AR1478" s="250"/>
      <c r="AS1478" s="250"/>
      <c r="AT1478" s="250"/>
      <c r="AU1478" s="250"/>
      <c r="AV1478" s="124"/>
    </row>
    <row r="1479" spans="2:48" s="475" customFormat="1" x14ac:dyDescent="0.2">
      <c r="B1479" s="250"/>
      <c r="C1479" s="250"/>
      <c r="D1479" s="250"/>
      <c r="E1479" s="250"/>
      <c r="F1479" s="250"/>
      <c r="G1479" s="250"/>
      <c r="H1479" s="250"/>
      <c r="I1479" s="250"/>
      <c r="J1479" s="250"/>
      <c r="K1479" s="250"/>
      <c r="L1479" s="250"/>
      <c r="M1479" s="250"/>
      <c r="N1479" s="250"/>
      <c r="O1479" s="250"/>
      <c r="P1479" s="250"/>
      <c r="Q1479" s="250"/>
      <c r="R1479" s="250"/>
      <c r="S1479" s="250"/>
      <c r="T1479" s="250"/>
      <c r="U1479" s="250"/>
      <c r="V1479" s="250"/>
      <c r="W1479" s="250"/>
      <c r="X1479" s="250"/>
      <c r="Y1479" s="250"/>
      <c r="Z1479" s="250"/>
      <c r="AA1479" s="250"/>
      <c r="AB1479" s="250"/>
      <c r="AC1479" s="250"/>
      <c r="AD1479" s="250"/>
      <c r="AE1479" s="250"/>
      <c r="AF1479" s="250"/>
      <c r="AG1479" s="250"/>
      <c r="AH1479" s="250"/>
      <c r="AI1479" s="250"/>
      <c r="AJ1479" s="250"/>
      <c r="AK1479" s="250"/>
      <c r="AL1479" s="250"/>
      <c r="AM1479" s="250"/>
      <c r="AN1479" s="250"/>
      <c r="AO1479" s="250"/>
      <c r="AP1479" s="250"/>
      <c r="AQ1479" s="250"/>
      <c r="AR1479" s="250"/>
      <c r="AS1479" s="250"/>
      <c r="AT1479" s="250"/>
      <c r="AU1479" s="250"/>
      <c r="AV1479" s="124"/>
    </row>
    <row r="1480" spans="2:48" s="475" customFormat="1" x14ac:dyDescent="0.2">
      <c r="B1480" s="250"/>
      <c r="C1480" s="250"/>
      <c r="D1480" s="250"/>
      <c r="E1480" s="250"/>
      <c r="F1480" s="250"/>
      <c r="G1480" s="250"/>
      <c r="H1480" s="250"/>
      <c r="I1480" s="250"/>
      <c r="J1480" s="250"/>
      <c r="K1480" s="250"/>
      <c r="L1480" s="250"/>
      <c r="M1480" s="250"/>
      <c r="N1480" s="250"/>
      <c r="O1480" s="250"/>
      <c r="P1480" s="250"/>
      <c r="Q1480" s="250"/>
      <c r="R1480" s="250"/>
      <c r="S1480" s="250"/>
      <c r="T1480" s="250"/>
      <c r="U1480" s="250"/>
      <c r="V1480" s="250"/>
      <c r="W1480" s="250"/>
      <c r="X1480" s="250"/>
      <c r="Y1480" s="250"/>
      <c r="Z1480" s="250"/>
      <c r="AA1480" s="250"/>
      <c r="AB1480" s="250"/>
      <c r="AC1480" s="250"/>
      <c r="AD1480" s="250"/>
      <c r="AE1480" s="250"/>
      <c r="AF1480" s="250"/>
      <c r="AG1480" s="250"/>
      <c r="AH1480" s="250"/>
      <c r="AI1480" s="250"/>
      <c r="AJ1480" s="250"/>
      <c r="AK1480" s="250"/>
      <c r="AL1480" s="250"/>
      <c r="AM1480" s="250"/>
      <c r="AN1480" s="250"/>
      <c r="AO1480" s="250"/>
      <c r="AP1480" s="250"/>
      <c r="AQ1480" s="250"/>
      <c r="AR1480" s="250"/>
      <c r="AS1480" s="250"/>
      <c r="AT1480" s="250"/>
      <c r="AU1480" s="250"/>
      <c r="AV1480" s="124"/>
    </row>
    <row r="1481" spans="2:48" s="475" customFormat="1" x14ac:dyDescent="0.2">
      <c r="B1481" s="250"/>
      <c r="C1481" s="250"/>
      <c r="D1481" s="250"/>
      <c r="E1481" s="250"/>
      <c r="F1481" s="250"/>
      <c r="G1481" s="250"/>
      <c r="H1481" s="250"/>
      <c r="I1481" s="250"/>
      <c r="J1481" s="250"/>
      <c r="K1481" s="250"/>
      <c r="L1481" s="250"/>
      <c r="M1481" s="250"/>
      <c r="N1481" s="250"/>
      <c r="O1481" s="250"/>
      <c r="P1481" s="250"/>
      <c r="Q1481" s="250"/>
      <c r="R1481" s="250"/>
      <c r="S1481" s="250"/>
      <c r="T1481" s="250"/>
      <c r="U1481" s="250"/>
      <c r="V1481" s="250"/>
      <c r="W1481" s="250"/>
      <c r="X1481" s="250"/>
      <c r="Y1481" s="250"/>
      <c r="Z1481" s="250"/>
      <c r="AA1481" s="250"/>
      <c r="AB1481" s="250"/>
      <c r="AC1481" s="250"/>
      <c r="AD1481" s="250"/>
      <c r="AE1481" s="250"/>
      <c r="AF1481" s="250"/>
      <c r="AG1481" s="250"/>
      <c r="AH1481" s="250"/>
      <c r="AI1481" s="250"/>
      <c r="AJ1481" s="250"/>
      <c r="AK1481" s="250"/>
      <c r="AL1481" s="250"/>
      <c r="AM1481" s="250"/>
      <c r="AN1481" s="250"/>
      <c r="AO1481" s="250"/>
      <c r="AP1481" s="250"/>
      <c r="AQ1481" s="250"/>
      <c r="AR1481" s="250"/>
      <c r="AS1481" s="250"/>
      <c r="AT1481" s="250"/>
      <c r="AU1481" s="250"/>
      <c r="AV1481" s="124"/>
    </row>
    <row r="1482" spans="2:48" s="475" customFormat="1" x14ac:dyDescent="0.2">
      <c r="B1482" s="250"/>
      <c r="C1482" s="250"/>
      <c r="D1482" s="250"/>
      <c r="E1482" s="250"/>
      <c r="F1482" s="250"/>
      <c r="G1482" s="250"/>
      <c r="H1482" s="250"/>
      <c r="I1482" s="250"/>
      <c r="J1482" s="250"/>
      <c r="K1482" s="250"/>
      <c r="L1482" s="250"/>
      <c r="M1482" s="250"/>
      <c r="N1482" s="250"/>
      <c r="O1482" s="250"/>
      <c r="P1482" s="250"/>
      <c r="Q1482" s="250"/>
      <c r="R1482" s="250"/>
      <c r="S1482" s="250"/>
      <c r="T1482" s="250"/>
      <c r="U1482" s="250"/>
      <c r="V1482" s="250"/>
      <c r="W1482" s="250"/>
      <c r="X1482" s="250"/>
      <c r="Y1482" s="250"/>
      <c r="Z1482" s="250"/>
      <c r="AA1482" s="250"/>
      <c r="AB1482" s="250"/>
      <c r="AC1482" s="250"/>
      <c r="AD1482" s="250"/>
      <c r="AE1482" s="250"/>
      <c r="AF1482" s="250"/>
      <c r="AG1482" s="250"/>
      <c r="AH1482" s="250"/>
      <c r="AI1482" s="250"/>
      <c r="AJ1482" s="250"/>
      <c r="AK1482" s="250"/>
      <c r="AL1482" s="250"/>
      <c r="AM1482" s="250"/>
      <c r="AN1482" s="250"/>
      <c r="AO1482" s="250"/>
      <c r="AP1482" s="250"/>
      <c r="AQ1482" s="250"/>
      <c r="AR1482" s="250"/>
      <c r="AS1482" s="250"/>
      <c r="AT1482" s="250"/>
      <c r="AU1482" s="250"/>
      <c r="AV1482" s="124"/>
    </row>
    <row r="1483" spans="2:48" s="475" customFormat="1" x14ac:dyDescent="0.2">
      <c r="B1483" s="250"/>
      <c r="C1483" s="250"/>
      <c r="D1483" s="250"/>
      <c r="E1483" s="250"/>
      <c r="F1483" s="250"/>
      <c r="G1483" s="250"/>
      <c r="H1483" s="250"/>
      <c r="I1483" s="250"/>
      <c r="J1483" s="250"/>
      <c r="K1483" s="250"/>
      <c r="L1483" s="250"/>
      <c r="M1483" s="250"/>
      <c r="N1483" s="250"/>
      <c r="O1483" s="250"/>
      <c r="P1483" s="250"/>
      <c r="Q1483" s="250"/>
      <c r="R1483" s="250"/>
      <c r="S1483" s="250"/>
      <c r="T1483" s="250"/>
      <c r="U1483" s="250"/>
      <c r="V1483" s="250"/>
      <c r="W1483" s="250"/>
      <c r="X1483" s="250"/>
      <c r="Y1483" s="250"/>
      <c r="Z1483" s="250"/>
      <c r="AA1483" s="250"/>
      <c r="AB1483" s="250"/>
      <c r="AC1483" s="250"/>
      <c r="AD1483" s="250"/>
      <c r="AE1483" s="250"/>
      <c r="AF1483" s="250"/>
      <c r="AG1483" s="250"/>
      <c r="AH1483" s="250"/>
      <c r="AI1483" s="250"/>
      <c r="AJ1483" s="250"/>
      <c r="AK1483" s="250"/>
      <c r="AL1483" s="250"/>
      <c r="AM1483" s="250"/>
      <c r="AN1483" s="250"/>
      <c r="AO1483" s="250"/>
      <c r="AP1483" s="250"/>
      <c r="AQ1483" s="250"/>
      <c r="AR1483" s="250"/>
      <c r="AS1483" s="250"/>
      <c r="AT1483" s="250"/>
      <c r="AU1483" s="250"/>
      <c r="AV1483" s="124"/>
    </row>
    <row r="1484" spans="2:48" s="475" customFormat="1" x14ac:dyDescent="0.2">
      <c r="B1484" s="250"/>
      <c r="C1484" s="250"/>
      <c r="D1484" s="250"/>
      <c r="E1484" s="250"/>
      <c r="F1484" s="250"/>
      <c r="G1484" s="250"/>
      <c r="H1484" s="250"/>
      <c r="I1484" s="250"/>
      <c r="J1484" s="250"/>
      <c r="K1484" s="250"/>
      <c r="L1484" s="250"/>
      <c r="M1484" s="250"/>
      <c r="N1484" s="250"/>
      <c r="O1484" s="250"/>
      <c r="P1484" s="250"/>
      <c r="Q1484" s="250"/>
      <c r="R1484" s="250"/>
      <c r="S1484" s="250"/>
      <c r="T1484" s="250"/>
      <c r="U1484" s="250"/>
      <c r="V1484" s="250"/>
      <c r="W1484" s="250"/>
      <c r="X1484" s="250"/>
      <c r="Y1484" s="250"/>
      <c r="Z1484" s="250"/>
      <c r="AA1484" s="250"/>
      <c r="AB1484" s="250"/>
      <c r="AC1484" s="250"/>
      <c r="AD1484" s="250"/>
      <c r="AE1484" s="250"/>
      <c r="AF1484" s="250"/>
      <c r="AG1484" s="250"/>
      <c r="AH1484" s="250"/>
      <c r="AI1484" s="250"/>
      <c r="AJ1484" s="250"/>
      <c r="AK1484" s="250"/>
      <c r="AL1484" s="250"/>
      <c r="AM1484" s="250"/>
      <c r="AN1484" s="250"/>
      <c r="AO1484" s="250"/>
      <c r="AP1484" s="250"/>
      <c r="AQ1484" s="250"/>
      <c r="AR1484" s="250"/>
      <c r="AS1484" s="250"/>
      <c r="AT1484" s="250"/>
      <c r="AU1484" s="250"/>
      <c r="AV1484" s="124"/>
    </row>
    <row r="1485" spans="2:48" s="475" customFormat="1" x14ac:dyDescent="0.2">
      <c r="B1485" s="250"/>
      <c r="C1485" s="250"/>
      <c r="D1485" s="250"/>
      <c r="E1485" s="250"/>
      <c r="F1485" s="250"/>
      <c r="G1485" s="250"/>
      <c r="H1485" s="250"/>
      <c r="I1485" s="250"/>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c r="AN1485" s="250"/>
      <c r="AO1485" s="250"/>
      <c r="AP1485" s="250"/>
      <c r="AQ1485" s="250"/>
      <c r="AR1485" s="250"/>
      <c r="AS1485" s="250"/>
      <c r="AT1485" s="250"/>
      <c r="AU1485" s="250"/>
      <c r="AV1485" s="124"/>
    </row>
    <row r="1486" spans="2:48" s="475" customFormat="1" x14ac:dyDescent="0.2">
      <c r="B1486" s="250"/>
      <c r="C1486" s="250"/>
      <c r="D1486" s="250"/>
      <c r="E1486" s="250"/>
      <c r="F1486" s="250"/>
      <c r="G1486" s="250"/>
      <c r="H1486" s="250"/>
      <c r="I1486" s="250"/>
      <c r="J1486" s="250"/>
      <c r="K1486" s="250"/>
      <c r="L1486" s="250"/>
      <c r="M1486" s="250"/>
      <c r="N1486" s="250"/>
      <c r="O1486" s="250"/>
      <c r="P1486" s="250"/>
      <c r="Q1486" s="250"/>
      <c r="R1486" s="250"/>
      <c r="S1486" s="250"/>
      <c r="T1486" s="250"/>
      <c r="U1486" s="250"/>
      <c r="V1486" s="250"/>
      <c r="W1486" s="250"/>
      <c r="X1486" s="250"/>
      <c r="Y1486" s="250"/>
      <c r="Z1486" s="250"/>
      <c r="AA1486" s="250"/>
      <c r="AB1486" s="250"/>
      <c r="AC1486" s="250"/>
      <c r="AD1486" s="250"/>
      <c r="AE1486" s="250"/>
      <c r="AF1486" s="250"/>
      <c r="AG1486" s="250"/>
      <c r="AH1486" s="250"/>
      <c r="AI1486" s="250"/>
      <c r="AJ1486" s="250"/>
      <c r="AK1486" s="250"/>
      <c r="AL1486" s="250"/>
      <c r="AM1486" s="250"/>
      <c r="AN1486" s="250"/>
      <c r="AO1486" s="250"/>
      <c r="AP1486" s="250"/>
      <c r="AQ1486" s="250"/>
      <c r="AR1486" s="250"/>
      <c r="AS1486" s="250"/>
      <c r="AT1486" s="250"/>
      <c r="AU1486" s="250"/>
      <c r="AV1486" s="124"/>
    </row>
    <row r="1487" spans="2:48" s="475" customFormat="1" x14ac:dyDescent="0.2">
      <c r="B1487" s="250"/>
      <c r="C1487" s="250"/>
      <c r="D1487" s="250"/>
      <c r="E1487" s="250"/>
      <c r="F1487" s="250"/>
      <c r="G1487" s="250"/>
      <c r="H1487" s="250"/>
      <c r="I1487" s="250"/>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c r="AN1487" s="250"/>
      <c r="AO1487" s="250"/>
      <c r="AP1487" s="250"/>
      <c r="AQ1487" s="250"/>
      <c r="AR1487" s="250"/>
      <c r="AS1487" s="250"/>
      <c r="AT1487" s="250"/>
      <c r="AU1487" s="250"/>
      <c r="AV1487" s="124"/>
    </row>
    <row r="1488" spans="2:48" s="475" customFormat="1" x14ac:dyDescent="0.2">
      <c r="B1488" s="250"/>
      <c r="C1488" s="250"/>
      <c r="D1488" s="250"/>
      <c r="E1488" s="250"/>
      <c r="F1488" s="250"/>
      <c r="G1488" s="250"/>
      <c r="H1488" s="250"/>
      <c r="I1488" s="250"/>
      <c r="J1488" s="250"/>
      <c r="K1488" s="250"/>
      <c r="L1488" s="250"/>
      <c r="M1488" s="250"/>
      <c r="N1488" s="250"/>
      <c r="O1488" s="250"/>
      <c r="P1488" s="250"/>
      <c r="Q1488" s="250"/>
      <c r="R1488" s="250"/>
      <c r="S1488" s="250"/>
      <c r="T1488" s="250"/>
      <c r="U1488" s="250"/>
      <c r="V1488" s="250"/>
      <c r="W1488" s="250"/>
      <c r="X1488" s="250"/>
      <c r="Y1488" s="250"/>
      <c r="Z1488" s="250"/>
      <c r="AA1488" s="250"/>
      <c r="AB1488" s="250"/>
      <c r="AC1488" s="250"/>
      <c r="AD1488" s="250"/>
      <c r="AE1488" s="250"/>
      <c r="AF1488" s="250"/>
      <c r="AG1488" s="250"/>
      <c r="AH1488" s="250"/>
      <c r="AI1488" s="250"/>
      <c r="AJ1488" s="250"/>
      <c r="AK1488" s="250"/>
      <c r="AL1488" s="250"/>
      <c r="AM1488" s="250"/>
      <c r="AN1488" s="250"/>
      <c r="AO1488" s="250"/>
      <c r="AP1488" s="250"/>
      <c r="AQ1488" s="250"/>
      <c r="AR1488" s="250"/>
      <c r="AS1488" s="250"/>
      <c r="AT1488" s="250"/>
      <c r="AU1488" s="250"/>
      <c r="AV1488" s="124"/>
    </row>
    <row r="1489" spans="2:48" s="475" customFormat="1" x14ac:dyDescent="0.2">
      <c r="B1489" s="250"/>
      <c r="C1489" s="250"/>
      <c r="D1489" s="250"/>
      <c r="E1489" s="250"/>
      <c r="F1489" s="250"/>
      <c r="G1489" s="250"/>
      <c r="H1489" s="250"/>
      <c r="I1489" s="250"/>
      <c r="J1489" s="250"/>
      <c r="K1489" s="250"/>
      <c r="L1489" s="250"/>
      <c r="M1489" s="250"/>
      <c r="N1489" s="250"/>
      <c r="O1489" s="250"/>
      <c r="P1489" s="250"/>
      <c r="Q1489" s="250"/>
      <c r="R1489" s="250"/>
      <c r="S1489" s="250"/>
      <c r="T1489" s="250"/>
      <c r="U1489" s="250"/>
      <c r="V1489" s="250"/>
      <c r="W1489" s="250"/>
      <c r="X1489" s="250"/>
      <c r="Y1489" s="250"/>
      <c r="Z1489" s="250"/>
      <c r="AA1489" s="250"/>
      <c r="AB1489" s="250"/>
      <c r="AC1489" s="250"/>
      <c r="AD1489" s="250"/>
      <c r="AE1489" s="250"/>
      <c r="AF1489" s="250"/>
      <c r="AG1489" s="250"/>
      <c r="AH1489" s="250"/>
      <c r="AI1489" s="250"/>
      <c r="AJ1489" s="250"/>
      <c r="AK1489" s="250"/>
      <c r="AL1489" s="250"/>
      <c r="AM1489" s="250"/>
      <c r="AN1489" s="250"/>
      <c r="AO1489" s="250"/>
      <c r="AP1489" s="250"/>
      <c r="AQ1489" s="250"/>
      <c r="AR1489" s="250"/>
      <c r="AS1489" s="250"/>
      <c r="AT1489" s="250"/>
      <c r="AU1489" s="250"/>
      <c r="AV1489" s="124"/>
    </row>
    <row r="1490" spans="2:48" s="475" customFormat="1" x14ac:dyDescent="0.2">
      <c r="B1490" s="250"/>
      <c r="C1490" s="250"/>
      <c r="D1490" s="250"/>
      <c r="E1490" s="250"/>
      <c r="F1490" s="250"/>
      <c r="G1490" s="250"/>
      <c r="H1490" s="250"/>
      <c r="I1490" s="250"/>
      <c r="J1490" s="250"/>
      <c r="K1490" s="250"/>
      <c r="L1490" s="250"/>
      <c r="M1490" s="250"/>
      <c r="N1490" s="250"/>
      <c r="O1490" s="250"/>
      <c r="P1490" s="250"/>
      <c r="Q1490" s="250"/>
      <c r="R1490" s="250"/>
      <c r="S1490" s="250"/>
      <c r="T1490" s="250"/>
      <c r="U1490" s="250"/>
      <c r="V1490" s="250"/>
      <c r="W1490" s="250"/>
      <c r="X1490" s="250"/>
      <c r="Y1490" s="250"/>
      <c r="Z1490" s="250"/>
      <c r="AA1490" s="250"/>
      <c r="AB1490" s="250"/>
      <c r="AC1490" s="250"/>
      <c r="AD1490" s="250"/>
      <c r="AE1490" s="250"/>
      <c r="AF1490" s="250"/>
      <c r="AG1490" s="250"/>
      <c r="AH1490" s="250"/>
      <c r="AI1490" s="250"/>
      <c r="AJ1490" s="250"/>
      <c r="AK1490" s="250"/>
      <c r="AL1490" s="250"/>
      <c r="AM1490" s="250"/>
      <c r="AN1490" s="250"/>
      <c r="AO1490" s="250"/>
      <c r="AP1490" s="250"/>
      <c r="AQ1490" s="250"/>
      <c r="AR1490" s="250"/>
      <c r="AS1490" s="250"/>
      <c r="AT1490" s="250"/>
      <c r="AU1490" s="250"/>
      <c r="AV1490" s="124"/>
    </row>
    <row r="1491" spans="2:48" s="475" customFormat="1" x14ac:dyDescent="0.2">
      <c r="B1491" s="250"/>
      <c r="C1491" s="250"/>
      <c r="D1491" s="250"/>
      <c r="E1491" s="250"/>
      <c r="F1491" s="250"/>
      <c r="G1491" s="250"/>
      <c r="H1491" s="250"/>
      <c r="I1491" s="250"/>
      <c r="J1491" s="250"/>
      <c r="K1491" s="250"/>
      <c r="L1491" s="250"/>
      <c r="M1491" s="250"/>
      <c r="N1491" s="250"/>
      <c r="O1491" s="250"/>
      <c r="P1491" s="250"/>
      <c r="Q1491" s="250"/>
      <c r="R1491" s="250"/>
      <c r="S1491" s="250"/>
      <c r="T1491" s="250"/>
      <c r="U1491" s="250"/>
      <c r="V1491" s="250"/>
      <c r="W1491" s="250"/>
      <c r="X1491" s="250"/>
      <c r="Y1491" s="250"/>
      <c r="Z1491" s="250"/>
      <c r="AA1491" s="250"/>
      <c r="AB1491" s="250"/>
      <c r="AC1491" s="250"/>
      <c r="AD1491" s="250"/>
      <c r="AE1491" s="250"/>
      <c r="AF1491" s="250"/>
      <c r="AG1491" s="250"/>
      <c r="AH1491" s="250"/>
      <c r="AI1491" s="250"/>
      <c r="AJ1491" s="250"/>
      <c r="AK1491" s="250"/>
      <c r="AL1491" s="250"/>
      <c r="AM1491" s="250"/>
      <c r="AN1491" s="250"/>
      <c r="AO1491" s="250"/>
      <c r="AP1491" s="250"/>
      <c r="AQ1491" s="250"/>
      <c r="AR1491" s="250"/>
      <c r="AS1491" s="250"/>
      <c r="AT1491" s="250"/>
      <c r="AU1491" s="250"/>
      <c r="AV1491" s="124"/>
    </row>
    <row r="1492" spans="2:48" s="475" customFormat="1" x14ac:dyDescent="0.2">
      <c r="B1492" s="250"/>
      <c r="C1492" s="250"/>
      <c r="D1492" s="250"/>
      <c r="E1492" s="250"/>
      <c r="F1492" s="250"/>
      <c r="G1492" s="250"/>
      <c r="H1492" s="250"/>
      <c r="I1492" s="250"/>
      <c r="J1492" s="250"/>
      <c r="K1492" s="250"/>
      <c r="L1492" s="250"/>
      <c r="M1492" s="250"/>
      <c r="N1492" s="250"/>
      <c r="O1492" s="250"/>
      <c r="P1492" s="250"/>
      <c r="Q1492" s="250"/>
      <c r="R1492" s="250"/>
      <c r="S1492" s="250"/>
      <c r="T1492" s="250"/>
      <c r="U1492" s="250"/>
      <c r="V1492" s="250"/>
      <c r="W1492" s="250"/>
      <c r="X1492" s="250"/>
      <c r="Y1492" s="250"/>
      <c r="Z1492" s="250"/>
      <c r="AA1492" s="250"/>
      <c r="AB1492" s="250"/>
      <c r="AC1492" s="250"/>
      <c r="AD1492" s="250"/>
      <c r="AE1492" s="250"/>
      <c r="AF1492" s="250"/>
      <c r="AG1492" s="250"/>
      <c r="AH1492" s="250"/>
      <c r="AI1492" s="250"/>
      <c r="AJ1492" s="250"/>
      <c r="AK1492" s="250"/>
      <c r="AL1492" s="250"/>
      <c r="AM1492" s="250"/>
      <c r="AN1492" s="250"/>
      <c r="AO1492" s="250"/>
      <c r="AP1492" s="250"/>
      <c r="AQ1492" s="250"/>
      <c r="AR1492" s="250"/>
      <c r="AS1492" s="250"/>
      <c r="AT1492" s="250"/>
      <c r="AU1492" s="250"/>
      <c r="AV1492" s="124"/>
    </row>
    <row r="1493" spans="2:48" s="475" customFormat="1" x14ac:dyDescent="0.2">
      <c r="B1493" s="250"/>
      <c r="C1493" s="250"/>
      <c r="D1493" s="250"/>
      <c r="E1493" s="250"/>
      <c r="F1493" s="250"/>
      <c r="G1493" s="250"/>
      <c r="H1493" s="250"/>
      <c r="I1493" s="250"/>
      <c r="J1493" s="250"/>
      <c r="K1493" s="250"/>
      <c r="L1493" s="250"/>
      <c r="M1493" s="250"/>
      <c r="N1493" s="250"/>
      <c r="O1493" s="250"/>
      <c r="P1493" s="250"/>
      <c r="Q1493" s="250"/>
      <c r="R1493" s="250"/>
      <c r="S1493" s="250"/>
      <c r="T1493" s="250"/>
      <c r="U1493" s="250"/>
      <c r="V1493" s="250"/>
      <c r="W1493" s="250"/>
      <c r="X1493" s="250"/>
      <c r="Y1493" s="250"/>
      <c r="Z1493" s="250"/>
      <c r="AA1493" s="250"/>
      <c r="AB1493" s="250"/>
      <c r="AC1493" s="250"/>
      <c r="AD1493" s="250"/>
      <c r="AE1493" s="250"/>
      <c r="AF1493" s="250"/>
      <c r="AG1493" s="250"/>
      <c r="AH1493" s="250"/>
      <c r="AI1493" s="250"/>
      <c r="AJ1493" s="250"/>
      <c r="AK1493" s="250"/>
      <c r="AL1493" s="250"/>
      <c r="AM1493" s="250"/>
      <c r="AN1493" s="250"/>
      <c r="AO1493" s="250"/>
      <c r="AP1493" s="250"/>
      <c r="AQ1493" s="250"/>
      <c r="AR1493" s="250"/>
      <c r="AS1493" s="250"/>
      <c r="AT1493" s="250"/>
      <c r="AU1493" s="250"/>
      <c r="AV1493" s="124"/>
    </row>
    <row r="1494" spans="2:48" s="475" customFormat="1" x14ac:dyDescent="0.2">
      <c r="B1494" s="250"/>
      <c r="C1494" s="250"/>
      <c r="D1494" s="250"/>
      <c r="E1494" s="250"/>
      <c r="F1494" s="250"/>
      <c r="G1494" s="250"/>
      <c r="H1494" s="250"/>
      <c r="I1494" s="250"/>
      <c r="J1494" s="250"/>
      <c r="K1494" s="250"/>
      <c r="L1494" s="250"/>
      <c r="M1494" s="250"/>
      <c r="N1494" s="250"/>
      <c r="O1494" s="250"/>
      <c r="P1494" s="250"/>
      <c r="Q1494" s="250"/>
      <c r="R1494" s="250"/>
      <c r="S1494" s="250"/>
      <c r="T1494" s="250"/>
      <c r="U1494" s="250"/>
      <c r="V1494" s="250"/>
      <c r="W1494" s="250"/>
      <c r="X1494" s="250"/>
      <c r="Y1494" s="250"/>
      <c r="Z1494" s="250"/>
      <c r="AA1494" s="250"/>
      <c r="AB1494" s="250"/>
      <c r="AC1494" s="250"/>
      <c r="AD1494" s="250"/>
      <c r="AE1494" s="250"/>
      <c r="AF1494" s="250"/>
      <c r="AG1494" s="250"/>
      <c r="AH1494" s="250"/>
      <c r="AI1494" s="250"/>
      <c r="AJ1494" s="250"/>
      <c r="AK1494" s="250"/>
      <c r="AL1494" s="250"/>
      <c r="AM1494" s="250"/>
      <c r="AN1494" s="250"/>
      <c r="AO1494" s="250"/>
      <c r="AP1494" s="250"/>
      <c r="AQ1494" s="250"/>
      <c r="AR1494" s="250"/>
      <c r="AS1494" s="250"/>
      <c r="AT1494" s="250"/>
      <c r="AU1494" s="250"/>
      <c r="AV1494" s="124"/>
    </row>
    <row r="1495" spans="2:48" s="475" customFormat="1" x14ac:dyDescent="0.2">
      <c r="B1495" s="250"/>
      <c r="C1495" s="250"/>
      <c r="D1495" s="250"/>
      <c r="E1495" s="250"/>
      <c r="F1495" s="250"/>
      <c r="G1495" s="250"/>
      <c r="H1495" s="250"/>
      <c r="I1495" s="250"/>
      <c r="J1495" s="250"/>
      <c r="K1495" s="250"/>
      <c r="L1495" s="250"/>
      <c r="M1495" s="250"/>
      <c r="N1495" s="250"/>
      <c r="O1495" s="250"/>
      <c r="P1495" s="250"/>
      <c r="Q1495" s="250"/>
      <c r="R1495" s="250"/>
      <c r="S1495" s="250"/>
      <c r="T1495" s="250"/>
      <c r="U1495" s="250"/>
      <c r="V1495" s="250"/>
      <c r="W1495" s="250"/>
      <c r="X1495" s="250"/>
      <c r="Y1495" s="250"/>
      <c r="Z1495" s="250"/>
      <c r="AA1495" s="250"/>
      <c r="AB1495" s="250"/>
      <c r="AC1495" s="250"/>
      <c r="AD1495" s="250"/>
      <c r="AE1495" s="250"/>
      <c r="AF1495" s="250"/>
      <c r="AG1495" s="250"/>
      <c r="AH1495" s="250"/>
      <c r="AI1495" s="250"/>
      <c r="AJ1495" s="250"/>
      <c r="AK1495" s="250"/>
      <c r="AL1495" s="250"/>
      <c r="AM1495" s="250"/>
      <c r="AN1495" s="250"/>
      <c r="AO1495" s="250"/>
      <c r="AP1495" s="250"/>
      <c r="AQ1495" s="250"/>
      <c r="AR1495" s="250"/>
      <c r="AS1495" s="250"/>
      <c r="AT1495" s="250"/>
      <c r="AU1495" s="250"/>
      <c r="AV1495" s="124"/>
    </row>
    <row r="1496" spans="2:48" s="475" customFormat="1" x14ac:dyDescent="0.2">
      <c r="B1496" s="250"/>
      <c r="C1496" s="250"/>
      <c r="D1496" s="250"/>
      <c r="E1496" s="250"/>
      <c r="F1496" s="250"/>
      <c r="G1496" s="250"/>
      <c r="H1496" s="250"/>
      <c r="I1496" s="250"/>
      <c r="J1496" s="250"/>
      <c r="K1496" s="250"/>
      <c r="L1496" s="250"/>
      <c r="M1496" s="250"/>
      <c r="N1496" s="250"/>
      <c r="O1496" s="250"/>
      <c r="P1496" s="250"/>
      <c r="Q1496" s="250"/>
      <c r="R1496" s="250"/>
      <c r="S1496" s="250"/>
      <c r="T1496" s="250"/>
      <c r="U1496" s="250"/>
      <c r="V1496" s="250"/>
      <c r="W1496" s="250"/>
      <c r="X1496" s="250"/>
      <c r="Y1496" s="250"/>
      <c r="Z1496" s="250"/>
      <c r="AA1496" s="250"/>
      <c r="AB1496" s="250"/>
      <c r="AC1496" s="250"/>
      <c r="AD1496" s="250"/>
      <c r="AE1496" s="250"/>
      <c r="AF1496" s="250"/>
      <c r="AG1496" s="250"/>
      <c r="AH1496" s="250"/>
      <c r="AI1496" s="250"/>
      <c r="AJ1496" s="250"/>
      <c r="AK1496" s="250"/>
      <c r="AL1496" s="250"/>
      <c r="AM1496" s="250"/>
      <c r="AN1496" s="250"/>
      <c r="AO1496" s="250"/>
      <c r="AP1496" s="250"/>
      <c r="AQ1496" s="250"/>
      <c r="AR1496" s="250"/>
      <c r="AS1496" s="250"/>
      <c r="AT1496" s="250"/>
      <c r="AU1496" s="250"/>
      <c r="AV1496" s="124"/>
    </row>
    <row r="1497" spans="2:48" s="475" customFormat="1" x14ac:dyDescent="0.2">
      <c r="B1497" s="250"/>
      <c r="C1497" s="250"/>
      <c r="D1497" s="250"/>
      <c r="E1497" s="250"/>
      <c r="F1497" s="250"/>
      <c r="G1497" s="250"/>
      <c r="H1497" s="250"/>
      <c r="I1497" s="250"/>
      <c r="J1497" s="250"/>
      <c r="K1497" s="250"/>
      <c r="L1497" s="250"/>
      <c r="M1497" s="250"/>
      <c r="N1497" s="250"/>
      <c r="O1497" s="250"/>
      <c r="P1497" s="250"/>
      <c r="Q1497" s="250"/>
      <c r="R1497" s="250"/>
      <c r="S1497" s="250"/>
      <c r="T1497" s="250"/>
      <c r="U1497" s="250"/>
      <c r="V1497" s="250"/>
      <c r="W1497" s="250"/>
      <c r="X1497" s="250"/>
      <c r="Y1497" s="250"/>
      <c r="Z1497" s="250"/>
      <c r="AA1497" s="250"/>
      <c r="AB1497" s="250"/>
      <c r="AC1497" s="250"/>
      <c r="AD1497" s="250"/>
      <c r="AE1497" s="250"/>
      <c r="AF1497" s="250"/>
      <c r="AG1497" s="250"/>
      <c r="AH1497" s="250"/>
      <c r="AI1497" s="250"/>
      <c r="AJ1497" s="250"/>
      <c r="AK1497" s="250"/>
      <c r="AL1497" s="250"/>
      <c r="AM1497" s="250"/>
      <c r="AN1497" s="250"/>
      <c r="AO1497" s="250"/>
      <c r="AP1497" s="250"/>
      <c r="AQ1497" s="250"/>
      <c r="AR1497" s="250"/>
      <c r="AS1497" s="250"/>
      <c r="AT1497" s="250"/>
      <c r="AU1497" s="250"/>
      <c r="AV1497" s="124"/>
    </row>
    <row r="1498" spans="2:48" s="475" customFormat="1" x14ac:dyDescent="0.2">
      <c r="B1498" s="251"/>
      <c r="C1498" s="251"/>
      <c r="D1498" s="251"/>
      <c r="E1498" s="251"/>
      <c r="F1498" s="251"/>
      <c r="G1498" s="251"/>
      <c r="H1498" s="251"/>
      <c r="I1498" s="251"/>
      <c r="J1498" s="251"/>
      <c r="K1498" s="251"/>
      <c r="L1498" s="251"/>
      <c r="M1498" s="251"/>
      <c r="N1498" s="251"/>
      <c r="O1498" s="251"/>
      <c r="P1498" s="251"/>
      <c r="Q1498" s="251"/>
      <c r="R1498" s="251"/>
      <c r="S1498" s="251"/>
      <c r="T1498" s="251"/>
      <c r="U1498" s="251"/>
      <c r="V1498" s="251"/>
      <c r="W1498" s="251"/>
      <c r="X1498" s="251"/>
      <c r="Y1498" s="251"/>
      <c r="Z1498" s="251"/>
      <c r="AA1498" s="251"/>
      <c r="AB1498" s="251"/>
      <c r="AC1498" s="251"/>
      <c r="AD1498" s="251"/>
      <c r="AE1498" s="251"/>
      <c r="AF1498" s="251"/>
      <c r="AG1498" s="251"/>
      <c r="AH1498" s="251"/>
      <c r="AI1498" s="251"/>
      <c r="AJ1498" s="251"/>
      <c r="AK1498" s="251"/>
      <c r="AL1498" s="251"/>
      <c r="AM1498" s="251"/>
      <c r="AN1498" s="251"/>
      <c r="AO1498" s="251"/>
      <c r="AP1498" s="251"/>
      <c r="AQ1498" s="251"/>
      <c r="AR1498" s="251"/>
      <c r="AS1498" s="251"/>
      <c r="AT1498" s="251"/>
      <c r="AU1498" s="251"/>
      <c r="AV1498" s="125"/>
    </row>
    <row r="1499" spans="2:48" s="475" customFormat="1" x14ac:dyDescent="0.2"/>
    <row r="1500" spans="2:48" s="475" customFormat="1" x14ac:dyDescent="0.2"/>
    <row r="1501" spans="2:48" s="475" customFormat="1" x14ac:dyDescent="0.2"/>
    <row r="1502" spans="2:48" s="475" customFormat="1" x14ac:dyDescent="0.2"/>
    <row r="1503" spans="2:48" s="475" customFormat="1" x14ac:dyDescent="0.2"/>
    <row r="1504" spans="2:48" s="475" customFormat="1" x14ac:dyDescent="0.2"/>
    <row r="1505" s="475" customFormat="1" x14ac:dyDescent="0.2"/>
    <row r="1506" s="475" customFormat="1" x14ac:dyDescent="0.2"/>
    <row r="1507" s="475" customFormat="1" x14ac:dyDescent="0.2"/>
    <row r="1508" s="475" customFormat="1" x14ac:dyDescent="0.2"/>
    <row r="1509" s="475" customFormat="1" x14ac:dyDescent="0.2"/>
    <row r="1510" s="475" customFormat="1" x14ac:dyDescent="0.2"/>
    <row r="1511" s="475" customFormat="1" x14ac:dyDescent="0.2"/>
    <row r="1512" s="475" customFormat="1" x14ac:dyDescent="0.2"/>
    <row r="1513" s="475" customFormat="1" x14ac:dyDescent="0.2"/>
    <row r="1514" s="475" customFormat="1" x14ac:dyDescent="0.2"/>
    <row r="1515" s="475" customFormat="1" x14ac:dyDescent="0.2"/>
    <row r="1516" s="475" customFormat="1" x14ac:dyDescent="0.2"/>
    <row r="1517" s="475" customFormat="1" x14ac:dyDescent="0.2"/>
    <row r="1518" s="475" customFormat="1" x14ac:dyDescent="0.2"/>
    <row r="1519" s="475" customFormat="1" x14ac:dyDescent="0.2"/>
    <row r="1520" s="475" customFormat="1" x14ac:dyDescent="0.2"/>
    <row r="1521" s="475" customFormat="1" x14ac:dyDescent="0.2"/>
    <row r="1522" s="475" customFormat="1" x14ac:dyDescent="0.2"/>
    <row r="1523" s="475" customFormat="1" x14ac:dyDescent="0.2"/>
    <row r="1524" s="475" customFormat="1" x14ac:dyDescent="0.2"/>
  </sheetData>
  <sheetProtection password="E65B" sheet="1" objects="1" scenarios="1"/>
  <mergeCells count="36">
    <mergeCell ref="C149:Q150"/>
    <mergeCell ref="C173:Q174"/>
    <mergeCell ref="E2:N2"/>
    <mergeCell ref="C932:Q933"/>
    <mergeCell ref="E219:M219"/>
    <mergeCell ref="E218:M218"/>
    <mergeCell ref="C487:M487"/>
    <mergeCell ref="E215:M215"/>
    <mergeCell ref="E10:O10"/>
    <mergeCell ref="E25:O25"/>
    <mergeCell ref="C188:Q189"/>
    <mergeCell ref="E197:M197"/>
    <mergeCell ref="E191:M191"/>
    <mergeCell ref="E193:N193"/>
    <mergeCell ref="E194:N194"/>
    <mergeCell ref="E196:M196"/>
    <mergeCell ref="F1314:G1314"/>
    <mergeCell ref="E199:M199"/>
    <mergeCell ref="E209:M209"/>
    <mergeCell ref="E200:M200"/>
    <mergeCell ref="E201:M201"/>
    <mergeCell ref="C1087:Q1088"/>
    <mergeCell ref="C1292:Q1293"/>
    <mergeCell ref="E216:M216"/>
    <mergeCell ref="F492:G492"/>
    <mergeCell ref="F497:G497"/>
    <mergeCell ref="C206:Q207"/>
    <mergeCell ref="C719:Q720"/>
    <mergeCell ref="C826:Q827"/>
    <mergeCell ref="F304:K304"/>
    <mergeCell ref="F1318:G1318"/>
    <mergeCell ref="F1319:G1319"/>
    <mergeCell ref="F1320:G1320"/>
    <mergeCell ref="F1315:G1315"/>
    <mergeCell ref="F1316:G1316"/>
    <mergeCell ref="F1317:G1317"/>
  </mergeCells>
  <phoneticPr fontId="2" type="noConversion"/>
  <hyperlinks>
    <hyperlink ref="F20" location="'5'!A1" tooltip="Ir a INGRESOS" display="INGRESOS"/>
    <hyperlink ref="F16" location="'3'!A1" tooltip="Ir a GASTOS" display="GASTOS OPERATIVOS"/>
    <hyperlink ref="F18" location="'4'!A1" tooltip="Ir a gastos de PERSONAL" display="PERSONAL"/>
    <hyperlink ref="F12" location="'1'!A1" tooltip="Ir a INVERSIONES" display="INVERSIONES"/>
    <hyperlink ref="F14:G14" location="FINANCIACIÓN!A1" tooltip="IR A FINANCIACION" display="5- Financiación"/>
    <hyperlink ref="F22:G22" location="COBROyPAGO!A1" tooltip="IR A COBRO Y PAGO" display="6- Cobro y pago"/>
    <hyperlink ref="F29" location="PYGPRESUP" tooltip="IR A PYG" display="Cuenta RESULTADOS"/>
    <hyperlink ref="F31" location="PRESUPCASHFLOW" tooltip="IR A TESORERIA" display="Presupuesto de TESORERÍA"/>
    <hyperlink ref="F33" location="breakevenpoint" tooltip="IR A PUNTO EQUILIBRIO" display="Punto de Equilibrio"/>
    <hyperlink ref="F4" location="I!A1" tooltip="Ir a la PORTADA" display="INICIO"/>
    <hyperlink ref="F6" location="D!A1" tooltip="Ir a la hoja DATOS" display="DATOS"/>
    <hyperlink ref="F27" location="PORTADAPRES" tooltip="Ir a RESUMEN 1" display="Resumen 1"/>
    <hyperlink ref="F14" location="'2'!A1" tooltip="IR A FINANCIACION" display="FINANCIACIÓN"/>
    <hyperlink ref="F22" location="'6'!A1" tooltip="IR A COBRO Y PAGO" display="COBROS Y PAGOS"/>
  </hyperlinks>
  <printOptions horizontalCentered="1" verticalCentered="1"/>
  <pageMargins left="0.78740157480314965" right="0.78740157480314965" top="0.98425196850393704" bottom="0.98425196850393704" header="0" footer="0"/>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B1:CP464"/>
  <sheetViews>
    <sheetView showGridLines="0" showRowColHeaders="0" showOutlineSymbols="0" zoomScaleNormal="100" workbookViewId="0">
      <pane xSplit="100" ySplit="144" topLeftCell="CW145" activePane="bottomRight" state="frozen"/>
      <selection pane="topRight" activeCell="CV1" sqref="CV1"/>
      <selection pane="bottomLeft" activeCell="A146" sqref="A146"/>
      <selection pane="bottomRight"/>
    </sheetView>
  </sheetViews>
  <sheetFormatPr baseColWidth="10" defaultRowHeight="12.75" x14ac:dyDescent="0.2"/>
  <cols>
    <col min="1" max="1" width="0" hidden="1" customWidth="1"/>
    <col min="2" max="3" width="4.140625" style="331" customWidth="1"/>
    <col min="4" max="4" width="2.7109375" customWidth="1"/>
    <col min="5" max="5" width="39.42578125" customWidth="1"/>
    <col min="6" max="6" width="0.42578125" customWidth="1"/>
    <col min="7" max="7" width="31" customWidth="1"/>
    <col min="8" max="8" width="0.42578125" customWidth="1"/>
    <col min="9" max="9" width="14.85546875" customWidth="1"/>
    <col min="10" max="10" width="11.7109375" customWidth="1"/>
    <col min="11" max="11" width="19.5703125" customWidth="1"/>
    <col min="12" max="12" width="2.7109375" customWidth="1"/>
    <col min="13" max="13" width="1.42578125" style="331" customWidth="1"/>
    <col min="14" max="63" width="4.7109375" style="331" customWidth="1"/>
    <col min="64" max="72" width="4.7109375" style="79" customWidth="1"/>
    <col min="73" max="78" width="4.7109375" style="15" customWidth="1"/>
    <col min="79" max="79" width="20.7109375" style="15" customWidth="1"/>
    <col min="80" max="94" width="11.42578125" style="15"/>
  </cols>
  <sheetData>
    <row r="1" spans="2:94" s="332" customFormat="1" ht="9.9499999999999993" customHeight="1" thickBot="1" x14ac:dyDescent="0.25">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9"/>
      <c r="BW1" s="329"/>
      <c r="BX1" s="329"/>
      <c r="BY1" s="329"/>
      <c r="BZ1" s="329"/>
      <c r="CA1" s="334"/>
      <c r="CB1" s="334"/>
      <c r="CC1" s="334"/>
      <c r="CD1" s="334"/>
      <c r="CE1" s="334"/>
      <c r="CF1" s="334"/>
      <c r="CG1" s="334"/>
      <c r="CH1" s="334"/>
    </row>
    <row r="2" spans="2:94" s="46" customFormat="1" ht="30" customHeight="1" thickBot="1" x14ac:dyDescent="0.25">
      <c r="B2" s="325"/>
      <c r="C2" s="325"/>
      <c r="D2" s="950"/>
      <c r="E2" s="1367" t="s">
        <v>647</v>
      </c>
      <c r="F2" s="1367"/>
      <c r="G2" s="1367"/>
      <c r="H2" s="1367"/>
      <c r="I2" s="1367"/>
      <c r="J2" s="1367"/>
      <c r="K2" s="1367"/>
      <c r="L2" s="951"/>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298"/>
      <c r="BM2" s="298"/>
      <c r="BN2" s="298"/>
      <c r="BO2" s="298"/>
      <c r="BP2" s="298"/>
      <c r="BQ2" s="298"/>
      <c r="BR2" s="298"/>
      <c r="BS2" s="298"/>
      <c r="BT2" s="298"/>
      <c r="BU2" s="296"/>
      <c r="BV2" s="411"/>
      <c r="BW2" s="411"/>
      <c r="BX2" s="411"/>
      <c r="BY2" s="411"/>
      <c r="BZ2" s="411"/>
      <c r="CA2" s="7"/>
      <c r="CB2" s="7"/>
      <c r="CC2" s="7"/>
      <c r="CD2" s="7"/>
      <c r="CE2" s="7"/>
      <c r="CF2" s="7"/>
      <c r="CG2" s="7"/>
      <c r="CH2" s="7"/>
      <c r="CI2" s="39"/>
      <c r="CJ2" s="39"/>
      <c r="CK2" s="39"/>
      <c r="CL2" s="39"/>
      <c r="CM2" s="39"/>
      <c r="CN2" s="39"/>
      <c r="CO2" s="39"/>
      <c r="CP2" s="39"/>
    </row>
    <row r="3" spans="2:94" s="46" customFormat="1" ht="15" customHeight="1" thickBot="1" x14ac:dyDescent="0.25">
      <c r="B3" s="325"/>
      <c r="C3" s="325"/>
      <c r="D3" s="1099"/>
      <c r="E3" s="903"/>
      <c r="F3" s="903"/>
      <c r="G3" s="903"/>
      <c r="H3" s="903"/>
      <c r="I3" s="903"/>
      <c r="J3" s="903"/>
      <c r="K3" s="903"/>
      <c r="L3" s="1100"/>
      <c r="M3" s="333"/>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299"/>
      <c r="BM3" s="299"/>
      <c r="BN3" s="299"/>
      <c r="BO3" s="299"/>
      <c r="BP3" s="299"/>
      <c r="BQ3" s="299"/>
      <c r="BR3" s="299"/>
      <c r="BS3" s="299"/>
      <c r="BT3" s="299"/>
      <c r="BU3" s="39"/>
      <c r="BV3" s="7"/>
      <c r="BW3" s="7"/>
      <c r="BX3" s="7"/>
      <c r="BY3" s="7"/>
      <c r="BZ3" s="7"/>
      <c r="CA3" s="7"/>
      <c r="CB3" s="7"/>
      <c r="CC3" s="7"/>
      <c r="CD3" s="7"/>
      <c r="CE3" s="7"/>
      <c r="CF3" s="7"/>
      <c r="CG3" s="7"/>
      <c r="CH3" s="7"/>
      <c r="CI3" s="39"/>
      <c r="CJ3" s="39"/>
      <c r="CK3" s="39"/>
      <c r="CL3" s="39"/>
      <c r="CM3" s="39"/>
      <c r="CN3" s="39"/>
      <c r="CO3" s="39"/>
      <c r="CP3" s="39"/>
    </row>
    <row r="4" spans="2:94" s="77" customFormat="1" ht="12.95" customHeight="1" thickBot="1" x14ac:dyDescent="0.2">
      <c r="B4" s="326"/>
      <c r="C4" s="326"/>
      <c r="D4" s="1099"/>
      <c r="E4" s="388" t="s">
        <v>366</v>
      </c>
      <c r="F4" s="1110"/>
      <c r="G4" s="320" t="s">
        <v>262</v>
      </c>
      <c r="H4" s="1101"/>
      <c r="I4" s="321" t="s">
        <v>264</v>
      </c>
      <c r="J4" s="321" t="s">
        <v>365</v>
      </c>
      <c r="K4" s="1101"/>
      <c r="L4" s="1102"/>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c r="BG4" s="335"/>
      <c r="BH4" s="335"/>
      <c r="BI4" s="335"/>
      <c r="BJ4" s="335"/>
      <c r="BK4" s="335"/>
      <c r="BL4" s="300"/>
      <c r="BM4" s="300"/>
      <c r="BN4" s="300"/>
      <c r="BO4" s="300"/>
      <c r="BP4" s="300"/>
      <c r="BQ4" s="300"/>
      <c r="BR4" s="300"/>
      <c r="BS4" s="300"/>
      <c r="BT4" s="300"/>
      <c r="BU4" s="301"/>
      <c r="BV4" s="430"/>
      <c r="BW4" s="430"/>
      <c r="BX4" s="430"/>
      <c r="BY4" s="430"/>
      <c r="BZ4" s="430"/>
      <c r="CA4" s="430"/>
      <c r="CB4" s="430"/>
      <c r="CC4" s="430"/>
      <c r="CD4" s="430"/>
      <c r="CE4" s="430"/>
      <c r="CF4" s="430"/>
      <c r="CG4" s="430"/>
      <c r="CH4" s="430"/>
      <c r="CI4" s="301"/>
      <c r="CJ4" s="301"/>
      <c r="CK4" s="301"/>
      <c r="CL4" s="301"/>
      <c r="CM4" s="301"/>
      <c r="CN4" s="301"/>
      <c r="CO4" s="301"/>
      <c r="CP4" s="301"/>
    </row>
    <row r="5" spans="2:94" s="78" customFormat="1" ht="14.1" customHeight="1" x14ac:dyDescent="0.2">
      <c r="B5" s="327"/>
      <c r="C5" s="327"/>
      <c r="D5" s="1109"/>
      <c r="E5" s="705" t="s">
        <v>1262</v>
      </c>
      <c r="F5" s="1111"/>
      <c r="G5" s="312"/>
      <c r="H5" s="1103"/>
      <c r="I5" s="384"/>
      <c r="J5" s="317" t="s">
        <v>878</v>
      </c>
      <c r="K5" s="1103"/>
      <c r="L5" s="1104"/>
      <c r="M5" s="336"/>
      <c r="N5" s="336"/>
      <c r="O5" s="336"/>
      <c r="P5" s="336"/>
      <c r="Q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c r="BE5" s="336"/>
      <c r="BF5" s="336"/>
      <c r="BG5" s="336"/>
      <c r="BH5" s="336"/>
      <c r="BI5" s="336"/>
      <c r="BJ5" s="336"/>
      <c r="BK5" s="336"/>
      <c r="BL5" s="303"/>
      <c r="BM5" s="303"/>
      <c r="BN5" s="303"/>
      <c r="BO5" s="303"/>
      <c r="BP5" s="303"/>
      <c r="BQ5" s="303"/>
      <c r="BR5" s="303"/>
      <c r="BS5" s="303"/>
      <c r="BT5" s="303"/>
      <c r="BU5" s="304"/>
      <c r="BV5" s="434"/>
      <c r="BW5" s="434"/>
      <c r="BX5" s="434"/>
      <c r="BY5" s="434"/>
      <c r="BZ5" s="434"/>
      <c r="CA5" s="434"/>
      <c r="CB5" s="434"/>
      <c r="CC5" s="434"/>
      <c r="CD5" s="434"/>
      <c r="CE5" s="434"/>
      <c r="CF5" s="434"/>
      <c r="CG5" s="434"/>
      <c r="CH5" s="434"/>
      <c r="CI5" s="304"/>
      <c r="CJ5" s="304"/>
      <c r="CK5" s="304"/>
      <c r="CL5" s="304"/>
      <c r="CM5" s="304"/>
      <c r="CN5" s="304"/>
      <c r="CO5" s="304"/>
      <c r="CP5" s="304"/>
    </row>
    <row r="6" spans="2:94" s="78" customFormat="1" ht="14.1" customHeight="1" x14ac:dyDescent="0.2">
      <c r="B6" s="327"/>
      <c r="C6" s="327"/>
      <c r="D6" s="1109"/>
      <c r="E6" s="315" t="s">
        <v>373</v>
      </c>
      <c r="F6" s="1111"/>
      <c r="G6" s="313"/>
      <c r="H6" s="1103"/>
      <c r="I6" s="385"/>
      <c r="J6" s="318" t="s">
        <v>878</v>
      </c>
      <c r="K6" s="1103"/>
      <c r="L6" s="1104"/>
      <c r="M6" s="336"/>
      <c r="N6" s="336"/>
      <c r="O6" s="336"/>
      <c r="P6" s="336"/>
      <c r="Q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03"/>
      <c r="BM6" s="303"/>
      <c r="BN6" s="303"/>
      <c r="BO6" s="303"/>
      <c r="BP6" s="303"/>
      <c r="BQ6" s="303"/>
      <c r="BR6" s="303"/>
      <c r="BS6" s="303"/>
      <c r="BT6" s="303"/>
      <c r="BU6" s="304"/>
      <c r="BV6" s="434"/>
      <c r="BW6" s="434"/>
      <c r="BX6" s="434"/>
      <c r="BY6" s="434"/>
      <c r="BZ6" s="434"/>
      <c r="CA6" s="434"/>
      <c r="CB6" s="434"/>
      <c r="CC6" s="434"/>
      <c r="CD6" s="434"/>
      <c r="CE6" s="434"/>
      <c r="CF6" s="434"/>
      <c r="CG6" s="434"/>
      <c r="CH6" s="434"/>
      <c r="CI6" s="304"/>
      <c r="CJ6" s="304"/>
      <c r="CK6" s="304"/>
      <c r="CL6" s="304"/>
      <c r="CM6" s="304"/>
      <c r="CN6" s="304"/>
      <c r="CO6" s="304"/>
      <c r="CP6" s="304"/>
    </row>
    <row r="7" spans="2:94" s="78" customFormat="1" ht="14.1" customHeight="1" x14ac:dyDescent="0.2">
      <c r="B7" s="327"/>
      <c r="C7" s="327"/>
      <c r="D7" s="1109"/>
      <c r="E7" s="315" t="s">
        <v>374</v>
      </c>
      <c r="F7" s="1111"/>
      <c r="G7" s="313"/>
      <c r="H7" s="1103"/>
      <c r="I7" s="385"/>
      <c r="J7" s="318" t="s">
        <v>878</v>
      </c>
      <c r="K7" s="1103"/>
      <c r="L7" s="1104"/>
      <c r="M7" s="336"/>
      <c r="N7" s="336"/>
      <c r="O7" s="336"/>
      <c r="P7" s="336"/>
      <c r="Q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03"/>
      <c r="BM7" s="303"/>
      <c r="BN7" s="303"/>
      <c r="BO7" s="303"/>
      <c r="BP7" s="303"/>
      <c r="BQ7" s="303"/>
      <c r="BR7" s="303"/>
      <c r="BS7" s="303"/>
      <c r="BT7" s="303"/>
      <c r="BU7" s="304"/>
      <c r="BV7" s="434"/>
      <c r="BW7" s="434"/>
      <c r="BX7" s="434"/>
      <c r="BY7" s="434"/>
      <c r="BZ7" s="434"/>
      <c r="CA7" s="434"/>
      <c r="CB7" s="434"/>
      <c r="CC7" s="434"/>
      <c r="CD7" s="434"/>
      <c r="CE7" s="434"/>
      <c r="CF7" s="434"/>
      <c r="CG7" s="434"/>
      <c r="CH7" s="434"/>
      <c r="CI7" s="304"/>
      <c r="CJ7" s="304"/>
      <c r="CK7" s="304"/>
      <c r="CL7" s="304"/>
      <c r="CM7" s="304"/>
      <c r="CN7" s="304"/>
      <c r="CO7" s="304"/>
      <c r="CP7" s="304"/>
    </row>
    <row r="8" spans="2:94" s="78" customFormat="1" ht="14.1" customHeight="1" x14ac:dyDescent="0.2">
      <c r="B8" s="327"/>
      <c r="C8" s="327"/>
      <c r="D8" s="1109"/>
      <c r="E8" s="315" t="s">
        <v>375</v>
      </c>
      <c r="F8" s="1111"/>
      <c r="G8" s="313"/>
      <c r="H8" s="1103"/>
      <c r="I8" s="385"/>
      <c r="J8" s="318" t="s">
        <v>878</v>
      </c>
      <c r="K8" s="1103"/>
      <c r="L8" s="1104"/>
      <c r="M8" s="336"/>
      <c r="N8" s="336"/>
      <c r="O8" s="336"/>
      <c r="P8" s="336"/>
      <c r="Q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03"/>
      <c r="BM8" s="303"/>
      <c r="BN8" s="303"/>
      <c r="BO8" s="303"/>
      <c r="BP8" s="303"/>
      <c r="BQ8" s="303"/>
      <c r="BR8" s="303"/>
      <c r="BS8" s="303"/>
      <c r="BT8" s="303"/>
      <c r="BU8" s="304"/>
      <c r="BV8" s="434"/>
      <c r="BW8" s="434"/>
      <c r="BX8" s="434"/>
      <c r="BY8" s="434"/>
      <c r="BZ8" s="434"/>
      <c r="CA8" s="434"/>
      <c r="CB8" s="434"/>
      <c r="CC8" s="434"/>
      <c r="CD8" s="434"/>
      <c r="CE8" s="434"/>
      <c r="CF8" s="434"/>
      <c r="CG8" s="434"/>
      <c r="CH8" s="434"/>
      <c r="CI8" s="304"/>
      <c r="CJ8" s="304"/>
      <c r="CK8" s="304"/>
      <c r="CL8" s="304"/>
      <c r="CM8" s="304"/>
      <c r="CN8" s="304"/>
      <c r="CO8" s="304"/>
      <c r="CP8" s="304"/>
    </row>
    <row r="9" spans="2:94" s="78" customFormat="1" ht="14.1" customHeight="1" x14ac:dyDescent="0.2">
      <c r="B9" s="327"/>
      <c r="C9" s="327"/>
      <c r="D9" s="1109"/>
      <c r="E9" s="315" t="s">
        <v>376</v>
      </c>
      <c r="F9" s="1111"/>
      <c r="G9" s="313"/>
      <c r="H9" s="1103"/>
      <c r="I9" s="385"/>
      <c r="J9" s="318" t="s">
        <v>878</v>
      </c>
      <c r="K9" s="1103"/>
      <c r="L9" s="1104"/>
      <c r="M9" s="336"/>
      <c r="N9" s="336"/>
      <c r="O9" s="336"/>
      <c r="P9" s="336"/>
      <c r="Q9" s="336"/>
      <c r="S9" s="336"/>
      <c r="T9" s="336"/>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6"/>
      <c r="AZ9" s="336"/>
      <c r="BA9" s="336"/>
      <c r="BB9" s="336"/>
      <c r="BC9" s="336"/>
      <c r="BD9" s="336"/>
      <c r="BE9" s="336"/>
      <c r="BF9" s="336"/>
      <c r="BG9" s="336"/>
      <c r="BH9" s="336"/>
      <c r="BI9" s="336"/>
      <c r="BJ9" s="336"/>
      <c r="BK9" s="336"/>
      <c r="BL9" s="303"/>
      <c r="BM9" s="303"/>
      <c r="BN9" s="303"/>
      <c r="BO9" s="303"/>
      <c r="BP9" s="303"/>
      <c r="BQ9" s="303"/>
      <c r="BR9" s="303"/>
      <c r="BS9" s="303"/>
      <c r="BT9" s="303"/>
      <c r="BU9" s="304"/>
      <c r="BV9" s="434"/>
      <c r="BW9" s="434"/>
      <c r="BX9" s="434"/>
      <c r="BY9" s="434"/>
      <c r="BZ9" s="434"/>
      <c r="CA9" s="434"/>
      <c r="CB9" s="434"/>
      <c r="CC9" s="434"/>
      <c r="CD9" s="434"/>
      <c r="CE9" s="434"/>
      <c r="CF9" s="434"/>
      <c r="CG9" s="434"/>
      <c r="CH9" s="434"/>
      <c r="CI9" s="304"/>
      <c r="CJ9" s="304"/>
      <c r="CK9" s="304"/>
      <c r="CL9" s="304"/>
      <c r="CM9" s="304"/>
      <c r="CN9" s="304"/>
      <c r="CO9" s="304"/>
      <c r="CP9" s="304"/>
    </row>
    <row r="10" spans="2:94" s="78" customFormat="1" ht="14.1" customHeight="1" x14ac:dyDescent="0.2">
      <c r="B10" s="327"/>
      <c r="C10" s="327"/>
      <c r="D10" s="1109"/>
      <c r="E10" s="316" t="s">
        <v>377</v>
      </c>
      <c r="F10" s="1111"/>
      <c r="G10" s="314"/>
      <c r="H10" s="1103"/>
      <c r="I10" s="386"/>
      <c r="J10" s="319" t="s">
        <v>878</v>
      </c>
      <c r="K10" s="1103"/>
      <c r="L10" s="1104"/>
      <c r="M10" s="336"/>
      <c r="N10" s="336"/>
      <c r="O10" s="336"/>
      <c r="P10" s="336"/>
      <c r="Q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03"/>
      <c r="BM10" s="303"/>
      <c r="BN10" s="303"/>
      <c r="BO10" s="303"/>
      <c r="BP10" s="303"/>
      <c r="BQ10" s="303"/>
      <c r="BR10" s="303"/>
      <c r="BS10" s="303"/>
      <c r="BT10" s="303"/>
      <c r="BU10" s="304"/>
      <c r="BV10" s="434"/>
      <c r="BW10" s="434"/>
      <c r="BX10" s="434"/>
      <c r="BY10" s="434"/>
      <c r="BZ10" s="434"/>
      <c r="CA10" s="434"/>
      <c r="CB10" s="434"/>
      <c r="CC10" s="434"/>
      <c r="CD10" s="434"/>
      <c r="CE10" s="434"/>
      <c r="CF10" s="434"/>
      <c r="CG10" s="434"/>
      <c r="CH10" s="434"/>
      <c r="CI10" s="304"/>
      <c r="CJ10" s="304"/>
      <c r="CK10" s="304"/>
      <c r="CL10" s="304"/>
      <c r="CM10" s="304"/>
      <c r="CN10" s="304"/>
      <c r="CO10" s="304"/>
      <c r="CP10" s="304"/>
    </row>
    <row r="11" spans="2:94" s="78" customFormat="1" ht="5.0999999999999996" customHeight="1" thickBot="1" x14ac:dyDescent="0.25">
      <c r="B11" s="327"/>
      <c r="C11" s="326"/>
      <c r="D11" s="1099"/>
      <c r="E11" s="1105"/>
      <c r="F11" s="1105"/>
      <c r="G11" s="1105"/>
      <c r="H11" s="1101"/>
      <c r="I11" s="1105"/>
      <c r="J11" s="1101"/>
      <c r="K11" s="1101"/>
      <c r="L11" s="1102"/>
      <c r="M11" s="335"/>
      <c r="N11" s="335"/>
      <c r="O11" s="335"/>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03"/>
      <c r="BM11" s="303"/>
      <c r="BN11" s="303"/>
      <c r="BO11" s="303"/>
      <c r="BP11" s="303"/>
      <c r="BQ11" s="303"/>
      <c r="BR11" s="303"/>
      <c r="BS11" s="303"/>
      <c r="BT11" s="303"/>
      <c r="BU11" s="304"/>
      <c r="BV11" s="434"/>
      <c r="BW11" s="434"/>
      <c r="BX11" s="434"/>
      <c r="BY11" s="434"/>
      <c r="BZ11" s="434"/>
      <c r="CA11" s="434"/>
      <c r="CB11" s="434"/>
      <c r="CC11" s="434"/>
      <c r="CD11" s="434"/>
      <c r="CE11" s="434"/>
      <c r="CF11" s="434"/>
      <c r="CG11" s="434"/>
      <c r="CH11" s="434"/>
      <c r="CI11" s="304"/>
      <c r="CJ11" s="304"/>
      <c r="CK11" s="304"/>
      <c r="CL11" s="304"/>
      <c r="CM11" s="304"/>
      <c r="CN11" s="304"/>
      <c r="CO11" s="304"/>
      <c r="CP11" s="304"/>
    </row>
    <row r="12" spans="2:94" s="78" customFormat="1" ht="12.95" customHeight="1" thickBot="1" x14ac:dyDescent="0.25">
      <c r="B12" s="327"/>
      <c r="C12" s="326"/>
      <c r="D12" s="1099"/>
      <c r="E12" s="388" t="s">
        <v>367</v>
      </c>
      <c r="F12" s="1110"/>
      <c r="G12" s="320" t="s">
        <v>262</v>
      </c>
      <c r="H12" s="1101"/>
      <c r="I12" s="321" t="s">
        <v>264</v>
      </c>
      <c r="J12" s="321" t="s">
        <v>365</v>
      </c>
      <c r="K12" s="1101"/>
      <c r="L12" s="1102"/>
      <c r="M12" s="335"/>
      <c r="N12" s="335"/>
      <c r="O12" s="335"/>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03"/>
      <c r="BM12" s="303"/>
      <c r="BN12" s="303"/>
      <c r="BO12" s="303"/>
      <c r="BP12" s="303"/>
      <c r="BQ12" s="303"/>
      <c r="BR12" s="303"/>
      <c r="BS12" s="303"/>
      <c r="BT12" s="303"/>
      <c r="BU12" s="304"/>
      <c r="BV12" s="434"/>
      <c r="BW12" s="434"/>
      <c r="BX12" s="434"/>
      <c r="BY12" s="434"/>
      <c r="BZ12" s="434"/>
      <c r="CA12" s="434"/>
      <c r="CB12" s="434"/>
      <c r="CC12" s="434"/>
      <c r="CD12" s="434"/>
      <c r="CE12" s="434"/>
      <c r="CF12" s="434"/>
      <c r="CG12" s="434"/>
      <c r="CH12" s="434"/>
      <c r="CI12" s="304"/>
      <c r="CJ12" s="304"/>
      <c r="CK12" s="304"/>
      <c r="CL12" s="304"/>
      <c r="CM12" s="304"/>
      <c r="CN12" s="304"/>
      <c r="CO12" s="304"/>
      <c r="CP12" s="304"/>
    </row>
    <row r="13" spans="2:94" s="78" customFormat="1" ht="14.1" customHeight="1" x14ac:dyDescent="0.2">
      <c r="B13" s="327"/>
      <c r="C13" s="327"/>
      <c r="D13" s="1109"/>
      <c r="E13" s="308" t="s">
        <v>378</v>
      </c>
      <c r="F13" s="1111"/>
      <c r="G13" s="310"/>
      <c r="H13" s="1103"/>
      <c r="I13" s="384"/>
      <c r="J13" s="317" t="s">
        <v>878</v>
      </c>
      <c r="K13" s="1103"/>
      <c r="L13" s="1104"/>
      <c r="M13" s="336"/>
      <c r="N13" s="336"/>
      <c r="O13" s="336"/>
      <c r="P13" s="336"/>
      <c r="Q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03"/>
      <c r="BM13" s="303"/>
      <c r="BN13" s="303"/>
      <c r="BO13" s="303"/>
      <c r="BP13" s="303"/>
      <c r="BQ13" s="303"/>
      <c r="BR13" s="303"/>
      <c r="BS13" s="303"/>
      <c r="BT13" s="303"/>
      <c r="BU13" s="304"/>
      <c r="BV13" s="434"/>
      <c r="BW13" s="434"/>
      <c r="BX13" s="434"/>
      <c r="BY13" s="434"/>
      <c r="BZ13" s="434"/>
      <c r="CA13" s="434"/>
      <c r="CB13" s="434"/>
      <c r="CC13" s="434"/>
      <c r="CD13" s="434"/>
      <c r="CE13" s="434"/>
      <c r="CF13" s="434"/>
      <c r="CG13" s="434"/>
      <c r="CH13" s="434"/>
      <c r="CI13" s="304"/>
      <c r="CJ13" s="304"/>
      <c r="CK13" s="304"/>
      <c r="CL13" s="304"/>
      <c r="CM13" s="304"/>
      <c r="CN13" s="304"/>
      <c r="CO13" s="304"/>
      <c r="CP13" s="304"/>
    </row>
    <row r="14" spans="2:94" s="78" customFormat="1" ht="14.1" customHeight="1" x14ac:dyDescent="0.2">
      <c r="B14" s="327"/>
      <c r="C14" s="327"/>
      <c r="D14" s="1109"/>
      <c r="E14" s="308" t="s">
        <v>379</v>
      </c>
      <c r="F14" s="1111"/>
      <c r="G14" s="310"/>
      <c r="H14" s="1103"/>
      <c r="I14" s="385"/>
      <c r="J14" s="318" t="s">
        <v>878</v>
      </c>
      <c r="K14" s="1103"/>
      <c r="L14" s="1104"/>
      <c r="M14" s="336"/>
      <c r="N14" s="336"/>
      <c r="O14" s="336"/>
      <c r="P14" s="336"/>
      <c r="Q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03"/>
      <c r="BM14" s="303"/>
      <c r="BN14" s="303"/>
      <c r="BO14" s="303"/>
      <c r="BP14" s="303"/>
      <c r="BQ14" s="303"/>
      <c r="BR14" s="303"/>
      <c r="BS14" s="303"/>
      <c r="BT14" s="303"/>
      <c r="BU14" s="304"/>
      <c r="BV14" s="434"/>
      <c r="BW14" s="434"/>
      <c r="BX14" s="434"/>
      <c r="BY14" s="434"/>
      <c r="BZ14" s="434"/>
      <c r="CA14" s="434"/>
      <c r="CB14" s="434"/>
      <c r="CC14" s="434"/>
      <c r="CD14" s="434"/>
      <c r="CE14" s="434"/>
      <c r="CF14" s="434"/>
      <c r="CG14" s="434"/>
      <c r="CH14" s="434"/>
      <c r="CI14" s="304"/>
      <c r="CJ14" s="304"/>
      <c r="CK14" s="304"/>
      <c r="CL14" s="304"/>
      <c r="CM14" s="304"/>
      <c r="CN14" s="304"/>
      <c r="CO14" s="304"/>
      <c r="CP14" s="304"/>
    </row>
    <row r="15" spans="2:94" s="78" customFormat="1" ht="14.1" customHeight="1" x14ac:dyDescent="0.2">
      <c r="B15" s="327"/>
      <c r="C15" s="327"/>
      <c r="D15" s="1109"/>
      <c r="E15" s="308" t="s">
        <v>380</v>
      </c>
      <c r="F15" s="1111"/>
      <c r="G15" s="310"/>
      <c r="H15" s="1103"/>
      <c r="I15" s="385"/>
      <c r="J15" s="318" t="s">
        <v>878</v>
      </c>
      <c r="K15" s="1103"/>
      <c r="L15" s="1104"/>
      <c r="M15" s="336"/>
      <c r="N15" s="336"/>
      <c r="O15" s="336"/>
      <c r="P15" s="336"/>
      <c r="Q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03"/>
      <c r="BM15" s="303"/>
      <c r="BN15" s="303"/>
      <c r="BO15" s="303"/>
      <c r="BP15" s="303"/>
      <c r="BQ15" s="303"/>
      <c r="BR15" s="303"/>
      <c r="BS15" s="303"/>
      <c r="BT15" s="303"/>
      <c r="BU15" s="304"/>
      <c r="BV15" s="434"/>
      <c r="BW15" s="434"/>
      <c r="BX15" s="434"/>
      <c r="BY15" s="434"/>
      <c r="BZ15" s="434"/>
      <c r="CA15" s="434"/>
      <c r="CB15" s="434"/>
      <c r="CC15" s="434"/>
      <c r="CD15" s="434"/>
      <c r="CE15" s="434"/>
      <c r="CF15" s="434"/>
      <c r="CG15" s="434"/>
      <c r="CH15" s="434"/>
      <c r="CI15" s="304"/>
      <c r="CJ15" s="304"/>
      <c r="CK15" s="304"/>
      <c r="CL15" s="304"/>
      <c r="CM15" s="304"/>
      <c r="CN15" s="304"/>
      <c r="CO15" s="304"/>
      <c r="CP15" s="304"/>
    </row>
    <row r="16" spans="2:94" s="78" customFormat="1" ht="14.1" customHeight="1" x14ac:dyDescent="0.2">
      <c r="B16" s="327"/>
      <c r="C16" s="327"/>
      <c r="D16" s="1109"/>
      <c r="E16" s="308" t="s">
        <v>381</v>
      </c>
      <c r="F16" s="1111"/>
      <c r="G16" s="310"/>
      <c r="H16" s="1103"/>
      <c r="I16" s="385"/>
      <c r="J16" s="318" t="s">
        <v>878</v>
      </c>
      <c r="K16" s="1103"/>
      <c r="L16" s="1104"/>
      <c r="M16" s="336"/>
      <c r="N16" s="336"/>
      <c r="O16" s="336"/>
      <c r="P16" s="336"/>
      <c r="Q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03"/>
      <c r="BM16" s="303"/>
      <c r="BN16" s="303"/>
      <c r="BO16" s="303"/>
      <c r="BP16" s="303"/>
      <c r="BQ16" s="303"/>
      <c r="BR16" s="303"/>
      <c r="BS16" s="303"/>
      <c r="BT16" s="303"/>
      <c r="BU16" s="304"/>
      <c r="BV16" s="434"/>
      <c r="BW16" s="434"/>
      <c r="BX16" s="434"/>
      <c r="BY16" s="434"/>
      <c r="BZ16" s="434"/>
      <c r="CA16" s="434"/>
      <c r="CB16" s="434"/>
      <c r="CC16" s="434"/>
      <c r="CD16" s="434"/>
      <c r="CE16" s="434"/>
      <c r="CF16" s="434"/>
      <c r="CG16" s="434"/>
      <c r="CH16" s="434"/>
      <c r="CI16" s="304"/>
      <c r="CJ16" s="304"/>
      <c r="CK16" s="304"/>
      <c r="CL16" s="304"/>
      <c r="CM16" s="304"/>
      <c r="CN16" s="304"/>
      <c r="CO16" s="304"/>
      <c r="CP16" s="304"/>
    </row>
    <row r="17" spans="2:94" s="78" customFormat="1" ht="14.1" customHeight="1" x14ac:dyDescent="0.2">
      <c r="B17" s="327"/>
      <c r="C17" s="327"/>
      <c r="D17" s="1109"/>
      <c r="E17" s="308" t="s">
        <v>382</v>
      </c>
      <c r="F17" s="1111"/>
      <c r="G17" s="310"/>
      <c r="H17" s="1103"/>
      <c r="I17" s="385"/>
      <c r="J17" s="318" t="s">
        <v>878</v>
      </c>
      <c r="K17" s="1103"/>
      <c r="L17" s="1104"/>
      <c r="M17" s="337"/>
      <c r="N17" s="336"/>
      <c r="O17" s="336"/>
      <c r="P17" s="336"/>
      <c r="Q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03"/>
      <c r="BM17" s="303"/>
      <c r="BN17" s="303"/>
      <c r="BO17" s="303"/>
      <c r="BP17" s="303"/>
      <c r="BQ17" s="303"/>
      <c r="BR17" s="303"/>
      <c r="BS17" s="303"/>
      <c r="BT17" s="303"/>
      <c r="BU17" s="304"/>
      <c r="BV17" s="434"/>
      <c r="BW17" s="434"/>
      <c r="BX17" s="434"/>
      <c r="BY17" s="434"/>
      <c r="BZ17" s="434"/>
      <c r="CA17" s="434"/>
      <c r="CB17" s="434"/>
      <c r="CC17" s="434"/>
      <c r="CD17" s="434"/>
      <c r="CE17" s="434"/>
      <c r="CF17" s="434"/>
      <c r="CG17" s="434"/>
      <c r="CH17" s="434"/>
      <c r="CI17" s="304"/>
      <c r="CJ17" s="304"/>
      <c r="CK17" s="304"/>
      <c r="CL17" s="304"/>
      <c r="CM17" s="304"/>
      <c r="CN17" s="304"/>
      <c r="CO17" s="304"/>
      <c r="CP17" s="304"/>
    </row>
    <row r="18" spans="2:94" s="78" customFormat="1" ht="14.1" customHeight="1" x14ac:dyDescent="0.2">
      <c r="B18" s="327"/>
      <c r="C18" s="327"/>
      <c r="D18" s="1109"/>
      <c r="E18" s="309" t="s">
        <v>1092</v>
      </c>
      <c r="F18" s="1111"/>
      <c r="G18" s="311"/>
      <c r="H18" s="1103"/>
      <c r="I18" s="386"/>
      <c r="J18" s="319" t="s">
        <v>878</v>
      </c>
      <c r="K18" s="1103"/>
      <c r="L18" s="1104"/>
      <c r="M18" s="337"/>
      <c r="N18" s="336"/>
      <c r="O18" s="336"/>
      <c r="P18" s="336"/>
      <c r="Q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03"/>
      <c r="BM18" s="303"/>
      <c r="BN18" s="303"/>
      <c r="BO18" s="303"/>
      <c r="BP18" s="303"/>
      <c r="BQ18" s="303"/>
      <c r="BR18" s="303"/>
      <c r="BS18" s="303"/>
      <c r="BT18" s="303"/>
      <c r="BU18" s="304"/>
      <c r="BV18" s="434"/>
      <c r="BW18" s="434"/>
      <c r="BX18" s="434"/>
      <c r="BY18" s="434"/>
      <c r="BZ18" s="434"/>
      <c r="CA18" s="434"/>
      <c r="CB18" s="434"/>
      <c r="CC18" s="434"/>
      <c r="CD18" s="434"/>
      <c r="CE18" s="434"/>
      <c r="CF18" s="434"/>
      <c r="CG18" s="434"/>
      <c r="CH18" s="434"/>
      <c r="CI18" s="304"/>
      <c r="CJ18" s="304"/>
      <c r="CK18" s="304"/>
      <c r="CL18" s="304"/>
      <c r="CM18" s="304"/>
      <c r="CN18" s="304"/>
      <c r="CO18" s="304"/>
      <c r="CP18" s="304"/>
    </row>
    <row r="19" spans="2:94" s="78" customFormat="1" ht="5.0999999999999996" customHeight="1" x14ac:dyDescent="0.2">
      <c r="B19" s="327"/>
      <c r="C19" s="327"/>
      <c r="D19" s="1109"/>
      <c r="E19" s="182"/>
      <c r="F19" s="182"/>
      <c r="G19" s="182"/>
      <c r="H19" s="182"/>
      <c r="I19" s="182"/>
      <c r="J19" s="1115"/>
      <c r="K19" s="182"/>
      <c r="L19" s="1104"/>
      <c r="M19" s="337"/>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03"/>
      <c r="BM19" s="303"/>
      <c r="BN19" s="303"/>
      <c r="BO19" s="303"/>
      <c r="BP19" s="303"/>
      <c r="BQ19" s="303"/>
      <c r="BR19" s="303"/>
      <c r="BS19" s="303"/>
      <c r="BT19" s="303"/>
      <c r="BU19" s="304"/>
      <c r="BV19" s="434"/>
      <c r="BW19" s="434"/>
      <c r="BX19" s="434"/>
      <c r="BY19" s="434"/>
      <c r="BZ19" s="434"/>
      <c r="CA19" s="434"/>
      <c r="CB19" s="434"/>
      <c r="CC19" s="434"/>
      <c r="CD19" s="434"/>
      <c r="CE19" s="434"/>
      <c r="CF19" s="434"/>
      <c r="CG19" s="434"/>
      <c r="CH19" s="434"/>
      <c r="CI19" s="304"/>
      <c r="CJ19" s="304"/>
      <c r="CK19" s="304"/>
      <c r="CL19" s="304"/>
      <c r="CM19" s="304"/>
      <c r="CN19" s="304"/>
      <c r="CO19" s="304"/>
      <c r="CP19" s="304"/>
    </row>
    <row r="20" spans="2:94" s="78" customFormat="1" ht="12.95" customHeight="1" x14ac:dyDescent="0.2">
      <c r="B20" s="327"/>
      <c r="C20" s="327"/>
      <c r="D20" s="1109"/>
      <c r="E20" s="382" t="s">
        <v>368</v>
      </c>
      <c r="F20" s="1112"/>
      <c r="G20" s="1118"/>
      <c r="H20" s="1114"/>
      <c r="I20" s="387"/>
      <c r="J20" s="322" t="s">
        <v>878</v>
      </c>
      <c r="K20" s="182"/>
      <c r="L20" s="1104"/>
      <c r="M20" s="337"/>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03"/>
      <c r="BM20" s="303"/>
      <c r="BN20" s="303"/>
      <c r="BO20" s="303"/>
      <c r="BP20" s="303"/>
      <c r="BQ20" s="303"/>
      <c r="BR20" s="303"/>
      <c r="BS20" s="303"/>
      <c r="BT20" s="303"/>
      <c r="BU20" s="304"/>
      <c r="BV20" s="434"/>
      <c r="BW20" s="434"/>
      <c r="BX20" s="434"/>
      <c r="BY20" s="434"/>
      <c r="BZ20" s="434"/>
      <c r="CA20" s="434"/>
      <c r="CB20" s="434"/>
      <c r="CC20" s="434"/>
      <c r="CD20" s="434"/>
      <c r="CE20" s="434"/>
      <c r="CF20" s="434"/>
      <c r="CG20" s="434"/>
      <c r="CH20" s="434"/>
      <c r="CI20" s="304"/>
      <c r="CJ20" s="304"/>
      <c r="CK20" s="304"/>
      <c r="CL20" s="304"/>
      <c r="CM20" s="304"/>
      <c r="CN20" s="304"/>
      <c r="CO20" s="304"/>
      <c r="CP20" s="304"/>
    </row>
    <row r="21" spans="2:94" s="78" customFormat="1" ht="5.0999999999999996" customHeight="1" thickBot="1" x14ac:dyDescent="0.25">
      <c r="B21" s="327"/>
      <c r="C21" s="327"/>
      <c r="D21" s="1109"/>
      <c r="E21" s="1116"/>
      <c r="F21" s="1113"/>
      <c r="G21" s="1117"/>
      <c r="H21" s="1105"/>
      <c r="I21" s="1105"/>
      <c r="J21" s="1105"/>
      <c r="K21" s="1105"/>
      <c r="L21" s="1104"/>
      <c r="M21" s="337"/>
      <c r="N21" s="336"/>
      <c r="O21" s="336"/>
      <c r="P21" s="336" t="s">
        <v>474</v>
      </c>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03"/>
      <c r="BM21" s="303"/>
      <c r="BN21" s="303"/>
      <c r="BO21" s="303"/>
      <c r="BP21" s="303"/>
      <c r="BQ21" s="303"/>
      <c r="BR21" s="303"/>
      <c r="BS21" s="303"/>
      <c r="BT21" s="303"/>
      <c r="BU21" s="304"/>
      <c r="BV21" s="434"/>
      <c r="BW21" s="434"/>
      <c r="BX21" s="434"/>
      <c r="BY21" s="434"/>
      <c r="BZ21" s="434"/>
      <c r="CA21" s="434"/>
      <c r="CB21" s="434"/>
      <c r="CC21" s="434"/>
      <c r="CD21" s="434"/>
      <c r="CE21" s="434"/>
      <c r="CF21" s="434"/>
      <c r="CG21" s="434"/>
      <c r="CH21" s="434"/>
      <c r="CI21" s="304"/>
      <c r="CJ21" s="304"/>
      <c r="CK21" s="304"/>
      <c r="CL21" s="304"/>
      <c r="CM21" s="304"/>
      <c r="CN21" s="304"/>
      <c r="CO21" s="304"/>
      <c r="CP21" s="304"/>
    </row>
    <row r="22" spans="2:94" s="78" customFormat="1" ht="12.95" customHeight="1" thickBot="1" x14ac:dyDescent="0.25">
      <c r="B22" s="327"/>
      <c r="C22" s="327"/>
      <c r="D22" s="1109"/>
      <c r="E22" s="388" t="s">
        <v>1050</v>
      </c>
      <c r="F22" s="1110"/>
      <c r="G22" s="1118"/>
      <c r="H22" s="1101"/>
      <c r="I22" s="323" t="s">
        <v>264</v>
      </c>
      <c r="J22" s="1105"/>
      <c r="K22" s="1105"/>
      <c r="L22" s="1104"/>
      <c r="M22" s="337"/>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03"/>
      <c r="BM22" s="303"/>
      <c r="BN22" s="303"/>
      <c r="BO22" s="303"/>
      <c r="BP22" s="303"/>
      <c r="BQ22" s="303"/>
      <c r="BR22" s="303"/>
      <c r="BS22" s="303"/>
      <c r="BT22" s="303"/>
      <c r="BU22" s="304"/>
      <c r="BV22" s="434"/>
      <c r="BW22" s="434"/>
      <c r="BX22" s="434"/>
      <c r="BY22" s="434"/>
      <c r="BZ22" s="434"/>
      <c r="CA22" s="434"/>
      <c r="CB22" s="434"/>
      <c r="CC22" s="434"/>
      <c r="CD22" s="434"/>
      <c r="CE22" s="434"/>
      <c r="CF22" s="434"/>
      <c r="CG22" s="434"/>
      <c r="CH22" s="434"/>
      <c r="CI22" s="304"/>
      <c r="CJ22" s="304"/>
      <c r="CK22" s="304"/>
      <c r="CL22" s="304"/>
      <c r="CM22" s="304"/>
      <c r="CN22" s="304"/>
      <c r="CO22" s="304"/>
      <c r="CP22" s="304"/>
    </row>
    <row r="23" spans="2:94" s="46" customFormat="1" ht="14.1" customHeight="1" x14ac:dyDescent="0.2">
      <c r="B23" s="325"/>
      <c r="C23" s="325"/>
      <c r="D23" s="1099"/>
      <c r="E23" s="315" t="s">
        <v>385</v>
      </c>
      <c r="F23" s="902"/>
      <c r="G23" s="1119"/>
      <c r="H23" s="902"/>
      <c r="I23" s="384"/>
      <c r="J23" s="902"/>
      <c r="K23" s="902"/>
      <c r="L23" s="1106"/>
      <c r="M23" s="338"/>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299"/>
      <c r="BM23" s="299"/>
      <c r="BN23" s="299"/>
      <c r="BO23" s="299"/>
      <c r="BP23" s="299"/>
      <c r="BQ23" s="299"/>
      <c r="BR23" s="299"/>
      <c r="BS23" s="299"/>
      <c r="BT23" s="299"/>
      <c r="BU23" s="39"/>
      <c r="BV23" s="7"/>
      <c r="BW23" s="7"/>
      <c r="BX23" s="7"/>
      <c r="BY23" s="7"/>
      <c r="BZ23" s="7"/>
      <c r="CA23" s="7"/>
      <c r="CB23" s="7"/>
      <c r="CC23" s="7"/>
      <c r="CD23" s="7"/>
      <c r="CE23" s="7"/>
      <c r="CF23" s="7"/>
      <c r="CG23" s="7"/>
      <c r="CH23" s="7"/>
      <c r="CI23" s="39"/>
      <c r="CJ23" s="39"/>
      <c r="CK23" s="39"/>
      <c r="CL23" s="39"/>
      <c r="CM23" s="39"/>
      <c r="CN23" s="39"/>
      <c r="CO23" s="39"/>
      <c r="CP23" s="39"/>
    </row>
    <row r="24" spans="2:94" s="46" customFormat="1" ht="14.1" customHeight="1" x14ac:dyDescent="0.2">
      <c r="B24" s="325"/>
      <c r="C24" s="325"/>
      <c r="D24" s="1099"/>
      <c r="E24" s="315" t="s">
        <v>384</v>
      </c>
      <c r="F24" s="902"/>
      <c r="G24" s="1120"/>
      <c r="H24" s="902"/>
      <c r="I24" s="385"/>
      <c r="J24" s="902"/>
      <c r="K24" s="902"/>
      <c r="L24" s="1106"/>
      <c r="M24" s="338"/>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299"/>
      <c r="BM24" s="299"/>
      <c r="BN24" s="299"/>
      <c r="BO24" s="299"/>
      <c r="BP24" s="299"/>
      <c r="BQ24" s="299"/>
      <c r="BR24" s="299"/>
      <c r="BS24" s="299"/>
      <c r="BT24" s="299"/>
      <c r="BU24" s="39"/>
      <c r="BV24" s="7"/>
      <c r="BW24" s="7"/>
      <c r="BX24" s="7"/>
      <c r="BY24" s="7"/>
      <c r="BZ24" s="7"/>
      <c r="CA24" s="7"/>
      <c r="CB24" s="7"/>
      <c r="CC24" s="7"/>
      <c r="CD24" s="7"/>
      <c r="CE24" s="7"/>
      <c r="CF24" s="7"/>
      <c r="CG24" s="7"/>
      <c r="CH24" s="7"/>
      <c r="CI24" s="39"/>
      <c r="CJ24" s="39"/>
      <c r="CK24" s="39"/>
      <c r="CL24" s="39"/>
      <c r="CM24" s="39"/>
      <c r="CN24" s="39"/>
      <c r="CO24" s="39"/>
      <c r="CP24" s="39"/>
    </row>
    <row r="25" spans="2:94" s="46" customFormat="1" ht="14.1" customHeight="1" x14ac:dyDescent="0.2">
      <c r="B25" s="325"/>
      <c r="C25" s="325"/>
      <c r="D25" s="1099"/>
      <c r="E25" s="315" t="s">
        <v>383</v>
      </c>
      <c r="F25" s="902"/>
      <c r="G25" s="1120"/>
      <c r="H25" s="902"/>
      <c r="I25" s="385"/>
      <c r="J25" s="902"/>
      <c r="K25" s="902"/>
      <c r="L25" s="1106"/>
      <c r="M25" s="338"/>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299"/>
      <c r="BM25" s="299"/>
      <c r="BN25" s="299"/>
      <c r="BO25" s="299"/>
      <c r="BP25" s="299"/>
      <c r="BQ25" s="299"/>
      <c r="BR25" s="299"/>
      <c r="BS25" s="299"/>
      <c r="BT25" s="299"/>
      <c r="BU25" s="39"/>
      <c r="BV25" s="7"/>
      <c r="BW25" s="7"/>
      <c r="BX25" s="7"/>
      <c r="BY25" s="7"/>
      <c r="BZ25" s="7"/>
      <c r="CA25" s="7"/>
      <c r="CB25" s="7"/>
      <c r="CC25" s="7"/>
      <c r="CD25" s="7"/>
      <c r="CE25" s="7"/>
      <c r="CF25" s="7"/>
      <c r="CG25" s="7"/>
      <c r="CH25" s="7"/>
      <c r="CI25" s="39"/>
      <c r="CJ25" s="39"/>
      <c r="CK25" s="39"/>
      <c r="CL25" s="39"/>
      <c r="CM25" s="39"/>
      <c r="CN25" s="39"/>
      <c r="CO25" s="39"/>
      <c r="CP25" s="39"/>
    </row>
    <row r="26" spans="2:94" s="46" customFormat="1" ht="14.1" customHeight="1" x14ac:dyDescent="0.2">
      <c r="B26" s="325"/>
      <c r="C26" s="325"/>
      <c r="D26" s="1099"/>
      <c r="E26" s="315"/>
      <c r="F26" s="902"/>
      <c r="G26" s="1120"/>
      <c r="H26" s="902"/>
      <c r="I26" s="385"/>
      <c r="J26" s="902"/>
      <c r="K26" s="902"/>
      <c r="L26" s="1106"/>
      <c r="M26" s="338"/>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299"/>
      <c r="BM26" s="299"/>
      <c r="BN26" s="299"/>
      <c r="BO26" s="299"/>
      <c r="BP26" s="299"/>
      <c r="BQ26" s="299"/>
      <c r="BR26" s="299"/>
      <c r="BS26" s="299"/>
      <c r="BT26" s="299"/>
      <c r="BU26" s="39"/>
      <c r="BV26" s="7"/>
      <c r="BW26" s="7"/>
      <c r="BX26" s="7"/>
      <c r="BY26" s="7"/>
      <c r="BZ26" s="7"/>
      <c r="CA26" s="7"/>
      <c r="CB26" s="7"/>
      <c r="CC26" s="7"/>
      <c r="CD26" s="7"/>
      <c r="CE26" s="7"/>
      <c r="CF26" s="7"/>
      <c r="CG26" s="7"/>
      <c r="CH26" s="7"/>
      <c r="CI26" s="39"/>
      <c r="CJ26" s="39"/>
      <c r="CK26" s="39"/>
      <c r="CL26" s="39"/>
      <c r="CM26" s="39"/>
      <c r="CN26" s="39"/>
      <c r="CO26" s="39"/>
      <c r="CP26" s="39"/>
    </row>
    <row r="27" spans="2:94" s="46" customFormat="1" ht="14.1" customHeight="1" x14ac:dyDescent="0.2">
      <c r="B27" s="325"/>
      <c r="C27" s="325"/>
      <c r="D27" s="1099"/>
      <c r="E27" s="316"/>
      <c r="F27" s="902"/>
      <c r="G27" s="1120"/>
      <c r="H27" s="902"/>
      <c r="I27" s="386"/>
      <c r="J27" s="902"/>
      <c r="K27" s="902"/>
      <c r="L27" s="1106"/>
      <c r="M27" s="338"/>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299"/>
      <c r="BM27" s="299"/>
      <c r="BN27" s="299"/>
      <c r="BO27" s="299"/>
      <c r="BP27" s="299"/>
      <c r="BQ27" s="299"/>
      <c r="BR27" s="299"/>
      <c r="BS27" s="299"/>
      <c r="BT27" s="299"/>
      <c r="BU27" s="39"/>
      <c r="BV27" s="7"/>
      <c r="BW27" s="7"/>
      <c r="BX27" s="7"/>
      <c r="BY27" s="7"/>
      <c r="BZ27" s="7"/>
      <c r="CA27" s="7"/>
      <c r="CB27" s="7"/>
      <c r="CC27" s="7"/>
      <c r="CD27" s="7"/>
      <c r="CE27" s="7"/>
      <c r="CF27" s="7"/>
      <c r="CG27" s="7"/>
      <c r="CH27" s="7"/>
      <c r="CI27" s="39"/>
      <c r="CJ27" s="39"/>
      <c r="CK27" s="39"/>
      <c r="CL27" s="39"/>
      <c r="CM27" s="39"/>
      <c r="CN27" s="39"/>
      <c r="CO27" s="39"/>
      <c r="CP27" s="39"/>
    </row>
    <row r="28" spans="2:94" s="46" customFormat="1" ht="5.0999999999999996" customHeight="1" x14ac:dyDescent="0.2">
      <c r="B28" s="325"/>
      <c r="C28" s="325"/>
      <c r="D28" s="1109"/>
      <c r="E28" s="182"/>
      <c r="F28" s="182"/>
      <c r="G28" s="1121"/>
      <c r="H28" s="182"/>
      <c r="I28" s="182"/>
      <c r="J28" s="1115"/>
      <c r="K28" s="182"/>
      <c r="L28" s="1104"/>
      <c r="M28" s="338"/>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299"/>
      <c r="BM28" s="299"/>
      <c r="BN28" s="299"/>
      <c r="BO28" s="299"/>
      <c r="BP28" s="299"/>
      <c r="BQ28" s="299"/>
      <c r="BR28" s="299"/>
      <c r="BS28" s="299"/>
      <c r="BT28" s="299"/>
      <c r="BU28" s="39"/>
      <c r="BV28" s="7"/>
      <c r="BW28" s="7"/>
      <c r="BX28" s="7"/>
      <c r="BY28" s="7"/>
      <c r="BZ28" s="7"/>
      <c r="CA28" s="7"/>
      <c r="CB28" s="7"/>
      <c r="CC28" s="7"/>
      <c r="CD28" s="7"/>
      <c r="CE28" s="7"/>
      <c r="CF28" s="7"/>
      <c r="CG28" s="7"/>
      <c r="CH28" s="7"/>
      <c r="CI28" s="39"/>
      <c r="CJ28" s="39"/>
      <c r="CK28" s="39"/>
      <c r="CL28" s="39"/>
      <c r="CM28" s="39"/>
      <c r="CN28" s="39"/>
      <c r="CO28" s="39"/>
      <c r="CP28" s="39"/>
    </row>
    <row r="29" spans="2:94" s="46" customFormat="1" ht="14.1" customHeight="1" x14ac:dyDescent="0.2">
      <c r="B29" s="325"/>
      <c r="C29" s="325"/>
      <c r="D29" s="1099"/>
      <c r="E29" s="382" t="s">
        <v>646</v>
      </c>
      <c r="F29" s="902"/>
      <c r="G29" s="1122"/>
      <c r="H29" s="902"/>
      <c r="I29" s="383"/>
      <c r="J29" s="902"/>
      <c r="K29" s="902"/>
      <c r="L29" s="1106"/>
      <c r="M29" s="338"/>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299"/>
      <c r="BM29" s="299"/>
      <c r="BN29" s="299"/>
      <c r="BO29" s="299"/>
      <c r="BP29" s="299"/>
      <c r="BQ29" s="299"/>
      <c r="BR29" s="299"/>
      <c r="BS29" s="299"/>
      <c r="BT29" s="299"/>
      <c r="BU29" s="39"/>
      <c r="BV29" s="7"/>
      <c r="BW29" s="7"/>
      <c r="BX29" s="7"/>
      <c r="BY29" s="7"/>
      <c r="BZ29" s="7"/>
      <c r="CA29" s="7"/>
      <c r="CB29" s="7"/>
      <c r="CC29" s="7"/>
      <c r="CD29" s="7"/>
      <c r="CE29" s="7"/>
      <c r="CF29" s="7"/>
      <c r="CG29" s="7"/>
      <c r="CH29" s="7"/>
      <c r="CI29" s="39"/>
      <c r="CJ29" s="39"/>
      <c r="CK29" s="39"/>
      <c r="CL29" s="39"/>
      <c r="CM29" s="39"/>
      <c r="CN29" s="39"/>
      <c r="CO29" s="39"/>
      <c r="CP29" s="39"/>
    </row>
    <row r="30" spans="2:94" s="46" customFormat="1" ht="5.0999999999999996" customHeight="1" x14ac:dyDescent="0.2">
      <c r="B30" s="325"/>
      <c r="C30" s="325"/>
      <c r="D30" s="1109"/>
      <c r="E30" s="182"/>
      <c r="F30" s="182"/>
      <c r="G30" s="1123"/>
      <c r="H30" s="182"/>
      <c r="I30" s="182"/>
      <c r="J30" s="1115"/>
      <c r="K30" s="182"/>
      <c r="L30" s="1104"/>
      <c r="M30" s="338"/>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299"/>
      <c r="BM30" s="299"/>
      <c r="BN30" s="299"/>
      <c r="BO30" s="299"/>
      <c r="BP30" s="299"/>
      <c r="BQ30" s="299"/>
      <c r="BR30" s="299"/>
      <c r="BS30" s="299"/>
      <c r="BT30" s="299"/>
      <c r="BU30" s="39"/>
      <c r="BV30" s="7"/>
      <c r="BW30" s="7"/>
      <c r="BX30" s="7"/>
      <c r="BY30" s="7"/>
      <c r="BZ30" s="7"/>
      <c r="CA30" s="7"/>
      <c r="CB30" s="7"/>
      <c r="CC30" s="7"/>
      <c r="CD30" s="7"/>
      <c r="CE30" s="7"/>
      <c r="CF30" s="7"/>
      <c r="CG30" s="7"/>
      <c r="CH30" s="7"/>
      <c r="CI30" s="39"/>
      <c r="CJ30" s="39"/>
      <c r="CK30" s="39"/>
      <c r="CL30" s="39"/>
      <c r="CM30" s="39"/>
      <c r="CN30" s="39"/>
      <c r="CO30" s="39"/>
      <c r="CP30" s="39"/>
    </row>
    <row r="31" spans="2:94" s="46" customFormat="1" ht="14.1" customHeight="1" x14ac:dyDescent="0.2">
      <c r="B31" s="325"/>
      <c r="C31" s="325"/>
      <c r="D31" s="1099"/>
      <c r="E31" s="382" t="s">
        <v>644</v>
      </c>
      <c r="F31" s="902"/>
      <c r="G31" s="1122"/>
      <c r="H31" s="902"/>
      <c r="I31" s="383"/>
      <c r="J31" s="902"/>
      <c r="K31" s="902"/>
      <c r="L31" s="1106"/>
      <c r="M31" s="338"/>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299"/>
      <c r="BM31" s="299"/>
      <c r="BN31" s="299"/>
      <c r="BO31" s="299"/>
      <c r="BP31" s="299"/>
      <c r="BQ31" s="299"/>
      <c r="BR31" s="299"/>
      <c r="BS31" s="299"/>
      <c r="BT31" s="299"/>
      <c r="BU31" s="39"/>
      <c r="BV31" s="7"/>
      <c r="BW31" s="7"/>
      <c r="BX31" s="7"/>
      <c r="BY31" s="7"/>
      <c r="BZ31" s="7"/>
      <c r="CA31" s="7"/>
      <c r="CB31" s="7"/>
      <c r="CC31" s="7"/>
      <c r="CD31" s="7"/>
      <c r="CE31" s="7"/>
      <c r="CF31" s="7"/>
      <c r="CG31" s="7"/>
      <c r="CH31" s="7"/>
      <c r="CI31" s="39"/>
      <c r="CJ31" s="39"/>
      <c r="CK31" s="39"/>
      <c r="CL31" s="39"/>
      <c r="CM31" s="39"/>
      <c r="CN31" s="39"/>
      <c r="CO31" s="39"/>
      <c r="CP31" s="39"/>
    </row>
    <row r="32" spans="2:94" s="46" customFormat="1" ht="9.9499999999999993" customHeight="1" thickBot="1" x14ac:dyDescent="0.25">
      <c r="B32" s="325"/>
      <c r="C32" s="325"/>
      <c r="D32" s="1099"/>
      <c r="E32" s="902"/>
      <c r="F32" s="902"/>
      <c r="G32" s="902"/>
      <c r="H32" s="902"/>
      <c r="I32" s="902"/>
      <c r="J32" s="902"/>
      <c r="K32" s="902"/>
      <c r="L32" s="1106"/>
      <c r="M32" s="338"/>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299"/>
      <c r="BM32" s="299"/>
      <c r="BN32" s="299"/>
      <c r="BO32" s="299"/>
      <c r="BP32" s="299"/>
      <c r="BQ32" s="299"/>
      <c r="BR32" s="299"/>
      <c r="BS32" s="299"/>
      <c r="BT32" s="299"/>
      <c r="BU32" s="39"/>
      <c r="BV32" s="7"/>
      <c r="BW32" s="7"/>
      <c r="BX32" s="7"/>
      <c r="BY32" s="7"/>
      <c r="BZ32" s="7"/>
      <c r="CA32" s="7"/>
      <c r="CB32" s="7"/>
      <c r="CC32" s="7"/>
      <c r="CD32" s="7"/>
      <c r="CE32" s="7"/>
      <c r="CF32" s="7"/>
      <c r="CG32" s="7"/>
      <c r="CH32" s="7"/>
      <c r="CI32" s="39"/>
      <c r="CJ32" s="39"/>
      <c r="CK32" s="39"/>
      <c r="CL32" s="39"/>
      <c r="CM32" s="39"/>
      <c r="CN32" s="39"/>
      <c r="CO32" s="39"/>
      <c r="CP32" s="39"/>
    </row>
    <row r="33" spans="2:94" s="46" customFormat="1" ht="14.1" customHeight="1" thickBot="1" x14ac:dyDescent="0.25">
      <c r="B33" s="325"/>
      <c r="C33" s="325"/>
      <c r="D33" s="1099"/>
      <c r="E33" s="388" t="s">
        <v>369</v>
      </c>
      <c r="F33" s="902"/>
      <c r="G33" s="1118"/>
      <c r="H33" s="1101"/>
      <c r="I33" s="324">
        <f>SUM(I23:I27,I20,I13:I18,I5:I10)+I31+I29</f>
        <v>0</v>
      </c>
      <c r="J33" s="902"/>
      <c r="K33" s="902"/>
      <c r="L33" s="1106"/>
      <c r="M33" s="338"/>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299"/>
      <c r="BM33" s="299"/>
      <c r="BN33" s="299"/>
      <c r="BO33" s="299"/>
      <c r="BP33" s="299"/>
      <c r="BQ33" s="299"/>
      <c r="BR33" s="299"/>
      <c r="BS33" s="299"/>
      <c r="BT33" s="299"/>
      <c r="BU33" s="39"/>
      <c r="BV33" s="7"/>
      <c r="BW33" s="7"/>
      <c r="BX33" s="7"/>
      <c r="BY33" s="7"/>
      <c r="BZ33" s="7"/>
      <c r="CA33" s="7"/>
      <c r="CB33" s="7"/>
      <c r="CC33" s="7"/>
      <c r="CD33" s="7"/>
      <c r="CE33" s="7"/>
      <c r="CF33" s="7"/>
      <c r="CG33" s="7"/>
      <c r="CH33" s="7"/>
      <c r="CI33" s="39"/>
      <c r="CJ33" s="39"/>
      <c r="CK33" s="39"/>
      <c r="CL33" s="39"/>
      <c r="CM33" s="39"/>
      <c r="CN33" s="39"/>
      <c r="CO33" s="39"/>
      <c r="CP33" s="39"/>
    </row>
    <row r="34" spans="2:94" s="46" customFormat="1" ht="12" customHeight="1" x14ac:dyDescent="0.2">
      <c r="B34" s="325"/>
      <c r="C34" s="325"/>
      <c r="D34" s="1099"/>
      <c r="E34" s="902"/>
      <c r="F34" s="902"/>
      <c r="G34" s="902"/>
      <c r="H34" s="902"/>
      <c r="I34" s="902"/>
      <c r="J34" s="902"/>
      <c r="K34" s="902"/>
      <c r="L34" s="1106"/>
      <c r="M34" s="338"/>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299"/>
      <c r="BM34" s="299"/>
      <c r="BN34" s="299"/>
      <c r="BO34" s="299"/>
      <c r="BP34" s="299"/>
      <c r="BQ34" s="299"/>
      <c r="BR34" s="299"/>
      <c r="BS34" s="299"/>
      <c r="BT34" s="299"/>
      <c r="BU34" s="39"/>
      <c r="BV34" s="7"/>
      <c r="BW34" s="7"/>
      <c r="BX34" s="7"/>
      <c r="BY34" s="7"/>
      <c r="BZ34" s="7"/>
      <c r="CA34" s="7"/>
      <c r="CB34" s="7"/>
      <c r="CC34" s="7"/>
      <c r="CD34" s="7"/>
      <c r="CE34" s="7"/>
      <c r="CF34" s="7"/>
      <c r="CG34" s="7"/>
      <c r="CH34" s="7"/>
      <c r="CI34" s="39"/>
      <c r="CJ34" s="39"/>
      <c r="CK34" s="39"/>
      <c r="CL34" s="39"/>
      <c r="CM34" s="39"/>
      <c r="CN34" s="39"/>
      <c r="CO34" s="39"/>
      <c r="CP34" s="39"/>
    </row>
    <row r="35" spans="2:94" s="46" customFormat="1" ht="3" customHeight="1" x14ac:dyDescent="0.2">
      <c r="B35" s="325"/>
      <c r="C35" s="325"/>
      <c r="D35" s="1124"/>
      <c r="E35" s="1107"/>
      <c r="F35" s="1107"/>
      <c r="G35" s="1107"/>
      <c r="H35" s="1107"/>
      <c r="I35" s="1107"/>
      <c r="J35" s="1107"/>
      <c r="K35" s="1107"/>
      <c r="L35" s="1108"/>
      <c r="M35" s="338"/>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299"/>
      <c r="BM35" s="299"/>
      <c r="BN35" s="299"/>
      <c r="BO35" s="299"/>
      <c r="BP35" s="299"/>
      <c r="BQ35" s="299"/>
      <c r="BR35" s="299"/>
      <c r="BS35" s="299"/>
      <c r="BT35" s="299"/>
      <c r="BU35" s="39"/>
      <c r="BV35" s="7"/>
      <c r="BW35" s="7"/>
      <c r="BX35" s="7"/>
      <c r="BY35" s="7"/>
      <c r="BZ35" s="7"/>
      <c r="CA35" s="7"/>
      <c r="CB35" s="7"/>
      <c r="CC35" s="7"/>
      <c r="CD35" s="7"/>
      <c r="CE35" s="7"/>
      <c r="CF35" s="7"/>
      <c r="CG35" s="7"/>
      <c r="CH35" s="7"/>
      <c r="CI35" s="39"/>
      <c r="CJ35" s="39"/>
      <c r="CK35" s="39"/>
      <c r="CL35" s="39"/>
      <c r="CM35" s="39"/>
      <c r="CN35" s="39"/>
      <c r="CO35" s="39"/>
      <c r="CP35" s="39"/>
    </row>
    <row r="36" spans="2:94" s="332" customFormat="1" ht="11.25" x14ac:dyDescent="0.2">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V36" s="334"/>
      <c r="BW36" s="334"/>
      <c r="BX36" s="334"/>
      <c r="BY36" s="334"/>
      <c r="BZ36" s="334"/>
      <c r="CA36" s="334"/>
      <c r="CB36" s="334"/>
      <c r="CC36" s="334"/>
      <c r="CD36" s="334"/>
      <c r="CE36" s="334"/>
      <c r="CF36" s="334"/>
      <c r="CG36" s="334"/>
      <c r="CH36" s="334"/>
    </row>
    <row r="37" spans="2:94" s="332" customFormat="1" ht="11.25" x14ac:dyDescent="0.2">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V37" s="334"/>
      <c r="BW37" s="334"/>
      <c r="BX37" s="334"/>
      <c r="BY37" s="334"/>
      <c r="BZ37" s="334"/>
      <c r="CA37" s="334"/>
      <c r="CB37" s="334"/>
      <c r="CC37" s="334"/>
      <c r="CD37" s="334"/>
      <c r="CE37" s="334"/>
      <c r="CF37" s="334"/>
      <c r="CG37" s="334"/>
      <c r="CH37" s="334"/>
    </row>
    <row r="38" spans="2:94" s="332" customFormat="1" ht="11.25" x14ac:dyDescent="0.2">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V38" s="334"/>
      <c r="BW38" s="334"/>
      <c r="BX38" s="334"/>
      <c r="BY38" s="334"/>
      <c r="BZ38" s="334"/>
      <c r="CA38" s="334"/>
      <c r="CB38" s="334"/>
      <c r="CC38" s="334"/>
      <c r="CD38" s="334"/>
      <c r="CE38" s="334"/>
      <c r="CF38" s="334"/>
      <c r="CG38" s="334"/>
      <c r="CH38" s="334"/>
    </row>
    <row r="39" spans="2:94" s="332" customFormat="1" ht="11.25" x14ac:dyDescent="0.2">
      <c r="B39" s="328"/>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V39" s="334"/>
      <c r="BW39" s="334"/>
      <c r="BX39" s="334"/>
      <c r="BY39" s="334"/>
      <c r="BZ39" s="334"/>
      <c r="CA39" s="334"/>
      <c r="CB39" s="334"/>
      <c r="CC39" s="334"/>
      <c r="CD39" s="334"/>
      <c r="CE39" s="334"/>
      <c r="CF39" s="334"/>
      <c r="CG39" s="334"/>
      <c r="CH39" s="334"/>
    </row>
    <row r="40" spans="2:94" s="332" customFormat="1" ht="11.25" x14ac:dyDescent="0.2">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V40" s="334"/>
      <c r="BW40" s="334"/>
      <c r="BX40" s="334"/>
      <c r="BY40" s="334"/>
      <c r="BZ40" s="334"/>
      <c r="CA40" s="334"/>
      <c r="CB40" s="334"/>
      <c r="CC40" s="334"/>
      <c r="CD40" s="334"/>
      <c r="CE40" s="334"/>
      <c r="CF40" s="334"/>
      <c r="CG40" s="334"/>
      <c r="CH40" s="334"/>
    </row>
    <row r="41" spans="2:94" s="332" customFormat="1" ht="11.25" x14ac:dyDescent="0.2">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V41" s="334"/>
      <c r="BW41" s="334"/>
      <c r="BX41" s="334"/>
      <c r="BY41" s="334"/>
      <c r="BZ41" s="334"/>
      <c r="CA41" s="334"/>
      <c r="CB41" s="334"/>
      <c r="CC41" s="334"/>
      <c r="CD41" s="334"/>
      <c r="CE41" s="334"/>
      <c r="CF41" s="334"/>
      <c r="CG41" s="334"/>
      <c r="CH41" s="334"/>
    </row>
    <row r="42" spans="2:94" s="332" customFormat="1" ht="11.25" x14ac:dyDescent="0.2">
      <c r="B42" s="328"/>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V42" s="334"/>
      <c r="BW42" s="334"/>
      <c r="BX42" s="334"/>
      <c r="BY42" s="334"/>
      <c r="BZ42" s="334"/>
      <c r="CA42" s="334"/>
      <c r="CB42" s="334"/>
      <c r="CC42" s="334"/>
      <c r="CD42" s="334"/>
      <c r="CE42" s="334"/>
      <c r="CF42" s="334"/>
      <c r="CG42" s="334"/>
      <c r="CH42" s="334"/>
    </row>
    <row r="43" spans="2:94" s="332" customFormat="1" ht="11.25" x14ac:dyDescent="0.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V43" s="334"/>
      <c r="BW43" s="334"/>
      <c r="BX43" s="334"/>
      <c r="BY43" s="334"/>
      <c r="BZ43" s="334"/>
      <c r="CA43" s="334"/>
      <c r="CB43" s="334"/>
      <c r="CC43" s="334"/>
      <c r="CD43" s="334"/>
      <c r="CE43" s="334"/>
      <c r="CF43" s="334"/>
      <c r="CG43" s="334"/>
      <c r="CH43" s="334"/>
    </row>
    <row r="44" spans="2:94" s="332" customFormat="1" ht="11.25" x14ac:dyDescent="0.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V44" s="334"/>
      <c r="BW44" s="334"/>
      <c r="BX44" s="334"/>
      <c r="BY44" s="334"/>
      <c r="BZ44" s="334"/>
      <c r="CA44" s="334"/>
      <c r="CB44" s="334"/>
      <c r="CC44" s="334"/>
      <c r="CD44" s="334"/>
      <c r="CE44" s="334"/>
      <c r="CF44" s="334"/>
      <c r="CG44" s="334"/>
      <c r="CH44" s="334"/>
    </row>
    <row r="45" spans="2:94" s="332" customFormat="1" ht="11.25" x14ac:dyDescent="0.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V45" s="334"/>
      <c r="BW45" s="334"/>
      <c r="BX45" s="334"/>
      <c r="BY45" s="334"/>
      <c r="BZ45" s="334"/>
      <c r="CA45" s="334"/>
      <c r="CB45" s="334"/>
      <c r="CC45" s="334"/>
      <c r="CD45" s="334"/>
      <c r="CE45" s="334"/>
      <c r="CF45" s="334"/>
      <c r="CG45" s="334"/>
      <c r="CH45" s="334"/>
    </row>
    <row r="46" spans="2:94" s="332" customFormat="1" ht="11.25" x14ac:dyDescent="0.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V46" s="334"/>
      <c r="BW46" s="334"/>
      <c r="BX46" s="334"/>
      <c r="BY46" s="334"/>
      <c r="BZ46" s="334"/>
      <c r="CA46" s="334"/>
      <c r="CB46" s="334"/>
      <c r="CC46" s="334"/>
      <c r="CD46" s="334"/>
      <c r="CE46" s="334"/>
      <c r="CF46" s="334"/>
      <c r="CG46" s="334"/>
      <c r="CH46" s="334"/>
    </row>
    <row r="47" spans="2:94" s="332" customFormat="1" ht="11.25" x14ac:dyDescent="0.2">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V47" s="334"/>
      <c r="BW47" s="334"/>
      <c r="BX47" s="334"/>
      <c r="BY47" s="334"/>
      <c r="BZ47" s="334"/>
      <c r="CA47" s="334"/>
      <c r="CB47" s="334"/>
      <c r="CC47" s="334"/>
      <c r="CD47" s="334"/>
      <c r="CE47" s="334"/>
      <c r="CF47" s="334"/>
      <c r="CG47" s="334"/>
      <c r="CH47" s="334"/>
    </row>
    <row r="48" spans="2:94" s="332" customFormat="1" ht="11.25" x14ac:dyDescent="0.2">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V48" s="334"/>
      <c r="BW48" s="334"/>
      <c r="BX48" s="334"/>
      <c r="BY48" s="334"/>
      <c r="BZ48" s="334"/>
      <c r="CA48" s="334"/>
      <c r="CB48" s="334"/>
      <c r="CC48" s="334"/>
      <c r="CD48" s="334"/>
      <c r="CE48" s="334"/>
      <c r="CF48" s="334"/>
      <c r="CG48" s="334"/>
      <c r="CH48" s="334"/>
    </row>
    <row r="49" spans="2:86" s="332" customFormat="1" ht="11.25" x14ac:dyDescent="0.2">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V49" s="334"/>
      <c r="BW49" s="334"/>
      <c r="BX49" s="334"/>
      <c r="BY49" s="334"/>
      <c r="BZ49" s="334"/>
      <c r="CA49" s="334"/>
      <c r="CB49" s="334"/>
      <c r="CC49" s="334"/>
      <c r="CD49" s="334"/>
      <c r="CE49" s="334"/>
      <c r="CF49" s="334"/>
      <c r="CG49" s="334"/>
      <c r="CH49" s="334"/>
    </row>
    <row r="50" spans="2:86" s="332" customFormat="1" ht="11.25" x14ac:dyDescent="0.2">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V50" s="334"/>
      <c r="BW50" s="334"/>
      <c r="BX50" s="334"/>
      <c r="BY50" s="334"/>
      <c r="BZ50" s="334"/>
      <c r="CA50" s="334"/>
      <c r="CB50" s="334"/>
      <c r="CC50" s="334"/>
      <c r="CD50" s="334"/>
      <c r="CE50" s="334"/>
      <c r="CF50" s="334"/>
      <c r="CG50" s="334"/>
      <c r="CH50" s="334"/>
    </row>
    <row r="51" spans="2:86" s="332" customFormat="1" ht="11.25" x14ac:dyDescent="0.2">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V51" s="334"/>
      <c r="BW51" s="334"/>
      <c r="BX51" s="334"/>
      <c r="BY51" s="334"/>
      <c r="BZ51" s="334"/>
      <c r="CA51" s="334"/>
      <c r="CB51" s="334"/>
      <c r="CC51" s="334"/>
      <c r="CD51" s="334"/>
      <c r="CE51" s="334"/>
      <c r="CF51" s="334"/>
      <c r="CG51" s="334"/>
      <c r="CH51" s="334"/>
    </row>
    <row r="52" spans="2:86" s="332" customFormat="1" ht="11.25" x14ac:dyDescent="0.2">
      <c r="B52" s="328"/>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V52" s="334"/>
      <c r="BW52" s="334"/>
      <c r="BX52" s="334"/>
      <c r="BY52" s="334"/>
      <c r="BZ52" s="334"/>
      <c r="CA52" s="334"/>
      <c r="CB52" s="334"/>
      <c r="CC52" s="334"/>
      <c r="CD52" s="334"/>
      <c r="CE52" s="334"/>
      <c r="CF52" s="334"/>
      <c r="CG52" s="334"/>
      <c r="CH52" s="334"/>
    </row>
    <row r="53" spans="2:86" s="332" customFormat="1" ht="11.25" x14ac:dyDescent="0.2">
      <c r="B53" s="328"/>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V53" s="334"/>
      <c r="BW53" s="334"/>
      <c r="BX53" s="334"/>
      <c r="BY53" s="334"/>
      <c r="BZ53" s="334"/>
      <c r="CA53" s="334"/>
      <c r="CB53" s="334"/>
      <c r="CC53" s="334"/>
      <c r="CD53" s="334"/>
      <c r="CE53" s="334"/>
      <c r="CF53" s="334"/>
      <c r="CG53" s="334"/>
      <c r="CH53" s="334"/>
    </row>
    <row r="54" spans="2:86" s="332" customFormat="1" ht="11.25" x14ac:dyDescent="0.2">
      <c r="B54" s="328"/>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V54" s="334"/>
      <c r="BW54" s="334"/>
      <c r="BX54" s="334"/>
      <c r="BY54" s="334"/>
      <c r="BZ54" s="334"/>
      <c r="CA54" s="334"/>
      <c r="CB54" s="334"/>
      <c r="CC54" s="334"/>
      <c r="CD54" s="334"/>
      <c r="CE54" s="334"/>
      <c r="CF54" s="334"/>
      <c r="CG54" s="334"/>
      <c r="CH54" s="334"/>
    </row>
    <row r="55" spans="2:86" s="332" customFormat="1" ht="11.25" x14ac:dyDescent="0.2">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V55" s="334"/>
      <c r="BW55" s="334"/>
      <c r="BX55" s="334"/>
      <c r="BY55" s="334"/>
      <c r="BZ55" s="334"/>
      <c r="CA55" s="334"/>
      <c r="CB55" s="334"/>
      <c r="CC55" s="334"/>
      <c r="CD55" s="334"/>
      <c r="CE55" s="334"/>
      <c r="CF55" s="334"/>
      <c r="CG55" s="334"/>
      <c r="CH55" s="334"/>
    </row>
    <row r="56" spans="2:86" s="332" customFormat="1" ht="11.25" x14ac:dyDescent="0.2">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V56" s="334"/>
      <c r="BW56" s="334"/>
      <c r="BX56" s="334"/>
      <c r="BY56" s="334"/>
      <c r="BZ56" s="334"/>
      <c r="CA56" s="334"/>
      <c r="CB56" s="334"/>
      <c r="CC56" s="334"/>
      <c r="CD56" s="334"/>
      <c r="CE56" s="334"/>
      <c r="CF56" s="334"/>
      <c r="CG56" s="334"/>
      <c r="CH56" s="334"/>
    </row>
    <row r="57" spans="2:86" s="332" customFormat="1" ht="11.25" x14ac:dyDescent="0.2">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V57" s="334"/>
      <c r="BW57" s="334"/>
      <c r="BX57" s="334"/>
      <c r="BY57" s="334"/>
      <c r="BZ57" s="334"/>
      <c r="CA57" s="334"/>
      <c r="CB57" s="334"/>
      <c r="CC57" s="334"/>
      <c r="CD57" s="334"/>
      <c r="CE57" s="334"/>
      <c r="CF57" s="334"/>
      <c r="CG57" s="334"/>
      <c r="CH57" s="334"/>
    </row>
    <row r="58" spans="2:86" s="332" customFormat="1" ht="11.25" x14ac:dyDescent="0.2">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V58" s="334"/>
      <c r="BW58" s="334"/>
      <c r="BX58" s="334"/>
      <c r="BY58" s="334"/>
      <c r="BZ58" s="334"/>
      <c r="CA58" s="334"/>
      <c r="CB58" s="334"/>
      <c r="CC58" s="334"/>
      <c r="CD58" s="334"/>
      <c r="CE58" s="334"/>
      <c r="CF58" s="334"/>
      <c r="CG58" s="334"/>
      <c r="CH58" s="334"/>
    </row>
    <row r="59" spans="2:86" s="332" customFormat="1" ht="11.25" x14ac:dyDescent="0.2">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V59" s="334"/>
      <c r="BW59" s="334"/>
      <c r="BX59" s="334"/>
      <c r="BY59" s="334"/>
      <c r="BZ59" s="334"/>
      <c r="CA59" s="334"/>
      <c r="CB59" s="334"/>
      <c r="CC59" s="334"/>
      <c r="CD59" s="334"/>
      <c r="CE59" s="334"/>
      <c r="CF59" s="334"/>
      <c r="CG59" s="334"/>
      <c r="CH59" s="334"/>
    </row>
    <row r="60" spans="2:86" s="332" customFormat="1" ht="11.25" x14ac:dyDescent="0.2">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V60" s="334"/>
      <c r="BW60" s="334"/>
      <c r="BX60" s="334"/>
      <c r="BY60" s="334"/>
      <c r="BZ60" s="334"/>
      <c r="CA60" s="334"/>
      <c r="CB60" s="334"/>
      <c r="CC60" s="334"/>
      <c r="CD60" s="334"/>
      <c r="CE60" s="334"/>
      <c r="CF60" s="334"/>
      <c r="CG60" s="334"/>
      <c r="CH60" s="334"/>
    </row>
    <row r="61" spans="2:86" s="332" customFormat="1" ht="11.25" x14ac:dyDescent="0.2">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V61" s="334"/>
      <c r="BW61" s="334"/>
      <c r="BX61" s="334"/>
      <c r="BY61" s="334"/>
      <c r="BZ61" s="334"/>
      <c r="CA61" s="334"/>
      <c r="CB61" s="334"/>
      <c r="CC61" s="334"/>
      <c r="CD61" s="334"/>
      <c r="CE61" s="334"/>
      <c r="CF61" s="334"/>
      <c r="CG61" s="334"/>
      <c r="CH61" s="334"/>
    </row>
    <row r="62" spans="2:86" s="332" customFormat="1" ht="11.25" x14ac:dyDescent="0.2">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V62" s="334"/>
      <c r="BW62" s="334"/>
      <c r="BX62" s="334"/>
      <c r="BY62" s="334"/>
      <c r="BZ62" s="334"/>
      <c r="CA62" s="334"/>
      <c r="CB62" s="334"/>
      <c r="CC62" s="334"/>
      <c r="CD62" s="334"/>
      <c r="CE62" s="334"/>
      <c r="CF62" s="334"/>
      <c r="CG62" s="334"/>
      <c r="CH62" s="334"/>
    </row>
    <row r="63" spans="2:86" s="332" customFormat="1" ht="11.25" x14ac:dyDescent="0.2">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V63" s="334"/>
      <c r="BW63" s="334"/>
      <c r="BX63" s="334"/>
      <c r="BY63" s="334"/>
      <c r="BZ63" s="334"/>
      <c r="CA63" s="334"/>
      <c r="CB63" s="334"/>
      <c r="CC63" s="334"/>
      <c r="CD63" s="334"/>
      <c r="CE63" s="334"/>
      <c r="CF63" s="334"/>
      <c r="CG63" s="334"/>
      <c r="CH63" s="334"/>
    </row>
    <row r="64" spans="2:86" s="332" customFormat="1" ht="11.25" x14ac:dyDescent="0.2">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V64" s="334"/>
      <c r="BW64" s="334"/>
      <c r="BX64" s="334"/>
      <c r="BY64" s="334"/>
      <c r="BZ64" s="334"/>
      <c r="CA64" s="334"/>
      <c r="CB64" s="334"/>
      <c r="CC64" s="334"/>
      <c r="CD64" s="334"/>
      <c r="CE64" s="334"/>
      <c r="CF64" s="334"/>
      <c r="CG64" s="334"/>
      <c r="CH64" s="334"/>
    </row>
    <row r="65" spans="2:86" s="332" customFormat="1" ht="11.25" x14ac:dyDescent="0.2">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V65" s="334"/>
      <c r="BW65" s="334"/>
      <c r="BX65" s="334"/>
      <c r="BY65" s="334"/>
      <c r="BZ65" s="334"/>
      <c r="CA65" s="334"/>
      <c r="CB65" s="334"/>
      <c r="CC65" s="334"/>
      <c r="CD65" s="334"/>
      <c r="CE65" s="334"/>
      <c r="CF65" s="334"/>
      <c r="CG65" s="334"/>
      <c r="CH65" s="334"/>
    </row>
    <row r="66" spans="2:86" s="332" customFormat="1" ht="11.25" x14ac:dyDescent="0.2">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V66" s="334"/>
      <c r="BW66" s="334"/>
      <c r="BX66" s="334"/>
      <c r="BY66" s="334"/>
      <c r="BZ66" s="334"/>
      <c r="CA66" s="334"/>
      <c r="CB66" s="334"/>
      <c r="CC66" s="334"/>
      <c r="CD66" s="334"/>
      <c r="CE66" s="334"/>
      <c r="CF66" s="334"/>
      <c r="CG66" s="334"/>
      <c r="CH66" s="334"/>
    </row>
    <row r="67" spans="2:86" s="332" customFormat="1" ht="11.25" x14ac:dyDescent="0.2">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V67" s="334"/>
      <c r="BW67" s="334"/>
      <c r="BX67" s="334"/>
      <c r="BY67" s="334"/>
      <c r="BZ67" s="334"/>
      <c r="CA67" s="334"/>
      <c r="CB67" s="334"/>
      <c r="CC67" s="334"/>
      <c r="CD67" s="334"/>
      <c r="CE67" s="334"/>
      <c r="CF67" s="334"/>
      <c r="CG67" s="334"/>
      <c r="CH67" s="334"/>
    </row>
    <row r="68" spans="2:86" s="332" customFormat="1" ht="11.25" x14ac:dyDescent="0.2">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V68" s="334"/>
      <c r="BW68" s="334"/>
      <c r="BX68" s="334"/>
      <c r="BY68" s="334"/>
      <c r="BZ68" s="334"/>
      <c r="CA68" s="334"/>
      <c r="CB68" s="334"/>
      <c r="CC68" s="334"/>
      <c r="CD68" s="334"/>
      <c r="CE68" s="334"/>
      <c r="CF68" s="334"/>
      <c r="CG68" s="334"/>
      <c r="CH68" s="334"/>
    </row>
    <row r="69" spans="2:86" s="332" customFormat="1" ht="11.25" x14ac:dyDescent="0.2">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V69" s="334"/>
      <c r="BW69" s="334"/>
      <c r="BX69" s="334"/>
      <c r="BY69" s="334"/>
      <c r="BZ69" s="334"/>
      <c r="CA69" s="334"/>
      <c r="CB69" s="334"/>
      <c r="CC69" s="334"/>
      <c r="CD69" s="334"/>
      <c r="CE69" s="334"/>
      <c r="CF69" s="334"/>
      <c r="CG69" s="334"/>
      <c r="CH69" s="334"/>
    </row>
    <row r="70" spans="2:86" s="332" customFormat="1" ht="11.25" x14ac:dyDescent="0.2">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V70" s="334"/>
      <c r="BW70" s="334"/>
      <c r="BX70" s="334"/>
      <c r="BY70" s="334"/>
      <c r="BZ70" s="334"/>
      <c r="CA70" s="334"/>
      <c r="CB70" s="334"/>
      <c r="CC70" s="334"/>
      <c r="CD70" s="334"/>
      <c r="CE70" s="334"/>
      <c r="CF70" s="334"/>
      <c r="CG70" s="334"/>
      <c r="CH70" s="334"/>
    </row>
    <row r="71" spans="2:86" s="332" customFormat="1" ht="11.25" x14ac:dyDescent="0.2">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V71" s="334"/>
      <c r="BW71" s="334"/>
      <c r="BX71" s="334"/>
      <c r="BY71" s="334"/>
      <c r="BZ71" s="334"/>
      <c r="CA71" s="334"/>
      <c r="CB71" s="334"/>
      <c r="CC71" s="334"/>
      <c r="CD71" s="334"/>
      <c r="CE71" s="334"/>
      <c r="CF71" s="334"/>
      <c r="CG71" s="334"/>
      <c r="CH71" s="334"/>
    </row>
    <row r="72" spans="2:86" s="332" customFormat="1" ht="11.25" x14ac:dyDescent="0.2">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V72" s="334"/>
      <c r="BW72" s="334"/>
      <c r="BX72" s="334"/>
      <c r="BY72" s="334"/>
      <c r="BZ72" s="334"/>
      <c r="CA72" s="334"/>
      <c r="CB72" s="334"/>
      <c r="CC72" s="334"/>
      <c r="CD72" s="334"/>
      <c r="CE72" s="334"/>
      <c r="CF72" s="334"/>
      <c r="CG72" s="334"/>
      <c r="CH72" s="334"/>
    </row>
    <row r="73" spans="2:86" s="332" customFormat="1" ht="11.25" x14ac:dyDescent="0.2">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V73" s="334"/>
      <c r="BW73" s="334"/>
      <c r="BX73" s="334"/>
      <c r="BY73" s="334"/>
      <c r="BZ73" s="334"/>
      <c r="CA73" s="334"/>
      <c r="CB73" s="334"/>
      <c r="CC73" s="334"/>
      <c r="CD73" s="334"/>
      <c r="CE73" s="334"/>
      <c r="CF73" s="334"/>
      <c r="CG73" s="334"/>
      <c r="CH73" s="334"/>
    </row>
    <row r="74" spans="2:86" s="332" customFormat="1" ht="11.25" x14ac:dyDescent="0.2">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V74" s="334"/>
      <c r="BW74" s="334"/>
      <c r="BX74" s="334"/>
      <c r="BY74" s="334"/>
      <c r="BZ74" s="334"/>
      <c r="CA74" s="334"/>
      <c r="CB74" s="334"/>
      <c r="CC74" s="334"/>
      <c r="CD74" s="334"/>
      <c r="CE74" s="334"/>
      <c r="CF74" s="334"/>
      <c r="CG74" s="334"/>
      <c r="CH74" s="334"/>
    </row>
    <row r="75" spans="2:86" s="332" customFormat="1" ht="11.25" x14ac:dyDescent="0.2">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V75" s="334"/>
      <c r="BW75" s="334"/>
      <c r="BX75" s="334"/>
      <c r="BY75" s="334"/>
      <c r="BZ75" s="334"/>
      <c r="CA75" s="334"/>
      <c r="CB75" s="334"/>
      <c r="CC75" s="334"/>
      <c r="CD75" s="334"/>
      <c r="CE75" s="334"/>
      <c r="CF75" s="334"/>
      <c r="CG75" s="334"/>
      <c r="CH75" s="334"/>
    </row>
    <row r="76" spans="2:86" s="332" customFormat="1" ht="11.25" x14ac:dyDescent="0.2">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V76" s="334"/>
      <c r="BW76" s="334"/>
      <c r="BX76" s="334"/>
      <c r="BY76" s="334"/>
      <c r="BZ76" s="334"/>
      <c r="CA76" s="334"/>
      <c r="CB76" s="334"/>
      <c r="CC76" s="334"/>
      <c r="CD76" s="334"/>
      <c r="CE76" s="334"/>
      <c r="CF76" s="334"/>
      <c r="CG76" s="334"/>
      <c r="CH76" s="334"/>
    </row>
    <row r="77" spans="2:86" s="332" customFormat="1" ht="11.25" x14ac:dyDescent="0.2">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V77" s="334"/>
      <c r="BW77" s="334"/>
      <c r="BX77" s="334"/>
      <c r="BY77" s="334"/>
      <c r="BZ77" s="334"/>
      <c r="CA77" s="334"/>
      <c r="CB77" s="334"/>
      <c r="CC77" s="334"/>
      <c r="CD77" s="334"/>
      <c r="CE77" s="334"/>
      <c r="CF77" s="334"/>
      <c r="CG77" s="334"/>
      <c r="CH77" s="334"/>
    </row>
    <row r="78" spans="2:86" s="332" customFormat="1" ht="11.25" x14ac:dyDescent="0.2">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V78" s="334"/>
      <c r="BW78" s="334"/>
      <c r="BX78" s="334"/>
      <c r="BY78" s="334"/>
      <c r="BZ78" s="334"/>
      <c r="CA78" s="334"/>
      <c r="CB78" s="334"/>
      <c r="CC78" s="334"/>
      <c r="CD78" s="334"/>
      <c r="CE78" s="334"/>
      <c r="CF78" s="334"/>
      <c r="CG78" s="334"/>
      <c r="CH78" s="334"/>
    </row>
    <row r="79" spans="2:86" s="332" customFormat="1" ht="11.25" x14ac:dyDescent="0.2">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V79" s="334"/>
      <c r="BW79" s="334"/>
      <c r="BX79" s="334"/>
      <c r="BY79" s="334"/>
      <c r="BZ79" s="334"/>
      <c r="CA79" s="334"/>
      <c r="CB79" s="334"/>
      <c r="CC79" s="334"/>
      <c r="CD79" s="334"/>
      <c r="CE79" s="334"/>
      <c r="CF79" s="334"/>
      <c r="CG79" s="334"/>
      <c r="CH79" s="334"/>
    </row>
    <row r="80" spans="2:86" s="332" customFormat="1" ht="11.25" x14ac:dyDescent="0.2">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V80" s="334"/>
      <c r="BW80" s="334"/>
      <c r="BX80" s="334"/>
      <c r="BY80" s="334"/>
      <c r="BZ80" s="334"/>
      <c r="CA80" s="334"/>
      <c r="CB80" s="334"/>
      <c r="CC80" s="334"/>
      <c r="CD80" s="334"/>
      <c r="CE80" s="334"/>
      <c r="CF80" s="334"/>
      <c r="CG80" s="334"/>
      <c r="CH80" s="334"/>
    </row>
    <row r="81" spans="2:86" s="332" customFormat="1" ht="11.25" x14ac:dyDescent="0.2">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V81" s="334"/>
      <c r="BW81" s="334"/>
      <c r="BX81" s="334"/>
      <c r="BY81" s="334"/>
      <c r="BZ81" s="334"/>
      <c r="CA81" s="334"/>
      <c r="CB81" s="334"/>
      <c r="CC81" s="334"/>
      <c r="CD81" s="334"/>
      <c r="CE81" s="334"/>
      <c r="CF81" s="334"/>
      <c r="CG81" s="334"/>
      <c r="CH81" s="334"/>
    </row>
    <row r="82" spans="2:86" s="332" customFormat="1" ht="11.25" x14ac:dyDescent="0.2">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V82" s="334"/>
      <c r="BW82" s="334"/>
      <c r="BX82" s="334"/>
      <c r="BY82" s="334"/>
      <c r="BZ82" s="334"/>
      <c r="CA82" s="334"/>
      <c r="CB82" s="334"/>
      <c r="CC82" s="334"/>
      <c r="CD82" s="334"/>
      <c r="CE82" s="334"/>
      <c r="CF82" s="334"/>
      <c r="CG82" s="334"/>
      <c r="CH82" s="334"/>
    </row>
    <row r="83" spans="2:86" s="332" customFormat="1" ht="11.25" x14ac:dyDescent="0.2">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V83" s="334"/>
      <c r="BW83" s="334"/>
      <c r="BX83" s="334"/>
      <c r="BY83" s="334"/>
      <c r="BZ83" s="334"/>
      <c r="CA83" s="334"/>
      <c r="CB83" s="334"/>
      <c r="CC83" s="334"/>
      <c r="CD83" s="334"/>
      <c r="CE83" s="334"/>
      <c r="CF83" s="334"/>
      <c r="CG83" s="334"/>
      <c r="CH83" s="334"/>
    </row>
    <row r="84" spans="2:86" s="332" customFormat="1" ht="11.25" x14ac:dyDescent="0.2">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V84" s="334"/>
      <c r="BW84" s="334"/>
      <c r="BX84" s="334"/>
      <c r="BY84" s="334"/>
      <c r="BZ84" s="334"/>
      <c r="CA84" s="334"/>
      <c r="CB84" s="334"/>
      <c r="CC84" s="334"/>
      <c r="CD84" s="334"/>
      <c r="CE84" s="334"/>
      <c r="CF84" s="334"/>
      <c r="CG84" s="334"/>
      <c r="CH84" s="334"/>
    </row>
    <row r="85" spans="2:86" s="332" customFormat="1" ht="11.25" x14ac:dyDescent="0.2">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V85" s="334"/>
      <c r="BW85" s="334"/>
      <c r="BX85" s="334"/>
      <c r="BY85" s="334"/>
      <c r="BZ85" s="334"/>
      <c r="CA85" s="334"/>
      <c r="CB85" s="334"/>
      <c r="CC85" s="334"/>
      <c r="CD85" s="334"/>
      <c r="CE85" s="334"/>
      <c r="CF85" s="334"/>
      <c r="CG85" s="334"/>
      <c r="CH85" s="334"/>
    </row>
    <row r="86" spans="2:86" s="332" customFormat="1" ht="11.25" x14ac:dyDescent="0.2">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V86" s="334"/>
      <c r="BW86" s="334"/>
      <c r="BX86" s="334"/>
      <c r="BY86" s="334"/>
      <c r="BZ86" s="334"/>
      <c r="CA86" s="334"/>
      <c r="CB86" s="334"/>
      <c r="CC86" s="334"/>
      <c r="CD86" s="334"/>
      <c r="CE86" s="334"/>
      <c r="CF86" s="334"/>
      <c r="CG86" s="334"/>
      <c r="CH86" s="334"/>
    </row>
    <row r="87" spans="2:86" s="332" customFormat="1" ht="11.25" x14ac:dyDescent="0.2">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V87" s="334"/>
      <c r="BW87" s="334"/>
      <c r="BX87" s="334"/>
      <c r="BY87" s="334"/>
      <c r="BZ87" s="334"/>
      <c r="CA87" s="334"/>
      <c r="CB87" s="334"/>
      <c r="CC87" s="334"/>
      <c r="CD87" s="334"/>
      <c r="CE87" s="334"/>
      <c r="CF87" s="334"/>
      <c r="CG87" s="334"/>
      <c r="CH87" s="334"/>
    </row>
    <row r="88" spans="2:86" s="332" customFormat="1" ht="11.25" x14ac:dyDescent="0.2">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V88" s="334"/>
      <c r="BW88" s="334"/>
      <c r="BX88" s="334"/>
      <c r="BY88" s="334"/>
      <c r="BZ88" s="334"/>
      <c r="CA88" s="334"/>
      <c r="CB88" s="334"/>
      <c r="CC88" s="334"/>
      <c r="CD88" s="334"/>
      <c r="CE88" s="334"/>
      <c r="CF88" s="334"/>
      <c r="CG88" s="334"/>
      <c r="CH88" s="334"/>
    </row>
    <row r="89" spans="2:86" s="332" customFormat="1" ht="11.25" x14ac:dyDescent="0.2">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V89" s="334"/>
      <c r="BW89" s="334"/>
      <c r="BX89" s="334"/>
      <c r="BY89" s="334"/>
      <c r="BZ89" s="334"/>
      <c r="CA89" s="334"/>
      <c r="CB89" s="334"/>
      <c r="CC89" s="334"/>
      <c r="CD89" s="334"/>
      <c r="CE89" s="334"/>
      <c r="CF89" s="334"/>
      <c r="CG89" s="334"/>
      <c r="CH89" s="334"/>
    </row>
    <row r="90" spans="2:86" s="332" customFormat="1" ht="11.25" x14ac:dyDescent="0.2">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V90" s="334"/>
      <c r="BW90" s="334"/>
      <c r="BX90" s="334"/>
      <c r="BY90" s="334"/>
      <c r="BZ90" s="334"/>
      <c r="CA90" s="334"/>
      <c r="CB90" s="334"/>
      <c r="CC90" s="334"/>
      <c r="CD90" s="334"/>
      <c r="CE90" s="334"/>
      <c r="CF90" s="334"/>
      <c r="CG90" s="334"/>
      <c r="CH90" s="334"/>
    </row>
    <row r="91" spans="2:86" s="332" customFormat="1" ht="11.25" x14ac:dyDescent="0.2">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V91" s="334"/>
      <c r="BW91" s="334"/>
      <c r="BX91" s="334"/>
      <c r="BY91" s="334"/>
      <c r="BZ91" s="334"/>
      <c r="CA91" s="334"/>
      <c r="CB91" s="334"/>
      <c r="CC91" s="334"/>
      <c r="CD91" s="334"/>
      <c r="CE91" s="334"/>
      <c r="CF91" s="334"/>
      <c r="CG91" s="334"/>
      <c r="CH91" s="334"/>
    </row>
    <row r="92" spans="2:86" s="332" customFormat="1" ht="11.25" x14ac:dyDescent="0.2">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V92" s="334"/>
      <c r="BW92" s="334"/>
      <c r="BX92" s="334"/>
      <c r="BY92" s="334"/>
      <c r="BZ92" s="334"/>
      <c r="CA92" s="334"/>
      <c r="CB92" s="334"/>
      <c r="CC92" s="334"/>
      <c r="CD92" s="334"/>
      <c r="CE92" s="334"/>
      <c r="CF92" s="334"/>
      <c r="CG92" s="334"/>
      <c r="CH92" s="334"/>
    </row>
    <row r="93" spans="2:86" s="332" customFormat="1" ht="11.25" x14ac:dyDescent="0.2">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V93" s="334"/>
      <c r="BW93" s="334"/>
      <c r="BX93" s="334"/>
      <c r="BY93" s="334"/>
      <c r="BZ93" s="334"/>
      <c r="CA93" s="334"/>
      <c r="CB93" s="334"/>
      <c r="CC93" s="334"/>
      <c r="CD93" s="334"/>
      <c r="CE93" s="334"/>
      <c r="CF93" s="334"/>
      <c r="CG93" s="334"/>
      <c r="CH93" s="334"/>
    </row>
    <row r="94" spans="2:86" s="332" customFormat="1" ht="11.25" x14ac:dyDescent="0.2">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328"/>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V94" s="334"/>
      <c r="BW94" s="334"/>
      <c r="BX94" s="334"/>
      <c r="BY94" s="334"/>
      <c r="BZ94" s="334"/>
      <c r="CA94" s="334"/>
      <c r="CB94" s="334"/>
      <c r="CC94" s="334"/>
      <c r="CD94" s="334"/>
      <c r="CE94" s="334"/>
      <c r="CF94" s="334"/>
      <c r="CG94" s="334"/>
      <c r="CH94" s="334"/>
    </row>
    <row r="95" spans="2:86" s="332" customFormat="1" ht="11.25" x14ac:dyDescent="0.2">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V95" s="334"/>
      <c r="BW95" s="334"/>
      <c r="BX95" s="334"/>
      <c r="BY95" s="334"/>
      <c r="BZ95" s="334"/>
      <c r="CA95" s="334"/>
      <c r="CB95" s="334"/>
      <c r="CC95" s="334"/>
      <c r="CD95" s="334"/>
      <c r="CE95" s="334"/>
      <c r="CF95" s="334"/>
      <c r="CG95" s="334"/>
      <c r="CH95" s="334"/>
    </row>
    <row r="96" spans="2:86" s="332" customFormat="1" ht="11.25" x14ac:dyDescent="0.2">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V96" s="334"/>
      <c r="BW96" s="334"/>
      <c r="BX96" s="334"/>
      <c r="BY96" s="334"/>
      <c r="BZ96" s="334"/>
      <c r="CA96" s="334"/>
      <c r="CB96" s="334"/>
      <c r="CC96" s="334"/>
      <c r="CD96" s="334"/>
      <c r="CE96" s="334"/>
      <c r="CF96" s="334"/>
      <c r="CG96" s="334"/>
      <c r="CH96" s="334"/>
    </row>
    <row r="97" spans="2:86" s="332" customFormat="1" ht="11.25" x14ac:dyDescent="0.2">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V97" s="334"/>
      <c r="BW97" s="334"/>
      <c r="BX97" s="334"/>
      <c r="BY97" s="334"/>
      <c r="BZ97" s="334"/>
      <c r="CA97" s="334"/>
      <c r="CB97" s="334"/>
      <c r="CC97" s="334"/>
      <c r="CD97" s="334"/>
      <c r="CE97" s="334"/>
      <c r="CF97" s="334"/>
      <c r="CG97" s="334"/>
      <c r="CH97" s="334"/>
    </row>
    <row r="98" spans="2:86" s="332" customFormat="1" ht="11.25" x14ac:dyDescent="0.2">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V98" s="334"/>
      <c r="BW98" s="334"/>
      <c r="BX98" s="334"/>
      <c r="BY98" s="334"/>
      <c r="BZ98" s="334"/>
      <c r="CA98" s="334"/>
      <c r="CB98" s="334"/>
      <c r="CC98" s="334"/>
      <c r="CD98" s="334"/>
      <c r="CE98" s="334"/>
      <c r="CF98" s="334"/>
      <c r="CG98" s="334"/>
      <c r="CH98" s="334"/>
    </row>
    <row r="99" spans="2:86" s="332" customFormat="1" ht="11.25" x14ac:dyDescent="0.2">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V99" s="334"/>
      <c r="BW99" s="334"/>
      <c r="BX99" s="334"/>
      <c r="BY99" s="334"/>
      <c r="BZ99" s="334"/>
      <c r="CA99" s="334"/>
      <c r="CB99" s="334"/>
      <c r="CC99" s="334"/>
      <c r="CD99" s="334"/>
      <c r="CE99" s="334"/>
      <c r="CF99" s="334"/>
      <c r="CG99" s="334"/>
      <c r="CH99" s="334"/>
    </row>
    <row r="100" spans="2:86" s="332" customFormat="1" ht="11.25" x14ac:dyDescent="0.2">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V100" s="334"/>
      <c r="BW100" s="334"/>
      <c r="BX100" s="334"/>
      <c r="BY100" s="334"/>
      <c r="BZ100" s="334"/>
      <c r="CA100" s="334"/>
      <c r="CB100" s="334"/>
      <c r="CC100" s="334"/>
      <c r="CD100" s="334"/>
      <c r="CE100" s="334"/>
      <c r="CF100" s="334"/>
      <c r="CG100" s="334"/>
      <c r="CH100" s="334"/>
    </row>
    <row r="101" spans="2:86" s="332" customFormat="1" ht="11.25" x14ac:dyDescent="0.2">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V101" s="334"/>
      <c r="BW101" s="334"/>
      <c r="BX101" s="334"/>
      <c r="BY101" s="334"/>
      <c r="BZ101" s="334"/>
      <c r="CA101" s="334"/>
      <c r="CB101" s="334"/>
      <c r="CC101" s="334"/>
      <c r="CD101" s="334"/>
      <c r="CE101" s="334"/>
      <c r="CF101" s="334"/>
      <c r="CG101" s="334"/>
      <c r="CH101" s="334"/>
    </row>
    <row r="102" spans="2:86" s="332" customFormat="1" ht="11.25" x14ac:dyDescent="0.2">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V102" s="334"/>
      <c r="BW102" s="334"/>
      <c r="BX102" s="334"/>
      <c r="BY102" s="334"/>
      <c r="BZ102" s="334"/>
      <c r="CA102" s="334"/>
      <c r="CB102" s="334"/>
      <c r="CC102" s="334"/>
      <c r="CD102" s="334"/>
      <c r="CE102" s="334"/>
      <c r="CF102" s="334"/>
      <c r="CG102" s="334"/>
      <c r="CH102" s="334"/>
    </row>
    <row r="103" spans="2:86" s="332" customFormat="1" ht="11.25" x14ac:dyDescent="0.2">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V103" s="334"/>
      <c r="BW103" s="334"/>
      <c r="BX103" s="334"/>
      <c r="BY103" s="334"/>
      <c r="BZ103" s="334"/>
      <c r="CA103" s="334"/>
      <c r="CB103" s="334"/>
      <c r="CC103" s="334"/>
      <c r="CD103" s="334"/>
      <c r="CE103" s="334"/>
      <c r="CF103" s="334"/>
      <c r="CG103" s="334"/>
      <c r="CH103" s="334"/>
    </row>
    <row r="104" spans="2:86" s="332" customFormat="1" ht="11.25" x14ac:dyDescent="0.2">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V104" s="334"/>
      <c r="BW104" s="334"/>
      <c r="BX104" s="334"/>
      <c r="BY104" s="334"/>
      <c r="BZ104" s="334"/>
      <c r="CA104" s="334"/>
      <c r="CB104" s="334"/>
      <c r="CC104" s="334"/>
      <c r="CD104" s="334"/>
      <c r="CE104" s="334"/>
      <c r="CF104" s="334"/>
      <c r="CG104" s="334"/>
      <c r="CH104" s="334"/>
    </row>
    <row r="105" spans="2:86" s="332" customFormat="1" ht="11.25" x14ac:dyDescent="0.2">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V105" s="334"/>
      <c r="BW105" s="334"/>
      <c r="BX105" s="334"/>
      <c r="BY105" s="334"/>
      <c r="BZ105" s="334"/>
      <c r="CA105" s="334"/>
      <c r="CB105" s="334"/>
      <c r="CC105" s="334"/>
      <c r="CD105" s="334"/>
      <c r="CE105" s="334"/>
      <c r="CF105" s="334"/>
      <c r="CG105" s="334"/>
      <c r="CH105" s="334"/>
    </row>
    <row r="106" spans="2:86" s="332" customFormat="1" ht="11.25" x14ac:dyDescent="0.2">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V106" s="334"/>
      <c r="BW106" s="334"/>
      <c r="BX106" s="334"/>
      <c r="BY106" s="334"/>
      <c r="BZ106" s="334"/>
      <c r="CA106" s="334"/>
      <c r="CB106" s="334"/>
      <c r="CC106" s="334"/>
      <c r="CD106" s="334"/>
      <c r="CE106" s="334"/>
      <c r="CF106" s="334"/>
      <c r="CG106" s="334"/>
      <c r="CH106" s="334"/>
    </row>
    <row r="107" spans="2:86" s="332" customFormat="1" ht="11.25" x14ac:dyDescent="0.2">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V107" s="334"/>
      <c r="BW107" s="334"/>
      <c r="BX107" s="334"/>
      <c r="BY107" s="334"/>
      <c r="BZ107" s="334"/>
      <c r="CA107" s="334"/>
      <c r="CB107" s="334"/>
      <c r="CC107" s="334"/>
      <c r="CD107" s="334"/>
      <c r="CE107" s="334"/>
      <c r="CF107" s="334"/>
      <c r="CG107" s="334"/>
      <c r="CH107" s="334"/>
    </row>
    <row r="108" spans="2:86" s="332" customFormat="1" ht="11.25" x14ac:dyDescent="0.2">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V108" s="334"/>
      <c r="BW108" s="334"/>
      <c r="BX108" s="334"/>
      <c r="BY108" s="334"/>
      <c r="BZ108" s="334"/>
      <c r="CA108" s="334"/>
      <c r="CB108" s="334"/>
      <c r="CC108" s="334"/>
      <c r="CD108" s="334"/>
      <c r="CE108" s="334"/>
      <c r="CF108" s="334"/>
      <c r="CG108" s="334"/>
      <c r="CH108" s="334"/>
    </row>
    <row r="109" spans="2:86" s="332" customFormat="1" ht="11.25" x14ac:dyDescent="0.2">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V109" s="334"/>
      <c r="BW109" s="334"/>
      <c r="BX109" s="334"/>
      <c r="BY109" s="334"/>
      <c r="BZ109" s="334"/>
      <c r="CA109" s="334"/>
      <c r="CB109" s="334"/>
      <c r="CC109" s="334"/>
      <c r="CD109" s="334"/>
      <c r="CE109" s="334"/>
      <c r="CF109" s="334"/>
      <c r="CG109" s="334"/>
      <c r="CH109" s="334"/>
    </row>
    <row r="110" spans="2:86" s="332" customFormat="1" ht="11.25" x14ac:dyDescent="0.2">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V110" s="334"/>
      <c r="BW110" s="334"/>
      <c r="BX110" s="334"/>
      <c r="BY110" s="334"/>
      <c r="BZ110" s="334"/>
      <c r="CA110" s="334"/>
      <c r="CB110" s="334"/>
      <c r="CC110" s="334"/>
      <c r="CD110" s="334"/>
      <c r="CE110" s="334"/>
      <c r="CF110" s="334"/>
      <c r="CG110" s="334"/>
      <c r="CH110" s="334"/>
    </row>
    <row r="111" spans="2:86" s="332" customFormat="1" ht="11.25" x14ac:dyDescent="0.2">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V111" s="334"/>
      <c r="BW111" s="334"/>
      <c r="BX111" s="334"/>
      <c r="BY111" s="334"/>
      <c r="BZ111" s="334"/>
      <c r="CA111" s="334"/>
      <c r="CB111" s="334"/>
      <c r="CC111" s="334"/>
      <c r="CD111" s="334"/>
      <c r="CE111" s="334"/>
      <c r="CF111" s="334"/>
      <c r="CG111" s="334"/>
      <c r="CH111" s="334"/>
    </row>
    <row r="112" spans="2:86" s="332" customFormat="1" ht="11.25" x14ac:dyDescent="0.2">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V112" s="334"/>
      <c r="BW112" s="334"/>
      <c r="BX112" s="334"/>
      <c r="BY112" s="334"/>
      <c r="BZ112" s="334"/>
      <c r="CA112" s="334"/>
      <c r="CB112" s="334"/>
      <c r="CC112" s="334"/>
      <c r="CD112" s="334"/>
      <c r="CE112" s="334"/>
      <c r="CF112" s="334"/>
      <c r="CG112" s="334"/>
      <c r="CH112" s="334"/>
    </row>
    <row r="113" spans="2:86" s="332" customFormat="1" ht="11.25" x14ac:dyDescent="0.2">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V113" s="334"/>
      <c r="BW113" s="334"/>
      <c r="BX113" s="334"/>
      <c r="BY113" s="334"/>
      <c r="BZ113" s="334"/>
      <c r="CA113" s="334"/>
      <c r="CB113" s="334"/>
      <c r="CC113" s="334"/>
      <c r="CD113" s="334"/>
      <c r="CE113" s="334"/>
      <c r="CF113" s="334"/>
      <c r="CG113" s="334"/>
      <c r="CH113" s="334"/>
    </row>
    <row r="114" spans="2:86" s="332" customFormat="1" ht="11.25" x14ac:dyDescent="0.2">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V114" s="334"/>
      <c r="BW114" s="334"/>
      <c r="BX114" s="334"/>
      <c r="BY114" s="334"/>
      <c r="BZ114" s="334"/>
      <c r="CA114" s="334"/>
      <c r="CB114" s="334"/>
      <c r="CC114" s="334"/>
      <c r="CD114" s="334"/>
      <c r="CE114" s="334"/>
      <c r="CF114" s="334"/>
      <c r="CG114" s="334"/>
      <c r="CH114" s="334"/>
    </row>
    <row r="115" spans="2:86" s="332" customFormat="1" ht="11.25" x14ac:dyDescent="0.2">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c r="BS115" s="328"/>
      <c r="BT115" s="328"/>
      <c r="BV115" s="334"/>
      <c r="BW115" s="334"/>
      <c r="BX115" s="334"/>
      <c r="BY115" s="334"/>
      <c r="BZ115" s="334"/>
      <c r="CA115" s="334"/>
      <c r="CB115" s="334"/>
      <c r="CC115" s="334"/>
      <c r="CD115" s="334"/>
      <c r="CE115" s="334"/>
      <c r="CF115" s="334"/>
      <c r="CG115" s="334"/>
      <c r="CH115" s="334"/>
    </row>
    <row r="116" spans="2:86" s="332" customFormat="1" ht="11.25" x14ac:dyDescent="0.2">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V116" s="334"/>
      <c r="BW116" s="334"/>
      <c r="BX116" s="334"/>
      <c r="BY116" s="334"/>
      <c r="BZ116" s="334"/>
      <c r="CA116" s="334"/>
      <c r="CB116" s="334"/>
      <c r="CC116" s="334"/>
      <c r="CD116" s="334"/>
      <c r="CE116" s="334"/>
      <c r="CF116" s="334"/>
      <c r="CG116" s="334"/>
      <c r="CH116" s="334"/>
    </row>
    <row r="117" spans="2:86" s="332" customFormat="1" ht="11.25" x14ac:dyDescent="0.2">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V117" s="334"/>
      <c r="BW117" s="334"/>
      <c r="BX117" s="334"/>
      <c r="BY117" s="334"/>
      <c r="BZ117" s="334"/>
      <c r="CA117" s="334"/>
      <c r="CB117" s="334"/>
      <c r="CC117" s="334"/>
      <c r="CD117" s="334"/>
      <c r="CE117" s="334"/>
      <c r="CF117" s="334"/>
      <c r="CG117" s="334"/>
      <c r="CH117" s="334"/>
    </row>
    <row r="118" spans="2:86" s="332" customFormat="1" ht="11.25" x14ac:dyDescent="0.2">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V118" s="334"/>
      <c r="BW118" s="334"/>
      <c r="BX118" s="334"/>
      <c r="BY118" s="334"/>
      <c r="BZ118" s="334"/>
      <c r="CA118" s="334"/>
      <c r="CB118" s="334"/>
      <c r="CC118" s="334"/>
      <c r="CD118" s="334"/>
      <c r="CE118" s="334"/>
      <c r="CF118" s="334"/>
      <c r="CG118" s="334"/>
      <c r="CH118" s="334"/>
    </row>
    <row r="119" spans="2:86" s="332" customFormat="1" ht="11.25" x14ac:dyDescent="0.2">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V119" s="334"/>
      <c r="BW119" s="334"/>
      <c r="BX119" s="334"/>
      <c r="BY119" s="334"/>
      <c r="BZ119" s="334"/>
      <c r="CA119" s="334"/>
      <c r="CB119" s="334"/>
      <c r="CC119" s="334"/>
      <c r="CD119" s="334"/>
      <c r="CE119" s="334"/>
      <c r="CF119" s="334"/>
      <c r="CG119" s="334"/>
      <c r="CH119" s="334"/>
    </row>
    <row r="120" spans="2:86" s="332" customFormat="1" ht="11.25" x14ac:dyDescent="0.2">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c r="BS120" s="328"/>
      <c r="BT120" s="328"/>
      <c r="BV120" s="334"/>
      <c r="BW120" s="334"/>
      <c r="BX120" s="334"/>
      <c r="BY120" s="334"/>
      <c r="BZ120" s="334"/>
      <c r="CA120" s="334"/>
      <c r="CB120" s="334"/>
      <c r="CC120" s="334"/>
      <c r="CD120" s="334"/>
      <c r="CE120" s="334"/>
      <c r="CF120" s="334"/>
      <c r="CG120" s="334"/>
      <c r="CH120" s="334"/>
    </row>
    <row r="121" spans="2:86" s="332" customFormat="1" ht="11.25" x14ac:dyDescent="0.2">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V121" s="334"/>
      <c r="BW121" s="334"/>
      <c r="BX121" s="334"/>
      <c r="BY121" s="334"/>
      <c r="BZ121" s="334"/>
      <c r="CA121" s="334"/>
      <c r="CB121" s="334"/>
      <c r="CC121" s="334"/>
      <c r="CD121" s="334"/>
      <c r="CE121" s="334"/>
      <c r="CF121" s="334"/>
      <c r="CG121" s="334"/>
      <c r="CH121" s="334"/>
    </row>
    <row r="122" spans="2:86" s="332" customFormat="1" ht="11.25" x14ac:dyDescent="0.2">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V122" s="334"/>
      <c r="BW122" s="334"/>
      <c r="BX122" s="334"/>
      <c r="BY122" s="334"/>
      <c r="BZ122" s="334"/>
      <c r="CA122" s="334"/>
      <c r="CB122" s="334"/>
      <c r="CC122" s="334"/>
      <c r="CD122" s="334"/>
      <c r="CE122" s="334"/>
      <c r="CF122" s="334"/>
      <c r="CG122" s="334"/>
      <c r="CH122" s="334"/>
    </row>
    <row r="123" spans="2:86" s="332" customFormat="1" ht="11.25" x14ac:dyDescent="0.2">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V123" s="334"/>
      <c r="BW123" s="334"/>
      <c r="BX123" s="334"/>
      <c r="BY123" s="334"/>
      <c r="BZ123" s="334"/>
      <c r="CA123" s="334"/>
      <c r="CB123" s="334"/>
      <c r="CC123" s="334"/>
      <c r="CD123" s="334"/>
      <c r="CE123" s="334"/>
      <c r="CF123" s="334"/>
      <c r="CG123" s="334"/>
      <c r="CH123" s="334"/>
    </row>
    <row r="124" spans="2:86" s="332" customFormat="1" ht="11.25" x14ac:dyDescent="0.2">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H124" s="328"/>
      <c r="BI124" s="328"/>
      <c r="BJ124" s="328"/>
      <c r="BK124" s="328"/>
      <c r="BL124" s="328"/>
      <c r="BM124" s="328"/>
      <c r="BN124" s="328"/>
      <c r="BO124" s="328"/>
      <c r="BP124" s="328"/>
      <c r="BQ124" s="328"/>
      <c r="BR124" s="328"/>
      <c r="BS124" s="328"/>
      <c r="BT124" s="328"/>
      <c r="BV124" s="334"/>
      <c r="BW124" s="334"/>
      <c r="BX124" s="334"/>
      <c r="BY124" s="334"/>
      <c r="BZ124" s="334"/>
      <c r="CA124" s="334"/>
      <c r="CB124" s="334"/>
      <c r="CC124" s="334"/>
      <c r="CD124" s="334"/>
      <c r="CE124" s="334"/>
      <c r="CF124" s="334"/>
      <c r="CG124" s="334"/>
      <c r="CH124" s="334"/>
    </row>
    <row r="125" spans="2:86" s="332" customFormat="1" ht="11.25" x14ac:dyDescent="0.2">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c r="AT125" s="328"/>
      <c r="AU125" s="328"/>
      <c r="AV125" s="328"/>
      <c r="AW125" s="328"/>
      <c r="AX125" s="328"/>
      <c r="AY125" s="328"/>
      <c r="AZ125" s="328"/>
      <c r="BA125" s="328"/>
      <c r="BB125" s="328"/>
      <c r="BC125" s="328"/>
      <c r="BD125" s="328"/>
      <c r="BE125" s="328"/>
      <c r="BF125" s="328"/>
      <c r="BG125" s="328"/>
      <c r="BH125" s="328"/>
      <c r="BI125" s="328"/>
      <c r="BJ125" s="328"/>
      <c r="BK125" s="328"/>
      <c r="BL125" s="328"/>
      <c r="BM125" s="328"/>
      <c r="BN125" s="328"/>
      <c r="BO125" s="328"/>
      <c r="BP125" s="328"/>
      <c r="BQ125" s="328"/>
      <c r="BR125" s="328"/>
      <c r="BS125" s="328"/>
      <c r="BT125" s="328"/>
      <c r="BV125" s="334"/>
      <c r="BW125" s="334"/>
      <c r="BX125" s="334"/>
      <c r="BY125" s="334"/>
      <c r="BZ125" s="334"/>
      <c r="CA125" s="334"/>
      <c r="CB125" s="334"/>
      <c r="CC125" s="334"/>
      <c r="CD125" s="334"/>
      <c r="CE125" s="334"/>
      <c r="CF125" s="334"/>
      <c r="CG125" s="334"/>
      <c r="CH125" s="334"/>
    </row>
    <row r="126" spans="2:86" s="332" customFormat="1" ht="11.25" x14ac:dyDescent="0.2">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V126" s="334"/>
      <c r="BW126" s="334"/>
      <c r="BX126" s="334"/>
      <c r="BY126" s="334"/>
      <c r="BZ126" s="334"/>
      <c r="CA126" s="334"/>
      <c r="CB126" s="334"/>
      <c r="CC126" s="334"/>
      <c r="CD126" s="334"/>
      <c r="CE126" s="334"/>
      <c r="CF126" s="334"/>
      <c r="CG126" s="334"/>
      <c r="CH126" s="334"/>
    </row>
    <row r="127" spans="2:86" s="332" customFormat="1" ht="11.25" x14ac:dyDescent="0.2">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V127" s="334"/>
      <c r="BW127" s="334"/>
      <c r="BX127" s="334"/>
      <c r="BY127" s="334"/>
      <c r="BZ127" s="334"/>
      <c r="CA127" s="334"/>
      <c r="CB127" s="334"/>
      <c r="CC127" s="334"/>
      <c r="CD127" s="334"/>
      <c r="CE127" s="334"/>
      <c r="CF127" s="334"/>
      <c r="CG127" s="334"/>
      <c r="CH127" s="334"/>
    </row>
    <row r="128" spans="2:86" s="332" customFormat="1" ht="11.25" x14ac:dyDescent="0.2">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V128" s="334"/>
      <c r="BW128" s="334"/>
      <c r="BX128" s="334"/>
      <c r="BY128" s="334"/>
      <c r="BZ128" s="334"/>
      <c r="CA128" s="334"/>
      <c r="CB128" s="334"/>
      <c r="CC128" s="334"/>
      <c r="CD128" s="334"/>
      <c r="CE128" s="334"/>
      <c r="CF128" s="334"/>
      <c r="CG128" s="334"/>
      <c r="CH128" s="334"/>
    </row>
    <row r="129" spans="2:86" s="332" customFormat="1" ht="11.25" x14ac:dyDescent="0.2">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V129" s="334"/>
      <c r="BW129" s="334"/>
      <c r="BX129" s="334"/>
      <c r="BY129" s="334"/>
      <c r="BZ129" s="334"/>
      <c r="CA129" s="334"/>
      <c r="CB129" s="334"/>
      <c r="CC129" s="334"/>
      <c r="CD129" s="334"/>
      <c r="CE129" s="334"/>
      <c r="CF129" s="334"/>
      <c r="CG129" s="334"/>
      <c r="CH129" s="334"/>
    </row>
    <row r="130" spans="2:86" s="332" customFormat="1" ht="11.25" x14ac:dyDescent="0.2">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V130" s="334"/>
      <c r="BW130" s="334"/>
      <c r="BX130" s="334"/>
      <c r="BY130" s="334"/>
      <c r="BZ130" s="334"/>
      <c r="CA130" s="334"/>
      <c r="CB130" s="334"/>
      <c r="CC130" s="334"/>
      <c r="CD130" s="334"/>
      <c r="CE130" s="334"/>
      <c r="CF130" s="334"/>
      <c r="CG130" s="334"/>
      <c r="CH130" s="334"/>
    </row>
    <row r="131" spans="2:86" s="332" customFormat="1" ht="11.25" x14ac:dyDescent="0.2">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V131" s="334"/>
      <c r="BW131" s="334"/>
      <c r="BX131" s="334"/>
      <c r="BY131" s="334"/>
      <c r="BZ131" s="334"/>
      <c r="CA131" s="334"/>
      <c r="CB131" s="334"/>
      <c r="CC131" s="334"/>
      <c r="CD131" s="334"/>
      <c r="CE131" s="334"/>
      <c r="CF131" s="334"/>
      <c r="CG131" s="334"/>
      <c r="CH131" s="334"/>
    </row>
    <row r="132" spans="2:86" s="332" customFormat="1" ht="11.25" x14ac:dyDescent="0.2">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V132" s="334"/>
      <c r="BW132" s="334"/>
      <c r="BX132" s="334"/>
      <c r="BY132" s="334"/>
      <c r="BZ132" s="334"/>
      <c r="CA132" s="334"/>
      <c r="CB132" s="334"/>
      <c r="CC132" s="334"/>
      <c r="CD132" s="334"/>
      <c r="CE132" s="334"/>
      <c r="CF132" s="334"/>
      <c r="CG132" s="334"/>
      <c r="CH132" s="334"/>
    </row>
    <row r="133" spans="2:86" s="332" customFormat="1" ht="11.25" x14ac:dyDescent="0.2">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c r="AT133" s="328"/>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V133" s="334"/>
      <c r="BW133" s="334"/>
      <c r="BX133" s="334"/>
      <c r="BY133" s="334"/>
      <c r="BZ133" s="334"/>
      <c r="CA133" s="334"/>
      <c r="CB133" s="334"/>
      <c r="CC133" s="334"/>
      <c r="CD133" s="334"/>
      <c r="CE133" s="334"/>
      <c r="CF133" s="334"/>
      <c r="CG133" s="334"/>
      <c r="CH133" s="334"/>
    </row>
    <row r="134" spans="2:86" s="332" customFormat="1" ht="11.25" x14ac:dyDescent="0.2">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V134" s="334"/>
      <c r="BW134" s="334"/>
      <c r="BX134" s="334"/>
      <c r="BY134" s="334"/>
      <c r="BZ134" s="334"/>
      <c r="CA134" s="334"/>
      <c r="CB134" s="334"/>
      <c r="CC134" s="334"/>
      <c r="CD134" s="334"/>
      <c r="CE134" s="334"/>
      <c r="CF134" s="334"/>
      <c r="CG134" s="334"/>
      <c r="CH134" s="334"/>
    </row>
    <row r="135" spans="2:86" s="332" customFormat="1" ht="11.25" x14ac:dyDescent="0.2">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c r="AT135" s="328"/>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V135" s="334"/>
      <c r="BW135" s="334"/>
      <c r="BX135" s="334"/>
      <c r="BY135" s="334"/>
      <c r="BZ135" s="334"/>
      <c r="CA135" s="334"/>
      <c r="CB135" s="334"/>
      <c r="CC135" s="334"/>
      <c r="CD135" s="334"/>
      <c r="CE135" s="334"/>
      <c r="CF135" s="334"/>
      <c r="CG135" s="334"/>
      <c r="CH135" s="334"/>
    </row>
    <row r="136" spans="2:86" s="332" customFormat="1" ht="11.25" x14ac:dyDescent="0.2">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V136" s="334"/>
      <c r="BW136" s="334"/>
      <c r="BX136" s="334"/>
      <c r="BY136" s="334"/>
      <c r="BZ136" s="334"/>
      <c r="CA136" s="334"/>
      <c r="CB136" s="334"/>
      <c r="CC136" s="334"/>
      <c r="CD136" s="334"/>
      <c r="CE136" s="334"/>
      <c r="CF136" s="334"/>
      <c r="CG136" s="334"/>
      <c r="CH136" s="334"/>
    </row>
    <row r="137" spans="2:86" s="332" customFormat="1" ht="11.25" x14ac:dyDescent="0.2">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V137" s="334"/>
      <c r="BW137" s="334"/>
      <c r="BX137" s="334"/>
      <c r="BY137" s="334"/>
      <c r="BZ137" s="334"/>
      <c r="CA137" s="334"/>
      <c r="CB137" s="334"/>
      <c r="CC137" s="334"/>
      <c r="CD137" s="334"/>
      <c r="CE137" s="334"/>
      <c r="CF137" s="334"/>
      <c r="CG137" s="334"/>
      <c r="CH137" s="334"/>
    </row>
    <row r="138" spans="2:86" s="332" customFormat="1" ht="11.25" x14ac:dyDescent="0.2">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V138" s="334"/>
      <c r="BW138" s="334"/>
      <c r="BX138" s="334"/>
      <c r="BY138" s="334"/>
      <c r="BZ138" s="334"/>
      <c r="CA138" s="334"/>
      <c r="CB138" s="334"/>
      <c r="CC138" s="334"/>
      <c r="CD138" s="334"/>
      <c r="CE138" s="334"/>
      <c r="CF138" s="334"/>
      <c r="CG138" s="334"/>
      <c r="CH138" s="334"/>
    </row>
    <row r="139" spans="2:86" s="332" customFormat="1" ht="11.25" x14ac:dyDescent="0.2">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V139" s="334"/>
      <c r="BW139" s="334"/>
      <c r="BX139" s="334"/>
      <c r="BY139" s="334"/>
      <c r="BZ139" s="334"/>
      <c r="CA139" s="334"/>
      <c r="CB139" s="334"/>
      <c r="CC139" s="334"/>
      <c r="CD139" s="334"/>
      <c r="CE139" s="334"/>
      <c r="CF139" s="334"/>
      <c r="CG139" s="334"/>
      <c r="CH139" s="334"/>
    </row>
    <row r="140" spans="2:86" s="332" customFormat="1" ht="11.25" x14ac:dyDescent="0.2">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V140" s="334"/>
      <c r="BW140" s="334"/>
      <c r="BX140" s="334"/>
      <c r="BY140" s="334"/>
      <c r="BZ140" s="334"/>
      <c r="CA140" s="334"/>
      <c r="CB140" s="334"/>
      <c r="CC140" s="334"/>
      <c r="CD140" s="334"/>
      <c r="CE140" s="334"/>
      <c r="CF140" s="334"/>
      <c r="CG140" s="334"/>
      <c r="CH140" s="334"/>
    </row>
    <row r="141" spans="2:86" s="332" customFormat="1" ht="11.25" x14ac:dyDescent="0.2">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V141" s="334"/>
      <c r="BW141" s="334"/>
      <c r="BX141" s="334"/>
      <c r="BY141" s="334"/>
      <c r="BZ141" s="334"/>
      <c r="CA141" s="334"/>
      <c r="CB141" s="334"/>
      <c r="CC141" s="334"/>
      <c r="CD141" s="334"/>
      <c r="CE141" s="334"/>
      <c r="CF141" s="334"/>
      <c r="CG141" s="334"/>
      <c r="CH141" s="334"/>
    </row>
    <row r="142" spans="2:86" s="332" customFormat="1" ht="11.25" x14ac:dyDescent="0.2">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V142" s="334"/>
      <c r="BW142" s="334"/>
      <c r="BX142" s="334"/>
      <c r="BY142" s="334"/>
      <c r="BZ142" s="334"/>
      <c r="CA142" s="334"/>
      <c r="CB142" s="334"/>
      <c r="CC142" s="334"/>
      <c r="CD142" s="334"/>
      <c r="CE142" s="334"/>
      <c r="CF142" s="334"/>
      <c r="CG142" s="334"/>
      <c r="CH142" s="334"/>
    </row>
    <row r="143" spans="2:86" s="332" customFormat="1" ht="11.25" x14ac:dyDescent="0.2">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V143" s="334"/>
      <c r="BW143" s="334"/>
      <c r="BX143" s="334"/>
      <c r="BY143" s="334"/>
      <c r="BZ143" s="334"/>
      <c r="CA143" s="334"/>
      <c r="CB143" s="334"/>
      <c r="CC143" s="334"/>
      <c r="CD143" s="334"/>
      <c r="CE143" s="334"/>
      <c r="CF143" s="334"/>
      <c r="CG143" s="334"/>
      <c r="CH143" s="334"/>
    </row>
    <row r="144" spans="2:86" s="332" customFormat="1" ht="11.25" x14ac:dyDescent="0.2">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8"/>
      <c r="BV144" s="334"/>
      <c r="BW144" s="334"/>
      <c r="BX144" s="334"/>
      <c r="BY144" s="334"/>
      <c r="BZ144" s="334"/>
      <c r="CA144" s="334"/>
      <c r="CB144" s="334"/>
      <c r="CC144" s="334"/>
      <c r="CD144" s="334"/>
      <c r="CE144" s="334"/>
      <c r="CF144" s="334"/>
      <c r="CG144" s="334"/>
      <c r="CH144" s="334"/>
    </row>
    <row r="145" spans="2:86" s="332" customFormat="1" ht="11.25" x14ac:dyDescent="0.2">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8"/>
      <c r="AW145" s="328"/>
      <c r="AX145" s="328"/>
      <c r="AY145" s="328"/>
      <c r="AZ145" s="328"/>
      <c r="BA145" s="328"/>
      <c r="BB145" s="328"/>
      <c r="BC145" s="328"/>
      <c r="BD145" s="328"/>
      <c r="BE145" s="328"/>
      <c r="BF145" s="328"/>
      <c r="BG145" s="328"/>
      <c r="BH145" s="328"/>
      <c r="BI145" s="328"/>
      <c r="BJ145" s="328"/>
      <c r="BK145" s="328"/>
      <c r="BL145" s="328"/>
      <c r="BM145" s="328"/>
      <c r="BN145" s="328"/>
      <c r="BO145" s="328"/>
      <c r="BP145" s="328"/>
      <c r="BQ145" s="328"/>
      <c r="BR145" s="328"/>
      <c r="BS145" s="328"/>
      <c r="BT145" s="328"/>
      <c r="BV145" s="334"/>
      <c r="BW145" s="334"/>
      <c r="BX145" s="334"/>
      <c r="BY145" s="334"/>
      <c r="BZ145" s="334"/>
      <c r="CA145" s="334"/>
      <c r="CB145" s="334"/>
      <c r="CC145" s="334"/>
      <c r="CD145" s="334"/>
      <c r="CE145" s="334"/>
      <c r="CF145" s="334"/>
      <c r="CG145" s="334"/>
      <c r="CH145" s="334"/>
    </row>
    <row r="146" spans="2:86" s="332" customFormat="1" ht="11.25" x14ac:dyDescent="0.2">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V146" s="334"/>
      <c r="BW146" s="334"/>
      <c r="BX146" s="334"/>
      <c r="BY146" s="334"/>
      <c r="BZ146" s="334"/>
      <c r="CA146" s="334"/>
      <c r="CB146" s="334"/>
      <c r="CC146" s="334"/>
      <c r="CD146" s="334"/>
      <c r="CE146" s="334"/>
      <c r="CF146" s="334"/>
      <c r="CG146" s="334"/>
      <c r="CH146" s="334"/>
    </row>
    <row r="147" spans="2:86" s="332" customFormat="1" ht="11.25" x14ac:dyDescent="0.2">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V147" s="334"/>
      <c r="BW147" s="334"/>
      <c r="BX147" s="334"/>
      <c r="BY147" s="334"/>
      <c r="BZ147" s="334"/>
      <c r="CA147" s="334"/>
      <c r="CB147" s="334"/>
      <c r="CC147" s="334"/>
      <c r="CD147" s="334"/>
      <c r="CE147" s="334"/>
      <c r="CF147" s="334"/>
      <c r="CG147" s="334"/>
      <c r="CH147" s="334"/>
    </row>
    <row r="148" spans="2:86" s="332" customFormat="1" ht="11.25" x14ac:dyDescent="0.2">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V148" s="334"/>
      <c r="BW148" s="334"/>
      <c r="BX148" s="334"/>
      <c r="BY148" s="334"/>
      <c r="BZ148" s="334"/>
      <c r="CA148" s="334"/>
      <c r="CB148" s="334"/>
      <c r="CC148" s="334"/>
      <c r="CD148" s="334"/>
      <c r="CE148" s="334"/>
      <c r="CF148" s="334"/>
      <c r="CG148" s="334"/>
      <c r="CH148" s="334"/>
    </row>
    <row r="149" spans="2:86" s="332" customFormat="1" ht="11.25" x14ac:dyDescent="0.2">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28"/>
      <c r="BT149" s="328"/>
      <c r="BV149" s="334"/>
      <c r="BW149" s="334"/>
      <c r="BX149" s="334"/>
      <c r="BY149" s="334"/>
      <c r="BZ149" s="334"/>
      <c r="CA149" s="334"/>
      <c r="CB149" s="334"/>
      <c r="CC149" s="334"/>
      <c r="CD149" s="334"/>
      <c r="CE149" s="334"/>
      <c r="CF149" s="334"/>
      <c r="CG149" s="334"/>
      <c r="CH149" s="334"/>
    </row>
    <row r="150" spans="2:86" s="332" customFormat="1" ht="11.25" x14ac:dyDescent="0.2">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c r="AY150" s="328"/>
      <c r="AZ150" s="328"/>
      <c r="BA150" s="328"/>
      <c r="BB150" s="328"/>
      <c r="BC150" s="328"/>
      <c r="BD150" s="328"/>
      <c r="BE150" s="328"/>
      <c r="BF150" s="328"/>
      <c r="BG150" s="328"/>
      <c r="BH150" s="328"/>
      <c r="BI150" s="328"/>
      <c r="BJ150" s="328"/>
      <c r="BK150" s="328"/>
      <c r="BL150" s="328"/>
      <c r="BM150" s="328"/>
      <c r="BN150" s="328"/>
      <c r="BO150" s="328"/>
      <c r="BP150" s="328"/>
      <c r="BQ150" s="328"/>
      <c r="BR150" s="328"/>
      <c r="BS150" s="328"/>
      <c r="BT150" s="328"/>
      <c r="BV150" s="334"/>
      <c r="BW150" s="334"/>
      <c r="BX150" s="334"/>
      <c r="BY150" s="334"/>
      <c r="BZ150" s="334"/>
      <c r="CA150" s="334"/>
      <c r="CB150" s="334"/>
      <c r="CC150" s="334"/>
      <c r="CD150" s="334"/>
      <c r="CE150" s="334"/>
      <c r="CF150" s="334"/>
      <c r="CG150" s="334"/>
      <c r="CH150" s="334"/>
    </row>
    <row r="151" spans="2:86" s="332" customFormat="1" ht="11.25" x14ac:dyDescent="0.2">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V151" s="334"/>
      <c r="BW151" s="334"/>
      <c r="BX151" s="334"/>
      <c r="BY151" s="334"/>
      <c r="BZ151" s="334"/>
      <c r="CA151" s="334"/>
      <c r="CB151" s="334"/>
      <c r="CC151" s="334"/>
      <c r="CD151" s="334"/>
      <c r="CE151" s="334"/>
      <c r="CF151" s="334"/>
      <c r="CG151" s="334"/>
      <c r="CH151" s="334"/>
    </row>
    <row r="152" spans="2:86" s="332" customFormat="1" ht="11.25" x14ac:dyDescent="0.2">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8"/>
      <c r="AN152" s="328"/>
      <c r="AO152" s="328"/>
      <c r="AP152" s="328"/>
      <c r="AQ152" s="328"/>
      <c r="AR152" s="328"/>
      <c r="AS152" s="328"/>
      <c r="AT152" s="328"/>
      <c r="AU152" s="328"/>
      <c r="AV152" s="328"/>
      <c r="AW152" s="328"/>
      <c r="AX152" s="328"/>
      <c r="AY152" s="328"/>
      <c r="AZ152" s="328"/>
      <c r="BA152" s="328"/>
      <c r="BB152" s="328"/>
      <c r="BC152" s="328"/>
      <c r="BD152" s="328"/>
      <c r="BE152" s="328"/>
      <c r="BF152" s="328"/>
      <c r="BG152" s="328"/>
      <c r="BH152" s="328"/>
      <c r="BI152" s="328"/>
      <c r="BJ152" s="328"/>
      <c r="BK152" s="328"/>
      <c r="BL152" s="328"/>
      <c r="BM152" s="328"/>
      <c r="BN152" s="328"/>
      <c r="BO152" s="328"/>
      <c r="BP152" s="328"/>
      <c r="BQ152" s="328"/>
      <c r="BR152" s="328"/>
      <c r="BS152" s="328"/>
      <c r="BT152" s="328"/>
      <c r="BV152" s="334"/>
      <c r="BW152" s="334"/>
      <c r="BX152" s="334"/>
      <c r="BY152" s="334"/>
      <c r="BZ152" s="334"/>
      <c r="CA152" s="334"/>
      <c r="CB152" s="334"/>
      <c r="CC152" s="334"/>
      <c r="CD152" s="334"/>
      <c r="CE152" s="334"/>
      <c r="CF152" s="334"/>
      <c r="CG152" s="334"/>
      <c r="CH152" s="334"/>
    </row>
    <row r="153" spans="2:86" s="332" customFormat="1" ht="11.25" x14ac:dyDescent="0.2">
      <c r="B153" s="328"/>
      <c r="C153" s="328"/>
      <c r="D153" s="378"/>
      <c r="E153" s="379" t="s">
        <v>1263</v>
      </c>
      <c r="F153" s="379"/>
      <c r="G153" s="379"/>
      <c r="H153" s="379"/>
      <c r="I153" s="380"/>
      <c r="J153" s="379"/>
      <c r="K153" s="379"/>
      <c r="L153" s="379"/>
      <c r="M153" s="379"/>
      <c r="N153" s="379"/>
      <c r="O153" s="381"/>
      <c r="P153" s="328"/>
      <c r="Q153" s="328"/>
      <c r="R153" s="328"/>
      <c r="S153" s="328"/>
      <c r="T153" s="328"/>
      <c r="U153" s="328"/>
      <c r="V153" s="328"/>
      <c r="W153" s="328"/>
      <c r="X153" s="328"/>
      <c r="Y153" s="328"/>
      <c r="Z153" s="328"/>
      <c r="AA153" s="328"/>
      <c r="AB153" s="328"/>
      <c r="AC153" s="328"/>
      <c r="AD153" s="328"/>
      <c r="AE153" s="328"/>
      <c r="AF153" s="328"/>
      <c r="AG153" s="328"/>
      <c r="AH153" s="328"/>
      <c r="AI153" s="328"/>
      <c r="AJ153" s="328"/>
      <c r="AK153" s="328"/>
      <c r="AL153" s="328"/>
      <c r="AM153" s="328"/>
      <c r="AN153" s="328"/>
      <c r="AO153" s="328"/>
      <c r="AP153" s="328"/>
      <c r="AQ153" s="328"/>
      <c r="AR153" s="328"/>
      <c r="AS153" s="328"/>
      <c r="AT153" s="328"/>
      <c r="AU153" s="328"/>
      <c r="AV153" s="328"/>
      <c r="AW153" s="328"/>
      <c r="AX153" s="328"/>
      <c r="AY153" s="328"/>
      <c r="AZ153" s="328"/>
      <c r="BA153" s="328"/>
      <c r="BB153" s="328"/>
      <c r="BC153" s="328"/>
      <c r="BD153" s="328"/>
      <c r="BE153" s="328"/>
      <c r="BF153" s="328"/>
      <c r="BG153" s="328"/>
      <c r="BH153" s="328"/>
      <c r="BI153" s="328"/>
      <c r="BJ153" s="328"/>
      <c r="BK153" s="328"/>
      <c r="BL153" s="328"/>
      <c r="BM153" s="328"/>
      <c r="BN153" s="328"/>
      <c r="BO153" s="328"/>
      <c r="BP153" s="328"/>
      <c r="BQ153" s="328"/>
      <c r="BR153" s="328"/>
      <c r="BS153" s="328"/>
      <c r="BT153" s="328"/>
      <c r="BV153" s="334"/>
      <c r="BW153" s="334"/>
      <c r="BX153" s="334"/>
      <c r="BY153" s="334"/>
      <c r="BZ153" s="334"/>
      <c r="CA153" s="334"/>
      <c r="CB153" s="334"/>
      <c r="CC153" s="334"/>
      <c r="CD153" s="334"/>
      <c r="CE153" s="334"/>
      <c r="CF153" s="334"/>
      <c r="CG153" s="334"/>
      <c r="CH153" s="334"/>
    </row>
    <row r="154" spans="2:86" s="331" customFormat="1" hidden="1" x14ac:dyDescent="0.2">
      <c r="B154" s="328"/>
      <c r="C154" s="328"/>
      <c r="D154" s="352"/>
      <c r="E154" s="353"/>
      <c r="F154" s="353"/>
      <c r="G154" s="352" t="str">
        <f>SB!X169</f>
        <v>Terrenos, construcciones y edificaciones</v>
      </c>
      <c r="H154" s="353"/>
      <c r="I154" s="375">
        <f t="shared" ref="I154:I159" si="0">SUMIF(G$5:G$10,G154,I$5:I$10)</f>
        <v>0</v>
      </c>
      <c r="J154" s="357"/>
      <c r="K154" s="376" t="str">
        <f t="shared" ref="K154:K159" si="1">E5</f>
        <v>Terreno</v>
      </c>
      <c r="L154" s="353"/>
      <c r="M154" s="355"/>
      <c r="N154" s="377">
        <f t="shared" ref="N154:N159" si="2">IF(G5=0,0,IF(G5=$G$154,I$168,IF(G5=$G$155,I$175,IF(G5=$G$156,J$156,IF(G5=$G$157,I$189,IF(G5=$G$158,I$196,IF(G5=$G$159,I$203,0)))))))</f>
        <v>0</v>
      </c>
      <c r="O154" s="355"/>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V154" s="45"/>
      <c r="BW154" s="45"/>
      <c r="BX154" s="45"/>
      <c r="BY154" s="45"/>
      <c r="BZ154" s="45"/>
      <c r="CA154" s="45"/>
      <c r="CB154" s="45"/>
      <c r="CC154" s="45"/>
      <c r="CD154" s="45"/>
      <c r="CE154" s="45"/>
      <c r="CF154" s="45"/>
      <c r="CG154" s="45"/>
      <c r="CH154" s="45"/>
    </row>
    <row r="155" spans="2:86" s="331" customFormat="1" hidden="1" x14ac:dyDescent="0.2">
      <c r="B155" s="329"/>
      <c r="C155" s="329"/>
      <c r="D155" s="356"/>
      <c r="E155" s="347"/>
      <c r="F155" s="347"/>
      <c r="G155" s="356" t="str">
        <f>SB!X170</f>
        <v>Otras instalaciones</v>
      </c>
      <c r="H155" s="347"/>
      <c r="I155" s="354">
        <f t="shared" si="0"/>
        <v>0</v>
      </c>
      <c r="J155" s="357"/>
      <c r="K155" s="346" t="str">
        <f t="shared" si="1"/>
        <v>Mobiliario</v>
      </c>
      <c r="L155" s="347"/>
      <c r="M155" s="348"/>
      <c r="N155" s="342">
        <f t="shared" si="2"/>
        <v>0</v>
      </c>
      <c r="O155" s="348"/>
      <c r="P155" s="325"/>
      <c r="Q155" s="325"/>
      <c r="R155" s="325"/>
      <c r="S155" s="325"/>
      <c r="T155" s="325"/>
      <c r="U155" s="325"/>
      <c r="V155" s="325"/>
      <c r="W155" s="325"/>
      <c r="X155" s="325"/>
      <c r="Y155" s="325"/>
      <c r="Z155" s="325"/>
      <c r="AA155" s="325"/>
      <c r="AB155" s="325"/>
      <c r="AC155" s="325"/>
      <c r="AD155" s="325"/>
      <c r="AE155" s="325"/>
      <c r="AF155" s="325"/>
      <c r="AG155" s="325"/>
      <c r="AH155" s="325"/>
      <c r="AI155" s="325"/>
      <c r="AJ155" s="325"/>
      <c r="AK155" s="325"/>
      <c r="AL155" s="325"/>
      <c r="AM155" s="325"/>
      <c r="AN155" s="325"/>
      <c r="AO155" s="325"/>
      <c r="AP155" s="325"/>
      <c r="AQ155" s="325"/>
      <c r="AR155" s="325"/>
      <c r="AS155" s="325"/>
      <c r="AT155" s="325"/>
      <c r="AU155" s="325"/>
      <c r="AV155" s="325"/>
      <c r="AW155" s="325"/>
      <c r="AX155" s="325"/>
      <c r="AY155" s="325"/>
      <c r="AZ155" s="325"/>
      <c r="BA155" s="325"/>
      <c r="BB155" s="325"/>
      <c r="BC155" s="325"/>
      <c r="BD155" s="325"/>
      <c r="BE155" s="325"/>
      <c r="BF155" s="325"/>
      <c r="BG155" s="325"/>
      <c r="BH155" s="325"/>
      <c r="BI155" s="325"/>
      <c r="BJ155" s="325"/>
      <c r="BK155" s="325"/>
      <c r="BL155" s="325"/>
      <c r="BM155" s="325"/>
      <c r="BN155" s="325"/>
      <c r="BO155" s="325"/>
      <c r="BP155" s="325"/>
      <c r="BQ155" s="325"/>
      <c r="BR155" s="325"/>
      <c r="BS155" s="325"/>
      <c r="BT155" s="325"/>
      <c r="BU155" s="45"/>
      <c r="BV155" s="45"/>
      <c r="BW155" s="45"/>
      <c r="BX155" s="45"/>
      <c r="BY155" s="45"/>
      <c r="BZ155" s="45"/>
      <c r="CA155" s="45"/>
      <c r="CB155" s="45"/>
      <c r="CC155" s="45"/>
      <c r="CD155" s="45"/>
      <c r="CE155" s="45"/>
      <c r="CF155" s="45"/>
      <c r="CG155" s="45"/>
      <c r="CH155" s="45"/>
    </row>
    <row r="156" spans="2:86" s="331" customFormat="1" hidden="1" x14ac:dyDescent="0.2">
      <c r="B156" s="329"/>
      <c r="C156" s="329"/>
      <c r="D156" s="356"/>
      <c r="E156" s="347"/>
      <c r="F156" s="347"/>
      <c r="G156" s="356" t="str">
        <f>SB!X171</f>
        <v>Maquinaria, utillaje y herramientas</v>
      </c>
      <c r="H156" s="347"/>
      <c r="I156" s="354">
        <f t="shared" si="0"/>
        <v>0</v>
      </c>
      <c r="J156" s="358">
        <v>3</v>
      </c>
      <c r="K156" s="346" t="str">
        <f t="shared" si="1"/>
        <v>Decoración</v>
      </c>
      <c r="L156" s="347"/>
      <c r="M156" s="348"/>
      <c r="N156" s="342">
        <f t="shared" si="2"/>
        <v>0</v>
      </c>
      <c r="O156" s="348"/>
      <c r="P156" s="325"/>
      <c r="Q156" s="325"/>
      <c r="R156" s="325"/>
      <c r="S156" s="325"/>
      <c r="T156" s="325"/>
      <c r="U156" s="325"/>
      <c r="V156" s="325"/>
      <c r="W156" s="325"/>
      <c r="X156" s="325"/>
      <c r="Y156" s="325"/>
      <c r="Z156" s="325"/>
      <c r="AA156" s="325"/>
      <c r="AB156" s="325"/>
      <c r="AC156" s="325"/>
      <c r="AD156" s="325"/>
      <c r="AE156" s="325"/>
      <c r="AF156" s="325"/>
      <c r="AG156" s="325"/>
      <c r="AH156" s="325"/>
      <c r="AI156" s="325"/>
      <c r="AJ156" s="325"/>
      <c r="AK156" s="325"/>
      <c r="AL156" s="325"/>
      <c r="AM156" s="325"/>
      <c r="AN156" s="325"/>
      <c r="AO156" s="325"/>
      <c r="AP156" s="325"/>
      <c r="AQ156" s="325"/>
      <c r="AR156" s="325"/>
      <c r="AS156" s="325"/>
      <c r="AT156" s="325"/>
      <c r="AU156" s="325"/>
      <c r="AV156" s="325"/>
      <c r="AW156" s="325"/>
      <c r="AX156" s="325"/>
      <c r="AY156" s="325"/>
      <c r="AZ156" s="325"/>
      <c r="BA156" s="325"/>
      <c r="BB156" s="325"/>
      <c r="BC156" s="325"/>
      <c r="BD156" s="325"/>
      <c r="BE156" s="325"/>
      <c r="BF156" s="325"/>
      <c r="BG156" s="325"/>
      <c r="BH156" s="325"/>
      <c r="BI156" s="325"/>
      <c r="BJ156" s="325"/>
      <c r="BK156" s="325"/>
      <c r="BL156" s="325"/>
      <c r="BM156" s="325"/>
      <c r="BN156" s="325"/>
      <c r="BO156" s="325"/>
      <c r="BP156" s="325"/>
      <c r="BQ156" s="325"/>
      <c r="BR156" s="325"/>
      <c r="BS156" s="325"/>
      <c r="BT156" s="325"/>
      <c r="BU156" s="45"/>
      <c r="BV156" s="45"/>
      <c r="BW156" s="45"/>
      <c r="BX156" s="45"/>
      <c r="BY156" s="45"/>
      <c r="BZ156" s="45"/>
      <c r="CA156" s="45"/>
      <c r="CB156" s="45"/>
      <c r="CC156" s="45"/>
      <c r="CD156" s="45"/>
      <c r="CE156" s="45"/>
      <c r="CF156" s="45"/>
      <c r="CG156" s="45"/>
      <c r="CH156" s="45"/>
    </row>
    <row r="157" spans="2:86" s="331" customFormat="1" hidden="1" x14ac:dyDescent="0.2">
      <c r="B157" s="329"/>
      <c r="C157" s="329"/>
      <c r="D157" s="356"/>
      <c r="E157" s="347"/>
      <c r="F157" s="347"/>
      <c r="G157" s="356" t="str">
        <f>SB!X172</f>
        <v>Vehículos y elementos de transporte</v>
      </c>
      <c r="H157" s="347"/>
      <c r="I157" s="354">
        <f t="shared" si="0"/>
        <v>0</v>
      </c>
      <c r="J157" s="357"/>
      <c r="K157" s="346" t="str">
        <f t="shared" si="1"/>
        <v>Furgoneta</v>
      </c>
      <c r="L157" s="347"/>
      <c r="M157" s="348"/>
      <c r="N157" s="342">
        <f t="shared" si="2"/>
        <v>0</v>
      </c>
      <c r="O157" s="348"/>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45"/>
      <c r="BV157" s="45"/>
      <c r="BW157" s="45"/>
      <c r="BX157" s="45"/>
      <c r="BY157" s="45"/>
      <c r="BZ157" s="45"/>
      <c r="CA157" s="45"/>
      <c r="CB157" s="45"/>
      <c r="CC157" s="45"/>
      <c r="CD157" s="45"/>
      <c r="CE157" s="45"/>
      <c r="CF157" s="45"/>
      <c r="CG157" s="45"/>
      <c r="CH157" s="45"/>
    </row>
    <row r="158" spans="2:86" s="331" customFormat="1" hidden="1" x14ac:dyDescent="0.2">
      <c r="B158" s="329"/>
      <c r="C158" s="329"/>
      <c r="D158" s="356"/>
      <c r="E158" s="347"/>
      <c r="F158" s="347"/>
      <c r="G158" s="356" t="str">
        <f>SB!X173</f>
        <v>Mobiliario y equipos oficina</v>
      </c>
      <c r="H158" s="347"/>
      <c r="I158" s="354">
        <f t="shared" si="0"/>
        <v>0</v>
      </c>
      <c r="J158" s="357"/>
      <c r="K158" s="346" t="str">
        <f t="shared" si="1"/>
        <v>Ordenadores, impresoras, cajas y soportes</v>
      </c>
      <c r="L158" s="347"/>
      <c r="M158" s="348"/>
      <c r="N158" s="342">
        <f t="shared" si="2"/>
        <v>0</v>
      </c>
      <c r="O158" s="348"/>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45"/>
      <c r="BV158" s="45"/>
      <c r="BW158" s="45"/>
      <c r="BX158" s="45"/>
      <c r="BY158" s="45"/>
      <c r="BZ158" s="45"/>
      <c r="CA158" s="45"/>
      <c r="CB158" s="45"/>
      <c r="CC158" s="45"/>
      <c r="CD158" s="45"/>
      <c r="CE158" s="45"/>
      <c r="CF158" s="45"/>
      <c r="CG158" s="45"/>
      <c r="CH158" s="45"/>
    </row>
    <row r="159" spans="2:86" s="331" customFormat="1" hidden="1" x14ac:dyDescent="0.2">
      <c r="B159" s="329"/>
      <c r="C159" s="329"/>
      <c r="D159" s="356"/>
      <c r="E159" s="347"/>
      <c r="F159" s="347"/>
      <c r="G159" s="359" t="str">
        <f>SB!X174</f>
        <v>Equipos informáticos</v>
      </c>
      <c r="H159" s="350"/>
      <c r="I159" s="354">
        <f t="shared" si="0"/>
        <v>0</v>
      </c>
      <c r="J159" s="360"/>
      <c r="K159" s="349" t="str">
        <f t="shared" si="1"/>
        <v>Equipamiento vario</v>
      </c>
      <c r="L159" s="350"/>
      <c r="M159" s="351"/>
      <c r="N159" s="342">
        <f t="shared" si="2"/>
        <v>0</v>
      </c>
      <c r="O159" s="348"/>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45"/>
      <c r="BV159" s="45"/>
      <c r="BW159" s="45"/>
      <c r="BX159" s="45"/>
      <c r="BY159" s="45"/>
      <c r="BZ159" s="45"/>
      <c r="CA159" s="45"/>
      <c r="CB159" s="45"/>
      <c r="CC159" s="45"/>
      <c r="CD159" s="45"/>
      <c r="CE159" s="45"/>
      <c r="CF159" s="45"/>
      <c r="CG159" s="45"/>
      <c r="CH159" s="45"/>
    </row>
    <row r="160" spans="2:86" s="331" customFormat="1" hidden="1" x14ac:dyDescent="0.2">
      <c r="B160" s="329"/>
      <c r="C160" s="329"/>
      <c r="D160" s="356"/>
      <c r="E160" s="347"/>
      <c r="F160" s="347"/>
      <c r="G160" s="347"/>
      <c r="H160" s="347"/>
      <c r="I160" s="347"/>
      <c r="J160" s="347"/>
      <c r="K160" s="347"/>
      <c r="L160" s="347"/>
      <c r="M160" s="347"/>
      <c r="N160" s="347"/>
      <c r="O160" s="348"/>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45"/>
      <c r="BV160" s="45"/>
      <c r="BW160" s="45"/>
      <c r="BX160" s="45"/>
      <c r="BY160" s="45"/>
      <c r="BZ160" s="45"/>
      <c r="CA160" s="45"/>
      <c r="CB160" s="45"/>
      <c r="CC160" s="45"/>
      <c r="CD160" s="45"/>
      <c r="CE160" s="45"/>
      <c r="CF160" s="45"/>
      <c r="CG160" s="45"/>
      <c r="CH160" s="45"/>
    </row>
    <row r="161" spans="2:86" s="331" customFormat="1" hidden="1" x14ac:dyDescent="0.2">
      <c r="B161" s="329"/>
      <c r="C161" s="329"/>
      <c r="D161" s="356"/>
      <c r="E161" s="347"/>
      <c r="F161" s="347"/>
      <c r="G161" s="361" t="str">
        <f>SB!X177</f>
        <v>Gastos de investigación y desarrollo</v>
      </c>
      <c r="H161" s="344"/>
      <c r="I161" s="354">
        <f>SUMIF(G$13:G$18,G161,I$13:I$18)</f>
        <v>0</v>
      </c>
      <c r="J161" s="358">
        <v>7</v>
      </c>
      <c r="K161" s="343" t="str">
        <f t="shared" ref="K161:K166" si="3">E13</f>
        <v>Página web</v>
      </c>
      <c r="L161" s="344"/>
      <c r="M161" s="345"/>
      <c r="N161" s="342">
        <f t="shared" ref="N161:N166" si="4">IF(G13=0,0,IF(G13=$G$161,J$161,IF(G13=$G$162,J$162,IF(G13=$G$163,J$163,IF(G13=$G$164,J$164,IF(G13=$G$165,J$165,0))))))</f>
        <v>0</v>
      </c>
      <c r="O161" s="348"/>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45"/>
      <c r="BV161" s="45"/>
      <c r="BW161" s="45"/>
      <c r="BX161" s="45"/>
      <c r="BY161" s="45"/>
      <c r="BZ161" s="45"/>
      <c r="CA161" s="45"/>
      <c r="CB161" s="45"/>
      <c r="CC161" s="45"/>
      <c r="CD161" s="45"/>
      <c r="CE161" s="45"/>
      <c r="CF161" s="45"/>
      <c r="CG161" s="45"/>
      <c r="CH161" s="45"/>
    </row>
    <row r="162" spans="2:86" s="331" customFormat="1" hidden="1" x14ac:dyDescent="0.2">
      <c r="B162" s="329"/>
      <c r="C162" s="329"/>
      <c r="D162" s="356"/>
      <c r="E162" s="347"/>
      <c r="F162" s="347"/>
      <c r="G162" s="356" t="str">
        <f>SB!X178</f>
        <v>Aplicaciones informáticas</v>
      </c>
      <c r="H162" s="347"/>
      <c r="I162" s="354">
        <f>SUMIF(G$13:G$18,G162,I$13:I$18)</f>
        <v>0</v>
      </c>
      <c r="J162" s="358">
        <v>8</v>
      </c>
      <c r="K162" s="346" t="str">
        <f t="shared" si="3"/>
        <v>Software standard</v>
      </c>
      <c r="L162" s="347"/>
      <c r="M162" s="348"/>
      <c r="N162" s="342">
        <f t="shared" si="4"/>
        <v>0</v>
      </c>
      <c r="O162" s="348"/>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45"/>
      <c r="BV162" s="45"/>
      <c r="BW162" s="45"/>
      <c r="BX162" s="45"/>
      <c r="BY162" s="45"/>
      <c r="BZ162" s="45"/>
      <c r="CA162" s="45"/>
      <c r="CB162" s="45"/>
      <c r="CC162" s="45"/>
      <c r="CD162" s="45"/>
      <c r="CE162" s="45"/>
      <c r="CF162" s="45"/>
      <c r="CG162" s="45"/>
      <c r="CH162" s="45"/>
    </row>
    <row r="163" spans="2:86" s="331" customFormat="1" hidden="1" x14ac:dyDescent="0.2">
      <c r="B163" s="329"/>
      <c r="C163" s="329"/>
      <c r="D163" s="356"/>
      <c r="E163" s="347"/>
      <c r="F163" s="347"/>
      <c r="G163" s="356" t="str">
        <f>SB!X179</f>
        <v>Licencias, patentes y marcas</v>
      </c>
      <c r="H163" s="347"/>
      <c r="I163" s="354">
        <f>SUMIF(G$13:G$18,G163,I$13:I$18)</f>
        <v>0</v>
      </c>
      <c r="J163" s="358">
        <v>9</v>
      </c>
      <c r="K163" s="346" t="str">
        <f t="shared" si="3"/>
        <v>Traspaso</v>
      </c>
      <c r="L163" s="347"/>
      <c r="M163" s="348"/>
      <c r="N163" s="342">
        <f t="shared" si="4"/>
        <v>0</v>
      </c>
      <c r="O163" s="348"/>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45"/>
      <c r="BV163" s="45"/>
      <c r="BW163" s="45"/>
      <c r="BX163" s="45"/>
      <c r="BY163" s="45"/>
      <c r="BZ163" s="45"/>
      <c r="CA163" s="339"/>
    </row>
    <row r="164" spans="2:86" s="331" customFormat="1" hidden="1" x14ac:dyDescent="0.2">
      <c r="B164" s="329"/>
      <c r="C164" s="329"/>
      <c r="D164" s="356"/>
      <c r="E164" s="347"/>
      <c r="F164" s="347"/>
      <c r="G164" s="356" t="str">
        <f>SB!X180</f>
        <v>Derechos de traspaso</v>
      </c>
      <c r="H164" s="347"/>
      <c r="I164" s="354">
        <f>SUMIF(G$13:G$18,G164,I$13:I$18)</f>
        <v>0</v>
      </c>
      <c r="J164" s="358">
        <v>10</v>
      </c>
      <c r="K164" s="346" t="str">
        <f t="shared" si="3"/>
        <v>Patentes y marca</v>
      </c>
      <c r="L164" s="347"/>
      <c r="M164" s="348"/>
      <c r="N164" s="342">
        <f t="shared" si="4"/>
        <v>0</v>
      </c>
      <c r="O164" s="348"/>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45"/>
      <c r="BV164" s="45"/>
      <c r="BW164" s="45"/>
      <c r="BX164" s="45"/>
      <c r="BY164" s="45"/>
      <c r="BZ164" s="45"/>
      <c r="CA164" s="339"/>
    </row>
    <row r="165" spans="2:86" s="331" customFormat="1" hidden="1" x14ac:dyDescent="0.2">
      <c r="B165" s="329"/>
      <c r="C165" s="329"/>
      <c r="D165" s="356"/>
      <c r="E165" s="347"/>
      <c r="F165" s="347"/>
      <c r="G165" s="356" t="str">
        <f>SB!X181</f>
        <v>Otros activos amortizables</v>
      </c>
      <c r="H165" s="347"/>
      <c r="I165" s="354">
        <f>SUMIF(G$13:G$18,G165,I$13:I$18)</f>
        <v>0</v>
      </c>
      <c r="J165" s="362">
        <v>11</v>
      </c>
      <c r="K165" s="346" t="str">
        <f t="shared" si="3"/>
        <v>Otros activos intangibles</v>
      </c>
      <c r="L165" s="347"/>
      <c r="M165" s="348"/>
      <c r="N165" s="342">
        <f t="shared" si="4"/>
        <v>0</v>
      </c>
      <c r="O165" s="348"/>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25"/>
      <c r="BJ165" s="325"/>
      <c r="BK165" s="325"/>
      <c r="BL165" s="325"/>
      <c r="BM165" s="325"/>
      <c r="BN165" s="325"/>
      <c r="BO165" s="325"/>
      <c r="BP165" s="325"/>
      <c r="BQ165" s="325"/>
      <c r="BR165" s="325"/>
      <c r="BS165" s="325"/>
      <c r="BT165" s="325"/>
      <c r="BU165" s="45"/>
      <c r="BV165" s="45"/>
      <c r="BW165" s="45"/>
      <c r="BX165" s="45"/>
      <c r="BY165" s="45"/>
      <c r="BZ165" s="45"/>
      <c r="CA165" s="339"/>
    </row>
    <row r="166" spans="2:86" s="331" customFormat="1" hidden="1" x14ac:dyDescent="0.2">
      <c r="B166" s="329"/>
      <c r="C166" s="329"/>
      <c r="D166" s="356"/>
      <c r="E166" s="347"/>
      <c r="F166" s="347"/>
      <c r="G166" s="359" t="str">
        <f>SB!$X$198</f>
        <v>Activos intangibles amortizables</v>
      </c>
      <c r="H166" s="350"/>
      <c r="I166" s="363">
        <f>SUM(I161:I165)</f>
        <v>0</v>
      </c>
      <c r="J166" s="351"/>
      <c r="K166" s="349" t="str">
        <f t="shared" si="3"/>
        <v>Activos intangibles 2</v>
      </c>
      <c r="L166" s="350"/>
      <c r="M166" s="351"/>
      <c r="N166" s="342">
        <f t="shared" si="4"/>
        <v>0</v>
      </c>
      <c r="O166" s="348"/>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45"/>
      <c r="BV166" s="45"/>
      <c r="BW166" s="45"/>
      <c r="BX166" s="45"/>
      <c r="BY166" s="45"/>
      <c r="BZ166" s="45"/>
      <c r="CA166" s="339"/>
    </row>
    <row r="167" spans="2:86" s="331" customFormat="1" hidden="1" x14ac:dyDescent="0.2">
      <c r="B167" s="329"/>
      <c r="C167" s="329"/>
      <c r="D167" s="356"/>
      <c r="E167" s="347"/>
      <c r="F167" s="347"/>
      <c r="G167" s="347"/>
      <c r="H167" s="347"/>
      <c r="I167" s="347"/>
      <c r="J167" s="347"/>
      <c r="K167" s="347"/>
      <c r="L167" s="347"/>
      <c r="M167" s="347"/>
      <c r="N167" s="347"/>
      <c r="O167" s="348"/>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45"/>
      <c r="BV167" s="45"/>
      <c r="BW167" s="45"/>
      <c r="BX167" s="45"/>
      <c r="BY167" s="45"/>
      <c r="BZ167" s="45"/>
      <c r="CA167" s="339"/>
    </row>
    <row r="168" spans="2:86" s="331" customFormat="1" hidden="1" x14ac:dyDescent="0.2">
      <c r="B168" s="329"/>
      <c r="C168" s="329"/>
      <c r="D168" s="356"/>
      <c r="E168" s="347"/>
      <c r="F168" s="347"/>
      <c r="G168" s="364" t="str">
        <f>$G$154</f>
        <v>Terrenos, construcciones y edificaciones</v>
      </c>
      <c r="H168" s="365"/>
      <c r="I168" s="366">
        <v>1</v>
      </c>
      <c r="J168" s="345"/>
      <c r="K168" s="347"/>
      <c r="L168" s="347"/>
      <c r="M168" s="347"/>
      <c r="N168" s="347"/>
      <c r="O168" s="348"/>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45"/>
      <c r="BV168" s="45"/>
      <c r="BW168" s="45"/>
      <c r="BX168" s="45"/>
      <c r="BY168" s="45"/>
      <c r="BZ168" s="45"/>
      <c r="CA168" s="339"/>
    </row>
    <row r="169" spans="2:86" s="331" customFormat="1" hidden="1" x14ac:dyDescent="0.2">
      <c r="B169" s="329"/>
      <c r="C169" s="329"/>
      <c r="D169" s="356"/>
      <c r="E169" s="347"/>
      <c r="F169" s="347"/>
      <c r="G169" s="356">
        <f>IF(N154=I168,E5,0)</f>
        <v>0</v>
      </c>
      <c r="H169" s="347"/>
      <c r="I169" s="367">
        <f>IF($N$154=$I$168,I$5,0)</f>
        <v>0</v>
      </c>
      <c r="J169" s="368">
        <f>IF($N$154=$I$168,J$5,0)</f>
        <v>0</v>
      </c>
      <c r="K169" s="347"/>
      <c r="L169" s="347"/>
      <c r="M169" s="347"/>
      <c r="N169" s="347"/>
      <c r="O169" s="348"/>
      <c r="P169" s="325"/>
      <c r="Q169" s="325"/>
      <c r="R169" s="325"/>
      <c r="S169" s="325"/>
      <c r="T169" s="325"/>
      <c r="U169" s="325"/>
      <c r="V169" s="325"/>
      <c r="W169" s="325"/>
      <c r="X169" s="325"/>
      <c r="Y169" s="325"/>
      <c r="Z169" s="325"/>
      <c r="AA169" s="325"/>
      <c r="AB169" s="325"/>
      <c r="AC169" s="325"/>
      <c r="AD169" s="325"/>
      <c r="AE169" s="325"/>
      <c r="AF169" s="325"/>
      <c r="AG169" s="325"/>
      <c r="AH169" s="325"/>
      <c r="AI169" s="325"/>
      <c r="AJ169" s="325"/>
      <c r="AK169" s="325"/>
      <c r="AL169" s="325"/>
      <c r="AM169" s="325"/>
      <c r="AN169" s="325"/>
      <c r="AO169" s="325"/>
      <c r="AP169" s="325"/>
      <c r="AQ169" s="325"/>
      <c r="AR169" s="325"/>
      <c r="AS169" s="325"/>
      <c r="AT169" s="325"/>
      <c r="AU169" s="325"/>
      <c r="AV169" s="325"/>
      <c r="AW169" s="325"/>
      <c r="AX169" s="325"/>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45"/>
      <c r="BV169" s="45"/>
      <c r="BW169" s="45"/>
      <c r="BX169" s="45"/>
      <c r="BY169" s="45"/>
      <c r="BZ169" s="45"/>
      <c r="CA169" s="339"/>
    </row>
    <row r="170" spans="2:86" s="331" customFormat="1" hidden="1" x14ac:dyDescent="0.2">
      <c r="B170" s="329"/>
      <c r="C170" s="329"/>
      <c r="D170" s="356"/>
      <c r="E170" s="347"/>
      <c r="F170" s="347"/>
      <c r="G170" s="356">
        <f>IF($N$155=I$168,E$6,0)</f>
        <v>0</v>
      </c>
      <c r="H170" s="347"/>
      <c r="I170" s="367">
        <f>IF($N$155=$I$168,I$6,0)</f>
        <v>0</v>
      </c>
      <c r="J170" s="368">
        <f>IF($N$155=$I$168,J$6,0)</f>
        <v>0</v>
      </c>
      <c r="K170" s="347"/>
      <c r="L170" s="347"/>
      <c r="M170" s="347"/>
      <c r="N170" s="347"/>
      <c r="O170" s="348"/>
      <c r="P170" s="325"/>
      <c r="Q170" s="325"/>
      <c r="R170" s="325"/>
      <c r="S170" s="325"/>
      <c r="T170" s="325"/>
      <c r="U170" s="325"/>
      <c r="V170" s="325"/>
      <c r="W170" s="325"/>
      <c r="X170" s="325"/>
      <c r="Y170" s="325"/>
      <c r="Z170" s="325"/>
      <c r="AA170" s="325"/>
      <c r="AB170" s="325"/>
      <c r="AC170" s="325"/>
      <c r="AD170" s="325"/>
      <c r="AE170" s="325"/>
      <c r="AF170" s="325"/>
      <c r="AG170" s="325"/>
      <c r="AH170" s="325"/>
      <c r="AI170" s="325"/>
      <c r="AJ170" s="325"/>
      <c r="AK170" s="325"/>
      <c r="AL170" s="325"/>
      <c r="AM170" s="325"/>
      <c r="AN170" s="325"/>
      <c r="AO170" s="325"/>
      <c r="AP170" s="325"/>
      <c r="AQ170" s="325"/>
      <c r="AR170" s="325"/>
      <c r="AS170" s="325"/>
      <c r="AT170" s="325"/>
      <c r="AU170" s="325"/>
      <c r="AV170" s="325"/>
      <c r="AW170" s="325"/>
      <c r="AX170" s="325"/>
      <c r="AY170" s="325"/>
      <c r="AZ170" s="325"/>
      <c r="BA170" s="325"/>
      <c r="BB170" s="325"/>
      <c r="BC170" s="325"/>
      <c r="BD170" s="325"/>
      <c r="BE170" s="325"/>
      <c r="BF170" s="325"/>
      <c r="BG170" s="325"/>
      <c r="BH170" s="325"/>
      <c r="BI170" s="325"/>
      <c r="BJ170" s="325"/>
      <c r="BK170" s="325"/>
      <c r="BL170" s="325"/>
      <c r="BM170" s="325"/>
      <c r="BN170" s="325"/>
      <c r="BO170" s="325"/>
      <c r="BP170" s="325"/>
      <c r="BQ170" s="325"/>
      <c r="BR170" s="325"/>
      <c r="BS170" s="325"/>
      <c r="BT170" s="325"/>
      <c r="BU170" s="45"/>
      <c r="BV170" s="45"/>
      <c r="BW170" s="45"/>
      <c r="BX170" s="45"/>
      <c r="BY170" s="45"/>
      <c r="BZ170" s="45"/>
      <c r="CA170" s="339"/>
    </row>
    <row r="171" spans="2:86" s="331" customFormat="1" hidden="1" x14ac:dyDescent="0.2">
      <c r="B171" s="329"/>
      <c r="C171" s="329"/>
      <c r="D171" s="356"/>
      <c r="E171" s="347"/>
      <c r="F171" s="347"/>
      <c r="G171" s="356">
        <f>IF($N$156=I$168,E$7,0)</f>
        <v>0</v>
      </c>
      <c r="H171" s="347"/>
      <c r="I171" s="367">
        <f>IF($N$156=$I$168,I$7,0)</f>
        <v>0</v>
      </c>
      <c r="J171" s="368">
        <f>IF($N$156=$I$168,J$7,0)</f>
        <v>0</v>
      </c>
      <c r="K171" s="347"/>
      <c r="L171" s="347"/>
      <c r="M171" s="347"/>
      <c r="N171" s="347"/>
      <c r="O171" s="348"/>
      <c r="P171" s="325"/>
      <c r="Q171" s="325"/>
      <c r="R171" s="325"/>
      <c r="S171" s="325"/>
      <c r="T171" s="325"/>
      <c r="U171" s="325"/>
      <c r="V171" s="325"/>
      <c r="W171" s="325"/>
      <c r="X171" s="325"/>
      <c r="Y171" s="325"/>
      <c r="Z171" s="325"/>
      <c r="AA171" s="325"/>
      <c r="AB171" s="325"/>
      <c r="AC171" s="325"/>
      <c r="AD171" s="325"/>
      <c r="AE171" s="325"/>
      <c r="AF171" s="325"/>
      <c r="AG171" s="325"/>
      <c r="AH171" s="325"/>
      <c r="AI171" s="325"/>
      <c r="AJ171" s="325"/>
      <c r="AK171" s="325"/>
      <c r="AL171" s="325"/>
      <c r="AM171" s="325"/>
      <c r="AN171" s="325"/>
      <c r="AO171" s="325"/>
      <c r="AP171" s="325"/>
      <c r="AQ171" s="325"/>
      <c r="AR171" s="325"/>
      <c r="AS171" s="325"/>
      <c r="AT171" s="325"/>
      <c r="AU171" s="325"/>
      <c r="AV171" s="325"/>
      <c r="AW171" s="325"/>
      <c r="AX171" s="325"/>
      <c r="AY171" s="325"/>
      <c r="AZ171" s="325"/>
      <c r="BA171" s="325"/>
      <c r="BB171" s="325"/>
      <c r="BC171" s="325"/>
      <c r="BD171" s="325"/>
      <c r="BE171" s="325"/>
      <c r="BF171" s="325"/>
      <c r="BG171" s="325"/>
      <c r="BH171" s="325"/>
      <c r="BI171" s="325"/>
      <c r="BJ171" s="325"/>
      <c r="BK171" s="325"/>
      <c r="BL171" s="325"/>
      <c r="BM171" s="325"/>
      <c r="BN171" s="325"/>
      <c r="BO171" s="325"/>
      <c r="BP171" s="325"/>
      <c r="BQ171" s="325"/>
      <c r="BR171" s="325"/>
      <c r="BS171" s="325"/>
      <c r="BT171" s="325"/>
      <c r="BU171" s="45"/>
      <c r="BV171" s="45"/>
      <c r="BW171" s="45"/>
      <c r="BX171" s="45"/>
      <c r="BY171" s="45"/>
      <c r="BZ171" s="45"/>
      <c r="CA171" s="339"/>
    </row>
    <row r="172" spans="2:86" s="331" customFormat="1" hidden="1" x14ac:dyDescent="0.2">
      <c r="B172" s="329"/>
      <c r="C172" s="329"/>
      <c r="D172" s="356"/>
      <c r="E172" s="347"/>
      <c r="F172" s="347"/>
      <c r="G172" s="356">
        <f>IF($N$157=I$168,E$8,0)</f>
        <v>0</v>
      </c>
      <c r="H172" s="347"/>
      <c r="I172" s="367">
        <f>IF($N$157=$I$168,I$8,0)</f>
        <v>0</v>
      </c>
      <c r="J172" s="368">
        <f>IF($N$157=$I$168,J$8,0)</f>
        <v>0</v>
      </c>
      <c r="K172" s="347"/>
      <c r="L172" s="347"/>
      <c r="M172" s="347"/>
      <c r="N172" s="347"/>
      <c r="O172" s="348"/>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25"/>
      <c r="BS172" s="325"/>
      <c r="BT172" s="325"/>
      <c r="BU172" s="45"/>
      <c r="BV172" s="45"/>
      <c r="BW172" s="45"/>
      <c r="BX172" s="45"/>
      <c r="BY172" s="45"/>
      <c r="BZ172" s="45"/>
      <c r="CA172" s="339"/>
    </row>
    <row r="173" spans="2:86" s="331" customFormat="1" hidden="1" x14ac:dyDescent="0.2">
      <c r="B173" s="329"/>
      <c r="C173" s="329"/>
      <c r="D173" s="356"/>
      <c r="E173" s="347"/>
      <c r="F173" s="347"/>
      <c r="G173" s="356">
        <f>IF($N$158=I$168,E$9,0)</f>
        <v>0</v>
      </c>
      <c r="H173" s="347"/>
      <c r="I173" s="367">
        <f>IF($N$158=$I$168,I$9,0)</f>
        <v>0</v>
      </c>
      <c r="J173" s="368">
        <f>IF($N$158=$I$168,J$9,0)</f>
        <v>0</v>
      </c>
      <c r="K173" s="347"/>
      <c r="L173" s="347"/>
      <c r="M173" s="347"/>
      <c r="N173" s="347"/>
      <c r="O173" s="348"/>
      <c r="P173" s="325"/>
      <c r="Q173" s="325"/>
      <c r="R173" s="325"/>
      <c r="S173" s="325"/>
      <c r="T173" s="325"/>
      <c r="U173" s="325"/>
      <c r="V173" s="325"/>
      <c r="W173" s="325"/>
      <c r="X173" s="325"/>
      <c r="Y173" s="325"/>
      <c r="Z173" s="325"/>
      <c r="AA173" s="325"/>
      <c r="AB173" s="325"/>
      <c r="AC173" s="325"/>
      <c r="AD173" s="325"/>
      <c r="AE173" s="325"/>
      <c r="AF173" s="325"/>
      <c r="AG173" s="325"/>
      <c r="AH173" s="325"/>
      <c r="AI173" s="325"/>
      <c r="AJ173" s="325"/>
      <c r="AK173" s="325"/>
      <c r="AL173" s="325"/>
      <c r="AM173" s="325"/>
      <c r="AN173" s="325"/>
      <c r="AO173" s="325"/>
      <c r="AP173" s="325"/>
      <c r="AQ173" s="325"/>
      <c r="AR173" s="325"/>
      <c r="AS173" s="325"/>
      <c r="AT173" s="325"/>
      <c r="AU173" s="325"/>
      <c r="AV173" s="325"/>
      <c r="AW173" s="325"/>
      <c r="AX173" s="325"/>
      <c r="AY173" s="325"/>
      <c r="AZ173" s="325"/>
      <c r="BA173" s="325"/>
      <c r="BB173" s="325"/>
      <c r="BC173" s="325"/>
      <c r="BD173" s="325"/>
      <c r="BE173" s="325"/>
      <c r="BF173" s="325"/>
      <c r="BG173" s="325"/>
      <c r="BH173" s="325"/>
      <c r="BI173" s="325"/>
      <c r="BJ173" s="325"/>
      <c r="BK173" s="325"/>
      <c r="BL173" s="325"/>
      <c r="BM173" s="325"/>
      <c r="BN173" s="325"/>
      <c r="BO173" s="325"/>
      <c r="BP173" s="325"/>
      <c r="BQ173" s="325"/>
      <c r="BR173" s="325"/>
      <c r="BS173" s="325"/>
      <c r="BT173" s="325"/>
      <c r="BU173" s="45"/>
      <c r="BV173" s="45"/>
      <c r="BW173" s="45"/>
      <c r="BX173" s="45"/>
      <c r="BY173" s="45"/>
      <c r="BZ173" s="45"/>
      <c r="CA173" s="339"/>
    </row>
    <row r="174" spans="2:86" s="331" customFormat="1" hidden="1" x14ac:dyDescent="0.2">
      <c r="B174" s="329"/>
      <c r="C174" s="329"/>
      <c r="D174" s="356"/>
      <c r="E174" s="347"/>
      <c r="F174" s="347"/>
      <c r="G174" s="359">
        <f>IF($N$159=I$168,E$10,0)</f>
        <v>0</v>
      </c>
      <c r="H174" s="350"/>
      <c r="I174" s="363">
        <f>IF($N$159=$I$168,I$10,0)</f>
        <v>0</v>
      </c>
      <c r="J174" s="369">
        <f>IF($N$159=$I$168,J$10,0)</f>
        <v>0</v>
      </c>
      <c r="K174" s="367"/>
      <c r="L174" s="347"/>
      <c r="M174" s="347"/>
      <c r="N174" s="347"/>
      <c r="O174" s="348"/>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25"/>
      <c r="BS174" s="325"/>
      <c r="BT174" s="325"/>
      <c r="BU174" s="45"/>
      <c r="BV174" s="45"/>
      <c r="BW174" s="45"/>
      <c r="BX174" s="45"/>
      <c r="BY174" s="45"/>
      <c r="BZ174" s="45"/>
      <c r="CA174" s="339"/>
    </row>
    <row r="175" spans="2:86" s="331" customFormat="1" hidden="1" x14ac:dyDescent="0.2">
      <c r="B175" s="329"/>
      <c r="C175" s="329"/>
      <c r="D175" s="356"/>
      <c r="E175" s="347"/>
      <c r="F175" s="347"/>
      <c r="G175" s="370" t="str">
        <f>$G$155</f>
        <v>Otras instalaciones</v>
      </c>
      <c r="H175" s="344"/>
      <c r="I175" s="358">
        <v>2</v>
      </c>
      <c r="J175" s="345"/>
      <c r="K175" s="347"/>
      <c r="L175" s="347"/>
      <c r="M175" s="347"/>
      <c r="N175" s="347"/>
      <c r="O175" s="348"/>
      <c r="P175" s="325"/>
      <c r="Q175" s="325"/>
      <c r="R175" s="325"/>
      <c r="S175" s="325"/>
      <c r="T175" s="325"/>
      <c r="U175" s="325"/>
      <c r="V175" s="325"/>
      <c r="W175" s="325"/>
      <c r="X175" s="325"/>
      <c r="Y175" s="325"/>
      <c r="Z175" s="325"/>
      <c r="AA175" s="325"/>
      <c r="AB175" s="325"/>
      <c r="AC175" s="325"/>
      <c r="AD175" s="325"/>
      <c r="AE175" s="325"/>
      <c r="AF175" s="325"/>
      <c r="AG175" s="325"/>
      <c r="AH175" s="325"/>
      <c r="AI175" s="325"/>
      <c r="AJ175" s="325"/>
      <c r="AK175" s="325"/>
      <c r="AL175" s="325"/>
      <c r="AM175" s="325"/>
      <c r="AN175" s="325"/>
      <c r="AO175" s="325"/>
      <c r="AP175" s="325"/>
      <c r="AQ175" s="325"/>
      <c r="AR175" s="325"/>
      <c r="AS175" s="325"/>
      <c r="AT175" s="325"/>
      <c r="AU175" s="325"/>
      <c r="AV175" s="325"/>
      <c r="AW175" s="325"/>
      <c r="AX175" s="325"/>
      <c r="AY175" s="325"/>
      <c r="AZ175" s="325"/>
      <c r="BA175" s="325"/>
      <c r="BB175" s="325"/>
      <c r="BC175" s="325"/>
      <c r="BD175" s="325"/>
      <c r="BE175" s="325"/>
      <c r="BF175" s="325"/>
      <c r="BG175" s="325"/>
      <c r="BH175" s="325"/>
      <c r="BI175" s="325"/>
      <c r="BJ175" s="325"/>
      <c r="BK175" s="325"/>
      <c r="BL175" s="325"/>
      <c r="BM175" s="325"/>
      <c r="BN175" s="325"/>
      <c r="BO175" s="325"/>
      <c r="BP175" s="325"/>
      <c r="BQ175" s="325"/>
      <c r="BR175" s="325"/>
      <c r="BS175" s="325"/>
      <c r="BT175" s="325"/>
      <c r="BU175" s="45"/>
      <c r="BV175" s="45"/>
      <c r="BW175" s="45"/>
      <c r="BX175" s="45"/>
      <c r="BY175" s="45"/>
      <c r="BZ175" s="45"/>
      <c r="CA175" s="339"/>
    </row>
    <row r="176" spans="2:86" s="331" customFormat="1" hidden="1" x14ac:dyDescent="0.2">
      <c r="B176" s="329"/>
      <c r="C176" s="329"/>
      <c r="D176" s="356"/>
      <c r="E176" s="347"/>
      <c r="F176" s="347"/>
      <c r="G176" s="356">
        <f>IF(N$154=I175,E$5,0)</f>
        <v>0</v>
      </c>
      <c r="H176" s="347"/>
      <c r="I176" s="367">
        <f>IF(N154=$I$175,I$5,0)</f>
        <v>0</v>
      </c>
      <c r="J176" s="368">
        <f>IF(N$154=I175,J$5,0)</f>
        <v>0</v>
      </c>
      <c r="K176" s="347"/>
      <c r="L176" s="347"/>
      <c r="M176" s="347"/>
      <c r="N176" s="347"/>
      <c r="O176" s="348"/>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45"/>
      <c r="BV176" s="45"/>
      <c r="BW176" s="45"/>
      <c r="BX176" s="45"/>
      <c r="BY176" s="45"/>
      <c r="BZ176" s="45"/>
      <c r="CA176" s="339"/>
    </row>
    <row r="177" spans="2:79" s="331" customFormat="1" hidden="1" x14ac:dyDescent="0.2">
      <c r="B177" s="329"/>
      <c r="C177" s="329"/>
      <c r="D177" s="356"/>
      <c r="E177" s="347"/>
      <c r="F177" s="347"/>
      <c r="G177" s="356">
        <f>IF(N$155=I$175,E$6,0)</f>
        <v>0</v>
      </c>
      <c r="H177" s="347"/>
      <c r="I177" s="367">
        <f>IF(N155=$I$175,I$6,0)</f>
        <v>0</v>
      </c>
      <c r="J177" s="368">
        <f>IF(N$155=I175,J$6,0)</f>
        <v>0</v>
      </c>
      <c r="K177" s="347"/>
      <c r="L177" s="347"/>
      <c r="M177" s="347"/>
      <c r="N177" s="347"/>
      <c r="O177" s="348"/>
      <c r="P177" s="325"/>
      <c r="Q177" s="325"/>
      <c r="R177" s="325"/>
      <c r="S177" s="325"/>
      <c r="T177" s="325"/>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45"/>
      <c r="BV177" s="45"/>
      <c r="BW177" s="45"/>
      <c r="BX177" s="45"/>
      <c r="BY177" s="45"/>
      <c r="BZ177" s="45"/>
      <c r="CA177" s="339"/>
    </row>
    <row r="178" spans="2:79" s="331" customFormat="1" hidden="1" x14ac:dyDescent="0.2">
      <c r="B178" s="329"/>
      <c r="C178" s="329"/>
      <c r="D178" s="356"/>
      <c r="E178" s="347"/>
      <c r="F178" s="347"/>
      <c r="G178" s="356">
        <f>IF(N$156=I175,E$7,0)</f>
        <v>0</v>
      </c>
      <c r="H178" s="347"/>
      <c r="I178" s="367">
        <f>IF(N156=$I$175,I$7,0)</f>
        <v>0</v>
      </c>
      <c r="J178" s="368">
        <f>IF(N$156=I175,J$7,0)</f>
        <v>0</v>
      </c>
      <c r="K178" s="347"/>
      <c r="L178" s="347"/>
      <c r="M178" s="347"/>
      <c r="N178" s="347"/>
      <c r="O178" s="348"/>
      <c r="P178" s="325"/>
      <c r="Q178" s="325"/>
      <c r="R178" s="325"/>
      <c r="S178" s="325"/>
      <c r="T178" s="325"/>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45"/>
      <c r="BV178" s="45"/>
      <c r="BW178" s="45"/>
      <c r="BX178" s="45"/>
      <c r="BY178" s="45"/>
      <c r="BZ178" s="45"/>
      <c r="CA178" s="339"/>
    </row>
    <row r="179" spans="2:79" s="331" customFormat="1" hidden="1" x14ac:dyDescent="0.2">
      <c r="B179" s="329"/>
      <c r="C179" s="329"/>
      <c r="D179" s="356"/>
      <c r="E179" s="347"/>
      <c r="F179" s="347"/>
      <c r="G179" s="356">
        <f>IF(N$157=I175,E$8,0)</f>
        <v>0</v>
      </c>
      <c r="H179" s="347"/>
      <c r="I179" s="367">
        <f>IF(N157=$I$175,I$8,0)</f>
        <v>0</v>
      </c>
      <c r="J179" s="368">
        <f>IF(N$157=I175,J$8,0)</f>
        <v>0</v>
      </c>
      <c r="K179" s="347"/>
      <c r="L179" s="347"/>
      <c r="M179" s="347"/>
      <c r="N179" s="347"/>
      <c r="O179" s="348"/>
      <c r="P179" s="325"/>
      <c r="Q179" s="325"/>
      <c r="R179" s="325"/>
      <c r="S179" s="325"/>
      <c r="T179" s="325"/>
      <c r="U179" s="325"/>
      <c r="V179" s="325"/>
      <c r="W179" s="325"/>
      <c r="X179" s="325"/>
      <c r="Y179" s="325"/>
      <c r="Z179" s="325"/>
      <c r="AA179" s="325"/>
      <c r="AB179" s="325"/>
      <c r="AC179" s="325"/>
      <c r="AD179" s="325"/>
      <c r="AE179" s="325"/>
      <c r="AF179" s="325"/>
      <c r="AG179" s="325"/>
      <c r="AH179" s="325"/>
      <c r="AI179" s="325"/>
      <c r="AJ179" s="325"/>
      <c r="AK179" s="325"/>
      <c r="AL179" s="325"/>
      <c r="AM179" s="325"/>
      <c r="AN179" s="325"/>
      <c r="AO179" s="325"/>
      <c r="AP179" s="325"/>
      <c r="AQ179" s="325"/>
      <c r="AR179" s="325"/>
      <c r="AS179" s="325"/>
      <c r="AT179" s="325"/>
      <c r="AU179" s="325"/>
      <c r="AV179" s="325"/>
      <c r="AW179" s="325"/>
      <c r="AX179" s="325"/>
      <c r="AY179" s="325"/>
      <c r="AZ179" s="325"/>
      <c r="BA179" s="325"/>
      <c r="BB179" s="325"/>
      <c r="BC179" s="325"/>
      <c r="BD179" s="325"/>
      <c r="BE179" s="325"/>
      <c r="BF179" s="325"/>
      <c r="BG179" s="325"/>
      <c r="BH179" s="325"/>
      <c r="BI179" s="325"/>
      <c r="BJ179" s="325"/>
      <c r="BK179" s="325"/>
      <c r="BL179" s="325"/>
      <c r="BM179" s="325"/>
      <c r="BN179" s="325"/>
      <c r="BO179" s="325"/>
      <c r="BP179" s="325"/>
      <c r="BQ179" s="325"/>
      <c r="BR179" s="325"/>
      <c r="BS179" s="325"/>
      <c r="BT179" s="325"/>
      <c r="BU179" s="45"/>
      <c r="BV179" s="45"/>
      <c r="BW179" s="45"/>
      <c r="BX179" s="45"/>
      <c r="BY179" s="45"/>
      <c r="BZ179" s="45"/>
      <c r="CA179" s="339"/>
    </row>
    <row r="180" spans="2:79" s="331" customFormat="1" hidden="1" x14ac:dyDescent="0.2">
      <c r="B180" s="329"/>
      <c r="C180" s="329"/>
      <c r="D180" s="356"/>
      <c r="E180" s="347"/>
      <c r="F180" s="347"/>
      <c r="G180" s="356">
        <f>IF(N$158=I175,E$9,0)</f>
        <v>0</v>
      </c>
      <c r="H180" s="347"/>
      <c r="I180" s="367">
        <f>IF(N158=$I$175,I$9,0)</f>
        <v>0</v>
      </c>
      <c r="J180" s="368">
        <f>IF(N$158=I175,J$9,0)</f>
        <v>0</v>
      </c>
      <c r="K180" s="347"/>
      <c r="L180" s="347"/>
      <c r="M180" s="347"/>
      <c r="N180" s="347"/>
      <c r="O180" s="348"/>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25"/>
      <c r="BS180" s="325"/>
      <c r="BT180" s="325"/>
      <c r="BU180" s="45"/>
      <c r="BV180" s="45"/>
      <c r="BW180" s="45"/>
      <c r="BX180" s="45"/>
      <c r="BY180" s="45"/>
      <c r="BZ180" s="45"/>
      <c r="CA180" s="339"/>
    </row>
    <row r="181" spans="2:79" s="331" customFormat="1" hidden="1" x14ac:dyDescent="0.2">
      <c r="B181" s="329"/>
      <c r="C181" s="329"/>
      <c r="D181" s="356"/>
      <c r="E181" s="347"/>
      <c r="F181" s="347"/>
      <c r="G181" s="359">
        <f>IF(N$159=I$175,E$10,0)</f>
        <v>0</v>
      </c>
      <c r="H181" s="350"/>
      <c r="I181" s="363">
        <f>IF(N159=$I$175,I$10,0)</f>
        <v>0</v>
      </c>
      <c r="J181" s="369">
        <f>IF(N$159=I175,J$10,0)</f>
        <v>0</v>
      </c>
      <c r="K181" s="347"/>
      <c r="L181" s="347"/>
      <c r="M181" s="347"/>
      <c r="N181" s="347"/>
      <c r="O181" s="348"/>
      <c r="P181" s="325"/>
      <c r="Q181" s="325"/>
      <c r="R181" s="325"/>
      <c r="S181" s="325"/>
      <c r="T181" s="325"/>
      <c r="U181" s="325"/>
      <c r="V181" s="325"/>
      <c r="W181" s="325"/>
      <c r="X181" s="325"/>
      <c r="Y181" s="325"/>
      <c r="Z181" s="325"/>
      <c r="AA181" s="325"/>
      <c r="AB181" s="325"/>
      <c r="AC181" s="325"/>
      <c r="AD181" s="325"/>
      <c r="AE181" s="325"/>
      <c r="AF181" s="325"/>
      <c r="AG181" s="325"/>
      <c r="AH181" s="325"/>
      <c r="AI181" s="325"/>
      <c r="AJ181" s="325"/>
      <c r="AK181" s="325"/>
      <c r="AL181" s="325"/>
      <c r="AM181" s="325"/>
      <c r="AN181" s="325"/>
      <c r="AO181" s="325"/>
      <c r="AP181" s="325"/>
      <c r="AQ181" s="325"/>
      <c r="AR181" s="325"/>
      <c r="AS181" s="325"/>
      <c r="AT181" s="325"/>
      <c r="AU181" s="325"/>
      <c r="AV181" s="325"/>
      <c r="AW181" s="325"/>
      <c r="AX181" s="325"/>
      <c r="AY181" s="325"/>
      <c r="AZ181" s="325"/>
      <c r="BA181" s="325"/>
      <c r="BB181" s="325"/>
      <c r="BC181" s="325"/>
      <c r="BD181" s="325"/>
      <c r="BE181" s="325"/>
      <c r="BF181" s="325"/>
      <c r="BG181" s="325"/>
      <c r="BH181" s="325"/>
      <c r="BI181" s="325"/>
      <c r="BJ181" s="325"/>
      <c r="BK181" s="325"/>
      <c r="BL181" s="325"/>
      <c r="BM181" s="325"/>
      <c r="BN181" s="325"/>
      <c r="BO181" s="325"/>
      <c r="BP181" s="325"/>
      <c r="BQ181" s="325"/>
      <c r="BR181" s="325"/>
      <c r="BS181" s="325"/>
      <c r="BT181" s="325"/>
      <c r="BU181" s="45"/>
      <c r="BV181" s="45"/>
      <c r="BW181" s="45"/>
      <c r="BX181" s="45"/>
      <c r="BY181" s="45"/>
      <c r="BZ181" s="45"/>
      <c r="CA181" s="339"/>
    </row>
    <row r="182" spans="2:79" s="331" customFormat="1" hidden="1" x14ac:dyDescent="0.2">
      <c r="B182" s="329"/>
      <c r="C182" s="329"/>
      <c r="D182" s="356"/>
      <c r="E182" s="347"/>
      <c r="F182" s="347"/>
      <c r="G182" s="370" t="str">
        <f>$G$156</f>
        <v>Maquinaria, utillaje y herramientas</v>
      </c>
      <c r="H182" s="344"/>
      <c r="I182" s="358">
        <v>3</v>
      </c>
      <c r="J182" s="345"/>
      <c r="K182" s="347"/>
      <c r="L182" s="347"/>
      <c r="M182" s="347"/>
      <c r="N182" s="347"/>
      <c r="O182" s="348"/>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25"/>
      <c r="BS182" s="325"/>
      <c r="BT182" s="325"/>
      <c r="BU182" s="45"/>
      <c r="BV182" s="45"/>
      <c r="BW182" s="45"/>
      <c r="BX182" s="45"/>
      <c r="BY182" s="45"/>
      <c r="BZ182" s="45"/>
      <c r="CA182" s="339"/>
    </row>
    <row r="183" spans="2:79" s="331" customFormat="1" hidden="1" x14ac:dyDescent="0.2">
      <c r="B183" s="329"/>
      <c r="C183" s="329"/>
      <c r="D183" s="356"/>
      <c r="E183" s="347"/>
      <c r="F183" s="347"/>
      <c r="G183" s="356">
        <f>IF(N$154=I182,E$5,0)</f>
        <v>0</v>
      </c>
      <c r="H183" s="347"/>
      <c r="I183" s="367">
        <f>IF(N$154=I182,I$5,0)</f>
        <v>0</v>
      </c>
      <c r="J183" s="368">
        <f>IF(N$154=I182,J$5,0)</f>
        <v>0</v>
      </c>
      <c r="K183" s="347"/>
      <c r="L183" s="347"/>
      <c r="M183" s="347"/>
      <c r="N183" s="347"/>
      <c r="O183" s="348"/>
      <c r="P183" s="325"/>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325"/>
      <c r="AO183" s="325"/>
      <c r="AP183" s="325"/>
      <c r="AQ183" s="325"/>
      <c r="AR183" s="325"/>
      <c r="AS183" s="325"/>
      <c r="AT183" s="325"/>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325"/>
      <c r="BP183" s="325"/>
      <c r="BQ183" s="325"/>
      <c r="BR183" s="325"/>
      <c r="BS183" s="325"/>
      <c r="BT183" s="325"/>
      <c r="BU183" s="45"/>
      <c r="BV183" s="45"/>
      <c r="BW183" s="45"/>
      <c r="BX183" s="45"/>
      <c r="BY183" s="45"/>
      <c r="BZ183" s="45"/>
      <c r="CA183" s="339"/>
    </row>
    <row r="184" spans="2:79" s="331" customFormat="1" hidden="1" x14ac:dyDescent="0.2">
      <c r="B184" s="329"/>
      <c r="C184" s="329"/>
      <c r="D184" s="356"/>
      <c r="E184" s="347"/>
      <c r="F184" s="347"/>
      <c r="G184" s="356">
        <f>IF(N$155=I182,E$6,0)</f>
        <v>0</v>
      </c>
      <c r="H184" s="347"/>
      <c r="I184" s="367">
        <f>IF(N$155=I182,I$6,0)</f>
        <v>0</v>
      </c>
      <c r="J184" s="368">
        <f>IF(N$155=I182,J$6,0)</f>
        <v>0</v>
      </c>
      <c r="K184" s="347"/>
      <c r="L184" s="347"/>
      <c r="M184" s="347"/>
      <c r="N184" s="347"/>
      <c r="O184" s="348"/>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45"/>
      <c r="BV184" s="45"/>
      <c r="BW184" s="45"/>
      <c r="BX184" s="45"/>
      <c r="BY184" s="45"/>
      <c r="BZ184" s="45"/>
      <c r="CA184" s="339"/>
    </row>
    <row r="185" spans="2:79" s="331" customFormat="1" hidden="1" x14ac:dyDescent="0.2">
      <c r="B185" s="329"/>
      <c r="C185" s="329"/>
      <c r="D185" s="356"/>
      <c r="E185" s="347"/>
      <c r="F185" s="347"/>
      <c r="G185" s="356">
        <f>IF(N$156=I182,E$7,0)</f>
        <v>0</v>
      </c>
      <c r="H185" s="347"/>
      <c r="I185" s="367">
        <f>IF(N$156=I182,I$7,0)</f>
        <v>0</v>
      </c>
      <c r="J185" s="368">
        <f>IF(N$156=I182,J$7,0)</f>
        <v>0</v>
      </c>
      <c r="K185" s="347"/>
      <c r="L185" s="347"/>
      <c r="M185" s="347"/>
      <c r="N185" s="347"/>
      <c r="O185" s="348"/>
      <c r="P185" s="325"/>
      <c r="Q185" s="325"/>
      <c r="R185" s="325"/>
      <c r="S185" s="325"/>
      <c r="T185" s="325"/>
      <c r="U185" s="325"/>
      <c r="V185" s="325"/>
      <c r="W185" s="325"/>
      <c r="X185" s="325"/>
      <c r="Y185" s="325"/>
      <c r="Z185" s="325"/>
      <c r="AA185" s="325"/>
      <c r="AB185" s="325"/>
      <c r="AC185" s="325"/>
      <c r="AD185" s="325"/>
      <c r="AE185" s="325"/>
      <c r="AF185" s="325"/>
      <c r="AG185" s="325"/>
      <c r="AH185" s="325"/>
      <c r="AI185" s="325"/>
      <c r="AJ185" s="325"/>
      <c r="AK185" s="325"/>
      <c r="AL185" s="325"/>
      <c r="AM185" s="325"/>
      <c r="AN185" s="325"/>
      <c r="AO185" s="325"/>
      <c r="AP185" s="325"/>
      <c r="AQ185" s="325"/>
      <c r="AR185" s="325"/>
      <c r="AS185" s="325"/>
      <c r="AT185" s="325"/>
      <c r="AU185" s="325"/>
      <c r="AV185" s="325"/>
      <c r="AW185" s="325"/>
      <c r="AX185" s="325"/>
      <c r="AY185" s="325"/>
      <c r="AZ185" s="325"/>
      <c r="BA185" s="325"/>
      <c r="BB185" s="325"/>
      <c r="BC185" s="325"/>
      <c r="BD185" s="325"/>
      <c r="BE185" s="325"/>
      <c r="BF185" s="325"/>
      <c r="BG185" s="325"/>
      <c r="BH185" s="325"/>
      <c r="BI185" s="325"/>
      <c r="BJ185" s="325"/>
      <c r="BK185" s="325"/>
      <c r="BL185" s="325"/>
      <c r="BM185" s="325"/>
      <c r="BN185" s="325"/>
      <c r="BO185" s="325"/>
      <c r="BP185" s="325"/>
      <c r="BQ185" s="325"/>
      <c r="BR185" s="325"/>
      <c r="BS185" s="325"/>
      <c r="BT185" s="325"/>
      <c r="BU185" s="45"/>
      <c r="BV185" s="45"/>
      <c r="BW185" s="45"/>
      <c r="BX185" s="45"/>
      <c r="BY185" s="45"/>
      <c r="BZ185" s="45"/>
      <c r="CA185" s="339"/>
    </row>
    <row r="186" spans="2:79" s="331" customFormat="1" hidden="1" x14ac:dyDescent="0.2">
      <c r="B186" s="329"/>
      <c r="C186" s="329"/>
      <c r="D186" s="356"/>
      <c r="E186" s="347"/>
      <c r="F186" s="347"/>
      <c r="G186" s="356">
        <f>IF(N$157=I182,E$8,0)</f>
        <v>0</v>
      </c>
      <c r="H186" s="347"/>
      <c r="I186" s="367">
        <f>IF(N$157=I182,I$8,0)</f>
        <v>0</v>
      </c>
      <c r="J186" s="368">
        <f>IF(N$157=I182,J$8,0)</f>
        <v>0</v>
      </c>
      <c r="K186" s="347"/>
      <c r="L186" s="347"/>
      <c r="M186" s="347"/>
      <c r="N186" s="347"/>
      <c r="O186" s="348"/>
      <c r="P186" s="325"/>
      <c r="Q186" s="325"/>
      <c r="R186" s="325"/>
      <c r="S186" s="325"/>
      <c r="T186" s="325"/>
      <c r="U186" s="325"/>
      <c r="V186" s="325"/>
      <c r="W186" s="325"/>
      <c r="X186" s="325"/>
      <c r="Y186" s="325"/>
      <c r="Z186" s="325"/>
      <c r="AA186" s="325"/>
      <c r="AB186" s="325"/>
      <c r="AC186" s="325"/>
      <c r="AD186" s="325"/>
      <c r="AE186" s="325"/>
      <c r="AF186" s="325"/>
      <c r="AG186" s="325"/>
      <c r="AH186" s="325"/>
      <c r="AI186" s="325"/>
      <c r="AJ186" s="325"/>
      <c r="AK186" s="325"/>
      <c r="AL186" s="325"/>
      <c r="AM186" s="325"/>
      <c r="AN186" s="325"/>
      <c r="AO186" s="325"/>
      <c r="AP186" s="325"/>
      <c r="AQ186" s="325"/>
      <c r="AR186" s="325"/>
      <c r="AS186" s="325"/>
      <c r="AT186" s="325"/>
      <c r="AU186" s="325"/>
      <c r="AV186" s="325"/>
      <c r="AW186" s="325"/>
      <c r="AX186" s="325"/>
      <c r="AY186" s="325"/>
      <c r="AZ186" s="325"/>
      <c r="BA186" s="325"/>
      <c r="BB186" s="325"/>
      <c r="BC186" s="325"/>
      <c r="BD186" s="325"/>
      <c r="BE186" s="325"/>
      <c r="BF186" s="325"/>
      <c r="BG186" s="325"/>
      <c r="BH186" s="325"/>
      <c r="BI186" s="325"/>
      <c r="BJ186" s="325"/>
      <c r="BK186" s="325"/>
      <c r="BL186" s="325"/>
      <c r="BM186" s="325"/>
      <c r="BN186" s="325"/>
      <c r="BO186" s="325"/>
      <c r="BP186" s="325"/>
      <c r="BQ186" s="325"/>
      <c r="BR186" s="325"/>
      <c r="BS186" s="325"/>
      <c r="BT186" s="325"/>
      <c r="BU186" s="45"/>
      <c r="BV186" s="45"/>
      <c r="BW186" s="45"/>
      <c r="BX186" s="45"/>
      <c r="BY186" s="45"/>
      <c r="BZ186" s="45"/>
      <c r="CA186" s="339"/>
    </row>
    <row r="187" spans="2:79" s="331" customFormat="1" hidden="1" x14ac:dyDescent="0.2">
      <c r="B187" s="329"/>
      <c r="C187" s="329"/>
      <c r="D187" s="356"/>
      <c r="E187" s="347"/>
      <c r="F187" s="347"/>
      <c r="G187" s="356">
        <f>IF(N$158=I182,E$9,0)</f>
        <v>0</v>
      </c>
      <c r="H187" s="347"/>
      <c r="I187" s="367">
        <f>IF(N$158=I182,I$9,0)</f>
        <v>0</v>
      </c>
      <c r="J187" s="368">
        <f>IF(N$158=I182,J$9,0)</f>
        <v>0</v>
      </c>
      <c r="K187" s="347"/>
      <c r="L187" s="347"/>
      <c r="M187" s="347"/>
      <c r="N187" s="347"/>
      <c r="O187" s="348"/>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25"/>
      <c r="BS187" s="325"/>
      <c r="BT187" s="325"/>
      <c r="BU187" s="45"/>
      <c r="BV187" s="45"/>
      <c r="BW187" s="45"/>
      <c r="BX187" s="45"/>
      <c r="BY187" s="45"/>
      <c r="BZ187" s="45"/>
      <c r="CA187" s="339"/>
    </row>
    <row r="188" spans="2:79" s="331" customFormat="1" hidden="1" x14ac:dyDescent="0.2">
      <c r="B188" s="329"/>
      <c r="C188" s="329"/>
      <c r="D188" s="356"/>
      <c r="E188" s="347"/>
      <c r="F188" s="347"/>
      <c r="G188" s="359">
        <f>IF(N$159=I182,E$10,0)</f>
        <v>0</v>
      </c>
      <c r="H188" s="350"/>
      <c r="I188" s="363">
        <f>IF(N$159=I182,I$10,0)</f>
        <v>0</v>
      </c>
      <c r="J188" s="369">
        <f>IF(N$159=I182,J$10,0)</f>
        <v>0</v>
      </c>
      <c r="K188" s="347"/>
      <c r="L188" s="347"/>
      <c r="M188" s="347"/>
      <c r="N188" s="347"/>
      <c r="O188" s="348"/>
      <c r="P188" s="325"/>
      <c r="Q188" s="325"/>
      <c r="R188" s="325"/>
      <c r="S188" s="325"/>
      <c r="T188" s="325"/>
      <c r="U188" s="325"/>
      <c r="V188" s="325"/>
      <c r="W188" s="325"/>
      <c r="X188" s="325"/>
      <c r="Y188" s="325"/>
      <c r="Z188" s="325"/>
      <c r="AA188" s="325"/>
      <c r="AB188" s="325"/>
      <c r="AC188" s="325"/>
      <c r="AD188" s="325"/>
      <c r="AE188" s="325"/>
      <c r="AF188" s="325"/>
      <c r="AG188" s="325"/>
      <c r="AH188" s="325"/>
      <c r="AI188" s="325"/>
      <c r="AJ188" s="325"/>
      <c r="AK188" s="325"/>
      <c r="AL188" s="325"/>
      <c r="AM188" s="325"/>
      <c r="AN188" s="325"/>
      <c r="AO188" s="325"/>
      <c r="AP188" s="325"/>
      <c r="AQ188" s="325"/>
      <c r="AR188" s="325"/>
      <c r="AS188" s="325"/>
      <c r="AT188" s="325"/>
      <c r="AU188" s="325"/>
      <c r="AV188" s="325"/>
      <c r="AW188" s="325"/>
      <c r="AX188" s="325"/>
      <c r="AY188" s="325"/>
      <c r="AZ188" s="325"/>
      <c r="BA188" s="325"/>
      <c r="BB188" s="325"/>
      <c r="BC188" s="325"/>
      <c r="BD188" s="325"/>
      <c r="BE188" s="325"/>
      <c r="BF188" s="325"/>
      <c r="BG188" s="325"/>
      <c r="BH188" s="325"/>
      <c r="BI188" s="325"/>
      <c r="BJ188" s="325"/>
      <c r="BK188" s="325"/>
      <c r="BL188" s="325"/>
      <c r="BM188" s="325"/>
      <c r="BN188" s="325"/>
      <c r="BO188" s="325"/>
      <c r="BP188" s="325"/>
      <c r="BQ188" s="325"/>
      <c r="BR188" s="325"/>
      <c r="BS188" s="325"/>
      <c r="BT188" s="325"/>
      <c r="BU188" s="45"/>
      <c r="BV188" s="45"/>
      <c r="BW188" s="45"/>
      <c r="BX188" s="45"/>
      <c r="BY188" s="45"/>
      <c r="BZ188" s="45"/>
      <c r="CA188" s="339"/>
    </row>
    <row r="189" spans="2:79" s="331" customFormat="1" hidden="1" x14ac:dyDescent="0.2">
      <c r="B189" s="329"/>
      <c r="C189" s="329"/>
      <c r="D189" s="356"/>
      <c r="E189" s="347"/>
      <c r="F189" s="347"/>
      <c r="G189" s="370" t="str">
        <f>$G$157</f>
        <v>Vehículos y elementos de transporte</v>
      </c>
      <c r="H189" s="344"/>
      <c r="I189" s="358">
        <v>4</v>
      </c>
      <c r="J189" s="345"/>
      <c r="K189" s="347"/>
      <c r="L189" s="347"/>
      <c r="M189" s="347"/>
      <c r="N189" s="347"/>
      <c r="O189" s="348"/>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325"/>
      <c r="BS189" s="325"/>
      <c r="BT189" s="325"/>
      <c r="BU189" s="45"/>
      <c r="BV189" s="45"/>
      <c r="BW189" s="45"/>
      <c r="BX189" s="45"/>
      <c r="BY189" s="45"/>
      <c r="BZ189" s="45"/>
      <c r="CA189" s="339"/>
    </row>
    <row r="190" spans="2:79" s="331" customFormat="1" hidden="1" x14ac:dyDescent="0.2">
      <c r="B190" s="329"/>
      <c r="C190" s="329"/>
      <c r="D190" s="356"/>
      <c r="E190" s="347"/>
      <c r="F190" s="347"/>
      <c r="G190" s="356">
        <f>IF(N$154=I189,E$5,0)</f>
        <v>0</v>
      </c>
      <c r="H190" s="347"/>
      <c r="I190" s="367">
        <f>IF(N$154=I189,I$5,0)</f>
        <v>0</v>
      </c>
      <c r="J190" s="368">
        <f>IF(N$154=I189,J$5,0)</f>
        <v>0</v>
      </c>
      <c r="K190" s="347"/>
      <c r="L190" s="347"/>
      <c r="M190" s="347"/>
      <c r="N190" s="347"/>
      <c r="O190" s="348"/>
      <c r="P190" s="325"/>
      <c r="Q190" s="325"/>
      <c r="R190" s="325"/>
      <c r="S190" s="325"/>
      <c r="T190" s="325"/>
      <c r="U190" s="325"/>
      <c r="V190" s="325"/>
      <c r="W190" s="325"/>
      <c r="X190" s="325"/>
      <c r="Y190" s="325"/>
      <c r="Z190" s="325"/>
      <c r="AA190" s="325"/>
      <c r="AB190" s="325"/>
      <c r="AC190" s="325"/>
      <c r="AD190" s="325"/>
      <c r="AE190" s="325"/>
      <c r="AF190" s="325"/>
      <c r="AG190" s="325"/>
      <c r="AH190" s="325"/>
      <c r="AI190" s="325"/>
      <c r="AJ190" s="325"/>
      <c r="AK190" s="325"/>
      <c r="AL190" s="325"/>
      <c r="AM190" s="325"/>
      <c r="AN190" s="325"/>
      <c r="AO190" s="325"/>
      <c r="AP190" s="325"/>
      <c r="AQ190" s="325"/>
      <c r="AR190" s="325"/>
      <c r="AS190" s="325"/>
      <c r="AT190" s="325"/>
      <c r="AU190" s="325"/>
      <c r="AV190" s="325"/>
      <c r="AW190" s="325"/>
      <c r="AX190" s="325"/>
      <c r="AY190" s="325"/>
      <c r="AZ190" s="325"/>
      <c r="BA190" s="325"/>
      <c r="BB190" s="325"/>
      <c r="BC190" s="325"/>
      <c r="BD190" s="325"/>
      <c r="BE190" s="325"/>
      <c r="BF190" s="325"/>
      <c r="BG190" s="325"/>
      <c r="BH190" s="325"/>
      <c r="BI190" s="325"/>
      <c r="BJ190" s="325"/>
      <c r="BK190" s="325"/>
      <c r="BL190" s="325"/>
      <c r="BM190" s="325"/>
      <c r="BN190" s="325"/>
      <c r="BO190" s="325"/>
      <c r="BP190" s="325"/>
      <c r="BQ190" s="325"/>
      <c r="BR190" s="325"/>
      <c r="BS190" s="325"/>
      <c r="BT190" s="325"/>
      <c r="BU190" s="45"/>
      <c r="BV190" s="45"/>
      <c r="BW190" s="45"/>
      <c r="BX190" s="45"/>
      <c r="BY190" s="45"/>
      <c r="BZ190" s="45"/>
      <c r="CA190" s="339"/>
    </row>
    <row r="191" spans="2:79" s="331" customFormat="1" hidden="1" x14ac:dyDescent="0.2">
      <c r="B191" s="329"/>
      <c r="C191" s="329"/>
      <c r="D191" s="356"/>
      <c r="E191" s="347"/>
      <c r="F191" s="347"/>
      <c r="G191" s="356">
        <f>IF(N$155=I189,E$6,0)</f>
        <v>0</v>
      </c>
      <c r="H191" s="347"/>
      <c r="I191" s="367">
        <f>IF(N$155=I189,I$6,0)</f>
        <v>0</v>
      </c>
      <c r="J191" s="368">
        <f>IF(N$155=I189,J$6,0)</f>
        <v>0</v>
      </c>
      <c r="K191" s="347"/>
      <c r="L191" s="347"/>
      <c r="M191" s="347"/>
      <c r="N191" s="347"/>
      <c r="O191" s="348"/>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325"/>
      <c r="BS191" s="325"/>
      <c r="BT191" s="325"/>
      <c r="BU191" s="45"/>
      <c r="BV191" s="45"/>
      <c r="BW191" s="45"/>
      <c r="BX191" s="45"/>
      <c r="BY191" s="45"/>
      <c r="BZ191" s="45"/>
      <c r="CA191" s="339"/>
    </row>
    <row r="192" spans="2:79" s="331" customFormat="1" hidden="1" x14ac:dyDescent="0.2">
      <c r="B192" s="329"/>
      <c r="C192" s="329"/>
      <c r="D192" s="356"/>
      <c r="E192" s="347"/>
      <c r="F192" s="347"/>
      <c r="G192" s="356">
        <f>IF(N$156=I189,E$7,0)</f>
        <v>0</v>
      </c>
      <c r="H192" s="347"/>
      <c r="I192" s="367">
        <f>IF(N$156=I189,I$7,0)</f>
        <v>0</v>
      </c>
      <c r="J192" s="368">
        <f>IF(N$156=I189,J$7,0)</f>
        <v>0</v>
      </c>
      <c r="K192" s="347"/>
      <c r="L192" s="347"/>
      <c r="M192" s="347"/>
      <c r="N192" s="347"/>
      <c r="O192" s="348"/>
      <c r="P192" s="325"/>
      <c r="Q192" s="325"/>
      <c r="R192" s="325"/>
      <c r="S192" s="325"/>
      <c r="T192" s="325"/>
      <c r="U192" s="325"/>
      <c r="V192" s="325"/>
      <c r="W192" s="325"/>
      <c r="X192" s="325"/>
      <c r="Y192" s="325"/>
      <c r="Z192" s="325"/>
      <c r="AA192" s="325"/>
      <c r="AB192" s="325"/>
      <c r="AC192" s="325"/>
      <c r="AD192" s="325"/>
      <c r="AE192" s="325"/>
      <c r="AF192" s="325"/>
      <c r="AG192" s="325"/>
      <c r="AH192" s="325"/>
      <c r="AI192" s="325"/>
      <c r="AJ192" s="325"/>
      <c r="AK192" s="325"/>
      <c r="AL192" s="325"/>
      <c r="AM192" s="325"/>
      <c r="AN192" s="325"/>
      <c r="AO192" s="325"/>
      <c r="AP192" s="325"/>
      <c r="AQ192" s="325"/>
      <c r="AR192" s="325"/>
      <c r="AS192" s="325"/>
      <c r="AT192" s="325"/>
      <c r="AU192" s="325"/>
      <c r="AV192" s="325"/>
      <c r="AW192" s="325"/>
      <c r="AX192" s="325"/>
      <c r="AY192" s="325"/>
      <c r="AZ192" s="325"/>
      <c r="BA192" s="325"/>
      <c r="BB192" s="325"/>
      <c r="BC192" s="325"/>
      <c r="BD192" s="325"/>
      <c r="BE192" s="325"/>
      <c r="BF192" s="325"/>
      <c r="BG192" s="325"/>
      <c r="BH192" s="325"/>
      <c r="BI192" s="325"/>
      <c r="BJ192" s="325"/>
      <c r="BK192" s="325"/>
      <c r="BL192" s="325"/>
      <c r="BM192" s="325"/>
      <c r="BN192" s="325"/>
      <c r="BO192" s="325"/>
      <c r="BP192" s="325"/>
      <c r="BQ192" s="325"/>
      <c r="BR192" s="325"/>
      <c r="BS192" s="325"/>
      <c r="BT192" s="325"/>
      <c r="BU192" s="45"/>
      <c r="BV192" s="45"/>
      <c r="BW192" s="45"/>
      <c r="BX192" s="45"/>
      <c r="BY192" s="45"/>
      <c r="BZ192" s="45"/>
      <c r="CA192" s="339"/>
    </row>
    <row r="193" spans="2:79" s="331" customFormat="1" hidden="1" x14ac:dyDescent="0.2">
      <c r="B193" s="329"/>
      <c r="C193" s="329"/>
      <c r="D193" s="356"/>
      <c r="E193" s="347"/>
      <c r="F193" s="347"/>
      <c r="G193" s="356">
        <f>IF(N$157=I189,E$8,0)</f>
        <v>0</v>
      </c>
      <c r="H193" s="347"/>
      <c r="I193" s="367">
        <f>IF(N$157=I189,I$8,0)</f>
        <v>0</v>
      </c>
      <c r="J193" s="368">
        <f>IF(N$157=I189,J$8,0)</f>
        <v>0</v>
      </c>
      <c r="K193" s="347"/>
      <c r="L193" s="347"/>
      <c r="M193" s="347"/>
      <c r="N193" s="347"/>
      <c r="O193" s="348"/>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25"/>
      <c r="BS193" s="325"/>
      <c r="BT193" s="325"/>
      <c r="BU193" s="45"/>
      <c r="BV193" s="45"/>
      <c r="BW193" s="45"/>
      <c r="BX193" s="45"/>
      <c r="BY193" s="45"/>
      <c r="BZ193" s="45"/>
      <c r="CA193" s="339"/>
    </row>
    <row r="194" spans="2:79" s="331" customFormat="1" hidden="1" x14ac:dyDescent="0.2">
      <c r="B194" s="329"/>
      <c r="C194" s="329"/>
      <c r="D194" s="356"/>
      <c r="E194" s="347"/>
      <c r="F194" s="347"/>
      <c r="G194" s="356">
        <f>IF(N$158=I189,E$9,0)</f>
        <v>0</v>
      </c>
      <c r="H194" s="347"/>
      <c r="I194" s="367">
        <f>IF(N$158=I189,I$9,0)</f>
        <v>0</v>
      </c>
      <c r="J194" s="368">
        <f>IF(N$158=I189,J$9,0)</f>
        <v>0</v>
      </c>
      <c r="K194" s="347"/>
      <c r="L194" s="347"/>
      <c r="M194" s="347"/>
      <c r="N194" s="347"/>
      <c r="O194" s="348"/>
      <c r="P194" s="325"/>
      <c r="Q194" s="325"/>
      <c r="R194" s="325"/>
      <c r="S194" s="325"/>
      <c r="T194" s="325"/>
      <c r="U194" s="325"/>
      <c r="V194" s="325"/>
      <c r="W194" s="325"/>
      <c r="X194" s="325"/>
      <c r="Y194" s="325"/>
      <c r="Z194" s="325"/>
      <c r="AA194" s="325"/>
      <c r="AB194" s="325"/>
      <c r="AC194" s="325"/>
      <c r="AD194" s="325"/>
      <c r="AE194" s="325"/>
      <c r="AF194" s="325"/>
      <c r="AG194" s="325"/>
      <c r="AH194" s="325"/>
      <c r="AI194" s="325"/>
      <c r="AJ194" s="325"/>
      <c r="AK194" s="325"/>
      <c r="AL194" s="325"/>
      <c r="AM194" s="325"/>
      <c r="AN194" s="325"/>
      <c r="AO194" s="325"/>
      <c r="AP194" s="325"/>
      <c r="AQ194" s="325"/>
      <c r="AR194" s="325"/>
      <c r="AS194" s="325"/>
      <c r="AT194" s="325"/>
      <c r="AU194" s="325"/>
      <c r="AV194" s="325"/>
      <c r="AW194" s="325"/>
      <c r="AX194" s="325"/>
      <c r="AY194" s="325"/>
      <c r="AZ194" s="325"/>
      <c r="BA194" s="325"/>
      <c r="BB194" s="325"/>
      <c r="BC194" s="325"/>
      <c r="BD194" s="325"/>
      <c r="BE194" s="325"/>
      <c r="BF194" s="325"/>
      <c r="BG194" s="325"/>
      <c r="BH194" s="325"/>
      <c r="BI194" s="325"/>
      <c r="BJ194" s="325"/>
      <c r="BK194" s="325"/>
      <c r="BL194" s="325"/>
      <c r="BM194" s="325"/>
      <c r="BN194" s="325"/>
      <c r="BO194" s="325"/>
      <c r="BP194" s="325"/>
      <c r="BQ194" s="325"/>
      <c r="BR194" s="325"/>
      <c r="BS194" s="325"/>
      <c r="BT194" s="325"/>
      <c r="BU194" s="45"/>
      <c r="BV194" s="45"/>
      <c r="BW194" s="45"/>
      <c r="BX194" s="45"/>
      <c r="BY194" s="45"/>
      <c r="BZ194" s="45"/>
      <c r="CA194" s="339"/>
    </row>
    <row r="195" spans="2:79" s="331" customFormat="1" hidden="1" x14ac:dyDescent="0.2">
      <c r="B195" s="329"/>
      <c r="C195" s="329"/>
      <c r="D195" s="356"/>
      <c r="E195" s="347"/>
      <c r="F195" s="347"/>
      <c r="G195" s="359">
        <f>IF(N$159=I189,E$10,0)</f>
        <v>0</v>
      </c>
      <c r="H195" s="350"/>
      <c r="I195" s="363">
        <f>IF(N$159=I189,I$10,0)</f>
        <v>0</v>
      </c>
      <c r="J195" s="369">
        <f>IF(N$159=I189,J$10,0)</f>
        <v>0</v>
      </c>
      <c r="K195" s="347"/>
      <c r="L195" s="347"/>
      <c r="M195" s="347"/>
      <c r="N195" s="347"/>
      <c r="O195" s="348"/>
      <c r="P195" s="325"/>
      <c r="Q195" s="325"/>
      <c r="R195" s="325"/>
      <c r="S195" s="325"/>
      <c r="T195" s="325"/>
      <c r="U195" s="325"/>
      <c r="V195" s="325"/>
      <c r="W195" s="325"/>
      <c r="X195" s="325"/>
      <c r="Y195" s="325"/>
      <c r="Z195" s="325"/>
      <c r="AA195" s="325"/>
      <c r="AB195" s="325"/>
      <c r="AC195" s="325"/>
      <c r="AD195" s="325"/>
      <c r="AE195" s="325"/>
      <c r="AF195" s="325"/>
      <c r="AG195" s="325"/>
      <c r="AH195" s="325"/>
      <c r="AI195" s="325"/>
      <c r="AJ195" s="325"/>
      <c r="AK195" s="325"/>
      <c r="AL195" s="325"/>
      <c r="AM195" s="325"/>
      <c r="AN195" s="325"/>
      <c r="AO195" s="325"/>
      <c r="AP195" s="325"/>
      <c r="AQ195" s="325"/>
      <c r="AR195" s="325"/>
      <c r="AS195" s="325"/>
      <c r="AT195" s="325"/>
      <c r="AU195" s="325"/>
      <c r="AV195" s="325"/>
      <c r="AW195" s="325"/>
      <c r="AX195" s="325"/>
      <c r="AY195" s="325"/>
      <c r="AZ195" s="325"/>
      <c r="BA195" s="325"/>
      <c r="BB195" s="325"/>
      <c r="BC195" s="325"/>
      <c r="BD195" s="325"/>
      <c r="BE195" s="325"/>
      <c r="BF195" s="325"/>
      <c r="BG195" s="325"/>
      <c r="BH195" s="325"/>
      <c r="BI195" s="325"/>
      <c r="BJ195" s="325"/>
      <c r="BK195" s="325"/>
      <c r="BL195" s="325"/>
      <c r="BM195" s="325"/>
      <c r="BN195" s="325"/>
      <c r="BO195" s="325"/>
      <c r="BP195" s="325"/>
      <c r="BQ195" s="325"/>
      <c r="BR195" s="325"/>
      <c r="BS195" s="325"/>
      <c r="BT195" s="325"/>
      <c r="BU195" s="45"/>
      <c r="BV195" s="45"/>
      <c r="BW195" s="45"/>
      <c r="BX195" s="45"/>
      <c r="BY195" s="45"/>
      <c r="BZ195" s="45"/>
      <c r="CA195" s="339"/>
    </row>
    <row r="196" spans="2:79" s="331" customFormat="1" hidden="1" x14ac:dyDescent="0.2">
      <c r="B196" s="329"/>
      <c r="C196" s="329"/>
      <c r="D196" s="356"/>
      <c r="E196" s="347"/>
      <c r="F196" s="347"/>
      <c r="G196" s="370" t="str">
        <f>$G$158</f>
        <v>Mobiliario y equipos oficina</v>
      </c>
      <c r="H196" s="344"/>
      <c r="I196" s="358">
        <v>5</v>
      </c>
      <c r="J196" s="345"/>
      <c r="K196" s="347"/>
      <c r="L196" s="347"/>
      <c r="M196" s="347"/>
      <c r="N196" s="347"/>
      <c r="O196" s="348"/>
      <c r="P196" s="325"/>
      <c r="Q196" s="325"/>
      <c r="R196" s="325"/>
      <c r="S196" s="325"/>
      <c r="T196" s="325"/>
      <c r="U196" s="325"/>
      <c r="V196" s="325"/>
      <c r="W196" s="325"/>
      <c r="X196" s="325"/>
      <c r="Y196" s="325"/>
      <c r="Z196" s="325"/>
      <c r="AA196" s="325"/>
      <c r="AB196" s="325"/>
      <c r="AC196" s="325"/>
      <c r="AD196" s="325"/>
      <c r="AE196" s="325"/>
      <c r="AF196" s="325"/>
      <c r="AG196" s="325"/>
      <c r="AH196" s="325"/>
      <c r="AI196" s="325"/>
      <c r="AJ196" s="325"/>
      <c r="AK196" s="325"/>
      <c r="AL196" s="325"/>
      <c r="AM196" s="325"/>
      <c r="AN196" s="325"/>
      <c r="AO196" s="325"/>
      <c r="AP196" s="325"/>
      <c r="AQ196" s="325"/>
      <c r="AR196" s="325"/>
      <c r="AS196" s="325"/>
      <c r="AT196" s="325"/>
      <c r="AU196" s="325"/>
      <c r="AV196" s="325"/>
      <c r="AW196" s="325"/>
      <c r="AX196" s="325"/>
      <c r="AY196" s="325"/>
      <c r="AZ196" s="325"/>
      <c r="BA196" s="325"/>
      <c r="BB196" s="325"/>
      <c r="BC196" s="325"/>
      <c r="BD196" s="325"/>
      <c r="BE196" s="325"/>
      <c r="BF196" s="325"/>
      <c r="BG196" s="325"/>
      <c r="BH196" s="325"/>
      <c r="BI196" s="325"/>
      <c r="BJ196" s="325"/>
      <c r="BK196" s="325"/>
      <c r="BL196" s="325"/>
      <c r="BM196" s="325"/>
      <c r="BN196" s="325"/>
      <c r="BO196" s="325"/>
      <c r="BP196" s="325"/>
      <c r="BQ196" s="325"/>
      <c r="BR196" s="325"/>
      <c r="BS196" s="325"/>
      <c r="BT196" s="325"/>
      <c r="BU196" s="45"/>
      <c r="BV196" s="45"/>
      <c r="BW196" s="45"/>
      <c r="BX196" s="45"/>
      <c r="BY196" s="45"/>
      <c r="BZ196" s="45"/>
      <c r="CA196" s="339"/>
    </row>
    <row r="197" spans="2:79" s="331" customFormat="1" hidden="1" x14ac:dyDescent="0.2">
      <c r="B197" s="329"/>
      <c r="C197" s="329"/>
      <c r="D197" s="356"/>
      <c r="E197" s="347"/>
      <c r="F197" s="347"/>
      <c r="G197" s="356">
        <f>IF(N$154=I196,E$5,0)</f>
        <v>0</v>
      </c>
      <c r="H197" s="347"/>
      <c r="I197" s="367">
        <f>IF(N$154=I196,I$5,0)</f>
        <v>0</v>
      </c>
      <c r="J197" s="368">
        <f>IF(N$154=I196,J$5,0)</f>
        <v>0</v>
      </c>
      <c r="K197" s="347"/>
      <c r="L197" s="347"/>
      <c r="M197" s="347"/>
      <c r="N197" s="347"/>
      <c r="O197" s="348"/>
      <c r="P197" s="325"/>
      <c r="Q197" s="325"/>
      <c r="R197" s="325"/>
      <c r="S197" s="325"/>
      <c r="T197" s="325"/>
      <c r="U197" s="325"/>
      <c r="V197" s="325"/>
      <c r="W197" s="325"/>
      <c r="X197" s="325"/>
      <c r="Y197" s="325"/>
      <c r="Z197" s="325"/>
      <c r="AA197" s="325"/>
      <c r="AB197" s="325"/>
      <c r="AC197" s="325"/>
      <c r="AD197" s="325"/>
      <c r="AE197" s="325"/>
      <c r="AF197" s="325"/>
      <c r="AG197" s="325"/>
      <c r="AH197" s="325"/>
      <c r="AI197" s="325"/>
      <c r="AJ197" s="325"/>
      <c r="AK197" s="325"/>
      <c r="AL197" s="325"/>
      <c r="AM197" s="325"/>
      <c r="AN197" s="325"/>
      <c r="AO197" s="325"/>
      <c r="AP197" s="325"/>
      <c r="AQ197" s="325"/>
      <c r="AR197" s="325"/>
      <c r="AS197" s="325"/>
      <c r="AT197" s="325"/>
      <c r="AU197" s="325"/>
      <c r="AV197" s="325"/>
      <c r="AW197" s="325"/>
      <c r="AX197" s="325"/>
      <c r="AY197" s="325"/>
      <c r="AZ197" s="325"/>
      <c r="BA197" s="325"/>
      <c r="BB197" s="325"/>
      <c r="BC197" s="325"/>
      <c r="BD197" s="325"/>
      <c r="BE197" s="325"/>
      <c r="BF197" s="325"/>
      <c r="BG197" s="325"/>
      <c r="BH197" s="325"/>
      <c r="BI197" s="325"/>
      <c r="BJ197" s="325"/>
      <c r="BK197" s="325"/>
      <c r="BL197" s="325"/>
      <c r="BM197" s="325"/>
      <c r="BN197" s="325"/>
      <c r="BO197" s="325"/>
      <c r="BP197" s="325"/>
      <c r="BQ197" s="325"/>
      <c r="BR197" s="325"/>
      <c r="BS197" s="325"/>
      <c r="BT197" s="325"/>
      <c r="BU197" s="45"/>
      <c r="BV197" s="45"/>
      <c r="BW197" s="45"/>
      <c r="BX197" s="45"/>
      <c r="BY197" s="45"/>
      <c r="BZ197" s="45"/>
      <c r="CA197" s="339"/>
    </row>
    <row r="198" spans="2:79" s="331" customFormat="1" hidden="1" x14ac:dyDescent="0.2">
      <c r="B198" s="329"/>
      <c r="C198" s="329"/>
      <c r="D198" s="356"/>
      <c r="E198" s="347"/>
      <c r="F198" s="347"/>
      <c r="G198" s="356">
        <f>IF(N$155=I196,E$6,0)</f>
        <v>0</v>
      </c>
      <c r="H198" s="347"/>
      <c r="I198" s="367">
        <f>IF(N$155=I196,I$6,0)</f>
        <v>0</v>
      </c>
      <c r="J198" s="368">
        <f>IF(N$155=I196,J$6,0)</f>
        <v>0</v>
      </c>
      <c r="K198" s="347"/>
      <c r="L198" s="347"/>
      <c r="M198" s="347"/>
      <c r="N198" s="347"/>
      <c r="O198" s="348"/>
      <c r="P198" s="325"/>
      <c r="Q198" s="325"/>
      <c r="R198" s="325"/>
      <c r="S198" s="325"/>
      <c r="T198" s="325"/>
      <c r="U198" s="325"/>
      <c r="V198" s="325"/>
      <c r="W198" s="325"/>
      <c r="X198" s="325"/>
      <c r="Y198" s="325"/>
      <c r="Z198" s="325"/>
      <c r="AA198" s="325"/>
      <c r="AB198" s="325"/>
      <c r="AC198" s="325"/>
      <c r="AD198" s="325"/>
      <c r="AE198" s="325"/>
      <c r="AF198" s="325"/>
      <c r="AG198" s="325"/>
      <c r="AH198" s="325"/>
      <c r="AI198" s="325"/>
      <c r="AJ198" s="325"/>
      <c r="AK198" s="325"/>
      <c r="AL198" s="325"/>
      <c r="AM198" s="325"/>
      <c r="AN198" s="325"/>
      <c r="AO198" s="325"/>
      <c r="AP198" s="325"/>
      <c r="AQ198" s="325"/>
      <c r="AR198" s="325"/>
      <c r="AS198" s="325"/>
      <c r="AT198" s="325"/>
      <c r="AU198" s="325"/>
      <c r="AV198" s="325"/>
      <c r="AW198" s="325"/>
      <c r="AX198" s="325"/>
      <c r="AY198" s="325"/>
      <c r="AZ198" s="325"/>
      <c r="BA198" s="325"/>
      <c r="BB198" s="325"/>
      <c r="BC198" s="325"/>
      <c r="BD198" s="325"/>
      <c r="BE198" s="325"/>
      <c r="BF198" s="325"/>
      <c r="BG198" s="325"/>
      <c r="BH198" s="325"/>
      <c r="BI198" s="325"/>
      <c r="BJ198" s="325"/>
      <c r="BK198" s="325"/>
      <c r="BL198" s="325"/>
      <c r="BM198" s="325"/>
      <c r="BN198" s="325"/>
      <c r="BO198" s="325"/>
      <c r="BP198" s="325"/>
      <c r="BQ198" s="325"/>
      <c r="BR198" s="325"/>
      <c r="BS198" s="325"/>
      <c r="BT198" s="325"/>
      <c r="BU198" s="45"/>
      <c r="BV198" s="45"/>
      <c r="BW198" s="45"/>
      <c r="BX198" s="45"/>
      <c r="BY198" s="45"/>
      <c r="BZ198" s="45"/>
      <c r="CA198" s="339"/>
    </row>
    <row r="199" spans="2:79" s="331" customFormat="1" hidden="1" x14ac:dyDescent="0.2">
      <c r="B199" s="329"/>
      <c r="C199" s="329"/>
      <c r="D199" s="356"/>
      <c r="E199" s="347"/>
      <c r="F199" s="347"/>
      <c r="G199" s="356">
        <f>IF(N$156=I196,E$7,0)</f>
        <v>0</v>
      </c>
      <c r="H199" s="347"/>
      <c r="I199" s="367">
        <f>IF(N$156=I196,I$7,0)</f>
        <v>0</v>
      </c>
      <c r="J199" s="368">
        <f>IF(N$156=I196,J$7,0)</f>
        <v>0</v>
      </c>
      <c r="K199" s="347"/>
      <c r="L199" s="347"/>
      <c r="M199" s="347"/>
      <c r="N199" s="347"/>
      <c r="O199" s="348"/>
      <c r="P199" s="325"/>
      <c r="Q199" s="325"/>
      <c r="R199" s="325"/>
      <c r="S199" s="325"/>
      <c r="T199" s="325"/>
      <c r="U199" s="325"/>
      <c r="V199" s="325"/>
      <c r="W199" s="325"/>
      <c r="X199" s="325"/>
      <c r="Y199" s="325"/>
      <c r="Z199" s="325"/>
      <c r="AA199" s="325"/>
      <c r="AB199" s="325"/>
      <c r="AC199" s="325"/>
      <c r="AD199" s="325"/>
      <c r="AE199" s="325"/>
      <c r="AF199" s="325"/>
      <c r="AG199" s="325"/>
      <c r="AH199" s="325"/>
      <c r="AI199" s="325"/>
      <c r="AJ199" s="325"/>
      <c r="AK199" s="325"/>
      <c r="AL199" s="325"/>
      <c r="AM199" s="325"/>
      <c r="AN199" s="325"/>
      <c r="AO199" s="325"/>
      <c r="AP199" s="325"/>
      <c r="AQ199" s="325"/>
      <c r="AR199" s="325"/>
      <c r="AS199" s="325"/>
      <c r="AT199" s="325"/>
      <c r="AU199" s="325"/>
      <c r="AV199" s="325"/>
      <c r="AW199" s="325"/>
      <c r="AX199" s="325"/>
      <c r="AY199" s="325"/>
      <c r="AZ199" s="325"/>
      <c r="BA199" s="325"/>
      <c r="BB199" s="325"/>
      <c r="BC199" s="325"/>
      <c r="BD199" s="325"/>
      <c r="BE199" s="325"/>
      <c r="BF199" s="325"/>
      <c r="BG199" s="325"/>
      <c r="BH199" s="325"/>
      <c r="BI199" s="325"/>
      <c r="BJ199" s="325"/>
      <c r="BK199" s="325"/>
      <c r="BL199" s="325"/>
      <c r="BM199" s="325"/>
      <c r="BN199" s="325"/>
      <c r="BO199" s="325"/>
      <c r="BP199" s="325"/>
      <c r="BQ199" s="325"/>
      <c r="BR199" s="325"/>
      <c r="BS199" s="325"/>
      <c r="BT199" s="325"/>
      <c r="BU199" s="45"/>
      <c r="BV199" s="45"/>
      <c r="BW199" s="45"/>
      <c r="BX199" s="45"/>
      <c r="BY199" s="45"/>
      <c r="BZ199" s="45"/>
      <c r="CA199" s="339"/>
    </row>
    <row r="200" spans="2:79" s="331" customFormat="1" hidden="1" x14ac:dyDescent="0.2">
      <c r="B200" s="329"/>
      <c r="C200" s="329"/>
      <c r="D200" s="356"/>
      <c r="E200" s="347"/>
      <c r="F200" s="347"/>
      <c r="G200" s="356">
        <f>IF(N$157=I196,E$8,0)</f>
        <v>0</v>
      </c>
      <c r="H200" s="347"/>
      <c r="I200" s="367">
        <f>IF(N$157=I196,I$8,0)</f>
        <v>0</v>
      </c>
      <c r="J200" s="368">
        <f>IF(N$157=I196,J$8,0)</f>
        <v>0</v>
      </c>
      <c r="K200" s="347"/>
      <c r="L200" s="347"/>
      <c r="M200" s="347"/>
      <c r="N200" s="347"/>
      <c r="O200" s="348"/>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45"/>
      <c r="BV200" s="45"/>
      <c r="BW200" s="45"/>
      <c r="BX200" s="45"/>
      <c r="BY200" s="45"/>
      <c r="BZ200" s="45"/>
      <c r="CA200" s="339"/>
    </row>
    <row r="201" spans="2:79" s="331" customFormat="1" hidden="1" x14ac:dyDescent="0.2">
      <c r="B201" s="329"/>
      <c r="C201" s="329"/>
      <c r="D201" s="356"/>
      <c r="E201" s="347"/>
      <c r="F201" s="347"/>
      <c r="G201" s="356">
        <f>IF(N$158=I196,E$9,0)</f>
        <v>0</v>
      </c>
      <c r="H201" s="347"/>
      <c r="I201" s="367">
        <f>IF(N$158=I196,I$9,0)</f>
        <v>0</v>
      </c>
      <c r="J201" s="368">
        <f>IF(N$158=I196,J$9,0)</f>
        <v>0</v>
      </c>
      <c r="K201" s="347"/>
      <c r="L201" s="347"/>
      <c r="M201" s="347"/>
      <c r="N201" s="347"/>
      <c r="O201" s="348"/>
      <c r="P201" s="325"/>
      <c r="Q201" s="325"/>
      <c r="R201" s="325"/>
      <c r="S201" s="325"/>
      <c r="T201" s="325"/>
      <c r="U201" s="325"/>
      <c r="V201" s="325"/>
      <c r="W201" s="325"/>
      <c r="X201" s="325"/>
      <c r="Y201" s="325"/>
      <c r="Z201" s="325"/>
      <c r="AA201" s="325"/>
      <c r="AB201" s="325"/>
      <c r="AC201" s="325"/>
      <c r="AD201" s="325"/>
      <c r="AE201" s="325"/>
      <c r="AF201" s="325"/>
      <c r="AG201" s="325"/>
      <c r="AH201" s="325"/>
      <c r="AI201" s="325"/>
      <c r="AJ201" s="325"/>
      <c r="AK201" s="325"/>
      <c r="AL201" s="325"/>
      <c r="AM201" s="325"/>
      <c r="AN201" s="325"/>
      <c r="AO201" s="325"/>
      <c r="AP201" s="325"/>
      <c r="AQ201" s="325"/>
      <c r="AR201" s="325"/>
      <c r="AS201" s="325"/>
      <c r="AT201" s="325"/>
      <c r="AU201" s="325"/>
      <c r="AV201" s="325"/>
      <c r="AW201" s="325"/>
      <c r="AX201" s="325"/>
      <c r="AY201" s="325"/>
      <c r="AZ201" s="325"/>
      <c r="BA201" s="325"/>
      <c r="BB201" s="325"/>
      <c r="BC201" s="325"/>
      <c r="BD201" s="325"/>
      <c r="BE201" s="325"/>
      <c r="BF201" s="325"/>
      <c r="BG201" s="325"/>
      <c r="BH201" s="325"/>
      <c r="BI201" s="325"/>
      <c r="BJ201" s="325"/>
      <c r="BK201" s="325"/>
      <c r="BL201" s="325"/>
      <c r="BM201" s="325"/>
      <c r="BN201" s="325"/>
      <c r="BO201" s="325"/>
      <c r="BP201" s="325"/>
      <c r="BQ201" s="325"/>
      <c r="BR201" s="325"/>
      <c r="BS201" s="325"/>
      <c r="BT201" s="325"/>
      <c r="BU201" s="45"/>
      <c r="BV201" s="45"/>
      <c r="BW201" s="45"/>
      <c r="BX201" s="45"/>
      <c r="BY201" s="45"/>
      <c r="BZ201" s="45"/>
      <c r="CA201" s="339"/>
    </row>
    <row r="202" spans="2:79" s="331" customFormat="1" hidden="1" x14ac:dyDescent="0.2">
      <c r="B202" s="329"/>
      <c r="C202" s="329"/>
      <c r="D202" s="356"/>
      <c r="E202" s="347"/>
      <c r="F202" s="347"/>
      <c r="G202" s="359">
        <f>IF(N$159=I196,E$10,0)</f>
        <v>0</v>
      </c>
      <c r="H202" s="350"/>
      <c r="I202" s="363">
        <f>IF(N$159=I196,I$10,0)</f>
        <v>0</v>
      </c>
      <c r="J202" s="369">
        <f>IF(N$159=I196,J$10,0)</f>
        <v>0</v>
      </c>
      <c r="K202" s="347"/>
      <c r="L202" s="347"/>
      <c r="M202" s="347"/>
      <c r="N202" s="347"/>
      <c r="O202" s="348"/>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325"/>
      <c r="BS202" s="325"/>
      <c r="BT202" s="325"/>
      <c r="BU202" s="45"/>
      <c r="BV202" s="45"/>
      <c r="BW202" s="45"/>
      <c r="BX202" s="45"/>
      <c r="BY202" s="45"/>
      <c r="BZ202" s="45"/>
      <c r="CA202" s="339"/>
    </row>
    <row r="203" spans="2:79" s="331" customFormat="1" hidden="1" x14ac:dyDescent="0.2">
      <c r="B203" s="329"/>
      <c r="C203" s="329"/>
      <c r="D203" s="356"/>
      <c r="E203" s="347"/>
      <c r="F203" s="347"/>
      <c r="G203" s="370" t="str">
        <f>$G$159</f>
        <v>Equipos informáticos</v>
      </c>
      <c r="H203" s="344"/>
      <c r="I203" s="358">
        <v>6</v>
      </c>
      <c r="J203" s="345"/>
      <c r="K203" s="347"/>
      <c r="L203" s="347"/>
      <c r="M203" s="347"/>
      <c r="N203" s="347"/>
      <c r="O203" s="348"/>
      <c r="P203" s="325"/>
      <c r="Q203" s="325"/>
      <c r="R203" s="325"/>
      <c r="S203" s="325"/>
      <c r="T203" s="325"/>
      <c r="U203" s="325"/>
      <c r="V203" s="325"/>
      <c r="W203" s="325"/>
      <c r="X203" s="325"/>
      <c r="Y203" s="325"/>
      <c r="Z203" s="325"/>
      <c r="AA203" s="325"/>
      <c r="AB203" s="325"/>
      <c r="AC203" s="325"/>
      <c r="AD203" s="325"/>
      <c r="AE203" s="325"/>
      <c r="AF203" s="325"/>
      <c r="AG203" s="325"/>
      <c r="AH203" s="325"/>
      <c r="AI203" s="325"/>
      <c r="AJ203" s="325"/>
      <c r="AK203" s="325"/>
      <c r="AL203" s="325"/>
      <c r="AM203" s="325"/>
      <c r="AN203" s="325"/>
      <c r="AO203" s="325"/>
      <c r="AP203" s="325"/>
      <c r="AQ203" s="325"/>
      <c r="AR203" s="325"/>
      <c r="AS203" s="325"/>
      <c r="AT203" s="325"/>
      <c r="AU203" s="325"/>
      <c r="AV203" s="325"/>
      <c r="AW203" s="325"/>
      <c r="AX203" s="325"/>
      <c r="AY203" s="325"/>
      <c r="AZ203" s="325"/>
      <c r="BA203" s="325"/>
      <c r="BB203" s="325"/>
      <c r="BC203" s="325"/>
      <c r="BD203" s="325"/>
      <c r="BE203" s="325"/>
      <c r="BF203" s="325"/>
      <c r="BG203" s="325"/>
      <c r="BH203" s="325"/>
      <c r="BI203" s="325"/>
      <c r="BJ203" s="325"/>
      <c r="BK203" s="325"/>
      <c r="BL203" s="325"/>
      <c r="BM203" s="325"/>
      <c r="BN203" s="325"/>
      <c r="BO203" s="325"/>
      <c r="BP203" s="325"/>
      <c r="BQ203" s="325"/>
      <c r="BR203" s="325"/>
      <c r="BS203" s="325"/>
      <c r="BT203" s="325"/>
      <c r="BU203" s="45"/>
      <c r="BV203" s="45"/>
      <c r="BW203" s="45"/>
      <c r="BX203" s="45"/>
      <c r="BY203" s="45"/>
      <c r="BZ203" s="45"/>
      <c r="CA203" s="339"/>
    </row>
    <row r="204" spans="2:79" s="331" customFormat="1" hidden="1" x14ac:dyDescent="0.2">
      <c r="B204" s="329"/>
      <c r="C204" s="329"/>
      <c r="D204" s="356"/>
      <c r="E204" s="347"/>
      <c r="F204" s="347"/>
      <c r="G204" s="356">
        <f>IF(N$154=I203,E$5,0)</f>
        <v>0</v>
      </c>
      <c r="H204" s="347"/>
      <c r="I204" s="367">
        <f>IF(N$154=I203,I$5,0)</f>
        <v>0</v>
      </c>
      <c r="J204" s="368">
        <f>IF(N$154=I203,J$5,0)</f>
        <v>0</v>
      </c>
      <c r="K204" s="347"/>
      <c r="L204" s="347"/>
      <c r="M204" s="347"/>
      <c r="N204" s="347"/>
      <c r="O204" s="348"/>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325"/>
      <c r="BS204" s="325"/>
      <c r="BT204" s="325"/>
      <c r="BU204" s="45"/>
      <c r="BV204" s="45"/>
      <c r="BW204" s="45"/>
      <c r="BX204" s="45"/>
      <c r="BY204" s="45"/>
      <c r="BZ204" s="45"/>
      <c r="CA204" s="339"/>
    </row>
    <row r="205" spans="2:79" s="331" customFormat="1" hidden="1" x14ac:dyDescent="0.2">
      <c r="B205" s="329"/>
      <c r="C205" s="329"/>
      <c r="D205" s="356"/>
      <c r="E205" s="347"/>
      <c r="F205" s="347"/>
      <c r="G205" s="356">
        <f>IF(N$155=I203,E$6,0)</f>
        <v>0</v>
      </c>
      <c r="H205" s="347"/>
      <c r="I205" s="367">
        <f>IF(N$155=I203,I$6,0)</f>
        <v>0</v>
      </c>
      <c r="J205" s="368">
        <f>IF(N$155=I203,J$6,0)</f>
        <v>0</v>
      </c>
      <c r="K205" s="347"/>
      <c r="L205" s="347"/>
      <c r="M205" s="347"/>
      <c r="N205" s="347"/>
      <c r="O205" s="348"/>
      <c r="P205" s="325"/>
      <c r="Q205" s="325"/>
      <c r="R205" s="325"/>
      <c r="S205" s="325"/>
      <c r="T205" s="325"/>
      <c r="U205" s="325"/>
      <c r="V205" s="325"/>
      <c r="W205" s="325"/>
      <c r="X205" s="325"/>
      <c r="Y205" s="325"/>
      <c r="Z205" s="325"/>
      <c r="AA205" s="325"/>
      <c r="AB205" s="325"/>
      <c r="AC205" s="325"/>
      <c r="AD205" s="325"/>
      <c r="AE205" s="325"/>
      <c r="AF205" s="325"/>
      <c r="AG205" s="325"/>
      <c r="AH205" s="325"/>
      <c r="AI205" s="325"/>
      <c r="AJ205" s="325"/>
      <c r="AK205" s="325"/>
      <c r="AL205" s="325"/>
      <c r="AM205" s="325"/>
      <c r="AN205" s="325"/>
      <c r="AO205" s="325"/>
      <c r="AP205" s="325"/>
      <c r="AQ205" s="325"/>
      <c r="AR205" s="325"/>
      <c r="AS205" s="325"/>
      <c r="AT205" s="325"/>
      <c r="AU205" s="325"/>
      <c r="AV205" s="325"/>
      <c r="AW205" s="325"/>
      <c r="AX205" s="325"/>
      <c r="AY205" s="325"/>
      <c r="AZ205" s="325"/>
      <c r="BA205" s="325"/>
      <c r="BB205" s="325"/>
      <c r="BC205" s="325"/>
      <c r="BD205" s="325"/>
      <c r="BE205" s="325"/>
      <c r="BF205" s="325"/>
      <c r="BG205" s="325"/>
      <c r="BH205" s="325"/>
      <c r="BI205" s="325"/>
      <c r="BJ205" s="325"/>
      <c r="BK205" s="325"/>
      <c r="BL205" s="325"/>
      <c r="BM205" s="325"/>
      <c r="BN205" s="325"/>
      <c r="BO205" s="325"/>
      <c r="BP205" s="325"/>
      <c r="BQ205" s="325"/>
      <c r="BR205" s="325"/>
      <c r="BS205" s="325"/>
      <c r="BT205" s="325"/>
      <c r="BU205" s="45"/>
      <c r="BV205" s="45"/>
      <c r="BW205" s="45"/>
      <c r="BX205" s="45"/>
      <c r="BY205" s="45"/>
      <c r="BZ205" s="45"/>
      <c r="CA205" s="339"/>
    </row>
    <row r="206" spans="2:79" s="331" customFormat="1" hidden="1" x14ac:dyDescent="0.2">
      <c r="B206" s="329"/>
      <c r="C206" s="329"/>
      <c r="D206" s="356"/>
      <c r="E206" s="347"/>
      <c r="F206" s="347"/>
      <c r="G206" s="356">
        <f>IF(N$156=I203,E$7,0)</f>
        <v>0</v>
      </c>
      <c r="H206" s="347"/>
      <c r="I206" s="367">
        <f>IF(N$156=I203,I$7,0)</f>
        <v>0</v>
      </c>
      <c r="J206" s="368">
        <f>IF(N$156=I203,J$7,0)</f>
        <v>0</v>
      </c>
      <c r="K206" s="347"/>
      <c r="L206" s="347"/>
      <c r="M206" s="347"/>
      <c r="N206" s="347"/>
      <c r="O206" s="348"/>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25"/>
      <c r="BS206" s="325"/>
      <c r="BT206" s="325"/>
      <c r="BU206" s="45"/>
      <c r="BV206" s="45"/>
      <c r="BW206" s="45"/>
      <c r="BX206" s="45"/>
      <c r="BY206" s="45"/>
      <c r="BZ206" s="45"/>
      <c r="CA206" s="339"/>
    </row>
    <row r="207" spans="2:79" s="331" customFormat="1" hidden="1" x14ac:dyDescent="0.2">
      <c r="B207" s="329"/>
      <c r="C207" s="329"/>
      <c r="D207" s="356"/>
      <c r="E207" s="347"/>
      <c r="F207" s="347"/>
      <c r="G207" s="356">
        <f>IF(N$157=I203,E$8,0)</f>
        <v>0</v>
      </c>
      <c r="H207" s="347"/>
      <c r="I207" s="367">
        <f>IF(N$157=I203,I$8,0)</f>
        <v>0</v>
      </c>
      <c r="J207" s="368">
        <f>IF(N$157=I203,J$8,0)</f>
        <v>0</v>
      </c>
      <c r="K207" s="347"/>
      <c r="L207" s="347"/>
      <c r="M207" s="347"/>
      <c r="N207" s="347"/>
      <c r="O207" s="348"/>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325"/>
      <c r="AU207" s="325"/>
      <c r="AV207" s="325"/>
      <c r="AW207" s="325"/>
      <c r="AX207" s="325"/>
      <c r="AY207" s="325"/>
      <c r="AZ207" s="325"/>
      <c r="BA207" s="325"/>
      <c r="BB207" s="325"/>
      <c r="BC207" s="325"/>
      <c r="BD207" s="325"/>
      <c r="BE207" s="325"/>
      <c r="BF207" s="325"/>
      <c r="BG207" s="325"/>
      <c r="BH207" s="325"/>
      <c r="BI207" s="325"/>
      <c r="BJ207" s="325"/>
      <c r="BK207" s="325"/>
      <c r="BL207" s="325"/>
      <c r="BM207" s="325"/>
      <c r="BN207" s="325"/>
      <c r="BO207" s="325"/>
      <c r="BP207" s="325"/>
      <c r="BQ207" s="325"/>
      <c r="BR207" s="325"/>
      <c r="BS207" s="325"/>
      <c r="BT207" s="325"/>
      <c r="BU207" s="45"/>
      <c r="BV207" s="45"/>
      <c r="BW207" s="45"/>
      <c r="BX207" s="45"/>
      <c r="BY207" s="45"/>
      <c r="BZ207" s="45"/>
      <c r="CA207" s="339"/>
    </row>
    <row r="208" spans="2:79" s="331" customFormat="1" hidden="1" x14ac:dyDescent="0.2">
      <c r="B208" s="329"/>
      <c r="C208" s="329"/>
      <c r="D208" s="356"/>
      <c r="E208" s="347"/>
      <c r="F208" s="347"/>
      <c r="G208" s="356">
        <f>IF(N$158=I203,E$9,0)</f>
        <v>0</v>
      </c>
      <c r="H208" s="347"/>
      <c r="I208" s="367">
        <f>IF(N$158=I203,I$9,0)</f>
        <v>0</v>
      </c>
      <c r="J208" s="368">
        <f>IF(N$158=I203,J$9,0)</f>
        <v>0</v>
      </c>
      <c r="K208" s="347"/>
      <c r="L208" s="347"/>
      <c r="M208" s="347"/>
      <c r="N208" s="347"/>
      <c r="O208" s="348"/>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325"/>
      <c r="BS208" s="325"/>
      <c r="BT208" s="325"/>
      <c r="BU208" s="45"/>
      <c r="BV208" s="45"/>
      <c r="BW208" s="45"/>
      <c r="BX208" s="45"/>
      <c r="BY208" s="45"/>
      <c r="BZ208" s="45"/>
      <c r="CA208" s="339"/>
    </row>
    <row r="209" spans="2:79" s="331" customFormat="1" hidden="1" x14ac:dyDescent="0.2">
      <c r="B209" s="329"/>
      <c r="C209" s="329"/>
      <c r="D209" s="356"/>
      <c r="E209" s="347"/>
      <c r="F209" s="347"/>
      <c r="G209" s="359">
        <f>IF(N$159=I203,E$10,0)</f>
        <v>0</v>
      </c>
      <c r="H209" s="350"/>
      <c r="I209" s="363">
        <f>IF(N$159=I203,I$10,0)</f>
        <v>0</v>
      </c>
      <c r="J209" s="369">
        <f>IF(N$159=I203,J$10,0)</f>
        <v>0</v>
      </c>
      <c r="K209" s="347"/>
      <c r="L209" s="347"/>
      <c r="M209" s="347"/>
      <c r="N209" s="347"/>
      <c r="O209" s="348"/>
      <c r="P209" s="325"/>
      <c r="Q209" s="325"/>
      <c r="R209" s="325"/>
      <c r="S209" s="325"/>
      <c r="T209" s="325"/>
      <c r="U209" s="325"/>
      <c r="V209" s="325"/>
      <c r="W209" s="325"/>
      <c r="X209" s="325"/>
      <c r="Y209" s="325"/>
      <c r="Z209" s="325"/>
      <c r="AA209" s="325"/>
      <c r="AB209" s="325"/>
      <c r="AC209" s="325"/>
      <c r="AD209" s="325"/>
      <c r="AE209" s="325"/>
      <c r="AF209" s="325"/>
      <c r="AG209" s="325"/>
      <c r="AH209" s="325"/>
      <c r="AI209" s="325"/>
      <c r="AJ209" s="325"/>
      <c r="AK209" s="325"/>
      <c r="AL209" s="325"/>
      <c r="AM209" s="325"/>
      <c r="AN209" s="325"/>
      <c r="AO209" s="325"/>
      <c r="AP209" s="325"/>
      <c r="AQ209" s="325"/>
      <c r="AR209" s="325"/>
      <c r="AS209" s="325"/>
      <c r="AT209" s="325"/>
      <c r="AU209" s="325"/>
      <c r="AV209" s="325"/>
      <c r="AW209" s="325"/>
      <c r="AX209" s="325"/>
      <c r="AY209" s="325"/>
      <c r="AZ209" s="325"/>
      <c r="BA209" s="325"/>
      <c r="BB209" s="325"/>
      <c r="BC209" s="325"/>
      <c r="BD209" s="325"/>
      <c r="BE209" s="325"/>
      <c r="BF209" s="325"/>
      <c r="BG209" s="325"/>
      <c r="BH209" s="325"/>
      <c r="BI209" s="325"/>
      <c r="BJ209" s="325"/>
      <c r="BK209" s="325"/>
      <c r="BL209" s="325"/>
      <c r="BM209" s="325"/>
      <c r="BN209" s="325"/>
      <c r="BO209" s="325"/>
      <c r="BP209" s="325"/>
      <c r="BQ209" s="325"/>
      <c r="BR209" s="325"/>
      <c r="BS209" s="325"/>
      <c r="BT209" s="325"/>
      <c r="BU209" s="45"/>
      <c r="BV209" s="45"/>
      <c r="BW209" s="45"/>
      <c r="BX209" s="45"/>
      <c r="BY209" s="45"/>
      <c r="BZ209" s="45"/>
      <c r="CA209" s="339"/>
    </row>
    <row r="210" spans="2:79" s="331" customFormat="1" hidden="1" x14ac:dyDescent="0.2">
      <c r="B210" s="329"/>
      <c r="C210" s="329"/>
      <c r="D210" s="356"/>
      <c r="E210" s="347"/>
      <c r="F210" s="347"/>
      <c r="G210" s="347"/>
      <c r="H210" s="347"/>
      <c r="I210" s="347"/>
      <c r="J210" s="347"/>
      <c r="K210" s="347"/>
      <c r="L210" s="347"/>
      <c r="M210" s="347"/>
      <c r="N210" s="347"/>
      <c r="O210" s="348"/>
      <c r="P210" s="325"/>
      <c r="Q210" s="325"/>
      <c r="R210" s="325"/>
      <c r="S210" s="325"/>
      <c r="T210" s="325"/>
      <c r="U210" s="325"/>
      <c r="V210" s="325"/>
      <c r="W210" s="325"/>
      <c r="X210" s="325"/>
      <c r="Y210" s="325"/>
      <c r="Z210" s="325"/>
      <c r="AA210" s="325"/>
      <c r="AB210" s="325"/>
      <c r="AC210" s="325"/>
      <c r="AD210" s="325"/>
      <c r="AE210" s="325"/>
      <c r="AF210" s="325"/>
      <c r="AG210" s="325"/>
      <c r="AH210" s="325"/>
      <c r="AI210" s="325"/>
      <c r="AJ210" s="325"/>
      <c r="AK210" s="325"/>
      <c r="AL210" s="325"/>
      <c r="AM210" s="325"/>
      <c r="AN210" s="325"/>
      <c r="AO210" s="325"/>
      <c r="AP210" s="325"/>
      <c r="AQ210" s="325"/>
      <c r="AR210" s="325"/>
      <c r="AS210" s="325"/>
      <c r="AT210" s="325"/>
      <c r="AU210" s="325"/>
      <c r="AV210" s="325"/>
      <c r="AW210" s="325"/>
      <c r="AX210" s="325"/>
      <c r="AY210" s="325"/>
      <c r="AZ210" s="325"/>
      <c r="BA210" s="325"/>
      <c r="BB210" s="325"/>
      <c r="BC210" s="325"/>
      <c r="BD210" s="325"/>
      <c r="BE210" s="325"/>
      <c r="BF210" s="325"/>
      <c r="BG210" s="325"/>
      <c r="BH210" s="325"/>
      <c r="BI210" s="325"/>
      <c r="BJ210" s="325"/>
      <c r="BK210" s="325"/>
      <c r="BL210" s="325"/>
      <c r="BM210" s="325"/>
      <c r="BN210" s="325"/>
      <c r="BO210" s="325"/>
      <c r="BP210" s="325"/>
      <c r="BQ210" s="325"/>
      <c r="BR210" s="325"/>
      <c r="BS210" s="325"/>
      <c r="BT210" s="325"/>
      <c r="BU210" s="45"/>
      <c r="BV210" s="45"/>
      <c r="BW210" s="45"/>
      <c r="BX210" s="45"/>
      <c r="BY210" s="45"/>
      <c r="BZ210" s="45"/>
      <c r="CA210" s="339"/>
    </row>
    <row r="211" spans="2:79" s="331" customFormat="1" hidden="1" x14ac:dyDescent="0.2">
      <c r="B211" s="329"/>
      <c r="C211" s="329"/>
      <c r="D211" s="356"/>
      <c r="E211" s="347"/>
      <c r="F211" s="347"/>
      <c r="G211" s="371" t="str">
        <f>$G$166</f>
        <v>Activos intangibles amortizables</v>
      </c>
      <c r="H211" s="372"/>
      <c r="I211" s="373">
        <f>SUM(I212:I217)</f>
        <v>0</v>
      </c>
      <c r="J211" s="374"/>
      <c r="K211" s="347"/>
      <c r="L211" s="347"/>
      <c r="M211" s="347"/>
      <c r="N211" s="347"/>
      <c r="O211" s="348"/>
      <c r="P211" s="325"/>
      <c r="Q211" s="325"/>
      <c r="R211" s="325"/>
      <c r="S211" s="325"/>
      <c r="T211" s="325"/>
      <c r="U211" s="325"/>
      <c r="V211" s="325"/>
      <c r="W211" s="325"/>
      <c r="X211" s="325"/>
      <c r="Y211" s="325"/>
      <c r="Z211" s="325"/>
      <c r="AA211" s="325"/>
      <c r="AB211" s="325"/>
      <c r="AC211" s="325"/>
      <c r="AD211" s="325"/>
      <c r="AE211" s="325"/>
      <c r="AF211" s="325"/>
      <c r="AG211" s="325"/>
      <c r="AH211" s="325"/>
      <c r="AI211" s="325"/>
      <c r="AJ211" s="325"/>
      <c r="AK211" s="325"/>
      <c r="AL211" s="325"/>
      <c r="AM211" s="325"/>
      <c r="AN211" s="325"/>
      <c r="AO211" s="325"/>
      <c r="AP211" s="325"/>
      <c r="AQ211" s="325"/>
      <c r="AR211" s="325"/>
      <c r="AS211" s="325"/>
      <c r="AT211" s="325"/>
      <c r="AU211" s="325"/>
      <c r="AV211" s="325"/>
      <c r="AW211" s="325"/>
      <c r="AX211" s="325"/>
      <c r="AY211" s="325"/>
      <c r="AZ211" s="325"/>
      <c r="BA211" s="325"/>
      <c r="BB211" s="325"/>
      <c r="BC211" s="325"/>
      <c r="BD211" s="325"/>
      <c r="BE211" s="325"/>
      <c r="BF211" s="325"/>
      <c r="BG211" s="325"/>
      <c r="BH211" s="325"/>
      <c r="BI211" s="325"/>
      <c r="BJ211" s="325"/>
      <c r="BK211" s="325"/>
      <c r="BL211" s="325"/>
      <c r="BM211" s="325"/>
      <c r="BN211" s="325"/>
      <c r="BO211" s="325"/>
      <c r="BP211" s="325"/>
      <c r="BQ211" s="325"/>
      <c r="BR211" s="325"/>
      <c r="BS211" s="325"/>
      <c r="BT211" s="325"/>
      <c r="BU211" s="45"/>
      <c r="BV211" s="45"/>
      <c r="BW211" s="45"/>
      <c r="BX211" s="45"/>
      <c r="BY211" s="45"/>
      <c r="BZ211" s="45"/>
      <c r="CA211" s="339"/>
    </row>
    <row r="212" spans="2:79" s="331" customFormat="1" hidden="1" x14ac:dyDescent="0.2">
      <c r="B212" s="329"/>
      <c r="C212" s="329"/>
      <c r="D212" s="356"/>
      <c r="E212" s="347"/>
      <c r="F212" s="347"/>
      <c r="G212" s="346" t="str">
        <f t="shared" ref="G212:G217" si="5">E13</f>
        <v>Página web</v>
      </c>
      <c r="H212" s="347"/>
      <c r="I212" s="367">
        <f t="shared" ref="I212:J217" si="6">I13</f>
        <v>0</v>
      </c>
      <c r="J212" s="368" t="str">
        <f t="shared" si="6"/>
        <v>Enero</v>
      </c>
      <c r="K212" s="347"/>
      <c r="L212" s="347"/>
      <c r="M212" s="347"/>
      <c r="N212" s="347"/>
      <c r="O212" s="348"/>
      <c r="P212" s="325"/>
      <c r="Q212" s="325"/>
      <c r="R212" s="325"/>
      <c r="S212" s="325"/>
      <c r="T212" s="325"/>
      <c r="U212" s="325"/>
      <c r="V212" s="325"/>
      <c r="W212" s="325"/>
      <c r="X212" s="325"/>
      <c r="Y212" s="325"/>
      <c r="Z212" s="325"/>
      <c r="AA212" s="325"/>
      <c r="AB212" s="325"/>
      <c r="AC212" s="325"/>
      <c r="AD212" s="325"/>
      <c r="AE212" s="325"/>
      <c r="AF212" s="325"/>
      <c r="AG212" s="325"/>
      <c r="AH212" s="325"/>
      <c r="AI212" s="325"/>
      <c r="AJ212" s="325"/>
      <c r="AK212" s="325"/>
      <c r="AL212" s="325"/>
      <c r="AM212" s="325"/>
      <c r="AN212" s="325"/>
      <c r="AO212" s="325"/>
      <c r="AP212" s="325"/>
      <c r="AQ212" s="325"/>
      <c r="AR212" s="325"/>
      <c r="AS212" s="325"/>
      <c r="AT212" s="325"/>
      <c r="AU212" s="325"/>
      <c r="AV212" s="325"/>
      <c r="AW212" s="325"/>
      <c r="AX212" s="325"/>
      <c r="AY212" s="325"/>
      <c r="AZ212" s="325"/>
      <c r="BA212" s="325"/>
      <c r="BB212" s="325"/>
      <c r="BC212" s="325"/>
      <c r="BD212" s="325"/>
      <c r="BE212" s="325"/>
      <c r="BF212" s="325"/>
      <c r="BG212" s="325"/>
      <c r="BH212" s="325"/>
      <c r="BI212" s="325"/>
      <c r="BJ212" s="325"/>
      <c r="BK212" s="325"/>
      <c r="BL212" s="325"/>
      <c r="BM212" s="325"/>
      <c r="BN212" s="325"/>
      <c r="BO212" s="325"/>
      <c r="BP212" s="325"/>
      <c r="BQ212" s="325"/>
      <c r="BR212" s="325"/>
      <c r="BS212" s="325"/>
      <c r="BT212" s="325"/>
      <c r="BU212" s="45"/>
      <c r="BV212" s="45"/>
      <c r="BW212" s="45"/>
      <c r="BX212" s="45"/>
      <c r="BY212" s="45"/>
      <c r="BZ212" s="45"/>
      <c r="CA212" s="339"/>
    </row>
    <row r="213" spans="2:79" s="331" customFormat="1" hidden="1" x14ac:dyDescent="0.2">
      <c r="B213" s="329"/>
      <c r="C213" s="329"/>
      <c r="D213" s="356"/>
      <c r="E213" s="347"/>
      <c r="F213" s="347"/>
      <c r="G213" s="346" t="str">
        <f t="shared" si="5"/>
        <v>Software standard</v>
      </c>
      <c r="H213" s="347"/>
      <c r="I213" s="367">
        <f t="shared" si="6"/>
        <v>0</v>
      </c>
      <c r="J213" s="368" t="str">
        <f t="shared" si="6"/>
        <v>Enero</v>
      </c>
      <c r="K213" s="347"/>
      <c r="L213" s="347"/>
      <c r="M213" s="347"/>
      <c r="N213" s="347"/>
      <c r="O213" s="348"/>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45"/>
      <c r="BV213" s="45"/>
      <c r="BW213" s="45"/>
      <c r="BX213" s="45"/>
      <c r="BY213" s="45"/>
      <c r="BZ213" s="45"/>
      <c r="CA213" s="339"/>
    </row>
    <row r="214" spans="2:79" s="331" customFormat="1" hidden="1" x14ac:dyDescent="0.2">
      <c r="B214" s="329"/>
      <c r="C214" s="329"/>
      <c r="D214" s="356"/>
      <c r="E214" s="347"/>
      <c r="F214" s="347"/>
      <c r="G214" s="346" t="str">
        <f t="shared" si="5"/>
        <v>Traspaso</v>
      </c>
      <c r="H214" s="347"/>
      <c r="I214" s="367">
        <f t="shared" si="6"/>
        <v>0</v>
      </c>
      <c r="J214" s="368" t="str">
        <f t="shared" si="6"/>
        <v>Enero</v>
      </c>
      <c r="K214" s="347"/>
      <c r="L214" s="347"/>
      <c r="M214" s="347"/>
      <c r="N214" s="347"/>
      <c r="O214" s="348"/>
      <c r="P214" s="325"/>
      <c r="Q214" s="325"/>
      <c r="R214" s="325"/>
      <c r="S214" s="325"/>
      <c r="T214" s="325"/>
      <c r="U214" s="325"/>
      <c r="V214" s="325"/>
      <c r="W214" s="325"/>
      <c r="X214" s="325"/>
      <c r="Y214" s="325"/>
      <c r="Z214" s="325"/>
      <c r="AA214" s="325"/>
      <c r="AB214" s="325"/>
      <c r="AC214" s="325"/>
      <c r="AD214" s="325"/>
      <c r="AE214" s="325"/>
      <c r="AF214" s="325"/>
      <c r="AG214" s="325"/>
      <c r="AH214" s="325"/>
      <c r="AI214" s="325"/>
      <c r="AJ214" s="325"/>
      <c r="AK214" s="325"/>
      <c r="AL214" s="325"/>
      <c r="AM214" s="325"/>
      <c r="AN214" s="325"/>
      <c r="AO214" s="325"/>
      <c r="AP214" s="325"/>
      <c r="AQ214" s="325"/>
      <c r="AR214" s="325"/>
      <c r="AS214" s="325"/>
      <c r="AT214" s="325"/>
      <c r="AU214" s="325"/>
      <c r="AV214" s="325"/>
      <c r="AW214" s="325"/>
      <c r="AX214" s="325"/>
      <c r="AY214" s="325"/>
      <c r="AZ214" s="325"/>
      <c r="BA214" s="325"/>
      <c r="BB214" s="325"/>
      <c r="BC214" s="325"/>
      <c r="BD214" s="325"/>
      <c r="BE214" s="325"/>
      <c r="BF214" s="325"/>
      <c r="BG214" s="325"/>
      <c r="BH214" s="325"/>
      <c r="BI214" s="325"/>
      <c r="BJ214" s="325"/>
      <c r="BK214" s="325"/>
      <c r="BL214" s="325"/>
      <c r="BM214" s="325"/>
      <c r="BN214" s="325"/>
      <c r="BO214" s="325"/>
      <c r="BP214" s="325"/>
      <c r="BQ214" s="325"/>
      <c r="BR214" s="325"/>
      <c r="BS214" s="325"/>
      <c r="BT214" s="325"/>
      <c r="BU214" s="45"/>
      <c r="BV214" s="45"/>
      <c r="BW214" s="45"/>
      <c r="BX214" s="45"/>
      <c r="BY214" s="45"/>
      <c r="BZ214" s="45"/>
      <c r="CA214" s="339"/>
    </row>
    <row r="215" spans="2:79" s="331" customFormat="1" hidden="1" x14ac:dyDescent="0.2">
      <c r="B215" s="329"/>
      <c r="C215" s="329"/>
      <c r="D215" s="356"/>
      <c r="E215" s="347"/>
      <c r="F215" s="347"/>
      <c r="G215" s="346" t="str">
        <f t="shared" si="5"/>
        <v>Patentes y marca</v>
      </c>
      <c r="H215" s="347"/>
      <c r="I215" s="367">
        <f t="shared" si="6"/>
        <v>0</v>
      </c>
      <c r="J215" s="368" t="str">
        <f t="shared" si="6"/>
        <v>Enero</v>
      </c>
      <c r="K215" s="347"/>
      <c r="L215" s="347"/>
      <c r="M215" s="347"/>
      <c r="N215" s="347"/>
      <c r="O215" s="348"/>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25"/>
      <c r="BL215" s="325"/>
      <c r="BM215" s="325"/>
      <c r="BN215" s="325"/>
      <c r="BO215" s="325"/>
      <c r="BP215" s="325"/>
      <c r="BQ215" s="325"/>
      <c r="BR215" s="325"/>
      <c r="BS215" s="325"/>
      <c r="BT215" s="325"/>
      <c r="BU215" s="45"/>
      <c r="BV215" s="45"/>
      <c r="BW215" s="45"/>
      <c r="BX215" s="45"/>
      <c r="BY215" s="45"/>
      <c r="BZ215" s="45"/>
      <c r="CA215" s="339"/>
    </row>
    <row r="216" spans="2:79" s="331" customFormat="1" hidden="1" x14ac:dyDescent="0.2">
      <c r="B216" s="329"/>
      <c r="C216" s="329"/>
      <c r="D216" s="356"/>
      <c r="E216" s="347"/>
      <c r="F216" s="347"/>
      <c r="G216" s="346" t="str">
        <f t="shared" si="5"/>
        <v>Otros activos intangibles</v>
      </c>
      <c r="H216" s="347"/>
      <c r="I216" s="367">
        <f t="shared" si="6"/>
        <v>0</v>
      </c>
      <c r="J216" s="368" t="str">
        <f t="shared" si="6"/>
        <v>Enero</v>
      </c>
      <c r="K216" s="347"/>
      <c r="L216" s="347"/>
      <c r="M216" s="347"/>
      <c r="N216" s="347"/>
      <c r="O216" s="348"/>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45"/>
      <c r="BV216" s="45"/>
      <c r="BW216" s="45"/>
      <c r="BX216" s="45"/>
      <c r="BY216" s="45"/>
      <c r="BZ216" s="45"/>
      <c r="CA216" s="339"/>
    </row>
    <row r="217" spans="2:79" s="331" customFormat="1" hidden="1" x14ac:dyDescent="0.2">
      <c r="B217" s="329"/>
      <c r="C217" s="329"/>
      <c r="D217" s="356"/>
      <c r="E217" s="347"/>
      <c r="F217" s="347"/>
      <c r="G217" s="349" t="str">
        <f t="shared" si="5"/>
        <v>Activos intangibles 2</v>
      </c>
      <c r="H217" s="350"/>
      <c r="I217" s="363">
        <f t="shared" si="6"/>
        <v>0</v>
      </c>
      <c r="J217" s="369" t="str">
        <f t="shared" si="6"/>
        <v>Enero</v>
      </c>
      <c r="K217" s="347"/>
      <c r="L217" s="347"/>
      <c r="M217" s="347"/>
      <c r="N217" s="347"/>
      <c r="O217" s="348"/>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45"/>
      <c r="BV217" s="45"/>
      <c r="BW217" s="45"/>
      <c r="BX217" s="45"/>
      <c r="BY217" s="45"/>
      <c r="BZ217" s="45"/>
      <c r="CA217" s="339"/>
    </row>
    <row r="218" spans="2:79" s="331" customFormat="1" hidden="1" x14ac:dyDescent="0.2">
      <c r="B218" s="329"/>
      <c r="C218" s="329"/>
      <c r="D218" s="356"/>
      <c r="E218" s="347"/>
      <c r="F218" s="347"/>
      <c r="G218" s="367"/>
      <c r="H218" s="347"/>
      <c r="I218" s="367"/>
      <c r="J218" s="367"/>
      <c r="K218" s="347"/>
      <c r="L218" s="347"/>
      <c r="M218" s="347"/>
      <c r="N218" s="347"/>
      <c r="O218" s="348"/>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c r="AR218" s="325"/>
      <c r="AS218" s="325"/>
      <c r="AT218" s="325"/>
      <c r="AU218" s="325"/>
      <c r="AV218" s="325"/>
      <c r="AW218" s="325"/>
      <c r="AX218" s="325"/>
      <c r="AY218" s="325"/>
      <c r="AZ218" s="325"/>
      <c r="BA218" s="325"/>
      <c r="BB218" s="325"/>
      <c r="BC218" s="325"/>
      <c r="BD218" s="325"/>
      <c r="BE218" s="325"/>
      <c r="BF218" s="325"/>
      <c r="BG218" s="325"/>
      <c r="BH218" s="325"/>
      <c r="BI218" s="325"/>
      <c r="BJ218" s="325"/>
      <c r="BK218" s="325"/>
      <c r="BL218" s="325"/>
      <c r="BM218" s="325"/>
      <c r="BN218" s="325"/>
      <c r="BO218" s="325"/>
      <c r="BP218" s="325"/>
      <c r="BQ218" s="325"/>
      <c r="BR218" s="325"/>
      <c r="BS218" s="325"/>
      <c r="BT218" s="325"/>
      <c r="BU218" s="45"/>
      <c r="BV218" s="45"/>
      <c r="BW218" s="45"/>
      <c r="BX218" s="45"/>
      <c r="BY218" s="45"/>
      <c r="BZ218" s="45"/>
      <c r="CA218" s="339"/>
    </row>
    <row r="219" spans="2:79" s="331" customFormat="1" hidden="1" x14ac:dyDescent="0.2">
      <c r="B219" s="329"/>
      <c r="C219" s="329"/>
      <c r="D219" s="356"/>
      <c r="E219" s="347"/>
      <c r="F219" s="347"/>
      <c r="G219" s="367" t="s">
        <v>649</v>
      </c>
      <c r="H219" s="347"/>
      <c r="I219" s="367">
        <f>SUM(I5:I10,I13:I18)+I20</f>
        <v>0</v>
      </c>
      <c r="J219" s="367"/>
      <c r="K219" s="347"/>
      <c r="L219" s="347"/>
      <c r="M219" s="347"/>
      <c r="N219" s="347"/>
      <c r="O219" s="348"/>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45"/>
      <c r="BV219" s="45"/>
      <c r="BW219" s="45"/>
      <c r="BX219" s="45"/>
      <c r="BY219" s="45"/>
      <c r="BZ219" s="45"/>
      <c r="CA219" s="339"/>
    </row>
    <row r="220" spans="2:79" s="331" customFormat="1" hidden="1" x14ac:dyDescent="0.2">
      <c r="B220" s="329"/>
      <c r="C220" s="329"/>
      <c r="D220" s="356"/>
      <c r="E220" s="347"/>
      <c r="F220" s="347"/>
      <c r="G220" s="367" t="s">
        <v>645</v>
      </c>
      <c r="H220" s="347"/>
      <c r="I220" s="367">
        <f>SUM(I23:I27)</f>
        <v>0</v>
      </c>
      <c r="J220" s="367"/>
      <c r="K220" s="347"/>
      <c r="L220" s="347"/>
      <c r="M220" s="347"/>
      <c r="N220" s="347"/>
      <c r="O220" s="348"/>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c r="AR220" s="325"/>
      <c r="AS220" s="325"/>
      <c r="AT220" s="325"/>
      <c r="AU220" s="325"/>
      <c r="AV220" s="325"/>
      <c r="AW220" s="325"/>
      <c r="AX220" s="325"/>
      <c r="AY220" s="325"/>
      <c r="AZ220" s="325"/>
      <c r="BA220" s="325"/>
      <c r="BB220" s="325"/>
      <c r="BC220" s="325"/>
      <c r="BD220" s="325"/>
      <c r="BE220" s="325"/>
      <c r="BF220" s="325"/>
      <c r="BG220" s="325"/>
      <c r="BH220" s="325"/>
      <c r="BI220" s="325"/>
      <c r="BJ220" s="325"/>
      <c r="BK220" s="325"/>
      <c r="BL220" s="325"/>
      <c r="BM220" s="325"/>
      <c r="BN220" s="325"/>
      <c r="BO220" s="325"/>
      <c r="BP220" s="325"/>
      <c r="BQ220" s="325"/>
      <c r="BR220" s="325"/>
      <c r="BS220" s="325"/>
      <c r="BT220" s="325"/>
      <c r="BU220" s="45"/>
      <c r="BV220" s="45"/>
      <c r="BW220" s="45"/>
      <c r="BX220" s="45"/>
      <c r="BY220" s="45"/>
      <c r="BZ220" s="45"/>
      <c r="CA220" s="339"/>
    </row>
    <row r="221" spans="2:79" s="331" customFormat="1" hidden="1" x14ac:dyDescent="0.2">
      <c r="B221" s="329"/>
      <c r="C221" s="329"/>
      <c r="D221" s="356"/>
      <c r="E221" s="347"/>
      <c r="F221" s="347"/>
      <c r="G221" s="367"/>
      <c r="H221" s="347"/>
      <c r="I221" s="367"/>
      <c r="J221" s="367"/>
      <c r="K221" s="347"/>
      <c r="L221" s="347"/>
      <c r="M221" s="347"/>
      <c r="N221" s="347"/>
      <c r="O221" s="348"/>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5"/>
      <c r="BS221" s="325"/>
      <c r="BT221" s="325"/>
      <c r="BU221" s="45"/>
      <c r="BV221" s="45"/>
      <c r="BW221" s="45"/>
      <c r="BX221" s="45"/>
      <c r="BY221" s="45"/>
      <c r="BZ221" s="45"/>
      <c r="CA221" s="339"/>
    </row>
    <row r="222" spans="2:79" s="331" customFormat="1" hidden="1" x14ac:dyDescent="0.2">
      <c r="B222" s="329"/>
      <c r="C222" s="329"/>
      <c r="D222" s="356"/>
      <c r="E222" s="347"/>
      <c r="F222" s="347"/>
      <c r="G222" s="367"/>
      <c r="H222" s="347"/>
      <c r="I222" s="367"/>
      <c r="J222" s="367"/>
      <c r="K222" s="347"/>
      <c r="L222" s="347"/>
      <c r="M222" s="347"/>
      <c r="N222" s="347"/>
      <c r="O222" s="348"/>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c r="AR222" s="325"/>
      <c r="AS222" s="325"/>
      <c r="AT222" s="325"/>
      <c r="AU222" s="325"/>
      <c r="AV222" s="325"/>
      <c r="AW222" s="325"/>
      <c r="AX222" s="325"/>
      <c r="AY222" s="325"/>
      <c r="AZ222" s="325"/>
      <c r="BA222" s="325"/>
      <c r="BB222" s="325"/>
      <c r="BC222" s="325"/>
      <c r="BD222" s="325"/>
      <c r="BE222" s="325"/>
      <c r="BF222" s="325"/>
      <c r="BG222" s="325"/>
      <c r="BH222" s="325"/>
      <c r="BI222" s="325"/>
      <c r="BJ222" s="325"/>
      <c r="BK222" s="325"/>
      <c r="BL222" s="325"/>
      <c r="BM222" s="325"/>
      <c r="BN222" s="325"/>
      <c r="BO222" s="325"/>
      <c r="BP222" s="325"/>
      <c r="BQ222" s="325"/>
      <c r="BR222" s="325"/>
      <c r="BS222" s="325"/>
      <c r="BT222" s="325"/>
      <c r="BU222" s="45"/>
      <c r="BV222" s="45"/>
      <c r="BW222" s="45"/>
      <c r="BX222" s="45"/>
      <c r="BY222" s="45"/>
      <c r="BZ222" s="45"/>
      <c r="CA222" s="339"/>
    </row>
    <row r="223" spans="2:79" s="331" customFormat="1" x14ac:dyDescent="0.2">
      <c r="B223" s="329"/>
      <c r="C223" s="329"/>
      <c r="D223" s="359"/>
      <c r="E223" s="350"/>
      <c r="F223" s="350"/>
      <c r="G223" s="350"/>
      <c r="H223" s="350"/>
      <c r="I223" s="350"/>
      <c r="J223" s="350"/>
      <c r="K223" s="350"/>
      <c r="L223" s="350"/>
      <c r="M223" s="350"/>
      <c r="N223" s="350"/>
      <c r="O223" s="351"/>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45"/>
      <c r="BV223" s="45"/>
      <c r="BW223" s="45"/>
      <c r="BX223" s="45"/>
      <c r="BY223" s="45"/>
      <c r="BZ223" s="45"/>
      <c r="CA223" s="339"/>
    </row>
    <row r="224" spans="2:79" s="331" customFormat="1" x14ac:dyDescent="0.2">
      <c r="B224" s="329"/>
      <c r="C224" s="329"/>
      <c r="D224" s="329"/>
      <c r="E224" s="329"/>
      <c r="F224" s="329"/>
      <c r="G224" s="329"/>
      <c r="H224" s="329"/>
      <c r="I224" s="329"/>
      <c r="J224" s="329"/>
      <c r="K224" s="329"/>
      <c r="L224" s="329"/>
      <c r="M224" s="329"/>
      <c r="N224" s="325"/>
      <c r="O224" s="325"/>
      <c r="P224" s="325"/>
      <c r="Q224" s="325"/>
      <c r="R224" s="325"/>
      <c r="S224" s="325"/>
      <c r="T224" s="325"/>
      <c r="U224" s="325"/>
      <c r="V224" s="325"/>
      <c r="W224" s="325"/>
      <c r="X224" s="325"/>
      <c r="Y224" s="325"/>
      <c r="Z224" s="325"/>
      <c r="AA224" s="325"/>
      <c r="AB224" s="325"/>
      <c r="AC224" s="325"/>
      <c r="AD224" s="325"/>
      <c r="AE224" s="325"/>
      <c r="AF224" s="325"/>
      <c r="AG224" s="325"/>
      <c r="AH224" s="325"/>
      <c r="AI224" s="325"/>
      <c r="AJ224" s="325"/>
      <c r="AK224" s="325"/>
      <c r="AL224" s="325"/>
      <c r="AM224" s="325"/>
      <c r="AN224" s="325"/>
      <c r="AO224" s="325"/>
      <c r="AP224" s="325"/>
      <c r="AQ224" s="325"/>
      <c r="AR224" s="325"/>
      <c r="AS224" s="325"/>
      <c r="AT224" s="325"/>
      <c r="AU224" s="325"/>
      <c r="AV224" s="325"/>
      <c r="AW224" s="325"/>
      <c r="AX224" s="325"/>
      <c r="AY224" s="325"/>
      <c r="AZ224" s="325"/>
      <c r="BA224" s="325"/>
      <c r="BB224" s="325"/>
      <c r="BC224" s="325"/>
      <c r="BD224" s="325"/>
      <c r="BE224" s="325"/>
      <c r="BF224" s="325"/>
      <c r="BG224" s="325"/>
      <c r="BH224" s="325"/>
      <c r="BI224" s="325"/>
      <c r="BJ224" s="325"/>
      <c r="BK224" s="325"/>
      <c r="BL224" s="325"/>
      <c r="BM224" s="325"/>
      <c r="BN224" s="325"/>
      <c r="BO224" s="325"/>
      <c r="BP224" s="325"/>
      <c r="BQ224" s="325"/>
      <c r="BR224" s="325"/>
      <c r="BS224" s="325"/>
      <c r="BT224" s="325"/>
      <c r="BU224" s="45"/>
      <c r="BV224" s="45"/>
      <c r="BW224" s="45"/>
      <c r="BX224" s="45"/>
      <c r="BY224" s="45"/>
      <c r="BZ224" s="45"/>
      <c r="CA224" s="339"/>
    </row>
    <row r="225" spans="2:79" s="331" customFormat="1" x14ac:dyDescent="0.2">
      <c r="B225" s="329"/>
      <c r="C225" s="329"/>
      <c r="D225" s="329"/>
      <c r="E225" s="329"/>
      <c r="F225" s="329"/>
      <c r="G225" s="329"/>
      <c r="H225" s="329"/>
      <c r="I225" s="329"/>
      <c r="J225" s="329"/>
      <c r="K225" s="329"/>
      <c r="L225" s="329"/>
      <c r="M225" s="329"/>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325"/>
      <c r="BS225" s="325"/>
      <c r="BT225" s="325"/>
      <c r="BU225" s="45"/>
      <c r="BV225" s="45"/>
      <c r="BW225" s="45"/>
      <c r="BX225" s="45"/>
      <c r="BY225" s="45"/>
      <c r="BZ225" s="45"/>
      <c r="CA225" s="339"/>
    </row>
    <row r="226" spans="2:79" s="331" customFormat="1" x14ac:dyDescent="0.2">
      <c r="B226" s="329"/>
      <c r="C226" s="329"/>
      <c r="D226" s="329"/>
      <c r="E226" s="329"/>
      <c r="F226" s="329"/>
      <c r="G226" s="329"/>
      <c r="H226" s="329"/>
      <c r="I226" s="329"/>
      <c r="J226" s="329"/>
      <c r="K226" s="329"/>
      <c r="L226" s="329"/>
      <c r="M226" s="329"/>
      <c r="N226" s="325"/>
      <c r="O226" s="325"/>
      <c r="P226" s="325"/>
      <c r="Q226" s="325"/>
      <c r="R226" s="325"/>
      <c r="S226" s="325"/>
      <c r="T226" s="325"/>
      <c r="U226" s="325"/>
      <c r="V226" s="325"/>
      <c r="W226" s="325"/>
      <c r="X226" s="325"/>
      <c r="Y226" s="325"/>
      <c r="Z226" s="325"/>
      <c r="AA226" s="325"/>
      <c r="AB226" s="325"/>
      <c r="AC226" s="325"/>
      <c r="AD226" s="325"/>
      <c r="AE226" s="325"/>
      <c r="AF226" s="325"/>
      <c r="AG226" s="325"/>
      <c r="AH226" s="325"/>
      <c r="AI226" s="325"/>
      <c r="AJ226" s="325"/>
      <c r="AK226" s="325"/>
      <c r="AL226" s="325"/>
      <c r="AM226" s="325"/>
      <c r="AN226" s="325"/>
      <c r="AO226" s="325"/>
      <c r="AP226" s="325"/>
      <c r="AQ226" s="325"/>
      <c r="AR226" s="325"/>
      <c r="AS226" s="325"/>
      <c r="AT226" s="325"/>
      <c r="AU226" s="325"/>
      <c r="AV226" s="325"/>
      <c r="AW226" s="325"/>
      <c r="AX226" s="325"/>
      <c r="AY226" s="325"/>
      <c r="AZ226" s="325"/>
      <c r="BA226" s="325"/>
      <c r="BB226" s="325"/>
      <c r="BC226" s="325"/>
      <c r="BD226" s="325"/>
      <c r="BE226" s="325"/>
      <c r="BF226" s="325"/>
      <c r="BG226" s="325"/>
      <c r="BH226" s="325"/>
      <c r="BI226" s="325"/>
      <c r="BJ226" s="325"/>
      <c r="BK226" s="325"/>
      <c r="BL226" s="325"/>
      <c r="BM226" s="325"/>
      <c r="BN226" s="325"/>
      <c r="BO226" s="325"/>
      <c r="BP226" s="325"/>
      <c r="BQ226" s="325"/>
      <c r="BR226" s="325"/>
      <c r="BS226" s="325"/>
      <c r="BT226" s="325"/>
      <c r="BU226" s="45"/>
      <c r="BV226" s="45"/>
      <c r="BW226" s="45"/>
      <c r="BX226" s="45"/>
      <c r="BY226" s="45"/>
      <c r="BZ226" s="45"/>
      <c r="CA226" s="339"/>
    </row>
    <row r="227" spans="2:79" s="331" customFormat="1" x14ac:dyDescent="0.2">
      <c r="B227" s="329"/>
      <c r="C227" s="329"/>
      <c r="D227" s="329"/>
      <c r="E227" s="329"/>
      <c r="F227" s="329"/>
      <c r="G227" s="329"/>
      <c r="H227" s="329"/>
      <c r="I227" s="329"/>
      <c r="J227" s="329"/>
      <c r="K227" s="329"/>
      <c r="L227" s="329"/>
      <c r="M227" s="329"/>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325"/>
      <c r="BS227" s="325"/>
      <c r="BT227" s="325"/>
      <c r="BU227" s="45"/>
      <c r="BV227" s="45"/>
      <c r="BW227" s="45"/>
      <c r="BX227" s="45"/>
      <c r="BY227" s="45"/>
      <c r="BZ227" s="45"/>
      <c r="CA227" s="339"/>
    </row>
    <row r="228" spans="2:79" s="331" customFormat="1" x14ac:dyDescent="0.2">
      <c r="B228" s="329"/>
      <c r="C228" s="329"/>
      <c r="D228" s="329"/>
      <c r="E228" s="329"/>
      <c r="F228" s="329"/>
      <c r="G228" s="329"/>
      <c r="H228" s="329"/>
      <c r="I228" s="329"/>
      <c r="J228" s="329"/>
      <c r="K228" s="329"/>
      <c r="L228" s="329"/>
      <c r="M228" s="329"/>
      <c r="N228" s="325"/>
      <c r="O228" s="325"/>
      <c r="P228" s="325"/>
      <c r="Q228" s="325"/>
      <c r="R228" s="325"/>
      <c r="S228" s="325"/>
      <c r="T228" s="325"/>
      <c r="U228" s="325"/>
      <c r="V228" s="325"/>
      <c r="W228" s="325"/>
      <c r="X228" s="325"/>
      <c r="Y228" s="325"/>
      <c r="Z228" s="325"/>
      <c r="AA228" s="325"/>
      <c r="AB228" s="325"/>
      <c r="AC228" s="325"/>
      <c r="AD228" s="325"/>
      <c r="AE228" s="325"/>
      <c r="AF228" s="325"/>
      <c r="AG228" s="325"/>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5"/>
      <c r="BM228" s="325"/>
      <c r="BN228" s="325"/>
      <c r="BO228" s="325"/>
      <c r="BP228" s="325"/>
      <c r="BQ228" s="325"/>
      <c r="BR228" s="325"/>
      <c r="BS228" s="325"/>
      <c r="BT228" s="325"/>
      <c r="BU228" s="45"/>
      <c r="BV228" s="45"/>
      <c r="BW228" s="45"/>
      <c r="BX228" s="45"/>
      <c r="BY228" s="45"/>
      <c r="BZ228" s="45"/>
      <c r="CA228" s="339"/>
    </row>
    <row r="229" spans="2:79" s="331" customFormat="1" x14ac:dyDescent="0.2">
      <c r="B229" s="329"/>
      <c r="C229" s="329"/>
      <c r="D229" s="329"/>
      <c r="E229" s="329"/>
      <c r="F229" s="329"/>
      <c r="G229" s="329"/>
      <c r="H229" s="329"/>
      <c r="I229" s="329"/>
      <c r="J229" s="329"/>
      <c r="K229" s="329"/>
      <c r="L229" s="329"/>
      <c r="M229" s="329"/>
      <c r="N229" s="325"/>
      <c r="O229" s="325"/>
      <c r="P229" s="325"/>
      <c r="Q229" s="325"/>
      <c r="R229" s="325"/>
      <c r="S229" s="325"/>
      <c r="T229" s="325"/>
      <c r="U229" s="325"/>
      <c r="V229" s="325"/>
      <c r="W229" s="325"/>
      <c r="X229" s="325"/>
      <c r="Y229" s="325"/>
      <c r="Z229" s="325"/>
      <c r="AA229" s="325"/>
      <c r="AB229" s="325"/>
      <c r="AC229" s="325"/>
      <c r="AD229" s="325"/>
      <c r="AE229" s="325"/>
      <c r="AF229" s="325"/>
      <c r="AG229" s="325"/>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c r="BK229" s="325"/>
      <c r="BL229" s="325"/>
      <c r="BM229" s="325"/>
      <c r="BN229" s="325"/>
      <c r="BO229" s="325"/>
      <c r="BP229" s="325"/>
      <c r="BQ229" s="325"/>
      <c r="BR229" s="325"/>
      <c r="BS229" s="325"/>
      <c r="BT229" s="325"/>
      <c r="BU229" s="45"/>
      <c r="BV229" s="45"/>
      <c r="BW229" s="45"/>
      <c r="BX229" s="45"/>
      <c r="BY229" s="45"/>
      <c r="BZ229" s="45"/>
      <c r="CA229" s="339"/>
    </row>
    <row r="230" spans="2:79" s="331" customFormat="1" x14ac:dyDescent="0.2">
      <c r="B230" s="329"/>
      <c r="C230" s="329"/>
      <c r="D230" s="329"/>
      <c r="E230" s="329"/>
      <c r="F230" s="329"/>
      <c r="G230" s="329"/>
      <c r="H230" s="329"/>
      <c r="I230" s="329"/>
      <c r="J230" s="329"/>
      <c r="K230" s="329"/>
      <c r="L230" s="329"/>
      <c r="M230" s="329"/>
      <c r="N230" s="325"/>
      <c r="O230" s="325"/>
      <c r="P230" s="325"/>
      <c r="Q230" s="325"/>
      <c r="R230" s="325"/>
      <c r="S230" s="325"/>
      <c r="T230" s="325"/>
      <c r="U230" s="325"/>
      <c r="V230" s="325"/>
      <c r="W230" s="325"/>
      <c r="X230" s="325"/>
      <c r="Y230" s="325"/>
      <c r="Z230" s="325"/>
      <c r="AA230" s="325"/>
      <c r="AB230" s="325"/>
      <c r="AC230" s="325"/>
      <c r="AD230" s="325"/>
      <c r="AE230" s="325"/>
      <c r="AF230" s="325"/>
      <c r="AG230" s="325"/>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c r="BT230" s="325"/>
      <c r="BU230" s="45"/>
      <c r="BV230" s="45"/>
      <c r="BW230" s="45"/>
      <c r="BX230" s="45"/>
      <c r="BY230" s="45"/>
      <c r="BZ230" s="45"/>
      <c r="CA230" s="339"/>
    </row>
    <row r="231" spans="2:79" s="331" customFormat="1" x14ac:dyDescent="0.2">
      <c r="B231" s="329"/>
      <c r="C231" s="329"/>
      <c r="D231" s="329"/>
      <c r="E231" s="329"/>
      <c r="F231" s="329"/>
      <c r="G231" s="329"/>
      <c r="H231" s="329"/>
      <c r="I231" s="329"/>
      <c r="J231" s="329"/>
      <c r="K231" s="329"/>
      <c r="L231" s="329"/>
      <c r="M231" s="329"/>
      <c r="N231" s="325"/>
      <c r="O231" s="325"/>
      <c r="P231" s="325"/>
      <c r="Q231" s="325"/>
      <c r="R231" s="325"/>
      <c r="S231" s="325"/>
      <c r="T231" s="325"/>
      <c r="U231" s="325"/>
      <c r="V231" s="325"/>
      <c r="W231" s="325"/>
      <c r="X231" s="325"/>
      <c r="Y231" s="325"/>
      <c r="Z231" s="325"/>
      <c r="AA231" s="325"/>
      <c r="AB231" s="325"/>
      <c r="AC231" s="325"/>
      <c r="AD231" s="325"/>
      <c r="AE231" s="325"/>
      <c r="AF231" s="325"/>
      <c r="AG231" s="325"/>
      <c r="AH231" s="325"/>
      <c r="AI231" s="325"/>
      <c r="AJ231" s="325"/>
      <c r="AK231" s="325"/>
      <c r="AL231" s="325"/>
      <c r="AM231" s="325"/>
      <c r="AN231" s="325"/>
      <c r="AO231" s="325"/>
      <c r="AP231" s="325"/>
      <c r="AQ231" s="325"/>
      <c r="AR231" s="325"/>
      <c r="AS231" s="325"/>
      <c r="AT231" s="325"/>
      <c r="AU231" s="325"/>
      <c r="AV231" s="325"/>
      <c r="AW231" s="325"/>
      <c r="AX231" s="325"/>
      <c r="AY231" s="325"/>
      <c r="AZ231" s="325"/>
      <c r="BA231" s="325"/>
      <c r="BB231" s="325"/>
      <c r="BC231" s="325"/>
      <c r="BD231" s="325"/>
      <c r="BE231" s="325"/>
      <c r="BF231" s="325"/>
      <c r="BG231" s="325"/>
      <c r="BH231" s="325"/>
      <c r="BI231" s="325"/>
      <c r="BJ231" s="325"/>
      <c r="BK231" s="325"/>
      <c r="BL231" s="325"/>
      <c r="BM231" s="325"/>
      <c r="BN231" s="325"/>
      <c r="BO231" s="325"/>
      <c r="BP231" s="325"/>
      <c r="BQ231" s="325"/>
      <c r="BR231" s="325"/>
      <c r="BS231" s="325"/>
      <c r="BT231" s="325"/>
      <c r="BU231" s="45"/>
      <c r="BV231" s="45"/>
      <c r="BW231" s="45"/>
      <c r="BX231" s="45"/>
      <c r="BY231" s="45"/>
      <c r="BZ231" s="45"/>
      <c r="CA231" s="339"/>
    </row>
    <row r="232" spans="2:79" s="331" customFormat="1" x14ac:dyDescent="0.2">
      <c r="B232" s="329"/>
      <c r="C232" s="329"/>
      <c r="D232" s="329"/>
      <c r="E232" s="329"/>
      <c r="F232" s="329"/>
      <c r="G232" s="329"/>
      <c r="H232" s="329"/>
      <c r="I232" s="329"/>
      <c r="J232" s="329"/>
      <c r="K232" s="329"/>
      <c r="L232" s="329"/>
      <c r="M232" s="329"/>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25"/>
      <c r="BS232" s="325"/>
      <c r="BT232" s="325"/>
      <c r="BU232" s="45"/>
      <c r="BV232" s="45"/>
      <c r="BW232" s="45"/>
      <c r="BX232" s="45"/>
      <c r="BY232" s="45"/>
      <c r="BZ232" s="45"/>
      <c r="CA232" s="339"/>
    </row>
    <row r="233" spans="2:79" s="331" customFormat="1" x14ac:dyDescent="0.2">
      <c r="B233" s="329"/>
      <c r="C233" s="329"/>
      <c r="D233" s="329"/>
      <c r="E233" s="329"/>
      <c r="F233" s="329"/>
      <c r="G233" s="329"/>
      <c r="H233" s="329"/>
      <c r="I233" s="329"/>
      <c r="J233" s="329"/>
      <c r="K233" s="329"/>
      <c r="L233" s="329"/>
      <c r="M233" s="329"/>
      <c r="N233" s="325"/>
      <c r="O233" s="325"/>
      <c r="P233" s="325"/>
      <c r="Q233" s="325"/>
      <c r="R233" s="325"/>
      <c r="S233" s="325"/>
      <c r="T233" s="325"/>
      <c r="U233" s="325"/>
      <c r="V233" s="325"/>
      <c r="W233" s="325"/>
      <c r="X233" s="325"/>
      <c r="Y233" s="325"/>
      <c r="Z233" s="325"/>
      <c r="AA233" s="325"/>
      <c r="AB233" s="325"/>
      <c r="AC233" s="325"/>
      <c r="AD233" s="325"/>
      <c r="AE233" s="325"/>
      <c r="AF233" s="325"/>
      <c r="AG233" s="325"/>
      <c r="AH233" s="325"/>
      <c r="AI233" s="325"/>
      <c r="AJ233" s="325"/>
      <c r="AK233" s="325"/>
      <c r="AL233" s="325"/>
      <c r="AM233" s="325"/>
      <c r="AN233" s="325"/>
      <c r="AO233" s="325"/>
      <c r="AP233" s="325"/>
      <c r="AQ233" s="325"/>
      <c r="AR233" s="325"/>
      <c r="AS233" s="325"/>
      <c r="AT233" s="325"/>
      <c r="AU233" s="325"/>
      <c r="AV233" s="325"/>
      <c r="AW233" s="325"/>
      <c r="AX233" s="325"/>
      <c r="AY233" s="325"/>
      <c r="AZ233" s="325"/>
      <c r="BA233" s="325"/>
      <c r="BB233" s="325"/>
      <c r="BC233" s="325"/>
      <c r="BD233" s="325"/>
      <c r="BE233" s="325"/>
      <c r="BF233" s="325"/>
      <c r="BG233" s="325"/>
      <c r="BH233" s="325"/>
      <c r="BI233" s="325"/>
      <c r="BJ233" s="325"/>
      <c r="BK233" s="325"/>
      <c r="BL233" s="325"/>
      <c r="BM233" s="325"/>
      <c r="BN233" s="325"/>
      <c r="BO233" s="325"/>
      <c r="BP233" s="325"/>
      <c r="BQ233" s="325"/>
      <c r="BR233" s="325"/>
      <c r="BS233" s="325"/>
      <c r="BT233" s="325"/>
      <c r="BU233" s="45"/>
      <c r="BV233" s="45"/>
      <c r="BW233" s="45"/>
      <c r="BX233" s="45"/>
      <c r="BY233" s="45"/>
      <c r="BZ233" s="45"/>
      <c r="CA233" s="339"/>
    </row>
    <row r="234" spans="2:79" s="331" customFormat="1" x14ac:dyDescent="0.2">
      <c r="B234" s="329"/>
      <c r="C234" s="329"/>
      <c r="D234" s="329"/>
      <c r="E234" s="329"/>
      <c r="F234" s="329"/>
      <c r="G234" s="329"/>
      <c r="H234" s="329"/>
      <c r="I234" s="329"/>
      <c r="J234" s="329"/>
      <c r="K234" s="329"/>
      <c r="L234" s="329"/>
      <c r="M234" s="329"/>
      <c r="N234" s="325"/>
      <c r="O234" s="325"/>
      <c r="P234" s="325"/>
      <c r="Q234" s="325"/>
      <c r="R234" s="325"/>
      <c r="S234" s="325"/>
      <c r="T234" s="325"/>
      <c r="U234" s="325"/>
      <c r="V234" s="325"/>
      <c r="W234" s="325"/>
      <c r="X234" s="325"/>
      <c r="Y234" s="325"/>
      <c r="Z234" s="325"/>
      <c r="AA234" s="325"/>
      <c r="AB234" s="325"/>
      <c r="AC234" s="325"/>
      <c r="AD234" s="325"/>
      <c r="AE234" s="325"/>
      <c r="AF234" s="325"/>
      <c r="AG234" s="325"/>
      <c r="AH234" s="325"/>
      <c r="AI234" s="325"/>
      <c r="AJ234" s="325"/>
      <c r="AK234" s="325"/>
      <c r="AL234" s="325"/>
      <c r="AM234" s="325"/>
      <c r="AN234" s="325"/>
      <c r="AO234" s="325"/>
      <c r="AP234" s="325"/>
      <c r="AQ234" s="325"/>
      <c r="AR234" s="325"/>
      <c r="AS234" s="325"/>
      <c r="AT234" s="325"/>
      <c r="AU234" s="325"/>
      <c r="AV234" s="325"/>
      <c r="AW234" s="325"/>
      <c r="AX234" s="325"/>
      <c r="AY234" s="325"/>
      <c r="AZ234" s="325"/>
      <c r="BA234" s="325"/>
      <c r="BB234" s="325"/>
      <c r="BC234" s="325"/>
      <c r="BD234" s="325"/>
      <c r="BE234" s="325"/>
      <c r="BF234" s="325"/>
      <c r="BG234" s="325"/>
      <c r="BH234" s="325"/>
      <c r="BI234" s="325"/>
      <c r="BJ234" s="325"/>
      <c r="BK234" s="325"/>
      <c r="BL234" s="325"/>
      <c r="BM234" s="325"/>
      <c r="BN234" s="325"/>
      <c r="BO234" s="325"/>
      <c r="BP234" s="325"/>
      <c r="BQ234" s="325"/>
      <c r="BR234" s="325"/>
      <c r="BS234" s="325"/>
      <c r="BT234" s="325"/>
      <c r="BU234" s="45"/>
      <c r="BV234" s="45"/>
      <c r="BW234" s="45"/>
      <c r="BX234" s="45"/>
      <c r="BY234" s="45"/>
      <c r="BZ234" s="45"/>
      <c r="CA234" s="339"/>
    </row>
    <row r="235" spans="2:79" s="331" customFormat="1" x14ac:dyDescent="0.2">
      <c r="B235" s="329"/>
      <c r="C235" s="329"/>
      <c r="D235" s="329"/>
      <c r="E235" s="329"/>
      <c r="F235" s="329"/>
      <c r="G235" s="329"/>
      <c r="H235" s="329"/>
      <c r="I235" s="329"/>
      <c r="J235" s="329"/>
      <c r="K235" s="329"/>
      <c r="L235" s="329"/>
      <c r="M235" s="329"/>
      <c r="N235" s="325"/>
      <c r="O235" s="325"/>
      <c r="P235" s="325"/>
      <c r="Q235" s="325"/>
      <c r="R235" s="325"/>
      <c r="S235" s="325"/>
      <c r="T235" s="325"/>
      <c r="U235" s="325"/>
      <c r="V235" s="325"/>
      <c r="W235" s="325"/>
      <c r="X235" s="325"/>
      <c r="Y235" s="325"/>
      <c r="Z235" s="325"/>
      <c r="AA235" s="325"/>
      <c r="AB235" s="325"/>
      <c r="AC235" s="325"/>
      <c r="AD235" s="325"/>
      <c r="AE235" s="325"/>
      <c r="AF235" s="325"/>
      <c r="AG235" s="325"/>
      <c r="AH235" s="325"/>
      <c r="AI235" s="325"/>
      <c r="AJ235" s="325"/>
      <c r="AK235" s="325"/>
      <c r="AL235" s="325"/>
      <c r="AM235" s="325"/>
      <c r="AN235" s="325"/>
      <c r="AO235" s="325"/>
      <c r="AP235" s="325"/>
      <c r="AQ235" s="325"/>
      <c r="AR235" s="325"/>
      <c r="AS235" s="325"/>
      <c r="AT235" s="325"/>
      <c r="AU235" s="325"/>
      <c r="AV235" s="325"/>
      <c r="AW235" s="325"/>
      <c r="AX235" s="325"/>
      <c r="AY235" s="325"/>
      <c r="AZ235" s="325"/>
      <c r="BA235" s="325"/>
      <c r="BB235" s="325"/>
      <c r="BC235" s="325"/>
      <c r="BD235" s="325"/>
      <c r="BE235" s="325"/>
      <c r="BF235" s="325"/>
      <c r="BG235" s="325"/>
      <c r="BH235" s="325"/>
      <c r="BI235" s="325"/>
      <c r="BJ235" s="325"/>
      <c r="BK235" s="325"/>
      <c r="BL235" s="325"/>
      <c r="BM235" s="325"/>
      <c r="BN235" s="325"/>
      <c r="BO235" s="325"/>
      <c r="BP235" s="325"/>
      <c r="BQ235" s="325"/>
      <c r="BR235" s="325"/>
      <c r="BS235" s="325"/>
      <c r="BT235" s="325"/>
      <c r="BU235" s="45"/>
      <c r="BV235" s="45"/>
      <c r="BW235" s="45"/>
      <c r="BX235" s="45"/>
      <c r="BY235" s="45"/>
      <c r="BZ235" s="45"/>
      <c r="CA235" s="339"/>
    </row>
    <row r="236" spans="2:79" s="331" customFormat="1" x14ac:dyDescent="0.2">
      <c r="B236" s="329"/>
      <c r="C236" s="329"/>
      <c r="D236" s="329"/>
      <c r="E236" s="329"/>
      <c r="F236" s="329"/>
      <c r="G236" s="329"/>
      <c r="H236" s="329"/>
      <c r="I236" s="329"/>
      <c r="J236" s="329"/>
      <c r="K236" s="329"/>
      <c r="L236" s="329"/>
      <c r="M236" s="329"/>
      <c r="N236" s="325"/>
      <c r="O236" s="325"/>
      <c r="P236" s="325"/>
      <c r="Q236" s="325"/>
      <c r="R236" s="325"/>
      <c r="S236" s="325"/>
      <c r="T236" s="325"/>
      <c r="U236" s="325"/>
      <c r="V236" s="325"/>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c r="AR236" s="325"/>
      <c r="AS236" s="325"/>
      <c r="AT236" s="325"/>
      <c r="AU236" s="325"/>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45"/>
      <c r="BV236" s="45"/>
      <c r="BW236" s="45"/>
      <c r="BX236" s="45"/>
      <c r="BY236" s="45"/>
      <c r="BZ236" s="45"/>
      <c r="CA236" s="339"/>
    </row>
    <row r="237" spans="2:79" s="331" customFormat="1" x14ac:dyDescent="0.2">
      <c r="B237" s="329"/>
      <c r="C237" s="329"/>
      <c r="D237" s="329"/>
      <c r="E237" s="329"/>
      <c r="F237" s="329"/>
      <c r="G237" s="329"/>
      <c r="H237" s="329"/>
      <c r="I237" s="329"/>
      <c r="J237" s="329"/>
      <c r="K237" s="329"/>
      <c r="L237" s="329"/>
      <c r="M237" s="329"/>
      <c r="N237" s="325"/>
      <c r="O237" s="325"/>
      <c r="P237" s="325"/>
      <c r="Q237" s="325"/>
      <c r="R237" s="325"/>
      <c r="S237" s="325"/>
      <c r="T237" s="325"/>
      <c r="U237" s="325"/>
      <c r="V237" s="325"/>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45"/>
      <c r="BV237" s="45"/>
      <c r="BW237" s="45"/>
      <c r="BX237" s="45"/>
      <c r="BY237" s="45"/>
      <c r="BZ237" s="45"/>
      <c r="CA237" s="339"/>
    </row>
    <row r="238" spans="2:79" s="331" customFormat="1" x14ac:dyDescent="0.2">
      <c r="B238" s="329"/>
      <c r="C238" s="329"/>
      <c r="D238" s="329"/>
      <c r="E238" s="329"/>
      <c r="F238" s="329"/>
      <c r="G238" s="329"/>
      <c r="H238" s="329"/>
      <c r="I238" s="329"/>
      <c r="J238" s="329"/>
      <c r="K238" s="329"/>
      <c r="L238" s="329"/>
      <c r="M238" s="329"/>
      <c r="N238" s="325"/>
      <c r="O238" s="325"/>
      <c r="P238" s="325"/>
      <c r="Q238" s="325"/>
      <c r="R238" s="325"/>
      <c r="S238" s="325"/>
      <c r="T238" s="325"/>
      <c r="U238" s="325"/>
      <c r="V238" s="325"/>
      <c r="W238" s="325"/>
      <c r="X238" s="325"/>
      <c r="Y238" s="325"/>
      <c r="Z238" s="325"/>
      <c r="AA238" s="325"/>
      <c r="AB238" s="325"/>
      <c r="AC238" s="325"/>
      <c r="AD238" s="325"/>
      <c r="AE238" s="325"/>
      <c r="AF238" s="325"/>
      <c r="AG238" s="325"/>
      <c r="AH238" s="325"/>
      <c r="AI238" s="325"/>
      <c r="AJ238" s="325"/>
      <c r="AK238" s="325"/>
      <c r="AL238" s="325"/>
      <c r="AM238" s="325"/>
      <c r="AN238" s="325"/>
      <c r="AO238" s="325"/>
      <c r="AP238" s="325"/>
      <c r="AQ238" s="325"/>
      <c r="AR238" s="325"/>
      <c r="AS238" s="325"/>
      <c r="AT238" s="325"/>
      <c r="AU238" s="325"/>
      <c r="AV238" s="325"/>
      <c r="AW238" s="325"/>
      <c r="AX238" s="325"/>
      <c r="AY238" s="325"/>
      <c r="AZ238" s="325"/>
      <c r="BA238" s="325"/>
      <c r="BB238" s="325"/>
      <c r="BC238" s="325"/>
      <c r="BD238" s="325"/>
      <c r="BE238" s="325"/>
      <c r="BF238" s="325"/>
      <c r="BG238" s="325"/>
      <c r="BH238" s="325"/>
      <c r="BI238" s="325"/>
      <c r="BJ238" s="325"/>
      <c r="BK238" s="325"/>
      <c r="BL238" s="325"/>
      <c r="BM238" s="325"/>
      <c r="BN238" s="325"/>
      <c r="BO238" s="325"/>
      <c r="BP238" s="325"/>
      <c r="BQ238" s="325"/>
      <c r="BR238" s="325"/>
      <c r="BS238" s="325"/>
      <c r="BT238" s="325"/>
      <c r="BU238" s="45"/>
      <c r="BV238" s="45"/>
      <c r="BW238" s="45"/>
      <c r="BX238" s="45"/>
      <c r="BY238" s="45"/>
      <c r="BZ238" s="45"/>
      <c r="CA238" s="339"/>
    </row>
    <row r="239" spans="2:79" s="331" customFormat="1" x14ac:dyDescent="0.2">
      <c r="B239" s="329"/>
      <c r="C239" s="329"/>
      <c r="D239" s="329"/>
      <c r="E239" s="329"/>
      <c r="F239" s="329"/>
      <c r="G239" s="329"/>
      <c r="H239" s="329"/>
      <c r="I239" s="329"/>
      <c r="J239" s="329"/>
      <c r="K239" s="329"/>
      <c r="L239" s="329"/>
      <c r="M239" s="329"/>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5"/>
      <c r="BQ239" s="325"/>
      <c r="BR239" s="325"/>
      <c r="BS239" s="325"/>
      <c r="BT239" s="325"/>
      <c r="BU239" s="45"/>
      <c r="BV239" s="45"/>
      <c r="BW239" s="45"/>
      <c r="BX239" s="45"/>
      <c r="BY239" s="45"/>
      <c r="BZ239" s="45"/>
      <c r="CA239" s="339"/>
    </row>
    <row r="240" spans="2:79" s="331" customFormat="1" x14ac:dyDescent="0.2">
      <c r="B240" s="329"/>
      <c r="C240" s="329"/>
      <c r="D240" s="329"/>
      <c r="E240" s="329"/>
      <c r="F240" s="329"/>
      <c r="G240" s="329"/>
      <c r="H240" s="329"/>
      <c r="I240" s="329"/>
      <c r="J240" s="329"/>
      <c r="K240" s="329"/>
      <c r="L240" s="329"/>
      <c r="M240" s="329"/>
      <c r="N240" s="325"/>
      <c r="O240" s="325"/>
      <c r="P240" s="325"/>
      <c r="Q240" s="325"/>
      <c r="R240" s="325"/>
      <c r="S240" s="325"/>
      <c r="T240" s="325"/>
      <c r="U240" s="325"/>
      <c r="V240" s="325"/>
      <c r="W240" s="325"/>
      <c r="X240" s="325"/>
      <c r="Y240" s="325"/>
      <c r="Z240" s="325"/>
      <c r="AA240" s="325"/>
      <c r="AB240" s="325"/>
      <c r="AC240" s="325"/>
      <c r="AD240" s="325"/>
      <c r="AE240" s="325"/>
      <c r="AF240" s="325"/>
      <c r="AG240" s="325"/>
      <c r="AH240" s="325"/>
      <c r="AI240" s="325"/>
      <c r="AJ240" s="325"/>
      <c r="AK240" s="325"/>
      <c r="AL240" s="325"/>
      <c r="AM240" s="325"/>
      <c r="AN240" s="325"/>
      <c r="AO240" s="325"/>
      <c r="AP240" s="325"/>
      <c r="AQ240" s="325"/>
      <c r="AR240" s="325"/>
      <c r="AS240" s="325"/>
      <c r="AT240" s="325"/>
      <c r="AU240" s="325"/>
      <c r="AV240" s="325"/>
      <c r="AW240" s="325"/>
      <c r="AX240" s="325"/>
      <c r="AY240" s="325"/>
      <c r="AZ240" s="325"/>
      <c r="BA240" s="325"/>
      <c r="BB240" s="325"/>
      <c r="BC240" s="325"/>
      <c r="BD240" s="325"/>
      <c r="BE240" s="325"/>
      <c r="BF240" s="325"/>
      <c r="BG240" s="325"/>
      <c r="BH240" s="325"/>
      <c r="BI240" s="325"/>
      <c r="BJ240" s="325"/>
      <c r="BK240" s="325"/>
      <c r="BL240" s="325"/>
      <c r="BM240" s="325"/>
      <c r="BN240" s="325"/>
      <c r="BO240" s="325"/>
      <c r="BP240" s="325"/>
      <c r="BQ240" s="325"/>
      <c r="BR240" s="325"/>
      <c r="BS240" s="325"/>
      <c r="BT240" s="325"/>
      <c r="BU240" s="45"/>
      <c r="BV240" s="45"/>
      <c r="BW240" s="45"/>
      <c r="BX240" s="45"/>
      <c r="BY240" s="45"/>
      <c r="BZ240" s="45"/>
      <c r="CA240" s="339"/>
    </row>
    <row r="241" spans="2:79" s="331" customFormat="1" x14ac:dyDescent="0.2">
      <c r="B241" s="329"/>
      <c r="C241" s="329"/>
      <c r="D241" s="329"/>
      <c r="E241" s="329"/>
      <c r="F241" s="329"/>
      <c r="G241" s="329"/>
      <c r="H241" s="329"/>
      <c r="I241" s="329"/>
      <c r="J241" s="329"/>
      <c r="K241" s="329"/>
      <c r="L241" s="329"/>
      <c r="M241" s="329"/>
      <c r="N241" s="325"/>
      <c r="O241" s="325"/>
      <c r="P241" s="325"/>
      <c r="Q241" s="325"/>
      <c r="R241" s="325"/>
      <c r="S241" s="325"/>
      <c r="T241" s="325"/>
      <c r="U241" s="325"/>
      <c r="V241" s="325"/>
      <c r="W241" s="325"/>
      <c r="X241" s="325"/>
      <c r="Y241" s="325"/>
      <c r="Z241" s="325"/>
      <c r="AA241" s="325"/>
      <c r="AB241" s="325"/>
      <c r="AC241" s="325"/>
      <c r="AD241" s="325"/>
      <c r="AE241" s="325"/>
      <c r="AF241" s="325"/>
      <c r="AG241" s="325"/>
      <c r="AH241" s="325"/>
      <c r="AI241" s="325"/>
      <c r="AJ241" s="325"/>
      <c r="AK241" s="325"/>
      <c r="AL241" s="325"/>
      <c r="AM241" s="325"/>
      <c r="AN241" s="325"/>
      <c r="AO241" s="325"/>
      <c r="AP241" s="325"/>
      <c r="AQ241" s="325"/>
      <c r="AR241" s="325"/>
      <c r="AS241" s="325"/>
      <c r="AT241" s="325"/>
      <c r="AU241" s="325"/>
      <c r="AV241" s="325"/>
      <c r="AW241" s="325"/>
      <c r="AX241" s="325"/>
      <c r="AY241" s="325"/>
      <c r="AZ241" s="325"/>
      <c r="BA241" s="325"/>
      <c r="BB241" s="325"/>
      <c r="BC241" s="325"/>
      <c r="BD241" s="325"/>
      <c r="BE241" s="325"/>
      <c r="BF241" s="325"/>
      <c r="BG241" s="325"/>
      <c r="BH241" s="325"/>
      <c r="BI241" s="325"/>
      <c r="BJ241" s="325"/>
      <c r="BK241" s="325"/>
      <c r="BL241" s="325"/>
      <c r="BM241" s="325"/>
      <c r="BN241" s="325"/>
      <c r="BO241" s="325"/>
      <c r="BP241" s="325"/>
      <c r="BQ241" s="325"/>
      <c r="BR241" s="325"/>
      <c r="BS241" s="325"/>
      <c r="BT241" s="325"/>
      <c r="BU241" s="45"/>
      <c r="BV241" s="45"/>
      <c r="BW241" s="45"/>
      <c r="BX241" s="45"/>
      <c r="BY241" s="45"/>
      <c r="BZ241" s="45"/>
      <c r="CA241" s="339"/>
    </row>
    <row r="242" spans="2:79" s="331" customFormat="1" x14ac:dyDescent="0.2">
      <c r="B242" s="329"/>
      <c r="C242" s="329"/>
      <c r="D242" s="329"/>
      <c r="E242" s="329"/>
      <c r="F242" s="329"/>
      <c r="G242" s="329"/>
      <c r="H242" s="329"/>
      <c r="I242" s="329"/>
      <c r="J242" s="329"/>
      <c r="K242" s="329"/>
      <c r="L242" s="329"/>
      <c r="M242" s="329"/>
      <c r="N242" s="325"/>
      <c r="O242" s="325"/>
      <c r="P242" s="325"/>
      <c r="Q242" s="325"/>
      <c r="R242" s="325"/>
      <c r="S242" s="325"/>
      <c r="T242" s="325"/>
      <c r="U242" s="325"/>
      <c r="V242" s="325"/>
      <c r="W242" s="325"/>
      <c r="X242" s="325"/>
      <c r="Y242" s="325"/>
      <c r="Z242" s="325"/>
      <c r="AA242" s="325"/>
      <c r="AB242" s="325"/>
      <c r="AC242" s="325"/>
      <c r="AD242" s="325"/>
      <c r="AE242" s="325"/>
      <c r="AF242" s="325"/>
      <c r="AG242" s="325"/>
      <c r="AH242" s="325"/>
      <c r="AI242" s="325"/>
      <c r="AJ242" s="325"/>
      <c r="AK242" s="325"/>
      <c r="AL242" s="325"/>
      <c r="AM242" s="325"/>
      <c r="AN242" s="325"/>
      <c r="AO242" s="325"/>
      <c r="AP242" s="325"/>
      <c r="AQ242" s="325"/>
      <c r="AR242" s="325"/>
      <c r="AS242" s="325"/>
      <c r="AT242" s="325"/>
      <c r="AU242" s="325"/>
      <c r="AV242" s="325"/>
      <c r="AW242" s="325"/>
      <c r="AX242" s="325"/>
      <c r="AY242" s="325"/>
      <c r="AZ242" s="325"/>
      <c r="BA242" s="325"/>
      <c r="BB242" s="325"/>
      <c r="BC242" s="325"/>
      <c r="BD242" s="325"/>
      <c r="BE242" s="325"/>
      <c r="BF242" s="325"/>
      <c r="BG242" s="325"/>
      <c r="BH242" s="325"/>
      <c r="BI242" s="325"/>
      <c r="BJ242" s="325"/>
      <c r="BK242" s="325"/>
      <c r="BL242" s="325"/>
      <c r="BM242" s="325"/>
      <c r="BN242" s="325"/>
      <c r="BO242" s="325"/>
      <c r="BP242" s="325"/>
      <c r="BQ242" s="325"/>
      <c r="BR242" s="325"/>
      <c r="BS242" s="325"/>
      <c r="BT242" s="325"/>
      <c r="BU242" s="45"/>
      <c r="BV242" s="45"/>
      <c r="BW242" s="45"/>
      <c r="BX242" s="45"/>
      <c r="BY242" s="45"/>
      <c r="BZ242" s="45"/>
      <c r="CA242" s="339"/>
    </row>
    <row r="243" spans="2:79" s="331" customFormat="1" x14ac:dyDescent="0.2">
      <c r="B243" s="329"/>
      <c r="C243" s="329"/>
      <c r="D243" s="329"/>
      <c r="E243" s="329"/>
      <c r="F243" s="329"/>
      <c r="G243" s="329"/>
      <c r="H243" s="329"/>
      <c r="I243" s="329"/>
      <c r="J243" s="329"/>
      <c r="K243" s="329"/>
      <c r="L243" s="329"/>
      <c r="M243" s="329"/>
      <c r="N243" s="325"/>
      <c r="O243" s="325"/>
      <c r="P243" s="325"/>
      <c r="Q243" s="325"/>
      <c r="R243" s="325"/>
      <c r="S243" s="325"/>
      <c r="T243" s="325"/>
      <c r="U243" s="325"/>
      <c r="V243" s="325"/>
      <c r="W243" s="325"/>
      <c r="X243" s="325"/>
      <c r="Y243" s="325"/>
      <c r="Z243" s="325"/>
      <c r="AA243" s="325"/>
      <c r="AB243" s="325"/>
      <c r="AC243" s="325"/>
      <c r="AD243" s="325"/>
      <c r="AE243" s="325"/>
      <c r="AF243" s="325"/>
      <c r="AG243" s="325"/>
      <c r="AH243" s="325"/>
      <c r="AI243" s="325"/>
      <c r="AJ243" s="325"/>
      <c r="AK243" s="325"/>
      <c r="AL243" s="325"/>
      <c r="AM243" s="325"/>
      <c r="AN243" s="325"/>
      <c r="AO243" s="325"/>
      <c r="AP243" s="325"/>
      <c r="AQ243" s="325"/>
      <c r="AR243" s="325"/>
      <c r="AS243" s="325"/>
      <c r="AT243" s="325"/>
      <c r="AU243" s="325"/>
      <c r="AV243" s="325"/>
      <c r="AW243" s="325"/>
      <c r="AX243" s="325"/>
      <c r="AY243" s="325"/>
      <c r="AZ243" s="325"/>
      <c r="BA243" s="325"/>
      <c r="BB243" s="325"/>
      <c r="BC243" s="325"/>
      <c r="BD243" s="325"/>
      <c r="BE243" s="325"/>
      <c r="BF243" s="325"/>
      <c r="BG243" s="325"/>
      <c r="BH243" s="325"/>
      <c r="BI243" s="325"/>
      <c r="BJ243" s="325"/>
      <c r="BK243" s="325"/>
      <c r="BL243" s="325"/>
      <c r="BM243" s="325"/>
      <c r="BN243" s="325"/>
      <c r="BO243" s="325"/>
      <c r="BP243" s="325"/>
      <c r="BQ243" s="325"/>
      <c r="BR243" s="325"/>
      <c r="BS243" s="325"/>
      <c r="BT243" s="325"/>
      <c r="BU243" s="45"/>
      <c r="BV243" s="45"/>
      <c r="BW243" s="45"/>
      <c r="BX243" s="45"/>
      <c r="BY243" s="45"/>
      <c r="BZ243" s="45"/>
      <c r="CA243" s="339"/>
    </row>
    <row r="244" spans="2:79" s="331" customFormat="1" x14ac:dyDescent="0.2">
      <c r="B244" s="329"/>
      <c r="C244" s="329"/>
      <c r="D244" s="329"/>
      <c r="E244" s="329"/>
      <c r="F244" s="329"/>
      <c r="G244" s="329"/>
      <c r="H244" s="329"/>
      <c r="I244" s="329"/>
      <c r="J244" s="329"/>
      <c r="K244" s="329"/>
      <c r="L244" s="329"/>
      <c r="M244" s="329"/>
      <c r="N244" s="325"/>
      <c r="O244" s="325"/>
      <c r="P244" s="325"/>
      <c r="Q244" s="325"/>
      <c r="R244" s="325"/>
      <c r="S244" s="325"/>
      <c r="T244" s="325"/>
      <c r="U244" s="325"/>
      <c r="V244" s="325"/>
      <c r="W244" s="325"/>
      <c r="X244" s="325"/>
      <c r="Y244" s="325"/>
      <c r="Z244" s="325"/>
      <c r="AA244" s="325"/>
      <c r="AB244" s="325"/>
      <c r="AC244" s="325"/>
      <c r="AD244" s="325"/>
      <c r="AE244" s="325"/>
      <c r="AF244" s="325"/>
      <c r="AG244" s="325"/>
      <c r="AH244" s="325"/>
      <c r="AI244" s="325"/>
      <c r="AJ244" s="325"/>
      <c r="AK244" s="325"/>
      <c r="AL244" s="325"/>
      <c r="AM244" s="325"/>
      <c r="AN244" s="325"/>
      <c r="AO244" s="325"/>
      <c r="AP244" s="325"/>
      <c r="AQ244" s="325"/>
      <c r="AR244" s="325"/>
      <c r="AS244" s="325"/>
      <c r="AT244" s="325"/>
      <c r="AU244" s="325"/>
      <c r="AV244" s="325"/>
      <c r="AW244" s="325"/>
      <c r="AX244" s="325"/>
      <c r="AY244" s="325"/>
      <c r="AZ244" s="325"/>
      <c r="BA244" s="325"/>
      <c r="BB244" s="325"/>
      <c r="BC244" s="325"/>
      <c r="BD244" s="325"/>
      <c r="BE244" s="325"/>
      <c r="BF244" s="325"/>
      <c r="BG244" s="325"/>
      <c r="BH244" s="325"/>
      <c r="BI244" s="325"/>
      <c r="BJ244" s="325"/>
      <c r="BK244" s="325"/>
      <c r="BL244" s="325"/>
      <c r="BM244" s="325"/>
      <c r="BN244" s="325"/>
      <c r="BO244" s="325"/>
      <c r="BP244" s="325"/>
      <c r="BQ244" s="325"/>
      <c r="BR244" s="325"/>
      <c r="BS244" s="325"/>
      <c r="BT244" s="325"/>
      <c r="BU244" s="45"/>
      <c r="BV244" s="45"/>
      <c r="BW244" s="45"/>
      <c r="BX244" s="45"/>
      <c r="BY244" s="45"/>
      <c r="BZ244" s="45"/>
      <c r="CA244" s="339"/>
    </row>
    <row r="245" spans="2:79" s="331" customFormat="1" x14ac:dyDescent="0.2">
      <c r="B245" s="329"/>
      <c r="C245" s="329"/>
      <c r="D245" s="329"/>
      <c r="E245" s="329"/>
      <c r="F245" s="329"/>
      <c r="G245" s="329"/>
      <c r="H245" s="329"/>
      <c r="I245" s="329"/>
      <c r="J245" s="329"/>
      <c r="K245" s="329"/>
      <c r="L245" s="329"/>
      <c r="M245" s="329"/>
      <c r="N245" s="325"/>
      <c r="O245" s="325"/>
      <c r="P245" s="325"/>
      <c r="Q245" s="325"/>
      <c r="R245" s="325"/>
      <c r="S245" s="325"/>
      <c r="T245" s="325"/>
      <c r="U245" s="325"/>
      <c r="V245" s="325"/>
      <c r="W245" s="325"/>
      <c r="X245" s="325"/>
      <c r="Y245" s="325"/>
      <c r="Z245" s="325"/>
      <c r="AA245" s="325"/>
      <c r="AB245" s="325"/>
      <c r="AC245" s="325"/>
      <c r="AD245" s="325"/>
      <c r="AE245" s="325"/>
      <c r="AF245" s="325"/>
      <c r="AG245" s="325"/>
      <c r="AH245" s="325"/>
      <c r="AI245" s="325"/>
      <c r="AJ245" s="325"/>
      <c r="AK245" s="325"/>
      <c r="AL245" s="325"/>
      <c r="AM245" s="325"/>
      <c r="AN245" s="325"/>
      <c r="AO245" s="325"/>
      <c r="AP245" s="325"/>
      <c r="AQ245" s="325"/>
      <c r="AR245" s="325"/>
      <c r="AS245" s="325"/>
      <c r="AT245" s="325"/>
      <c r="AU245" s="325"/>
      <c r="AV245" s="325"/>
      <c r="AW245" s="325"/>
      <c r="AX245" s="325"/>
      <c r="AY245" s="325"/>
      <c r="AZ245" s="325"/>
      <c r="BA245" s="325"/>
      <c r="BB245" s="325"/>
      <c r="BC245" s="325"/>
      <c r="BD245" s="325"/>
      <c r="BE245" s="325"/>
      <c r="BF245" s="325"/>
      <c r="BG245" s="325"/>
      <c r="BH245" s="325"/>
      <c r="BI245" s="325"/>
      <c r="BJ245" s="325"/>
      <c r="BK245" s="325"/>
      <c r="BL245" s="325"/>
      <c r="BM245" s="325"/>
      <c r="BN245" s="325"/>
      <c r="BO245" s="325"/>
      <c r="BP245" s="325"/>
      <c r="BQ245" s="325"/>
      <c r="BR245" s="325"/>
      <c r="BS245" s="325"/>
      <c r="BT245" s="325"/>
      <c r="BU245" s="45"/>
      <c r="BV245" s="45"/>
      <c r="BW245" s="45"/>
      <c r="BX245" s="45"/>
      <c r="BY245" s="45"/>
      <c r="BZ245" s="45"/>
      <c r="CA245" s="339"/>
    </row>
    <row r="246" spans="2:79" s="331" customFormat="1" x14ac:dyDescent="0.2">
      <c r="B246" s="329"/>
      <c r="C246" s="329"/>
      <c r="D246" s="329"/>
      <c r="E246" s="329"/>
      <c r="F246" s="329"/>
      <c r="G246" s="329"/>
      <c r="H246" s="329"/>
      <c r="I246" s="329"/>
      <c r="J246" s="329"/>
      <c r="K246" s="329"/>
      <c r="L246" s="329"/>
      <c r="M246" s="329"/>
      <c r="N246" s="325"/>
      <c r="O246" s="325"/>
      <c r="P246" s="325"/>
      <c r="Q246" s="325"/>
      <c r="R246" s="325"/>
      <c r="S246" s="325"/>
      <c r="T246" s="325"/>
      <c r="U246" s="325"/>
      <c r="V246" s="325"/>
      <c r="W246" s="325"/>
      <c r="X246" s="325"/>
      <c r="Y246" s="325"/>
      <c r="Z246" s="325"/>
      <c r="AA246" s="325"/>
      <c r="AB246" s="325"/>
      <c r="AC246" s="325"/>
      <c r="AD246" s="325"/>
      <c r="AE246" s="325"/>
      <c r="AF246" s="325"/>
      <c r="AG246" s="325"/>
      <c r="AH246" s="325"/>
      <c r="AI246" s="325"/>
      <c r="AJ246" s="325"/>
      <c r="AK246" s="325"/>
      <c r="AL246" s="325"/>
      <c r="AM246" s="325"/>
      <c r="AN246" s="325"/>
      <c r="AO246" s="325"/>
      <c r="AP246" s="325"/>
      <c r="AQ246" s="325"/>
      <c r="AR246" s="325"/>
      <c r="AS246" s="325"/>
      <c r="AT246" s="325"/>
      <c r="AU246" s="325"/>
      <c r="AV246" s="325"/>
      <c r="AW246" s="325"/>
      <c r="AX246" s="325"/>
      <c r="AY246" s="325"/>
      <c r="AZ246" s="325"/>
      <c r="BA246" s="325"/>
      <c r="BB246" s="325"/>
      <c r="BC246" s="325"/>
      <c r="BD246" s="325"/>
      <c r="BE246" s="325"/>
      <c r="BF246" s="325"/>
      <c r="BG246" s="325"/>
      <c r="BH246" s="325"/>
      <c r="BI246" s="325"/>
      <c r="BJ246" s="325"/>
      <c r="BK246" s="325"/>
      <c r="BL246" s="325"/>
      <c r="BM246" s="325"/>
      <c r="BN246" s="325"/>
      <c r="BO246" s="325"/>
      <c r="BP246" s="325"/>
      <c r="BQ246" s="325"/>
      <c r="BR246" s="325"/>
      <c r="BS246" s="325"/>
      <c r="BT246" s="325"/>
      <c r="BU246" s="45"/>
      <c r="BV246" s="45"/>
      <c r="BW246" s="45"/>
      <c r="BX246" s="45"/>
      <c r="BY246" s="45"/>
      <c r="BZ246" s="45"/>
      <c r="CA246" s="339"/>
    </row>
    <row r="247" spans="2:79" s="331" customFormat="1" x14ac:dyDescent="0.2">
      <c r="B247" s="329"/>
      <c r="C247" s="329"/>
      <c r="D247" s="329"/>
      <c r="E247" s="329"/>
      <c r="F247" s="329"/>
      <c r="G247" s="329"/>
      <c r="H247" s="329"/>
      <c r="I247" s="329"/>
      <c r="J247" s="329"/>
      <c r="K247" s="329"/>
      <c r="L247" s="329"/>
      <c r="M247" s="329"/>
      <c r="N247" s="325"/>
      <c r="O247" s="325"/>
      <c r="P247" s="325"/>
      <c r="Q247" s="325"/>
      <c r="R247" s="325"/>
      <c r="S247" s="325"/>
      <c r="T247" s="325"/>
      <c r="U247" s="325"/>
      <c r="V247" s="325"/>
      <c r="W247" s="325"/>
      <c r="X247" s="325"/>
      <c r="Y247" s="325"/>
      <c r="Z247" s="325"/>
      <c r="AA247" s="325"/>
      <c r="AB247" s="325"/>
      <c r="AC247" s="325"/>
      <c r="AD247" s="325"/>
      <c r="AE247" s="325"/>
      <c r="AF247" s="325"/>
      <c r="AG247" s="325"/>
      <c r="AH247" s="325"/>
      <c r="AI247" s="325"/>
      <c r="AJ247" s="325"/>
      <c r="AK247" s="325"/>
      <c r="AL247" s="325"/>
      <c r="AM247" s="325"/>
      <c r="AN247" s="325"/>
      <c r="AO247" s="325"/>
      <c r="AP247" s="325"/>
      <c r="AQ247" s="325"/>
      <c r="AR247" s="325"/>
      <c r="AS247" s="325"/>
      <c r="AT247" s="325"/>
      <c r="AU247" s="325"/>
      <c r="AV247" s="325"/>
      <c r="AW247" s="325"/>
      <c r="AX247" s="325"/>
      <c r="AY247" s="325"/>
      <c r="AZ247" s="325"/>
      <c r="BA247" s="325"/>
      <c r="BB247" s="325"/>
      <c r="BC247" s="325"/>
      <c r="BD247" s="325"/>
      <c r="BE247" s="325"/>
      <c r="BF247" s="325"/>
      <c r="BG247" s="325"/>
      <c r="BH247" s="325"/>
      <c r="BI247" s="325"/>
      <c r="BJ247" s="325"/>
      <c r="BK247" s="325"/>
      <c r="BL247" s="325"/>
      <c r="BM247" s="325"/>
      <c r="BN247" s="325"/>
      <c r="BO247" s="325"/>
      <c r="BP247" s="325"/>
      <c r="BQ247" s="325"/>
      <c r="BR247" s="325"/>
      <c r="BS247" s="325"/>
      <c r="BT247" s="325"/>
      <c r="BU247" s="45"/>
      <c r="BV247" s="45"/>
      <c r="BW247" s="45"/>
      <c r="BX247" s="45"/>
      <c r="BY247" s="45"/>
      <c r="BZ247" s="45"/>
      <c r="CA247" s="339"/>
    </row>
    <row r="248" spans="2:79" s="331" customFormat="1" x14ac:dyDescent="0.2">
      <c r="B248" s="329"/>
      <c r="C248" s="329"/>
      <c r="D248" s="329"/>
      <c r="E248" s="329"/>
      <c r="F248" s="329"/>
      <c r="G248" s="329"/>
      <c r="H248" s="329"/>
      <c r="I248" s="329"/>
      <c r="J248" s="329"/>
      <c r="K248" s="329"/>
      <c r="L248" s="329"/>
      <c r="M248" s="329"/>
      <c r="N248" s="325"/>
      <c r="O248" s="325"/>
      <c r="P248" s="325"/>
      <c r="Q248" s="325"/>
      <c r="R248" s="325"/>
      <c r="S248" s="325"/>
      <c r="T248" s="325"/>
      <c r="U248" s="325"/>
      <c r="V248" s="325"/>
      <c r="W248" s="325"/>
      <c r="X248" s="325"/>
      <c r="Y248" s="325"/>
      <c r="Z248" s="325"/>
      <c r="AA248" s="325"/>
      <c r="AB248" s="325"/>
      <c r="AC248" s="325"/>
      <c r="AD248" s="325"/>
      <c r="AE248" s="325"/>
      <c r="AF248" s="325"/>
      <c r="AG248" s="325"/>
      <c r="AH248" s="325"/>
      <c r="AI248" s="325"/>
      <c r="AJ248" s="325"/>
      <c r="AK248" s="325"/>
      <c r="AL248" s="325"/>
      <c r="AM248" s="325"/>
      <c r="AN248" s="325"/>
      <c r="AO248" s="325"/>
      <c r="AP248" s="325"/>
      <c r="AQ248" s="325"/>
      <c r="AR248" s="325"/>
      <c r="AS248" s="325"/>
      <c r="AT248" s="325"/>
      <c r="AU248" s="325"/>
      <c r="AV248" s="325"/>
      <c r="AW248" s="325"/>
      <c r="AX248" s="325"/>
      <c r="AY248" s="325"/>
      <c r="AZ248" s="325"/>
      <c r="BA248" s="325"/>
      <c r="BB248" s="325"/>
      <c r="BC248" s="325"/>
      <c r="BD248" s="325"/>
      <c r="BE248" s="325"/>
      <c r="BF248" s="325"/>
      <c r="BG248" s="325"/>
      <c r="BH248" s="325"/>
      <c r="BI248" s="325"/>
      <c r="BJ248" s="325"/>
      <c r="BK248" s="325"/>
      <c r="BL248" s="325"/>
      <c r="BM248" s="325"/>
      <c r="BN248" s="325"/>
      <c r="BO248" s="325"/>
      <c r="BP248" s="325"/>
      <c r="BQ248" s="325"/>
      <c r="BR248" s="325"/>
      <c r="BS248" s="325"/>
      <c r="BT248" s="325"/>
      <c r="BU248" s="45"/>
      <c r="BV248" s="45"/>
      <c r="BW248" s="45"/>
      <c r="BX248" s="45"/>
      <c r="BY248" s="45"/>
      <c r="BZ248" s="45"/>
      <c r="CA248" s="339"/>
    </row>
    <row r="249" spans="2:79" s="331" customFormat="1" x14ac:dyDescent="0.2">
      <c r="B249" s="329"/>
      <c r="C249" s="329"/>
      <c r="D249" s="329"/>
      <c r="E249" s="329"/>
      <c r="F249" s="329"/>
      <c r="G249" s="329"/>
      <c r="H249" s="329"/>
      <c r="I249" s="329"/>
      <c r="J249" s="329"/>
      <c r="K249" s="329"/>
      <c r="L249" s="329"/>
      <c r="M249" s="329"/>
      <c r="N249" s="325"/>
      <c r="O249" s="325"/>
      <c r="P249" s="325"/>
      <c r="Q249" s="325"/>
      <c r="R249" s="325"/>
      <c r="S249" s="325"/>
      <c r="T249" s="325"/>
      <c r="U249" s="325"/>
      <c r="V249" s="325"/>
      <c r="W249" s="325"/>
      <c r="X249" s="325"/>
      <c r="Y249" s="325"/>
      <c r="Z249" s="325"/>
      <c r="AA249" s="325"/>
      <c r="AB249" s="325"/>
      <c r="AC249" s="325"/>
      <c r="AD249" s="325"/>
      <c r="AE249" s="325"/>
      <c r="AF249" s="325"/>
      <c r="AG249" s="325"/>
      <c r="AH249" s="325"/>
      <c r="AI249" s="325"/>
      <c r="AJ249" s="325"/>
      <c r="AK249" s="325"/>
      <c r="AL249" s="325"/>
      <c r="AM249" s="325"/>
      <c r="AN249" s="325"/>
      <c r="AO249" s="325"/>
      <c r="AP249" s="325"/>
      <c r="AQ249" s="325"/>
      <c r="AR249" s="325"/>
      <c r="AS249" s="325"/>
      <c r="AT249" s="325"/>
      <c r="AU249" s="325"/>
      <c r="AV249" s="325"/>
      <c r="AW249" s="325"/>
      <c r="AX249" s="325"/>
      <c r="AY249" s="325"/>
      <c r="AZ249" s="325"/>
      <c r="BA249" s="325"/>
      <c r="BB249" s="325"/>
      <c r="BC249" s="325"/>
      <c r="BD249" s="325"/>
      <c r="BE249" s="325"/>
      <c r="BF249" s="325"/>
      <c r="BG249" s="325"/>
      <c r="BH249" s="325"/>
      <c r="BI249" s="325"/>
      <c r="BJ249" s="325"/>
      <c r="BK249" s="325"/>
      <c r="BL249" s="325"/>
      <c r="BM249" s="325"/>
      <c r="BN249" s="325"/>
      <c r="BO249" s="325"/>
      <c r="BP249" s="325"/>
      <c r="BQ249" s="325"/>
      <c r="BR249" s="325"/>
      <c r="BS249" s="325"/>
      <c r="BT249" s="325"/>
      <c r="BU249" s="45"/>
      <c r="BV249" s="45"/>
      <c r="BW249" s="45"/>
      <c r="BX249" s="45"/>
      <c r="BY249" s="45"/>
      <c r="BZ249" s="45"/>
      <c r="CA249" s="339"/>
    </row>
    <row r="250" spans="2:79" s="331" customFormat="1" x14ac:dyDescent="0.2">
      <c r="B250" s="329"/>
      <c r="C250" s="329"/>
      <c r="D250" s="329"/>
      <c r="E250" s="329"/>
      <c r="F250" s="329"/>
      <c r="G250" s="329"/>
      <c r="H250" s="329"/>
      <c r="I250" s="329"/>
      <c r="J250" s="329"/>
      <c r="K250" s="329"/>
      <c r="L250" s="329"/>
      <c r="M250" s="329"/>
      <c r="N250" s="325"/>
      <c r="O250" s="325"/>
      <c r="P250" s="325"/>
      <c r="Q250" s="325"/>
      <c r="R250" s="325"/>
      <c r="S250" s="325"/>
      <c r="T250" s="325"/>
      <c r="U250" s="325"/>
      <c r="V250" s="325"/>
      <c r="W250" s="325"/>
      <c r="X250" s="325"/>
      <c r="Y250" s="325"/>
      <c r="Z250" s="325"/>
      <c r="AA250" s="325"/>
      <c r="AB250" s="325"/>
      <c r="AC250" s="325"/>
      <c r="AD250" s="325"/>
      <c r="AE250" s="325"/>
      <c r="AF250" s="325"/>
      <c r="AG250" s="325"/>
      <c r="AH250" s="325"/>
      <c r="AI250" s="325"/>
      <c r="AJ250" s="325"/>
      <c r="AK250" s="325"/>
      <c r="AL250" s="325"/>
      <c r="AM250" s="325"/>
      <c r="AN250" s="325"/>
      <c r="AO250" s="325"/>
      <c r="AP250" s="325"/>
      <c r="AQ250" s="325"/>
      <c r="AR250" s="325"/>
      <c r="AS250" s="325"/>
      <c r="AT250" s="325"/>
      <c r="AU250" s="325"/>
      <c r="AV250" s="325"/>
      <c r="AW250" s="325"/>
      <c r="AX250" s="325"/>
      <c r="AY250" s="325"/>
      <c r="AZ250" s="325"/>
      <c r="BA250" s="325"/>
      <c r="BB250" s="325"/>
      <c r="BC250" s="325"/>
      <c r="BD250" s="325"/>
      <c r="BE250" s="325"/>
      <c r="BF250" s="325"/>
      <c r="BG250" s="325"/>
      <c r="BH250" s="325"/>
      <c r="BI250" s="325"/>
      <c r="BJ250" s="325"/>
      <c r="BK250" s="325"/>
      <c r="BL250" s="325"/>
      <c r="BM250" s="325"/>
      <c r="BN250" s="325"/>
      <c r="BO250" s="325"/>
      <c r="BP250" s="325"/>
      <c r="BQ250" s="325"/>
      <c r="BR250" s="325"/>
      <c r="BS250" s="325"/>
      <c r="BT250" s="325"/>
      <c r="BU250" s="45"/>
      <c r="BV250" s="45"/>
      <c r="BW250" s="45"/>
      <c r="BX250" s="45"/>
      <c r="BY250" s="45"/>
      <c r="BZ250" s="45"/>
      <c r="CA250" s="339"/>
    </row>
    <row r="251" spans="2:79" s="331" customFormat="1" x14ac:dyDescent="0.2">
      <c r="B251" s="329"/>
      <c r="C251" s="329"/>
      <c r="D251" s="329"/>
      <c r="E251" s="329"/>
      <c r="F251" s="329"/>
      <c r="G251" s="329"/>
      <c r="H251" s="329"/>
      <c r="I251" s="329"/>
      <c r="J251" s="329"/>
      <c r="K251" s="329"/>
      <c r="L251" s="329"/>
      <c r="M251" s="329"/>
      <c r="N251" s="325"/>
      <c r="O251" s="325"/>
      <c r="P251" s="325"/>
      <c r="Q251" s="325"/>
      <c r="R251" s="325"/>
      <c r="S251" s="325"/>
      <c r="T251" s="325"/>
      <c r="U251" s="325"/>
      <c r="V251" s="325"/>
      <c r="W251" s="325"/>
      <c r="X251" s="325"/>
      <c r="Y251" s="325"/>
      <c r="Z251" s="325"/>
      <c r="AA251" s="325"/>
      <c r="AB251" s="325"/>
      <c r="AC251" s="325"/>
      <c r="AD251" s="325"/>
      <c r="AE251" s="325"/>
      <c r="AF251" s="325"/>
      <c r="AG251" s="325"/>
      <c r="AH251" s="325"/>
      <c r="AI251" s="325"/>
      <c r="AJ251" s="325"/>
      <c r="AK251" s="325"/>
      <c r="AL251" s="325"/>
      <c r="AM251" s="325"/>
      <c r="AN251" s="325"/>
      <c r="AO251" s="325"/>
      <c r="AP251" s="325"/>
      <c r="AQ251" s="325"/>
      <c r="AR251" s="325"/>
      <c r="AS251" s="325"/>
      <c r="AT251" s="325"/>
      <c r="AU251" s="325"/>
      <c r="AV251" s="325"/>
      <c r="AW251" s="325"/>
      <c r="AX251" s="325"/>
      <c r="AY251" s="325"/>
      <c r="AZ251" s="325"/>
      <c r="BA251" s="325"/>
      <c r="BB251" s="325"/>
      <c r="BC251" s="325"/>
      <c r="BD251" s="325"/>
      <c r="BE251" s="325"/>
      <c r="BF251" s="325"/>
      <c r="BG251" s="325"/>
      <c r="BH251" s="325"/>
      <c r="BI251" s="325"/>
      <c r="BJ251" s="325"/>
      <c r="BK251" s="325"/>
      <c r="BL251" s="325"/>
      <c r="BM251" s="325"/>
      <c r="BN251" s="325"/>
      <c r="BO251" s="325"/>
      <c r="BP251" s="325"/>
      <c r="BQ251" s="325"/>
      <c r="BR251" s="325"/>
      <c r="BS251" s="325"/>
      <c r="BT251" s="325"/>
      <c r="BU251" s="45"/>
      <c r="BV251" s="45"/>
      <c r="BW251" s="45"/>
      <c r="BX251" s="45"/>
      <c r="BY251" s="45"/>
      <c r="BZ251" s="45"/>
      <c r="CA251" s="339"/>
    </row>
    <row r="252" spans="2:79" s="331" customFormat="1" x14ac:dyDescent="0.2">
      <c r="B252" s="329"/>
      <c r="C252" s="329"/>
      <c r="D252" s="329"/>
      <c r="E252" s="329"/>
      <c r="F252" s="329"/>
      <c r="G252" s="329"/>
      <c r="H252" s="329"/>
      <c r="I252" s="329"/>
      <c r="J252" s="329"/>
      <c r="K252" s="329"/>
      <c r="L252" s="329"/>
      <c r="M252" s="329"/>
      <c r="N252" s="325"/>
      <c r="O252" s="325"/>
      <c r="P252" s="325"/>
      <c r="Q252" s="325"/>
      <c r="R252" s="325"/>
      <c r="S252" s="325"/>
      <c r="T252" s="325"/>
      <c r="U252" s="325"/>
      <c r="V252" s="325"/>
      <c r="W252" s="325"/>
      <c r="X252" s="325"/>
      <c r="Y252" s="325"/>
      <c r="Z252" s="325"/>
      <c r="AA252" s="325"/>
      <c r="AB252" s="325"/>
      <c r="AC252" s="325"/>
      <c r="AD252" s="325"/>
      <c r="AE252" s="325"/>
      <c r="AF252" s="325"/>
      <c r="AG252" s="325"/>
      <c r="AH252" s="325"/>
      <c r="AI252" s="325"/>
      <c r="AJ252" s="325"/>
      <c r="AK252" s="325"/>
      <c r="AL252" s="325"/>
      <c r="AM252" s="325"/>
      <c r="AN252" s="325"/>
      <c r="AO252" s="325"/>
      <c r="AP252" s="325"/>
      <c r="AQ252" s="325"/>
      <c r="AR252" s="325"/>
      <c r="AS252" s="325"/>
      <c r="AT252" s="325"/>
      <c r="AU252" s="325"/>
      <c r="AV252" s="325"/>
      <c r="AW252" s="325"/>
      <c r="AX252" s="325"/>
      <c r="AY252" s="325"/>
      <c r="AZ252" s="325"/>
      <c r="BA252" s="325"/>
      <c r="BB252" s="325"/>
      <c r="BC252" s="325"/>
      <c r="BD252" s="325"/>
      <c r="BE252" s="325"/>
      <c r="BF252" s="325"/>
      <c r="BG252" s="325"/>
      <c r="BH252" s="325"/>
      <c r="BI252" s="325"/>
      <c r="BJ252" s="325"/>
      <c r="BK252" s="325"/>
      <c r="BL252" s="325"/>
      <c r="BM252" s="325"/>
      <c r="BN252" s="325"/>
      <c r="BO252" s="325"/>
      <c r="BP252" s="325"/>
      <c r="BQ252" s="325"/>
      <c r="BR252" s="325"/>
      <c r="BS252" s="325"/>
      <c r="BT252" s="325"/>
      <c r="BU252" s="45"/>
      <c r="BV252" s="45"/>
      <c r="BW252" s="45"/>
      <c r="BX252" s="45"/>
      <c r="BY252" s="45"/>
      <c r="BZ252" s="45"/>
      <c r="CA252" s="339"/>
    </row>
    <row r="253" spans="2:79" s="331" customFormat="1" x14ac:dyDescent="0.2">
      <c r="B253" s="329"/>
      <c r="C253" s="329"/>
      <c r="D253" s="329"/>
      <c r="E253" s="329"/>
      <c r="F253" s="329"/>
      <c r="G253" s="329"/>
      <c r="H253" s="329"/>
      <c r="I253" s="329"/>
      <c r="J253" s="329"/>
      <c r="K253" s="329"/>
      <c r="L253" s="329"/>
      <c r="M253" s="329"/>
      <c r="N253" s="325"/>
      <c r="O253" s="325"/>
      <c r="P253" s="325"/>
      <c r="Q253" s="325"/>
      <c r="R253" s="325"/>
      <c r="S253" s="325"/>
      <c r="T253" s="325"/>
      <c r="U253" s="325"/>
      <c r="V253" s="325"/>
      <c r="W253" s="325"/>
      <c r="X253" s="325"/>
      <c r="Y253" s="325"/>
      <c r="Z253" s="325"/>
      <c r="AA253" s="325"/>
      <c r="AB253" s="325"/>
      <c r="AC253" s="325"/>
      <c r="AD253" s="325"/>
      <c r="AE253" s="325"/>
      <c r="AF253" s="325"/>
      <c r="AG253" s="325"/>
      <c r="AH253" s="325"/>
      <c r="AI253" s="325"/>
      <c r="AJ253" s="325"/>
      <c r="AK253" s="325"/>
      <c r="AL253" s="325"/>
      <c r="AM253" s="325"/>
      <c r="AN253" s="325"/>
      <c r="AO253" s="325"/>
      <c r="AP253" s="325"/>
      <c r="AQ253" s="325"/>
      <c r="AR253" s="325"/>
      <c r="AS253" s="325"/>
      <c r="AT253" s="325"/>
      <c r="AU253" s="325"/>
      <c r="AV253" s="325"/>
      <c r="AW253" s="325"/>
      <c r="AX253" s="325"/>
      <c r="AY253" s="325"/>
      <c r="AZ253" s="325"/>
      <c r="BA253" s="325"/>
      <c r="BB253" s="325"/>
      <c r="BC253" s="325"/>
      <c r="BD253" s="325"/>
      <c r="BE253" s="325"/>
      <c r="BF253" s="325"/>
      <c r="BG253" s="325"/>
      <c r="BH253" s="325"/>
      <c r="BI253" s="325"/>
      <c r="BJ253" s="325"/>
      <c r="BK253" s="325"/>
      <c r="BL253" s="325"/>
      <c r="BM253" s="325"/>
      <c r="BN253" s="325"/>
      <c r="BO253" s="325"/>
      <c r="BP253" s="325"/>
      <c r="BQ253" s="325"/>
      <c r="BR253" s="325"/>
      <c r="BS253" s="325"/>
      <c r="BT253" s="325"/>
      <c r="BU253" s="45"/>
      <c r="BV253" s="45"/>
      <c r="BW253" s="45"/>
      <c r="BX253" s="45"/>
      <c r="BY253" s="45"/>
      <c r="BZ253" s="45"/>
      <c r="CA253" s="339"/>
    </row>
    <row r="254" spans="2:79" s="331" customFormat="1" x14ac:dyDescent="0.2">
      <c r="B254" s="329"/>
      <c r="C254" s="329"/>
      <c r="D254" s="329"/>
      <c r="E254" s="329"/>
      <c r="F254" s="329"/>
      <c r="G254" s="329"/>
      <c r="H254" s="329"/>
      <c r="I254" s="329"/>
      <c r="J254" s="329"/>
      <c r="K254" s="329"/>
      <c r="L254" s="329"/>
      <c r="M254" s="329"/>
      <c r="N254" s="325"/>
      <c r="O254" s="325"/>
      <c r="P254" s="325"/>
      <c r="Q254" s="325"/>
      <c r="R254" s="325"/>
      <c r="S254" s="325"/>
      <c r="T254" s="325"/>
      <c r="U254" s="325"/>
      <c r="V254" s="325"/>
      <c r="W254" s="325"/>
      <c r="X254" s="325"/>
      <c r="Y254" s="325"/>
      <c r="Z254" s="325"/>
      <c r="AA254" s="325"/>
      <c r="AB254" s="325"/>
      <c r="AC254" s="325"/>
      <c r="AD254" s="325"/>
      <c r="AE254" s="325"/>
      <c r="AF254" s="325"/>
      <c r="AG254" s="325"/>
      <c r="AH254" s="325"/>
      <c r="AI254" s="325"/>
      <c r="AJ254" s="325"/>
      <c r="AK254" s="325"/>
      <c r="AL254" s="325"/>
      <c r="AM254" s="325"/>
      <c r="AN254" s="325"/>
      <c r="AO254" s="325"/>
      <c r="AP254" s="325"/>
      <c r="AQ254" s="325"/>
      <c r="AR254" s="325"/>
      <c r="AS254" s="325"/>
      <c r="AT254" s="325"/>
      <c r="AU254" s="325"/>
      <c r="AV254" s="325"/>
      <c r="AW254" s="325"/>
      <c r="AX254" s="325"/>
      <c r="AY254" s="325"/>
      <c r="AZ254" s="325"/>
      <c r="BA254" s="325"/>
      <c r="BB254" s="325"/>
      <c r="BC254" s="325"/>
      <c r="BD254" s="325"/>
      <c r="BE254" s="325"/>
      <c r="BF254" s="325"/>
      <c r="BG254" s="325"/>
      <c r="BH254" s="325"/>
      <c r="BI254" s="325"/>
      <c r="BJ254" s="325"/>
      <c r="BK254" s="325"/>
      <c r="BL254" s="325"/>
      <c r="BM254" s="325"/>
      <c r="BN254" s="325"/>
      <c r="BO254" s="325"/>
      <c r="BP254" s="325"/>
      <c r="BQ254" s="325"/>
      <c r="BR254" s="325"/>
      <c r="BS254" s="325"/>
      <c r="BT254" s="325"/>
      <c r="BU254" s="45"/>
      <c r="BV254" s="45"/>
      <c r="BW254" s="45"/>
      <c r="BX254" s="45"/>
      <c r="BY254" s="45"/>
      <c r="BZ254" s="45"/>
      <c r="CA254" s="339"/>
    </row>
    <row r="255" spans="2:79" s="331" customFormat="1" x14ac:dyDescent="0.2">
      <c r="B255" s="329"/>
      <c r="C255" s="329"/>
      <c r="D255" s="329"/>
      <c r="E255" s="329"/>
      <c r="F255" s="329"/>
      <c r="G255" s="329"/>
      <c r="H255" s="329"/>
      <c r="I255" s="329"/>
      <c r="J255" s="329"/>
      <c r="K255" s="329"/>
      <c r="L255" s="329"/>
      <c r="M255" s="329"/>
      <c r="N255" s="325"/>
      <c r="O255" s="325"/>
      <c r="P255" s="325"/>
      <c r="Q255" s="325"/>
      <c r="R255" s="325"/>
      <c r="S255" s="325"/>
      <c r="T255" s="325"/>
      <c r="U255" s="325"/>
      <c r="V255" s="325"/>
      <c r="W255" s="325"/>
      <c r="X255" s="325"/>
      <c r="Y255" s="325"/>
      <c r="Z255" s="325"/>
      <c r="AA255" s="325"/>
      <c r="AB255" s="325"/>
      <c r="AC255" s="325"/>
      <c r="AD255" s="325"/>
      <c r="AE255" s="325"/>
      <c r="AF255" s="325"/>
      <c r="AG255" s="325"/>
      <c r="AH255" s="325"/>
      <c r="AI255" s="325"/>
      <c r="AJ255" s="325"/>
      <c r="AK255" s="325"/>
      <c r="AL255" s="325"/>
      <c r="AM255" s="325"/>
      <c r="AN255" s="325"/>
      <c r="AO255" s="325"/>
      <c r="AP255" s="325"/>
      <c r="AQ255" s="325"/>
      <c r="AR255" s="325"/>
      <c r="AS255" s="325"/>
      <c r="AT255" s="325"/>
      <c r="AU255" s="325"/>
      <c r="AV255" s="325"/>
      <c r="AW255" s="325"/>
      <c r="AX255" s="325"/>
      <c r="AY255" s="325"/>
      <c r="AZ255" s="325"/>
      <c r="BA255" s="325"/>
      <c r="BB255" s="325"/>
      <c r="BC255" s="325"/>
      <c r="BD255" s="325"/>
      <c r="BE255" s="325"/>
      <c r="BF255" s="325"/>
      <c r="BG255" s="325"/>
      <c r="BH255" s="325"/>
      <c r="BI255" s="325"/>
      <c r="BJ255" s="325"/>
      <c r="BK255" s="325"/>
      <c r="BL255" s="325"/>
      <c r="BM255" s="325"/>
      <c r="BN255" s="325"/>
      <c r="BO255" s="325"/>
      <c r="BP255" s="325"/>
      <c r="BQ255" s="325"/>
      <c r="BR255" s="325"/>
      <c r="BS255" s="325"/>
      <c r="BT255" s="325"/>
      <c r="BU255" s="45"/>
      <c r="BV255" s="45"/>
      <c r="BW255" s="45"/>
      <c r="BX255" s="45"/>
      <c r="BY255" s="45"/>
      <c r="BZ255" s="45"/>
      <c r="CA255" s="339"/>
    </row>
    <row r="256" spans="2:79" s="331" customFormat="1" x14ac:dyDescent="0.2">
      <c r="B256" s="329"/>
      <c r="C256" s="329"/>
      <c r="D256" s="329"/>
      <c r="E256" s="329"/>
      <c r="F256" s="329"/>
      <c r="G256" s="329"/>
      <c r="H256" s="329"/>
      <c r="I256" s="329"/>
      <c r="J256" s="329"/>
      <c r="K256" s="329"/>
      <c r="L256" s="329"/>
      <c r="M256" s="329"/>
      <c r="N256" s="325"/>
      <c r="O256" s="325"/>
      <c r="P256" s="325"/>
      <c r="Q256" s="325"/>
      <c r="R256" s="325"/>
      <c r="S256" s="325"/>
      <c r="T256" s="325"/>
      <c r="U256" s="325"/>
      <c r="V256" s="325"/>
      <c r="W256" s="325"/>
      <c r="X256" s="325"/>
      <c r="Y256" s="325"/>
      <c r="Z256" s="325"/>
      <c r="AA256" s="325"/>
      <c r="AB256" s="325"/>
      <c r="AC256" s="325"/>
      <c r="AD256" s="325"/>
      <c r="AE256" s="325"/>
      <c r="AF256" s="325"/>
      <c r="AG256" s="325"/>
      <c r="AH256" s="325"/>
      <c r="AI256" s="325"/>
      <c r="AJ256" s="325"/>
      <c r="AK256" s="325"/>
      <c r="AL256" s="325"/>
      <c r="AM256" s="325"/>
      <c r="AN256" s="325"/>
      <c r="AO256" s="325"/>
      <c r="AP256" s="325"/>
      <c r="AQ256" s="325"/>
      <c r="AR256" s="325"/>
      <c r="AS256" s="325"/>
      <c r="AT256" s="325"/>
      <c r="AU256" s="325"/>
      <c r="AV256" s="325"/>
      <c r="AW256" s="325"/>
      <c r="AX256" s="325"/>
      <c r="AY256" s="325"/>
      <c r="AZ256" s="325"/>
      <c r="BA256" s="325"/>
      <c r="BB256" s="325"/>
      <c r="BC256" s="325"/>
      <c r="BD256" s="325"/>
      <c r="BE256" s="325"/>
      <c r="BF256" s="325"/>
      <c r="BG256" s="325"/>
      <c r="BH256" s="325"/>
      <c r="BI256" s="325"/>
      <c r="BJ256" s="325"/>
      <c r="BK256" s="325"/>
      <c r="BL256" s="325"/>
      <c r="BM256" s="325"/>
      <c r="BN256" s="325"/>
      <c r="BO256" s="325"/>
      <c r="BP256" s="325"/>
      <c r="BQ256" s="325"/>
      <c r="BR256" s="325"/>
      <c r="BS256" s="325"/>
      <c r="BT256" s="325"/>
      <c r="BU256" s="45"/>
      <c r="BV256" s="45"/>
      <c r="BW256" s="45"/>
      <c r="BX256" s="45"/>
      <c r="BY256" s="45"/>
      <c r="BZ256" s="45"/>
      <c r="CA256" s="339"/>
    </row>
    <row r="257" spans="2:79" s="331" customFormat="1" x14ac:dyDescent="0.2">
      <c r="B257" s="329"/>
      <c r="C257" s="329"/>
      <c r="D257" s="329"/>
      <c r="E257" s="329"/>
      <c r="F257" s="329"/>
      <c r="G257" s="329"/>
      <c r="H257" s="329"/>
      <c r="I257" s="329"/>
      <c r="J257" s="329"/>
      <c r="K257" s="329"/>
      <c r="L257" s="329"/>
      <c r="M257" s="329"/>
      <c r="N257" s="325"/>
      <c r="O257" s="325"/>
      <c r="P257" s="325"/>
      <c r="Q257" s="325"/>
      <c r="R257" s="325"/>
      <c r="S257" s="325"/>
      <c r="T257" s="325"/>
      <c r="U257" s="325"/>
      <c r="V257" s="325"/>
      <c r="W257" s="325"/>
      <c r="X257" s="325"/>
      <c r="Y257" s="325"/>
      <c r="Z257" s="325"/>
      <c r="AA257" s="325"/>
      <c r="AB257" s="325"/>
      <c r="AC257" s="325"/>
      <c r="AD257" s="325"/>
      <c r="AE257" s="325"/>
      <c r="AF257" s="325"/>
      <c r="AG257" s="325"/>
      <c r="AH257" s="325"/>
      <c r="AI257" s="325"/>
      <c r="AJ257" s="325"/>
      <c r="AK257" s="325"/>
      <c r="AL257" s="325"/>
      <c r="AM257" s="325"/>
      <c r="AN257" s="325"/>
      <c r="AO257" s="325"/>
      <c r="AP257" s="325"/>
      <c r="AQ257" s="325"/>
      <c r="AR257" s="325"/>
      <c r="AS257" s="325"/>
      <c r="AT257" s="325"/>
      <c r="AU257" s="325"/>
      <c r="AV257" s="325"/>
      <c r="AW257" s="325"/>
      <c r="AX257" s="325"/>
      <c r="AY257" s="325"/>
      <c r="AZ257" s="325"/>
      <c r="BA257" s="325"/>
      <c r="BB257" s="325"/>
      <c r="BC257" s="325"/>
      <c r="BD257" s="325"/>
      <c r="BE257" s="325"/>
      <c r="BF257" s="325"/>
      <c r="BG257" s="325"/>
      <c r="BH257" s="325"/>
      <c r="BI257" s="325"/>
      <c r="BJ257" s="325"/>
      <c r="BK257" s="325"/>
      <c r="BL257" s="325"/>
      <c r="BM257" s="325"/>
      <c r="BN257" s="325"/>
      <c r="BO257" s="325"/>
      <c r="BP257" s="325"/>
      <c r="BQ257" s="325"/>
      <c r="BR257" s="325"/>
      <c r="BS257" s="325"/>
      <c r="BT257" s="325"/>
      <c r="BU257" s="45"/>
      <c r="BV257" s="45"/>
      <c r="BW257" s="45"/>
      <c r="BX257" s="45"/>
      <c r="BY257" s="45"/>
      <c r="BZ257" s="45"/>
      <c r="CA257" s="339"/>
    </row>
    <row r="258" spans="2:79" s="331" customFormat="1" x14ac:dyDescent="0.2">
      <c r="B258" s="329"/>
      <c r="C258" s="329"/>
      <c r="D258" s="329"/>
      <c r="E258" s="329"/>
      <c r="F258" s="329"/>
      <c r="G258" s="329"/>
      <c r="H258" s="329"/>
      <c r="I258" s="329"/>
      <c r="J258" s="329"/>
      <c r="K258" s="329"/>
      <c r="L258" s="329"/>
      <c r="M258" s="329"/>
      <c r="N258" s="325"/>
      <c r="O258" s="325"/>
      <c r="P258" s="325"/>
      <c r="Q258" s="325"/>
      <c r="R258" s="325"/>
      <c r="S258" s="325"/>
      <c r="T258" s="325"/>
      <c r="U258" s="325"/>
      <c r="V258" s="325"/>
      <c r="W258" s="325"/>
      <c r="X258" s="325"/>
      <c r="Y258" s="325"/>
      <c r="Z258" s="325"/>
      <c r="AA258" s="325"/>
      <c r="AB258" s="325"/>
      <c r="AC258" s="325"/>
      <c r="AD258" s="325"/>
      <c r="AE258" s="325"/>
      <c r="AF258" s="325"/>
      <c r="AG258" s="325"/>
      <c r="AH258" s="325"/>
      <c r="AI258" s="325"/>
      <c r="AJ258" s="325"/>
      <c r="AK258" s="325"/>
      <c r="AL258" s="325"/>
      <c r="AM258" s="325"/>
      <c r="AN258" s="325"/>
      <c r="AO258" s="325"/>
      <c r="AP258" s="325"/>
      <c r="AQ258" s="325"/>
      <c r="AR258" s="325"/>
      <c r="AS258" s="325"/>
      <c r="AT258" s="325"/>
      <c r="AU258" s="325"/>
      <c r="AV258" s="325"/>
      <c r="AW258" s="325"/>
      <c r="AX258" s="325"/>
      <c r="AY258" s="325"/>
      <c r="AZ258" s="325"/>
      <c r="BA258" s="325"/>
      <c r="BB258" s="325"/>
      <c r="BC258" s="325"/>
      <c r="BD258" s="325"/>
      <c r="BE258" s="325"/>
      <c r="BF258" s="325"/>
      <c r="BG258" s="325"/>
      <c r="BH258" s="325"/>
      <c r="BI258" s="325"/>
      <c r="BJ258" s="325"/>
      <c r="BK258" s="325"/>
      <c r="BL258" s="325"/>
      <c r="BM258" s="325"/>
      <c r="BN258" s="325"/>
      <c r="BO258" s="325"/>
      <c r="BP258" s="325"/>
      <c r="BQ258" s="325"/>
      <c r="BR258" s="325"/>
      <c r="BS258" s="325"/>
      <c r="BT258" s="325"/>
      <c r="BU258" s="45"/>
      <c r="BV258" s="45"/>
      <c r="BW258" s="45"/>
      <c r="BX258" s="45"/>
      <c r="BY258" s="45"/>
      <c r="BZ258" s="45"/>
      <c r="CA258" s="339"/>
    </row>
    <row r="259" spans="2:79" s="331" customFormat="1" x14ac:dyDescent="0.2">
      <c r="B259" s="329"/>
      <c r="C259" s="329"/>
      <c r="D259" s="329"/>
      <c r="E259" s="329"/>
      <c r="F259" s="329"/>
      <c r="G259" s="329"/>
      <c r="H259" s="329"/>
      <c r="I259" s="329"/>
      <c r="J259" s="329"/>
      <c r="K259" s="329"/>
      <c r="L259" s="329"/>
      <c r="M259" s="329"/>
      <c r="N259" s="325"/>
      <c r="O259" s="325"/>
      <c r="P259" s="325"/>
      <c r="Q259" s="325"/>
      <c r="R259" s="325"/>
      <c r="S259" s="325"/>
      <c r="T259" s="325"/>
      <c r="U259" s="325"/>
      <c r="V259" s="325"/>
      <c r="W259" s="325"/>
      <c r="X259" s="325"/>
      <c r="Y259" s="325"/>
      <c r="Z259" s="325"/>
      <c r="AA259" s="325"/>
      <c r="AB259" s="325"/>
      <c r="AC259" s="325"/>
      <c r="AD259" s="325"/>
      <c r="AE259" s="325"/>
      <c r="AF259" s="325"/>
      <c r="AG259" s="325"/>
      <c r="AH259" s="325"/>
      <c r="AI259" s="325"/>
      <c r="AJ259" s="325"/>
      <c r="AK259" s="325"/>
      <c r="AL259" s="325"/>
      <c r="AM259" s="325"/>
      <c r="AN259" s="325"/>
      <c r="AO259" s="325"/>
      <c r="AP259" s="325"/>
      <c r="AQ259" s="325"/>
      <c r="AR259" s="325"/>
      <c r="AS259" s="325"/>
      <c r="AT259" s="325"/>
      <c r="AU259" s="325"/>
      <c r="AV259" s="325"/>
      <c r="AW259" s="325"/>
      <c r="AX259" s="325"/>
      <c r="AY259" s="325"/>
      <c r="AZ259" s="325"/>
      <c r="BA259" s="325"/>
      <c r="BB259" s="325"/>
      <c r="BC259" s="325"/>
      <c r="BD259" s="325"/>
      <c r="BE259" s="325"/>
      <c r="BF259" s="325"/>
      <c r="BG259" s="325"/>
      <c r="BH259" s="325"/>
      <c r="BI259" s="325"/>
      <c r="BJ259" s="325"/>
      <c r="BK259" s="325"/>
      <c r="BL259" s="325"/>
      <c r="BM259" s="325"/>
      <c r="BN259" s="325"/>
      <c r="BO259" s="325"/>
      <c r="BP259" s="325"/>
      <c r="BQ259" s="325"/>
      <c r="BR259" s="325"/>
      <c r="BS259" s="325"/>
      <c r="BT259" s="325"/>
      <c r="BU259" s="45"/>
      <c r="BV259" s="45"/>
      <c r="BW259" s="45"/>
      <c r="BX259" s="45"/>
      <c r="BY259" s="45"/>
      <c r="BZ259" s="45"/>
      <c r="CA259" s="339"/>
    </row>
    <row r="260" spans="2:79" s="331" customFormat="1" x14ac:dyDescent="0.2">
      <c r="B260" s="329"/>
      <c r="C260" s="329"/>
      <c r="D260" s="329"/>
      <c r="E260" s="329"/>
      <c r="F260" s="329"/>
      <c r="G260" s="329"/>
      <c r="H260" s="329"/>
      <c r="I260" s="329"/>
      <c r="J260" s="329"/>
      <c r="K260" s="329"/>
      <c r="L260" s="329"/>
      <c r="M260" s="329"/>
      <c r="N260" s="325"/>
      <c r="O260" s="325"/>
      <c r="P260" s="325"/>
      <c r="Q260" s="325"/>
      <c r="R260" s="325"/>
      <c r="S260" s="325"/>
      <c r="T260" s="325"/>
      <c r="U260" s="325"/>
      <c r="V260" s="325"/>
      <c r="W260" s="325"/>
      <c r="X260" s="325"/>
      <c r="Y260" s="325"/>
      <c r="Z260" s="325"/>
      <c r="AA260" s="325"/>
      <c r="AB260" s="325"/>
      <c r="AC260" s="325"/>
      <c r="AD260" s="325"/>
      <c r="AE260" s="325"/>
      <c r="AF260" s="325"/>
      <c r="AG260" s="325"/>
      <c r="AH260" s="325"/>
      <c r="AI260" s="325"/>
      <c r="AJ260" s="325"/>
      <c r="AK260" s="325"/>
      <c r="AL260" s="325"/>
      <c r="AM260" s="325"/>
      <c r="AN260" s="325"/>
      <c r="AO260" s="325"/>
      <c r="AP260" s="325"/>
      <c r="AQ260" s="325"/>
      <c r="AR260" s="325"/>
      <c r="AS260" s="325"/>
      <c r="AT260" s="325"/>
      <c r="AU260" s="325"/>
      <c r="AV260" s="325"/>
      <c r="AW260" s="325"/>
      <c r="AX260" s="325"/>
      <c r="AY260" s="325"/>
      <c r="AZ260" s="325"/>
      <c r="BA260" s="325"/>
      <c r="BB260" s="325"/>
      <c r="BC260" s="325"/>
      <c r="BD260" s="325"/>
      <c r="BE260" s="325"/>
      <c r="BF260" s="325"/>
      <c r="BG260" s="325"/>
      <c r="BH260" s="325"/>
      <c r="BI260" s="325"/>
      <c r="BJ260" s="325"/>
      <c r="BK260" s="325"/>
      <c r="BL260" s="325"/>
      <c r="BM260" s="325"/>
      <c r="BN260" s="325"/>
      <c r="BO260" s="325"/>
      <c r="BP260" s="325"/>
      <c r="BQ260" s="325"/>
      <c r="BR260" s="325"/>
      <c r="BS260" s="325"/>
      <c r="BT260" s="325"/>
      <c r="BU260" s="45"/>
      <c r="BV260" s="45"/>
      <c r="BW260" s="45"/>
      <c r="BX260" s="45"/>
      <c r="BY260" s="45"/>
      <c r="BZ260" s="45"/>
      <c r="CA260" s="339"/>
    </row>
    <row r="261" spans="2:79" s="331" customFormat="1" x14ac:dyDescent="0.2">
      <c r="B261" s="329"/>
      <c r="C261" s="329"/>
      <c r="D261" s="329"/>
      <c r="E261" s="329"/>
      <c r="F261" s="329"/>
      <c r="G261" s="329"/>
      <c r="H261" s="329"/>
      <c r="I261" s="329"/>
      <c r="J261" s="329"/>
      <c r="K261" s="329"/>
      <c r="L261" s="329"/>
      <c r="M261" s="329"/>
      <c r="N261" s="325"/>
      <c r="O261" s="325"/>
      <c r="P261" s="325"/>
      <c r="Q261" s="325"/>
      <c r="R261" s="325"/>
      <c r="S261" s="325"/>
      <c r="T261" s="325"/>
      <c r="U261" s="325"/>
      <c r="V261" s="325"/>
      <c r="W261" s="325"/>
      <c r="X261" s="325"/>
      <c r="Y261" s="325"/>
      <c r="Z261" s="325"/>
      <c r="AA261" s="325"/>
      <c r="AB261" s="325"/>
      <c r="AC261" s="325"/>
      <c r="AD261" s="325"/>
      <c r="AE261" s="325"/>
      <c r="AF261" s="325"/>
      <c r="AG261" s="325"/>
      <c r="AH261" s="325"/>
      <c r="AI261" s="325"/>
      <c r="AJ261" s="325"/>
      <c r="AK261" s="325"/>
      <c r="AL261" s="325"/>
      <c r="AM261" s="325"/>
      <c r="AN261" s="325"/>
      <c r="AO261" s="325"/>
      <c r="AP261" s="325"/>
      <c r="AQ261" s="325"/>
      <c r="AR261" s="325"/>
      <c r="AS261" s="325"/>
      <c r="AT261" s="325"/>
      <c r="AU261" s="325"/>
      <c r="AV261" s="325"/>
      <c r="AW261" s="325"/>
      <c r="AX261" s="325"/>
      <c r="AY261" s="325"/>
      <c r="AZ261" s="325"/>
      <c r="BA261" s="325"/>
      <c r="BB261" s="325"/>
      <c r="BC261" s="325"/>
      <c r="BD261" s="325"/>
      <c r="BE261" s="325"/>
      <c r="BF261" s="325"/>
      <c r="BG261" s="325"/>
      <c r="BH261" s="325"/>
      <c r="BI261" s="325"/>
      <c r="BJ261" s="325"/>
      <c r="BK261" s="325"/>
      <c r="BL261" s="325"/>
      <c r="BM261" s="325"/>
      <c r="BN261" s="325"/>
      <c r="BO261" s="325"/>
      <c r="BP261" s="325"/>
      <c r="BQ261" s="325"/>
      <c r="BR261" s="325"/>
      <c r="BS261" s="325"/>
      <c r="BT261" s="325"/>
      <c r="BU261" s="45"/>
      <c r="BV261" s="45"/>
      <c r="BW261" s="45"/>
      <c r="BX261" s="45"/>
      <c r="BY261" s="45"/>
      <c r="BZ261" s="45"/>
      <c r="CA261" s="339"/>
    </row>
    <row r="262" spans="2:79" s="331" customFormat="1" x14ac:dyDescent="0.2">
      <c r="B262" s="329"/>
      <c r="C262" s="329"/>
      <c r="D262" s="329"/>
      <c r="E262" s="329"/>
      <c r="F262" s="329"/>
      <c r="G262" s="329"/>
      <c r="H262" s="329"/>
      <c r="I262" s="329"/>
      <c r="J262" s="329"/>
      <c r="K262" s="329"/>
      <c r="L262" s="329"/>
      <c r="M262" s="329"/>
      <c r="N262" s="325"/>
      <c r="O262" s="325"/>
      <c r="P262" s="325"/>
      <c r="Q262" s="325"/>
      <c r="R262" s="325"/>
      <c r="S262" s="325"/>
      <c r="T262" s="325"/>
      <c r="U262" s="325"/>
      <c r="V262" s="325"/>
      <c r="W262" s="325"/>
      <c r="X262" s="325"/>
      <c r="Y262" s="325"/>
      <c r="Z262" s="325"/>
      <c r="AA262" s="325"/>
      <c r="AB262" s="325"/>
      <c r="AC262" s="325"/>
      <c r="AD262" s="325"/>
      <c r="AE262" s="325"/>
      <c r="AF262" s="325"/>
      <c r="AG262" s="325"/>
      <c r="AH262" s="325"/>
      <c r="AI262" s="325"/>
      <c r="AJ262" s="325"/>
      <c r="AK262" s="325"/>
      <c r="AL262" s="325"/>
      <c r="AM262" s="325"/>
      <c r="AN262" s="325"/>
      <c r="AO262" s="325"/>
      <c r="AP262" s="325"/>
      <c r="AQ262" s="325"/>
      <c r="AR262" s="325"/>
      <c r="AS262" s="325"/>
      <c r="AT262" s="325"/>
      <c r="AU262" s="325"/>
      <c r="AV262" s="325"/>
      <c r="AW262" s="325"/>
      <c r="AX262" s="325"/>
      <c r="AY262" s="325"/>
      <c r="AZ262" s="325"/>
      <c r="BA262" s="325"/>
      <c r="BB262" s="325"/>
      <c r="BC262" s="325"/>
      <c r="BD262" s="325"/>
      <c r="BE262" s="325"/>
      <c r="BF262" s="325"/>
      <c r="BG262" s="325"/>
      <c r="BH262" s="325"/>
      <c r="BI262" s="325"/>
      <c r="BJ262" s="325"/>
      <c r="BK262" s="325"/>
      <c r="BL262" s="325"/>
      <c r="BM262" s="325"/>
      <c r="BN262" s="325"/>
      <c r="BO262" s="325"/>
      <c r="BP262" s="325"/>
      <c r="BQ262" s="325"/>
      <c r="BR262" s="325"/>
      <c r="BS262" s="325"/>
      <c r="BT262" s="325"/>
      <c r="BU262" s="45"/>
      <c r="BV262" s="45"/>
      <c r="BW262" s="45"/>
      <c r="BX262" s="45"/>
      <c r="BY262" s="45"/>
      <c r="BZ262" s="45"/>
      <c r="CA262" s="339"/>
    </row>
    <row r="263" spans="2:79" s="331" customFormat="1" x14ac:dyDescent="0.2">
      <c r="B263" s="329"/>
      <c r="C263" s="329"/>
      <c r="D263" s="329"/>
      <c r="E263" s="329"/>
      <c r="F263" s="329"/>
      <c r="G263" s="329"/>
      <c r="H263" s="329"/>
      <c r="I263" s="329"/>
      <c r="J263" s="329"/>
      <c r="K263" s="329"/>
      <c r="L263" s="329"/>
      <c r="M263" s="329"/>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25"/>
      <c r="AN263" s="325"/>
      <c r="AO263" s="325"/>
      <c r="AP263" s="325"/>
      <c r="AQ263" s="325"/>
      <c r="AR263" s="325"/>
      <c r="AS263" s="325"/>
      <c r="AT263" s="325"/>
      <c r="AU263" s="325"/>
      <c r="AV263" s="325"/>
      <c r="AW263" s="325"/>
      <c r="AX263" s="325"/>
      <c r="AY263" s="325"/>
      <c r="AZ263" s="325"/>
      <c r="BA263" s="325"/>
      <c r="BB263" s="325"/>
      <c r="BC263" s="325"/>
      <c r="BD263" s="325"/>
      <c r="BE263" s="325"/>
      <c r="BF263" s="325"/>
      <c r="BG263" s="325"/>
      <c r="BH263" s="325"/>
      <c r="BI263" s="325"/>
      <c r="BJ263" s="325"/>
      <c r="BK263" s="325"/>
      <c r="BL263" s="325"/>
      <c r="BM263" s="325"/>
      <c r="BN263" s="325"/>
      <c r="BO263" s="325"/>
      <c r="BP263" s="325"/>
      <c r="BQ263" s="325"/>
      <c r="BR263" s="325"/>
      <c r="BS263" s="325"/>
      <c r="BT263" s="325"/>
      <c r="BU263" s="45"/>
      <c r="BV263" s="45"/>
      <c r="BW263" s="45"/>
      <c r="BX263" s="45"/>
      <c r="BY263" s="45"/>
      <c r="BZ263" s="45"/>
      <c r="CA263" s="339"/>
    </row>
    <row r="264" spans="2:79" s="331" customFormat="1" x14ac:dyDescent="0.2">
      <c r="B264" s="329"/>
      <c r="C264" s="329"/>
      <c r="D264" s="329"/>
      <c r="E264" s="329"/>
      <c r="F264" s="329"/>
      <c r="G264" s="329"/>
      <c r="H264" s="329"/>
      <c r="I264" s="329"/>
      <c r="J264" s="329"/>
      <c r="K264" s="329"/>
      <c r="L264" s="329"/>
      <c r="M264" s="329"/>
      <c r="N264" s="325"/>
      <c r="O264" s="325"/>
      <c r="P264" s="325"/>
      <c r="Q264" s="325"/>
      <c r="R264" s="325"/>
      <c r="S264" s="325"/>
      <c r="T264" s="325"/>
      <c r="U264" s="325"/>
      <c r="V264" s="325"/>
      <c r="W264" s="325"/>
      <c r="X264" s="325"/>
      <c r="Y264" s="325"/>
      <c r="Z264" s="325"/>
      <c r="AA264" s="325"/>
      <c r="AB264" s="325"/>
      <c r="AC264" s="325"/>
      <c r="AD264" s="325"/>
      <c r="AE264" s="325"/>
      <c r="AF264" s="325"/>
      <c r="AG264" s="325"/>
      <c r="AH264" s="325"/>
      <c r="AI264" s="325"/>
      <c r="AJ264" s="325"/>
      <c r="AK264" s="325"/>
      <c r="AL264" s="325"/>
      <c r="AM264" s="325"/>
      <c r="AN264" s="325"/>
      <c r="AO264" s="325"/>
      <c r="AP264" s="325"/>
      <c r="AQ264" s="325"/>
      <c r="AR264" s="325"/>
      <c r="AS264" s="325"/>
      <c r="AT264" s="325"/>
      <c r="AU264" s="325"/>
      <c r="AV264" s="325"/>
      <c r="AW264" s="325"/>
      <c r="AX264" s="325"/>
      <c r="AY264" s="325"/>
      <c r="AZ264" s="325"/>
      <c r="BA264" s="325"/>
      <c r="BB264" s="325"/>
      <c r="BC264" s="325"/>
      <c r="BD264" s="325"/>
      <c r="BE264" s="325"/>
      <c r="BF264" s="325"/>
      <c r="BG264" s="325"/>
      <c r="BH264" s="325"/>
      <c r="BI264" s="325"/>
      <c r="BJ264" s="325"/>
      <c r="BK264" s="325"/>
      <c r="BL264" s="325"/>
      <c r="BM264" s="325"/>
      <c r="BN264" s="325"/>
      <c r="BO264" s="325"/>
      <c r="BP264" s="325"/>
      <c r="BQ264" s="325"/>
      <c r="BR264" s="325"/>
      <c r="BS264" s="325"/>
      <c r="BT264" s="325"/>
      <c r="BU264" s="45"/>
      <c r="BV264" s="45"/>
      <c r="BW264" s="45"/>
      <c r="BX264" s="45"/>
      <c r="BY264" s="45"/>
      <c r="BZ264" s="45"/>
      <c r="CA264" s="339"/>
    </row>
    <row r="265" spans="2:79" s="331" customFormat="1" x14ac:dyDescent="0.2">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c r="BN265" s="45"/>
      <c r="BO265" s="45"/>
      <c r="BP265" s="45"/>
      <c r="BQ265" s="45"/>
      <c r="BR265" s="45"/>
      <c r="BS265" s="45"/>
      <c r="BT265" s="45"/>
      <c r="BU265" s="45"/>
      <c r="BV265" s="45"/>
      <c r="BW265" s="45"/>
      <c r="BX265" s="45"/>
      <c r="BY265" s="45"/>
      <c r="BZ265" s="45"/>
      <c r="CA265" s="339"/>
    </row>
    <row r="266" spans="2:79" s="331" customFormat="1" x14ac:dyDescent="0.2">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c r="BN266" s="45"/>
      <c r="BO266" s="45"/>
      <c r="BP266" s="45"/>
      <c r="BQ266" s="45"/>
      <c r="BR266" s="45"/>
      <c r="BS266" s="45"/>
      <c r="BT266" s="45"/>
      <c r="BU266" s="45"/>
      <c r="BV266" s="45"/>
      <c r="BW266" s="45"/>
      <c r="BX266" s="45"/>
      <c r="BY266" s="45"/>
      <c r="BZ266" s="45"/>
      <c r="CA266" s="339"/>
    </row>
    <row r="267" spans="2:79" s="331" customFormat="1" x14ac:dyDescent="0.2">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339"/>
    </row>
    <row r="268" spans="2:79" s="331" customFormat="1" x14ac:dyDescent="0.2">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c r="BN268" s="45"/>
      <c r="BO268" s="45"/>
      <c r="BP268" s="45"/>
      <c r="BQ268" s="45"/>
      <c r="BR268" s="45"/>
      <c r="BS268" s="45"/>
      <c r="BT268" s="45"/>
      <c r="BU268" s="45"/>
      <c r="BV268" s="45"/>
      <c r="BW268" s="45"/>
      <c r="BX268" s="45"/>
      <c r="BY268" s="45"/>
      <c r="BZ268" s="45"/>
      <c r="CA268" s="339"/>
    </row>
    <row r="269" spans="2:79" s="331" customFormat="1" x14ac:dyDescent="0.2">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c r="BN269" s="45"/>
      <c r="BO269" s="45"/>
      <c r="BP269" s="45"/>
      <c r="BQ269" s="45"/>
      <c r="BR269" s="45"/>
      <c r="BS269" s="45"/>
      <c r="BT269" s="45"/>
      <c r="BU269" s="45"/>
      <c r="BV269" s="45"/>
      <c r="BW269" s="45"/>
      <c r="BX269" s="45"/>
      <c r="BY269" s="45"/>
      <c r="BZ269" s="45"/>
      <c r="CA269" s="339"/>
    </row>
    <row r="270" spans="2:79" s="331" customFormat="1" x14ac:dyDescent="0.2">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c r="BN270" s="45"/>
      <c r="BO270" s="45"/>
      <c r="BP270" s="45"/>
      <c r="BQ270" s="45"/>
      <c r="BR270" s="45"/>
      <c r="BS270" s="45"/>
      <c r="BT270" s="45"/>
      <c r="BU270" s="45"/>
      <c r="BV270" s="45"/>
      <c r="BW270" s="45"/>
      <c r="BX270" s="45"/>
      <c r="BY270" s="45"/>
      <c r="BZ270" s="45"/>
      <c r="CA270" s="339"/>
    </row>
    <row r="271" spans="2:79" s="331" customFormat="1" x14ac:dyDescent="0.2">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339"/>
    </row>
    <row r="272" spans="2:79" s="331" customFormat="1" x14ac:dyDescent="0.2">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339"/>
    </row>
    <row r="273" spans="2:79" s="331" customFormat="1" x14ac:dyDescent="0.2">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339"/>
    </row>
    <row r="274" spans="2:79" s="331" customFormat="1" x14ac:dyDescent="0.2">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c r="BN274" s="45"/>
      <c r="BO274" s="45"/>
      <c r="BP274" s="45"/>
      <c r="BQ274" s="45"/>
      <c r="BR274" s="45"/>
      <c r="BS274" s="45"/>
      <c r="BT274" s="45"/>
      <c r="BU274" s="45"/>
      <c r="BV274" s="45"/>
      <c r="BW274" s="45"/>
      <c r="BX274" s="45"/>
      <c r="BY274" s="45"/>
      <c r="BZ274" s="45"/>
      <c r="CA274" s="339"/>
    </row>
    <row r="275" spans="2:79" s="331" customFormat="1" x14ac:dyDescent="0.2">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c r="BN275" s="45"/>
      <c r="BO275" s="45"/>
      <c r="BP275" s="45"/>
      <c r="BQ275" s="45"/>
      <c r="BR275" s="45"/>
      <c r="BS275" s="45"/>
      <c r="BT275" s="45"/>
      <c r="BU275" s="45"/>
      <c r="BV275" s="45"/>
      <c r="BW275" s="45"/>
      <c r="BX275" s="45"/>
      <c r="BY275" s="45"/>
      <c r="BZ275" s="45"/>
      <c r="CA275" s="339"/>
    </row>
    <row r="276" spans="2:79" s="331" customFormat="1" x14ac:dyDescent="0.2">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339"/>
    </row>
    <row r="277" spans="2:79" s="331" customFormat="1" x14ac:dyDescent="0.2">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c r="BN277" s="45"/>
      <c r="BO277" s="45"/>
      <c r="BP277" s="45"/>
      <c r="BQ277" s="45"/>
      <c r="BR277" s="45"/>
      <c r="BS277" s="45"/>
      <c r="BT277" s="45"/>
      <c r="BU277" s="45"/>
      <c r="BV277" s="45"/>
      <c r="BW277" s="45"/>
      <c r="BX277" s="45"/>
      <c r="BY277" s="45"/>
      <c r="BZ277" s="45"/>
      <c r="CA277" s="339"/>
    </row>
    <row r="278" spans="2:79" s="331" customFormat="1" x14ac:dyDescent="0.2">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c r="BN278" s="45"/>
      <c r="BO278" s="45"/>
      <c r="BP278" s="45"/>
      <c r="BQ278" s="45"/>
      <c r="BR278" s="45"/>
      <c r="BS278" s="45"/>
      <c r="BT278" s="45"/>
      <c r="BU278" s="45"/>
      <c r="BV278" s="45"/>
      <c r="BW278" s="45"/>
      <c r="BX278" s="45"/>
      <c r="BY278" s="45"/>
      <c r="BZ278" s="45"/>
      <c r="CA278" s="339"/>
    </row>
    <row r="279" spans="2:79" s="331" customFormat="1" x14ac:dyDescent="0.2">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c r="BN279" s="45"/>
      <c r="BO279" s="45"/>
      <c r="BP279" s="45"/>
      <c r="BQ279" s="45"/>
      <c r="BR279" s="45"/>
      <c r="BS279" s="45"/>
      <c r="BT279" s="45"/>
      <c r="BU279" s="45"/>
      <c r="BV279" s="45"/>
      <c r="BW279" s="45"/>
      <c r="BX279" s="45"/>
      <c r="BY279" s="45"/>
      <c r="BZ279" s="45"/>
      <c r="CA279" s="339"/>
    </row>
    <row r="280" spans="2:79" s="331" customFormat="1" x14ac:dyDescent="0.2">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339"/>
    </row>
    <row r="281" spans="2:79" s="331" customFormat="1" x14ac:dyDescent="0.2">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339"/>
    </row>
    <row r="282" spans="2:79" s="331" customFormat="1" x14ac:dyDescent="0.2">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339"/>
    </row>
    <row r="283" spans="2:79" s="331" customFormat="1" x14ac:dyDescent="0.2">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339"/>
    </row>
    <row r="284" spans="2:79" s="331" customFormat="1" x14ac:dyDescent="0.2">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339"/>
    </row>
    <row r="285" spans="2:79" s="331" customFormat="1" x14ac:dyDescent="0.2">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339"/>
    </row>
    <row r="286" spans="2:79" s="331" customFormat="1" x14ac:dyDescent="0.2">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c r="BN286" s="45"/>
      <c r="BO286" s="45"/>
      <c r="BP286" s="45"/>
      <c r="BQ286" s="45"/>
      <c r="BR286" s="45"/>
      <c r="BS286" s="45"/>
      <c r="BT286" s="45"/>
      <c r="BU286" s="45"/>
      <c r="BV286" s="45"/>
      <c r="BW286" s="45"/>
      <c r="BX286" s="45"/>
      <c r="BY286" s="45"/>
      <c r="BZ286" s="45"/>
      <c r="CA286" s="339"/>
    </row>
    <row r="287" spans="2:79" s="331" customFormat="1" x14ac:dyDescent="0.2">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c r="BN287" s="45"/>
      <c r="BO287" s="45"/>
      <c r="BP287" s="45"/>
      <c r="BQ287" s="45"/>
      <c r="BR287" s="45"/>
      <c r="BS287" s="45"/>
      <c r="BT287" s="45"/>
      <c r="BU287" s="45"/>
      <c r="BV287" s="45"/>
      <c r="BW287" s="45"/>
      <c r="BX287" s="45"/>
      <c r="BY287" s="45"/>
      <c r="BZ287" s="45"/>
      <c r="CA287" s="339"/>
    </row>
    <row r="288" spans="2:79" s="331" customFormat="1" x14ac:dyDescent="0.2">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339"/>
    </row>
    <row r="289" spans="2:79" s="331" customFormat="1" x14ac:dyDescent="0.2">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339"/>
    </row>
    <row r="290" spans="2:79" s="331" customFormat="1" x14ac:dyDescent="0.2">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c r="BN290" s="45"/>
      <c r="BO290" s="45"/>
      <c r="BP290" s="45"/>
      <c r="BQ290" s="45"/>
      <c r="BR290" s="45"/>
      <c r="BS290" s="45"/>
      <c r="BT290" s="45"/>
      <c r="BU290" s="45"/>
      <c r="BV290" s="45"/>
      <c r="BW290" s="45"/>
      <c r="BX290" s="45"/>
      <c r="BY290" s="45"/>
      <c r="BZ290" s="45"/>
      <c r="CA290" s="339"/>
    </row>
    <row r="291" spans="2:79" s="331" customFormat="1" x14ac:dyDescent="0.2">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c r="BN291" s="45"/>
      <c r="BO291" s="45"/>
      <c r="BP291" s="45"/>
      <c r="BQ291" s="45"/>
      <c r="BR291" s="45"/>
      <c r="BS291" s="45"/>
      <c r="BT291" s="45"/>
      <c r="BU291" s="45"/>
      <c r="BV291" s="45"/>
      <c r="BW291" s="45"/>
      <c r="BX291" s="45"/>
      <c r="BY291" s="45"/>
      <c r="BZ291" s="45"/>
      <c r="CA291" s="339"/>
    </row>
    <row r="292" spans="2:79" s="331" customFormat="1" x14ac:dyDescent="0.2">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c r="BN292" s="45"/>
      <c r="BO292" s="45"/>
      <c r="BP292" s="45"/>
      <c r="BQ292" s="45"/>
      <c r="BR292" s="45"/>
      <c r="BS292" s="45"/>
      <c r="BT292" s="45"/>
      <c r="BU292" s="45"/>
      <c r="BV292" s="45"/>
      <c r="BW292" s="45"/>
      <c r="BX292" s="45"/>
      <c r="BY292" s="45"/>
      <c r="BZ292" s="45"/>
      <c r="CA292" s="339"/>
    </row>
    <row r="293" spans="2:79" s="331" customFormat="1" x14ac:dyDescent="0.2">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c r="BN293" s="45"/>
      <c r="BO293" s="45"/>
      <c r="BP293" s="45"/>
      <c r="BQ293" s="45"/>
      <c r="BR293" s="45"/>
      <c r="BS293" s="45"/>
      <c r="BT293" s="45"/>
      <c r="BU293" s="45"/>
      <c r="BV293" s="45"/>
      <c r="BW293" s="45"/>
      <c r="BX293" s="45"/>
      <c r="BY293" s="45"/>
      <c r="BZ293" s="45"/>
      <c r="CA293" s="339"/>
    </row>
    <row r="294" spans="2:79" s="331" customFormat="1" x14ac:dyDescent="0.2">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c r="BN294" s="45"/>
      <c r="BO294" s="45"/>
      <c r="BP294" s="45"/>
      <c r="BQ294" s="45"/>
      <c r="BR294" s="45"/>
      <c r="BS294" s="45"/>
      <c r="BT294" s="45"/>
      <c r="BU294" s="45"/>
      <c r="BV294" s="45"/>
      <c r="BW294" s="45"/>
      <c r="BX294" s="45"/>
      <c r="BY294" s="45"/>
      <c r="BZ294" s="45"/>
      <c r="CA294" s="339"/>
    </row>
    <row r="295" spans="2:79" s="331" customFormat="1" x14ac:dyDescent="0.2">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5"/>
      <c r="BW295" s="45"/>
      <c r="BX295" s="45"/>
      <c r="BY295" s="45"/>
      <c r="BZ295" s="45"/>
      <c r="CA295" s="339"/>
    </row>
    <row r="296" spans="2:79" s="331" customFormat="1" x14ac:dyDescent="0.2">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5"/>
      <c r="BY296" s="45"/>
      <c r="BZ296" s="45"/>
      <c r="CA296" s="339"/>
    </row>
    <row r="297" spans="2:79" s="331" customFormat="1" x14ac:dyDescent="0.2">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c r="BX297" s="45"/>
      <c r="BY297" s="45"/>
      <c r="BZ297" s="45"/>
      <c r="CA297" s="339"/>
    </row>
    <row r="298" spans="2:79" s="331" customFormat="1" x14ac:dyDescent="0.2">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c r="BN298" s="45"/>
      <c r="BO298" s="45"/>
      <c r="BP298" s="45"/>
      <c r="BQ298" s="45"/>
      <c r="BR298" s="45"/>
      <c r="BS298" s="45"/>
      <c r="BT298" s="45"/>
      <c r="BU298" s="45"/>
      <c r="BV298" s="45"/>
      <c r="BW298" s="45"/>
      <c r="BX298" s="45"/>
      <c r="BY298" s="45"/>
      <c r="BZ298" s="45"/>
      <c r="CA298" s="339"/>
    </row>
    <row r="299" spans="2:79" s="331" customFormat="1" x14ac:dyDescent="0.2">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5"/>
      <c r="BY299" s="45"/>
      <c r="BZ299" s="45"/>
      <c r="CA299" s="339"/>
    </row>
    <row r="300" spans="2:79" s="331" customFormat="1" x14ac:dyDescent="0.2">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c r="BN300" s="45"/>
      <c r="BO300" s="45"/>
      <c r="BP300" s="45"/>
      <c r="BQ300" s="45"/>
      <c r="BR300" s="45"/>
      <c r="BS300" s="45"/>
      <c r="BT300" s="45"/>
      <c r="BU300" s="45"/>
      <c r="BV300" s="45"/>
      <c r="BW300" s="45"/>
      <c r="BX300" s="45"/>
      <c r="BY300" s="45"/>
      <c r="BZ300" s="45"/>
      <c r="CA300" s="339"/>
    </row>
    <row r="301" spans="2:79" s="331" customFormat="1" x14ac:dyDescent="0.2">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c r="BN301" s="45"/>
      <c r="BO301" s="45"/>
      <c r="BP301" s="45"/>
      <c r="BQ301" s="45"/>
      <c r="BR301" s="45"/>
      <c r="BS301" s="45"/>
      <c r="BT301" s="45"/>
      <c r="BU301" s="45"/>
      <c r="BV301" s="45"/>
      <c r="BW301" s="45"/>
      <c r="BX301" s="45"/>
      <c r="BY301" s="45"/>
      <c r="BZ301" s="45"/>
      <c r="CA301" s="339"/>
    </row>
    <row r="302" spans="2:79" s="331" customFormat="1" x14ac:dyDescent="0.2">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c r="BN302" s="45"/>
      <c r="BO302" s="45"/>
      <c r="BP302" s="45"/>
      <c r="BQ302" s="45"/>
      <c r="BR302" s="45"/>
      <c r="BS302" s="45"/>
      <c r="BT302" s="45"/>
      <c r="BU302" s="45"/>
      <c r="BV302" s="45"/>
      <c r="BW302" s="45"/>
      <c r="BX302" s="45"/>
      <c r="BY302" s="45"/>
      <c r="BZ302" s="45"/>
      <c r="CA302" s="339"/>
    </row>
    <row r="303" spans="2:79" s="331" customFormat="1" x14ac:dyDescent="0.2">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c r="BN303" s="45"/>
      <c r="BO303" s="45"/>
      <c r="BP303" s="45"/>
      <c r="BQ303" s="45"/>
      <c r="BR303" s="45"/>
      <c r="BS303" s="45"/>
      <c r="BT303" s="45"/>
      <c r="BU303" s="45"/>
      <c r="BV303" s="45"/>
      <c r="BW303" s="45"/>
      <c r="BX303" s="45"/>
      <c r="BY303" s="45"/>
      <c r="BZ303" s="45"/>
      <c r="CA303" s="339"/>
    </row>
    <row r="304" spans="2:79" s="331" customFormat="1" x14ac:dyDescent="0.2">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c r="BN304" s="45"/>
      <c r="BO304" s="45"/>
      <c r="BP304" s="45"/>
      <c r="BQ304" s="45"/>
      <c r="BR304" s="45"/>
      <c r="BS304" s="45"/>
      <c r="BT304" s="45"/>
      <c r="BU304" s="45"/>
      <c r="BV304" s="45"/>
      <c r="BW304" s="45"/>
      <c r="BX304" s="45"/>
      <c r="BY304" s="45"/>
      <c r="BZ304" s="45"/>
      <c r="CA304" s="339"/>
    </row>
    <row r="305" spans="2:79" s="331" customFormat="1" x14ac:dyDescent="0.2">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c r="BN305" s="45"/>
      <c r="BO305" s="45"/>
      <c r="BP305" s="45"/>
      <c r="BQ305" s="45"/>
      <c r="BR305" s="45"/>
      <c r="BS305" s="45"/>
      <c r="BT305" s="45"/>
      <c r="BU305" s="45"/>
      <c r="BV305" s="45"/>
      <c r="BW305" s="45"/>
      <c r="BX305" s="45"/>
      <c r="BY305" s="45"/>
      <c r="BZ305" s="45"/>
      <c r="CA305" s="339"/>
    </row>
    <row r="306" spans="2:79" s="331" customFormat="1" x14ac:dyDescent="0.2">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339"/>
    </row>
    <row r="307" spans="2:79" s="331" customFormat="1" x14ac:dyDescent="0.2">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c r="BN307" s="45"/>
      <c r="BO307" s="45"/>
      <c r="BP307" s="45"/>
      <c r="BQ307" s="45"/>
      <c r="BR307" s="45"/>
      <c r="BS307" s="45"/>
      <c r="BT307" s="45"/>
      <c r="BU307" s="45"/>
      <c r="BV307" s="45"/>
      <c r="BW307" s="45"/>
      <c r="BX307" s="45"/>
      <c r="BY307" s="45"/>
      <c r="BZ307" s="45"/>
      <c r="CA307" s="339"/>
    </row>
    <row r="308" spans="2:79" s="331" customFormat="1" x14ac:dyDescent="0.2">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c r="BN308" s="45"/>
      <c r="BO308" s="45"/>
      <c r="BP308" s="45"/>
      <c r="BQ308" s="45"/>
      <c r="BR308" s="45"/>
      <c r="BS308" s="45"/>
      <c r="BT308" s="45"/>
      <c r="BU308" s="45"/>
      <c r="BV308" s="45"/>
      <c r="BW308" s="45"/>
      <c r="BX308" s="45"/>
      <c r="BY308" s="45"/>
      <c r="BZ308" s="45"/>
      <c r="CA308" s="339"/>
    </row>
    <row r="309" spans="2:79" s="331" customFormat="1" x14ac:dyDescent="0.2">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c r="BN309" s="45"/>
      <c r="BO309" s="45"/>
      <c r="BP309" s="45"/>
      <c r="BQ309" s="45"/>
      <c r="BR309" s="45"/>
      <c r="BS309" s="45"/>
      <c r="BT309" s="45"/>
      <c r="BU309" s="45"/>
      <c r="BV309" s="45"/>
      <c r="BW309" s="45"/>
      <c r="BX309" s="45"/>
      <c r="BY309" s="45"/>
      <c r="BZ309" s="45"/>
      <c r="CA309" s="339"/>
    </row>
    <row r="310" spans="2:79" s="331" customFormat="1" x14ac:dyDescent="0.2">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5"/>
      <c r="BW310" s="45"/>
      <c r="BX310" s="45"/>
      <c r="BY310" s="45"/>
      <c r="BZ310" s="45"/>
      <c r="CA310" s="339"/>
    </row>
    <row r="311" spans="2:79" s="331" customFormat="1" x14ac:dyDescent="0.2">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c r="BN311" s="45"/>
      <c r="BO311" s="45"/>
      <c r="BP311" s="45"/>
      <c r="BQ311" s="45"/>
      <c r="BR311" s="45"/>
      <c r="BS311" s="45"/>
      <c r="BT311" s="45"/>
      <c r="BU311" s="45"/>
      <c r="BV311" s="45"/>
      <c r="BW311" s="45"/>
      <c r="BX311" s="45"/>
      <c r="BY311" s="45"/>
      <c r="BZ311" s="45"/>
      <c r="CA311" s="339"/>
    </row>
    <row r="312" spans="2:79" s="331" customFormat="1" x14ac:dyDescent="0.2">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c r="BN312" s="45"/>
      <c r="BO312" s="45"/>
      <c r="BP312" s="45"/>
      <c r="BQ312" s="45"/>
      <c r="BR312" s="45"/>
      <c r="BS312" s="45"/>
      <c r="BT312" s="45"/>
      <c r="BU312" s="45"/>
      <c r="BV312" s="45"/>
      <c r="BW312" s="45"/>
      <c r="BX312" s="45"/>
      <c r="BY312" s="45"/>
      <c r="BZ312" s="45"/>
      <c r="CA312" s="339"/>
    </row>
    <row r="313" spans="2:79" s="331" customFormat="1" x14ac:dyDescent="0.2">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c r="BN313" s="45"/>
      <c r="BO313" s="45"/>
      <c r="BP313" s="45"/>
      <c r="BQ313" s="45"/>
      <c r="BR313" s="45"/>
      <c r="BS313" s="45"/>
      <c r="BT313" s="45"/>
      <c r="BU313" s="45"/>
      <c r="BV313" s="45"/>
      <c r="BW313" s="45"/>
      <c r="BX313" s="45"/>
      <c r="BY313" s="45"/>
      <c r="BZ313" s="45"/>
      <c r="CA313" s="339"/>
    </row>
    <row r="314" spans="2:79" s="331" customFormat="1" x14ac:dyDescent="0.2">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339"/>
    </row>
    <row r="315" spans="2:79" s="331" customFormat="1" x14ac:dyDescent="0.2">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339"/>
    </row>
    <row r="316" spans="2:79" s="331" customFormat="1" x14ac:dyDescent="0.2">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339"/>
    </row>
    <row r="317" spans="2:79" s="331" customFormat="1" x14ac:dyDescent="0.2">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339"/>
    </row>
    <row r="318" spans="2:79" s="331" customFormat="1" x14ac:dyDescent="0.2">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c r="BN318" s="45"/>
      <c r="BO318" s="45"/>
      <c r="BP318" s="45"/>
      <c r="BQ318" s="45"/>
      <c r="BR318" s="45"/>
      <c r="BS318" s="45"/>
      <c r="BT318" s="45"/>
      <c r="BU318" s="45"/>
      <c r="BV318" s="45"/>
      <c r="BW318" s="45"/>
      <c r="BX318" s="45"/>
      <c r="BY318" s="45"/>
      <c r="BZ318" s="45"/>
      <c r="CA318" s="339"/>
    </row>
    <row r="319" spans="2:79" s="331" customFormat="1" x14ac:dyDescent="0.2">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c r="BN319" s="45"/>
      <c r="BO319" s="45"/>
      <c r="BP319" s="45"/>
      <c r="BQ319" s="45"/>
      <c r="BR319" s="45"/>
      <c r="BS319" s="45"/>
      <c r="BT319" s="45"/>
      <c r="BU319" s="45"/>
      <c r="BV319" s="45"/>
      <c r="BW319" s="45"/>
      <c r="BX319" s="45"/>
      <c r="BY319" s="45"/>
      <c r="BZ319" s="45"/>
      <c r="CA319" s="339"/>
    </row>
    <row r="320" spans="2:79" s="331" customFormat="1" x14ac:dyDescent="0.2">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c r="BN320" s="45"/>
      <c r="BO320" s="45"/>
      <c r="BP320" s="45"/>
      <c r="BQ320" s="45"/>
      <c r="BR320" s="45"/>
      <c r="BS320" s="45"/>
      <c r="BT320" s="45"/>
      <c r="BU320" s="45"/>
      <c r="BV320" s="45"/>
      <c r="BW320" s="45"/>
      <c r="BX320" s="45"/>
      <c r="BY320" s="45"/>
      <c r="BZ320" s="45"/>
      <c r="CA320" s="339"/>
    </row>
    <row r="321" spans="2:79" s="331" customFormat="1" x14ac:dyDescent="0.2">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c r="BN321" s="45"/>
      <c r="BO321" s="45"/>
      <c r="BP321" s="45"/>
      <c r="BQ321" s="45"/>
      <c r="BR321" s="45"/>
      <c r="BS321" s="45"/>
      <c r="BT321" s="45"/>
      <c r="BU321" s="45"/>
      <c r="BV321" s="45"/>
      <c r="BW321" s="45"/>
      <c r="BX321" s="45"/>
      <c r="BY321" s="45"/>
      <c r="BZ321" s="45"/>
      <c r="CA321" s="339"/>
    </row>
    <row r="322" spans="2:79" s="331" customFormat="1" x14ac:dyDescent="0.2">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c r="BT322" s="45"/>
      <c r="BU322" s="45"/>
      <c r="BV322" s="45"/>
      <c r="BW322" s="45"/>
      <c r="BX322" s="45"/>
      <c r="BY322" s="45"/>
      <c r="BZ322" s="45"/>
      <c r="CA322" s="339"/>
    </row>
    <row r="323" spans="2:79" s="331" customFormat="1" x14ac:dyDescent="0.2">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c r="BN323" s="45"/>
      <c r="BO323" s="45"/>
      <c r="BP323" s="45"/>
      <c r="BQ323" s="45"/>
      <c r="BR323" s="45"/>
      <c r="BS323" s="45"/>
      <c r="BT323" s="45"/>
      <c r="BU323" s="45"/>
      <c r="BV323" s="45"/>
      <c r="BW323" s="45"/>
      <c r="BX323" s="45"/>
      <c r="BY323" s="45"/>
      <c r="BZ323" s="45"/>
      <c r="CA323" s="339"/>
    </row>
    <row r="324" spans="2:79" s="331" customFormat="1" x14ac:dyDescent="0.2">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c r="BN324" s="45"/>
      <c r="BO324" s="45"/>
      <c r="BP324" s="45"/>
      <c r="BQ324" s="45"/>
      <c r="BR324" s="45"/>
      <c r="BS324" s="45"/>
      <c r="BT324" s="45"/>
      <c r="BU324" s="45"/>
      <c r="BV324" s="45"/>
      <c r="BW324" s="45"/>
      <c r="BX324" s="45"/>
      <c r="BY324" s="45"/>
      <c r="BZ324" s="45"/>
      <c r="CA324" s="339"/>
    </row>
    <row r="325" spans="2:79" s="331" customFormat="1" x14ac:dyDescent="0.2">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c r="BN325" s="45"/>
      <c r="BO325" s="45"/>
      <c r="BP325" s="45"/>
      <c r="BQ325" s="45"/>
      <c r="BR325" s="45"/>
      <c r="BS325" s="45"/>
      <c r="BT325" s="45"/>
      <c r="BU325" s="45"/>
      <c r="BV325" s="45"/>
      <c r="BW325" s="45"/>
      <c r="BX325" s="45"/>
      <c r="BY325" s="45"/>
      <c r="BZ325" s="45"/>
      <c r="CA325" s="339"/>
    </row>
    <row r="326" spans="2:79" s="331" customFormat="1" x14ac:dyDescent="0.2">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c r="BN326" s="45"/>
      <c r="BO326" s="45"/>
      <c r="BP326" s="45"/>
      <c r="BQ326" s="45"/>
      <c r="BR326" s="45"/>
      <c r="BS326" s="45"/>
      <c r="BT326" s="45"/>
      <c r="BU326" s="45"/>
      <c r="BV326" s="45"/>
      <c r="BW326" s="45"/>
      <c r="BX326" s="45"/>
      <c r="BY326" s="45"/>
      <c r="BZ326" s="45"/>
      <c r="CA326" s="339"/>
    </row>
    <row r="327" spans="2:79" s="331" customFormat="1" x14ac:dyDescent="0.2">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c r="BN327" s="45"/>
      <c r="BO327" s="45"/>
      <c r="BP327" s="45"/>
      <c r="BQ327" s="45"/>
      <c r="BR327" s="45"/>
      <c r="BS327" s="45"/>
      <c r="BT327" s="45"/>
      <c r="BU327" s="45"/>
      <c r="BV327" s="45"/>
      <c r="BW327" s="45"/>
      <c r="BX327" s="45"/>
      <c r="BY327" s="45"/>
      <c r="BZ327" s="45"/>
      <c r="CA327" s="339"/>
    </row>
    <row r="328" spans="2:79" s="331" customFormat="1" x14ac:dyDescent="0.2">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c r="BN328" s="45"/>
      <c r="BO328" s="45"/>
      <c r="BP328" s="45"/>
      <c r="BQ328" s="45"/>
      <c r="BR328" s="45"/>
      <c r="BS328" s="45"/>
      <c r="BT328" s="45"/>
      <c r="BU328" s="45"/>
      <c r="BV328" s="45"/>
      <c r="BW328" s="45"/>
      <c r="BX328" s="45"/>
      <c r="BY328" s="45"/>
      <c r="BZ328" s="45"/>
      <c r="CA328" s="339"/>
    </row>
    <row r="329" spans="2:79" s="331" customFormat="1" x14ac:dyDescent="0.2">
      <c r="B329" s="330"/>
      <c r="C329" s="330"/>
      <c r="D329" s="330"/>
      <c r="E329" s="330"/>
      <c r="F329" s="330"/>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c r="AC329" s="330"/>
      <c r="AD329" s="330"/>
      <c r="AE329" s="330"/>
      <c r="AF329" s="330"/>
      <c r="AG329" s="330"/>
      <c r="AH329" s="330"/>
      <c r="AI329" s="330"/>
      <c r="AJ329" s="330"/>
      <c r="AK329" s="330"/>
      <c r="AL329" s="330"/>
      <c r="AM329" s="330"/>
      <c r="AN329" s="330"/>
      <c r="AO329" s="330"/>
      <c r="AP329" s="330"/>
      <c r="AQ329" s="330"/>
      <c r="AR329" s="330"/>
      <c r="AS329" s="330"/>
      <c r="AT329" s="330"/>
      <c r="AU329" s="330"/>
      <c r="AV329" s="330"/>
      <c r="AW329" s="330"/>
      <c r="AX329" s="330"/>
      <c r="AY329" s="330"/>
      <c r="AZ329" s="330"/>
      <c r="BA329" s="330"/>
      <c r="BB329" s="330"/>
      <c r="BC329" s="330"/>
      <c r="BD329" s="330"/>
      <c r="BE329" s="330"/>
      <c r="BF329" s="330"/>
      <c r="BG329" s="330"/>
      <c r="BH329" s="330"/>
      <c r="BI329" s="330"/>
      <c r="BJ329" s="330"/>
      <c r="BK329" s="330"/>
      <c r="BL329" s="330"/>
      <c r="BM329" s="330"/>
      <c r="BN329" s="330"/>
      <c r="BO329" s="330"/>
      <c r="BP329" s="330"/>
      <c r="BQ329" s="330"/>
      <c r="BR329" s="330"/>
      <c r="BS329" s="330"/>
      <c r="BT329" s="330"/>
      <c r="BU329" s="330"/>
      <c r="BV329" s="330"/>
      <c r="BW329" s="330"/>
      <c r="BX329" s="330"/>
      <c r="BY329" s="330"/>
      <c r="BZ329" s="330"/>
      <c r="CA329" s="340"/>
    </row>
    <row r="330" spans="2:79" s="331" customFormat="1" x14ac:dyDescent="0.2"/>
    <row r="331" spans="2:79" s="331" customFormat="1" x14ac:dyDescent="0.2"/>
    <row r="332" spans="2:79" s="331" customFormat="1" x14ac:dyDescent="0.2"/>
    <row r="333" spans="2:79" x14ac:dyDescent="0.2">
      <c r="D333" s="331"/>
      <c r="E333" s="331"/>
      <c r="F333" s="331"/>
      <c r="G333" s="331"/>
      <c r="H333" s="331"/>
      <c r="I333" s="331"/>
      <c r="J333" s="331"/>
      <c r="K333" s="331"/>
      <c r="L333" s="331"/>
    </row>
    <row r="334" spans="2:79" x14ac:dyDescent="0.2">
      <c r="D334" s="15"/>
      <c r="E334" s="15"/>
      <c r="F334" s="15"/>
      <c r="G334" s="15"/>
      <c r="H334" s="15"/>
      <c r="I334" s="15"/>
      <c r="J334" s="15"/>
      <c r="K334" s="15"/>
      <c r="L334" s="15"/>
    </row>
    <row r="335" spans="2:79" x14ac:dyDescent="0.2">
      <c r="D335" s="15"/>
      <c r="E335" s="15"/>
      <c r="F335" s="15"/>
      <c r="G335" s="15"/>
      <c r="H335" s="15"/>
      <c r="I335" s="15"/>
      <c r="J335" s="15"/>
      <c r="K335" s="15"/>
      <c r="L335" s="15"/>
    </row>
    <row r="336" spans="2:79" x14ac:dyDescent="0.2">
      <c r="D336" s="15"/>
      <c r="E336" s="15"/>
      <c r="F336" s="15"/>
      <c r="G336" s="15"/>
      <c r="H336" s="15"/>
      <c r="I336" s="15"/>
      <c r="J336" s="15"/>
      <c r="K336" s="15"/>
      <c r="L336" s="15"/>
    </row>
    <row r="337" spans="4:12" x14ac:dyDescent="0.2">
      <c r="D337" s="15"/>
      <c r="E337" s="15"/>
      <c r="F337" s="15"/>
      <c r="G337" s="15"/>
      <c r="H337" s="15"/>
      <c r="I337" s="15"/>
      <c r="J337" s="15"/>
      <c r="K337" s="15"/>
      <c r="L337" s="15"/>
    </row>
    <row r="338" spans="4:12" x14ac:dyDescent="0.2">
      <c r="D338" s="15"/>
      <c r="E338" s="15"/>
      <c r="F338" s="15"/>
      <c r="G338" s="15"/>
      <c r="H338" s="15"/>
      <c r="I338" s="15"/>
      <c r="J338" s="15"/>
      <c r="K338" s="15"/>
      <c r="L338" s="15"/>
    </row>
    <row r="339" spans="4:12" x14ac:dyDescent="0.2">
      <c r="D339" s="15"/>
      <c r="E339" s="15"/>
      <c r="F339" s="15"/>
      <c r="G339" s="15"/>
      <c r="H339" s="15"/>
      <c r="I339" s="15"/>
      <c r="J339" s="15"/>
      <c r="K339" s="15"/>
      <c r="L339" s="15"/>
    </row>
    <row r="340" spans="4:12" x14ac:dyDescent="0.2">
      <c r="D340" s="15"/>
      <c r="E340" s="15"/>
      <c r="F340" s="15"/>
      <c r="G340" s="15"/>
      <c r="H340" s="15"/>
      <c r="I340" s="15"/>
      <c r="J340" s="15"/>
      <c r="K340" s="15"/>
      <c r="L340" s="15"/>
    </row>
    <row r="341" spans="4:12" x14ac:dyDescent="0.2">
      <c r="E341" s="15"/>
      <c r="F341" s="15"/>
      <c r="G341" s="15"/>
      <c r="H341" s="15"/>
      <c r="I341" s="15"/>
      <c r="J341" s="15"/>
      <c r="K341" s="15"/>
      <c r="L341" s="15"/>
    </row>
    <row r="342" spans="4:12" x14ac:dyDescent="0.2">
      <c r="E342" s="15"/>
      <c r="F342" s="15"/>
      <c r="G342" s="15"/>
      <c r="H342" s="15"/>
      <c r="I342" s="15"/>
      <c r="J342" s="15"/>
      <c r="K342" s="15"/>
      <c r="L342" s="15"/>
    </row>
    <row r="343" spans="4:12" x14ac:dyDescent="0.2">
      <c r="E343" s="15"/>
      <c r="F343" s="15"/>
      <c r="G343" s="15"/>
      <c r="H343" s="15"/>
      <c r="I343" s="15"/>
      <c r="J343" s="15"/>
      <c r="K343" s="15"/>
      <c r="L343" s="15"/>
    </row>
    <row r="344" spans="4:12" x14ac:dyDescent="0.2">
      <c r="E344" s="15"/>
      <c r="F344" s="15"/>
      <c r="G344" s="15"/>
      <c r="H344" s="15"/>
      <c r="I344" s="15"/>
      <c r="J344" s="15"/>
      <c r="K344" s="15"/>
      <c r="L344" s="15"/>
    </row>
    <row r="345" spans="4:12" x14ac:dyDescent="0.2">
      <c r="E345" s="15"/>
      <c r="F345" s="15"/>
      <c r="G345" s="15"/>
      <c r="H345" s="15"/>
      <c r="I345" s="15"/>
      <c r="J345" s="15"/>
      <c r="K345" s="15"/>
      <c r="L345" s="15"/>
    </row>
    <row r="346" spans="4:12" x14ac:dyDescent="0.2">
      <c r="E346" s="15"/>
      <c r="F346" s="15"/>
      <c r="G346" s="15"/>
      <c r="H346" s="15"/>
      <c r="I346" s="15"/>
      <c r="J346" s="15"/>
      <c r="K346" s="15"/>
      <c r="L346" s="15"/>
    </row>
    <row r="347" spans="4:12" x14ac:dyDescent="0.2">
      <c r="E347" s="15"/>
      <c r="F347" s="15"/>
      <c r="G347" s="15"/>
      <c r="H347" s="15"/>
      <c r="I347" s="15"/>
      <c r="J347" s="15"/>
      <c r="K347" s="15"/>
      <c r="L347" s="15"/>
    </row>
    <row r="348" spans="4:12" x14ac:dyDescent="0.2">
      <c r="E348" s="15"/>
      <c r="F348" s="15"/>
      <c r="G348" s="15"/>
      <c r="H348" s="15"/>
      <c r="I348" s="15"/>
      <c r="J348" s="15"/>
      <c r="K348" s="15"/>
      <c r="L348" s="15"/>
    </row>
    <row r="349" spans="4:12" x14ac:dyDescent="0.2">
      <c r="E349" s="15"/>
      <c r="F349" s="15"/>
      <c r="G349" s="15"/>
      <c r="H349" s="15"/>
      <c r="I349" s="15"/>
      <c r="J349" s="15"/>
      <c r="K349" s="15"/>
      <c r="L349" s="15"/>
    </row>
    <row r="350" spans="4:12" x14ac:dyDescent="0.2">
      <c r="E350" s="15"/>
      <c r="F350" s="15"/>
      <c r="G350" s="15"/>
      <c r="H350" s="15"/>
      <c r="I350" s="15"/>
      <c r="J350" s="15"/>
      <c r="K350" s="15"/>
      <c r="L350" s="15"/>
    </row>
    <row r="351" spans="4:12" x14ac:dyDescent="0.2">
      <c r="E351" s="15"/>
      <c r="F351" s="15"/>
      <c r="G351" s="15"/>
      <c r="H351" s="15"/>
      <c r="I351" s="15"/>
      <c r="J351" s="15"/>
      <c r="K351" s="15"/>
      <c r="L351" s="15"/>
    </row>
    <row r="352" spans="4:12" x14ac:dyDescent="0.2">
      <c r="E352" s="15"/>
      <c r="F352" s="15"/>
      <c r="G352" s="15"/>
      <c r="H352" s="15"/>
      <c r="I352" s="15"/>
      <c r="J352" s="15"/>
      <c r="K352" s="15"/>
      <c r="L352" s="15"/>
    </row>
    <row r="353" spans="5:12" x14ac:dyDescent="0.2">
      <c r="E353" s="15"/>
      <c r="F353" s="15"/>
      <c r="G353" s="15"/>
      <c r="H353" s="15"/>
      <c r="I353" s="15"/>
      <c r="J353" s="15"/>
      <c r="K353" s="15"/>
      <c r="L353" s="15"/>
    </row>
    <row r="354" spans="5:12" x14ac:dyDescent="0.2">
      <c r="E354" s="15"/>
      <c r="F354" s="15"/>
      <c r="G354" s="15"/>
      <c r="H354" s="15"/>
      <c r="I354" s="15"/>
      <c r="J354" s="15"/>
      <c r="K354" s="15"/>
      <c r="L354" s="15"/>
    </row>
    <row r="355" spans="5:12" x14ac:dyDescent="0.2">
      <c r="E355" s="15"/>
      <c r="F355" s="15"/>
      <c r="G355" s="15"/>
      <c r="H355" s="15"/>
      <c r="I355" s="15"/>
      <c r="J355" s="15"/>
      <c r="K355" s="15"/>
      <c r="L355" s="15"/>
    </row>
    <row r="356" spans="5:12" x14ac:dyDescent="0.2">
      <c r="E356" s="15"/>
      <c r="F356" s="15"/>
      <c r="G356" s="15"/>
      <c r="H356" s="15"/>
      <c r="I356" s="15"/>
      <c r="J356" s="15"/>
      <c r="K356" s="15"/>
      <c r="L356" s="15"/>
    </row>
    <row r="357" spans="5:12" x14ac:dyDescent="0.2">
      <c r="E357" s="15"/>
      <c r="F357" s="15"/>
      <c r="G357" s="15"/>
      <c r="H357" s="15"/>
      <c r="I357" s="15"/>
      <c r="J357" s="15"/>
      <c r="K357" s="15"/>
      <c r="L357" s="15"/>
    </row>
    <row r="358" spans="5:12" x14ac:dyDescent="0.2">
      <c r="E358" s="15"/>
      <c r="F358" s="15"/>
      <c r="G358" s="15"/>
      <c r="H358" s="15"/>
      <c r="I358" s="15"/>
      <c r="J358" s="15"/>
      <c r="K358" s="15"/>
      <c r="L358" s="15"/>
    </row>
    <row r="359" spans="5:12" x14ac:dyDescent="0.2">
      <c r="E359" s="15"/>
      <c r="F359" s="15"/>
      <c r="G359" s="15"/>
      <c r="H359" s="15"/>
      <c r="I359" s="15"/>
      <c r="J359" s="15"/>
      <c r="K359" s="15"/>
      <c r="L359" s="15"/>
    </row>
    <row r="360" spans="5:12" x14ac:dyDescent="0.2">
      <c r="E360" s="15"/>
      <c r="F360" s="15"/>
      <c r="G360" s="15"/>
      <c r="H360" s="15"/>
      <c r="I360" s="15"/>
      <c r="J360" s="15"/>
      <c r="K360" s="15"/>
      <c r="L360" s="15"/>
    </row>
    <row r="361" spans="5:12" x14ac:dyDescent="0.2">
      <c r="E361" s="15"/>
      <c r="F361" s="15"/>
      <c r="G361" s="15"/>
      <c r="H361" s="15"/>
      <c r="I361" s="15"/>
      <c r="J361" s="15"/>
      <c r="K361" s="15"/>
      <c r="L361" s="15"/>
    </row>
    <row r="362" spans="5:12" x14ac:dyDescent="0.2">
      <c r="E362" s="15"/>
      <c r="F362" s="15"/>
      <c r="G362" s="15"/>
      <c r="H362" s="15"/>
      <c r="I362" s="15"/>
      <c r="J362" s="15"/>
      <c r="K362" s="15"/>
      <c r="L362" s="15"/>
    </row>
    <row r="363" spans="5:12" x14ac:dyDescent="0.2">
      <c r="E363" s="15"/>
      <c r="F363" s="15"/>
      <c r="G363" s="15"/>
      <c r="H363" s="15"/>
      <c r="I363" s="15"/>
      <c r="J363" s="15"/>
      <c r="K363" s="15"/>
      <c r="L363" s="15"/>
    </row>
    <row r="364" spans="5:12" x14ac:dyDescent="0.2">
      <c r="E364" s="15"/>
      <c r="F364" s="15"/>
      <c r="G364" s="15"/>
      <c r="H364" s="15"/>
      <c r="I364" s="15"/>
      <c r="J364" s="15"/>
      <c r="K364" s="15"/>
      <c r="L364" s="15"/>
    </row>
    <row r="365" spans="5:12" x14ac:dyDescent="0.2">
      <c r="E365" s="15"/>
      <c r="F365" s="15"/>
      <c r="G365" s="15"/>
      <c r="H365" s="15"/>
      <c r="I365" s="15"/>
      <c r="J365" s="15"/>
      <c r="K365" s="15"/>
      <c r="L365" s="15"/>
    </row>
    <row r="366" spans="5:12" x14ac:dyDescent="0.2">
      <c r="E366" s="15"/>
      <c r="F366" s="15"/>
      <c r="G366" s="15"/>
      <c r="H366" s="15"/>
      <c r="I366" s="15"/>
      <c r="J366" s="15"/>
      <c r="K366" s="15"/>
      <c r="L366" s="15"/>
    </row>
    <row r="367" spans="5:12" x14ac:dyDescent="0.2">
      <c r="E367" s="15"/>
      <c r="F367" s="15"/>
      <c r="G367" s="15"/>
      <c r="H367" s="15"/>
      <c r="I367" s="15"/>
      <c r="J367" s="15"/>
      <c r="K367" s="15"/>
      <c r="L367" s="15"/>
    </row>
    <row r="368" spans="5:12" x14ac:dyDescent="0.2">
      <c r="E368" s="15"/>
      <c r="F368" s="15"/>
      <c r="G368" s="15"/>
      <c r="H368" s="15"/>
      <c r="I368" s="15"/>
      <c r="J368" s="15"/>
      <c r="K368" s="15"/>
      <c r="L368" s="15"/>
    </row>
    <row r="369" spans="5:12" x14ac:dyDescent="0.2">
      <c r="E369" s="15"/>
      <c r="F369" s="15"/>
      <c r="G369" s="15"/>
      <c r="H369" s="15"/>
      <c r="I369" s="15"/>
      <c r="J369" s="15"/>
      <c r="K369" s="15"/>
      <c r="L369" s="15"/>
    </row>
    <row r="370" spans="5:12" x14ac:dyDescent="0.2">
      <c r="E370" s="15"/>
      <c r="F370" s="15"/>
      <c r="G370" s="15"/>
      <c r="H370" s="15"/>
      <c r="I370" s="15"/>
      <c r="J370" s="15"/>
      <c r="K370" s="15"/>
      <c r="L370" s="15"/>
    </row>
    <row r="371" spans="5:12" x14ac:dyDescent="0.2">
      <c r="E371" s="15"/>
      <c r="F371" s="15"/>
      <c r="G371" s="15"/>
      <c r="H371" s="15"/>
      <c r="I371" s="15"/>
      <c r="J371" s="15"/>
      <c r="K371" s="15"/>
      <c r="L371" s="15"/>
    </row>
    <row r="372" spans="5:12" x14ac:dyDescent="0.2">
      <c r="E372" s="15"/>
      <c r="F372" s="15"/>
      <c r="G372" s="15"/>
      <c r="H372" s="15"/>
      <c r="I372" s="15"/>
      <c r="J372" s="15"/>
      <c r="K372" s="15"/>
      <c r="L372" s="15"/>
    </row>
    <row r="373" spans="5:12" x14ac:dyDescent="0.2">
      <c r="E373" s="15"/>
      <c r="F373" s="15"/>
      <c r="G373" s="15"/>
      <c r="H373" s="15"/>
      <c r="I373" s="15"/>
      <c r="J373" s="15"/>
      <c r="K373" s="15"/>
      <c r="L373" s="15"/>
    </row>
    <row r="374" spans="5:12" x14ac:dyDescent="0.2">
      <c r="E374" s="15"/>
      <c r="F374" s="15"/>
      <c r="G374" s="15"/>
      <c r="H374" s="15"/>
      <c r="I374" s="15"/>
      <c r="J374" s="15"/>
      <c r="K374" s="15"/>
      <c r="L374" s="15"/>
    </row>
    <row r="375" spans="5:12" x14ac:dyDescent="0.2">
      <c r="E375" s="15"/>
      <c r="F375" s="15"/>
      <c r="G375" s="15"/>
      <c r="H375" s="15"/>
      <c r="I375" s="15"/>
      <c r="J375" s="15"/>
      <c r="K375" s="15"/>
      <c r="L375" s="15"/>
    </row>
    <row r="376" spans="5:12" x14ac:dyDescent="0.2">
      <c r="E376" s="15"/>
      <c r="F376" s="15"/>
      <c r="G376" s="15"/>
      <c r="H376" s="15"/>
      <c r="I376" s="15"/>
      <c r="J376" s="15"/>
      <c r="K376" s="15"/>
      <c r="L376" s="15"/>
    </row>
    <row r="377" spans="5:12" x14ac:dyDescent="0.2">
      <c r="E377" s="15"/>
      <c r="F377" s="15"/>
      <c r="G377" s="15"/>
      <c r="H377" s="15"/>
      <c r="I377" s="15"/>
      <c r="J377" s="15"/>
      <c r="K377" s="15"/>
      <c r="L377" s="15"/>
    </row>
    <row r="378" spans="5:12" x14ac:dyDescent="0.2">
      <c r="E378" s="15"/>
      <c r="F378" s="15"/>
      <c r="G378" s="15"/>
      <c r="H378" s="15"/>
      <c r="I378" s="15"/>
      <c r="J378" s="15"/>
      <c r="K378" s="15"/>
      <c r="L378" s="15"/>
    </row>
    <row r="379" spans="5:12" x14ac:dyDescent="0.2">
      <c r="E379" s="15"/>
      <c r="F379" s="15"/>
      <c r="G379" s="15"/>
      <c r="H379" s="15"/>
      <c r="I379" s="15"/>
      <c r="J379" s="15"/>
      <c r="K379" s="15"/>
      <c r="L379" s="15"/>
    </row>
    <row r="380" spans="5:12" x14ac:dyDescent="0.2">
      <c r="E380" s="15"/>
      <c r="F380" s="15"/>
      <c r="G380" s="15"/>
      <c r="H380" s="15"/>
      <c r="I380" s="15"/>
      <c r="J380" s="15"/>
      <c r="K380" s="15"/>
      <c r="L380" s="15"/>
    </row>
    <row r="381" spans="5:12" x14ac:dyDescent="0.2">
      <c r="E381" s="15"/>
      <c r="F381" s="15"/>
      <c r="G381" s="15"/>
      <c r="H381" s="15"/>
      <c r="I381" s="15"/>
      <c r="J381" s="15"/>
      <c r="K381" s="15"/>
      <c r="L381" s="15"/>
    </row>
    <row r="382" spans="5:12" x14ac:dyDescent="0.2">
      <c r="E382" s="15"/>
      <c r="F382" s="15"/>
      <c r="G382" s="15"/>
      <c r="H382" s="15"/>
      <c r="I382" s="15"/>
      <c r="J382" s="15"/>
      <c r="K382" s="15"/>
      <c r="L382" s="15"/>
    </row>
    <row r="383" spans="5:12" x14ac:dyDescent="0.2">
      <c r="E383" s="15"/>
      <c r="F383" s="15"/>
      <c r="G383" s="15"/>
      <c r="H383" s="15"/>
      <c r="I383" s="15"/>
      <c r="J383" s="15"/>
      <c r="K383" s="15"/>
      <c r="L383" s="15"/>
    </row>
    <row r="384" spans="5:12" x14ac:dyDescent="0.2">
      <c r="E384" s="15"/>
      <c r="F384" s="15"/>
      <c r="G384" s="15"/>
      <c r="H384" s="15"/>
      <c r="I384" s="15"/>
      <c r="J384" s="15"/>
      <c r="K384" s="15"/>
      <c r="L384" s="15"/>
    </row>
    <row r="385" spans="5:12" x14ac:dyDescent="0.2">
      <c r="E385" s="15"/>
      <c r="F385" s="15"/>
      <c r="G385" s="15"/>
      <c r="H385" s="15"/>
      <c r="I385" s="15"/>
      <c r="J385" s="15"/>
      <c r="K385" s="15"/>
      <c r="L385" s="15"/>
    </row>
    <row r="386" spans="5:12" x14ac:dyDescent="0.2">
      <c r="E386" s="15"/>
      <c r="F386" s="15"/>
      <c r="G386" s="15"/>
      <c r="H386" s="15"/>
      <c r="I386" s="15"/>
      <c r="J386" s="15"/>
      <c r="K386" s="15"/>
      <c r="L386" s="15"/>
    </row>
    <row r="387" spans="5:12" x14ac:dyDescent="0.2">
      <c r="E387" s="15"/>
      <c r="F387" s="15"/>
      <c r="G387" s="15"/>
      <c r="H387" s="15"/>
      <c r="I387" s="15"/>
      <c r="J387" s="15"/>
      <c r="K387" s="15"/>
      <c r="L387" s="15"/>
    </row>
    <row r="388" spans="5:12" x14ac:dyDescent="0.2">
      <c r="E388" s="15"/>
      <c r="F388" s="15"/>
      <c r="G388" s="15"/>
      <c r="H388" s="15"/>
      <c r="I388" s="15"/>
      <c r="J388" s="15"/>
      <c r="K388" s="15"/>
      <c r="L388" s="15"/>
    </row>
    <row r="389" spans="5:12" x14ac:dyDescent="0.2">
      <c r="E389" s="15"/>
      <c r="F389" s="15"/>
      <c r="G389" s="15"/>
      <c r="H389" s="15"/>
      <c r="I389" s="15"/>
      <c r="J389" s="15"/>
      <c r="K389" s="15"/>
      <c r="L389" s="15"/>
    </row>
    <row r="390" spans="5:12" x14ac:dyDescent="0.2">
      <c r="E390" s="15"/>
      <c r="F390" s="15"/>
      <c r="G390" s="15"/>
      <c r="H390" s="15"/>
      <c r="I390" s="15"/>
      <c r="J390" s="15"/>
      <c r="K390" s="15"/>
      <c r="L390" s="15"/>
    </row>
    <row r="391" spans="5:12" x14ac:dyDescent="0.2">
      <c r="E391" s="15"/>
      <c r="F391" s="15"/>
      <c r="G391" s="15"/>
      <c r="H391" s="15"/>
      <c r="I391" s="15"/>
      <c r="J391" s="15"/>
      <c r="K391" s="15"/>
      <c r="L391" s="15"/>
    </row>
    <row r="392" spans="5:12" x14ac:dyDescent="0.2">
      <c r="E392" s="15"/>
      <c r="F392" s="15"/>
      <c r="G392" s="15"/>
      <c r="H392" s="15"/>
      <c r="I392" s="15"/>
      <c r="J392" s="15"/>
      <c r="K392" s="15"/>
      <c r="L392" s="15"/>
    </row>
    <row r="393" spans="5:12" x14ac:dyDescent="0.2">
      <c r="E393" s="15"/>
      <c r="F393" s="15"/>
      <c r="G393" s="15"/>
      <c r="H393" s="15"/>
      <c r="I393" s="15"/>
      <c r="J393" s="15"/>
      <c r="K393" s="15"/>
      <c r="L393" s="15"/>
    </row>
    <row r="394" spans="5:12" x14ac:dyDescent="0.2">
      <c r="E394" s="15"/>
      <c r="F394" s="15"/>
      <c r="G394" s="15"/>
      <c r="H394" s="15"/>
      <c r="I394" s="15"/>
      <c r="J394" s="15"/>
      <c r="K394" s="15"/>
      <c r="L394" s="15"/>
    </row>
    <row r="395" spans="5:12" x14ac:dyDescent="0.2">
      <c r="E395" s="15"/>
      <c r="F395" s="15"/>
      <c r="G395" s="15"/>
      <c r="H395" s="15"/>
      <c r="I395" s="15"/>
      <c r="J395" s="15"/>
      <c r="K395" s="15"/>
      <c r="L395" s="15"/>
    </row>
    <row r="396" spans="5:12" x14ac:dyDescent="0.2">
      <c r="E396" s="15"/>
      <c r="F396" s="15"/>
      <c r="G396" s="15"/>
      <c r="H396" s="15"/>
      <c r="I396" s="15"/>
      <c r="J396" s="15"/>
      <c r="K396" s="15"/>
      <c r="L396" s="15"/>
    </row>
    <row r="397" spans="5:12" x14ac:dyDescent="0.2">
      <c r="E397" s="15"/>
      <c r="F397" s="15"/>
      <c r="G397" s="15"/>
      <c r="H397" s="15"/>
      <c r="I397" s="15"/>
      <c r="J397" s="15"/>
      <c r="K397" s="15"/>
      <c r="L397" s="15"/>
    </row>
    <row r="398" spans="5:12" x14ac:dyDescent="0.2">
      <c r="E398" s="15"/>
      <c r="F398" s="15"/>
      <c r="G398" s="15"/>
      <c r="H398" s="15"/>
      <c r="I398" s="15"/>
      <c r="J398" s="15"/>
      <c r="K398" s="15"/>
      <c r="L398" s="15"/>
    </row>
    <row r="399" spans="5:12" x14ac:dyDescent="0.2">
      <c r="E399" s="15"/>
      <c r="F399" s="15"/>
      <c r="G399" s="15"/>
      <c r="H399" s="15"/>
      <c r="I399" s="15"/>
      <c r="J399" s="15"/>
      <c r="K399" s="15"/>
      <c r="L399" s="15"/>
    </row>
    <row r="400" spans="5:12" x14ac:dyDescent="0.2">
      <c r="E400" s="15"/>
      <c r="F400" s="15"/>
      <c r="G400" s="15"/>
      <c r="H400" s="15"/>
      <c r="I400" s="15"/>
      <c r="J400" s="15"/>
      <c r="K400" s="15"/>
      <c r="L400" s="15"/>
    </row>
    <row r="401" spans="5:12" x14ac:dyDescent="0.2">
      <c r="E401" s="15"/>
      <c r="F401" s="15"/>
      <c r="G401" s="15"/>
      <c r="H401" s="15"/>
      <c r="I401" s="15"/>
      <c r="J401" s="15"/>
      <c r="K401" s="15"/>
      <c r="L401" s="15"/>
    </row>
    <row r="402" spans="5:12" x14ac:dyDescent="0.2">
      <c r="E402" s="15"/>
      <c r="F402" s="15"/>
      <c r="G402" s="15"/>
      <c r="H402" s="15"/>
      <c r="I402" s="15"/>
      <c r="J402" s="15"/>
      <c r="K402" s="15"/>
      <c r="L402" s="15"/>
    </row>
    <row r="403" spans="5:12" x14ac:dyDescent="0.2">
      <c r="E403" s="15"/>
      <c r="F403" s="15"/>
      <c r="G403" s="15"/>
      <c r="H403" s="15"/>
      <c r="I403" s="15"/>
      <c r="J403" s="15"/>
      <c r="K403" s="15"/>
      <c r="L403" s="15"/>
    </row>
    <row r="404" spans="5:12" x14ac:dyDescent="0.2">
      <c r="E404" s="15"/>
      <c r="F404" s="15"/>
      <c r="G404" s="15"/>
      <c r="H404" s="15"/>
      <c r="I404" s="15"/>
      <c r="J404" s="15"/>
      <c r="K404" s="15"/>
      <c r="L404" s="15"/>
    </row>
    <row r="405" spans="5:12" x14ac:dyDescent="0.2">
      <c r="E405" s="15"/>
      <c r="F405" s="15"/>
      <c r="G405" s="15"/>
      <c r="H405" s="15"/>
      <c r="I405" s="15"/>
      <c r="J405" s="15"/>
      <c r="K405" s="15"/>
      <c r="L405" s="15"/>
    </row>
    <row r="406" spans="5:12" x14ac:dyDescent="0.2">
      <c r="E406" s="15"/>
      <c r="F406" s="15"/>
      <c r="G406" s="15"/>
      <c r="H406" s="15"/>
      <c r="I406" s="15"/>
      <c r="J406" s="15"/>
      <c r="K406" s="15"/>
      <c r="L406" s="15"/>
    </row>
    <row r="407" spans="5:12" x14ac:dyDescent="0.2">
      <c r="E407" s="15"/>
      <c r="F407" s="15"/>
      <c r="G407" s="15"/>
      <c r="H407" s="15"/>
      <c r="I407" s="15"/>
      <c r="J407" s="15"/>
      <c r="K407" s="15"/>
      <c r="L407" s="15"/>
    </row>
    <row r="408" spans="5:12" x14ac:dyDescent="0.2">
      <c r="E408" s="15"/>
      <c r="F408" s="15"/>
      <c r="G408" s="15"/>
      <c r="H408" s="15"/>
      <c r="I408" s="15"/>
      <c r="J408" s="15"/>
      <c r="K408" s="15"/>
      <c r="L408" s="15"/>
    </row>
    <row r="409" spans="5:12" x14ac:dyDescent="0.2">
      <c r="E409" s="15"/>
      <c r="F409" s="15"/>
      <c r="G409" s="15"/>
      <c r="H409" s="15"/>
      <c r="I409" s="15"/>
      <c r="J409" s="15"/>
      <c r="K409" s="15"/>
      <c r="L409" s="15"/>
    </row>
    <row r="410" spans="5:12" x14ac:dyDescent="0.2">
      <c r="E410" s="15"/>
      <c r="F410" s="15"/>
      <c r="G410" s="15"/>
      <c r="H410" s="15"/>
      <c r="I410" s="15"/>
      <c r="J410" s="15"/>
      <c r="K410" s="15"/>
      <c r="L410" s="15"/>
    </row>
    <row r="411" spans="5:12" x14ac:dyDescent="0.2">
      <c r="E411" s="15"/>
      <c r="F411" s="15"/>
      <c r="G411" s="15"/>
      <c r="H411" s="15"/>
      <c r="I411" s="15"/>
      <c r="J411" s="15"/>
      <c r="K411" s="15"/>
      <c r="L411" s="15"/>
    </row>
    <row r="412" spans="5:12" x14ac:dyDescent="0.2">
      <c r="E412" s="15"/>
      <c r="F412" s="15"/>
      <c r="G412" s="15"/>
      <c r="H412" s="15"/>
      <c r="I412" s="15"/>
      <c r="J412" s="15"/>
      <c r="K412" s="15"/>
      <c r="L412" s="15"/>
    </row>
    <row r="413" spans="5:12" x14ac:dyDescent="0.2">
      <c r="E413" s="15"/>
      <c r="F413" s="15"/>
      <c r="G413" s="15"/>
      <c r="H413" s="15"/>
      <c r="I413" s="15"/>
      <c r="J413" s="15"/>
      <c r="K413" s="15"/>
      <c r="L413" s="15"/>
    </row>
    <row r="414" spans="5:12" x14ac:dyDescent="0.2">
      <c r="E414" s="15"/>
      <c r="F414" s="15"/>
      <c r="G414" s="15"/>
      <c r="H414" s="15"/>
      <c r="I414" s="15"/>
      <c r="J414" s="15"/>
      <c r="K414" s="15"/>
      <c r="L414" s="15"/>
    </row>
    <row r="415" spans="5:12" x14ac:dyDescent="0.2">
      <c r="E415" s="15"/>
      <c r="F415" s="15"/>
      <c r="G415" s="15"/>
      <c r="H415" s="15"/>
      <c r="I415" s="15"/>
      <c r="J415" s="15"/>
      <c r="K415" s="15"/>
      <c r="L415" s="15"/>
    </row>
    <row r="416" spans="5:12" x14ac:dyDescent="0.2">
      <c r="E416" s="15"/>
      <c r="F416" s="15"/>
      <c r="G416" s="15"/>
      <c r="H416" s="15"/>
      <c r="I416" s="15"/>
      <c r="J416" s="15"/>
      <c r="K416" s="15"/>
      <c r="L416" s="15"/>
    </row>
    <row r="417" spans="5:12" x14ac:dyDescent="0.2">
      <c r="E417" s="15"/>
      <c r="F417" s="15"/>
      <c r="G417" s="15"/>
      <c r="H417" s="15"/>
      <c r="I417" s="15"/>
      <c r="J417" s="15"/>
      <c r="K417" s="15"/>
      <c r="L417" s="15"/>
    </row>
    <row r="418" spans="5:12" x14ac:dyDescent="0.2">
      <c r="E418" s="15"/>
      <c r="F418" s="15"/>
      <c r="G418" s="15"/>
      <c r="H418" s="15"/>
      <c r="I418" s="15"/>
      <c r="J418" s="15"/>
      <c r="K418" s="15"/>
      <c r="L418" s="15"/>
    </row>
    <row r="419" spans="5:12" x14ac:dyDescent="0.2">
      <c r="E419" s="15"/>
      <c r="F419" s="15"/>
      <c r="G419" s="15"/>
      <c r="H419" s="15"/>
      <c r="I419" s="15"/>
      <c r="J419" s="15"/>
      <c r="K419" s="15"/>
      <c r="L419" s="15"/>
    </row>
    <row r="420" spans="5:12" x14ac:dyDescent="0.2">
      <c r="E420" s="15"/>
      <c r="F420" s="15"/>
      <c r="G420" s="15"/>
      <c r="H420" s="15"/>
      <c r="I420" s="15"/>
      <c r="J420" s="15"/>
      <c r="K420" s="15"/>
      <c r="L420" s="15"/>
    </row>
    <row r="421" spans="5:12" x14ac:dyDescent="0.2">
      <c r="E421" s="15"/>
      <c r="F421" s="15"/>
      <c r="G421" s="15"/>
      <c r="H421" s="15"/>
      <c r="I421" s="15"/>
      <c r="J421" s="15"/>
      <c r="K421" s="15"/>
      <c r="L421" s="15"/>
    </row>
    <row r="422" spans="5:12" x14ac:dyDescent="0.2">
      <c r="E422" s="15"/>
      <c r="F422" s="15"/>
      <c r="G422" s="15"/>
      <c r="H422" s="15"/>
      <c r="I422" s="15"/>
      <c r="J422" s="15"/>
      <c r="K422" s="15"/>
      <c r="L422" s="15"/>
    </row>
    <row r="423" spans="5:12" x14ac:dyDescent="0.2">
      <c r="E423" s="15"/>
      <c r="F423" s="15"/>
      <c r="G423" s="15"/>
      <c r="H423" s="15"/>
      <c r="I423" s="15"/>
      <c r="J423" s="15"/>
      <c r="K423" s="15"/>
      <c r="L423" s="15"/>
    </row>
    <row r="424" spans="5:12" x14ac:dyDescent="0.2">
      <c r="E424" s="15"/>
      <c r="F424" s="15"/>
      <c r="G424" s="15"/>
      <c r="H424" s="15"/>
      <c r="I424" s="15"/>
      <c r="J424" s="15"/>
      <c r="K424" s="15"/>
      <c r="L424" s="15"/>
    </row>
    <row r="425" spans="5:12" x14ac:dyDescent="0.2">
      <c r="E425" s="15"/>
      <c r="F425" s="15"/>
      <c r="G425" s="15"/>
      <c r="H425" s="15"/>
      <c r="I425" s="15"/>
      <c r="J425" s="15"/>
      <c r="K425" s="15"/>
      <c r="L425" s="15"/>
    </row>
    <row r="426" spans="5:12" x14ac:dyDescent="0.2">
      <c r="E426" s="15"/>
      <c r="F426" s="15"/>
      <c r="G426" s="15"/>
      <c r="H426" s="15"/>
      <c r="I426" s="15"/>
      <c r="J426" s="15"/>
      <c r="K426" s="15"/>
      <c r="L426" s="15"/>
    </row>
    <row r="427" spans="5:12" x14ac:dyDescent="0.2">
      <c r="E427" s="15"/>
      <c r="F427" s="15"/>
      <c r="G427" s="15"/>
      <c r="H427" s="15"/>
      <c r="I427" s="15"/>
      <c r="J427" s="15"/>
      <c r="K427" s="15"/>
      <c r="L427" s="15"/>
    </row>
    <row r="428" spans="5:12" x14ac:dyDescent="0.2">
      <c r="E428" s="15"/>
      <c r="F428" s="15"/>
      <c r="G428" s="15"/>
      <c r="H428" s="15"/>
      <c r="I428" s="15"/>
      <c r="J428" s="15"/>
      <c r="K428" s="15"/>
      <c r="L428" s="15"/>
    </row>
    <row r="429" spans="5:12" x14ac:dyDescent="0.2">
      <c r="E429" s="15"/>
      <c r="F429" s="15"/>
      <c r="G429" s="15"/>
      <c r="H429" s="15"/>
      <c r="I429" s="15"/>
      <c r="J429" s="15"/>
      <c r="K429" s="15"/>
      <c r="L429" s="15"/>
    </row>
    <row r="430" spans="5:12" x14ac:dyDescent="0.2">
      <c r="E430" s="15"/>
      <c r="F430" s="15"/>
      <c r="G430" s="15"/>
      <c r="H430" s="15"/>
      <c r="I430" s="15"/>
      <c r="J430" s="15"/>
      <c r="K430" s="15"/>
      <c r="L430" s="15"/>
    </row>
    <row r="431" spans="5:12" x14ac:dyDescent="0.2">
      <c r="E431" s="15"/>
      <c r="F431" s="15"/>
      <c r="G431" s="15"/>
      <c r="H431" s="15"/>
      <c r="I431" s="15"/>
      <c r="J431" s="15"/>
      <c r="K431" s="15"/>
      <c r="L431" s="15"/>
    </row>
    <row r="432" spans="5:12" x14ac:dyDescent="0.2">
      <c r="E432" s="15"/>
      <c r="F432" s="15"/>
      <c r="G432" s="15"/>
      <c r="H432" s="15"/>
      <c r="I432" s="15"/>
      <c r="J432" s="15"/>
      <c r="K432" s="15"/>
      <c r="L432" s="15"/>
    </row>
    <row r="433" spans="5:12" x14ac:dyDescent="0.2">
      <c r="E433" s="15"/>
      <c r="F433" s="15"/>
      <c r="G433" s="15"/>
      <c r="H433" s="15"/>
      <c r="I433" s="15"/>
      <c r="J433" s="15"/>
      <c r="K433" s="15"/>
      <c r="L433" s="15"/>
    </row>
    <row r="434" spans="5:12" x14ac:dyDescent="0.2">
      <c r="E434" s="15"/>
      <c r="F434" s="15"/>
      <c r="G434" s="15"/>
      <c r="H434" s="15"/>
      <c r="I434" s="15"/>
      <c r="J434" s="15"/>
      <c r="K434" s="15"/>
      <c r="L434" s="15"/>
    </row>
    <row r="435" spans="5:12" x14ac:dyDescent="0.2">
      <c r="E435" s="15"/>
      <c r="F435" s="15"/>
      <c r="G435" s="15"/>
      <c r="H435" s="15"/>
      <c r="I435" s="15"/>
      <c r="J435" s="15"/>
      <c r="K435" s="15"/>
      <c r="L435" s="15"/>
    </row>
    <row r="436" spans="5:12" x14ac:dyDescent="0.2">
      <c r="E436" s="15"/>
      <c r="F436" s="15"/>
      <c r="G436" s="15"/>
      <c r="H436" s="15"/>
      <c r="I436" s="15"/>
      <c r="J436" s="15"/>
      <c r="K436" s="15"/>
      <c r="L436" s="15"/>
    </row>
    <row r="437" spans="5:12" x14ac:dyDescent="0.2">
      <c r="E437" s="15"/>
      <c r="F437" s="15"/>
      <c r="G437" s="15"/>
      <c r="H437" s="15"/>
      <c r="I437" s="15"/>
      <c r="J437" s="15"/>
      <c r="K437" s="15"/>
      <c r="L437" s="15"/>
    </row>
    <row r="438" spans="5:12" x14ac:dyDescent="0.2">
      <c r="E438" s="15"/>
      <c r="F438" s="15"/>
      <c r="G438" s="15"/>
      <c r="H438" s="15"/>
      <c r="I438" s="15"/>
      <c r="J438" s="15"/>
      <c r="K438" s="15"/>
      <c r="L438" s="15"/>
    </row>
    <row r="439" spans="5:12" x14ac:dyDescent="0.2">
      <c r="E439" s="15"/>
      <c r="F439" s="15"/>
      <c r="G439" s="15"/>
      <c r="H439" s="15"/>
      <c r="I439" s="15"/>
      <c r="J439" s="15"/>
      <c r="K439" s="15"/>
      <c r="L439" s="15"/>
    </row>
    <row r="440" spans="5:12" x14ac:dyDescent="0.2">
      <c r="E440" s="15"/>
      <c r="F440" s="15"/>
      <c r="G440" s="15"/>
      <c r="H440" s="15"/>
      <c r="I440" s="15"/>
      <c r="J440" s="15"/>
      <c r="K440" s="15"/>
      <c r="L440" s="15"/>
    </row>
    <row r="441" spans="5:12" x14ac:dyDescent="0.2">
      <c r="E441" s="15"/>
      <c r="F441" s="15"/>
      <c r="G441" s="15"/>
      <c r="H441" s="15"/>
      <c r="I441" s="15"/>
      <c r="J441" s="15"/>
      <c r="K441" s="15"/>
      <c r="L441" s="15"/>
    </row>
    <row r="442" spans="5:12" x14ac:dyDescent="0.2">
      <c r="E442" s="15"/>
      <c r="F442" s="15"/>
      <c r="G442" s="15"/>
      <c r="H442" s="15"/>
      <c r="I442" s="15"/>
      <c r="J442" s="15"/>
      <c r="K442" s="15"/>
      <c r="L442" s="15"/>
    </row>
    <row r="443" spans="5:12" x14ac:dyDescent="0.2">
      <c r="E443" s="15"/>
      <c r="F443" s="15"/>
      <c r="G443" s="15"/>
      <c r="H443" s="15"/>
      <c r="I443" s="15"/>
      <c r="J443" s="15"/>
      <c r="K443" s="15"/>
      <c r="L443" s="15"/>
    </row>
    <row r="444" spans="5:12" x14ac:dyDescent="0.2">
      <c r="E444" s="15"/>
      <c r="F444" s="15"/>
      <c r="G444" s="15"/>
      <c r="H444" s="15"/>
      <c r="I444" s="15"/>
      <c r="J444" s="15"/>
      <c r="K444" s="15"/>
      <c r="L444" s="15"/>
    </row>
    <row r="445" spans="5:12" x14ac:dyDescent="0.2">
      <c r="E445" s="15"/>
      <c r="F445" s="15"/>
      <c r="G445" s="15"/>
      <c r="H445" s="15"/>
      <c r="I445" s="15"/>
      <c r="J445" s="15"/>
      <c r="K445" s="15"/>
      <c r="L445" s="15"/>
    </row>
    <row r="446" spans="5:12" x14ac:dyDescent="0.2">
      <c r="E446" s="15"/>
      <c r="F446" s="15"/>
      <c r="G446" s="15"/>
      <c r="H446" s="15"/>
      <c r="I446" s="15"/>
      <c r="J446" s="15"/>
      <c r="K446" s="15"/>
      <c r="L446" s="15"/>
    </row>
    <row r="447" spans="5:12" x14ac:dyDescent="0.2">
      <c r="E447" s="15"/>
      <c r="F447" s="15"/>
      <c r="G447" s="15"/>
      <c r="H447" s="15"/>
      <c r="I447" s="15"/>
      <c r="J447" s="15"/>
      <c r="K447" s="15"/>
      <c r="L447" s="15"/>
    </row>
    <row r="448" spans="5:12" x14ac:dyDescent="0.2">
      <c r="E448" s="15"/>
      <c r="F448" s="15"/>
      <c r="G448" s="15"/>
      <c r="H448" s="15"/>
      <c r="I448" s="15"/>
      <c r="J448" s="15"/>
      <c r="K448" s="15"/>
      <c r="L448" s="15"/>
    </row>
    <row r="449" spans="5:12" x14ac:dyDescent="0.2">
      <c r="E449" s="15"/>
      <c r="F449" s="15"/>
      <c r="G449" s="15"/>
      <c r="H449" s="15"/>
      <c r="I449" s="15"/>
      <c r="J449" s="15"/>
      <c r="K449" s="15"/>
      <c r="L449" s="15"/>
    </row>
    <row r="450" spans="5:12" x14ac:dyDescent="0.2">
      <c r="E450" s="15"/>
      <c r="F450" s="15"/>
      <c r="G450" s="15"/>
      <c r="H450" s="15"/>
      <c r="I450" s="15"/>
      <c r="J450" s="15"/>
      <c r="K450" s="15"/>
      <c r="L450" s="15"/>
    </row>
    <row r="451" spans="5:12" x14ac:dyDescent="0.2">
      <c r="E451" s="15"/>
      <c r="F451" s="15"/>
      <c r="G451" s="15"/>
      <c r="H451" s="15"/>
      <c r="I451" s="15"/>
      <c r="J451" s="15"/>
      <c r="K451" s="15"/>
      <c r="L451" s="15"/>
    </row>
    <row r="452" spans="5:12" x14ac:dyDescent="0.2">
      <c r="E452" s="15"/>
      <c r="F452" s="15"/>
      <c r="G452" s="15"/>
      <c r="H452" s="15"/>
      <c r="I452" s="15"/>
      <c r="J452" s="15"/>
      <c r="K452" s="15"/>
      <c r="L452" s="15"/>
    </row>
    <row r="453" spans="5:12" x14ac:dyDescent="0.2">
      <c r="E453" s="15"/>
      <c r="F453" s="15"/>
      <c r="G453" s="15"/>
      <c r="H453" s="15"/>
      <c r="I453" s="15"/>
      <c r="J453" s="15"/>
      <c r="K453" s="15"/>
      <c r="L453" s="15"/>
    </row>
    <row r="454" spans="5:12" x14ac:dyDescent="0.2">
      <c r="E454" s="15"/>
      <c r="F454" s="15"/>
      <c r="G454" s="15"/>
      <c r="H454" s="15"/>
      <c r="I454" s="15"/>
      <c r="J454" s="15"/>
      <c r="K454" s="15"/>
      <c r="L454" s="15"/>
    </row>
    <row r="455" spans="5:12" x14ac:dyDescent="0.2">
      <c r="E455" s="15"/>
      <c r="F455" s="15"/>
      <c r="G455" s="15"/>
      <c r="H455" s="15"/>
      <c r="I455" s="15"/>
      <c r="J455" s="15"/>
      <c r="K455" s="15"/>
      <c r="L455" s="15"/>
    </row>
    <row r="456" spans="5:12" x14ac:dyDescent="0.2">
      <c r="E456" s="15"/>
      <c r="F456" s="15"/>
      <c r="G456" s="15"/>
      <c r="H456" s="15"/>
      <c r="I456" s="15"/>
      <c r="J456" s="15"/>
      <c r="K456" s="15"/>
      <c r="L456" s="15"/>
    </row>
    <row r="457" spans="5:12" x14ac:dyDescent="0.2">
      <c r="E457" s="15"/>
      <c r="F457" s="15"/>
      <c r="G457" s="15"/>
      <c r="H457" s="15"/>
      <c r="I457" s="15"/>
      <c r="J457" s="15"/>
      <c r="K457" s="15"/>
      <c r="L457" s="15"/>
    </row>
    <row r="458" spans="5:12" x14ac:dyDescent="0.2">
      <c r="E458" s="15"/>
      <c r="F458" s="15"/>
      <c r="G458" s="15"/>
      <c r="H458" s="15"/>
      <c r="I458" s="15"/>
      <c r="J458" s="15"/>
      <c r="K458" s="15"/>
      <c r="L458" s="15"/>
    </row>
    <row r="459" spans="5:12" x14ac:dyDescent="0.2">
      <c r="E459" s="15"/>
      <c r="F459" s="15"/>
      <c r="G459" s="15"/>
      <c r="H459" s="15"/>
      <c r="I459" s="15"/>
      <c r="J459" s="15"/>
      <c r="K459" s="15"/>
      <c r="L459" s="15"/>
    </row>
    <row r="460" spans="5:12" x14ac:dyDescent="0.2">
      <c r="E460" s="15"/>
      <c r="F460" s="15"/>
      <c r="G460" s="15"/>
      <c r="H460" s="15"/>
      <c r="I460" s="15"/>
      <c r="J460" s="15"/>
      <c r="K460" s="15"/>
      <c r="L460" s="15"/>
    </row>
    <row r="461" spans="5:12" x14ac:dyDescent="0.2">
      <c r="E461" s="15"/>
      <c r="F461" s="15"/>
      <c r="G461" s="15"/>
      <c r="H461" s="15"/>
      <c r="I461" s="15"/>
      <c r="J461" s="15"/>
      <c r="K461" s="15"/>
      <c r="L461" s="15"/>
    </row>
    <row r="462" spans="5:12" x14ac:dyDescent="0.2">
      <c r="E462" s="15"/>
      <c r="F462" s="15"/>
      <c r="G462" s="15"/>
      <c r="H462" s="15"/>
      <c r="I462" s="15"/>
      <c r="J462" s="15"/>
      <c r="K462" s="15"/>
      <c r="L462" s="15"/>
    </row>
    <row r="463" spans="5:12" x14ac:dyDescent="0.2">
      <c r="E463" s="15"/>
      <c r="F463" s="15"/>
      <c r="G463" s="15"/>
      <c r="H463" s="15"/>
      <c r="I463" s="15"/>
      <c r="J463" s="15"/>
      <c r="K463" s="15"/>
      <c r="L463" s="15"/>
    </row>
    <row r="464" spans="5:12" x14ac:dyDescent="0.2">
      <c r="E464" s="15"/>
      <c r="F464" s="15"/>
      <c r="G464" s="15"/>
      <c r="H464" s="15"/>
      <c r="I464" s="15"/>
      <c r="J464" s="15"/>
      <c r="K464" s="15"/>
      <c r="L464" s="15"/>
    </row>
  </sheetData>
  <sheetProtection sheet="1" objects="1" scenarios="1"/>
  <mergeCells count="1">
    <mergeCell ref="E2:K2"/>
  </mergeCells>
  <phoneticPr fontId="2" type="noConversion"/>
  <dataValidations count="4">
    <dataValidation type="list" allowBlank="1" showInputMessage="1" showErrorMessage="1" sqref="J20">
      <formula1>SEISMESES</formula1>
    </dataValidation>
    <dataValidation type="list" allowBlank="1" showInputMessage="1" showErrorMessage="1" sqref="J13:J18 J5:J10">
      <formula1>mesinicio</formula1>
    </dataValidation>
    <dataValidation type="list" allowBlank="1" showInputMessage="1" showErrorMessage="1" sqref="G5:G10">
      <formula1>tiposdeactivos</formula1>
    </dataValidation>
    <dataValidation type="list" allowBlank="1" showInputMessage="1" showErrorMessage="1" sqref="G13:G18">
      <formula1>activosintangiblesamort</formula1>
    </dataValidation>
  </dataValidations>
  <printOptions horizontalCentered="1" verticalCentered="1"/>
  <pageMargins left="0.78740157480314965" right="0.78740157480314965" top="0.98425196850393704" bottom="0.98425196850393704" header="0" footer="0"/>
  <pageSetup paperSize="9" orientation="landscape" horizontalDpi="4294967292"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B1:BO223"/>
  <sheetViews>
    <sheetView showGridLines="0" showRowColHeaders="0" showOutlineSymbols="0" zoomScaleNormal="100" workbookViewId="0">
      <pane xSplit="87" ySplit="150" topLeftCell="CJ151" activePane="bottomRight" state="frozen"/>
      <selection pane="topRight" activeCell="CI1" sqref="CI1"/>
      <selection pane="bottomLeft" activeCell="A152" sqref="A152"/>
      <selection pane="bottomRight"/>
    </sheetView>
  </sheetViews>
  <sheetFormatPr baseColWidth="10" defaultRowHeight="12.75" x14ac:dyDescent="0.2"/>
  <cols>
    <col min="1" max="1" width="0" hidden="1" customWidth="1"/>
    <col min="2" max="3" width="4.140625" style="15" customWidth="1"/>
    <col min="4" max="4" width="2.7109375" customWidth="1"/>
    <col min="5" max="5" width="15.7109375" customWidth="1"/>
    <col min="6" max="6" width="10.28515625" customWidth="1"/>
    <col min="7" max="7" width="0.42578125" customWidth="1"/>
    <col min="8" max="8" width="10.7109375" customWidth="1"/>
    <col min="9" max="9" width="9.140625" customWidth="1"/>
    <col min="10" max="10" width="6.7109375" customWidth="1"/>
    <col min="11" max="13" width="9.140625" customWidth="1"/>
    <col min="14" max="14" width="10.7109375" customWidth="1"/>
    <col min="15" max="17" width="9.140625" customWidth="1"/>
    <col min="18" max="18" width="1.7109375" customWidth="1"/>
    <col min="19" max="19" width="1.42578125" style="79" customWidth="1"/>
    <col min="20" max="23" width="4.7109375" style="79" hidden="1" customWidth="1"/>
    <col min="24" max="29" width="4.7109375" style="79" customWidth="1"/>
    <col min="30" max="49" width="4.7109375" style="15" customWidth="1"/>
    <col min="50" max="50" width="20.7109375" style="15" customWidth="1"/>
    <col min="51" max="67" width="11.42578125" style="15"/>
  </cols>
  <sheetData>
    <row r="1" spans="2:67" s="39" customFormat="1" ht="9.9499999999999993" customHeight="1" thickBot="1" x14ac:dyDescent="0.25">
      <c r="B1" s="296"/>
      <c r="C1" s="296"/>
      <c r="D1" s="296"/>
      <c r="E1" s="296"/>
      <c r="F1" s="296"/>
      <c r="G1" s="296"/>
      <c r="H1" s="296"/>
      <c r="I1" s="296"/>
      <c r="J1" s="296"/>
      <c r="K1" s="296"/>
      <c r="L1" s="296"/>
      <c r="M1" s="296"/>
      <c r="N1" s="296"/>
      <c r="O1" s="296"/>
      <c r="P1" s="296"/>
      <c r="Q1" s="296"/>
      <c r="R1" s="296"/>
      <c r="S1" s="402"/>
      <c r="T1" s="402"/>
      <c r="U1" s="402"/>
      <c r="V1" s="402"/>
      <c r="W1" s="402"/>
      <c r="X1" s="402"/>
      <c r="Y1" s="402"/>
      <c r="Z1" s="402"/>
      <c r="AA1" s="402"/>
      <c r="AB1" s="402"/>
      <c r="AC1" s="402"/>
      <c r="AD1" s="296"/>
      <c r="AE1" s="296"/>
      <c r="AF1" s="296"/>
      <c r="AG1" s="296"/>
      <c r="AH1" s="296"/>
      <c r="AI1" s="296"/>
      <c r="AJ1" s="296"/>
      <c r="AK1" s="296"/>
      <c r="AL1" s="296"/>
      <c r="AM1" s="296"/>
      <c r="AN1" s="296"/>
      <c r="AO1" s="296"/>
      <c r="AP1" s="296"/>
      <c r="AQ1" s="296"/>
      <c r="AR1" s="296"/>
      <c r="AS1" s="296"/>
      <c r="AT1" s="296"/>
      <c r="AU1" s="296"/>
      <c r="AV1" s="296"/>
      <c r="AW1" s="296"/>
      <c r="AX1" s="7"/>
      <c r="AY1" s="7"/>
      <c r="AZ1" s="7"/>
      <c r="BA1" s="7"/>
      <c r="BB1" s="7"/>
    </row>
    <row r="2" spans="2:67" s="46" customFormat="1" ht="30" customHeight="1" thickBot="1" x14ac:dyDescent="0.25">
      <c r="B2" s="296"/>
      <c r="C2" s="403"/>
      <c r="D2" s="1437" t="s">
        <v>657</v>
      </c>
      <c r="E2" s="1438"/>
      <c r="F2" s="1438"/>
      <c r="G2" s="1438"/>
      <c r="H2" s="1438"/>
      <c r="I2" s="1438"/>
      <c r="J2" s="1438"/>
      <c r="K2" s="1438"/>
      <c r="L2" s="1438"/>
      <c r="M2" s="1438"/>
      <c r="N2" s="1438"/>
      <c r="O2" s="1438"/>
      <c r="P2" s="1438"/>
      <c r="Q2" s="1438"/>
      <c r="R2" s="1439"/>
      <c r="S2" s="414"/>
      <c r="T2" s="415"/>
      <c r="U2" s="415"/>
      <c r="V2" s="416"/>
      <c r="W2" s="298"/>
      <c r="X2" s="298"/>
      <c r="Y2" s="298"/>
      <c r="Z2" s="298"/>
      <c r="AA2" s="298"/>
      <c r="AB2" s="298"/>
      <c r="AC2" s="298"/>
      <c r="AD2" s="411"/>
      <c r="AE2" s="411"/>
      <c r="AF2" s="411"/>
      <c r="AG2" s="296"/>
      <c r="AH2" s="296"/>
      <c r="AI2" s="296"/>
      <c r="AJ2" s="296"/>
      <c r="AK2" s="296"/>
      <c r="AL2" s="296"/>
      <c r="AM2" s="296"/>
      <c r="AN2" s="296"/>
      <c r="AO2" s="296"/>
      <c r="AP2" s="296"/>
      <c r="AQ2" s="296"/>
      <c r="AR2" s="296"/>
      <c r="AS2" s="296"/>
      <c r="AT2" s="296"/>
      <c r="AU2" s="296"/>
      <c r="AV2" s="296"/>
      <c r="AW2" s="296"/>
      <c r="AX2" s="7"/>
      <c r="AY2" s="7"/>
      <c r="AZ2" s="7"/>
      <c r="BA2" s="7"/>
      <c r="BB2" s="7"/>
      <c r="BC2" s="39"/>
      <c r="BD2" s="39"/>
      <c r="BE2" s="39"/>
      <c r="BF2" s="39"/>
      <c r="BG2" s="39"/>
      <c r="BH2" s="39"/>
      <c r="BI2" s="39"/>
      <c r="BJ2" s="39"/>
      <c r="BK2" s="39"/>
      <c r="BL2" s="39"/>
      <c r="BM2" s="39"/>
      <c r="BN2" s="39"/>
      <c r="BO2" s="39"/>
    </row>
    <row r="3" spans="2:67" s="46" customFormat="1" ht="20.100000000000001" customHeight="1" thickBot="1" x14ac:dyDescent="0.25">
      <c r="B3" s="296"/>
      <c r="C3" s="403"/>
      <c r="D3" s="1099"/>
      <c r="E3" s="903"/>
      <c r="F3" s="903"/>
      <c r="G3" s="903"/>
      <c r="H3" s="903"/>
      <c r="I3" s="903"/>
      <c r="J3" s="903"/>
      <c r="K3" s="903"/>
      <c r="L3" s="903"/>
      <c r="M3" s="903"/>
      <c r="N3" s="903"/>
      <c r="O3" s="903"/>
      <c r="P3" s="903"/>
      <c r="Q3" s="903"/>
      <c r="R3" s="1100"/>
      <c r="S3" s="417"/>
      <c r="T3" s="418"/>
      <c r="U3" s="418"/>
      <c r="V3" s="419"/>
      <c r="W3" s="299"/>
      <c r="X3" s="299"/>
      <c r="Y3" s="299"/>
      <c r="Z3" s="299"/>
      <c r="AA3" s="299"/>
      <c r="AB3" s="299"/>
      <c r="AC3" s="299"/>
      <c r="AD3" s="7"/>
      <c r="AE3" s="7"/>
      <c r="AF3" s="7"/>
      <c r="AG3" s="39"/>
      <c r="AH3" s="39"/>
      <c r="AI3" s="39"/>
      <c r="AJ3" s="39"/>
      <c r="AK3" s="39"/>
      <c r="AL3" s="39"/>
      <c r="AM3" s="39"/>
      <c r="AN3" s="39"/>
      <c r="AO3" s="39"/>
      <c r="AP3" s="39"/>
      <c r="AQ3" s="39"/>
      <c r="AR3" s="39"/>
      <c r="AS3" s="39"/>
      <c r="AT3" s="39"/>
      <c r="AU3" s="39"/>
      <c r="AV3" s="39"/>
      <c r="AW3" s="39"/>
      <c r="AX3" s="7"/>
      <c r="AY3" s="7"/>
      <c r="AZ3" s="7"/>
      <c r="BA3" s="7"/>
      <c r="BB3" s="7"/>
      <c r="BC3" s="39"/>
      <c r="BD3" s="39"/>
      <c r="BE3" s="39"/>
      <c r="BF3" s="39"/>
      <c r="BG3" s="39"/>
      <c r="BH3" s="39"/>
      <c r="BI3" s="39"/>
      <c r="BJ3" s="39"/>
      <c r="BK3" s="39"/>
      <c r="BL3" s="39"/>
      <c r="BM3" s="39"/>
      <c r="BN3" s="39"/>
      <c r="BO3" s="39"/>
    </row>
    <row r="4" spans="2:67" s="46" customFormat="1" ht="15" customHeight="1" thickBot="1" x14ac:dyDescent="0.25">
      <c r="B4" s="296"/>
      <c r="C4" s="403"/>
      <c r="D4" s="1099"/>
      <c r="E4" s="901" t="s">
        <v>656</v>
      </c>
      <c r="F4" s="395"/>
      <c r="G4" s="395"/>
      <c r="H4" s="395"/>
      <c r="I4" s="395"/>
      <c r="J4" s="395"/>
      <c r="K4" s="395"/>
      <c r="L4" s="395"/>
      <c r="M4" s="396" t="s">
        <v>652</v>
      </c>
      <c r="N4" s="1450">
        <f>N6+N8+H8+H6</f>
        <v>0</v>
      </c>
      <c r="O4" s="1451"/>
      <c r="P4" s="401" t="str">
        <f>IF(N10=0,"",IF(N4=0,0,N10/N4-100%))</f>
        <v/>
      </c>
      <c r="Q4" s="903"/>
      <c r="R4" s="1100"/>
      <c r="S4" s="417"/>
      <c r="T4" s="418"/>
      <c r="U4" s="418"/>
      <c r="V4" s="419"/>
      <c r="W4" s="299"/>
      <c r="X4" s="299"/>
      <c r="Y4" s="299"/>
      <c r="Z4" s="299"/>
      <c r="AA4" s="299"/>
      <c r="AB4" s="299"/>
      <c r="AC4" s="299"/>
      <c r="AD4" s="7"/>
      <c r="AE4" s="7"/>
      <c r="AF4" s="7"/>
      <c r="AG4" s="39"/>
      <c r="AH4" s="39"/>
      <c r="AI4" s="39"/>
      <c r="AJ4" s="39"/>
      <c r="AK4" s="39"/>
      <c r="AL4" s="39"/>
      <c r="AM4" s="39"/>
      <c r="AN4" s="39"/>
      <c r="AO4" s="39"/>
      <c r="AP4" s="39"/>
      <c r="AQ4" s="39"/>
      <c r="AR4" s="39"/>
      <c r="AS4" s="39"/>
      <c r="AT4" s="39"/>
      <c r="AU4" s="39"/>
      <c r="AV4" s="39"/>
      <c r="AW4" s="39"/>
      <c r="AX4" s="7"/>
      <c r="AY4" s="7"/>
      <c r="AZ4" s="7"/>
      <c r="BA4" s="7"/>
      <c r="BB4" s="7"/>
      <c r="BC4" s="39"/>
      <c r="BD4" s="39"/>
      <c r="BE4" s="39"/>
      <c r="BF4" s="39"/>
      <c r="BG4" s="39"/>
      <c r="BH4" s="39"/>
      <c r="BI4" s="39"/>
      <c r="BJ4" s="39"/>
      <c r="BK4" s="39"/>
      <c r="BL4" s="39"/>
      <c r="BM4" s="39"/>
      <c r="BN4" s="39"/>
      <c r="BO4" s="39"/>
    </row>
    <row r="5" spans="2:67" s="46" customFormat="1" ht="5.0999999999999996" customHeight="1" x14ac:dyDescent="0.2">
      <c r="B5" s="296"/>
      <c r="C5" s="403"/>
      <c r="D5" s="1099"/>
      <c r="E5" s="903"/>
      <c r="F5" s="903"/>
      <c r="G5" s="903"/>
      <c r="H5" s="903"/>
      <c r="I5" s="903"/>
      <c r="J5" s="903"/>
      <c r="K5" s="903"/>
      <c r="L5" s="903"/>
      <c r="M5" s="903"/>
      <c r="N5" s="903"/>
      <c r="O5" s="903"/>
      <c r="P5" s="903"/>
      <c r="Q5" s="903"/>
      <c r="R5" s="1100"/>
      <c r="S5" s="417"/>
      <c r="T5" s="418"/>
      <c r="U5" s="418"/>
      <c r="V5" s="419"/>
      <c r="W5" s="299"/>
      <c r="X5" s="299"/>
      <c r="Y5" s="299"/>
      <c r="Z5" s="299"/>
      <c r="AA5" s="299"/>
      <c r="AB5" s="299"/>
      <c r="AC5" s="299"/>
      <c r="AD5" s="7"/>
      <c r="AE5" s="7"/>
      <c r="AF5" s="7"/>
      <c r="AG5" s="39"/>
      <c r="AH5" s="39"/>
      <c r="AI5" s="39"/>
      <c r="AJ5" s="39"/>
      <c r="AK5" s="39"/>
      <c r="AL5" s="39"/>
      <c r="AM5" s="39"/>
      <c r="AN5" s="39"/>
      <c r="AO5" s="39"/>
      <c r="AP5" s="39"/>
      <c r="AQ5" s="39"/>
      <c r="AR5" s="39"/>
      <c r="AS5" s="39"/>
      <c r="AT5" s="39"/>
      <c r="AU5" s="39"/>
      <c r="AV5" s="39"/>
      <c r="AW5" s="39"/>
      <c r="AX5" s="7"/>
      <c r="AY5" s="7"/>
      <c r="AZ5" s="7"/>
      <c r="BA5" s="7"/>
      <c r="BB5" s="7"/>
      <c r="BC5" s="39"/>
      <c r="BD5" s="39"/>
      <c r="BE5" s="39"/>
      <c r="BF5" s="39"/>
      <c r="BG5" s="39"/>
      <c r="BH5" s="39"/>
      <c r="BI5" s="39"/>
      <c r="BJ5" s="39"/>
      <c r="BK5" s="39"/>
      <c r="BL5" s="39"/>
      <c r="BM5" s="39"/>
      <c r="BN5" s="39"/>
      <c r="BO5" s="39"/>
    </row>
    <row r="6" spans="2:67" s="306" customFormat="1" ht="12" x14ac:dyDescent="0.2">
      <c r="B6" s="404"/>
      <c r="C6" s="405"/>
      <c r="D6" s="1125"/>
      <c r="E6" s="1440" t="s">
        <v>650</v>
      </c>
      <c r="F6" s="1441"/>
      <c r="G6" s="1127"/>
      <c r="H6" s="1070">
        <f>'1'!$I$219</f>
        <v>0</v>
      </c>
      <c r="I6" s="1127"/>
      <c r="J6" s="1128"/>
      <c r="K6" s="1442" t="s">
        <v>651</v>
      </c>
      <c r="L6" s="1443"/>
      <c r="M6" s="1444"/>
      <c r="N6" s="1070">
        <f>'1'!$I$29</f>
        <v>0</v>
      </c>
      <c r="O6" s="1127"/>
      <c r="P6" s="1132" t="str">
        <f>IF(N10=0,"",IF(N4=0,"","▲ Este es el % de"))</f>
        <v/>
      </c>
      <c r="Q6" s="1127"/>
      <c r="R6" s="1129"/>
      <c r="S6" s="420"/>
      <c r="T6" s="421"/>
      <c r="U6" s="421"/>
      <c r="V6" s="422"/>
      <c r="W6" s="423"/>
      <c r="X6" s="423"/>
      <c r="Y6" s="423"/>
      <c r="Z6" s="423"/>
      <c r="AA6" s="423"/>
      <c r="AB6" s="423"/>
      <c r="AC6" s="423"/>
      <c r="AD6" s="424"/>
      <c r="AE6" s="424"/>
      <c r="AF6" s="424"/>
      <c r="AG6" s="425"/>
      <c r="AH6" s="425"/>
      <c r="AI6" s="425"/>
      <c r="AJ6" s="425"/>
      <c r="AK6" s="425"/>
      <c r="AL6" s="425"/>
      <c r="AM6" s="425"/>
      <c r="AN6" s="425"/>
      <c r="AO6" s="425"/>
      <c r="AP6" s="425"/>
      <c r="AQ6" s="425"/>
      <c r="AR6" s="425"/>
      <c r="AS6" s="425"/>
      <c r="AT6" s="425"/>
      <c r="AU6" s="425"/>
      <c r="AV6" s="425"/>
      <c r="AW6" s="425"/>
      <c r="AX6" s="424"/>
      <c r="AY6" s="424"/>
      <c r="AZ6" s="424"/>
      <c r="BA6" s="424"/>
      <c r="BB6" s="424"/>
      <c r="BC6" s="425"/>
      <c r="BD6" s="425"/>
      <c r="BE6" s="425"/>
      <c r="BF6" s="425"/>
      <c r="BG6" s="425"/>
      <c r="BH6" s="425"/>
      <c r="BI6" s="425"/>
      <c r="BJ6" s="425"/>
      <c r="BK6" s="425"/>
      <c r="BL6" s="425"/>
      <c r="BM6" s="425"/>
      <c r="BN6" s="425"/>
      <c r="BO6" s="425"/>
    </row>
    <row r="7" spans="2:67" s="46" customFormat="1" ht="2.1" customHeight="1" x14ac:dyDescent="0.2">
      <c r="B7" s="296"/>
      <c r="C7" s="403"/>
      <c r="D7" s="1099"/>
      <c r="E7" s="903"/>
      <c r="F7" s="903"/>
      <c r="G7" s="903"/>
      <c r="H7" s="1137"/>
      <c r="I7" s="903"/>
      <c r="J7" s="903"/>
      <c r="K7" s="903"/>
      <c r="L7" s="903"/>
      <c r="M7" s="903"/>
      <c r="N7" s="1138"/>
      <c r="O7" s="903"/>
      <c r="P7" s="903"/>
      <c r="Q7" s="903"/>
      <c r="R7" s="1100"/>
      <c r="S7" s="417"/>
      <c r="T7" s="418"/>
      <c r="U7" s="418"/>
      <c r="V7" s="419"/>
      <c r="W7" s="299"/>
      <c r="X7" s="299"/>
      <c r="Y7" s="299"/>
      <c r="Z7" s="299"/>
      <c r="AA7" s="299"/>
      <c r="AB7" s="299"/>
      <c r="AC7" s="299"/>
      <c r="AD7" s="7"/>
      <c r="AE7" s="7"/>
      <c r="AF7" s="7"/>
      <c r="AG7" s="39"/>
      <c r="AH7" s="39"/>
      <c r="AI7" s="39"/>
      <c r="AJ7" s="39"/>
      <c r="AK7" s="39"/>
      <c r="AL7" s="39"/>
      <c r="AM7" s="39"/>
      <c r="AN7" s="39"/>
      <c r="AO7" s="39"/>
      <c r="AP7" s="39"/>
      <c r="AQ7" s="39"/>
      <c r="AR7" s="39"/>
      <c r="AS7" s="39"/>
      <c r="AT7" s="39"/>
      <c r="AU7" s="39"/>
      <c r="AV7" s="39"/>
      <c r="AW7" s="39"/>
      <c r="AX7" s="7"/>
      <c r="AY7" s="7"/>
      <c r="AZ7" s="7"/>
      <c r="BA7" s="7"/>
      <c r="BB7" s="7"/>
      <c r="BC7" s="39"/>
      <c r="BD7" s="39"/>
      <c r="BE7" s="39"/>
      <c r="BF7" s="39"/>
      <c r="BG7" s="39"/>
      <c r="BH7" s="39"/>
      <c r="BI7" s="39"/>
      <c r="BJ7" s="39"/>
      <c r="BK7" s="39"/>
      <c r="BL7" s="39"/>
      <c r="BM7" s="39"/>
      <c r="BN7" s="39"/>
      <c r="BO7" s="39"/>
    </row>
    <row r="8" spans="2:67" s="306" customFormat="1" ht="12" x14ac:dyDescent="0.2">
      <c r="B8" s="404"/>
      <c r="C8" s="405"/>
      <c r="D8" s="1125"/>
      <c r="E8" s="1440" t="s">
        <v>72</v>
      </c>
      <c r="F8" s="1441"/>
      <c r="G8" s="1127"/>
      <c r="H8" s="1070">
        <f>'1'!$I$220</f>
        <v>0</v>
      </c>
      <c r="I8" s="1127"/>
      <c r="J8" s="1127"/>
      <c r="K8" s="1442" t="s">
        <v>1067</v>
      </c>
      <c r="L8" s="1443"/>
      <c r="M8" s="1445"/>
      <c r="N8" s="1070">
        <f>'1'!$I$31</f>
        <v>0</v>
      </c>
      <c r="O8" s="1127"/>
      <c r="P8" s="1132" t="str">
        <f>IF(P6="","","financiación que falta")</f>
        <v/>
      </c>
      <c r="Q8" s="1127"/>
      <c r="R8" s="1129"/>
      <c r="S8" s="420"/>
      <c r="T8" s="421"/>
      <c r="U8" s="421"/>
      <c r="V8" s="422"/>
      <c r="W8" s="423"/>
      <c r="X8" s="423"/>
      <c r="Y8" s="423"/>
      <c r="Z8" s="423"/>
      <c r="AA8" s="423"/>
      <c r="AB8" s="423"/>
      <c r="AC8" s="423"/>
      <c r="AD8" s="424"/>
      <c r="AE8" s="424"/>
      <c r="AF8" s="424"/>
      <c r="AG8" s="425"/>
      <c r="AH8" s="425"/>
      <c r="AI8" s="425"/>
      <c r="AJ8" s="425"/>
      <c r="AK8" s="425"/>
      <c r="AL8" s="425"/>
      <c r="AM8" s="425"/>
      <c r="AN8" s="425"/>
      <c r="AO8" s="425"/>
      <c r="AP8" s="425"/>
      <c r="AQ8" s="425"/>
      <c r="AR8" s="425"/>
      <c r="AS8" s="425"/>
      <c r="AT8" s="425"/>
      <c r="AU8" s="425"/>
      <c r="AV8" s="425"/>
      <c r="AW8" s="425"/>
      <c r="AX8" s="424"/>
      <c r="AY8" s="424"/>
      <c r="AZ8" s="424"/>
      <c r="BA8" s="424"/>
      <c r="BB8" s="424"/>
      <c r="BC8" s="425"/>
      <c r="BD8" s="425"/>
      <c r="BE8" s="425"/>
      <c r="BF8" s="425"/>
      <c r="BG8" s="425"/>
      <c r="BH8" s="425"/>
      <c r="BI8" s="425"/>
      <c r="BJ8" s="425"/>
      <c r="BK8" s="425"/>
      <c r="BL8" s="425"/>
      <c r="BM8" s="425"/>
      <c r="BN8" s="425"/>
      <c r="BO8" s="425"/>
    </row>
    <row r="9" spans="2:67" s="46" customFormat="1" ht="20.100000000000001" customHeight="1" thickBot="1" x14ac:dyDescent="0.25">
      <c r="B9" s="296"/>
      <c r="C9" s="403"/>
      <c r="D9" s="1099"/>
      <c r="E9" s="903"/>
      <c r="F9" s="903"/>
      <c r="G9" s="903"/>
      <c r="H9" s="903"/>
      <c r="I9" s="903"/>
      <c r="J9" s="903"/>
      <c r="K9" s="903"/>
      <c r="L9" s="903"/>
      <c r="M9" s="903"/>
      <c r="N9" s="903"/>
      <c r="O9" s="903"/>
      <c r="P9" s="903"/>
      <c r="Q9" s="903"/>
      <c r="R9" s="1100"/>
      <c r="S9" s="417"/>
      <c r="T9" s="418"/>
      <c r="U9" s="418"/>
      <c r="V9" s="419"/>
      <c r="W9" s="299"/>
      <c r="X9" s="299"/>
      <c r="Y9" s="299"/>
      <c r="Z9" s="299"/>
      <c r="AA9" s="299"/>
      <c r="AB9" s="299"/>
      <c r="AC9" s="299"/>
      <c r="AD9" s="7"/>
      <c r="AE9" s="7"/>
      <c r="AF9" s="7"/>
      <c r="AG9" s="39"/>
      <c r="AH9" s="39"/>
      <c r="AI9" s="39"/>
      <c r="AJ9" s="39"/>
      <c r="AK9" s="39"/>
      <c r="AL9" s="39"/>
      <c r="AM9" s="39"/>
      <c r="AN9" s="39"/>
      <c r="AO9" s="39"/>
      <c r="AP9" s="39"/>
      <c r="AQ9" s="39"/>
      <c r="AR9" s="39"/>
      <c r="AS9" s="39"/>
      <c r="AT9" s="39"/>
      <c r="AU9" s="39"/>
      <c r="AV9" s="39"/>
      <c r="AW9" s="39"/>
      <c r="AX9" s="7"/>
      <c r="AY9" s="7"/>
      <c r="AZ9" s="7"/>
      <c r="BA9" s="7"/>
      <c r="BB9" s="7"/>
      <c r="BC9" s="39"/>
      <c r="BD9" s="39"/>
      <c r="BE9" s="39"/>
      <c r="BF9" s="39"/>
      <c r="BG9" s="39"/>
      <c r="BH9" s="39"/>
      <c r="BI9" s="39"/>
      <c r="BJ9" s="39"/>
      <c r="BK9" s="39"/>
      <c r="BL9" s="39"/>
      <c r="BM9" s="39"/>
      <c r="BN9" s="39"/>
      <c r="BO9" s="39"/>
    </row>
    <row r="10" spans="2:67" s="46" customFormat="1" ht="15" customHeight="1" thickBot="1" x14ac:dyDescent="0.25">
      <c r="B10" s="296"/>
      <c r="C10" s="403"/>
      <c r="D10" s="1099"/>
      <c r="E10" s="901" t="s">
        <v>653</v>
      </c>
      <c r="F10" s="395"/>
      <c r="G10" s="395"/>
      <c r="H10" s="395"/>
      <c r="I10" s="395"/>
      <c r="J10" s="395"/>
      <c r="K10" s="395"/>
      <c r="L10" s="395"/>
      <c r="M10" s="396" t="s">
        <v>652</v>
      </c>
      <c r="N10" s="1450">
        <f>N12+N17</f>
        <v>0</v>
      </c>
      <c r="O10" s="1451"/>
      <c r="P10" s="401" t="str">
        <f>IF(N10=0,"",IF(N4=0,"",N10/N4))</f>
        <v/>
      </c>
      <c r="Q10" s="903"/>
      <c r="R10" s="1100"/>
      <c r="S10" s="417"/>
      <c r="T10" s="418"/>
      <c r="U10" s="418"/>
      <c r="V10" s="419"/>
      <c r="W10" s="299"/>
      <c r="X10" s="299"/>
      <c r="Y10" s="299"/>
      <c r="Z10" s="299"/>
      <c r="AA10" s="299"/>
      <c r="AB10" s="299"/>
      <c r="AC10" s="299"/>
      <c r="AD10" s="7"/>
      <c r="AE10" s="7"/>
      <c r="AF10" s="7"/>
      <c r="AG10" s="39"/>
      <c r="AH10" s="39"/>
      <c r="AI10" s="39"/>
      <c r="AJ10" s="39"/>
      <c r="AK10" s="39"/>
      <c r="AL10" s="39"/>
      <c r="AM10" s="39"/>
      <c r="AN10" s="39"/>
      <c r="AO10" s="39"/>
      <c r="AP10" s="39"/>
      <c r="AQ10" s="39"/>
      <c r="AR10" s="39"/>
      <c r="AS10" s="39"/>
      <c r="AT10" s="39"/>
      <c r="AU10" s="39"/>
      <c r="AV10" s="39"/>
      <c r="AW10" s="39"/>
      <c r="AX10" s="7"/>
      <c r="AY10" s="7"/>
      <c r="AZ10" s="7"/>
      <c r="BA10" s="7"/>
      <c r="BB10" s="7"/>
      <c r="BC10" s="39"/>
      <c r="BD10" s="39"/>
      <c r="BE10" s="39"/>
      <c r="BF10" s="39"/>
      <c r="BG10" s="39"/>
      <c r="BH10" s="39"/>
      <c r="BI10" s="39"/>
      <c r="BJ10" s="39"/>
      <c r="BK10" s="39"/>
      <c r="BL10" s="39"/>
      <c r="BM10" s="39"/>
      <c r="BN10" s="39"/>
      <c r="BO10" s="39"/>
    </row>
    <row r="11" spans="2:67" s="46" customFormat="1" ht="9.9499999999999993" customHeight="1" thickBot="1" x14ac:dyDescent="0.25">
      <c r="B11" s="296"/>
      <c r="C11" s="403"/>
      <c r="D11" s="1099"/>
      <c r="E11" s="903"/>
      <c r="F11" s="903"/>
      <c r="G11" s="903"/>
      <c r="H11" s="903"/>
      <c r="I11" s="903"/>
      <c r="J11" s="903"/>
      <c r="K11" s="903"/>
      <c r="L11" s="903"/>
      <c r="M11" s="903"/>
      <c r="N11" s="903"/>
      <c r="O11" s="903"/>
      <c r="P11" s="903"/>
      <c r="Q11" s="903"/>
      <c r="R11" s="1100"/>
      <c r="S11" s="417"/>
      <c r="T11" s="418"/>
      <c r="U11" s="418"/>
      <c r="V11" s="419"/>
      <c r="W11" s="299"/>
      <c r="X11" s="299"/>
      <c r="Y11" s="299"/>
      <c r="Z11" s="299"/>
      <c r="AA11" s="299"/>
      <c r="AB11" s="299"/>
      <c r="AC11" s="299"/>
      <c r="AD11" s="7"/>
      <c r="AE11" s="7"/>
      <c r="AF11" s="7"/>
      <c r="AG11" s="39"/>
      <c r="AH11" s="39"/>
      <c r="AI11" s="39"/>
      <c r="AJ11" s="39"/>
      <c r="AK11" s="39"/>
      <c r="AL11" s="39"/>
      <c r="AM11" s="39"/>
      <c r="AN11" s="39"/>
      <c r="AO11" s="39"/>
      <c r="AP11" s="39"/>
      <c r="AQ11" s="39"/>
      <c r="AR11" s="39"/>
      <c r="AS11" s="39"/>
      <c r="AT11" s="39"/>
      <c r="AU11" s="39"/>
      <c r="AV11" s="39"/>
      <c r="AW11" s="39"/>
      <c r="AX11" s="7"/>
      <c r="AY11" s="7"/>
      <c r="AZ11" s="7"/>
      <c r="BA11" s="7"/>
      <c r="BB11" s="7"/>
      <c r="BC11" s="39"/>
      <c r="BD11" s="39"/>
      <c r="BE11" s="39"/>
      <c r="BF11" s="39"/>
      <c r="BG11" s="39"/>
      <c r="BH11" s="39"/>
      <c r="BI11" s="39"/>
      <c r="BJ11" s="39"/>
      <c r="BK11" s="39"/>
      <c r="BL11" s="39"/>
      <c r="BM11" s="39"/>
      <c r="BN11" s="39"/>
      <c r="BO11" s="39"/>
    </row>
    <row r="12" spans="2:67" s="46" customFormat="1" ht="13.5" thickBot="1" x14ac:dyDescent="0.25">
      <c r="B12" s="402"/>
      <c r="C12" s="403"/>
      <c r="D12" s="1099"/>
      <c r="E12" s="398" t="s">
        <v>654</v>
      </c>
      <c r="F12" s="399"/>
      <c r="G12" s="399"/>
      <c r="H12" s="399"/>
      <c r="I12" s="399"/>
      <c r="J12" s="399"/>
      <c r="K12" s="399"/>
      <c r="L12" s="399"/>
      <c r="M12" s="400" t="s">
        <v>652</v>
      </c>
      <c r="N12" s="1446">
        <f>H14+N14</f>
        <v>0</v>
      </c>
      <c r="O12" s="1447"/>
      <c r="P12" s="401" t="str">
        <f>IF(N10=0,"",N12/N10)</f>
        <v/>
      </c>
      <c r="Q12" s="1130"/>
      <c r="R12" s="1106"/>
      <c r="S12" s="426"/>
      <c r="T12" s="418"/>
      <c r="U12" s="418"/>
      <c r="V12" s="419"/>
      <c r="W12" s="299"/>
      <c r="X12" s="299"/>
      <c r="Y12" s="299"/>
      <c r="Z12" s="299"/>
      <c r="AA12" s="299"/>
      <c r="AB12" s="299"/>
      <c r="AC12" s="299"/>
      <c r="AD12" s="7"/>
      <c r="AE12" s="7"/>
      <c r="AF12" s="7"/>
      <c r="AG12" s="39"/>
      <c r="AH12" s="39"/>
      <c r="AI12" s="39"/>
      <c r="AJ12" s="39"/>
      <c r="AK12" s="39"/>
      <c r="AL12" s="39"/>
      <c r="AM12" s="39"/>
      <c r="AN12" s="39"/>
      <c r="AO12" s="39"/>
      <c r="AP12" s="39"/>
      <c r="AQ12" s="39"/>
      <c r="AR12" s="39"/>
      <c r="AS12" s="39"/>
      <c r="AT12" s="39"/>
      <c r="AU12" s="39"/>
      <c r="AV12" s="39"/>
      <c r="AW12" s="39"/>
      <c r="AX12" s="7"/>
      <c r="AY12" s="7"/>
      <c r="AZ12" s="7"/>
      <c r="BA12" s="7"/>
      <c r="BB12" s="7"/>
      <c r="BC12" s="39"/>
      <c r="BD12" s="39"/>
      <c r="BE12" s="39"/>
      <c r="BF12" s="39"/>
      <c r="BG12" s="39"/>
      <c r="BH12" s="39"/>
      <c r="BI12" s="39"/>
      <c r="BJ12" s="39"/>
      <c r="BK12" s="39"/>
      <c r="BL12" s="39"/>
      <c r="BM12" s="39"/>
      <c r="BN12" s="39"/>
      <c r="BO12" s="39"/>
    </row>
    <row r="13" spans="2:67" s="46" customFormat="1" ht="9.9499999999999993" customHeight="1" x14ac:dyDescent="0.2">
      <c r="B13" s="402"/>
      <c r="C13" s="403"/>
      <c r="D13" s="1099"/>
      <c r="E13" s="1130"/>
      <c r="F13" s="1130"/>
      <c r="G13" s="1130"/>
      <c r="H13" s="1130"/>
      <c r="I13" s="1130"/>
      <c r="J13" s="1130"/>
      <c r="K13" s="1130"/>
      <c r="L13" s="1130"/>
      <c r="M13" s="1130"/>
      <c r="N13" s="1130"/>
      <c r="O13" s="1130"/>
      <c r="P13" s="1130"/>
      <c r="Q13" s="1130"/>
      <c r="R13" s="1106"/>
      <c r="S13" s="426"/>
      <c r="T13" s="418"/>
      <c r="U13" s="418"/>
      <c r="V13" s="427"/>
      <c r="W13" s="299"/>
      <c r="X13" s="299"/>
      <c r="Y13" s="299"/>
      <c r="Z13" s="299"/>
      <c r="AA13" s="299"/>
      <c r="AB13" s="299"/>
      <c r="AC13" s="299"/>
      <c r="AD13" s="7"/>
      <c r="AE13" s="7"/>
      <c r="AF13" s="7"/>
      <c r="AG13" s="39"/>
      <c r="AH13" s="39"/>
      <c r="AI13" s="39"/>
      <c r="AJ13" s="39"/>
      <c r="AK13" s="39"/>
      <c r="AL13" s="39"/>
      <c r="AM13" s="39"/>
      <c r="AN13" s="39"/>
      <c r="AO13" s="39"/>
      <c r="AP13" s="39"/>
      <c r="AQ13" s="39"/>
      <c r="AR13" s="39"/>
      <c r="AS13" s="39"/>
      <c r="AT13" s="39"/>
      <c r="AU13" s="39"/>
      <c r="AV13" s="39"/>
      <c r="AW13" s="39"/>
      <c r="AX13" s="7"/>
      <c r="AY13" s="7"/>
      <c r="AZ13" s="7"/>
      <c r="BA13" s="7"/>
      <c r="BB13" s="7"/>
      <c r="BC13" s="39"/>
      <c r="BD13" s="39"/>
      <c r="BE13" s="39"/>
      <c r="BF13" s="39"/>
      <c r="BG13" s="39"/>
      <c r="BH13" s="39"/>
      <c r="BI13" s="39"/>
      <c r="BJ13" s="39"/>
      <c r="BK13" s="39"/>
      <c r="BL13" s="39"/>
      <c r="BM13" s="39"/>
      <c r="BN13" s="39"/>
      <c r="BO13" s="39"/>
    </row>
    <row r="14" spans="2:67" s="77" customFormat="1" ht="12.75" customHeight="1" x14ac:dyDescent="0.2">
      <c r="B14" s="406"/>
      <c r="C14" s="407"/>
      <c r="D14" s="1126"/>
      <c r="E14" s="1440" t="s">
        <v>824</v>
      </c>
      <c r="F14" s="1441"/>
      <c r="G14" s="1131"/>
      <c r="H14" s="397"/>
      <c r="I14" s="1071"/>
      <c r="J14" s="1131"/>
      <c r="K14" s="1448" t="s">
        <v>825</v>
      </c>
      <c r="L14" s="1449"/>
      <c r="M14" s="1449"/>
      <c r="N14" s="397"/>
      <c r="O14" s="1071"/>
      <c r="P14" s="1133" t="str">
        <f>IF(V22=SANDBOX!$D$1091,"&lt; FALTA MES DE INGRESO de la subvención","")</f>
        <v/>
      </c>
      <c r="Q14" s="1131"/>
      <c r="R14" s="1102"/>
      <c r="S14" s="428"/>
      <c r="T14" s="301"/>
      <c r="U14" s="301"/>
      <c r="V14" s="429"/>
      <c r="W14" s="300"/>
      <c r="X14" s="300"/>
      <c r="Y14" s="300"/>
      <c r="Z14" s="301"/>
      <c r="AA14" s="301"/>
      <c r="AB14" s="301"/>
      <c r="AC14" s="300"/>
      <c r="AD14" s="430"/>
      <c r="AE14" s="430"/>
      <c r="AF14" s="430"/>
      <c r="AG14" s="301"/>
      <c r="AH14" s="301"/>
      <c r="AI14" s="301"/>
      <c r="AJ14" s="301"/>
      <c r="AK14" s="301"/>
      <c r="AL14" s="301"/>
      <c r="AM14" s="301"/>
      <c r="AN14" s="301"/>
      <c r="AO14" s="301"/>
      <c r="AP14" s="301"/>
      <c r="AQ14" s="301"/>
      <c r="AR14" s="301"/>
      <c r="AS14" s="301"/>
      <c r="AT14" s="301"/>
      <c r="AU14" s="301"/>
      <c r="AV14" s="301"/>
      <c r="AW14" s="301"/>
      <c r="AX14" s="430"/>
      <c r="AY14" s="430"/>
      <c r="AZ14" s="430"/>
      <c r="BA14" s="430"/>
      <c r="BB14" s="430"/>
      <c r="BC14" s="301"/>
      <c r="BD14" s="301"/>
      <c r="BE14" s="301"/>
      <c r="BF14" s="301"/>
      <c r="BG14" s="301"/>
      <c r="BH14" s="301"/>
      <c r="BI14" s="301"/>
      <c r="BJ14" s="301"/>
      <c r="BK14" s="301"/>
      <c r="BL14" s="301"/>
      <c r="BM14" s="301"/>
      <c r="BN14" s="301"/>
      <c r="BO14" s="301"/>
    </row>
    <row r="15" spans="2:67" s="78" customFormat="1" ht="12" customHeight="1" x14ac:dyDescent="0.2">
      <c r="B15" s="408"/>
      <c r="C15" s="409"/>
      <c r="D15" s="1109"/>
      <c r="E15" s="182"/>
      <c r="F15" s="182"/>
      <c r="G15" s="182"/>
      <c r="H15" s="182"/>
      <c r="I15" s="1134" t="str">
        <f>$W$21</f>
        <v/>
      </c>
      <c r="J15" s="182"/>
      <c r="K15" s="182"/>
      <c r="L15" s="182"/>
      <c r="M15" s="182"/>
      <c r="N15" s="182"/>
      <c r="O15" s="182"/>
      <c r="P15" s="182"/>
      <c r="Q15" s="182"/>
      <c r="R15" s="1104"/>
      <c r="S15" s="431"/>
      <c r="T15" s="304"/>
      <c r="U15" s="432"/>
      <c r="V15" s="433"/>
      <c r="W15" s="303"/>
      <c r="X15" s="303"/>
      <c r="Y15" s="303"/>
      <c r="Z15" s="304"/>
      <c r="AA15" s="304"/>
      <c r="AB15" s="304"/>
      <c r="AC15" s="303"/>
      <c r="AD15" s="434"/>
      <c r="AE15" s="434"/>
      <c r="AF15" s="434"/>
      <c r="AG15" s="304"/>
      <c r="AH15" s="304"/>
      <c r="AI15" s="304"/>
      <c r="AJ15" s="304"/>
      <c r="AK15" s="304"/>
      <c r="AL15" s="304"/>
      <c r="AM15" s="304"/>
      <c r="AN15" s="304"/>
      <c r="AO15" s="304"/>
      <c r="AP15" s="304"/>
      <c r="AQ15" s="304"/>
      <c r="AR15" s="304"/>
      <c r="AS15" s="304"/>
      <c r="AT15" s="304"/>
      <c r="AU15" s="304"/>
      <c r="AV15" s="304"/>
      <c r="AW15" s="304"/>
      <c r="AX15" s="434"/>
      <c r="AY15" s="434"/>
      <c r="AZ15" s="434"/>
      <c r="BA15" s="434"/>
      <c r="BB15" s="434"/>
      <c r="BC15" s="304"/>
      <c r="BD15" s="304"/>
      <c r="BE15" s="304"/>
      <c r="BF15" s="304"/>
      <c r="BG15" s="304"/>
      <c r="BH15" s="304"/>
      <c r="BI15" s="304"/>
      <c r="BJ15" s="304"/>
      <c r="BK15" s="304"/>
      <c r="BL15" s="304"/>
      <c r="BM15" s="304"/>
      <c r="BN15" s="304"/>
      <c r="BO15" s="304"/>
    </row>
    <row r="16" spans="2:67" s="78" customFormat="1" ht="5.0999999999999996" customHeight="1" thickBot="1" x14ac:dyDescent="0.25">
      <c r="B16" s="408"/>
      <c r="C16" s="409"/>
      <c r="D16" s="1109"/>
      <c r="E16" s="182"/>
      <c r="F16" s="182"/>
      <c r="G16" s="182"/>
      <c r="H16" s="182"/>
      <c r="I16" s="182"/>
      <c r="J16" s="182"/>
      <c r="K16" s="182"/>
      <c r="L16" s="182"/>
      <c r="M16" s="182"/>
      <c r="N16" s="182"/>
      <c r="O16" s="182"/>
      <c r="P16" s="182"/>
      <c r="Q16" s="182"/>
      <c r="R16" s="1104"/>
      <c r="S16" s="431"/>
      <c r="T16" s="435"/>
      <c r="U16" s="432"/>
      <c r="V16" s="433"/>
      <c r="W16" s="303"/>
      <c r="X16" s="303"/>
      <c r="Y16" s="303"/>
      <c r="Z16" s="303"/>
      <c r="AA16" s="303"/>
      <c r="AB16" s="303"/>
      <c r="AC16" s="303"/>
      <c r="AD16" s="434"/>
      <c r="AE16" s="434"/>
      <c r="AF16" s="434"/>
      <c r="AG16" s="304"/>
      <c r="AH16" s="304"/>
      <c r="AI16" s="304"/>
      <c r="AJ16" s="304"/>
      <c r="AK16" s="304"/>
      <c r="AL16" s="304"/>
      <c r="AM16" s="304"/>
      <c r="AN16" s="304"/>
      <c r="AO16" s="304"/>
      <c r="AP16" s="304"/>
      <c r="AQ16" s="304"/>
      <c r="AR16" s="304"/>
      <c r="AS16" s="304"/>
      <c r="AT16" s="304"/>
      <c r="AU16" s="304"/>
      <c r="AV16" s="304"/>
      <c r="AW16" s="304"/>
      <c r="AX16" s="434"/>
      <c r="AY16" s="434"/>
      <c r="AZ16" s="434"/>
      <c r="BA16" s="434"/>
      <c r="BB16" s="434"/>
      <c r="BC16" s="304"/>
      <c r="BD16" s="304"/>
      <c r="BE16" s="304"/>
      <c r="BF16" s="304"/>
      <c r="BG16" s="304"/>
      <c r="BH16" s="304"/>
      <c r="BI16" s="304"/>
      <c r="BJ16" s="304"/>
      <c r="BK16" s="304"/>
      <c r="BL16" s="304"/>
      <c r="BM16" s="304"/>
      <c r="BN16" s="304"/>
      <c r="BO16" s="304"/>
    </row>
    <row r="17" spans="2:67" s="78" customFormat="1" ht="13.5" customHeight="1" thickBot="1" x14ac:dyDescent="0.25">
      <c r="B17" s="408"/>
      <c r="C17" s="409"/>
      <c r="D17" s="1109"/>
      <c r="E17" s="398" t="s">
        <v>655</v>
      </c>
      <c r="F17" s="399"/>
      <c r="G17" s="399"/>
      <c r="H17" s="399"/>
      <c r="I17" s="399"/>
      <c r="J17" s="399"/>
      <c r="K17" s="399"/>
      <c r="L17" s="399"/>
      <c r="M17" s="400" t="s">
        <v>652</v>
      </c>
      <c r="N17" s="1446">
        <f>H22+H23+H28+H29+H30+H35+H36</f>
        <v>0</v>
      </c>
      <c r="O17" s="1447"/>
      <c r="P17" s="401" t="str">
        <f>IF(N10=0,"",N17/N10)</f>
        <v/>
      </c>
      <c r="Q17" s="182"/>
      <c r="R17" s="1104"/>
      <c r="S17" s="431"/>
      <c r="T17" s="436"/>
      <c r="U17" s="436"/>
      <c r="V17" s="433"/>
      <c r="W17" s="303"/>
      <c r="X17" s="303"/>
      <c r="Y17" s="303"/>
      <c r="Z17" s="303"/>
      <c r="AA17" s="303"/>
      <c r="AB17" s="303"/>
      <c r="AC17" s="303"/>
      <c r="AD17" s="434"/>
      <c r="AE17" s="434"/>
      <c r="AF17" s="434"/>
      <c r="AG17" s="304"/>
      <c r="AH17" s="304"/>
      <c r="AI17" s="304"/>
      <c r="AJ17" s="304"/>
      <c r="AK17" s="304"/>
      <c r="AL17" s="304"/>
      <c r="AM17" s="304"/>
      <c r="AN17" s="304"/>
      <c r="AO17" s="304"/>
      <c r="AP17" s="304"/>
      <c r="AQ17" s="304"/>
      <c r="AR17" s="304"/>
      <c r="AS17" s="304"/>
      <c r="AT17" s="304"/>
      <c r="AU17" s="304"/>
      <c r="AV17" s="304"/>
      <c r="AW17" s="304"/>
      <c r="AX17" s="434"/>
      <c r="AY17" s="434"/>
      <c r="AZ17" s="434"/>
      <c r="BA17" s="434"/>
      <c r="BB17" s="434"/>
      <c r="BC17" s="304"/>
      <c r="BD17" s="304"/>
      <c r="BE17" s="304"/>
      <c r="BF17" s="304"/>
      <c r="BG17" s="304"/>
      <c r="BH17" s="304"/>
      <c r="BI17" s="304"/>
      <c r="BJ17" s="304"/>
      <c r="BK17" s="304"/>
      <c r="BL17" s="304"/>
      <c r="BM17" s="304"/>
      <c r="BN17" s="304"/>
      <c r="BO17" s="304"/>
    </row>
    <row r="18" spans="2:67" s="78" customFormat="1" ht="9.9499999999999993" customHeight="1" x14ac:dyDescent="0.2">
      <c r="B18" s="408"/>
      <c r="C18" s="409"/>
      <c r="D18" s="1109"/>
      <c r="E18" s="182"/>
      <c r="F18" s="182"/>
      <c r="G18" s="182"/>
      <c r="H18" s="182"/>
      <c r="I18" s="182"/>
      <c r="J18" s="182"/>
      <c r="K18" s="182"/>
      <c r="L18" s="182"/>
      <c r="M18" s="182"/>
      <c r="N18" s="182"/>
      <c r="O18" s="182"/>
      <c r="P18" s="182"/>
      <c r="Q18" s="182"/>
      <c r="R18" s="1104"/>
      <c r="S18" s="431"/>
      <c r="T18" s="436"/>
      <c r="U18" s="436"/>
      <c r="V18" s="433"/>
      <c r="W18" s="303"/>
      <c r="X18" s="303"/>
      <c r="Y18" s="303"/>
      <c r="Z18" s="303"/>
      <c r="AA18" s="303"/>
      <c r="AB18" s="303"/>
      <c r="AC18" s="303"/>
      <c r="AD18" s="434"/>
      <c r="AE18" s="434"/>
      <c r="AF18" s="434"/>
      <c r="AG18" s="304"/>
      <c r="AH18" s="304"/>
      <c r="AI18" s="304"/>
      <c r="AJ18" s="304"/>
      <c r="AK18" s="304"/>
      <c r="AL18" s="304"/>
      <c r="AM18" s="304"/>
      <c r="AN18" s="304"/>
      <c r="AO18" s="304"/>
      <c r="AP18" s="304"/>
      <c r="AQ18" s="304"/>
      <c r="AR18" s="304"/>
      <c r="AS18" s="304"/>
      <c r="AT18" s="304"/>
      <c r="AU18" s="304"/>
      <c r="AV18" s="304"/>
      <c r="AW18" s="304"/>
      <c r="AX18" s="434"/>
      <c r="AY18" s="434"/>
      <c r="AZ18" s="434"/>
      <c r="BA18" s="434"/>
      <c r="BB18" s="434"/>
      <c r="BC18" s="304"/>
      <c r="BD18" s="304"/>
      <c r="BE18" s="304"/>
      <c r="BF18" s="304"/>
      <c r="BG18" s="304"/>
      <c r="BH18" s="304"/>
      <c r="BI18" s="304"/>
      <c r="BJ18" s="304"/>
      <c r="BK18" s="304"/>
      <c r="BL18" s="304"/>
      <c r="BM18" s="304"/>
      <c r="BN18" s="304"/>
      <c r="BO18" s="304"/>
    </row>
    <row r="19" spans="2:67" s="78" customFormat="1" ht="12" x14ac:dyDescent="0.2">
      <c r="B19" s="408"/>
      <c r="C19" s="409"/>
      <c r="D19" s="1109"/>
      <c r="E19" s="1430" t="s">
        <v>1091</v>
      </c>
      <c r="F19" s="1431"/>
      <c r="G19" s="1431"/>
      <c r="H19" s="1431"/>
      <c r="I19" s="1431"/>
      <c r="J19" s="1431"/>
      <c r="K19" s="1431"/>
      <c r="L19" s="1431"/>
      <c r="M19" s="1432"/>
      <c r="N19" s="182"/>
      <c r="O19" s="182"/>
      <c r="P19" s="182"/>
      <c r="Q19" s="182"/>
      <c r="R19" s="1104"/>
      <c r="S19" s="431"/>
      <c r="T19" s="436"/>
      <c r="U19" s="436"/>
      <c r="V19" s="433"/>
      <c r="W19" s="303"/>
      <c r="X19" s="303"/>
      <c r="Y19" s="303"/>
      <c r="Z19" s="303"/>
      <c r="AA19" s="303"/>
      <c r="AB19" s="303"/>
      <c r="AC19" s="303"/>
      <c r="AD19" s="434"/>
      <c r="AE19" s="434"/>
      <c r="AF19" s="434"/>
      <c r="AG19" s="304"/>
      <c r="AH19" s="304"/>
      <c r="AI19" s="304"/>
      <c r="AJ19" s="304"/>
      <c r="AK19" s="304"/>
      <c r="AL19" s="304"/>
      <c r="AM19" s="304"/>
      <c r="AN19" s="304"/>
      <c r="AO19" s="304"/>
      <c r="AP19" s="304"/>
      <c r="AQ19" s="304"/>
      <c r="AR19" s="304"/>
      <c r="AS19" s="304"/>
      <c r="AT19" s="304"/>
      <c r="AU19" s="304"/>
      <c r="AV19" s="304"/>
      <c r="AW19" s="304"/>
      <c r="AX19" s="434"/>
      <c r="AY19" s="434"/>
      <c r="AZ19" s="434"/>
      <c r="BA19" s="434"/>
      <c r="BB19" s="434"/>
      <c r="BC19" s="304"/>
      <c r="BD19" s="304"/>
      <c r="BE19" s="304"/>
      <c r="BF19" s="304"/>
      <c r="BG19" s="304"/>
      <c r="BH19" s="304"/>
      <c r="BI19" s="304"/>
      <c r="BJ19" s="304"/>
      <c r="BK19" s="304"/>
      <c r="BL19" s="304"/>
      <c r="BM19" s="304"/>
      <c r="BN19" s="304"/>
      <c r="BO19" s="304"/>
    </row>
    <row r="20" spans="2:67" s="78" customFormat="1" ht="2.1" customHeight="1" x14ac:dyDescent="0.2">
      <c r="B20" s="408"/>
      <c r="C20" s="409"/>
      <c r="D20" s="1109"/>
      <c r="E20" s="182"/>
      <c r="F20" s="182"/>
      <c r="G20" s="182"/>
      <c r="H20" s="182"/>
      <c r="I20" s="182"/>
      <c r="J20" s="182"/>
      <c r="K20" s="182"/>
      <c r="L20" s="182"/>
      <c r="M20" s="182"/>
      <c r="N20" s="182"/>
      <c r="O20" s="182"/>
      <c r="P20" s="182"/>
      <c r="Q20" s="182"/>
      <c r="R20" s="1104"/>
      <c r="S20" s="431"/>
      <c r="T20" s="436"/>
      <c r="U20" s="436"/>
      <c r="V20" s="433"/>
      <c r="W20" s="303"/>
      <c r="X20" s="303"/>
      <c r="Y20" s="303"/>
      <c r="Z20" s="303"/>
      <c r="AA20" s="303"/>
      <c r="AB20" s="303"/>
      <c r="AC20" s="303"/>
      <c r="AD20" s="434"/>
      <c r="AE20" s="434"/>
      <c r="AF20" s="434"/>
      <c r="AG20" s="304"/>
      <c r="AH20" s="304"/>
      <c r="AI20" s="304"/>
      <c r="AJ20" s="304"/>
      <c r="AK20" s="304"/>
      <c r="AL20" s="304"/>
      <c r="AM20" s="304"/>
      <c r="AN20" s="304"/>
      <c r="AO20" s="304"/>
      <c r="AP20" s="304"/>
      <c r="AQ20" s="304"/>
      <c r="AR20" s="304"/>
      <c r="AS20" s="304"/>
      <c r="AT20" s="304"/>
      <c r="AU20" s="304"/>
      <c r="AV20" s="304"/>
      <c r="AW20" s="304"/>
      <c r="AX20" s="434"/>
      <c r="AY20" s="434"/>
      <c r="AZ20" s="434"/>
      <c r="BA20" s="434"/>
      <c r="BB20" s="434"/>
      <c r="BC20" s="304"/>
      <c r="BD20" s="304"/>
      <c r="BE20" s="304"/>
      <c r="BF20" s="304"/>
      <c r="BG20" s="304"/>
      <c r="BH20" s="304"/>
      <c r="BI20" s="304"/>
      <c r="BJ20" s="304"/>
      <c r="BK20" s="304"/>
      <c r="BL20" s="304"/>
      <c r="BM20" s="304"/>
      <c r="BN20" s="304"/>
      <c r="BO20" s="304"/>
    </row>
    <row r="21" spans="2:67" s="78" customFormat="1" ht="11.25" x14ac:dyDescent="0.2">
      <c r="B21" s="408"/>
      <c r="C21" s="409"/>
      <c r="D21" s="1109"/>
      <c r="E21" s="1433" t="s">
        <v>1452</v>
      </c>
      <c r="F21" s="1434"/>
      <c r="G21" s="1103"/>
      <c r="H21" s="456" t="s">
        <v>1453</v>
      </c>
      <c r="I21" s="457" t="s">
        <v>1435</v>
      </c>
      <c r="J21" s="457" t="s">
        <v>236</v>
      </c>
      <c r="K21" s="457" t="s">
        <v>1443</v>
      </c>
      <c r="L21" s="457" t="s">
        <v>1437</v>
      </c>
      <c r="M21" s="458" t="s">
        <v>21</v>
      </c>
      <c r="N21" s="182"/>
      <c r="O21" s="182"/>
      <c r="P21" s="182"/>
      <c r="Q21" s="182"/>
      <c r="R21" s="1104"/>
      <c r="S21" s="431"/>
      <c r="T21" s="392"/>
      <c r="U21" s="437"/>
      <c r="V21" s="438" t="str">
        <f>IF(H14=0,"",IF(I14=0,SANDBOX!$D$1091,""))</f>
        <v/>
      </c>
      <c r="W21" s="439" t="str">
        <f>IF(V21=SANDBOX!$D$1091,"INDICAR MES. Dato IMPRESCINDIBLE","")</f>
        <v/>
      </c>
      <c r="X21" s="303"/>
      <c r="Y21" s="303"/>
      <c r="Z21" s="303"/>
      <c r="AA21" s="303"/>
      <c r="AB21" s="303"/>
      <c r="AC21" s="303"/>
      <c r="AD21" s="434"/>
      <c r="AE21" s="434"/>
      <c r="AF21" s="434"/>
      <c r="AG21" s="304"/>
      <c r="AH21" s="304"/>
      <c r="AI21" s="304"/>
      <c r="AJ21" s="304"/>
      <c r="AK21" s="304"/>
      <c r="AL21" s="304"/>
      <c r="AM21" s="304"/>
      <c r="AN21" s="304"/>
      <c r="AO21" s="304"/>
      <c r="AP21" s="304"/>
      <c r="AQ21" s="304"/>
      <c r="AR21" s="304"/>
      <c r="AS21" s="304"/>
      <c r="AT21" s="304"/>
      <c r="AU21" s="304"/>
      <c r="AV21" s="304"/>
      <c r="AW21" s="304"/>
      <c r="AX21" s="434"/>
      <c r="AY21" s="434"/>
      <c r="AZ21" s="434"/>
      <c r="BA21" s="434"/>
      <c r="BB21" s="434"/>
      <c r="BC21" s="304"/>
      <c r="BD21" s="304"/>
      <c r="BE21" s="304"/>
      <c r="BF21" s="304"/>
      <c r="BG21" s="304"/>
      <c r="BH21" s="304"/>
      <c r="BI21" s="304"/>
      <c r="BJ21" s="304"/>
      <c r="BK21" s="304"/>
      <c r="BL21" s="304"/>
      <c r="BM21" s="304"/>
      <c r="BN21" s="304"/>
      <c r="BO21" s="304"/>
    </row>
    <row r="22" spans="2:67" s="78" customFormat="1" ht="11.25" x14ac:dyDescent="0.2">
      <c r="B22" s="408"/>
      <c r="C22" s="409"/>
      <c r="D22" s="1109"/>
      <c r="E22" s="1435"/>
      <c r="F22" s="1436"/>
      <c r="G22" s="1103"/>
      <c r="H22" s="459"/>
      <c r="I22" s="452"/>
      <c r="J22" s="453"/>
      <c r="K22" s="452"/>
      <c r="L22" s="454"/>
      <c r="M22" s="460"/>
      <c r="N22" s="1135" t="str">
        <f>IF(T22=0,"",SANDBOX!$D$1091)</f>
        <v/>
      </c>
      <c r="O22" s="1136" t="str">
        <f>IF(N22="","","ALGÚN DATO importante para el cálculo")</f>
        <v/>
      </c>
      <c r="P22" s="182"/>
      <c r="Q22" s="182"/>
      <c r="R22" s="1104"/>
      <c r="S22" s="431"/>
      <c r="T22" s="393">
        <f>IF(H22=0,0,IF(I22=0,1,IF(J22=0,1,IF(K22=0,1,0))))</f>
        <v>0</v>
      </c>
      <c r="U22" s="440"/>
      <c r="V22" s="441" t="str">
        <f>IF(N14=0,"",IF(O14=0,SANDBOX!$D$1091,""))</f>
        <v/>
      </c>
      <c r="W22" s="442"/>
      <c r="X22" s="303"/>
      <c r="Y22" s="303"/>
      <c r="Z22" s="303"/>
      <c r="AA22" s="303"/>
      <c r="AB22" s="303"/>
      <c r="AC22" s="303"/>
      <c r="AD22" s="434"/>
      <c r="AE22" s="434"/>
      <c r="AF22" s="434"/>
      <c r="AG22" s="304"/>
      <c r="AH22" s="304"/>
      <c r="AI22" s="304"/>
      <c r="AJ22" s="304"/>
      <c r="AK22" s="304"/>
      <c r="AL22" s="304"/>
      <c r="AM22" s="304"/>
      <c r="AN22" s="304"/>
      <c r="AO22" s="304"/>
      <c r="AP22" s="304"/>
      <c r="AQ22" s="304"/>
      <c r="AR22" s="304"/>
      <c r="AS22" s="304"/>
      <c r="AT22" s="304"/>
      <c r="AU22" s="304"/>
      <c r="AV22" s="304"/>
      <c r="AW22" s="304"/>
      <c r="AX22" s="434"/>
      <c r="AY22" s="434"/>
      <c r="AZ22" s="434"/>
      <c r="BA22" s="434"/>
      <c r="BB22" s="434"/>
      <c r="BC22" s="304"/>
      <c r="BD22" s="304"/>
      <c r="BE22" s="304"/>
      <c r="BF22" s="304"/>
      <c r="BG22" s="304"/>
      <c r="BH22" s="304"/>
      <c r="BI22" s="304"/>
      <c r="BJ22" s="304"/>
      <c r="BK22" s="304"/>
      <c r="BL22" s="304"/>
      <c r="BM22" s="304"/>
      <c r="BN22" s="304"/>
      <c r="BO22" s="304"/>
    </row>
    <row r="23" spans="2:67" s="78" customFormat="1" ht="11.25" x14ac:dyDescent="0.2">
      <c r="B23" s="408"/>
      <c r="C23" s="409"/>
      <c r="D23" s="1109"/>
      <c r="E23" s="1428"/>
      <c r="F23" s="1429"/>
      <c r="G23" s="1103"/>
      <c r="H23" s="461"/>
      <c r="I23" s="462"/>
      <c r="J23" s="463"/>
      <c r="K23" s="462"/>
      <c r="L23" s="464"/>
      <c r="M23" s="465"/>
      <c r="N23" s="1135" t="str">
        <f>IF(T23=0,"",SANDBOX!$D$1091)</f>
        <v/>
      </c>
      <c r="O23" s="1136" t="str">
        <f>IF(N23="","","ALGÚN DATO importante para el cálculo")</f>
        <v/>
      </c>
      <c r="P23" s="182"/>
      <c r="Q23" s="182"/>
      <c r="R23" s="1104"/>
      <c r="S23" s="431"/>
      <c r="T23" s="393">
        <f>IF(H23=0,0,IF(I23=0,1,IF(J23=0,1,IF(K23=0,1,0))))</f>
        <v>0</v>
      </c>
      <c r="U23" s="436"/>
      <c r="V23" s="433"/>
      <c r="W23" s="303"/>
      <c r="X23" s="303"/>
      <c r="Y23" s="303"/>
      <c r="Z23" s="303"/>
      <c r="AA23" s="303"/>
      <c r="AB23" s="303"/>
      <c r="AC23" s="303"/>
      <c r="AD23" s="434"/>
      <c r="AE23" s="434"/>
      <c r="AF23" s="434"/>
      <c r="AG23" s="304"/>
      <c r="AH23" s="304"/>
      <c r="AI23" s="304"/>
      <c r="AJ23" s="304"/>
      <c r="AK23" s="304"/>
      <c r="AL23" s="304"/>
      <c r="AM23" s="304"/>
      <c r="AN23" s="304"/>
      <c r="AO23" s="304"/>
      <c r="AP23" s="304"/>
      <c r="AQ23" s="304"/>
      <c r="AR23" s="304"/>
      <c r="AS23" s="304"/>
      <c r="AT23" s="304"/>
      <c r="AU23" s="304"/>
      <c r="AV23" s="304"/>
      <c r="AW23" s="304"/>
      <c r="AX23" s="434"/>
      <c r="AY23" s="434"/>
      <c r="AZ23" s="434"/>
      <c r="BA23" s="434"/>
      <c r="BB23" s="434"/>
      <c r="BC23" s="304"/>
      <c r="BD23" s="304"/>
      <c r="BE23" s="304"/>
      <c r="BF23" s="304"/>
      <c r="BG23" s="304"/>
      <c r="BH23" s="304"/>
      <c r="BI23" s="304"/>
      <c r="BJ23" s="304"/>
      <c r="BK23" s="304"/>
      <c r="BL23" s="304"/>
      <c r="BM23" s="304"/>
      <c r="BN23" s="304"/>
      <c r="BO23" s="304"/>
    </row>
    <row r="24" spans="2:67" s="78" customFormat="1" ht="9.9499999999999993" customHeight="1" x14ac:dyDescent="0.2">
      <c r="B24" s="408"/>
      <c r="C24" s="409"/>
      <c r="D24" s="1109"/>
      <c r="E24" s="1114"/>
      <c r="F24" s="1114"/>
      <c r="G24" s="1114"/>
      <c r="H24" s="1114"/>
      <c r="I24" s="1114"/>
      <c r="J24" s="1114"/>
      <c r="K24" s="1114"/>
      <c r="L24" s="1114"/>
      <c r="M24" s="1114"/>
      <c r="N24" s="1114"/>
      <c r="O24" s="182"/>
      <c r="P24" s="182"/>
      <c r="Q24" s="182"/>
      <c r="R24" s="1104"/>
      <c r="S24" s="431"/>
      <c r="T24" s="393"/>
      <c r="U24" s="436"/>
      <c r="V24" s="433"/>
      <c r="W24" s="303"/>
      <c r="X24" s="303"/>
      <c r="Y24" s="303"/>
      <c r="Z24" s="303"/>
      <c r="AA24" s="303"/>
      <c r="AB24" s="303"/>
      <c r="AC24" s="303"/>
      <c r="AD24" s="434"/>
      <c r="AE24" s="434"/>
      <c r="AF24" s="434"/>
      <c r="AG24" s="304"/>
      <c r="AH24" s="304"/>
      <c r="AI24" s="304"/>
      <c r="AJ24" s="304"/>
      <c r="AK24" s="304"/>
      <c r="AL24" s="304"/>
      <c r="AM24" s="304"/>
      <c r="AN24" s="304"/>
      <c r="AO24" s="304"/>
      <c r="AP24" s="304"/>
      <c r="AQ24" s="304"/>
      <c r="AR24" s="304"/>
      <c r="AS24" s="304"/>
      <c r="AT24" s="304"/>
      <c r="AU24" s="304"/>
      <c r="AV24" s="304"/>
      <c r="AW24" s="304"/>
      <c r="AX24" s="434"/>
      <c r="AY24" s="434"/>
      <c r="AZ24" s="434"/>
      <c r="BA24" s="434"/>
      <c r="BB24" s="434"/>
      <c r="BC24" s="304"/>
      <c r="BD24" s="304"/>
      <c r="BE24" s="304"/>
      <c r="BF24" s="304"/>
      <c r="BG24" s="304"/>
      <c r="BH24" s="304"/>
      <c r="BI24" s="304"/>
      <c r="BJ24" s="304"/>
      <c r="BK24" s="304"/>
      <c r="BL24" s="304"/>
      <c r="BM24" s="304"/>
      <c r="BN24" s="304"/>
      <c r="BO24" s="304"/>
    </row>
    <row r="25" spans="2:67" s="78" customFormat="1" ht="12" x14ac:dyDescent="0.2">
      <c r="B25" s="408"/>
      <c r="C25" s="409"/>
      <c r="D25" s="1109"/>
      <c r="E25" s="1430" t="s">
        <v>1095</v>
      </c>
      <c r="F25" s="1431"/>
      <c r="G25" s="1431"/>
      <c r="H25" s="1431"/>
      <c r="I25" s="1431"/>
      <c r="J25" s="1431"/>
      <c r="K25" s="1431"/>
      <c r="L25" s="1431"/>
      <c r="M25" s="1432"/>
      <c r="N25" s="1114"/>
      <c r="O25" s="182"/>
      <c r="P25" s="182"/>
      <c r="Q25" s="182"/>
      <c r="R25" s="1104"/>
      <c r="S25" s="431"/>
      <c r="T25" s="393"/>
      <c r="U25" s="436"/>
      <c r="V25" s="433"/>
      <c r="W25" s="303"/>
      <c r="X25" s="303"/>
      <c r="Y25" s="303"/>
      <c r="Z25" s="303"/>
      <c r="AA25" s="303"/>
      <c r="AB25" s="303"/>
      <c r="AC25" s="303"/>
      <c r="AD25" s="434"/>
      <c r="AE25" s="434"/>
      <c r="AF25" s="434"/>
      <c r="AG25" s="304"/>
      <c r="AH25" s="304"/>
      <c r="AI25" s="304"/>
      <c r="AJ25" s="304"/>
      <c r="AK25" s="304"/>
      <c r="AL25" s="304"/>
      <c r="AM25" s="304"/>
      <c r="AN25" s="304"/>
      <c r="AO25" s="304"/>
      <c r="AP25" s="304"/>
      <c r="AQ25" s="304"/>
      <c r="AR25" s="304"/>
      <c r="AS25" s="304"/>
      <c r="AT25" s="304"/>
      <c r="AU25" s="304"/>
      <c r="AV25" s="304"/>
      <c r="AW25" s="304"/>
      <c r="AX25" s="434"/>
      <c r="AY25" s="434"/>
      <c r="AZ25" s="434"/>
      <c r="BA25" s="434"/>
      <c r="BB25" s="434"/>
      <c r="BC25" s="304"/>
      <c r="BD25" s="304"/>
      <c r="BE25" s="304"/>
      <c r="BF25" s="304"/>
      <c r="BG25" s="304"/>
      <c r="BH25" s="304"/>
      <c r="BI25" s="304"/>
      <c r="BJ25" s="304"/>
      <c r="BK25" s="304"/>
      <c r="BL25" s="304"/>
      <c r="BM25" s="304"/>
      <c r="BN25" s="304"/>
      <c r="BO25" s="304"/>
    </row>
    <row r="26" spans="2:67" s="78" customFormat="1" ht="2.1" customHeight="1" x14ac:dyDescent="0.2">
      <c r="B26" s="408"/>
      <c r="C26" s="409"/>
      <c r="D26" s="1109"/>
      <c r="E26" s="1114"/>
      <c r="F26" s="1114"/>
      <c r="G26" s="1114"/>
      <c r="H26" s="1114"/>
      <c r="I26" s="1114"/>
      <c r="J26" s="1114"/>
      <c r="K26" s="1114"/>
      <c r="L26" s="1114"/>
      <c r="M26" s="1114"/>
      <c r="N26" s="1114"/>
      <c r="O26" s="182"/>
      <c r="P26" s="182"/>
      <c r="Q26" s="182"/>
      <c r="R26" s="1104"/>
      <c r="S26" s="431"/>
      <c r="T26" s="393"/>
      <c r="U26" s="436"/>
      <c r="V26" s="433"/>
      <c r="W26" s="303"/>
      <c r="X26" s="303"/>
      <c r="Y26" s="303"/>
      <c r="Z26" s="303"/>
      <c r="AA26" s="303"/>
      <c r="AB26" s="303"/>
      <c r="AC26" s="303"/>
      <c r="AD26" s="434"/>
      <c r="AE26" s="434"/>
      <c r="AF26" s="434"/>
      <c r="AG26" s="304"/>
      <c r="AH26" s="304"/>
      <c r="AI26" s="304"/>
      <c r="AJ26" s="304"/>
      <c r="AK26" s="304"/>
      <c r="AL26" s="304"/>
      <c r="AM26" s="304"/>
      <c r="AN26" s="304"/>
      <c r="AO26" s="304"/>
      <c r="AP26" s="304"/>
      <c r="AQ26" s="304"/>
      <c r="AR26" s="304"/>
      <c r="AS26" s="304"/>
      <c r="AT26" s="304"/>
      <c r="AU26" s="304"/>
      <c r="AV26" s="304"/>
      <c r="AW26" s="304"/>
      <c r="AX26" s="434"/>
      <c r="AY26" s="434"/>
      <c r="AZ26" s="434"/>
      <c r="BA26" s="434"/>
      <c r="BB26" s="434"/>
      <c r="BC26" s="304"/>
      <c r="BD26" s="304"/>
      <c r="BE26" s="304"/>
      <c r="BF26" s="304"/>
      <c r="BG26" s="304"/>
      <c r="BH26" s="304"/>
      <c r="BI26" s="304"/>
      <c r="BJ26" s="304"/>
      <c r="BK26" s="304"/>
      <c r="BL26" s="304"/>
      <c r="BM26" s="304"/>
      <c r="BN26" s="304"/>
      <c r="BO26" s="304"/>
    </row>
    <row r="27" spans="2:67" s="78" customFormat="1" ht="11.25" x14ac:dyDescent="0.2">
      <c r="B27" s="408"/>
      <c r="C27" s="409"/>
      <c r="D27" s="1109"/>
      <c r="E27" s="1424" t="s">
        <v>1452</v>
      </c>
      <c r="F27" s="1425"/>
      <c r="G27" s="1103"/>
      <c r="H27" s="456" t="s">
        <v>1453</v>
      </c>
      <c r="I27" s="457" t="s">
        <v>1435</v>
      </c>
      <c r="J27" s="457" t="s">
        <v>236</v>
      </c>
      <c r="K27" s="457" t="s">
        <v>1443</v>
      </c>
      <c r="L27" s="457" t="s">
        <v>1437</v>
      </c>
      <c r="M27" s="466" t="s">
        <v>21</v>
      </c>
      <c r="N27" s="458" t="s">
        <v>615</v>
      </c>
      <c r="O27" s="182"/>
      <c r="P27" s="182"/>
      <c r="Q27" s="182"/>
      <c r="R27" s="1104"/>
      <c r="S27" s="431"/>
      <c r="T27" s="393"/>
      <c r="U27" s="436"/>
      <c r="V27" s="433"/>
      <c r="W27" s="303"/>
      <c r="X27" s="303"/>
      <c r="Y27" s="303"/>
      <c r="Z27" s="303"/>
      <c r="AA27" s="303"/>
      <c r="AB27" s="303"/>
      <c r="AC27" s="303"/>
      <c r="AD27" s="434"/>
      <c r="AE27" s="434"/>
      <c r="AF27" s="434"/>
      <c r="AG27" s="304"/>
      <c r="AH27" s="304"/>
      <c r="AI27" s="304"/>
      <c r="AJ27" s="304"/>
      <c r="AK27" s="304"/>
      <c r="AL27" s="304"/>
      <c r="AM27" s="304"/>
      <c r="AN27" s="304"/>
      <c r="AO27" s="304"/>
      <c r="AP27" s="304"/>
      <c r="AQ27" s="304"/>
      <c r="AR27" s="304"/>
      <c r="AS27" s="304"/>
      <c r="AT27" s="304"/>
      <c r="AU27" s="304"/>
      <c r="AV27" s="304"/>
      <c r="AW27" s="304"/>
      <c r="AX27" s="434"/>
      <c r="AY27" s="434"/>
      <c r="AZ27" s="434"/>
      <c r="BA27" s="434"/>
      <c r="BB27" s="434"/>
      <c r="BC27" s="304"/>
      <c r="BD27" s="304"/>
      <c r="BE27" s="304"/>
      <c r="BF27" s="304"/>
      <c r="BG27" s="304"/>
      <c r="BH27" s="304"/>
      <c r="BI27" s="304"/>
      <c r="BJ27" s="304"/>
      <c r="BK27" s="304"/>
      <c r="BL27" s="304"/>
      <c r="BM27" s="304"/>
      <c r="BN27" s="304"/>
      <c r="BO27" s="304"/>
    </row>
    <row r="28" spans="2:67" s="78" customFormat="1" ht="11.25" x14ac:dyDescent="0.2">
      <c r="B28" s="408"/>
      <c r="C28" s="409"/>
      <c r="D28" s="1109"/>
      <c r="E28" s="1426"/>
      <c r="F28" s="1427"/>
      <c r="G28" s="1103"/>
      <c r="H28" s="459"/>
      <c r="I28" s="452"/>
      <c r="J28" s="455"/>
      <c r="K28" s="452"/>
      <c r="L28" s="454"/>
      <c r="M28" s="452"/>
      <c r="N28" s="460"/>
      <c r="O28" s="1135" t="str">
        <f>IF(T28=0,"",SANDBOX!$D$1091)</f>
        <v/>
      </c>
      <c r="P28" s="1136" t="str">
        <f>IF(O28="","","ALGÚN DATO importante para el cálculo")</f>
        <v/>
      </c>
      <c r="Q28" s="182"/>
      <c r="R28" s="1104"/>
      <c r="S28" s="443"/>
      <c r="T28" s="393">
        <f>IF(H28=0,0,IF(I28=0,1,IF(J28=0,1,IF(K28=0,1,IF(L28=0,1,IF(M28=0,1,0))))))</f>
        <v>0</v>
      </c>
      <c r="U28" s="436"/>
      <c r="V28" s="433"/>
      <c r="W28" s="303"/>
      <c r="X28" s="303"/>
      <c r="Y28" s="303"/>
      <c r="Z28" s="303"/>
      <c r="AA28" s="303"/>
      <c r="AB28" s="303"/>
      <c r="AC28" s="303"/>
      <c r="AD28" s="434"/>
      <c r="AE28" s="434"/>
      <c r="AF28" s="434"/>
      <c r="AG28" s="304"/>
      <c r="AH28" s="304"/>
      <c r="AI28" s="304"/>
      <c r="AJ28" s="304"/>
      <c r="AK28" s="304"/>
      <c r="AL28" s="304"/>
      <c r="AM28" s="304"/>
      <c r="AN28" s="304"/>
      <c r="AO28" s="304"/>
      <c r="AP28" s="304"/>
      <c r="AQ28" s="304"/>
      <c r="AR28" s="304"/>
      <c r="AS28" s="304"/>
      <c r="AT28" s="304"/>
      <c r="AU28" s="304"/>
      <c r="AV28" s="304"/>
      <c r="AW28" s="304"/>
      <c r="AX28" s="434"/>
      <c r="AY28" s="434"/>
      <c r="AZ28" s="434"/>
      <c r="BA28" s="434"/>
      <c r="BB28" s="434"/>
      <c r="BC28" s="304"/>
      <c r="BD28" s="304"/>
      <c r="BE28" s="304"/>
      <c r="BF28" s="304"/>
      <c r="BG28" s="304"/>
      <c r="BH28" s="304"/>
      <c r="BI28" s="304"/>
      <c r="BJ28" s="304"/>
      <c r="BK28" s="304"/>
      <c r="BL28" s="304"/>
      <c r="BM28" s="304"/>
      <c r="BN28" s="304"/>
      <c r="BO28" s="304"/>
    </row>
    <row r="29" spans="2:67" s="78" customFormat="1" ht="11.25" x14ac:dyDescent="0.2">
      <c r="B29" s="408"/>
      <c r="C29" s="409"/>
      <c r="D29" s="1109"/>
      <c r="E29" s="1426"/>
      <c r="F29" s="1427"/>
      <c r="G29" s="1103"/>
      <c r="H29" s="459"/>
      <c r="I29" s="452"/>
      <c r="J29" s="455"/>
      <c r="K29" s="452"/>
      <c r="L29" s="454"/>
      <c r="M29" s="452"/>
      <c r="N29" s="460"/>
      <c r="O29" s="1135" t="str">
        <f>IF(T29=0,"",SANDBOX!$D$1091)</f>
        <v/>
      </c>
      <c r="P29" s="1136" t="str">
        <f>IF(O29="","","ALGÚN DATO importante para el cálculo")</f>
        <v/>
      </c>
      <c r="Q29" s="182"/>
      <c r="R29" s="1104"/>
      <c r="S29" s="443"/>
      <c r="T29" s="393">
        <f>IF(H29=0,0,IF(I29=0,1,IF(J29=0,1,IF(K29=0,1,IF(L29=0,1,IF(M29=0,1,0))))))</f>
        <v>0</v>
      </c>
      <c r="U29" s="436"/>
      <c r="V29" s="433"/>
      <c r="W29" s="303"/>
      <c r="X29" s="303"/>
      <c r="Y29" s="303"/>
      <c r="Z29" s="303"/>
      <c r="AA29" s="303"/>
      <c r="AB29" s="303"/>
      <c r="AC29" s="303"/>
      <c r="AD29" s="434"/>
      <c r="AE29" s="434"/>
      <c r="AF29" s="434"/>
      <c r="AG29" s="304"/>
      <c r="AH29" s="304"/>
      <c r="AI29" s="304"/>
      <c r="AJ29" s="304"/>
      <c r="AK29" s="304"/>
      <c r="AL29" s="304"/>
      <c r="AM29" s="304"/>
      <c r="AN29" s="304"/>
      <c r="AO29" s="304"/>
      <c r="AP29" s="304"/>
      <c r="AQ29" s="304"/>
      <c r="AR29" s="304"/>
      <c r="AS29" s="304"/>
      <c r="AT29" s="304"/>
      <c r="AU29" s="304"/>
      <c r="AV29" s="304"/>
      <c r="AW29" s="304"/>
      <c r="AX29" s="434"/>
      <c r="AY29" s="434"/>
      <c r="AZ29" s="434"/>
      <c r="BA29" s="434"/>
      <c r="BB29" s="434"/>
      <c r="BC29" s="304"/>
      <c r="BD29" s="304"/>
      <c r="BE29" s="304"/>
      <c r="BF29" s="304"/>
      <c r="BG29" s="304"/>
      <c r="BH29" s="304"/>
      <c r="BI29" s="304"/>
      <c r="BJ29" s="304"/>
      <c r="BK29" s="304"/>
      <c r="BL29" s="304"/>
      <c r="BM29" s="304"/>
      <c r="BN29" s="304"/>
      <c r="BO29" s="304"/>
    </row>
    <row r="30" spans="2:67" s="78" customFormat="1" ht="11.25" x14ac:dyDescent="0.2">
      <c r="B30" s="408"/>
      <c r="C30" s="409"/>
      <c r="D30" s="1109"/>
      <c r="E30" s="1420"/>
      <c r="F30" s="1421"/>
      <c r="G30" s="1103"/>
      <c r="H30" s="461"/>
      <c r="I30" s="462"/>
      <c r="J30" s="467"/>
      <c r="K30" s="462"/>
      <c r="L30" s="464"/>
      <c r="M30" s="462"/>
      <c r="N30" s="465"/>
      <c r="O30" s="1135" t="str">
        <f>IF(T30=0,"",SANDBOX!$D$1091)</f>
        <v/>
      </c>
      <c r="P30" s="1136" t="str">
        <f>IF(O30="","","ALGÚN DATO importante para el cálculo")</f>
        <v/>
      </c>
      <c r="Q30" s="182"/>
      <c r="R30" s="1104"/>
      <c r="S30" s="443"/>
      <c r="T30" s="393">
        <f>IF(H30=0,0,IF(I30=0,1,IF(J30=0,1,IF(K30=0,1,IF(L30=0,1,IF(M30=0,1,0))))))</f>
        <v>0</v>
      </c>
      <c r="U30" s="436"/>
      <c r="V30" s="433"/>
      <c r="W30" s="303"/>
      <c r="X30" s="303"/>
      <c r="Y30" s="303"/>
      <c r="Z30" s="303"/>
      <c r="AA30" s="303"/>
      <c r="AB30" s="303"/>
      <c r="AC30" s="303"/>
      <c r="AD30" s="434"/>
      <c r="AE30" s="434"/>
      <c r="AF30" s="434"/>
      <c r="AG30" s="304"/>
      <c r="AH30" s="304"/>
      <c r="AI30" s="304"/>
      <c r="AJ30" s="304"/>
      <c r="AK30" s="304"/>
      <c r="AL30" s="304"/>
      <c r="AM30" s="304"/>
      <c r="AN30" s="304"/>
      <c r="AO30" s="304"/>
      <c r="AP30" s="304"/>
      <c r="AQ30" s="304"/>
      <c r="AR30" s="304"/>
      <c r="AS30" s="304"/>
      <c r="AT30" s="304"/>
      <c r="AU30" s="304"/>
      <c r="AV30" s="304"/>
      <c r="AW30" s="304"/>
      <c r="AX30" s="434"/>
      <c r="AY30" s="434"/>
      <c r="AZ30" s="434"/>
      <c r="BA30" s="434"/>
      <c r="BB30" s="434"/>
      <c r="BC30" s="304"/>
      <c r="BD30" s="304"/>
      <c r="BE30" s="304"/>
      <c r="BF30" s="304"/>
      <c r="BG30" s="304"/>
      <c r="BH30" s="304"/>
      <c r="BI30" s="304"/>
      <c r="BJ30" s="304"/>
      <c r="BK30" s="304"/>
      <c r="BL30" s="304"/>
      <c r="BM30" s="304"/>
      <c r="BN30" s="304"/>
      <c r="BO30" s="304"/>
    </row>
    <row r="31" spans="2:67" s="78" customFormat="1" ht="9.9499999999999993" customHeight="1" x14ac:dyDescent="0.2">
      <c r="B31" s="408"/>
      <c r="C31" s="409"/>
      <c r="D31" s="1109"/>
      <c r="E31" s="182"/>
      <c r="F31" s="182"/>
      <c r="G31" s="182"/>
      <c r="H31" s="182"/>
      <c r="I31" s="182"/>
      <c r="J31" s="182"/>
      <c r="K31" s="182"/>
      <c r="L31" s="182"/>
      <c r="M31" s="182"/>
      <c r="N31" s="182"/>
      <c r="O31" s="182"/>
      <c r="P31" s="182"/>
      <c r="Q31" s="182"/>
      <c r="R31" s="1104"/>
      <c r="S31" s="443"/>
      <c r="T31" s="393"/>
      <c r="U31" s="436"/>
      <c r="V31" s="433"/>
      <c r="W31" s="303"/>
      <c r="X31" s="303"/>
      <c r="Y31" s="303"/>
      <c r="Z31" s="303"/>
      <c r="AA31" s="303"/>
      <c r="AB31" s="303"/>
      <c r="AC31" s="303"/>
      <c r="AD31" s="434"/>
      <c r="AE31" s="434"/>
      <c r="AF31" s="434"/>
      <c r="AG31" s="304"/>
      <c r="AH31" s="304"/>
      <c r="AI31" s="304"/>
      <c r="AJ31" s="304"/>
      <c r="AK31" s="304"/>
      <c r="AL31" s="304"/>
      <c r="AM31" s="304"/>
      <c r="AN31" s="304"/>
      <c r="AO31" s="304"/>
      <c r="AP31" s="304"/>
      <c r="AQ31" s="304"/>
      <c r="AR31" s="304"/>
      <c r="AS31" s="304"/>
      <c r="AT31" s="304"/>
      <c r="AU31" s="304"/>
      <c r="AV31" s="304"/>
      <c r="AW31" s="304"/>
      <c r="AX31" s="434"/>
      <c r="AY31" s="434"/>
      <c r="AZ31" s="434"/>
      <c r="BA31" s="434"/>
      <c r="BB31" s="434"/>
      <c r="BC31" s="304"/>
      <c r="BD31" s="304"/>
      <c r="BE31" s="304"/>
      <c r="BF31" s="304"/>
      <c r="BG31" s="304"/>
      <c r="BH31" s="304"/>
      <c r="BI31" s="304"/>
      <c r="BJ31" s="304"/>
      <c r="BK31" s="304"/>
      <c r="BL31" s="304"/>
      <c r="BM31" s="304"/>
      <c r="BN31" s="304"/>
      <c r="BO31" s="304"/>
    </row>
    <row r="32" spans="2:67" s="78" customFormat="1" ht="12" x14ac:dyDescent="0.2">
      <c r="B32" s="408"/>
      <c r="C32" s="409"/>
      <c r="D32" s="1109"/>
      <c r="E32" s="389" t="s">
        <v>648</v>
      </c>
      <c r="F32" s="390"/>
      <c r="G32" s="390"/>
      <c r="H32" s="390"/>
      <c r="I32" s="390"/>
      <c r="J32" s="390"/>
      <c r="K32" s="391"/>
      <c r="L32" s="182"/>
      <c r="M32" s="182"/>
      <c r="N32" s="182"/>
      <c r="O32" s="182"/>
      <c r="P32" s="182"/>
      <c r="Q32" s="182"/>
      <c r="R32" s="1104"/>
      <c r="S32" s="443"/>
      <c r="T32" s="393"/>
      <c r="U32" s="436"/>
      <c r="V32" s="433"/>
      <c r="W32" s="303"/>
      <c r="X32" s="303"/>
      <c r="Y32" s="303"/>
      <c r="Z32" s="303"/>
      <c r="AA32" s="303"/>
      <c r="AB32" s="303"/>
      <c r="AC32" s="303"/>
      <c r="AD32" s="434"/>
      <c r="AE32" s="434"/>
      <c r="AF32" s="434"/>
      <c r="AG32" s="304"/>
      <c r="AH32" s="304"/>
      <c r="AI32" s="304"/>
      <c r="AJ32" s="304"/>
      <c r="AK32" s="304"/>
      <c r="AL32" s="304"/>
      <c r="AM32" s="304"/>
      <c r="AN32" s="304"/>
      <c r="AO32" s="304"/>
      <c r="AP32" s="304"/>
      <c r="AQ32" s="304"/>
      <c r="AR32" s="304"/>
      <c r="AS32" s="304"/>
      <c r="AT32" s="304"/>
      <c r="AU32" s="304"/>
      <c r="AV32" s="304"/>
      <c r="AW32" s="304"/>
      <c r="AX32" s="434"/>
      <c r="AY32" s="434"/>
      <c r="AZ32" s="434"/>
      <c r="BA32" s="434"/>
      <c r="BB32" s="434"/>
      <c r="BC32" s="304"/>
      <c r="BD32" s="304"/>
      <c r="BE32" s="304"/>
      <c r="BF32" s="304"/>
      <c r="BG32" s="304"/>
      <c r="BH32" s="304"/>
      <c r="BI32" s="304"/>
      <c r="BJ32" s="304"/>
      <c r="BK32" s="304"/>
      <c r="BL32" s="304"/>
      <c r="BM32" s="304"/>
      <c r="BN32" s="304"/>
      <c r="BO32" s="304"/>
    </row>
    <row r="33" spans="2:67" s="78" customFormat="1" ht="2.1" customHeight="1" x14ac:dyDescent="0.2">
      <c r="B33" s="408"/>
      <c r="C33" s="409"/>
      <c r="D33" s="1109"/>
      <c r="E33" s="182"/>
      <c r="F33" s="182"/>
      <c r="G33" s="182"/>
      <c r="H33" s="182"/>
      <c r="I33" s="182"/>
      <c r="J33" s="182"/>
      <c r="K33" s="182"/>
      <c r="L33" s="182"/>
      <c r="M33" s="182"/>
      <c r="N33" s="182"/>
      <c r="O33" s="182"/>
      <c r="P33" s="182"/>
      <c r="Q33" s="182"/>
      <c r="R33" s="1104"/>
      <c r="S33" s="443"/>
      <c r="T33" s="393"/>
      <c r="U33" s="436"/>
      <c r="V33" s="433"/>
      <c r="W33" s="303"/>
      <c r="X33" s="303"/>
      <c r="Y33" s="303"/>
      <c r="Z33" s="303"/>
      <c r="AA33" s="303"/>
      <c r="AB33" s="303"/>
      <c r="AC33" s="303"/>
      <c r="AD33" s="434"/>
      <c r="AE33" s="434"/>
      <c r="AF33" s="434"/>
      <c r="AG33" s="304"/>
      <c r="AH33" s="304"/>
      <c r="AI33" s="304"/>
      <c r="AJ33" s="304"/>
      <c r="AK33" s="304"/>
      <c r="AL33" s="304"/>
      <c r="AM33" s="304"/>
      <c r="AN33" s="304"/>
      <c r="AO33" s="304"/>
      <c r="AP33" s="304"/>
      <c r="AQ33" s="304"/>
      <c r="AR33" s="304"/>
      <c r="AS33" s="304"/>
      <c r="AT33" s="304"/>
      <c r="AU33" s="304"/>
      <c r="AV33" s="304"/>
      <c r="AW33" s="304"/>
      <c r="AX33" s="434"/>
      <c r="AY33" s="434"/>
      <c r="AZ33" s="434"/>
      <c r="BA33" s="434"/>
      <c r="BB33" s="434"/>
      <c r="BC33" s="304"/>
      <c r="BD33" s="304"/>
      <c r="BE33" s="304"/>
      <c r="BF33" s="304"/>
      <c r="BG33" s="304"/>
      <c r="BH33" s="304"/>
      <c r="BI33" s="304"/>
      <c r="BJ33" s="304"/>
      <c r="BK33" s="304"/>
      <c r="BL33" s="304"/>
      <c r="BM33" s="304"/>
      <c r="BN33" s="304"/>
      <c r="BO33" s="304"/>
    </row>
    <row r="34" spans="2:67" s="78" customFormat="1" ht="11.25" x14ac:dyDescent="0.2">
      <c r="B34" s="408"/>
      <c r="C34" s="409"/>
      <c r="D34" s="1109"/>
      <c r="E34" s="1424" t="s">
        <v>1452</v>
      </c>
      <c r="F34" s="1425"/>
      <c r="G34" s="182"/>
      <c r="H34" s="456" t="s">
        <v>1453</v>
      </c>
      <c r="I34" s="457" t="s">
        <v>1436</v>
      </c>
      <c r="J34" s="457" t="s">
        <v>236</v>
      </c>
      <c r="K34" s="458" t="s">
        <v>21</v>
      </c>
      <c r="L34" s="182"/>
      <c r="M34" s="182"/>
      <c r="N34" s="182"/>
      <c r="O34" s="182"/>
      <c r="P34" s="182"/>
      <c r="Q34" s="182"/>
      <c r="R34" s="1104"/>
      <c r="S34" s="443"/>
      <c r="T34" s="393"/>
      <c r="U34" s="436"/>
      <c r="V34" s="433"/>
      <c r="W34" s="303"/>
      <c r="X34" s="303"/>
      <c r="Y34" s="303"/>
      <c r="Z34" s="303"/>
      <c r="AA34" s="303"/>
      <c r="AB34" s="303"/>
      <c r="AC34" s="303"/>
      <c r="AD34" s="434"/>
      <c r="AE34" s="434"/>
      <c r="AF34" s="434"/>
      <c r="AG34" s="304"/>
      <c r="AH34" s="304"/>
      <c r="AI34" s="304"/>
      <c r="AJ34" s="304"/>
      <c r="AK34" s="304"/>
      <c r="AL34" s="304"/>
      <c r="AM34" s="304"/>
      <c r="AN34" s="304"/>
      <c r="AO34" s="304"/>
      <c r="AP34" s="304"/>
      <c r="AQ34" s="304"/>
      <c r="AR34" s="304"/>
      <c r="AS34" s="304"/>
      <c r="AT34" s="304"/>
      <c r="AU34" s="304"/>
      <c r="AV34" s="304"/>
      <c r="AW34" s="304"/>
      <c r="AX34" s="434"/>
      <c r="AY34" s="434"/>
      <c r="AZ34" s="434"/>
      <c r="BA34" s="434"/>
      <c r="BB34" s="434"/>
      <c r="BC34" s="304"/>
      <c r="BD34" s="304"/>
      <c r="BE34" s="304"/>
      <c r="BF34" s="304"/>
      <c r="BG34" s="304"/>
      <c r="BH34" s="304"/>
      <c r="BI34" s="304"/>
      <c r="BJ34" s="304"/>
      <c r="BK34" s="304"/>
      <c r="BL34" s="304"/>
      <c r="BM34" s="304"/>
      <c r="BN34" s="304"/>
      <c r="BO34" s="304"/>
    </row>
    <row r="35" spans="2:67" s="78" customFormat="1" ht="11.25" x14ac:dyDescent="0.2">
      <c r="B35" s="408"/>
      <c r="C35" s="409"/>
      <c r="D35" s="1109"/>
      <c r="E35" s="1426"/>
      <c r="F35" s="1427"/>
      <c r="G35" s="182"/>
      <c r="H35" s="459"/>
      <c r="I35" s="454"/>
      <c r="J35" s="455"/>
      <c r="K35" s="460"/>
      <c r="L35" s="1135" t="str">
        <f>IF(T35=0,"",SANDBOX!$D$1091)</f>
        <v/>
      </c>
      <c r="M35" s="1136" t="str">
        <f>IF(L35="","","ALGÚN DATO importante para el cálculo")</f>
        <v/>
      </c>
      <c r="N35" s="182"/>
      <c r="O35" s="182"/>
      <c r="P35" s="182"/>
      <c r="Q35" s="182"/>
      <c r="R35" s="1104"/>
      <c r="S35" s="443"/>
      <c r="T35" s="393">
        <f>IF(H35=0,0,IF(I35=0,1,IF(J35=0,1,IF(K35=0,1,0))))</f>
        <v>0</v>
      </c>
      <c r="U35" s="436"/>
      <c r="V35" s="433"/>
      <c r="W35" s="303"/>
      <c r="X35" s="303"/>
      <c r="Y35" s="303"/>
      <c r="Z35" s="303"/>
      <c r="AA35" s="303"/>
      <c r="AB35" s="303"/>
      <c r="AC35" s="303"/>
      <c r="AD35" s="434"/>
      <c r="AE35" s="434"/>
      <c r="AF35" s="434"/>
      <c r="AG35" s="304"/>
      <c r="AH35" s="304"/>
      <c r="AI35" s="304"/>
      <c r="AJ35" s="304"/>
      <c r="AK35" s="304"/>
      <c r="AL35" s="304"/>
      <c r="AM35" s="304"/>
      <c r="AN35" s="304"/>
      <c r="AO35" s="304"/>
      <c r="AP35" s="304"/>
      <c r="AQ35" s="304"/>
      <c r="AR35" s="304"/>
      <c r="AS35" s="304"/>
      <c r="AT35" s="304"/>
      <c r="AU35" s="304"/>
      <c r="AV35" s="304"/>
      <c r="AW35" s="304"/>
      <c r="AX35" s="434"/>
      <c r="AY35" s="434"/>
      <c r="AZ35" s="434"/>
      <c r="BA35" s="434"/>
      <c r="BB35" s="434"/>
      <c r="BC35" s="304"/>
      <c r="BD35" s="304"/>
      <c r="BE35" s="304"/>
      <c r="BF35" s="304"/>
      <c r="BG35" s="304"/>
      <c r="BH35" s="304"/>
      <c r="BI35" s="304"/>
      <c r="BJ35" s="304"/>
      <c r="BK35" s="304"/>
      <c r="BL35" s="304"/>
      <c r="BM35" s="304"/>
      <c r="BN35" s="304"/>
      <c r="BO35" s="304"/>
    </row>
    <row r="36" spans="2:67" s="78" customFormat="1" ht="11.25" x14ac:dyDescent="0.2">
      <c r="B36" s="408"/>
      <c r="C36" s="409"/>
      <c r="D36" s="1109"/>
      <c r="E36" s="1422"/>
      <c r="F36" s="1423"/>
      <c r="G36" s="182"/>
      <c r="H36" s="461"/>
      <c r="I36" s="464"/>
      <c r="J36" s="467"/>
      <c r="K36" s="465"/>
      <c r="L36" s="1135" t="str">
        <f>IF(T36=0,"",SANDBOX!$D$1091)</f>
        <v/>
      </c>
      <c r="M36" s="1136" t="str">
        <f>IF(L36="","","ALGÚN DATO importante para el cálculo")</f>
        <v/>
      </c>
      <c r="N36" s="182"/>
      <c r="O36" s="182"/>
      <c r="P36" s="182"/>
      <c r="Q36" s="182"/>
      <c r="R36" s="1104"/>
      <c r="S36" s="443"/>
      <c r="T36" s="393">
        <f>IF(H36=0,0,IF(I36=0,1,IF(J36=0,1,IF(K36=0,1,0))))</f>
        <v>0</v>
      </c>
      <c r="U36" s="436"/>
      <c r="V36" s="433"/>
      <c r="W36" s="303"/>
      <c r="X36" s="303"/>
      <c r="Y36" s="303"/>
      <c r="Z36" s="303"/>
      <c r="AA36" s="303"/>
      <c r="AB36" s="303"/>
      <c r="AC36" s="303"/>
      <c r="AD36" s="434"/>
      <c r="AE36" s="434"/>
      <c r="AF36" s="434"/>
      <c r="AG36" s="304"/>
      <c r="AH36" s="304"/>
      <c r="AI36" s="304"/>
      <c r="AJ36" s="304"/>
      <c r="AK36" s="304"/>
      <c r="AL36" s="304"/>
      <c r="AM36" s="304"/>
      <c r="AN36" s="304"/>
      <c r="AO36" s="304"/>
      <c r="AP36" s="304"/>
      <c r="AQ36" s="304"/>
      <c r="AR36" s="304"/>
      <c r="AS36" s="304"/>
      <c r="AT36" s="304"/>
      <c r="AU36" s="304"/>
      <c r="AV36" s="304"/>
      <c r="AW36" s="304"/>
      <c r="AX36" s="434"/>
      <c r="AY36" s="434"/>
      <c r="AZ36" s="434"/>
      <c r="BA36" s="434"/>
      <c r="BB36" s="434"/>
      <c r="BC36" s="304"/>
      <c r="BD36" s="304"/>
      <c r="BE36" s="304"/>
      <c r="BF36" s="304"/>
      <c r="BG36" s="304"/>
      <c r="BH36" s="304"/>
      <c r="BI36" s="304"/>
      <c r="BJ36" s="304"/>
      <c r="BK36" s="304"/>
      <c r="BL36" s="304"/>
      <c r="BM36" s="304"/>
      <c r="BN36" s="304"/>
      <c r="BO36" s="304"/>
    </row>
    <row r="37" spans="2:67" s="78" customFormat="1" ht="15" customHeight="1" x14ac:dyDescent="0.2">
      <c r="B37" s="408"/>
      <c r="C37" s="409"/>
      <c r="D37" s="1109"/>
      <c r="E37" s="1116"/>
      <c r="F37" s="1113"/>
      <c r="G37" s="1117"/>
      <c r="H37" s="1105"/>
      <c r="I37" s="1105"/>
      <c r="J37" s="1105"/>
      <c r="K37" s="1105"/>
      <c r="L37" s="1105"/>
      <c r="M37" s="1105"/>
      <c r="N37" s="1105"/>
      <c r="O37" s="1105"/>
      <c r="P37" s="1105"/>
      <c r="Q37" s="1105"/>
      <c r="R37" s="1104"/>
      <c r="S37" s="443"/>
      <c r="T37" s="394"/>
      <c r="U37" s="436"/>
      <c r="V37" s="433"/>
      <c r="W37" s="303"/>
      <c r="X37" s="303"/>
      <c r="Y37" s="303"/>
      <c r="Z37" s="303"/>
      <c r="AA37" s="303"/>
      <c r="AB37" s="303"/>
      <c r="AC37" s="303"/>
      <c r="AD37" s="434"/>
      <c r="AE37" s="434"/>
      <c r="AF37" s="434"/>
      <c r="AG37" s="304"/>
      <c r="AH37" s="304"/>
      <c r="AI37" s="304"/>
      <c r="AJ37" s="304"/>
      <c r="AK37" s="304"/>
      <c r="AL37" s="304"/>
      <c r="AM37" s="304"/>
      <c r="AN37" s="304"/>
      <c r="AO37" s="304"/>
      <c r="AP37" s="304"/>
      <c r="AQ37" s="304"/>
      <c r="AR37" s="304"/>
      <c r="AS37" s="304"/>
      <c r="AT37" s="304"/>
      <c r="AU37" s="304"/>
      <c r="AV37" s="304"/>
      <c r="AW37" s="304"/>
      <c r="AX37" s="434"/>
      <c r="AY37" s="434"/>
      <c r="AZ37" s="434"/>
      <c r="BA37" s="434"/>
      <c r="BB37" s="434"/>
      <c r="BC37" s="304"/>
      <c r="BD37" s="304"/>
      <c r="BE37" s="304"/>
      <c r="BF37" s="304"/>
      <c r="BG37" s="304"/>
      <c r="BH37" s="304"/>
      <c r="BI37" s="304"/>
      <c r="BJ37" s="304"/>
      <c r="BK37" s="304"/>
      <c r="BL37" s="304"/>
      <c r="BM37" s="304"/>
      <c r="BN37" s="304"/>
      <c r="BO37" s="304"/>
    </row>
    <row r="38" spans="2:67" s="46" customFormat="1" ht="3" customHeight="1" x14ac:dyDescent="0.2">
      <c r="B38" s="402"/>
      <c r="C38" s="403"/>
      <c r="D38" s="1124"/>
      <c r="E38" s="1107"/>
      <c r="F38" s="1107"/>
      <c r="G38" s="1107"/>
      <c r="H38" s="1107"/>
      <c r="I38" s="1107"/>
      <c r="J38" s="1107"/>
      <c r="K38" s="1107"/>
      <c r="L38" s="1107"/>
      <c r="M38" s="1107"/>
      <c r="N38" s="1107"/>
      <c r="O38" s="1107"/>
      <c r="P38" s="1107"/>
      <c r="Q38" s="1107"/>
      <c r="R38" s="1108"/>
      <c r="S38" s="444"/>
      <c r="T38" s="418"/>
      <c r="U38" s="418"/>
      <c r="V38" s="419"/>
      <c r="W38" s="299"/>
      <c r="X38" s="299"/>
      <c r="Y38" s="299"/>
      <c r="Z38" s="299"/>
      <c r="AA38" s="299"/>
      <c r="AB38" s="299"/>
      <c r="AC38" s="299"/>
      <c r="AD38" s="7"/>
      <c r="AE38" s="7"/>
      <c r="AF38" s="7"/>
      <c r="AG38" s="39"/>
      <c r="AH38" s="39"/>
      <c r="AI38" s="39"/>
      <c r="AJ38" s="39"/>
      <c r="AK38" s="39"/>
      <c r="AL38" s="39"/>
      <c r="AM38" s="39"/>
      <c r="AN38" s="39"/>
      <c r="AO38" s="39"/>
      <c r="AP38" s="39"/>
      <c r="AQ38" s="39"/>
      <c r="AR38" s="39"/>
      <c r="AS38" s="39"/>
      <c r="AT38" s="39"/>
      <c r="AU38" s="39"/>
      <c r="AV38" s="39"/>
      <c r="AW38" s="39"/>
      <c r="AX38" s="7"/>
      <c r="AY38" s="7"/>
      <c r="AZ38" s="7"/>
      <c r="BA38" s="7"/>
      <c r="BB38" s="7"/>
      <c r="BC38" s="39"/>
      <c r="BD38" s="39"/>
      <c r="BE38" s="39"/>
      <c r="BF38" s="39"/>
      <c r="BG38" s="39"/>
      <c r="BH38" s="39"/>
      <c r="BI38" s="39"/>
      <c r="BJ38" s="39"/>
      <c r="BK38" s="39"/>
      <c r="BL38" s="39"/>
      <c r="BM38" s="39"/>
      <c r="BN38" s="39"/>
      <c r="BO38" s="39"/>
    </row>
    <row r="39" spans="2:67" s="39" customFormat="1" ht="11.25" x14ac:dyDescent="0.2">
      <c r="B39" s="410"/>
      <c r="C39" s="410"/>
      <c r="D39" s="410"/>
      <c r="E39" s="410"/>
      <c r="F39" s="410"/>
      <c r="G39" s="410"/>
      <c r="H39" s="410"/>
      <c r="I39" s="410"/>
      <c r="J39" s="410"/>
      <c r="K39" s="410"/>
      <c r="L39" s="410"/>
      <c r="M39" s="410"/>
      <c r="N39" s="410"/>
      <c r="O39" s="410"/>
      <c r="P39" s="410"/>
      <c r="Q39" s="410"/>
      <c r="R39" s="410"/>
      <c r="S39" s="410"/>
      <c r="T39" s="410"/>
      <c r="U39" s="410"/>
      <c r="V39" s="299"/>
      <c r="W39" s="299"/>
      <c r="X39" s="299"/>
      <c r="Y39" s="299"/>
      <c r="Z39" s="299"/>
      <c r="AA39" s="299"/>
      <c r="AB39" s="299"/>
      <c r="AC39" s="299"/>
      <c r="AD39" s="7"/>
      <c r="AE39" s="7"/>
      <c r="AF39" s="7"/>
      <c r="AX39" s="7"/>
      <c r="AY39" s="7"/>
      <c r="AZ39" s="7"/>
      <c r="BA39" s="7"/>
      <c r="BB39" s="7"/>
    </row>
    <row r="40" spans="2:67" s="39" customFormat="1" ht="11.25" x14ac:dyDescent="0.2">
      <c r="B40" s="410"/>
      <c r="C40" s="410"/>
      <c r="D40" s="410"/>
      <c r="E40" s="410"/>
      <c r="F40" s="410"/>
      <c r="G40" s="410"/>
      <c r="H40" s="410"/>
      <c r="I40" s="410"/>
      <c r="J40" s="410"/>
      <c r="K40" s="410"/>
      <c r="L40" s="410"/>
      <c r="M40" s="410"/>
      <c r="N40" s="410"/>
      <c r="O40" s="410"/>
      <c r="P40" s="410"/>
      <c r="Q40" s="410"/>
      <c r="R40" s="410"/>
      <c r="S40" s="410"/>
      <c r="T40" s="410"/>
      <c r="U40" s="299"/>
      <c r="V40" s="299"/>
      <c r="W40" s="299"/>
      <c r="X40" s="299"/>
      <c r="Y40" s="299"/>
      <c r="Z40" s="299"/>
      <c r="AA40" s="299"/>
      <c r="AB40" s="299"/>
      <c r="AC40" s="299"/>
      <c r="AD40" s="7"/>
      <c r="AE40" s="7"/>
      <c r="AF40" s="7"/>
      <c r="AX40" s="7"/>
      <c r="AY40" s="7"/>
      <c r="AZ40" s="7"/>
      <c r="BA40" s="7"/>
      <c r="BB40" s="7"/>
    </row>
    <row r="41" spans="2:67" s="447" customFormat="1" x14ac:dyDescent="0.2">
      <c r="B41" s="410"/>
      <c r="C41" s="410"/>
      <c r="D41" s="410"/>
      <c r="E41" s="410"/>
      <c r="F41" s="410"/>
      <c r="G41" s="410"/>
      <c r="H41" s="410"/>
      <c r="I41" s="410"/>
      <c r="J41" s="410"/>
      <c r="K41" s="410"/>
      <c r="L41" s="410"/>
      <c r="M41" s="410"/>
      <c r="N41" s="410"/>
      <c r="O41" s="410"/>
      <c r="P41" s="410"/>
      <c r="Q41" s="410"/>
      <c r="R41" s="410"/>
      <c r="S41" s="410"/>
      <c r="T41" s="410"/>
      <c r="U41" s="445"/>
      <c r="V41" s="445"/>
      <c r="W41" s="445"/>
      <c r="X41" s="445"/>
      <c r="Y41" s="445"/>
      <c r="Z41" s="445"/>
      <c r="AA41" s="445"/>
      <c r="AB41" s="445"/>
      <c r="AC41" s="445"/>
      <c r="AD41" s="446"/>
      <c r="AE41" s="446"/>
      <c r="AF41" s="446"/>
      <c r="AX41" s="446"/>
      <c r="AY41" s="446"/>
      <c r="AZ41" s="446"/>
      <c r="BA41" s="446"/>
      <c r="BB41" s="446"/>
    </row>
    <row r="42" spans="2:67" s="15" customFormat="1" x14ac:dyDescent="0.2">
      <c r="B42" s="411"/>
      <c r="C42" s="411"/>
      <c r="D42" s="411"/>
      <c r="E42" s="411"/>
      <c r="F42" s="411"/>
      <c r="G42" s="411"/>
      <c r="H42" s="411"/>
      <c r="I42" s="411"/>
      <c r="J42" s="411"/>
      <c r="K42" s="411"/>
      <c r="L42" s="411"/>
      <c r="M42" s="411"/>
      <c r="N42" s="411"/>
      <c r="O42" s="411"/>
      <c r="P42" s="411"/>
      <c r="Q42" s="411"/>
      <c r="R42" s="411"/>
      <c r="S42" s="298"/>
      <c r="T42" s="402"/>
      <c r="U42" s="402"/>
      <c r="V42" s="402"/>
      <c r="W42" s="402"/>
      <c r="X42" s="402"/>
      <c r="Y42" s="402"/>
      <c r="Z42" s="402"/>
      <c r="AA42" s="402"/>
      <c r="AB42" s="402"/>
      <c r="AC42" s="402"/>
      <c r="AD42" s="296"/>
      <c r="AE42" s="296"/>
      <c r="AF42" s="411"/>
      <c r="AG42" s="411"/>
      <c r="AH42" s="412"/>
      <c r="AI42" s="412"/>
      <c r="AJ42" s="412"/>
      <c r="AK42" s="412"/>
      <c r="AL42" s="412"/>
      <c r="AM42" s="412"/>
      <c r="AN42" s="412"/>
      <c r="AO42" s="412"/>
      <c r="AP42" s="412"/>
      <c r="AQ42" s="412"/>
      <c r="AR42" s="412"/>
      <c r="AS42" s="412"/>
      <c r="AT42" s="412"/>
      <c r="AU42" s="412"/>
      <c r="AV42" s="412"/>
      <c r="AW42" s="412"/>
      <c r="AX42" s="412"/>
      <c r="AY42" s="412"/>
      <c r="AZ42" s="412"/>
      <c r="BA42" s="412"/>
      <c r="BB42" s="412"/>
    </row>
    <row r="43" spans="2:67" s="15" customFormat="1" x14ac:dyDescent="0.2">
      <c r="B43" s="411"/>
      <c r="C43" s="411"/>
      <c r="D43" s="411"/>
      <c r="E43" s="411"/>
      <c r="F43" s="411"/>
      <c r="G43" s="411"/>
      <c r="H43" s="411"/>
      <c r="I43" s="411"/>
      <c r="J43" s="411"/>
      <c r="K43" s="411"/>
      <c r="L43" s="411"/>
      <c r="M43" s="411"/>
      <c r="N43" s="411"/>
      <c r="O43" s="411"/>
      <c r="P43" s="411"/>
      <c r="Q43" s="411"/>
      <c r="R43" s="411"/>
      <c r="S43" s="298"/>
      <c r="T43" s="402"/>
      <c r="U43" s="402"/>
      <c r="V43" s="402"/>
      <c r="W43" s="402"/>
      <c r="X43" s="402"/>
      <c r="Y43" s="402"/>
      <c r="Z43" s="402"/>
      <c r="AA43" s="402"/>
      <c r="AB43" s="402"/>
      <c r="AC43" s="402"/>
      <c r="AD43" s="296"/>
      <c r="AE43" s="296"/>
      <c r="AF43" s="411"/>
      <c r="AG43" s="411"/>
      <c r="AH43" s="412"/>
      <c r="AI43" s="412"/>
      <c r="AJ43" s="412"/>
      <c r="AK43" s="412"/>
      <c r="AL43" s="412"/>
      <c r="AM43" s="412"/>
      <c r="AN43" s="412"/>
      <c r="AO43" s="412"/>
      <c r="AP43" s="412"/>
      <c r="AQ43" s="412"/>
      <c r="AR43" s="412"/>
      <c r="AS43" s="412"/>
      <c r="AT43" s="412"/>
      <c r="AU43" s="412"/>
      <c r="AV43" s="412"/>
      <c r="AW43" s="412"/>
      <c r="AX43" s="412"/>
      <c r="AY43" s="412"/>
      <c r="AZ43" s="412"/>
      <c r="BA43" s="412"/>
      <c r="BB43" s="412"/>
    </row>
    <row r="44" spans="2:67" s="15" customFormat="1" x14ac:dyDescent="0.2">
      <c r="B44" s="411"/>
      <c r="C44" s="411"/>
      <c r="D44" s="411"/>
      <c r="E44" s="411"/>
      <c r="F44" s="411"/>
      <c r="G44" s="411"/>
      <c r="H44" s="411"/>
      <c r="I44" s="411"/>
      <c r="J44" s="411"/>
      <c r="K44" s="411"/>
      <c r="L44" s="411"/>
      <c r="M44" s="411"/>
      <c r="N44" s="411"/>
      <c r="O44" s="411"/>
      <c r="P44" s="411"/>
      <c r="Q44" s="411"/>
      <c r="R44" s="411"/>
      <c r="S44" s="298"/>
      <c r="T44" s="402"/>
      <c r="U44" s="402"/>
      <c r="V44" s="402"/>
      <c r="W44" s="402"/>
      <c r="X44" s="402"/>
      <c r="Y44" s="402"/>
      <c r="Z44" s="402"/>
      <c r="AA44" s="402"/>
      <c r="AB44" s="402"/>
      <c r="AC44" s="402"/>
      <c r="AD44" s="296"/>
      <c r="AE44" s="296"/>
      <c r="AF44" s="411"/>
      <c r="AG44" s="411"/>
      <c r="AH44" s="412"/>
      <c r="AI44" s="412"/>
      <c r="AJ44" s="412"/>
      <c r="AK44" s="412"/>
      <c r="AL44" s="412"/>
      <c r="AM44" s="412"/>
      <c r="AN44" s="412"/>
      <c r="AO44" s="412"/>
      <c r="AP44" s="412"/>
      <c r="AQ44" s="412"/>
      <c r="AR44" s="412"/>
      <c r="AS44" s="412"/>
      <c r="AT44" s="412"/>
      <c r="AU44" s="412"/>
      <c r="AV44" s="412"/>
      <c r="AW44" s="412"/>
      <c r="AX44" s="412"/>
      <c r="AY44" s="412"/>
      <c r="AZ44" s="412"/>
      <c r="BA44" s="412"/>
      <c r="BB44" s="412"/>
    </row>
    <row r="45" spans="2:67" s="15" customFormat="1" x14ac:dyDescent="0.2">
      <c r="B45" s="411"/>
      <c r="C45" s="411"/>
      <c r="D45" s="411"/>
      <c r="E45" s="411"/>
      <c r="F45" s="411"/>
      <c r="G45" s="411"/>
      <c r="H45" s="411"/>
      <c r="I45" s="411"/>
      <c r="J45" s="411"/>
      <c r="K45" s="411"/>
      <c r="L45" s="411"/>
      <c r="M45" s="411"/>
      <c r="N45" s="411"/>
      <c r="O45" s="411"/>
      <c r="P45" s="411"/>
      <c r="Q45" s="411"/>
      <c r="R45" s="411"/>
      <c r="S45" s="298"/>
      <c r="T45" s="402"/>
      <c r="U45" s="402"/>
      <c r="V45" s="402"/>
      <c r="W45" s="402"/>
      <c r="X45" s="402"/>
      <c r="Y45" s="402"/>
      <c r="Z45" s="402"/>
      <c r="AA45" s="402"/>
      <c r="AB45" s="402"/>
      <c r="AC45" s="402"/>
      <c r="AD45" s="296"/>
      <c r="AE45" s="296"/>
      <c r="AF45" s="411"/>
      <c r="AG45" s="411"/>
      <c r="AH45" s="412"/>
      <c r="AI45" s="412"/>
      <c r="AJ45" s="412"/>
      <c r="AK45" s="412"/>
      <c r="AL45" s="412"/>
      <c r="AM45" s="412"/>
      <c r="AN45" s="412"/>
      <c r="AO45" s="412"/>
      <c r="AP45" s="412"/>
      <c r="AQ45" s="412"/>
      <c r="AR45" s="412"/>
      <c r="AS45" s="412"/>
      <c r="AT45" s="412"/>
      <c r="AU45" s="412"/>
      <c r="AV45" s="412"/>
      <c r="AW45" s="412"/>
      <c r="AX45" s="412"/>
      <c r="AY45" s="412"/>
      <c r="AZ45" s="412"/>
      <c r="BA45" s="412"/>
      <c r="BB45" s="412"/>
    </row>
    <row r="46" spans="2:67" s="15" customFormat="1" x14ac:dyDescent="0.2">
      <c r="B46" s="411"/>
      <c r="C46" s="411"/>
      <c r="D46" s="411"/>
      <c r="E46" s="411"/>
      <c r="F46" s="411"/>
      <c r="G46" s="411"/>
      <c r="H46" s="411"/>
      <c r="I46" s="411"/>
      <c r="J46" s="411"/>
      <c r="K46" s="411"/>
      <c r="L46" s="411"/>
      <c r="M46" s="411"/>
      <c r="N46" s="411"/>
      <c r="O46" s="411"/>
      <c r="P46" s="411"/>
      <c r="Q46" s="411"/>
      <c r="R46" s="411"/>
      <c r="S46" s="298"/>
      <c r="T46" s="402"/>
      <c r="U46" s="402"/>
      <c r="V46" s="402"/>
      <c r="W46" s="402"/>
      <c r="X46" s="402"/>
      <c r="Y46" s="402"/>
      <c r="Z46" s="402"/>
      <c r="AA46" s="402"/>
      <c r="AB46" s="402"/>
      <c r="AC46" s="402"/>
      <c r="AD46" s="296"/>
      <c r="AE46" s="296"/>
      <c r="AF46" s="411"/>
      <c r="AG46" s="411"/>
      <c r="AH46" s="412"/>
      <c r="AI46" s="412"/>
      <c r="AJ46" s="412"/>
      <c r="AK46" s="412"/>
      <c r="AL46" s="412"/>
      <c r="AM46" s="412"/>
      <c r="AN46" s="412"/>
      <c r="AO46" s="412"/>
      <c r="AP46" s="412"/>
      <c r="AQ46" s="412"/>
      <c r="AR46" s="412"/>
      <c r="AS46" s="412"/>
      <c r="AT46" s="412"/>
      <c r="AU46" s="412"/>
      <c r="AV46" s="412"/>
      <c r="AW46" s="412"/>
      <c r="AX46" s="412"/>
      <c r="AY46" s="412"/>
      <c r="AZ46" s="412"/>
      <c r="BA46" s="412"/>
      <c r="BB46" s="412"/>
    </row>
    <row r="47" spans="2:67" s="15" customFormat="1" x14ac:dyDescent="0.2">
      <c r="B47" s="411"/>
      <c r="C47" s="411"/>
      <c r="D47" s="411"/>
      <c r="E47" s="411"/>
      <c r="F47" s="411"/>
      <c r="G47" s="411"/>
      <c r="H47" s="411"/>
      <c r="I47" s="411"/>
      <c r="J47" s="411"/>
      <c r="K47" s="411"/>
      <c r="L47" s="411"/>
      <c r="M47" s="411"/>
      <c r="N47" s="411"/>
      <c r="O47" s="411"/>
      <c r="P47" s="411"/>
      <c r="Q47" s="411"/>
      <c r="R47" s="411"/>
      <c r="S47" s="298"/>
      <c r="T47" s="402"/>
      <c r="U47" s="402"/>
      <c r="V47" s="402"/>
      <c r="W47" s="402"/>
      <c r="X47" s="402"/>
      <c r="Y47" s="402"/>
      <c r="Z47" s="402"/>
      <c r="AA47" s="402"/>
      <c r="AB47" s="402"/>
      <c r="AC47" s="402"/>
      <c r="AD47" s="296"/>
      <c r="AE47" s="296"/>
      <c r="AF47" s="411"/>
      <c r="AG47" s="411"/>
      <c r="AH47" s="412"/>
      <c r="AI47" s="412"/>
      <c r="AJ47" s="412"/>
      <c r="AK47" s="412"/>
      <c r="AL47" s="412"/>
      <c r="AM47" s="412"/>
      <c r="AN47" s="412"/>
      <c r="AO47" s="412"/>
      <c r="AP47" s="412"/>
      <c r="AQ47" s="412"/>
      <c r="AR47" s="412"/>
      <c r="AS47" s="412"/>
      <c r="AT47" s="412"/>
      <c r="AU47" s="412"/>
      <c r="AV47" s="412"/>
      <c r="AW47" s="412"/>
      <c r="AX47" s="412"/>
      <c r="AY47" s="412"/>
      <c r="AZ47" s="412"/>
      <c r="BA47" s="412"/>
      <c r="BB47" s="412"/>
    </row>
    <row r="48" spans="2:67" x14ac:dyDescent="0.2">
      <c r="B48" s="411"/>
      <c r="C48" s="411"/>
      <c r="D48" s="411"/>
      <c r="E48" s="411"/>
      <c r="F48" s="411"/>
      <c r="G48" s="411"/>
      <c r="H48" s="411"/>
      <c r="I48" s="411"/>
      <c r="J48" s="411"/>
      <c r="K48" s="411"/>
      <c r="L48" s="411"/>
      <c r="M48" s="411"/>
      <c r="N48" s="411"/>
      <c r="O48" s="411"/>
      <c r="P48" s="411"/>
      <c r="Q48" s="411"/>
      <c r="R48" s="411"/>
      <c r="S48" s="298"/>
      <c r="T48" s="402"/>
      <c r="U48" s="402"/>
      <c r="V48" s="402"/>
      <c r="W48" s="402"/>
      <c r="X48" s="402"/>
      <c r="Y48" s="402"/>
      <c r="Z48" s="402"/>
      <c r="AA48" s="402"/>
      <c r="AB48" s="402"/>
      <c r="AC48" s="402"/>
      <c r="AD48" s="296"/>
      <c r="AE48" s="296"/>
      <c r="AF48" s="411"/>
      <c r="AG48" s="411"/>
      <c r="AH48" s="412"/>
      <c r="AI48" s="412"/>
      <c r="AJ48" s="412"/>
      <c r="AK48" s="412"/>
      <c r="AL48" s="412"/>
      <c r="AM48" s="412"/>
      <c r="AN48" s="412"/>
      <c r="AO48" s="412"/>
      <c r="AP48" s="412"/>
      <c r="AQ48" s="412"/>
      <c r="AR48" s="412"/>
      <c r="AS48" s="412"/>
      <c r="AT48" s="412"/>
      <c r="AU48" s="412"/>
      <c r="AV48" s="412"/>
      <c r="AW48" s="412"/>
      <c r="AX48" s="412"/>
      <c r="AY48" s="412"/>
      <c r="AZ48" s="412"/>
      <c r="BA48" s="412"/>
      <c r="BB48" s="412"/>
    </row>
    <row r="49" spans="2:54" x14ac:dyDescent="0.2">
      <c r="B49" s="411"/>
      <c r="C49" s="411"/>
      <c r="D49" s="411"/>
      <c r="E49" s="411"/>
      <c r="F49" s="411"/>
      <c r="G49" s="411"/>
      <c r="H49" s="411"/>
      <c r="I49" s="411"/>
      <c r="J49" s="411"/>
      <c r="K49" s="411"/>
      <c r="L49" s="411"/>
      <c r="M49" s="411"/>
      <c r="N49" s="411"/>
      <c r="O49" s="411"/>
      <c r="P49" s="411"/>
      <c r="Q49" s="411"/>
      <c r="R49" s="411"/>
      <c r="S49" s="298"/>
      <c r="T49" s="402"/>
      <c r="U49" s="402"/>
      <c r="V49" s="402"/>
      <c r="W49" s="402"/>
      <c r="X49" s="402"/>
      <c r="Y49" s="402"/>
      <c r="Z49" s="402"/>
      <c r="AA49" s="402"/>
      <c r="AB49" s="402"/>
      <c r="AC49" s="402"/>
      <c r="AD49" s="296"/>
      <c r="AE49" s="296"/>
      <c r="AF49" s="411"/>
      <c r="AG49" s="411"/>
      <c r="AH49" s="412"/>
      <c r="AI49" s="412"/>
      <c r="AJ49" s="412"/>
      <c r="AK49" s="412"/>
      <c r="AL49" s="412"/>
      <c r="AM49" s="412"/>
      <c r="AN49" s="412"/>
      <c r="AO49" s="412"/>
      <c r="AP49" s="412"/>
      <c r="AQ49" s="412"/>
      <c r="AR49" s="412"/>
      <c r="AS49" s="412"/>
      <c r="AT49" s="412"/>
      <c r="AU49" s="412"/>
      <c r="AV49" s="412"/>
      <c r="AW49" s="412"/>
      <c r="AX49" s="412"/>
      <c r="AY49" s="412"/>
      <c r="AZ49" s="412"/>
      <c r="BA49" s="412"/>
      <c r="BB49" s="412"/>
    </row>
    <row r="50" spans="2:54" x14ac:dyDescent="0.2">
      <c r="B50" s="411"/>
      <c r="C50" s="411"/>
      <c r="D50" s="411"/>
      <c r="E50" s="411"/>
      <c r="F50" s="411"/>
      <c r="G50" s="411"/>
      <c r="H50" s="411"/>
      <c r="I50" s="411"/>
      <c r="J50" s="411"/>
      <c r="K50" s="411"/>
      <c r="L50" s="411"/>
      <c r="M50" s="411"/>
      <c r="N50" s="411"/>
      <c r="O50" s="411"/>
      <c r="P50" s="411"/>
      <c r="Q50" s="411"/>
      <c r="R50" s="411"/>
      <c r="S50" s="298"/>
      <c r="T50" s="402"/>
      <c r="U50" s="402"/>
      <c r="V50" s="402"/>
      <c r="W50" s="402"/>
      <c r="X50" s="402"/>
      <c r="Y50" s="402"/>
      <c r="Z50" s="402"/>
      <c r="AA50" s="402"/>
      <c r="AB50" s="402"/>
      <c r="AC50" s="402"/>
      <c r="AD50" s="296"/>
      <c r="AE50" s="296"/>
      <c r="AF50" s="411"/>
      <c r="AG50" s="411"/>
      <c r="AH50" s="412"/>
      <c r="AI50" s="412"/>
      <c r="AJ50" s="412"/>
      <c r="AK50" s="412"/>
      <c r="AL50" s="412"/>
      <c r="AM50" s="412"/>
      <c r="AN50" s="412"/>
      <c r="AO50" s="412"/>
      <c r="AP50" s="412"/>
      <c r="AQ50" s="412"/>
      <c r="AR50" s="412"/>
      <c r="AS50" s="412"/>
      <c r="AT50" s="412"/>
      <c r="AU50" s="412"/>
      <c r="AV50" s="412"/>
      <c r="AW50" s="412"/>
      <c r="AX50" s="412"/>
      <c r="AY50" s="412"/>
      <c r="AZ50" s="412"/>
      <c r="BA50" s="412"/>
      <c r="BB50" s="412"/>
    </row>
    <row r="51" spans="2:54" x14ac:dyDescent="0.2">
      <c r="B51" s="411"/>
      <c r="C51" s="411"/>
      <c r="D51" s="411"/>
      <c r="E51" s="411"/>
      <c r="F51" s="411"/>
      <c r="G51" s="411"/>
      <c r="H51" s="411"/>
      <c r="I51" s="411"/>
      <c r="J51" s="411"/>
      <c r="K51" s="411"/>
      <c r="L51" s="411"/>
      <c r="M51" s="411"/>
      <c r="N51" s="411"/>
      <c r="O51" s="411"/>
      <c r="P51" s="411"/>
      <c r="Q51" s="411"/>
      <c r="R51" s="411"/>
      <c r="S51" s="298"/>
      <c r="T51" s="402"/>
      <c r="U51" s="402"/>
      <c r="V51" s="402"/>
      <c r="W51" s="402"/>
      <c r="X51" s="402"/>
      <c r="Y51" s="402"/>
      <c r="Z51" s="402"/>
      <c r="AA51" s="402"/>
      <c r="AB51" s="402"/>
      <c r="AC51" s="402"/>
      <c r="AD51" s="296"/>
      <c r="AE51" s="296"/>
      <c r="AF51" s="411"/>
      <c r="AG51" s="411"/>
      <c r="AH51" s="412"/>
      <c r="AI51" s="412"/>
      <c r="AJ51" s="412"/>
      <c r="AK51" s="412"/>
      <c r="AL51" s="412"/>
      <c r="AM51" s="412"/>
      <c r="AN51" s="412"/>
      <c r="AO51" s="412"/>
      <c r="AP51" s="412"/>
      <c r="AQ51" s="412"/>
      <c r="AR51" s="412"/>
      <c r="AS51" s="412"/>
      <c r="AT51" s="412"/>
      <c r="AU51" s="412"/>
      <c r="AV51" s="412"/>
      <c r="AW51" s="412"/>
      <c r="AX51" s="412"/>
      <c r="AY51" s="412"/>
      <c r="AZ51" s="412"/>
      <c r="BA51" s="412"/>
      <c r="BB51" s="412"/>
    </row>
    <row r="52" spans="2:54" x14ac:dyDescent="0.2">
      <c r="B52" s="411"/>
      <c r="C52" s="411"/>
      <c r="D52" s="411"/>
      <c r="E52" s="411"/>
      <c r="F52" s="411"/>
      <c r="G52" s="411"/>
      <c r="H52" s="411"/>
      <c r="I52" s="411"/>
      <c r="J52" s="411"/>
      <c r="K52" s="411"/>
      <c r="L52" s="411"/>
      <c r="M52" s="411"/>
      <c r="N52" s="411"/>
      <c r="O52" s="411"/>
      <c r="P52" s="411"/>
      <c r="Q52" s="411"/>
      <c r="R52" s="411"/>
      <c r="S52" s="298"/>
      <c r="T52" s="402"/>
      <c r="U52" s="402"/>
      <c r="V52" s="402"/>
      <c r="W52" s="402"/>
      <c r="X52" s="402"/>
      <c r="Y52" s="402"/>
      <c r="Z52" s="402"/>
      <c r="AA52" s="402"/>
      <c r="AB52" s="402"/>
      <c r="AC52" s="402"/>
      <c r="AD52" s="296"/>
      <c r="AE52" s="296"/>
      <c r="AF52" s="411"/>
      <c r="AG52" s="411"/>
      <c r="AH52" s="412"/>
      <c r="AI52" s="412"/>
      <c r="AJ52" s="412"/>
      <c r="AK52" s="412"/>
      <c r="AL52" s="412"/>
      <c r="AM52" s="412"/>
      <c r="AN52" s="412"/>
      <c r="AO52" s="412"/>
      <c r="AP52" s="412"/>
      <c r="AQ52" s="412"/>
      <c r="AR52" s="412"/>
      <c r="AS52" s="412"/>
      <c r="AT52" s="412"/>
      <c r="AU52" s="412"/>
      <c r="AV52" s="412"/>
      <c r="AW52" s="412"/>
      <c r="AX52" s="412"/>
      <c r="AY52" s="412"/>
      <c r="AZ52" s="412"/>
      <c r="BA52" s="412"/>
      <c r="BB52" s="412"/>
    </row>
    <row r="53" spans="2:54" x14ac:dyDescent="0.2">
      <c r="B53" s="411"/>
      <c r="C53" s="411"/>
      <c r="D53" s="411"/>
      <c r="E53" s="411"/>
      <c r="F53" s="411"/>
      <c r="G53" s="411"/>
      <c r="H53" s="411"/>
      <c r="I53" s="411"/>
      <c r="J53" s="411"/>
      <c r="K53" s="411"/>
      <c r="L53" s="411"/>
      <c r="M53" s="411"/>
      <c r="N53" s="411"/>
      <c r="O53" s="411"/>
      <c r="P53" s="411"/>
      <c r="Q53" s="411"/>
      <c r="R53" s="411"/>
      <c r="S53" s="298"/>
      <c r="T53" s="402"/>
      <c r="U53" s="402"/>
      <c r="V53" s="402"/>
      <c r="W53" s="402"/>
      <c r="X53" s="402"/>
      <c r="Y53" s="402"/>
      <c r="Z53" s="402"/>
      <c r="AA53" s="402"/>
      <c r="AB53" s="402"/>
      <c r="AC53" s="402"/>
      <c r="AD53" s="296"/>
      <c r="AE53" s="296"/>
      <c r="AF53" s="411"/>
      <c r="AG53" s="411"/>
      <c r="AH53" s="412"/>
      <c r="AI53" s="412"/>
      <c r="AJ53" s="412"/>
      <c r="AK53" s="412"/>
      <c r="AL53" s="412"/>
      <c r="AM53" s="412"/>
      <c r="AN53" s="412"/>
      <c r="AO53" s="412"/>
      <c r="AP53" s="412"/>
      <c r="AQ53" s="412"/>
      <c r="AR53" s="412"/>
      <c r="AS53" s="412"/>
      <c r="AT53" s="412"/>
      <c r="AU53" s="412"/>
      <c r="AV53" s="412"/>
      <c r="AW53" s="412"/>
      <c r="AX53" s="412"/>
      <c r="AY53" s="412"/>
      <c r="AZ53" s="412"/>
      <c r="BA53" s="412"/>
      <c r="BB53" s="412"/>
    </row>
    <row r="54" spans="2:54" x14ac:dyDescent="0.2">
      <c r="B54" s="411"/>
      <c r="C54" s="411"/>
      <c r="D54" s="411"/>
      <c r="E54" s="411"/>
      <c r="F54" s="411"/>
      <c r="G54" s="411"/>
      <c r="H54" s="411"/>
      <c r="I54" s="411"/>
      <c r="J54" s="411"/>
      <c r="K54" s="411"/>
      <c r="L54" s="411"/>
      <c r="M54" s="411"/>
      <c r="N54" s="411"/>
      <c r="O54" s="411"/>
      <c r="P54" s="411"/>
      <c r="Q54" s="411"/>
      <c r="R54" s="411"/>
      <c r="S54" s="298"/>
      <c r="T54" s="402"/>
      <c r="U54" s="402"/>
      <c r="V54" s="402"/>
      <c r="W54" s="402"/>
      <c r="X54" s="402"/>
      <c r="Y54" s="402"/>
      <c r="Z54" s="402"/>
      <c r="AA54" s="402"/>
      <c r="AB54" s="402"/>
      <c r="AC54" s="402"/>
      <c r="AD54" s="296"/>
      <c r="AE54" s="296"/>
      <c r="AF54" s="411"/>
      <c r="AG54" s="411"/>
      <c r="AH54" s="412"/>
      <c r="AI54" s="412"/>
      <c r="AJ54" s="412"/>
      <c r="AK54" s="412"/>
      <c r="AL54" s="412"/>
      <c r="AM54" s="412"/>
      <c r="AN54" s="412"/>
      <c r="AO54" s="412"/>
      <c r="AP54" s="412"/>
      <c r="AQ54" s="412"/>
      <c r="AR54" s="412"/>
      <c r="AS54" s="412"/>
      <c r="AT54" s="412"/>
      <c r="AU54" s="412"/>
      <c r="AV54" s="412"/>
      <c r="AW54" s="412"/>
      <c r="AX54" s="412"/>
      <c r="AY54" s="412"/>
      <c r="AZ54" s="412"/>
      <c r="BA54" s="412"/>
      <c r="BB54" s="412"/>
    </row>
    <row r="55" spans="2:54" x14ac:dyDescent="0.2">
      <c r="B55" s="411"/>
      <c r="C55" s="411"/>
      <c r="D55" s="411"/>
      <c r="E55" s="411"/>
      <c r="F55" s="411"/>
      <c r="G55" s="411"/>
      <c r="H55" s="411"/>
      <c r="I55" s="411"/>
      <c r="J55" s="411"/>
      <c r="K55" s="411"/>
      <c r="L55" s="411"/>
      <c r="M55" s="411"/>
      <c r="N55" s="411"/>
      <c r="O55" s="411"/>
      <c r="P55" s="411"/>
      <c r="Q55" s="411"/>
      <c r="R55" s="411"/>
      <c r="S55" s="298"/>
      <c r="T55" s="402"/>
      <c r="U55" s="402"/>
      <c r="V55" s="402"/>
      <c r="W55" s="402"/>
      <c r="X55" s="402"/>
      <c r="Y55" s="402"/>
      <c r="Z55" s="402"/>
      <c r="AA55" s="402"/>
      <c r="AB55" s="402"/>
      <c r="AC55" s="402"/>
      <c r="AD55" s="296"/>
      <c r="AE55" s="296"/>
      <c r="AF55" s="411"/>
      <c r="AG55" s="411"/>
      <c r="AH55" s="412"/>
      <c r="AI55" s="412"/>
      <c r="AJ55" s="412"/>
      <c r="AK55" s="412"/>
      <c r="AL55" s="412"/>
      <c r="AM55" s="412"/>
      <c r="AN55" s="412"/>
      <c r="AO55" s="412"/>
      <c r="AP55" s="412"/>
      <c r="AQ55" s="412"/>
      <c r="AR55" s="412"/>
      <c r="AS55" s="412"/>
      <c r="AT55" s="412"/>
      <c r="AU55" s="412"/>
      <c r="AV55" s="412"/>
      <c r="AW55" s="412"/>
      <c r="AX55" s="412"/>
      <c r="AY55" s="412"/>
      <c r="AZ55" s="412"/>
      <c r="BA55" s="412"/>
      <c r="BB55" s="412"/>
    </row>
    <row r="56" spans="2:54" x14ac:dyDescent="0.2">
      <c r="B56" s="411"/>
      <c r="C56" s="411"/>
      <c r="D56" s="411"/>
      <c r="E56" s="411"/>
      <c r="F56" s="411"/>
      <c r="G56" s="411"/>
      <c r="H56" s="411"/>
      <c r="I56" s="411"/>
      <c r="J56" s="411"/>
      <c r="K56" s="411"/>
      <c r="L56" s="411"/>
      <c r="M56" s="411"/>
      <c r="N56" s="411"/>
      <c r="O56" s="411"/>
      <c r="P56" s="411"/>
      <c r="Q56" s="411"/>
      <c r="R56" s="411"/>
      <c r="S56" s="298"/>
      <c r="T56" s="402"/>
      <c r="U56" s="402"/>
      <c r="V56" s="402"/>
      <c r="W56" s="402"/>
      <c r="X56" s="402"/>
      <c r="Y56" s="402"/>
      <c r="Z56" s="402"/>
      <c r="AA56" s="402"/>
      <c r="AB56" s="402"/>
      <c r="AC56" s="402"/>
      <c r="AD56" s="296"/>
      <c r="AE56" s="296"/>
      <c r="AF56" s="411"/>
      <c r="AG56" s="411"/>
      <c r="AH56" s="412"/>
      <c r="AI56" s="412"/>
      <c r="AJ56" s="412"/>
      <c r="AK56" s="412"/>
      <c r="AL56" s="412"/>
      <c r="AM56" s="412"/>
      <c r="AN56" s="412"/>
      <c r="AO56" s="412"/>
      <c r="AP56" s="412"/>
      <c r="AQ56" s="412"/>
      <c r="AR56" s="412"/>
      <c r="AS56" s="412"/>
      <c r="AT56" s="412"/>
      <c r="AU56" s="412"/>
      <c r="AV56" s="412"/>
      <c r="AW56" s="412"/>
      <c r="AX56" s="412"/>
      <c r="AY56" s="412"/>
      <c r="AZ56" s="412"/>
      <c r="BA56" s="412"/>
      <c r="BB56" s="412"/>
    </row>
    <row r="57" spans="2:54" x14ac:dyDescent="0.2">
      <c r="B57" s="411"/>
      <c r="C57" s="411"/>
      <c r="D57" s="411"/>
      <c r="E57" s="411"/>
      <c r="F57" s="411"/>
      <c r="G57" s="411"/>
      <c r="H57" s="411"/>
      <c r="I57" s="411"/>
      <c r="J57" s="411"/>
      <c r="K57" s="411"/>
      <c r="L57" s="411"/>
      <c r="M57" s="411"/>
      <c r="N57" s="411"/>
      <c r="O57" s="411"/>
      <c r="P57" s="411"/>
      <c r="Q57" s="411"/>
      <c r="R57" s="411"/>
      <c r="S57" s="298"/>
      <c r="T57" s="402"/>
      <c r="U57" s="402"/>
      <c r="V57" s="402"/>
      <c r="W57" s="402"/>
      <c r="X57" s="402"/>
      <c r="Y57" s="402"/>
      <c r="Z57" s="402"/>
      <c r="AA57" s="402"/>
      <c r="AB57" s="402"/>
      <c r="AC57" s="402"/>
      <c r="AD57" s="296"/>
      <c r="AE57" s="296"/>
      <c r="AF57" s="411"/>
      <c r="AG57" s="411"/>
      <c r="AH57" s="412"/>
      <c r="AI57" s="412"/>
      <c r="AJ57" s="412"/>
      <c r="AK57" s="412"/>
      <c r="AL57" s="412"/>
      <c r="AM57" s="412"/>
      <c r="AN57" s="412"/>
      <c r="AO57" s="412"/>
      <c r="AP57" s="412"/>
      <c r="AQ57" s="412"/>
      <c r="AR57" s="412"/>
      <c r="AS57" s="412"/>
      <c r="AT57" s="412"/>
      <c r="AU57" s="412"/>
      <c r="AV57" s="412"/>
      <c r="AW57" s="412"/>
      <c r="AX57" s="412"/>
      <c r="AY57" s="412"/>
      <c r="AZ57" s="412"/>
      <c r="BA57" s="412"/>
      <c r="BB57" s="412"/>
    </row>
    <row r="58" spans="2:54" x14ac:dyDescent="0.2">
      <c r="B58" s="411"/>
      <c r="C58" s="411"/>
      <c r="D58" s="411"/>
      <c r="E58" s="411"/>
      <c r="F58" s="411"/>
      <c r="G58" s="411"/>
      <c r="H58" s="411"/>
      <c r="I58" s="411"/>
      <c r="J58" s="411"/>
      <c r="K58" s="411"/>
      <c r="L58" s="411"/>
      <c r="M58" s="411"/>
      <c r="N58" s="411"/>
      <c r="O58" s="411"/>
      <c r="P58" s="411"/>
      <c r="Q58" s="411"/>
      <c r="R58" s="411"/>
      <c r="S58" s="298"/>
      <c r="T58" s="402"/>
      <c r="U58" s="402"/>
      <c r="V58" s="402"/>
      <c r="W58" s="402"/>
      <c r="X58" s="402"/>
      <c r="Y58" s="402"/>
      <c r="Z58" s="402"/>
      <c r="AA58" s="402"/>
      <c r="AB58" s="402"/>
      <c r="AC58" s="402"/>
      <c r="AD58" s="296"/>
      <c r="AE58" s="296"/>
      <c r="AF58" s="411"/>
      <c r="AG58" s="411"/>
      <c r="AH58" s="412"/>
      <c r="AI58" s="412"/>
      <c r="AJ58" s="412"/>
      <c r="AK58" s="412"/>
      <c r="AL58" s="412"/>
      <c r="AM58" s="412"/>
      <c r="AN58" s="412"/>
      <c r="AO58" s="412"/>
      <c r="AP58" s="412"/>
      <c r="AQ58" s="412"/>
      <c r="AR58" s="412"/>
      <c r="AS58" s="412"/>
      <c r="AT58" s="412"/>
      <c r="AU58" s="412"/>
      <c r="AV58" s="412"/>
      <c r="AW58" s="412"/>
      <c r="AX58" s="412"/>
      <c r="AY58" s="412"/>
      <c r="AZ58" s="412"/>
      <c r="BA58" s="412"/>
      <c r="BB58" s="412"/>
    </row>
    <row r="59" spans="2:54" x14ac:dyDescent="0.2">
      <c r="B59" s="411"/>
      <c r="C59" s="411"/>
      <c r="D59" s="411"/>
      <c r="E59" s="411"/>
      <c r="F59" s="411"/>
      <c r="G59" s="411"/>
      <c r="H59" s="411"/>
      <c r="I59" s="411"/>
      <c r="J59" s="411"/>
      <c r="K59" s="411"/>
      <c r="L59" s="411"/>
      <c r="M59" s="411"/>
      <c r="N59" s="411"/>
      <c r="O59" s="411"/>
      <c r="P59" s="411"/>
      <c r="Q59" s="411"/>
      <c r="R59" s="411"/>
      <c r="S59" s="298"/>
      <c r="T59" s="402"/>
      <c r="U59" s="402"/>
      <c r="V59" s="402"/>
      <c r="W59" s="402"/>
      <c r="X59" s="402"/>
      <c r="Y59" s="402"/>
      <c r="Z59" s="402"/>
      <c r="AA59" s="402"/>
      <c r="AB59" s="402"/>
      <c r="AC59" s="402"/>
      <c r="AD59" s="296"/>
      <c r="AE59" s="296"/>
      <c r="AF59" s="411"/>
      <c r="AG59" s="411"/>
      <c r="AH59" s="412"/>
      <c r="AI59" s="412"/>
      <c r="AJ59" s="412"/>
      <c r="AK59" s="412"/>
      <c r="AL59" s="412"/>
      <c r="AM59" s="412"/>
      <c r="AN59" s="412"/>
      <c r="AO59" s="412"/>
      <c r="AP59" s="412"/>
      <c r="AQ59" s="412"/>
      <c r="AR59" s="412"/>
      <c r="AS59" s="412"/>
      <c r="AT59" s="412"/>
      <c r="AU59" s="412"/>
      <c r="AV59" s="412"/>
      <c r="AW59" s="412"/>
      <c r="AX59" s="412"/>
      <c r="AY59" s="412"/>
      <c r="AZ59" s="412"/>
      <c r="BA59" s="412"/>
      <c r="BB59" s="412"/>
    </row>
    <row r="60" spans="2:54" x14ac:dyDescent="0.2">
      <c r="B60" s="411"/>
      <c r="C60" s="411"/>
      <c r="D60" s="411"/>
      <c r="E60" s="411"/>
      <c r="F60" s="411"/>
      <c r="G60" s="411"/>
      <c r="H60" s="411"/>
      <c r="I60" s="411"/>
      <c r="J60" s="411"/>
      <c r="K60" s="411"/>
      <c r="L60" s="411"/>
      <c r="M60" s="411"/>
      <c r="N60" s="411"/>
      <c r="O60" s="411"/>
      <c r="P60" s="411"/>
      <c r="Q60" s="411"/>
      <c r="R60" s="411"/>
      <c r="S60" s="298"/>
      <c r="T60" s="402"/>
      <c r="U60" s="402"/>
      <c r="V60" s="402"/>
      <c r="W60" s="402"/>
      <c r="X60" s="402"/>
      <c r="Y60" s="402"/>
      <c r="Z60" s="402"/>
      <c r="AA60" s="402"/>
      <c r="AB60" s="402"/>
      <c r="AC60" s="402"/>
      <c r="AD60" s="296"/>
      <c r="AE60" s="296"/>
      <c r="AF60" s="411"/>
      <c r="AG60" s="411"/>
      <c r="AH60" s="412"/>
      <c r="AI60" s="412"/>
      <c r="AJ60" s="412"/>
      <c r="AK60" s="412"/>
      <c r="AL60" s="412"/>
      <c r="AM60" s="412"/>
      <c r="AN60" s="412"/>
      <c r="AO60" s="412"/>
      <c r="AP60" s="412"/>
      <c r="AQ60" s="412"/>
      <c r="AR60" s="412"/>
      <c r="AS60" s="412"/>
      <c r="AT60" s="412"/>
      <c r="AU60" s="412"/>
      <c r="AV60" s="412"/>
      <c r="AW60" s="412"/>
      <c r="AX60" s="412"/>
      <c r="AY60" s="412"/>
      <c r="AZ60" s="412"/>
      <c r="BA60" s="412"/>
      <c r="BB60" s="412"/>
    </row>
    <row r="61" spans="2:54" x14ac:dyDescent="0.2">
      <c r="B61" s="411"/>
      <c r="C61" s="411"/>
      <c r="D61" s="411"/>
      <c r="E61" s="411"/>
      <c r="F61" s="411"/>
      <c r="G61" s="411"/>
      <c r="H61" s="411"/>
      <c r="I61" s="411"/>
      <c r="J61" s="411"/>
      <c r="K61" s="411"/>
      <c r="L61" s="411"/>
      <c r="M61" s="411"/>
      <c r="N61" s="411"/>
      <c r="O61" s="411"/>
      <c r="P61" s="411"/>
      <c r="Q61" s="411"/>
      <c r="R61" s="411"/>
      <c r="S61" s="298"/>
      <c r="T61" s="402"/>
      <c r="U61" s="402"/>
      <c r="V61" s="402"/>
      <c r="W61" s="402"/>
      <c r="X61" s="402"/>
      <c r="Y61" s="402"/>
      <c r="Z61" s="402"/>
      <c r="AA61" s="402"/>
      <c r="AB61" s="402"/>
      <c r="AC61" s="402"/>
      <c r="AD61" s="296"/>
      <c r="AE61" s="296"/>
      <c r="AF61" s="411"/>
      <c r="AG61" s="411"/>
      <c r="AH61" s="412"/>
      <c r="AI61" s="412"/>
      <c r="AJ61" s="412"/>
      <c r="AK61" s="412"/>
      <c r="AL61" s="412"/>
      <c r="AM61" s="412"/>
      <c r="AN61" s="412"/>
      <c r="AO61" s="412"/>
      <c r="AP61" s="412"/>
      <c r="AQ61" s="412"/>
      <c r="AR61" s="412"/>
      <c r="AS61" s="412"/>
      <c r="AT61" s="412"/>
      <c r="AU61" s="412"/>
      <c r="AV61" s="412"/>
      <c r="AW61" s="412"/>
      <c r="AX61" s="412"/>
      <c r="AY61" s="412"/>
      <c r="AZ61" s="412"/>
      <c r="BA61" s="412"/>
      <c r="BB61" s="412"/>
    </row>
    <row r="62" spans="2:54" x14ac:dyDescent="0.2">
      <c r="B62" s="411"/>
      <c r="C62" s="411"/>
      <c r="D62" s="411"/>
      <c r="E62" s="411"/>
      <c r="F62" s="411"/>
      <c r="G62" s="411"/>
      <c r="H62" s="411"/>
      <c r="I62" s="411"/>
      <c r="J62" s="411"/>
      <c r="K62" s="411"/>
      <c r="L62" s="411"/>
      <c r="M62" s="411"/>
      <c r="N62" s="411"/>
      <c r="O62" s="411"/>
      <c r="P62" s="411"/>
      <c r="Q62" s="411"/>
      <c r="R62" s="411"/>
      <c r="S62" s="298"/>
      <c r="T62" s="402"/>
      <c r="U62" s="402"/>
      <c r="V62" s="402"/>
      <c r="W62" s="402"/>
      <c r="X62" s="402"/>
      <c r="Y62" s="402"/>
      <c r="Z62" s="402"/>
      <c r="AA62" s="402"/>
      <c r="AB62" s="402"/>
      <c r="AC62" s="402"/>
      <c r="AD62" s="296"/>
      <c r="AE62" s="296"/>
      <c r="AF62" s="411"/>
      <c r="AG62" s="411"/>
      <c r="AH62" s="412"/>
      <c r="AI62" s="412"/>
      <c r="AJ62" s="412"/>
      <c r="AK62" s="412"/>
      <c r="AL62" s="412"/>
      <c r="AM62" s="412"/>
      <c r="AN62" s="412"/>
      <c r="AO62" s="412"/>
      <c r="AP62" s="412"/>
      <c r="AQ62" s="412"/>
      <c r="AR62" s="412"/>
      <c r="AS62" s="412"/>
      <c r="AT62" s="412"/>
      <c r="AU62" s="412"/>
      <c r="AV62" s="412"/>
      <c r="AW62" s="412"/>
      <c r="AX62" s="412"/>
      <c r="AY62" s="412"/>
      <c r="AZ62" s="412"/>
      <c r="BA62" s="412"/>
      <c r="BB62" s="412"/>
    </row>
    <row r="63" spans="2:54" x14ac:dyDescent="0.2">
      <c r="B63" s="411"/>
      <c r="C63" s="411"/>
      <c r="D63" s="411"/>
      <c r="E63" s="411"/>
      <c r="F63" s="411"/>
      <c r="G63" s="411"/>
      <c r="H63" s="411"/>
      <c r="I63" s="411"/>
      <c r="J63" s="411"/>
      <c r="K63" s="411"/>
      <c r="L63" s="411"/>
      <c r="M63" s="411"/>
      <c r="N63" s="411"/>
      <c r="O63" s="411"/>
      <c r="P63" s="411"/>
      <c r="Q63" s="411"/>
      <c r="R63" s="411"/>
      <c r="S63" s="298"/>
      <c r="T63" s="402"/>
      <c r="U63" s="402"/>
      <c r="V63" s="402"/>
      <c r="W63" s="402"/>
      <c r="X63" s="402"/>
      <c r="Y63" s="402"/>
      <c r="Z63" s="402"/>
      <c r="AA63" s="402"/>
      <c r="AB63" s="402"/>
      <c r="AC63" s="402"/>
      <c r="AD63" s="296"/>
      <c r="AE63" s="296"/>
      <c r="AF63" s="411"/>
      <c r="AG63" s="411"/>
      <c r="AH63" s="412"/>
      <c r="AI63" s="412"/>
      <c r="AJ63" s="412"/>
      <c r="AK63" s="412"/>
      <c r="AL63" s="412"/>
      <c r="AM63" s="412"/>
      <c r="AN63" s="412"/>
      <c r="AO63" s="412"/>
      <c r="AP63" s="412"/>
      <c r="AQ63" s="412"/>
      <c r="AR63" s="412"/>
      <c r="AS63" s="412"/>
      <c r="AT63" s="412"/>
      <c r="AU63" s="412"/>
      <c r="AV63" s="412"/>
      <c r="AW63" s="412"/>
      <c r="AX63" s="412"/>
      <c r="AY63" s="412"/>
      <c r="AZ63" s="412"/>
      <c r="BA63" s="412"/>
      <c r="BB63" s="412"/>
    </row>
    <row r="64" spans="2:54" x14ac:dyDescent="0.2">
      <c r="B64" s="411"/>
      <c r="C64" s="411"/>
      <c r="D64" s="411"/>
      <c r="E64" s="411"/>
      <c r="F64" s="411"/>
      <c r="G64" s="411"/>
      <c r="H64" s="411"/>
      <c r="I64" s="411"/>
      <c r="J64" s="411"/>
      <c r="K64" s="411"/>
      <c r="L64" s="411"/>
      <c r="M64" s="411"/>
      <c r="N64" s="411"/>
      <c r="O64" s="411"/>
      <c r="P64" s="411"/>
      <c r="Q64" s="411"/>
      <c r="R64" s="411"/>
      <c r="S64" s="298"/>
      <c r="T64" s="402"/>
      <c r="U64" s="402"/>
      <c r="V64" s="402"/>
      <c r="W64" s="402"/>
      <c r="X64" s="402"/>
      <c r="Y64" s="402"/>
      <c r="Z64" s="402"/>
      <c r="AA64" s="402"/>
      <c r="AB64" s="402"/>
      <c r="AC64" s="402"/>
      <c r="AD64" s="296"/>
      <c r="AE64" s="296"/>
      <c r="AF64" s="411"/>
      <c r="AG64" s="411"/>
      <c r="AH64" s="412"/>
      <c r="AI64" s="412"/>
      <c r="AJ64" s="412"/>
      <c r="AK64" s="412"/>
      <c r="AL64" s="412"/>
      <c r="AM64" s="412"/>
      <c r="AN64" s="412"/>
      <c r="AO64" s="412"/>
      <c r="AP64" s="412"/>
      <c r="AQ64" s="412"/>
      <c r="AR64" s="412"/>
      <c r="AS64" s="412"/>
      <c r="AT64" s="412"/>
      <c r="AU64" s="412"/>
      <c r="AV64" s="412"/>
      <c r="AW64" s="412"/>
      <c r="AX64" s="412"/>
      <c r="AY64" s="412"/>
      <c r="AZ64" s="412"/>
      <c r="BA64" s="412"/>
      <c r="BB64" s="412"/>
    </row>
    <row r="65" spans="2:54" x14ac:dyDescent="0.2">
      <c r="B65" s="411"/>
      <c r="C65" s="411"/>
      <c r="D65" s="411"/>
      <c r="E65" s="411"/>
      <c r="F65" s="411"/>
      <c r="G65" s="411"/>
      <c r="H65" s="411"/>
      <c r="I65" s="411"/>
      <c r="J65" s="411"/>
      <c r="K65" s="411"/>
      <c r="L65" s="411"/>
      <c r="M65" s="411"/>
      <c r="N65" s="411"/>
      <c r="O65" s="411"/>
      <c r="P65" s="411"/>
      <c r="Q65" s="411"/>
      <c r="R65" s="411"/>
      <c r="S65" s="298"/>
      <c r="T65" s="402"/>
      <c r="U65" s="402"/>
      <c r="V65" s="402"/>
      <c r="W65" s="402"/>
      <c r="X65" s="402"/>
      <c r="Y65" s="402"/>
      <c r="Z65" s="402"/>
      <c r="AA65" s="402"/>
      <c r="AB65" s="402"/>
      <c r="AC65" s="402"/>
      <c r="AD65" s="296"/>
      <c r="AE65" s="296"/>
      <c r="AF65" s="411"/>
      <c r="AG65" s="411"/>
      <c r="AH65" s="412"/>
      <c r="AI65" s="412"/>
      <c r="AJ65" s="412"/>
      <c r="AK65" s="412"/>
      <c r="AL65" s="412"/>
      <c r="AM65" s="412"/>
      <c r="AN65" s="412"/>
      <c r="AO65" s="412"/>
      <c r="AP65" s="412"/>
      <c r="AQ65" s="412"/>
      <c r="AR65" s="412"/>
      <c r="AS65" s="412"/>
      <c r="AT65" s="412"/>
      <c r="AU65" s="412"/>
      <c r="AV65" s="412"/>
      <c r="AW65" s="412"/>
      <c r="AX65" s="412"/>
      <c r="AY65" s="412"/>
      <c r="AZ65" s="412"/>
      <c r="BA65" s="412"/>
      <c r="BB65" s="412"/>
    </row>
    <row r="66" spans="2:54" x14ac:dyDescent="0.2">
      <c r="B66" s="411"/>
      <c r="C66" s="411"/>
      <c r="D66" s="411"/>
      <c r="E66" s="411"/>
      <c r="F66" s="411"/>
      <c r="G66" s="411"/>
      <c r="H66" s="411"/>
      <c r="I66" s="411"/>
      <c r="J66" s="411"/>
      <c r="K66" s="411"/>
      <c r="L66" s="411"/>
      <c r="M66" s="411"/>
      <c r="N66" s="411"/>
      <c r="O66" s="411"/>
      <c r="P66" s="411"/>
      <c r="Q66" s="411"/>
      <c r="R66" s="411"/>
      <c r="S66" s="298"/>
      <c r="T66" s="402"/>
      <c r="U66" s="402"/>
      <c r="V66" s="402"/>
      <c r="W66" s="402"/>
      <c r="X66" s="402"/>
      <c r="Y66" s="402"/>
      <c r="Z66" s="402"/>
      <c r="AA66" s="402"/>
      <c r="AB66" s="402"/>
      <c r="AC66" s="402"/>
      <c r="AD66" s="296"/>
      <c r="AE66" s="296"/>
      <c r="AF66" s="411"/>
      <c r="AG66" s="411"/>
      <c r="AH66" s="412"/>
      <c r="AI66" s="412"/>
      <c r="AJ66" s="412"/>
      <c r="AK66" s="412"/>
      <c r="AL66" s="412"/>
      <c r="AM66" s="412"/>
      <c r="AN66" s="412"/>
      <c r="AO66" s="412"/>
      <c r="AP66" s="412"/>
      <c r="AQ66" s="412"/>
      <c r="AR66" s="412"/>
      <c r="AS66" s="412"/>
      <c r="AT66" s="412"/>
      <c r="AU66" s="412"/>
      <c r="AV66" s="412"/>
      <c r="AW66" s="412"/>
      <c r="AX66" s="412"/>
      <c r="AY66" s="412"/>
      <c r="AZ66" s="412"/>
      <c r="BA66" s="412"/>
      <c r="BB66" s="412"/>
    </row>
    <row r="67" spans="2:54" x14ac:dyDescent="0.2">
      <c r="B67" s="411"/>
      <c r="C67" s="411"/>
      <c r="D67" s="411"/>
      <c r="E67" s="411"/>
      <c r="F67" s="411"/>
      <c r="G67" s="411"/>
      <c r="H67" s="411"/>
      <c r="I67" s="411"/>
      <c r="J67" s="411"/>
      <c r="K67" s="411"/>
      <c r="L67" s="411"/>
      <c r="M67" s="411"/>
      <c r="N67" s="411"/>
      <c r="O67" s="411"/>
      <c r="P67" s="411"/>
      <c r="Q67" s="411"/>
      <c r="R67" s="411"/>
      <c r="S67" s="298"/>
      <c r="T67" s="402"/>
      <c r="U67" s="402"/>
      <c r="V67" s="402"/>
      <c r="W67" s="402"/>
      <c r="X67" s="402"/>
      <c r="Y67" s="402"/>
      <c r="Z67" s="402"/>
      <c r="AA67" s="402"/>
      <c r="AB67" s="402"/>
      <c r="AC67" s="402"/>
      <c r="AD67" s="296"/>
      <c r="AE67" s="296"/>
      <c r="AF67" s="411"/>
      <c r="AG67" s="411"/>
      <c r="AH67" s="412"/>
      <c r="AI67" s="412"/>
      <c r="AJ67" s="412"/>
      <c r="AK67" s="412"/>
      <c r="AL67" s="412"/>
      <c r="AM67" s="412"/>
      <c r="AN67" s="412"/>
      <c r="AO67" s="412"/>
      <c r="AP67" s="412"/>
      <c r="AQ67" s="412"/>
      <c r="AR67" s="412"/>
      <c r="AS67" s="412"/>
      <c r="AT67" s="412"/>
      <c r="AU67" s="412"/>
      <c r="AV67" s="412"/>
      <c r="AW67" s="412"/>
      <c r="AX67" s="412"/>
      <c r="AY67" s="412"/>
      <c r="AZ67" s="412"/>
      <c r="BA67" s="412"/>
      <c r="BB67" s="412"/>
    </row>
    <row r="68" spans="2:54" x14ac:dyDescent="0.2">
      <c r="B68" s="411"/>
      <c r="C68" s="411"/>
      <c r="D68" s="411"/>
      <c r="E68" s="411"/>
      <c r="F68" s="411"/>
      <c r="G68" s="411"/>
      <c r="H68" s="411"/>
      <c r="I68" s="411"/>
      <c r="J68" s="411"/>
      <c r="K68" s="411"/>
      <c r="L68" s="411"/>
      <c r="M68" s="411"/>
      <c r="N68" s="411"/>
      <c r="O68" s="411"/>
      <c r="P68" s="411"/>
      <c r="Q68" s="411"/>
      <c r="R68" s="411"/>
      <c r="S68" s="298"/>
      <c r="T68" s="402"/>
      <c r="U68" s="402"/>
      <c r="V68" s="402"/>
      <c r="W68" s="402"/>
      <c r="X68" s="402"/>
      <c r="Y68" s="402"/>
      <c r="Z68" s="402"/>
      <c r="AA68" s="402"/>
      <c r="AB68" s="402"/>
      <c r="AC68" s="402"/>
      <c r="AD68" s="296"/>
      <c r="AE68" s="296"/>
      <c r="AF68" s="411"/>
      <c r="AG68" s="411"/>
      <c r="AH68" s="412"/>
      <c r="AI68" s="412"/>
      <c r="AJ68" s="412"/>
      <c r="AK68" s="412"/>
      <c r="AL68" s="412"/>
      <c r="AM68" s="412"/>
      <c r="AN68" s="412"/>
      <c r="AO68" s="412"/>
      <c r="AP68" s="412"/>
      <c r="AQ68" s="412"/>
      <c r="AR68" s="412"/>
      <c r="AS68" s="412"/>
      <c r="AT68" s="412"/>
      <c r="AU68" s="412"/>
      <c r="AV68" s="412"/>
      <c r="AW68" s="412"/>
      <c r="AX68" s="412"/>
      <c r="AY68" s="412"/>
      <c r="AZ68" s="412"/>
      <c r="BA68" s="412"/>
      <c r="BB68" s="412"/>
    </row>
    <row r="69" spans="2:54" x14ac:dyDescent="0.2">
      <c r="B69" s="411"/>
      <c r="C69" s="411"/>
      <c r="D69" s="411"/>
      <c r="E69" s="411"/>
      <c r="F69" s="411"/>
      <c r="G69" s="411"/>
      <c r="H69" s="411"/>
      <c r="I69" s="411"/>
      <c r="J69" s="411"/>
      <c r="K69" s="411"/>
      <c r="L69" s="411"/>
      <c r="M69" s="411"/>
      <c r="N69" s="411"/>
      <c r="O69" s="411"/>
      <c r="P69" s="411"/>
      <c r="Q69" s="411"/>
      <c r="R69" s="411"/>
      <c r="S69" s="298"/>
      <c r="T69" s="402"/>
      <c r="U69" s="402"/>
      <c r="V69" s="402"/>
      <c r="W69" s="402"/>
      <c r="X69" s="402"/>
      <c r="Y69" s="402"/>
      <c r="Z69" s="402"/>
      <c r="AA69" s="402"/>
      <c r="AB69" s="402"/>
      <c r="AC69" s="402"/>
      <c r="AD69" s="296"/>
      <c r="AE69" s="296"/>
      <c r="AF69" s="411"/>
      <c r="AG69" s="411"/>
      <c r="AH69" s="412"/>
      <c r="AI69" s="412"/>
      <c r="AJ69" s="412"/>
      <c r="AK69" s="412"/>
      <c r="AL69" s="412"/>
      <c r="AM69" s="412"/>
      <c r="AN69" s="412"/>
      <c r="AO69" s="412"/>
      <c r="AP69" s="412"/>
      <c r="AQ69" s="412"/>
      <c r="AR69" s="412"/>
      <c r="AS69" s="412"/>
      <c r="AT69" s="412"/>
      <c r="AU69" s="412"/>
      <c r="AV69" s="412"/>
      <c r="AW69" s="412"/>
      <c r="AX69" s="412"/>
      <c r="AY69" s="412"/>
      <c r="AZ69" s="412"/>
      <c r="BA69" s="412"/>
      <c r="BB69" s="412"/>
    </row>
    <row r="70" spans="2:54" x14ac:dyDescent="0.2">
      <c r="B70" s="411"/>
      <c r="C70" s="411"/>
      <c r="D70" s="411"/>
      <c r="E70" s="411"/>
      <c r="F70" s="411"/>
      <c r="G70" s="411"/>
      <c r="H70" s="411"/>
      <c r="I70" s="411"/>
      <c r="J70" s="411"/>
      <c r="K70" s="411"/>
      <c r="L70" s="411"/>
      <c r="M70" s="411"/>
      <c r="N70" s="411"/>
      <c r="O70" s="411"/>
      <c r="P70" s="411"/>
      <c r="Q70" s="411"/>
      <c r="R70" s="411"/>
      <c r="S70" s="298"/>
      <c r="T70" s="402"/>
      <c r="U70" s="402"/>
      <c r="V70" s="402"/>
      <c r="W70" s="402"/>
      <c r="X70" s="402"/>
      <c r="Y70" s="402"/>
      <c r="Z70" s="402"/>
      <c r="AA70" s="402"/>
      <c r="AB70" s="402"/>
      <c r="AC70" s="402"/>
      <c r="AD70" s="296"/>
      <c r="AE70" s="296"/>
      <c r="AF70" s="411"/>
      <c r="AG70" s="411"/>
      <c r="AH70" s="412"/>
      <c r="AI70" s="412"/>
      <c r="AJ70" s="412"/>
      <c r="AK70" s="412"/>
      <c r="AL70" s="412"/>
      <c r="AM70" s="412"/>
      <c r="AN70" s="412"/>
      <c r="AO70" s="412"/>
      <c r="AP70" s="412"/>
      <c r="AQ70" s="412"/>
      <c r="AR70" s="412"/>
      <c r="AS70" s="412"/>
      <c r="AT70" s="412"/>
      <c r="AU70" s="412"/>
      <c r="AV70" s="412"/>
      <c r="AW70" s="412"/>
      <c r="AX70" s="412"/>
      <c r="AY70" s="412"/>
      <c r="AZ70" s="412"/>
      <c r="BA70" s="412"/>
      <c r="BB70" s="412"/>
    </row>
    <row r="71" spans="2:54" x14ac:dyDescent="0.2">
      <c r="B71" s="411"/>
      <c r="C71" s="411"/>
      <c r="D71" s="411"/>
      <c r="E71" s="411"/>
      <c r="F71" s="411"/>
      <c r="G71" s="411"/>
      <c r="H71" s="411"/>
      <c r="I71" s="411"/>
      <c r="J71" s="411"/>
      <c r="K71" s="411"/>
      <c r="L71" s="411"/>
      <c r="M71" s="411"/>
      <c r="N71" s="411"/>
      <c r="O71" s="411"/>
      <c r="P71" s="411"/>
      <c r="Q71" s="411"/>
      <c r="R71" s="411"/>
      <c r="S71" s="298"/>
      <c r="T71" s="402"/>
      <c r="U71" s="402"/>
      <c r="V71" s="402"/>
      <c r="W71" s="402"/>
      <c r="X71" s="402"/>
      <c r="Y71" s="402"/>
      <c r="Z71" s="402"/>
      <c r="AA71" s="402"/>
      <c r="AB71" s="402"/>
      <c r="AC71" s="402"/>
      <c r="AD71" s="296"/>
      <c r="AE71" s="296"/>
      <c r="AF71" s="411"/>
      <c r="AG71" s="411"/>
      <c r="AH71" s="412"/>
      <c r="AI71" s="412"/>
      <c r="AJ71" s="412"/>
      <c r="AK71" s="412"/>
      <c r="AL71" s="412"/>
      <c r="AM71" s="412"/>
      <c r="AN71" s="412"/>
      <c r="AO71" s="412"/>
      <c r="AP71" s="412"/>
      <c r="AQ71" s="412"/>
      <c r="AR71" s="412"/>
      <c r="AS71" s="412"/>
      <c r="AT71" s="412"/>
      <c r="AU71" s="412"/>
      <c r="AV71" s="412"/>
      <c r="AW71" s="412"/>
      <c r="AX71" s="412"/>
      <c r="AY71" s="412"/>
      <c r="AZ71" s="412"/>
      <c r="BA71" s="412"/>
      <c r="BB71" s="412"/>
    </row>
    <row r="72" spans="2:54" x14ac:dyDescent="0.2">
      <c r="B72" s="411"/>
      <c r="C72" s="411"/>
      <c r="D72" s="411"/>
      <c r="E72" s="411"/>
      <c r="F72" s="411"/>
      <c r="G72" s="411"/>
      <c r="H72" s="411"/>
      <c r="I72" s="411"/>
      <c r="J72" s="411"/>
      <c r="K72" s="411"/>
      <c r="L72" s="411"/>
      <c r="M72" s="411"/>
      <c r="N72" s="411"/>
      <c r="O72" s="411"/>
      <c r="P72" s="411"/>
      <c r="Q72" s="411"/>
      <c r="R72" s="411"/>
      <c r="S72" s="298"/>
      <c r="T72" s="402"/>
      <c r="U72" s="402"/>
      <c r="V72" s="402"/>
      <c r="W72" s="402"/>
      <c r="X72" s="402"/>
      <c r="Y72" s="402"/>
      <c r="Z72" s="402"/>
      <c r="AA72" s="402"/>
      <c r="AB72" s="402"/>
      <c r="AC72" s="402"/>
      <c r="AD72" s="296"/>
      <c r="AE72" s="296"/>
      <c r="AF72" s="411"/>
      <c r="AG72" s="411"/>
      <c r="AH72" s="412"/>
      <c r="AI72" s="412"/>
      <c r="AJ72" s="412"/>
      <c r="AK72" s="412"/>
      <c r="AL72" s="412"/>
      <c r="AM72" s="412"/>
      <c r="AN72" s="412"/>
      <c r="AO72" s="412"/>
      <c r="AP72" s="412"/>
      <c r="AQ72" s="412"/>
      <c r="AR72" s="412"/>
      <c r="AS72" s="412"/>
      <c r="AT72" s="412"/>
      <c r="AU72" s="412"/>
      <c r="AV72" s="412"/>
      <c r="AW72" s="412"/>
      <c r="AX72" s="412"/>
      <c r="AY72" s="412"/>
      <c r="AZ72" s="412"/>
      <c r="BA72" s="412"/>
      <c r="BB72" s="412"/>
    </row>
    <row r="73" spans="2:54" x14ac:dyDescent="0.2">
      <c r="B73" s="411"/>
      <c r="C73" s="411"/>
      <c r="D73" s="411"/>
      <c r="E73" s="411"/>
      <c r="F73" s="411"/>
      <c r="G73" s="411"/>
      <c r="H73" s="411"/>
      <c r="I73" s="411"/>
      <c r="J73" s="411"/>
      <c r="K73" s="411"/>
      <c r="L73" s="411"/>
      <c r="M73" s="411"/>
      <c r="N73" s="411"/>
      <c r="O73" s="411"/>
      <c r="P73" s="411"/>
      <c r="Q73" s="411"/>
      <c r="R73" s="411"/>
      <c r="S73" s="298"/>
      <c r="T73" s="402"/>
      <c r="U73" s="402"/>
      <c r="V73" s="402"/>
      <c r="W73" s="402"/>
      <c r="X73" s="402"/>
      <c r="Y73" s="402"/>
      <c r="Z73" s="402"/>
      <c r="AA73" s="402"/>
      <c r="AB73" s="402"/>
      <c r="AC73" s="402"/>
      <c r="AD73" s="296"/>
      <c r="AE73" s="296"/>
      <c r="AF73" s="411"/>
      <c r="AG73" s="411"/>
      <c r="AH73" s="412"/>
      <c r="AI73" s="412"/>
      <c r="AJ73" s="412"/>
      <c r="AK73" s="412"/>
      <c r="AL73" s="412"/>
      <c r="AM73" s="412"/>
      <c r="AN73" s="412"/>
      <c r="AO73" s="412"/>
      <c r="AP73" s="412"/>
      <c r="AQ73" s="412"/>
      <c r="AR73" s="412"/>
      <c r="AS73" s="412"/>
      <c r="AT73" s="412"/>
      <c r="AU73" s="412"/>
      <c r="AV73" s="412"/>
      <c r="AW73" s="412"/>
      <c r="AX73" s="412"/>
      <c r="AY73" s="412"/>
      <c r="AZ73" s="412"/>
      <c r="BA73" s="412"/>
      <c r="BB73" s="412"/>
    </row>
    <row r="74" spans="2:54" x14ac:dyDescent="0.2">
      <c r="B74" s="411"/>
      <c r="C74" s="411"/>
      <c r="D74" s="411"/>
      <c r="E74" s="411"/>
      <c r="F74" s="411"/>
      <c r="G74" s="411"/>
      <c r="H74" s="411"/>
      <c r="I74" s="411"/>
      <c r="J74" s="411"/>
      <c r="K74" s="411"/>
      <c r="L74" s="411"/>
      <c r="M74" s="411"/>
      <c r="N74" s="411"/>
      <c r="O74" s="411"/>
      <c r="P74" s="411"/>
      <c r="Q74" s="411"/>
      <c r="R74" s="411"/>
      <c r="S74" s="298"/>
      <c r="T74" s="402"/>
      <c r="U74" s="402"/>
      <c r="V74" s="402"/>
      <c r="W74" s="402"/>
      <c r="X74" s="402"/>
      <c r="Y74" s="402"/>
      <c r="Z74" s="402"/>
      <c r="AA74" s="402"/>
      <c r="AB74" s="402"/>
      <c r="AC74" s="402"/>
      <c r="AD74" s="296"/>
      <c r="AE74" s="296"/>
      <c r="AF74" s="411"/>
      <c r="AG74" s="411"/>
      <c r="AH74" s="412"/>
      <c r="AI74" s="412"/>
      <c r="AJ74" s="412"/>
      <c r="AK74" s="412"/>
      <c r="AL74" s="412"/>
      <c r="AM74" s="412"/>
      <c r="AN74" s="412"/>
      <c r="AO74" s="412"/>
      <c r="AP74" s="412"/>
      <c r="AQ74" s="412"/>
      <c r="AR74" s="412"/>
      <c r="AS74" s="412"/>
      <c r="AT74" s="412"/>
      <c r="AU74" s="412"/>
      <c r="AV74" s="412"/>
      <c r="AW74" s="412"/>
      <c r="AX74" s="412"/>
      <c r="AY74" s="412"/>
      <c r="AZ74" s="412"/>
      <c r="BA74" s="412"/>
      <c r="BB74" s="412"/>
    </row>
    <row r="75" spans="2:54" x14ac:dyDescent="0.2">
      <c r="B75" s="411"/>
      <c r="C75" s="411"/>
      <c r="D75" s="411"/>
      <c r="E75" s="411"/>
      <c r="F75" s="411"/>
      <c r="G75" s="411"/>
      <c r="H75" s="411"/>
      <c r="I75" s="411"/>
      <c r="J75" s="411"/>
      <c r="K75" s="411"/>
      <c r="L75" s="411"/>
      <c r="M75" s="411"/>
      <c r="N75" s="411"/>
      <c r="O75" s="411"/>
      <c r="P75" s="411"/>
      <c r="Q75" s="411"/>
      <c r="R75" s="411"/>
      <c r="S75" s="298"/>
      <c r="T75" s="402"/>
      <c r="U75" s="402"/>
      <c r="V75" s="402"/>
      <c r="W75" s="402"/>
      <c r="X75" s="402"/>
      <c r="Y75" s="402"/>
      <c r="Z75" s="402"/>
      <c r="AA75" s="402"/>
      <c r="AB75" s="402"/>
      <c r="AC75" s="402"/>
      <c r="AD75" s="296"/>
      <c r="AE75" s="296"/>
      <c r="AF75" s="411"/>
      <c r="AG75" s="411"/>
      <c r="AH75" s="412"/>
      <c r="AI75" s="412"/>
      <c r="AJ75" s="412"/>
      <c r="AK75" s="412"/>
      <c r="AL75" s="412"/>
      <c r="AM75" s="412"/>
      <c r="AN75" s="412"/>
      <c r="AO75" s="412"/>
      <c r="AP75" s="412"/>
      <c r="AQ75" s="412"/>
      <c r="AR75" s="412"/>
      <c r="AS75" s="412"/>
      <c r="AT75" s="412"/>
      <c r="AU75" s="412"/>
      <c r="AV75" s="412"/>
      <c r="AW75" s="412"/>
      <c r="AX75" s="412"/>
      <c r="AY75" s="412"/>
      <c r="AZ75" s="412"/>
      <c r="BA75" s="412"/>
      <c r="BB75" s="412"/>
    </row>
    <row r="76" spans="2:54" x14ac:dyDescent="0.2">
      <c r="B76" s="411"/>
      <c r="C76" s="411"/>
      <c r="D76" s="411"/>
      <c r="E76" s="411"/>
      <c r="F76" s="411"/>
      <c r="G76" s="411"/>
      <c r="H76" s="411"/>
      <c r="I76" s="411"/>
      <c r="J76" s="411"/>
      <c r="K76" s="411"/>
      <c r="L76" s="411"/>
      <c r="M76" s="411"/>
      <c r="N76" s="411"/>
      <c r="O76" s="411"/>
      <c r="P76" s="411"/>
      <c r="Q76" s="411"/>
      <c r="R76" s="411"/>
      <c r="S76" s="298"/>
      <c r="T76" s="402"/>
      <c r="U76" s="402"/>
      <c r="V76" s="402"/>
      <c r="W76" s="402"/>
      <c r="X76" s="402"/>
      <c r="Y76" s="402"/>
      <c r="Z76" s="402"/>
      <c r="AA76" s="402"/>
      <c r="AB76" s="402"/>
      <c r="AC76" s="402"/>
      <c r="AD76" s="296"/>
      <c r="AE76" s="296"/>
      <c r="AF76" s="411"/>
      <c r="AG76" s="411"/>
      <c r="AH76" s="412"/>
      <c r="AI76" s="412"/>
      <c r="AJ76" s="412"/>
      <c r="AK76" s="412"/>
      <c r="AL76" s="412"/>
      <c r="AM76" s="412"/>
      <c r="AN76" s="412"/>
      <c r="AO76" s="412"/>
      <c r="AP76" s="412"/>
      <c r="AQ76" s="412"/>
      <c r="AR76" s="412"/>
      <c r="AS76" s="412"/>
      <c r="AT76" s="412"/>
      <c r="AU76" s="412"/>
      <c r="AV76" s="412"/>
      <c r="AW76" s="412"/>
      <c r="AX76" s="412"/>
      <c r="AY76" s="412"/>
      <c r="AZ76" s="412"/>
      <c r="BA76" s="412"/>
      <c r="BB76" s="412"/>
    </row>
    <row r="77" spans="2:54" x14ac:dyDescent="0.2">
      <c r="B77" s="411"/>
      <c r="C77" s="411"/>
      <c r="D77" s="411"/>
      <c r="E77" s="411"/>
      <c r="F77" s="411"/>
      <c r="G77" s="411"/>
      <c r="H77" s="411"/>
      <c r="I77" s="411"/>
      <c r="J77" s="411"/>
      <c r="K77" s="411"/>
      <c r="L77" s="411"/>
      <c r="M77" s="411"/>
      <c r="N77" s="411"/>
      <c r="O77" s="411"/>
      <c r="P77" s="411"/>
      <c r="Q77" s="411"/>
      <c r="R77" s="411"/>
      <c r="S77" s="298"/>
      <c r="T77" s="402"/>
      <c r="U77" s="402"/>
      <c r="V77" s="402"/>
      <c r="W77" s="402"/>
      <c r="X77" s="402"/>
      <c r="Y77" s="402"/>
      <c r="Z77" s="402"/>
      <c r="AA77" s="402"/>
      <c r="AB77" s="402"/>
      <c r="AC77" s="402"/>
      <c r="AD77" s="296"/>
      <c r="AE77" s="296"/>
      <c r="AF77" s="411"/>
      <c r="AG77" s="411"/>
      <c r="AH77" s="412"/>
      <c r="AI77" s="412"/>
      <c r="AJ77" s="412"/>
      <c r="AK77" s="412"/>
      <c r="AL77" s="412"/>
      <c r="AM77" s="412"/>
      <c r="AN77" s="412"/>
      <c r="AO77" s="412"/>
      <c r="AP77" s="412"/>
      <c r="AQ77" s="412"/>
      <c r="AR77" s="412"/>
      <c r="AS77" s="412"/>
      <c r="AT77" s="412"/>
      <c r="AU77" s="412"/>
      <c r="AV77" s="412"/>
      <c r="AW77" s="412"/>
      <c r="AX77" s="412"/>
      <c r="AY77" s="412"/>
      <c r="AZ77" s="412"/>
      <c r="BA77" s="412"/>
      <c r="BB77" s="412"/>
    </row>
    <row r="78" spans="2:54" x14ac:dyDescent="0.2">
      <c r="B78" s="411"/>
      <c r="C78" s="411"/>
      <c r="D78" s="411"/>
      <c r="E78" s="411"/>
      <c r="F78" s="411"/>
      <c r="G78" s="411"/>
      <c r="H78" s="411"/>
      <c r="I78" s="411"/>
      <c r="J78" s="411"/>
      <c r="K78" s="411"/>
      <c r="L78" s="411"/>
      <c r="M78" s="411"/>
      <c r="N78" s="411"/>
      <c r="O78" s="411"/>
      <c r="P78" s="411"/>
      <c r="Q78" s="411"/>
      <c r="R78" s="411"/>
      <c r="S78" s="298"/>
      <c r="T78" s="402"/>
      <c r="U78" s="402"/>
      <c r="V78" s="402"/>
      <c r="W78" s="402"/>
      <c r="X78" s="402"/>
      <c r="Y78" s="402"/>
      <c r="Z78" s="402"/>
      <c r="AA78" s="402"/>
      <c r="AB78" s="402"/>
      <c r="AC78" s="402"/>
      <c r="AD78" s="296"/>
      <c r="AE78" s="296"/>
      <c r="AF78" s="411"/>
      <c r="AG78" s="411"/>
      <c r="AH78" s="412"/>
      <c r="AI78" s="412"/>
      <c r="AJ78" s="412"/>
      <c r="AK78" s="412"/>
      <c r="AL78" s="412"/>
      <c r="AM78" s="412"/>
      <c r="AN78" s="412"/>
      <c r="AO78" s="412"/>
      <c r="AP78" s="412"/>
      <c r="AQ78" s="412"/>
      <c r="AR78" s="412"/>
      <c r="AS78" s="412"/>
      <c r="AT78" s="412"/>
      <c r="AU78" s="412"/>
      <c r="AV78" s="412"/>
      <c r="AW78" s="412"/>
      <c r="AX78" s="412"/>
      <c r="AY78" s="412"/>
      <c r="AZ78" s="412"/>
      <c r="BA78" s="412"/>
      <c r="BB78" s="412"/>
    </row>
    <row r="79" spans="2:54" x14ac:dyDescent="0.2">
      <c r="B79" s="411"/>
      <c r="C79" s="411"/>
      <c r="D79" s="411"/>
      <c r="E79" s="411"/>
      <c r="F79" s="411"/>
      <c r="G79" s="411"/>
      <c r="H79" s="411"/>
      <c r="I79" s="411"/>
      <c r="J79" s="411"/>
      <c r="K79" s="411"/>
      <c r="L79" s="411"/>
      <c r="M79" s="411"/>
      <c r="N79" s="411"/>
      <c r="O79" s="411"/>
      <c r="P79" s="411"/>
      <c r="Q79" s="411"/>
      <c r="R79" s="411"/>
      <c r="S79" s="298"/>
      <c r="T79" s="402"/>
      <c r="U79" s="402"/>
      <c r="V79" s="402"/>
      <c r="W79" s="402"/>
      <c r="X79" s="402"/>
      <c r="Y79" s="402"/>
      <c r="Z79" s="402"/>
      <c r="AA79" s="402"/>
      <c r="AB79" s="402"/>
      <c r="AC79" s="402"/>
      <c r="AD79" s="296"/>
      <c r="AE79" s="296"/>
      <c r="AF79" s="411"/>
      <c r="AG79" s="411"/>
      <c r="AH79" s="412"/>
      <c r="AI79" s="412"/>
      <c r="AJ79" s="412"/>
      <c r="AK79" s="412"/>
      <c r="AL79" s="412"/>
      <c r="AM79" s="412"/>
      <c r="AN79" s="412"/>
      <c r="AO79" s="412"/>
      <c r="AP79" s="412"/>
      <c r="AQ79" s="412"/>
      <c r="AR79" s="412"/>
      <c r="AS79" s="412"/>
      <c r="AT79" s="412"/>
      <c r="AU79" s="412"/>
      <c r="AV79" s="412"/>
      <c r="AW79" s="412"/>
      <c r="AX79" s="412"/>
      <c r="AY79" s="412"/>
      <c r="AZ79" s="412"/>
      <c r="BA79" s="412"/>
      <c r="BB79" s="412"/>
    </row>
    <row r="80" spans="2:54" x14ac:dyDescent="0.2">
      <c r="B80" s="411"/>
      <c r="C80" s="411"/>
      <c r="D80" s="411"/>
      <c r="E80" s="411"/>
      <c r="F80" s="411"/>
      <c r="G80" s="411"/>
      <c r="H80" s="411"/>
      <c r="I80" s="411"/>
      <c r="J80" s="411"/>
      <c r="K80" s="411"/>
      <c r="L80" s="411"/>
      <c r="M80" s="411"/>
      <c r="N80" s="411"/>
      <c r="O80" s="411"/>
      <c r="P80" s="411"/>
      <c r="Q80" s="411"/>
      <c r="R80" s="411"/>
      <c r="S80" s="298"/>
      <c r="T80" s="402"/>
      <c r="U80" s="402"/>
      <c r="V80" s="402"/>
      <c r="W80" s="402"/>
      <c r="X80" s="402"/>
      <c r="Y80" s="402"/>
      <c r="Z80" s="402"/>
      <c r="AA80" s="402"/>
      <c r="AB80" s="402"/>
      <c r="AC80" s="402"/>
      <c r="AD80" s="296"/>
      <c r="AE80" s="296"/>
      <c r="AF80" s="411"/>
      <c r="AG80" s="411"/>
      <c r="AH80" s="412"/>
      <c r="AI80" s="412"/>
      <c r="AJ80" s="412"/>
      <c r="AK80" s="412"/>
      <c r="AL80" s="412"/>
      <c r="AM80" s="412"/>
      <c r="AN80" s="412"/>
      <c r="AO80" s="412"/>
      <c r="AP80" s="412"/>
      <c r="AQ80" s="412"/>
      <c r="AR80" s="412"/>
      <c r="AS80" s="412"/>
      <c r="AT80" s="412"/>
      <c r="AU80" s="412"/>
      <c r="AV80" s="412"/>
      <c r="AW80" s="412"/>
      <c r="AX80" s="412"/>
      <c r="AY80" s="412"/>
      <c r="AZ80" s="412"/>
      <c r="BA80" s="412"/>
      <c r="BB80" s="412"/>
    </row>
    <row r="81" spans="2:54" x14ac:dyDescent="0.2">
      <c r="B81" s="411"/>
      <c r="C81" s="411"/>
      <c r="D81" s="411"/>
      <c r="E81" s="411"/>
      <c r="F81" s="411"/>
      <c r="G81" s="411"/>
      <c r="H81" s="411"/>
      <c r="I81" s="411"/>
      <c r="J81" s="411"/>
      <c r="K81" s="411"/>
      <c r="L81" s="411"/>
      <c r="M81" s="411"/>
      <c r="N81" s="411"/>
      <c r="O81" s="411"/>
      <c r="P81" s="411"/>
      <c r="Q81" s="411"/>
      <c r="R81" s="411"/>
      <c r="S81" s="298"/>
      <c r="T81" s="402"/>
      <c r="U81" s="402"/>
      <c r="V81" s="402"/>
      <c r="W81" s="402"/>
      <c r="X81" s="402"/>
      <c r="Y81" s="402"/>
      <c r="Z81" s="402"/>
      <c r="AA81" s="402"/>
      <c r="AB81" s="402"/>
      <c r="AC81" s="402"/>
      <c r="AD81" s="296"/>
      <c r="AE81" s="296"/>
      <c r="AF81" s="411"/>
      <c r="AG81" s="411"/>
      <c r="AH81" s="412"/>
      <c r="AI81" s="412"/>
      <c r="AJ81" s="412"/>
      <c r="AK81" s="412"/>
      <c r="AL81" s="412"/>
      <c r="AM81" s="412"/>
      <c r="AN81" s="412"/>
      <c r="AO81" s="412"/>
      <c r="AP81" s="412"/>
      <c r="AQ81" s="412"/>
      <c r="AR81" s="412"/>
      <c r="AS81" s="412"/>
      <c r="AT81" s="412"/>
      <c r="AU81" s="412"/>
      <c r="AV81" s="412"/>
      <c r="AW81" s="412"/>
      <c r="AX81" s="412"/>
      <c r="AY81" s="412"/>
      <c r="AZ81" s="412"/>
      <c r="BA81" s="412"/>
      <c r="BB81" s="412"/>
    </row>
    <row r="82" spans="2:54" x14ac:dyDescent="0.2">
      <c r="B82" s="411"/>
      <c r="C82" s="411"/>
      <c r="D82" s="411"/>
      <c r="E82" s="411"/>
      <c r="F82" s="411"/>
      <c r="G82" s="411"/>
      <c r="H82" s="411"/>
      <c r="I82" s="411"/>
      <c r="J82" s="411"/>
      <c r="K82" s="411"/>
      <c r="L82" s="411"/>
      <c r="M82" s="411"/>
      <c r="N82" s="411"/>
      <c r="O82" s="411"/>
      <c r="P82" s="411"/>
      <c r="Q82" s="411"/>
      <c r="R82" s="411"/>
      <c r="S82" s="298"/>
      <c r="T82" s="402"/>
      <c r="U82" s="402"/>
      <c r="V82" s="402"/>
      <c r="W82" s="402"/>
      <c r="X82" s="402"/>
      <c r="Y82" s="402"/>
      <c r="Z82" s="402"/>
      <c r="AA82" s="402"/>
      <c r="AB82" s="402"/>
      <c r="AC82" s="402"/>
      <c r="AD82" s="296"/>
      <c r="AE82" s="296"/>
      <c r="AF82" s="411"/>
      <c r="AG82" s="411"/>
      <c r="AH82" s="412"/>
      <c r="AI82" s="412"/>
      <c r="AJ82" s="412"/>
      <c r="AK82" s="412"/>
      <c r="AL82" s="412"/>
      <c r="AM82" s="412"/>
      <c r="AN82" s="412"/>
      <c r="AO82" s="412"/>
      <c r="AP82" s="412"/>
      <c r="AQ82" s="412"/>
      <c r="AR82" s="412"/>
      <c r="AS82" s="412"/>
      <c r="AT82" s="412"/>
      <c r="AU82" s="412"/>
      <c r="AV82" s="412"/>
      <c r="AW82" s="412"/>
      <c r="AX82" s="412"/>
      <c r="AY82" s="412"/>
      <c r="AZ82" s="412"/>
      <c r="BA82" s="412"/>
      <c r="BB82" s="412"/>
    </row>
    <row r="83" spans="2:54" x14ac:dyDescent="0.2">
      <c r="B83" s="411"/>
      <c r="C83" s="411"/>
      <c r="D83" s="411"/>
      <c r="E83" s="411"/>
      <c r="F83" s="411"/>
      <c r="G83" s="411"/>
      <c r="H83" s="411"/>
      <c r="I83" s="411"/>
      <c r="J83" s="411"/>
      <c r="K83" s="411"/>
      <c r="L83" s="411"/>
      <c r="M83" s="411"/>
      <c r="N83" s="411"/>
      <c r="O83" s="411"/>
      <c r="P83" s="411"/>
      <c r="Q83" s="411"/>
      <c r="R83" s="411"/>
      <c r="S83" s="298"/>
      <c r="T83" s="402"/>
      <c r="U83" s="402"/>
      <c r="V83" s="402"/>
      <c r="W83" s="402"/>
      <c r="X83" s="402"/>
      <c r="Y83" s="402"/>
      <c r="Z83" s="402"/>
      <c r="AA83" s="402"/>
      <c r="AB83" s="402"/>
      <c r="AC83" s="402"/>
      <c r="AD83" s="296"/>
      <c r="AE83" s="296"/>
      <c r="AF83" s="411"/>
      <c r="AG83" s="411"/>
      <c r="AH83" s="412"/>
      <c r="AI83" s="412"/>
      <c r="AJ83" s="412"/>
      <c r="AK83" s="412"/>
      <c r="AL83" s="412"/>
      <c r="AM83" s="412"/>
      <c r="AN83" s="412"/>
      <c r="AO83" s="412"/>
      <c r="AP83" s="412"/>
      <c r="AQ83" s="412"/>
      <c r="AR83" s="412"/>
      <c r="AS83" s="412"/>
      <c r="AT83" s="412"/>
      <c r="AU83" s="412"/>
      <c r="AV83" s="412"/>
      <c r="AW83" s="412"/>
      <c r="AX83" s="412"/>
      <c r="AY83" s="412"/>
      <c r="AZ83" s="412"/>
      <c r="BA83" s="412"/>
      <c r="BB83" s="412"/>
    </row>
    <row r="84" spans="2:54" x14ac:dyDescent="0.2">
      <c r="B84" s="411"/>
      <c r="C84" s="411"/>
      <c r="D84" s="411"/>
      <c r="E84" s="411"/>
      <c r="F84" s="411"/>
      <c r="G84" s="411"/>
      <c r="H84" s="411"/>
      <c r="I84" s="411"/>
      <c r="J84" s="411"/>
      <c r="K84" s="411"/>
      <c r="L84" s="411"/>
      <c r="M84" s="411"/>
      <c r="N84" s="411"/>
      <c r="O84" s="411"/>
      <c r="P84" s="411"/>
      <c r="Q84" s="411"/>
      <c r="R84" s="411"/>
      <c r="S84" s="298"/>
      <c r="T84" s="402"/>
      <c r="U84" s="402"/>
      <c r="V84" s="402"/>
      <c r="W84" s="402"/>
      <c r="X84" s="402"/>
      <c r="Y84" s="402"/>
      <c r="Z84" s="402"/>
      <c r="AA84" s="402"/>
      <c r="AB84" s="402"/>
      <c r="AC84" s="402"/>
      <c r="AD84" s="296"/>
      <c r="AE84" s="296"/>
      <c r="AF84" s="411"/>
      <c r="AG84" s="411"/>
      <c r="AH84" s="412"/>
      <c r="AI84" s="412"/>
      <c r="AJ84" s="412"/>
      <c r="AK84" s="412"/>
      <c r="AL84" s="412"/>
      <c r="AM84" s="412"/>
      <c r="AN84" s="412"/>
      <c r="AO84" s="412"/>
      <c r="AP84" s="412"/>
      <c r="AQ84" s="412"/>
      <c r="AR84" s="412"/>
      <c r="AS84" s="412"/>
      <c r="AT84" s="412"/>
      <c r="AU84" s="412"/>
      <c r="AV84" s="412"/>
      <c r="AW84" s="412"/>
      <c r="AX84" s="412"/>
      <c r="AY84" s="412"/>
      <c r="AZ84" s="412"/>
      <c r="BA84" s="412"/>
      <c r="BB84" s="412"/>
    </row>
    <row r="85" spans="2:54" x14ac:dyDescent="0.2">
      <c r="B85" s="411"/>
      <c r="C85" s="411"/>
      <c r="D85" s="411"/>
      <c r="E85" s="411"/>
      <c r="F85" s="411"/>
      <c r="G85" s="411"/>
      <c r="H85" s="411"/>
      <c r="I85" s="411"/>
      <c r="J85" s="411"/>
      <c r="K85" s="411"/>
      <c r="L85" s="411"/>
      <c r="M85" s="411"/>
      <c r="N85" s="411"/>
      <c r="O85" s="411"/>
      <c r="P85" s="411"/>
      <c r="Q85" s="411"/>
      <c r="R85" s="411"/>
      <c r="S85" s="298"/>
      <c r="T85" s="402"/>
      <c r="U85" s="402"/>
      <c r="V85" s="402"/>
      <c r="W85" s="402"/>
      <c r="X85" s="402"/>
      <c r="Y85" s="402"/>
      <c r="Z85" s="402"/>
      <c r="AA85" s="402"/>
      <c r="AB85" s="402"/>
      <c r="AC85" s="402"/>
      <c r="AD85" s="296"/>
      <c r="AE85" s="296"/>
      <c r="AF85" s="411"/>
      <c r="AG85" s="411"/>
      <c r="AH85" s="412"/>
      <c r="AI85" s="412"/>
      <c r="AJ85" s="412"/>
      <c r="AK85" s="412"/>
      <c r="AL85" s="412"/>
      <c r="AM85" s="412"/>
      <c r="AN85" s="412"/>
      <c r="AO85" s="412"/>
      <c r="AP85" s="412"/>
      <c r="AQ85" s="412"/>
      <c r="AR85" s="412"/>
      <c r="AS85" s="412"/>
      <c r="AT85" s="412"/>
      <c r="AU85" s="412"/>
      <c r="AV85" s="412"/>
      <c r="AW85" s="412"/>
      <c r="AX85" s="412"/>
      <c r="AY85" s="412"/>
      <c r="AZ85" s="412"/>
      <c r="BA85" s="412"/>
      <c r="BB85" s="412"/>
    </row>
    <row r="86" spans="2:54" x14ac:dyDescent="0.2">
      <c r="B86" s="411"/>
      <c r="C86" s="411"/>
      <c r="D86" s="411"/>
      <c r="E86" s="411"/>
      <c r="F86" s="411"/>
      <c r="G86" s="411"/>
      <c r="H86" s="411"/>
      <c r="I86" s="411"/>
      <c r="J86" s="411"/>
      <c r="K86" s="411"/>
      <c r="L86" s="411"/>
      <c r="M86" s="411"/>
      <c r="N86" s="411"/>
      <c r="O86" s="411"/>
      <c r="P86" s="411"/>
      <c r="Q86" s="411"/>
      <c r="R86" s="411"/>
      <c r="S86" s="298"/>
      <c r="T86" s="402"/>
      <c r="U86" s="402"/>
      <c r="V86" s="402"/>
      <c r="W86" s="402"/>
      <c r="X86" s="402"/>
      <c r="Y86" s="402"/>
      <c r="Z86" s="402"/>
      <c r="AA86" s="402"/>
      <c r="AB86" s="402"/>
      <c r="AC86" s="402"/>
      <c r="AD86" s="296"/>
      <c r="AE86" s="296"/>
      <c r="AF86" s="411"/>
      <c r="AG86" s="411"/>
      <c r="AH86" s="412"/>
      <c r="AI86" s="412"/>
      <c r="AJ86" s="412"/>
      <c r="AK86" s="412"/>
      <c r="AL86" s="412"/>
      <c r="AM86" s="412"/>
      <c r="AN86" s="412"/>
      <c r="AO86" s="412"/>
      <c r="AP86" s="412"/>
      <c r="AQ86" s="412"/>
      <c r="AR86" s="412"/>
      <c r="AS86" s="412"/>
      <c r="AT86" s="412"/>
      <c r="AU86" s="412"/>
      <c r="AV86" s="412"/>
      <c r="AW86" s="412"/>
      <c r="AX86" s="412"/>
      <c r="AY86" s="412"/>
      <c r="AZ86" s="412"/>
      <c r="BA86" s="412"/>
      <c r="BB86" s="412"/>
    </row>
    <row r="87" spans="2:54" x14ac:dyDescent="0.2">
      <c r="B87" s="411"/>
      <c r="C87" s="411"/>
      <c r="D87" s="411"/>
      <c r="E87" s="411"/>
      <c r="F87" s="411"/>
      <c r="G87" s="411"/>
      <c r="H87" s="411"/>
      <c r="I87" s="411"/>
      <c r="J87" s="411"/>
      <c r="K87" s="411"/>
      <c r="L87" s="411"/>
      <c r="M87" s="411"/>
      <c r="N87" s="411"/>
      <c r="O87" s="411"/>
      <c r="P87" s="411"/>
      <c r="Q87" s="411"/>
      <c r="R87" s="411"/>
      <c r="S87" s="298"/>
      <c r="T87" s="402"/>
      <c r="U87" s="402"/>
      <c r="V87" s="402"/>
      <c r="W87" s="402"/>
      <c r="X87" s="402"/>
      <c r="Y87" s="402"/>
      <c r="Z87" s="402"/>
      <c r="AA87" s="402"/>
      <c r="AB87" s="402"/>
      <c r="AC87" s="402"/>
      <c r="AD87" s="296"/>
      <c r="AE87" s="296"/>
      <c r="AF87" s="411"/>
      <c r="AG87" s="411"/>
      <c r="AH87" s="412"/>
      <c r="AI87" s="412"/>
      <c r="AJ87" s="412"/>
      <c r="AK87" s="412"/>
      <c r="AL87" s="412"/>
      <c r="AM87" s="412"/>
      <c r="AN87" s="412"/>
      <c r="AO87" s="412"/>
      <c r="AP87" s="412"/>
      <c r="AQ87" s="412"/>
      <c r="AR87" s="412"/>
      <c r="AS87" s="412"/>
      <c r="AT87" s="412"/>
      <c r="AU87" s="412"/>
      <c r="AV87" s="412"/>
      <c r="AW87" s="412"/>
      <c r="AX87" s="412"/>
      <c r="AY87" s="412"/>
      <c r="AZ87" s="412"/>
      <c r="BA87" s="412"/>
      <c r="BB87" s="412"/>
    </row>
    <row r="88" spans="2:54" x14ac:dyDescent="0.2">
      <c r="B88" s="411"/>
      <c r="C88" s="411"/>
      <c r="D88" s="411"/>
      <c r="E88" s="411"/>
      <c r="F88" s="411"/>
      <c r="G88" s="411"/>
      <c r="H88" s="411"/>
      <c r="I88" s="411"/>
      <c r="J88" s="411"/>
      <c r="K88" s="411"/>
      <c r="L88" s="411"/>
      <c r="M88" s="411"/>
      <c r="N88" s="411"/>
      <c r="O88" s="411"/>
      <c r="P88" s="411"/>
      <c r="Q88" s="411"/>
      <c r="R88" s="411"/>
      <c r="S88" s="298"/>
      <c r="T88" s="402"/>
      <c r="U88" s="402"/>
      <c r="V88" s="402"/>
      <c r="W88" s="402"/>
      <c r="X88" s="402"/>
      <c r="Y88" s="402"/>
      <c r="Z88" s="402"/>
      <c r="AA88" s="402"/>
      <c r="AB88" s="402"/>
      <c r="AC88" s="402"/>
      <c r="AD88" s="296"/>
      <c r="AE88" s="296"/>
      <c r="AF88" s="411"/>
      <c r="AG88" s="411"/>
      <c r="AH88" s="412"/>
      <c r="AI88" s="412"/>
      <c r="AJ88" s="412"/>
      <c r="AK88" s="412"/>
      <c r="AL88" s="412"/>
      <c r="AM88" s="412"/>
      <c r="AN88" s="412"/>
      <c r="AO88" s="412"/>
      <c r="AP88" s="412"/>
      <c r="AQ88" s="412"/>
      <c r="AR88" s="412"/>
      <c r="AS88" s="412"/>
      <c r="AT88" s="412"/>
      <c r="AU88" s="412"/>
      <c r="AV88" s="412"/>
      <c r="AW88" s="412"/>
      <c r="AX88" s="412"/>
      <c r="AY88" s="412"/>
      <c r="AZ88" s="412"/>
      <c r="BA88" s="412"/>
      <c r="BB88" s="412"/>
    </row>
    <row r="89" spans="2:54" x14ac:dyDescent="0.2">
      <c r="B89" s="411"/>
      <c r="C89" s="411"/>
      <c r="D89" s="411"/>
      <c r="E89" s="411"/>
      <c r="F89" s="411"/>
      <c r="G89" s="411"/>
      <c r="H89" s="411"/>
      <c r="I89" s="411"/>
      <c r="J89" s="411"/>
      <c r="K89" s="411"/>
      <c r="L89" s="411"/>
      <c r="M89" s="411"/>
      <c r="N89" s="411"/>
      <c r="O89" s="411"/>
      <c r="P89" s="411"/>
      <c r="Q89" s="411"/>
      <c r="R89" s="411"/>
      <c r="S89" s="298"/>
      <c r="T89" s="402"/>
      <c r="U89" s="402"/>
      <c r="V89" s="402"/>
      <c r="W89" s="402"/>
      <c r="X89" s="402"/>
      <c r="Y89" s="402"/>
      <c r="Z89" s="402"/>
      <c r="AA89" s="402"/>
      <c r="AB89" s="402"/>
      <c r="AC89" s="402"/>
      <c r="AD89" s="296"/>
      <c r="AE89" s="296"/>
      <c r="AF89" s="411"/>
      <c r="AG89" s="411"/>
      <c r="AH89" s="412"/>
      <c r="AI89" s="412"/>
      <c r="AJ89" s="412"/>
      <c r="AK89" s="412"/>
      <c r="AL89" s="412"/>
      <c r="AM89" s="412"/>
      <c r="AN89" s="412"/>
      <c r="AO89" s="412"/>
      <c r="AP89" s="412"/>
      <c r="AQ89" s="412"/>
      <c r="AR89" s="412"/>
      <c r="AS89" s="412"/>
      <c r="AT89" s="412"/>
      <c r="AU89" s="412"/>
      <c r="AV89" s="412"/>
      <c r="AW89" s="412"/>
      <c r="AX89" s="412"/>
      <c r="AY89" s="412"/>
      <c r="AZ89" s="412"/>
      <c r="BA89" s="412"/>
      <c r="BB89" s="412"/>
    </row>
    <row r="90" spans="2:54" x14ac:dyDescent="0.2">
      <c r="B90" s="411"/>
      <c r="C90" s="411"/>
      <c r="D90" s="411"/>
      <c r="E90" s="411"/>
      <c r="F90" s="411"/>
      <c r="G90" s="411"/>
      <c r="H90" s="411"/>
      <c r="I90" s="411"/>
      <c r="J90" s="411"/>
      <c r="K90" s="411"/>
      <c r="L90" s="411"/>
      <c r="M90" s="411"/>
      <c r="N90" s="411"/>
      <c r="O90" s="411"/>
      <c r="P90" s="411"/>
      <c r="Q90" s="411"/>
      <c r="R90" s="411"/>
      <c r="S90" s="298"/>
      <c r="T90" s="402"/>
      <c r="U90" s="402"/>
      <c r="V90" s="402"/>
      <c r="W90" s="402"/>
      <c r="X90" s="402"/>
      <c r="Y90" s="402"/>
      <c r="Z90" s="402"/>
      <c r="AA90" s="402"/>
      <c r="AB90" s="402"/>
      <c r="AC90" s="402"/>
      <c r="AD90" s="296"/>
      <c r="AE90" s="296"/>
      <c r="AF90" s="411"/>
      <c r="AG90" s="411"/>
      <c r="AH90" s="412"/>
      <c r="AI90" s="412"/>
      <c r="AJ90" s="412"/>
      <c r="AK90" s="412"/>
      <c r="AL90" s="412"/>
      <c r="AM90" s="412"/>
      <c r="AN90" s="412"/>
      <c r="AO90" s="412"/>
      <c r="AP90" s="412"/>
      <c r="AQ90" s="412"/>
      <c r="AR90" s="412"/>
      <c r="AS90" s="412"/>
      <c r="AT90" s="412"/>
      <c r="AU90" s="412"/>
      <c r="AV90" s="412"/>
      <c r="AW90" s="412"/>
      <c r="AX90" s="412"/>
      <c r="AY90" s="412"/>
      <c r="AZ90" s="412"/>
      <c r="BA90" s="412"/>
      <c r="BB90" s="412"/>
    </row>
    <row r="91" spans="2:54" x14ac:dyDescent="0.2">
      <c r="B91" s="411"/>
      <c r="C91" s="411"/>
      <c r="D91" s="411"/>
      <c r="E91" s="411"/>
      <c r="F91" s="411"/>
      <c r="G91" s="411"/>
      <c r="H91" s="411"/>
      <c r="I91" s="411"/>
      <c r="J91" s="411"/>
      <c r="K91" s="411"/>
      <c r="L91" s="411"/>
      <c r="M91" s="411"/>
      <c r="N91" s="411"/>
      <c r="O91" s="411"/>
      <c r="P91" s="411"/>
      <c r="Q91" s="411"/>
      <c r="R91" s="411"/>
      <c r="S91" s="298"/>
      <c r="T91" s="402"/>
      <c r="U91" s="402"/>
      <c r="V91" s="402"/>
      <c r="W91" s="402"/>
      <c r="X91" s="402"/>
      <c r="Y91" s="402"/>
      <c r="Z91" s="402"/>
      <c r="AA91" s="402"/>
      <c r="AB91" s="402"/>
      <c r="AC91" s="402"/>
      <c r="AD91" s="296"/>
      <c r="AE91" s="296"/>
      <c r="AF91" s="411"/>
      <c r="AG91" s="411"/>
      <c r="AH91" s="412"/>
      <c r="AI91" s="412"/>
      <c r="AJ91" s="412"/>
      <c r="AK91" s="412"/>
      <c r="AL91" s="412"/>
      <c r="AM91" s="412"/>
      <c r="AN91" s="412"/>
      <c r="AO91" s="412"/>
      <c r="AP91" s="412"/>
      <c r="AQ91" s="412"/>
      <c r="AR91" s="412"/>
      <c r="AS91" s="412"/>
      <c r="AT91" s="412"/>
      <c r="AU91" s="412"/>
      <c r="AV91" s="412"/>
      <c r="AW91" s="412"/>
      <c r="AX91" s="412"/>
      <c r="AY91" s="412"/>
      <c r="AZ91" s="412"/>
      <c r="BA91" s="412"/>
      <c r="BB91" s="412"/>
    </row>
    <row r="92" spans="2:54" x14ac:dyDescent="0.2">
      <c r="B92" s="411"/>
      <c r="C92" s="411"/>
      <c r="D92" s="411"/>
      <c r="E92" s="411"/>
      <c r="F92" s="411"/>
      <c r="G92" s="411"/>
      <c r="H92" s="411"/>
      <c r="I92" s="411"/>
      <c r="J92" s="411"/>
      <c r="K92" s="411"/>
      <c r="L92" s="411"/>
      <c r="M92" s="411"/>
      <c r="N92" s="411"/>
      <c r="O92" s="411"/>
      <c r="P92" s="411"/>
      <c r="Q92" s="411"/>
      <c r="R92" s="411"/>
      <c r="S92" s="298"/>
      <c r="T92" s="402"/>
      <c r="U92" s="402"/>
      <c r="V92" s="402"/>
      <c r="W92" s="402"/>
      <c r="X92" s="402"/>
      <c r="Y92" s="402"/>
      <c r="Z92" s="402"/>
      <c r="AA92" s="402"/>
      <c r="AB92" s="402"/>
      <c r="AC92" s="402"/>
      <c r="AD92" s="296"/>
      <c r="AE92" s="296"/>
      <c r="AF92" s="411"/>
      <c r="AG92" s="411"/>
      <c r="AH92" s="412"/>
      <c r="AI92" s="412"/>
      <c r="AJ92" s="412"/>
      <c r="AK92" s="412"/>
      <c r="AL92" s="412"/>
      <c r="AM92" s="412"/>
      <c r="AN92" s="412"/>
      <c r="AO92" s="412"/>
      <c r="AP92" s="412"/>
      <c r="AQ92" s="412"/>
      <c r="AR92" s="412"/>
      <c r="AS92" s="412"/>
      <c r="AT92" s="412"/>
      <c r="AU92" s="412"/>
      <c r="AV92" s="412"/>
      <c r="AW92" s="412"/>
      <c r="AX92" s="412"/>
      <c r="AY92" s="412"/>
      <c r="AZ92" s="412"/>
      <c r="BA92" s="412"/>
      <c r="BB92" s="412"/>
    </row>
    <row r="93" spans="2:54" x14ac:dyDescent="0.2">
      <c r="B93" s="411"/>
      <c r="C93" s="411"/>
      <c r="D93" s="411"/>
      <c r="E93" s="411"/>
      <c r="F93" s="411"/>
      <c r="G93" s="411"/>
      <c r="H93" s="411"/>
      <c r="I93" s="411"/>
      <c r="J93" s="411"/>
      <c r="K93" s="411"/>
      <c r="L93" s="411"/>
      <c r="M93" s="411"/>
      <c r="N93" s="411"/>
      <c r="O93" s="411"/>
      <c r="P93" s="411"/>
      <c r="Q93" s="411"/>
      <c r="R93" s="411"/>
      <c r="S93" s="298"/>
      <c r="T93" s="402"/>
      <c r="U93" s="402"/>
      <c r="V93" s="402"/>
      <c r="W93" s="402"/>
      <c r="X93" s="402"/>
      <c r="Y93" s="402"/>
      <c r="Z93" s="402"/>
      <c r="AA93" s="402"/>
      <c r="AB93" s="402"/>
      <c r="AC93" s="402"/>
      <c r="AD93" s="296"/>
      <c r="AE93" s="296"/>
      <c r="AF93" s="411"/>
      <c r="AG93" s="411"/>
      <c r="AH93" s="412"/>
      <c r="AI93" s="412"/>
      <c r="AJ93" s="412"/>
      <c r="AK93" s="412"/>
      <c r="AL93" s="412"/>
      <c r="AM93" s="412"/>
      <c r="AN93" s="412"/>
      <c r="AO93" s="412"/>
      <c r="AP93" s="412"/>
      <c r="AQ93" s="412"/>
      <c r="AR93" s="412"/>
      <c r="AS93" s="412"/>
      <c r="AT93" s="412"/>
      <c r="AU93" s="412"/>
      <c r="AV93" s="412"/>
      <c r="AW93" s="412"/>
      <c r="AX93" s="412"/>
      <c r="AY93" s="412"/>
      <c r="AZ93" s="412"/>
      <c r="BA93" s="412"/>
      <c r="BB93" s="412"/>
    </row>
    <row r="94" spans="2:54" x14ac:dyDescent="0.2">
      <c r="B94" s="411"/>
      <c r="C94" s="411"/>
      <c r="D94" s="411"/>
      <c r="E94" s="411"/>
      <c r="F94" s="411"/>
      <c r="G94" s="411"/>
      <c r="H94" s="411"/>
      <c r="I94" s="411"/>
      <c r="J94" s="411"/>
      <c r="K94" s="411"/>
      <c r="L94" s="411"/>
      <c r="M94" s="411"/>
      <c r="N94" s="411"/>
      <c r="O94" s="411"/>
      <c r="P94" s="411"/>
      <c r="Q94" s="411"/>
      <c r="R94" s="411"/>
      <c r="S94" s="298"/>
      <c r="T94" s="402"/>
      <c r="U94" s="402"/>
      <c r="V94" s="402"/>
      <c r="W94" s="402"/>
      <c r="X94" s="402"/>
      <c r="Y94" s="402"/>
      <c r="Z94" s="402"/>
      <c r="AA94" s="402"/>
      <c r="AB94" s="402"/>
      <c r="AC94" s="402"/>
      <c r="AD94" s="296"/>
      <c r="AE94" s="296"/>
      <c r="AF94" s="411"/>
      <c r="AG94" s="411"/>
      <c r="AH94" s="412"/>
      <c r="AI94" s="412"/>
      <c r="AJ94" s="412"/>
      <c r="AK94" s="412"/>
      <c r="AL94" s="412"/>
      <c r="AM94" s="412"/>
      <c r="AN94" s="412"/>
      <c r="AO94" s="412"/>
      <c r="AP94" s="412"/>
      <c r="AQ94" s="412"/>
      <c r="AR94" s="412"/>
      <c r="AS94" s="412"/>
      <c r="AT94" s="412"/>
      <c r="AU94" s="412"/>
      <c r="AV94" s="412"/>
      <c r="AW94" s="412"/>
      <c r="AX94" s="412"/>
      <c r="AY94" s="412"/>
      <c r="AZ94" s="412"/>
      <c r="BA94" s="412"/>
      <c r="BB94" s="412"/>
    </row>
    <row r="95" spans="2:54" x14ac:dyDescent="0.2">
      <c r="B95" s="411"/>
      <c r="C95" s="411"/>
      <c r="D95" s="411"/>
      <c r="E95" s="411"/>
      <c r="F95" s="411"/>
      <c r="G95" s="411"/>
      <c r="H95" s="411"/>
      <c r="I95" s="411"/>
      <c r="J95" s="411"/>
      <c r="K95" s="411"/>
      <c r="L95" s="411"/>
      <c r="M95" s="411"/>
      <c r="N95" s="411"/>
      <c r="O95" s="411"/>
      <c r="P95" s="411"/>
      <c r="Q95" s="411"/>
      <c r="R95" s="411"/>
      <c r="S95" s="298"/>
      <c r="T95" s="402"/>
      <c r="U95" s="402"/>
      <c r="V95" s="402"/>
      <c r="W95" s="402"/>
      <c r="X95" s="402"/>
      <c r="Y95" s="402"/>
      <c r="Z95" s="402"/>
      <c r="AA95" s="402"/>
      <c r="AB95" s="402"/>
      <c r="AC95" s="402"/>
      <c r="AD95" s="296"/>
      <c r="AE95" s="296"/>
      <c r="AF95" s="411"/>
      <c r="AG95" s="411"/>
      <c r="AH95" s="412"/>
      <c r="AI95" s="412"/>
      <c r="AJ95" s="412"/>
      <c r="AK95" s="412"/>
      <c r="AL95" s="412"/>
      <c r="AM95" s="412"/>
      <c r="AN95" s="412"/>
      <c r="AO95" s="412"/>
      <c r="AP95" s="412"/>
      <c r="AQ95" s="412"/>
      <c r="AR95" s="412"/>
      <c r="AS95" s="412"/>
      <c r="AT95" s="412"/>
      <c r="AU95" s="412"/>
      <c r="AV95" s="412"/>
      <c r="AW95" s="412"/>
      <c r="AX95" s="412"/>
      <c r="AY95" s="412"/>
      <c r="AZ95" s="412"/>
      <c r="BA95" s="412"/>
      <c r="BB95" s="412"/>
    </row>
    <row r="96" spans="2:54" x14ac:dyDescent="0.2">
      <c r="B96" s="411"/>
      <c r="C96" s="411"/>
      <c r="D96" s="411"/>
      <c r="E96" s="411"/>
      <c r="F96" s="411"/>
      <c r="G96" s="411"/>
      <c r="H96" s="411"/>
      <c r="I96" s="411"/>
      <c r="J96" s="411"/>
      <c r="K96" s="411"/>
      <c r="L96" s="411"/>
      <c r="M96" s="411"/>
      <c r="N96" s="411"/>
      <c r="O96" s="411"/>
      <c r="P96" s="411"/>
      <c r="Q96" s="411"/>
      <c r="R96" s="411"/>
      <c r="S96" s="298"/>
      <c r="T96" s="402"/>
      <c r="U96" s="402"/>
      <c r="V96" s="402"/>
      <c r="W96" s="402"/>
      <c r="X96" s="402"/>
      <c r="Y96" s="402"/>
      <c r="Z96" s="402"/>
      <c r="AA96" s="402"/>
      <c r="AB96" s="402"/>
      <c r="AC96" s="402"/>
      <c r="AD96" s="296"/>
      <c r="AE96" s="296"/>
      <c r="AF96" s="411"/>
      <c r="AG96" s="411"/>
      <c r="AH96" s="412"/>
      <c r="AI96" s="412"/>
      <c r="AJ96" s="412"/>
      <c r="AK96" s="412"/>
      <c r="AL96" s="412"/>
      <c r="AM96" s="412"/>
      <c r="AN96" s="412"/>
      <c r="AO96" s="412"/>
      <c r="AP96" s="412"/>
      <c r="AQ96" s="412"/>
      <c r="AR96" s="412"/>
      <c r="AS96" s="412"/>
      <c r="AT96" s="412"/>
      <c r="AU96" s="412"/>
      <c r="AV96" s="412"/>
      <c r="AW96" s="412"/>
      <c r="AX96" s="412"/>
      <c r="AY96" s="412"/>
      <c r="AZ96" s="412"/>
      <c r="BA96" s="412"/>
      <c r="BB96" s="412"/>
    </row>
    <row r="97" spans="2:54" x14ac:dyDescent="0.2">
      <c r="B97" s="411"/>
      <c r="C97" s="411"/>
      <c r="D97" s="411"/>
      <c r="E97" s="411"/>
      <c r="F97" s="411"/>
      <c r="G97" s="411"/>
      <c r="H97" s="411"/>
      <c r="I97" s="411"/>
      <c r="J97" s="411"/>
      <c r="K97" s="411"/>
      <c r="L97" s="411"/>
      <c r="M97" s="411"/>
      <c r="N97" s="411"/>
      <c r="O97" s="411"/>
      <c r="P97" s="411"/>
      <c r="Q97" s="411"/>
      <c r="R97" s="411"/>
      <c r="S97" s="298"/>
      <c r="T97" s="402"/>
      <c r="U97" s="402"/>
      <c r="V97" s="402"/>
      <c r="W97" s="402"/>
      <c r="X97" s="402"/>
      <c r="Y97" s="402"/>
      <c r="Z97" s="402"/>
      <c r="AA97" s="402"/>
      <c r="AB97" s="402"/>
      <c r="AC97" s="402"/>
      <c r="AD97" s="296"/>
      <c r="AE97" s="296"/>
      <c r="AF97" s="411"/>
      <c r="AG97" s="411"/>
      <c r="AH97" s="412"/>
      <c r="AI97" s="412"/>
      <c r="AJ97" s="412"/>
      <c r="AK97" s="412"/>
      <c r="AL97" s="412"/>
      <c r="AM97" s="412"/>
      <c r="AN97" s="412"/>
      <c r="AO97" s="412"/>
      <c r="AP97" s="412"/>
      <c r="AQ97" s="412"/>
      <c r="AR97" s="412"/>
      <c r="AS97" s="412"/>
      <c r="AT97" s="412"/>
      <c r="AU97" s="412"/>
      <c r="AV97" s="412"/>
      <c r="AW97" s="412"/>
      <c r="AX97" s="412"/>
      <c r="AY97" s="412"/>
      <c r="AZ97" s="412"/>
      <c r="BA97" s="412"/>
      <c r="BB97" s="412"/>
    </row>
    <row r="98" spans="2:54" x14ac:dyDescent="0.2">
      <c r="B98" s="411"/>
      <c r="C98" s="411"/>
      <c r="D98" s="411"/>
      <c r="E98" s="411"/>
      <c r="F98" s="411"/>
      <c r="G98" s="411"/>
      <c r="H98" s="411"/>
      <c r="I98" s="411"/>
      <c r="J98" s="411"/>
      <c r="K98" s="411"/>
      <c r="L98" s="411"/>
      <c r="M98" s="411"/>
      <c r="N98" s="411"/>
      <c r="O98" s="411"/>
      <c r="P98" s="411"/>
      <c r="Q98" s="411"/>
      <c r="R98" s="411"/>
      <c r="S98" s="298"/>
      <c r="T98" s="402"/>
      <c r="U98" s="402"/>
      <c r="V98" s="402"/>
      <c r="W98" s="402"/>
      <c r="X98" s="402"/>
      <c r="Y98" s="402"/>
      <c r="Z98" s="402"/>
      <c r="AA98" s="402"/>
      <c r="AB98" s="402"/>
      <c r="AC98" s="402"/>
      <c r="AD98" s="296"/>
      <c r="AE98" s="296"/>
      <c r="AF98" s="411"/>
      <c r="AG98" s="411"/>
      <c r="AH98" s="412"/>
      <c r="AI98" s="412"/>
      <c r="AJ98" s="412"/>
      <c r="AK98" s="412"/>
      <c r="AL98" s="412"/>
      <c r="AM98" s="412"/>
      <c r="AN98" s="412"/>
      <c r="AO98" s="412"/>
      <c r="AP98" s="412"/>
      <c r="AQ98" s="412"/>
      <c r="AR98" s="412"/>
      <c r="AS98" s="412"/>
      <c r="AT98" s="412"/>
      <c r="AU98" s="412"/>
      <c r="AV98" s="412"/>
      <c r="AW98" s="412"/>
      <c r="AX98" s="412"/>
      <c r="AY98" s="412"/>
      <c r="AZ98" s="412"/>
      <c r="BA98" s="412"/>
      <c r="BB98" s="412"/>
    </row>
    <row r="99" spans="2:54" x14ac:dyDescent="0.2">
      <c r="B99" s="411"/>
      <c r="C99" s="411"/>
      <c r="D99" s="411"/>
      <c r="E99" s="411"/>
      <c r="F99" s="411"/>
      <c r="G99" s="411"/>
      <c r="H99" s="411"/>
      <c r="I99" s="411"/>
      <c r="J99" s="411"/>
      <c r="K99" s="411"/>
      <c r="L99" s="411"/>
      <c r="M99" s="411"/>
      <c r="N99" s="411"/>
      <c r="O99" s="411"/>
      <c r="P99" s="411"/>
      <c r="Q99" s="411"/>
      <c r="R99" s="411"/>
      <c r="S99" s="298"/>
      <c r="T99" s="402"/>
      <c r="U99" s="402"/>
      <c r="V99" s="402"/>
      <c r="W99" s="402"/>
      <c r="X99" s="402"/>
      <c r="Y99" s="402"/>
      <c r="Z99" s="402"/>
      <c r="AA99" s="402"/>
      <c r="AB99" s="402"/>
      <c r="AC99" s="402"/>
      <c r="AD99" s="296"/>
      <c r="AE99" s="296"/>
      <c r="AF99" s="411"/>
      <c r="AG99" s="411"/>
      <c r="AH99" s="412"/>
      <c r="AI99" s="412"/>
      <c r="AJ99" s="412"/>
      <c r="AK99" s="412"/>
      <c r="AL99" s="412"/>
      <c r="AM99" s="412"/>
      <c r="AN99" s="412"/>
      <c r="AO99" s="412"/>
      <c r="AP99" s="412"/>
      <c r="AQ99" s="412"/>
      <c r="AR99" s="412"/>
      <c r="AS99" s="412"/>
      <c r="AT99" s="412"/>
      <c r="AU99" s="412"/>
      <c r="AV99" s="412"/>
      <c r="AW99" s="412"/>
      <c r="AX99" s="412"/>
      <c r="AY99" s="412"/>
      <c r="AZ99" s="412"/>
      <c r="BA99" s="412"/>
      <c r="BB99" s="412"/>
    </row>
    <row r="100" spans="2:54" x14ac:dyDescent="0.2">
      <c r="B100" s="411"/>
      <c r="C100" s="411"/>
      <c r="D100" s="411"/>
      <c r="E100" s="411"/>
      <c r="F100" s="411"/>
      <c r="G100" s="411"/>
      <c r="H100" s="411"/>
      <c r="I100" s="411"/>
      <c r="J100" s="411"/>
      <c r="K100" s="411"/>
      <c r="L100" s="411"/>
      <c r="M100" s="411"/>
      <c r="N100" s="411"/>
      <c r="O100" s="411"/>
      <c r="P100" s="411"/>
      <c r="Q100" s="411"/>
      <c r="R100" s="411"/>
      <c r="S100" s="298"/>
      <c r="T100" s="402"/>
      <c r="U100" s="402"/>
      <c r="V100" s="402"/>
      <c r="W100" s="402"/>
      <c r="X100" s="402"/>
      <c r="Y100" s="402"/>
      <c r="Z100" s="402"/>
      <c r="AA100" s="402"/>
      <c r="AB100" s="402"/>
      <c r="AC100" s="402"/>
      <c r="AD100" s="296"/>
      <c r="AE100" s="296"/>
      <c r="AF100" s="411"/>
      <c r="AG100" s="411"/>
      <c r="AH100" s="412"/>
      <c r="AI100" s="412"/>
      <c r="AJ100" s="412"/>
      <c r="AK100" s="412"/>
      <c r="AL100" s="412"/>
      <c r="AM100" s="412"/>
      <c r="AN100" s="412"/>
      <c r="AO100" s="412"/>
      <c r="AP100" s="412"/>
      <c r="AQ100" s="412"/>
      <c r="AR100" s="412"/>
      <c r="AS100" s="412"/>
      <c r="AT100" s="412"/>
      <c r="AU100" s="412"/>
      <c r="AV100" s="412"/>
      <c r="AW100" s="412"/>
      <c r="AX100" s="412"/>
      <c r="AY100" s="412"/>
      <c r="AZ100" s="412"/>
      <c r="BA100" s="412"/>
      <c r="BB100" s="412"/>
    </row>
    <row r="101" spans="2:54" x14ac:dyDescent="0.2">
      <c r="B101" s="411"/>
      <c r="C101" s="411"/>
      <c r="D101" s="411"/>
      <c r="E101" s="411"/>
      <c r="F101" s="411"/>
      <c r="G101" s="411"/>
      <c r="H101" s="411"/>
      <c r="I101" s="411"/>
      <c r="J101" s="411"/>
      <c r="K101" s="411"/>
      <c r="L101" s="411"/>
      <c r="M101" s="411"/>
      <c r="N101" s="411"/>
      <c r="O101" s="411"/>
      <c r="P101" s="411"/>
      <c r="Q101" s="411"/>
      <c r="R101" s="411"/>
      <c r="S101" s="298"/>
      <c r="T101" s="402"/>
      <c r="U101" s="402"/>
      <c r="V101" s="402"/>
      <c r="W101" s="402"/>
      <c r="X101" s="402"/>
      <c r="Y101" s="402"/>
      <c r="Z101" s="402"/>
      <c r="AA101" s="402"/>
      <c r="AB101" s="402"/>
      <c r="AC101" s="402"/>
      <c r="AD101" s="296"/>
      <c r="AE101" s="296"/>
      <c r="AF101" s="411"/>
      <c r="AG101" s="411"/>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row>
    <row r="102" spans="2:54" x14ac:dyDescent="0.2">
      <c r="B102" s="411"/>
      <c r="C102" s="411"/>
      <c r="D102" s="411"/>
      <c r="E102" s="411"/>
      <c r="F102" s="411"/>
      <c r="G102" s="411"/>
      <c r="H102" s="411"/>
      <c r="I102" s="411"/>
      <c r="J102" s="411"/>
      <c r="K102" s="411"/>
      <c r="L102" s="411"/>
      <c r="M102" s="411"/>
      <c r="N102" s="411"/>
      <c r="O102" s="411"/>
      <c r="P102" s="411"/>
      <c r="Q102" s="411"/>
      <c r="R102" s="411"/>
      <c r="S102" s="298"/>
      <c r="T102" s="402"/>
      <c r="U102" s="402"/>
      <c r="V102" s="402"/>
      <c r="W102" s="402"/>
      <c r="X102" s="402"/>
      <c r="Y102" s="402"/>
      <c r="Z102" s="402"/>
      <c r="AA102" s="402"/>
      <c r="AB102" s="402"/>
      <c r="AC102" s="402"/>
      <c r="AD102" s="296"/>
      <c r="AE102" s="296"/>
      <c r="AF102" s="411"/>
      <c r="AG102" s="411"/>
      <c r="AH102" s="412"/>
      <c r="AI102" s="412"/>
      <c r="AJ102" s="412"/>
      <c r="AK102" s="412"/>
      <c r="AL102" s="412"/>
      <c r="AM102" s="412"/>
      <c r="AN102" s="412"/>
      <c r="AO102" s="412"/>
      <c r="AP102" s="412"/>
      <c r="AQ102" s="412"/>
      <c r="AR102" s="412"/>
      <c r="AS102" s="412"/>
      <c r="AT102" s="412"/>
      <c r="AU102" s="412"/>
      <c r="AV102" s="412"/>
      <c r="AW102" s="412"/>
      <c r="AX102" s="412"/>
      <c r="AY102" s="412"/>
      <c r="AZ102" s="412"/>
      <c r="BA102" s="412"/>
      <c r="BB102" s="412"/>
    </row>
    <row r="103" spans="2:54" x14ac:dyDescent="0.2">
      <c r="B103" s="411"/>
      <c r="C103" s="411"/>
      <c r="D103" s="411"/>
      <c r="E103" s="411"/>
      <c r="F103" s="411"/>
      <c r="G103" s="411"/>
      <c r="H103" s="411"/>
      <c r="I103" s="411"/>
      <c r="J103" s="411"/>
      <c r="K103" s="411"/>
      <c r="L103" s="411"/>
      <c r="M103" s="411"/>
      <c r="N103" s="411"/>
      <c r="O103" s="411"/>
      <c r="P103" s="411"/>
      <c r="Q103" s="411"/>
      <c r="R103" s="411"/>
      <c r="S103" s="298"/>
      <c r="T103" s="402"/>
      <c r="U103" s="402"/>
      <c r="V103" s="402"/>
      <c r="W103" s="402"/>
      <c r="X103" s="402"/>
      <c r="Y103" s="402"/>
      <c r="Z103" s="402"/>
      <c r="AA103" s="402"/>
      <c r="AB103" s="402"/>
      <c r="AC103" s="402"/>
      <c r="AD103" s="296"/>
      <c r="AE103" s="296"/>
      <c r="AF103" s="411"/>
      <c r="AG103" s="411"/>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row>
    <row r="104" spans="2:54" x14ac:dyDescent="0.2">
      <c r="B104" s="411"/>
      <c r="C104" s="411"/>
      <c r="D104" s="411"/>
      <c r="E104" s="411"/>
      <c r="F104" s="411"/>
      <c r="G104" s="411"/>
      <c r="H104" s="411"/>
      <c r="I104" s="411"/>
      <c r="J104" s="411"/>
      <c r="K104" s="411"/>
      <c r="L104" s="411"/>
      <c r="M104" s="411"/>
      <c r="N104" s="411"/>
      <c r="O104" s="411"/>
      <c r="P104" s="411"/>
      <c r="Q104" s="411"/>
      <c r="R104" s="411"/>
      <c r="S104" s="298"/>
      <c r="T104" s="402"/>
      <c r="U104" s="402"/>
      <c r="V104" s="402"/>
      <c r="W104" s="402"/>
      <c r="X104" s="402"/>
      <c r="Y104" s="402"/>
      <c r="Z104" s="402"/>
      <c r="AA104" s="402"/>
      <c r="AB104" s="402"/>
      <c r="AC104" s="402"/>
      <c r="AD104" s="296"/>
      <c r="AE104" s="296"/>
      <c r="AF104" s="411"/>
      <c r="AG104" s="411"/>
      <c r="AH104" s="412"/>
      <c r="AI104" s="412"/>
      <c r="AJ104" s="412"/>
      <c r="AK104" s="412"/>
      <c r="AL104" s="412"/>
      <c r="AM104" s="412"/>
      <c r="AN104" s="412"/>
      <c r="AO104" s="412"/>
      <c r="AP104" s="412"/>
      <c r="AQ104" s="412"/>
      <c r="AR104" s="412"/>
      <c r="AS104" s="412"/>
      <c r="AT104" s="412"/>
      <c r="AU104" s="412"/>
      <c r="AV104" s="412"/>
      <c r="AW104" s="412"/>
      <c r="AX104" s="412"/>
      <c r="AY104" s="412"/>
      <c r="AZ104" s="412"/>
      <c r="BA104" s="412"/>
      <c r="BB104" s="412"/>
    </row>
    <row r="105" spans="2:54" x14ac:dyDescent="0.2">
      <c r="B105" s="411"/>
      <c r="C105" s="411"/>
      <c r="D105" s="411"/>
      <c r="E105" s="411"/>
      <c r="F105" s="411"/>
      <c r="G105" s="411"/>
      <c r="H105" s="411"/>
      <c r="I105" s="411"/>
      <c r="J105" s="411"/>
      <c r="K105" s="411"/>
      <c r="L105" s="411"/>
      <c r="M105" s="411"/>
      <c r="N105" s="411"/>
      <c r="O105" s="411"/>
      <c r="P105" s="411"/>
      <c r="Q105" s="411"/>
      <c r="R105" s="411"/>
      <c r="S105" s="298"/>
      <c r="T105" s="402"/>
      <c r="U105" s="402"/>
      <c r="V105" s="402"/>
      <c r="W105" s="402"/>
      <c r="X105" s="402"/>
      <c r="Y105" s="402"/>
      <c r="Z105" s="402"/>
      <c r="AA105" s="402"/>
      <c r="AB105" s="402"/>
      <c r="AC105" s="402"/>
      <c r="AD105" s="296"/>
      <c r="AE105" s="296"/>
      <c r="AF105" s="411"/>
      <c r="AG105" s="411"/>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row>
    <row r="106" spans="2:54" x14ac:dyDescent="0.2">
      <c r="B106" s="411"/>
      <c r="C106" s="411"/>
      <c r="D106" s="411"/>
      <c r="E106" s="411"/>
      <c r="F106" s="411"/>
      <c r="G106" s="411"/>
      <c r="H106" s="411"/>
      <c r="I106" s="411"/>
      <c r="J106" s="411"/>
      <c r="K106" s="411"/>
      <c r="L106" s="411"/>
      <c r="M106" s="411"/>
      <c r="N106" s="411"/>
      <c r="O106" s="411"/>
      <c r="P106" s="411"/>
      <c r="Q106" s="411"/>
      <c r="R106" s="411"/>
      <c r="S106" s="298"/>
      <c r="T106" s="402"/>
      <c r="U106" s="402"/>
      <c r="V106" s="402"/>
      <c r="W106" s="402"/>
      <c r="X106" s="402"/>
      <c r="Y106" s="402"/>
      <c r="Z106" s="402"/>
      <c r="AA106" s="402"/>
      <c r="AB106" s="402"/>
      <c r="AC106" s="402"/>
      <c r="AD106" s="296"/>
      <c r="AE106" s="296"/>
      <c r="AF106" s="411"/>
      <c r="AG106" s="411"/>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row>
    <row r="107" spans="2:54" x14ac:dyDescent="0.2">
      <c r="B107" s="411"/>
      <c r="C107" s="411"/>
      <c r="D107" s="411"/>
      <c r="E107" s="411"/>
      <c r="F107" s="411"/>
      <c r="G107" s="411"/>
      <c r="H107" s="411"/>
      <c r="I107" s="411"/>
      <c r="J107" s="411"/>
      <c r="K107" s="411"/>
      <c r="L107" s="411"/>
      <c r="M107" s="411"/>
      <c r="N107" s="411"/>
      <c r="O107" s="411"/>
      <c r="P107" s="411"/>
      <c r="Q107" s="411"/>
      <c r="R107" s="411"/>
      <c r="S107" s="298"/>
      <c r="T107" s="402"/>
      <c r="U107" s="402"/>
      <c r="V107" s="402"/>
      <c r="W107" s="402"/>
      <c r="X107" s="402"/>
      <c r="Y107" s="402"/>
      <c r="Z107" s="402"/>
      <c r="AA107" s="402"/>
      <c r="AB107" s="402"/>
      <c r="AC107" s="402"/>
      <c r="AD107" s="296"/>
      <c r="AE107" s="296"/>
      <c r="AF107" s="411"/>
      <c r="AG107" s="411"/>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row>
    <row r="108" spans="2:54" x14ac:dyDescent="0.2">
      <c r="B108" s="411"/>
      <c r="C108" s="411"/>
      <c r="D108" s="411"/>
      <c r="E108" s="411"/>
      <c r="F108" s="411"/>
      <c r="G108" s="411"/>
      <c r="H108" s="411"/>
      <c r="I108" s="411"/>
      <c r="J108" s="411"/>
      <c r="K108" s="411"/>
      <c r="L108" s="411"/>
      <c r="M108" s="411"/>
      <c r="N108" s="411"/>
      <c r="O108" s="411"/>
      <c r="P108" s="411"/>
      <c r="Q108" s="411"/>
      <c r="R108" s="411"/>
      <c r="S108" s="298"/>
      <c r="T108" s="402"/>
      <c r="U108" s="402"/>
      <c r="V108" s="402"/>
      <c r="W108" s="402"/>
      <c r="X108" s="402"/>
      <c r="Y108" s="402"/>
      <c r="Z108" s="402"/>
      <c r="AA108" s="402"/>
      <c r="AB108" s="402"/>
      <c r="AC108" s="402"/>
      <c r="AD108" s="296"/>
      <c r="AE108" s="296"/>
      <c r="AF108" s="411"/>
      <c r="AG108" s="411"/>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row>
    <row r="109" spans="2:54" x14ac:dyDescent="0.2">
      <c r="B109" s="411"/>
      <c r="C109" s="411"/>
      <c r="D109" s="411"/>
      <c r="E109" s="411"/>
      <c r="F109" s="411"/>
      <c r="G109" s="411"/>
      <c r="H109" s="411"/>
      <c r="I109" s="411"/>
      <c r="J109" s="411"/>
      <c r="K109" s="411"/>
      <c r="L109" s="411"/>
      <c r="M109" s="411"/>
      <c r="N109" s="411"/>
      <c r="O109" s="411"/>
      <c r="P109" s="411"/>
      <c r="Q109" s="411"/>
      <c r="R109" s="411"/>
      <c r="S109" s="298"/>
      <c r="T109" s="402"/>
      <c r="U109" s="402"/>
      <c r="V109" s="402"/>
      <c r="W109" s="402"/>
      <c r="X109" s="402"/>
      <c r="Y109" s="402"/>
      <c r="Z109" s="402"/>
      <c r="AA109" s="402"/>
      <c r="AB109" s="402"/>
      <c r="AC109" s="402"/>
      <c r="AD109" s="296"/>
      <c r="AE109" s="296"/>
      <c r="AF109" s="411"/>
      <c r="AG109" s="411"/>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row>
    <row r="110" spans="2:54" x14ac:dyDescent="0.2">
      <c r="B110" s="411"/>
      <c r="C110" s="411"/>
      <c r="D110" s="411"/>
      <c r="E110" s="411"/>
      <c r="F110" s="411"/>
      <c r="G110" s="411"/>
      <c r="H110" s="411"/>
      <c r="I110" s="411"/>
      <c r="J110" s="411"/>
      <c r="K110" s="411"/>
      <c r="L110" s="411"/>
      <c r="M110" s="411"/>
      <c r="N110" s="411"/>
      <c r="O110" s="411"/>
      <c r="P110" s="411"/>
      <c r="Q110" s="411"/>
      <c r="R110" s="411"/>
      <c r="S110" s="298"/>
      <c r="T110" s="402"/>
      <c r="U110" s="402"/>
      <c r="V110" s="402"/>
      <c r="W110" s="402"/>
      <c r="X110" s="402"/>
      <c r="Y110" s="402"/>
      <c r="Z110" s="402"/>
      <c r="AA110" s="402"/>
      <c r="AB110" s="402"/>
      <c r="AC110" s="402"/>
      <c r="AD110" s="296"/>
      <c r="AE110" s="296"/>
      <c r="AF110" s="411"/>
      <c r="AG110" s="411"/>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row>
    <row r="111" spans="2:54" x14ac:dyDescent="0.2">
      <c r="B111" s="411"/>
      <c r="C111" s="411"/>
      <c r="D111" s="411"/>
      <c r="E111" s="411"/>
      <c r="F111" s="411"/>
      <c r="G111" s="411"/>
      <c r="H111" s="411"/>
      <c r="I111" s="411"/>
      <c r="J111" s="411"/>
      <c r="K111" s="411"/>
      <c r="L111" s="411"/>
      <c r="M111" s="411"/>
      <c r="N111" s="411"/>
      <c r="O111" s="411"/>
      <c r="P111" s="411"/>
      <c r="Q111" s="411"/>
      <c r="R111" s="411"/>
      <c r="S111" s="298"/>
      <c r="T111" s="402"/>
      <c r="U111" s="402"/>
      <c r="V111" s="402"/>
      <c r="W111" s="402"/>
      <c r="X111" s="402"/>
      <c r="Y111" s="402"/>
      <c r="Z111" s="402"/>
      <c r="AA111" s="402"/>
      <c r="AB111" s="402"/>
      <c r="AC111" s="402"/>
      <c r="AD111" s="296"/>
      <c r="AE111" s="296"/>
      <c r="AF111" s="411"/>
      <c r="AG111" s="411"/>
      <c r="AH111" s="412"/>
      <c r="AI111" s="412"/>
      <c r="AJ111" s="412"/>
      <c r="AK111" s="412"/>
      <c r="AL111" s="412"/>
      <c r="AM111" s="412"/>
      <c r="AN111" s="412"/>
      <c r="AO111" s="412"/>
      <c r="AP111" s="412"/>
      <c r="AQ111" s="412"/>
      <c r="AR111" s="412"/>
      <c r="AS111" s="412"/>
      <c r="AT111" s="412"/>
      <c r="AU111" s="412"/>
      <c r="AV111" s="412"/>
      <c r="AW111" s="412"/>
      <c r="AX111" s="412"/>
      <c r="AY111" s="412"/>
      <c r="AZ111" s="412"/>
      <c r="BA111" s="412"/>
      <c r="BB111" s="412"/>
    </row>
    <row r="112" spans="2:54" x14ac:dyDescent="0.2">
      <c r="B112" s="411"/>
      <c r="C112" s="411"/>
      <c r="D112" s="411"/>
      <c r="E112" s="411"/>
      <c r="F112" s="411"/>
      <c r="G112" s="411"/>
      <c r="H112" s="411"/>
      <c r="I112" s="411"/>
      <c r="J112" s="411"/>
      <c r="K112" s="411"/>
      <c r="L112" s="411"/>
      <c r="M112" s="411"/>
      <c r="N112" s="411"/>
      <c r="O112" s="411"/>
      <c r="P112" s="411"/>
      <c r="Q112" s="411"/>
      <c r="R112" s="411"/>
      <c r="S112" s="298"/>
      <c r="T112" s="402"/>
      <c r="U112" s="402"/>
      <c r="V112" s="402"/>
      <c r="W112" s="402"/>
      <c r="X112" s="402"/>
      <c r="Y112" s="402"/>
      <c r="Z112" s="402"/>
      <c r="AA112" s="402"/>
      <c r="AB112" s="402"/>
      <c r="AC112" s="402"/>
      <c r="AD112" s="296"/>
      <c r="AE112" s="296"/>
      <c r="AF112" s="411"/>
      <c r="AG112" s="411"/>
      <c r="AH112" s="412"/>
      <c r="AI112" s="412"/>
      <c r="AJ112" s="412"/>
      <c r="AK112" s="412"/>
      <c r="AL112" s="412"/>
      <c r="AM112" s="412"/>
      <c r="AN112" s="412"/>
      <c r="AO112" s="412"/>
      <c r="AP112" s="412"/>
      <c r="AQ112" s="412"/>
      <c r="AR112" s="412"/>
      <c r="AS112" s="412"/>
      <c r="AT112" s="412"/>
      <c r="AU112" s="412"/>
      <c r="AV112" s="412"/>
      <c r="AW112" s="412"/>
      <c r="AX112" s="412"/>
      <c r="AY112" s="412"/>
      <c r="AZ112" s="412"/>
      <c r="BA112" s="412"/>
      <c r="BB112" s="412"/>
    </row>
    <row r="113" spans="2:54" x14ac:dyDescent="0.2">
      <c r="B113" s="411"/>
      <c r="C113" s="411"/>
      <c r="D113" s="411"/>
      <c r="E113" s="411"/>
      <c r="F113" s="411"/>
      <c r="G113" s="411"/>
      <c r="H113" s="411"/>
      <c r="I113" s="411"/>
      <c r="J113" s="411"/>
      <c r="K113" s="411"/>
      <c r="L113" s="411"/>
      <c r="M113" s="411"/>
      <c r="N113" s="411"/>
      <c r="O113" s="411"/>
      <c r="P113" s="411"/>
      <c r="Q113" s="411"/>
      <c r="R113" s="411"/>
      <c r="S113" s="298"/>
      <c r="T113" s="402"/>
      <c r="U113" s="402"/>
      <c r="V113" s="402"/>
      <c r="W113" s="402"/>
      <c r="X113" s="402"/>
      <c r="Y113" s="402"/>
      <c r="Z113" s="402"/>
      <c r="AA113" s="402"/>
      <c r="AB113" s="402"/>
      <c r="AC113" s="402"/>
      <c r="AD113" s="296"/>
      <c r="AE113" s="296"/>
      <c r="AF113" s="411"/>
      <c r="AG113" s="411"/>
      <c r="AH113" s="412"/>
      <c r="AI113" s="412"/>
      <c r="AJ113" s="412"/>
      <c r="AK113" s="412"/>
      <c r="AL113" s="412"/>
      <c r="AM113" s="412"/>
      <c r="AN113" s="412"/>
      <c r="AO113" s="412"/>
      <c r="AP113" s="412"/>
      <c r="AQ113" s="412"/>
      <c r="AR113" s="412"/>
      <c r="AS113" s="412"/>
      <c r="AT113" s="412"/>
      <c r="AU113" s="412"/>
      <c r="AV113" s="412"/>
      <c r="AW113" s="412"/>
      <c r="AX113" s="412"/>
      <c r="AY113" s="412"/>
      <c r="AZ113" s="412"/>
      <c r="BA113" s="412"/>
      <c r="BB113" s="412"/>
    </row>
    <row r="114" spans="2:54" x14ac:dyDescent="0.2">
      <c r="B114" s="411"/>
      <c r="C114" s="411"/>
      <c r="D114" s="411"/>
      <c r="E114" s="411"/>
      <c r="F114" s="411"/>
      <c r="G114" s="411"/>
      <c r="H114" s="411"/>
      <c r="I114" s="411"/>
      <c r="J114" s="411"/>
      <c r="K114" s="411"/>
      <c r="L114" s="411"/>
      <c r="M114" s="411"/>
      <c r="N114" s="411"/>
      <c r="O114" s="411"/>
      <c r="P114" s="411"/>
      <c r="Q114" s="411"/>
      <c r="R114" s="411"/>
      <c r="S114" s="298"/>
      <c r="T114" s="402"/>
      <c r="U114" s="402"/>
      <c r="V114" s="402"/>
      <c r="W114" s="402"/>
      <c r="X114" s="402"/>
      <c r="Y114" s="402"/>
      <c r="Z114" s="402"/>
      <c r="AA114" s="402"/>
      <c r="AB114" s="402"/>
      <c r="AC114" s="402"/>
      <c r="AD114" s="296"/>
      <c r="AE114" s="296"/>
      <c r="AF114" s="411"/>
      <c r="AG114" s="411"/>
      <c r="AH114" s="412"/>
      <c r="AI114" s="412"/>
      <c r="AJ114" s="412"/>
      <c r="AK114" s="412"/>
      <c r="AL114" s="412"/>
      <c r="AM114" s="412"/>
      <c r="AN114" s="412"/>
      <c r="AO114" s="412"/>
      <c r="AP114" s="412"/>
      <c r="AQ114" s="412"/>
      <c r="AR114" s="412"/>
      <c r="AS114" s="412"/>
      <c r="AT114" s="412"/>
      <c r="AU114" s="412"/>
      <c r="AV114" s="412"/>
      <c r="AW114" s="412"/>
      <c r="AX114" s="412"/>
      <c r="AY114" s="412"/>
      <c r="AZ114" s="412"/>
      <c r="BA114" s="412"/>
      <c r="BB114" s="412"/>
    </row>
    <row r="115" spans="2:54" x14ac:dyDescent="0.2">
      <c r="B115" s="411"/>
      <c r="C115" s="411"/>
      <c r="D115" s="411"/>
      <c r="E115" s="411"/>
      <c r="F115" s="411"/>
      <c r="G115" s="411"/>
      <c r="H115" s="411"/>
      <c r="I115" s="411"/>
      <c r="J115" s="411"/>
      <c r="K115" s="411"/>
      <c r="L115" s="411"/>
      <c r="M115" s="411"/>
      <c r="N115" s="411"/>
      <c r="O115" s="411"/>
      <c r="P115" s="411"/>
      <c r="Q115" s="411"/>
      <c r="R115" s="411"/>
      <c r="S115" s="298"/>
      <c r="T115" s="402"/>
      <c r="U115" s="402"/>
      <c r="V115" s="402"/>
      <c r="W115" s="402"/>
      <c r="X115" s="402"/>
      <c r="Y115" s="402"/>
      <c r="Z115" s="402"/>
      <c r="AA115" s="402"/>
      <c r="AB115" s="402"/>
      <c r="AC115" s="402"/>
      <c r="AD115" s="296"/>
      <c r="AE115" s="296"/>
      <c r="AF115" s="411"/>
      <c r="AG115" s="411"/>
      <c r="AH115" s="412"/>
      <c r="AI115" s="412"/>
      <c r="AJ115" s="412"/>
      <c r="AK115" s="412"/>
      <c r="AL115" s="412"/>
      <c r="AM115" s="412"/>
      <c r="AN115" s="412"/>
      <c r="AO115" s="412"/>
      <c r="AP115" s="412"/>
      <c r="AQ115" s="412"/>
      <c r="AR115" s="412"/>
      <c r="AS115" s="412"/>
      <c r="AT115" s="412"/>
      <c r="AU115" s="412"/>
      <c r="AV115" s="412"/>
      <c r="AW115" s="412"/>
      <c r="AX115" s="412"/>
      <c r="AY115" s="412"/>
      <c r="AZ115" s="412"/>
      <c r="BA115" s="412"/>
      <c r="BB115" s="412"/>
    </row>
    <row r="116" spans="2:54" x14ac:dyDescent="0.2">
      <c r="B116" s="411"/>
      <c r="C116" s="411"/>
      <c r="D116" s="411"/>
      <c r="E116" s="411"/>
      <c r="F116" s="411"/>
      <c r="G116" s="411"/>
      <c r="H116" s="411"/>
      <c r="I116" s="411"/>
      <c r="J116" s="411"/>
      <c r="K116" s="411"/>
      <c r="L116" s="411"/>
      <c r="M116" s="411"/>
      <c r="N116" s="411"/>
      <c r="O116" s="411"/>
      <c r="P116" s="411"/>
      <c r="Q116" s="411"/>
      <c r="R116" s="411"/>
      <c r="S116" s="298"/>
      <c r="T116" s="402"/>
      <c r="U116" s="402"/>
      <c r="V116" s="402"/>
      <c r="W116" s="402"/>
      <c r="X116" s="402"/>
      <c r="Y116" s="402"/>
      <c r="Z116" s="402"/>
      <c r="AA116" s="402"/>
      <c r="AB116" s="402"/>
      <c r="AC116" s="402"/>
      <c r="AD116" s="296"/>
      <c r="AE116" s="296"/>
      <c r="AF116" s="411"/>
      <c r="AG116" s="411"/>
      <c r="AH116" s="412"/>
      <c r="AI116" s="412"/>
      <c r="AJ116" s="412"/>
      <c r="AK116" s="412"/>
      <c r="AL116" s="412"/>
      <c r="AM116" s="412"/>
      <c r="AN116" s="412"/>
      <c r="AO116" s="412"/>
      <c r="AP116" s="412"/>
      <c r="AQ116" s="412"/>
      <c r="AR116" s="412"/>
      <c r="AS116" s="412"/>
      <c r="AT116" s="412"/>
      <c r="AU116" s="412"/>
      <c r="AV116" s="412"/>
      <c r="AW116" s="412"/>
      <c r="AX116" s="412"/>
      <c r="AY116" s="412"/>
      <c r="AZ116" s="412"/>
      <c r="BA116" s="412"/>
      <c r="BB116" s="412"/>
    </row>
    <row r="117" spans="2:54" x14ac:dyDescent="0.2">
      <c r="B117" s="411"/>
      <c r="C117" s="411"/>
      <c r="D117" s="411"/>
      <c r="E117" s="411"/>
      <c r="F117" s="411"/>
      <c r="G117" s="411"/>
      <c r="H117" s="411"/>
      <c r="I117" s="411"/>
      <c r="J117" s="411"/>
      <c r="K117" s="411"/>
      <c r="L117" s="411"/>
      <c r="M117" s="411"/>
      <c r="N117" s="411"/>
      <c r="O117" s="411"/>
      <c r="P117" s="411"/>
      <c r="Q117" s="411"/>
      <c r="R117" s="411"/>
      <c r="S117" s="298"/>
      <c r="T117" s="402"/>
      <c r="U117" s="402"/>
      <c r="V117" s="402"/>
      <c r="W117" s="402"/>
      <c r="X117" s="402"/>
      <c r="Y117" s="402"/>
      <c r="Z117" s="402"/>
      <c r="AA117" s="402"/>
      <c r="AB117" s="402"/>
      <c r="AC117" s="402"/>
      <c r="AD117" s="296"/>
      <c r="AE117" s="296"/>
      <c r="AF117" s="411"/>
      <c r="AG117" s="411"/>
      <c r="AH117" s="412"/>
      <c r="AI117" s="412"/>
      <c r="AJ117" s="412"/>
      <c r="AK117" s="412"/>
      <c r="AL117" s="412"/>
      <c r="AM117" s="412"/>
      <c r="AN117" s="412"/>
      <c r="AO117" s="412"/>
      <c r="AP117" s="412"/>
      <c r="AQ117" s="412"/>
      <c r="AR117" s="412"/>
      <c r="AS117" s="412"/>
      <c r="AT117" s="412"/>
      <c r="AU117" s="412"/>
      <c r="AV117" s="412"/>
      <c r="AW117" s="412"/>
      <c r="AX117" s="412"/>
      <c r="AY117" s="412"/>
      <c r="AZ117" s="412"/>
      <c r="BA117" s="412"/>
      <c r="BB117" s="412"/>
    </row>
    <row r="118" spans="2:54" x14ac:dyDescent="0.2">
      <c r="B118" s="411"/>
      <c r="C118" s="411"/>
      <c r="D118" s="411"/>
      <c r="E118" s="411"/>
      <c r="F118" s="411"/>
      <c r="G118" s="411"/>
      <c r="H118" s="411"/>
      <c r="I118" s="411"/>
      <c r="J118" s="411"/>
      <c r="K118" s="411"/>
      <c r="L118" s="411"/>
      <c r="M118" s="411"/>
      <c r="N118" s="411"/>
      <c r="O118" s="411"/>
      <c r="P118" s="411"/>
      <c r="Q118" s="411"/>
      <c r="R118" s="411"/>
      <c r="S118" s="298"/>
      <c r="T118" s="402"/>
      <c r="U118" s="402"/>
      <c r="V118" s="402"/>
      <c r="W118" s="402"/>
      <c r="X118" s="402"/>
      <c r="Y118" s="402"/>
      <c r="Z118" s="402"/>
      <c r="AA118" s="402"/>
      <c r="AB118" s="402"/>
      <c r="AC118" s="402"/>
      <c r="AD118" s="296"/>
      <c r="AE118" s="296"/>
      <c r="AF118" s="411"/>
      <c r="AG118" s="411"/>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row>
    <row r="119" spans="2:54" x14ac:dyDescent="0.2">
      <c r="B119" s="411"/>
      <c r="C119" s="411"/>
      <c r="D119" s="411"/>
      <c r="E119" s="411"/>
      <c r="F119" s="411"/>
      <c r="G119" s="411"/>
      <c r="H119" s="411"/>
      <c r="I119" s="411"/>
      <c r="J119" s="411"/>
      <c r="K119" s="411"/>
      <c r="L119" s="411"/>
      <c r="M119" s="411"/>
      <c r="N119" s="411"/>
      <c r="O119" s="411"/>
      <c r="P119" s="411"/>
      <c r="Q119" s="411"/>
      <c r="R119" s="411"/>
      <c r="S119" s="298"/>
      <c r="T119" s="402"/>
      <c r="U119" s="402"/>
      <c r="V119" s="402"/>
      <c r="W119" s="402"/>
      <c r="X119" s="402"/>
      <c r="Y119" s="402"/>
      <c r="Z119" s="402"/>
      <c r="AA119" s="402"/>
      <c r="AB119" s="402"/>
      <c r="AC119" s="402"/>
      <c r="AD119" s="296"/>
      <c r="AE119" s="296"/>
      <c r="AF119" s="411"/>
      <c r="AG119" s="411"/>
      <c r="AH119" s="412"/>
      <c r="AI119" s="412"/>
      <c r="AJ119" s="412"/>
      <c r="AK119" s="412"/>
      <c r="AL119" s="412"/>
      <c r="AM119" s="412"/>
      <c r="AN119" s="412"/>
      <c r="AO119" s="412"/>
      <c r="AP119" s="412"/>
      <c r="AQ119" s="412"/>
      <c r="AR119" s="412"/>
      <c r="AS119" s="412"/>
      <c r="AT119" s="412"/>
      <c r="AU119" s="412"/>
      <c r="AV119" s="412"/>
      <c r="AW119" s="412"/>
      <c r="AX119" s="412"/>
      <c r="AY119" s="412"/>
      <c r="AZ119" s="412"/>
      <c r="BA119" s="412"/>
      <c r="BB119" s="412"/>
    </row>
    <row r="120" spans="2:54" x14ac:dyDescent="0.2">
      <c r="B120" s="411"/>
      <c r="C120" s="411"/>
      <c r="D120" s="411"/>
      <c r="E120" s="411"/>
      <c r="F120" s="411"/>
      <c r="G120" s="411"/>
      <c r="H120" s="411"/>
      <c r="I120" s="411"/>
      <c r="J120" s="411"/>
      <c r="K120" s="411"/>
      <c r="L120" s="411"/>
      <c r="M120" s="411"/>
      <c r="N120" s="411"/>
      <c r="O120" s="411"/>
      <c r="P120" s="411"/>
      <c r="Q120" s="411"/>
      <c r="R120" s="411"/>
      <c r="S120" s="298"/>
      <c r="T120" s="402"/>
      <c r="U120" s="402"/>
      <c r="V120" s="402"/>
      <c r="W120" s="402"/>
      <c r="X120" s="402"/>
      <c r="Y120" s="402"/>
      <c r="Z120" s="402"/>
      <c r="AA120" s="402"/>
      <c r="AB120" s="402"/>
      <c r="AC120" s="402"/>
      <c r="AD120" s="296"/>
      <c r="AE120" s="296"/>
      <c r="AF120" s="411"/>
      <c r="AG120" s="411"/>
      <c r="AH120" s="412"/>
      <c r="AI120" s="412"/>
      <c r="AJ120" s="412"/>
      <c r="AK120" s="412"/>
      <c r="AL120" s="412"/>
      <c r="AM120" s="412"/>
      <c r="AN120" s="412"/>
      <c r="AO120" s="412"/>
      <c r="AP120" s="412"/>
      <c r="AQ120" s="412"/>
      <c r="AR120" s="412"/>
      <c r="AS120" s="412"/>
      <c r="AT120" s="412"/>
      <c r="AU120" s="412"/>
      <c r="AV120" s="412"/>
      <c r="AW120" s="412"/>
      <c r="AX120" s="412"/>
      <c r="AY120" s="412"/>
      <c r="AZ120" s="412"/>
      <c r="BA120" s="412"/>
      <c r="BB120" s="412"/>
    </row>
    <row r="121" spans="2:54" x14ac:dyDescent="0.2">
      <c r="B121" s="411"/>
      <c r="C121" s="411"/>
      <c r="D121" s="411"/>
      <c r="E121" s="411"/>
      <c r="F121" s="411"/>
      <c r="G121" s="411"/>
      <c r="H121" s="411"/>
      <c r="I121" s="411"/>
      <c r="J121" s="411"/>
      <c r="K121" s="411"/>
      <c r="L121" s="411"/>
      <c r="M121" s="411"/>
      <c r="N121" s="411"/>
      <c r="O121" s="411"/>
      <c r="P121" s="411"/>
      <c r="Q121" s="411"/>
      <c r="R121" s="411"/>
      <c r="S121" s="298"/>
      <c r="T121" s="402"/>
      <c r="U121" s="402"/>
      <c r="V121" s="402"/>
      <c r="W121" s="402"/>
      <c r="X121" s="402"/>
      <c r="Y121" s="402"/>
      <c r="Z121" s="402"/>
      <c r="AA121" s="402"/>
      <c r="AB121" s="402"/>
      <c r="AC121" s="402"/>
      <c r="AD121" s="296"/>
      <c r="AE121" s="296"/>
      <c r="AF121" s="411"/>
      <c r="AG121" s="411"/>
      <c r="AH121" s="412"/>
      <c r="AI121" s="412"/>
      <c r="AJ121" s="412"/>
      <c r="AK121" s="412"/>
      <c r="AL121" s="412"/>
      <c r="AM121" s="412"/>
      <c r="AN121" s="412"/>
      <c r="AO121" s="412"/>
      <c r="AP121" s="412"/>
      <c r="AQ121" s="412"/>
      <c r="AR121" s="412"/>
      <c r="AS121" s="412"/>
      <c r="AT121" s="412"/>
      <c r="AU121" s="412"/>
      <c r="AV121" s="412"/>
      <c r="AW121" s="412"/>
      <c r="AX121" s="412"/>
      <c r="AY121" s="412"/>
      <c r="AZ121" s="412"/>
      <c r="BA121" s="412"/>
      <c r="BB121" s="412"/>
    </row>
    <row r="122" spans="2:54" x14ac:dyDescent="0.2">
      <c r="B122" s="411"/>
      <c r="C122" s="411"/>
      <c r="D122" s="411"/>
      <c r="E122" s="411"/>
      <c r="F122" s="411"/>
      <c r="G122" s="411"/>
      <c r="H122" s="411"/>
      <c r="I122" s="411"/>
      <c r="J122" s="411"/>
      <c r="K122" s="411"/>
      <c r="L122" s="411"/>
      <c r="M122" s="411"/>
      <c r="N122" s="411"/>
      <c r="O122" s="411"/>
      <c r="P122" s="411"/>
      <c r="Q122" s="411"/>
      <c r="R122" s="411"/>
      <c r="S122" s="298"/>
      <c r="T122" s="402"/>
      <c r="U122" s="402"/>
      <c r="V122" s="402"/>
      <c r="W122" s="402"/>
      <c r="X122" s="402"/>
      <c r="Y122" s="402"/>
      <c r="Z122" s="402"/>
      <c r="AA122" s="402"/>
      <c r="AB122" s="402"/>
      <c r="AC122" s="402"/>
      <c r="AD122" s="296"/>
      <c r="AE122" s="296"/>
      <c r="AF122" s="411"/>
      <c r="AG122" s="411"/>
      <c r="AH122" s="412"/>
      <c r="AI122" s="412"/>
      <c r="AJ122" s="412"/>
      <c r="AK122" s="412"/>
      <c r="AL122" s="412"/>
      <c r="AM122" s="412"/>
      <c r="AN122" s="412"/>
      <c r="AO122" s="412"/>
      <c r="AP122" s="412"/>
      <c r="AQ122" s="412"/>
      <c r="AR122" s="412"/>
      <c r="AS122" s="412"/>
      <c r="AT122" s="412"/>
      <c r="AU122" s="412"/>
      <c r="AV122" s="412"/>
      <c r="AW122" s="412"/>
      <c r="AX122" s="412"/>
      <c r="AY122" s="412"/>
      <c r="AZ122" s="412"/>
      <c r="BA122" s="412"/>
      <c r="BB122" s="412"/>
    </row>
    <row r="123" spans="2:54" x14ac:dyDescent="0.2">
      <c r="B123" s="411"/>
      <c r="C123" s="411"/>
      <c r="D123" s="411"/>
      <c r="E123" s="411"/>
      <c r="F123" s="411"/>
      <c r="G123" s="411"/>
      <c r="H123" s="411"/>
      <c r="I123" s="411"/>
      <c r="J123" s="411"/>
      <c r="K123" s="411"/>
      <c r="L123" s="411"/>
      <c r="M123" s="411"/>
      <c r="N123" s="411"/>
      <c r="O123" s="411"/>
      <c r="P123" s="411"/>
      <c r="Q123" s="411"/>
      <c r="R123" s="411"/>
      <c r="S123" s="298"/>
      <c r="T123" s="402"/>
      <c r="U123" s="402"/>
      <c r="V123" s="402"/>
      <c r="W123" s="402"/>
      <c r="X123" s="402"/>
      <c r="Y123" s="402"/>
      <c r="Z123" s="402"/>
      <c r="AA123" s="402"/>
      <c r="AB123" s="402"/>
      <c r="AC123" s="402"/>
      <c r="AD123" s="296"/>
      <c r="AE123" s="296"/>
      <c r="AF123" s="411"/>
      <c r="AG123" s="411"/>
      <c r="AH123" s="412"/>
      <c r="AI123" s="412"/>
      <c r="AJ123" s="412"/>
      <c r="AK123" s="412"/>
      <c r="AL123" s="412"/>
      <c r="AM123" s="412"/>
      <c r="AN123" s="412"/>
      <c r="AO123" s="412"/>
      <c r="AP123" s="412"/>
      <c r="AQ123" s="412"/>
      <c r="AR123" s="412"/>
      <c r="AS123" s="412"/>
      <c r="AT123" s="412"/>
      <c r="AU123" s="412"/>
      <c r="AV123" s="412"/>
      <c r="AW123" s="412"/>
      <c r="AX123" s="412"/>
      <c r="AY123" s="412"/>
      <c r="AZ123" s="412"/>
      <c r="BA123" s="412"/>
      <c r="BB123" s="412"/>
    </row>
    <row r="124" spans="2:54" x14ac:dyDescent="0.2">
      <c r="B124" s="411"/>
      <c r="C124" s="411"/>
      <c r="D124" s="411"/>
      <c r="E124" s="411"/>
      <c r="F124" s="411"/>
      <c r="G124" s="411"/>
      <c r="H124" s="411"/>
      <c r="I124" s="411"/>
      <c r="J124" s="411"/>
      <c r="K124" s="411"/>
      <c r="L124" s="411"/>
      <c r="M124" s="411"/>
      <c r="N124" s="411"/>
      <c r="O124" s="411"/>
      <c r="P124" s="411"/>
      <c r="Q124" s="411"/>
      <c r="R124" s="411"/>
      <c r="S124" s="298"/>
      <c r="T124" s="402"/>
      <c r="U124" s="402"/>
      <c r="V124" s="402"/>
      <c r="W124" s="402"/>
      <c r="X124" s="402"/>
      <c r="Y124" s="402"/>
      <c r="Z124" s="402"/>
      <c r="AA124" s="402"/>
      <c r="AB124" s="402"/>
      <c r="AC124" s="402"/>
      <c r="AD124" s="296"/>
      <c r="AE124" s="296"/>
      <c r="AF124" s="411"/>
      <c r="AG124" s="411"/>
      <c r="AH124" s="412"/>
      <c r="AI124" s="412"/>
      <c r="AJ124" s="412"/>
      <c r="AK124" s="412"/>
      <c r="AL124" s="412"/>
      <c r="AM124" s="412"/>
      <c r="AN124" s="412"/>
      <c r="AO124" s="412"/>
      <c r="AP124" s="412"/>
      <c r="AQ124" s="412"/>
      <c r="AR124" s="412"/>
      <c r="AS124" s="412"/>
      <c r="AT124" s="412"/>
      <c r="AU124" s="412"/>
      <c r="AV124" s="412"/>
      <c r="AW124" s="412"/>
      <c r="AX124" s="412"/>
      <c r="AY124" s="412"/>
      <c r="AZ124" s="412"/>
      <c r="BA124" s="412"/>
      <c r="BB124" s="412"/>
    </row>
    <row r="125" spans="2:54" x14ac:dyDescent="0.2">
      <c r="B125" s="411"/>
      <c r="C125" s="411"/>
      <c r="D125" s="411"/>
      <c r="E125" s="411"/>
      <c r="F125" s="411"/>
      <c r="G125" s="411"/>
      <c r="H125" s="411"/>
      <c r="I125" s="411"/>
      <c r="J125" s="411"/>
      <c r="K125" s="411"/>
      <c r="L125" s="411"/>
      <c r="M125" s="411"/>
      <c r="N125" s="411"/>
      <c r="O125" s="411"/>
      <c r="P125" s="411"/>
      <c r="Q125" s="411"/>
      <c r="R125" s="411"/>
      <c r="S125" s="298"/>
      <c r="T125" s="402"/>
      <c r="U125" s="402"/>
      <c r="V125" s="402"/>
      <c r="W125" s="402"/>
      <c r="X125" s="402"/>
      <c r="Y125" s="402"/>
      <c r="Z125" s="402"/>
      <c r="AA125" s="402"/>
      <c r="AB125" s="402"/>
      <c r="AC125" s="402"/>
      <c r="AD125" s="296"/>
      <c r="AE125" s="296"/>
      <c r="AF125" s="411"/>
      <c r="AG125" s="411"/>
      <c r="AH125" s="412"/>
      <c r="AI125" s="412"/>
      <c r="AJ125" s="412"/>
      <c r="AK125" s="412"/>
      <c r="AL125" s="412"/>
      <c r="AM125" s="412"/>
      <c r="AN125" s="412"/>
      <c r="AO125" s="412"/>
      <c r="AP125" s="412"/>
      <c r="AQ125" s="412"/>
      <c r="AR125" s="412"/>
      <c r="AS125" s="412"/>
      <c r="AT125" s="412"/>
      <c r="AU125" s="412"/>
      <c r="AV125" s="412"/>
      <c r="AW125" s="412"/>
      <c r="AX125" s="412"/>
      <c r="AY125" s="412"/>
      <c r="AZ125" s="412"/>
      <c r="BA125" s="412"/>
      <c r="BB125" s="412"/>
    </row>
    <row r="126" spans="2:54" x14ac:dyDescent="0.2">
      <c r="B126" s="411"/>
      <c r="C126" s="411"/>
      <c r="D126" s="411"/>
      <c r="E126" s="411"/>
      <c r="F126" s="411"/>
      <c r="G126" s="411"/>
      <c r="H126" s="411"/>
      <c r="I126" s="411"/>
      <c r="J126" s="411"/>
      <c r="K126" s="411"/>
      <c r="L126" s="411"/>
      <c r="M126" s="411"/>
      <c r="N126" s="411"/>
      <c r="O126" s="411"/>
      <c r="P126" s="411"/>
      <c r="Q126" s="411"/>
      <c r="R126" s="411"/>
      <c r="S126" s="298"/>
      <c r="T126" s="402"/>
      <c r="U126" s="402"/>
      <c r="V126" s="402"/>
      <c r="W126" s="402"/>
      <c r="X126" s="402"/>
      <c r="Y126" s="402"/>
      <c r="Z126" s="402"/>
      <c r="AA126" s="402"/>
      <c r="AB126" s="402"/>
      <c r="AC126" s="402"/>
      <c r="AD126" s="296"/>
      <c r="AE126" s="296"/>
      <c r="AF126" s="411"/>
      <c r="AG126" s="411"/>
      <c r="AH126" s="412"/>
      <c r="AI126" s="412"/>
      <c r="AJ126" s="412"/>
      <c r="AK126" s="412"/>
      <c r="AL126" s="412"/>
      <c r="AM126" s="412"/>
      <c r="AN126" s="412"/>
      <c r="AO126" s="412"/>
      <c r="AP126" s="412"/>
      <c r="AQ126" s="412"/>
      <c r="AR126" s="412"/>
      <c r="AS126" s="412"/>
      <c r="AT126" s="412"/>
      <c r="AU126" s="412"/>
      <c r="AV126" s="412"/>
      <c r="AW126" s="412"/>
      <c r="AX126" s="412"/>
      <c r="AY126" s="412"/>
      <c r="AZ126" s="412"/>
      <c r="BA126" s="412"/>
      <c r="BB126" s="412"/>
    </row>
    <row r="127" spans="2:54" x14ac:dyDescent="0.2">
      <c r="B127" s="411"/>
      <c r="C127" s="411"/>
      <c r="D127" s="411"/>
      <c r="E127" s="411"/>
      <c r="F127" s="411"/>
      <c r="G127" s="411"/>
      <c r="H127" s="411"/>
      <c r="I127" s="411"/>
      <c r="J127" s="411"/>
      <c r="K127" s="411"/>
      <c r="L127" s="411"/>
      <c r="M127" s="411"/>
      <c r="N127" s="411"/>
      <c r="O127" s="411"/>
      <c r="P127" s="411"/>
      <c r="Q127" s="411"/>
      <c r="R127" s="411"/>
      <c r="S127" s="298"/>
      <c r="T127" s="402"/>
      <c r="U127" s="402"/>
      <c r="V127" s="402"/>
      <c r="W127" s="402"/>
      <c r="X127" s="402"/>
      <c r="Y127" s="402"/>
      <c r="Z127" s="402"/>
      <c r="AA127" s="402"/>
      <c r="AB127" s="402"/>
      <c r="AC127" s="402"/>
      <c r="AD127" s="296"/>
      <c r="AE127" s="296"/>
      <c r="AF127" s="411"/>
      <c r="AG127" s="411"/>
      <c r="AH127" s="412"/>
      <c r="AI127" s="412"/>
      <c r="AJ127" s="412"/>
      <c r="AK127" s="412"/>
      <c r="AL127" s="412"/>
      <c r="AM127" s="412"/>
      <c r="AN127" s="412"/>
      <c r="AO127" s="412"/>
      <c r="AP127" s="412"/>
      <c r="AQ127" s="412"/>
      <c r="AR127" s="412"/>
      <c r="AS127" s="412"/>
      <c r="AT127" s="412"/>
      <c r="AU127" s="412"/>
      <c r="AV127" s="412"/>
      <c r="AW127" s="412"/>
      <c r="AX127" s="412"/>
      <c r="AY127" s="412"/>
      <c r="AZ127" s="412"/>
      <c r="BA127" s="412"/>
      <c r="BB127" s="412"/>
    </row>
    <row r="128" spans="2:54" x14ac:dyDescent="0.2">
      <c r="B128" s="411"/>
      <c r="C128" s="411"/>
      <c r="D128" s="411"/>
      <c r="E128" s="411"/>
      <c r="F128" s="411"/>
      <c r="G128" s="411"/>
      <c r="H128" s="411"/>
      <c r="I128" s="411"/>
      <c r="J128" s="411"/>
      <c r="K128" s="411"/>
      <c r="L128" s="411"/>
      <c r="M128" s="411"/>
      <c r="N128" s="411"/>
      <c r="O128" s="411"/>
      <c r="P128" s="411"/>
      <c r="Q128" s="411"/>
      <c r="R128" s="411"/>
      <c r="S128" s="298"/>
      <c r="T128" s="402"/>
      <c r="U128" s="402"/>
      <c r="V128" s="402"/>
      <c r="W128" s="402"/>
      <c r="X128" s="402"/>
      <c r="Y128" s="402"/>
      <c r="Z128" s="402"/>
      <c r="AA128" s="402"/>
      <c r="AB128" s="402"/>
      <c r="AC128" s="402"/>
      <c r="AD128" s="296"/>
      <c r="AE128" s="296"/>
      <c r="AF128" s="411"/>
      <c r="AG128" s="411"/>
      <c r="AH128" s="412"/>
      <c r="AI128" s="412"/>
      <c r="AJ128" s="412"/>
      <c r="AK128" s="412"/>
      <c r="AL128" s="412"/>
      <c r="AM128" s="412"/>
      <c r="AN128" s="412"/>
      <c r="AO128" s="412"/>
      <c r="AP128" s="412"/>
      <c r="AQ128" s="412"/>
      <c r="AR128" s="412"/>
      <c r="AS128" s="412"/>
      <c r="AT128" s="412"/>
      <c r="AU128" s="412"/>
      <c r="AV128" s="412"/>
      <c r="AW128" s="412"/>
      <c r="AX128" s="412"/>
      <c r="AY128" s="412"/>
      <c r="AZ128" s="412"/>
      <c r="BA128" s="412"/>
      <c r="BB128" s="412"/>
    </row>
    <row r="129" spans="2:54" x14ac:dyDescent="0.2">
      <c r="B129" s="411"/>
      <c r="C129" s="411"/>
      <c r="D129" s="411"/>
      <c r="E129" s="411"/>
      <c r="F129" s="411"/>
      <c r="G129" s="411"/>
      <c r="H129" s="411"/>
      <c r="I129" s="411"/>
      <c r="J129" s="411"/>
      <c r="K129" s="411"/>
      <c r="L129" s="411"/>
      <c r="M129" s="411"/>
      <c r="N129" s="411"/>
      <c r="O129" s="411"/>
      <c r="P129" s="411"/>
      <c r="Q129" s="411"/>
      <c r="R129" s="411"/>
      <c r="S129" s="298"/>
      <c r="T129" s="402"/>
      <c r="U129" s="402"/>
      <c r="V129" s="402"/>
      <c r="W129" s="402"/>
      <c r="X129" s="402"/>
      <c r="Y129" s="402"/>
      <c r="Z129" s="402"/>
      <c r="AA129" s="402"/>
      <c r="AB129" s="402"/>
      <c r="AC129" s="402"/>
      <c r="AD129" s="296"/>
      <c r="AE129" s="296"/>
      <c r="AF129" s="411"/>
      <c r="AG129" s="411"/>
      <c r="AH129" s="412"/>
      <c r="AI129" s="412"/>
      <c r="AJ129" s="412"/>
      <c r="AK129" s="412"/>
      <c r="AL129" s="412"/>
      <c r="AM129" s="412"/>
      <c r="AN129" s="412"/>
      <c r="AO129" s="412"/>
      <c r="AP129" s="412"/>
      <c r="AQ129" s="412"/>
      <c r="AR129" s="412"/>
      <c r="AS129" s="412"/>
      <c r="AT129" s="412"/>
      <c r="AU129" s="412"/>
      <c r="AV129" s="412"/>
      <c r="AW129" s="412"/>
      <c r="AX129" s="412"/>
      <c r="AY129" s="412"/>
      <c r="AZ129" s="412"/>
      <c r="BA129" s="412"/>
      <c r="BB129" s="412"/>
    </row>
    <row r="130" spans="2:54" x14ac:dyDescent="0.2">
      <c r="B130" s="411"/>
      <c r="C130" s="411"/>
      <c r="D130" s="411"/>
      <c r="E130" s="411"/>
      <c r="F130" s="411"/>
      <c r="G130" s="411"/>
      <c r="H130" s="411"/>
      <c r="I130" s="411"/>
      <c r="J130" s="411"/>
      <c r="K130" s="411"/>
      <c r="L130" s="411"/>
      <c r="M130" s="411"/>
      <c r="N130" s="411"/>
      <c r="O130" s="411"/>
      <c r="P130" s="411"/>
      <c r="Q130" s="411"/>
      <c r="R130" s="411"/>
      <c r="S130" s="298"/>
      <c r="T130" s="402"/>
      <c r="U130" s="402"/>
      <c r="V130" s="402"/>
      <c r="W130" s="402"/>
      <c r="X130" s="402"/>
      <c r="Y130" s="402"/>
      <c r="Z130" s="402"/>
      <c r="AA130" s="402"/>
      <c r="AB130" s="402"/>
      <c r="AC130" s="402"/>
      <c r="AD130" s="296"/>
      <c r="AE130" s="296"/>
      <c r="AF130" s="411"/>
      <c r="AG130" s="411"/>
      <c r="AH130" s="412"/>
      <c r="AI130" s="412"/>
      <c r="AJ130" s="412"/>
      <c r="AK130" s="412"/>
      <c r="AL130" s="412"/>
      <c r="AM130" s="412"/>
      <c r="AN130" s="412"/>
      <c r="AO130" s="412"/>
      <c r="AP130" s="412"/>
      <c r="AQ130" s="412"/>
      <c r="AR130" s="412"/>
      <c r="AS130" s="412"/>
      <c r="AT130" s="412"/>
      <c r="AU130" s="412"/>
      <c r="AV130" s="412"/>
      <c r="AW130" s="412"/>
      <c r="AX130" s="412"/>
      <c r="AY130" s="412"/>
      <c r="AZ130" s="412"/>
      <c r="BA130" s="412"/>
      <c r="BB130" s="412"/>
    </row>
    <row r="131" spans="2:54" x14ac:dyDescent="0.2">
      <c r="B131" s="411"/>
      <c r="C131" s="411"/>
      <c r="D131" s="411"/>
      <c r="E131" s="411"/>
      <c r="F131" s="411"/>
      <c r="G131" s="411"/>
      <c r="H131" s="411"/>
      <c r="I131" s="411"/>
      <c r="J131" s="411"/>
      <c r="K131" s="411"/>
      <c r="L131" s="411"/>
      <c r="M131" s="411"/>
      <c r="N131" s="411"/>
      <c r="O131" s="411"/>
      <c r="P131" s="411"/>
      <c r="Q131" s="411"/>
      <c r="R131" s="411"/>
      <c r="S131" s="298"/>
      <c r="T131" s="402"/>
      <c r="U131" s="402"/>
      <c r="V131" s="402"/>
      <c r="W131" s="402"/>
      <c r="X131" s="402"/>
      <c r="Y131" s="402"/>
      <c r="Z131" s="402"/>
      <c r="AA131" s="402"/>
      <c r="AB131" s="402"/>
      <c r="AC131" s="402"/>
      <c r="AD131" s="296"/>
      <c r="AE131" s="296"/>
      <c r="AF131" s="411"/>
      <c r="AG131" s="411"/>
      <c r="AH131" s="412"/>
      <c r="AI131" s="412"/>
      <c r="AJ131" s="412"/>
      <c r="AK131" s="412"/>
      <c r="AL131" s="412"/>
      <c r="AM131" s="412"/>
      <c r="AN131" s="412"/>
      <c r="AO131" s="412"/>
      <c r="AP131" s="412"/>
      <c r="AQ131" s="412"/>
      <c r="AR131" s="412"/>
      <c r="AS131" s="412"/>
      <c r="AT131" s="412"/>
      <c r="AU131" s="412"/>
      <c r="AV131" s="412"/>
      <c r="AW131" s="412"/>
      <c r="AX131" s="412"/>
      <c r="AY131" s="412"/>
      <c r="AZ131" s="412"/>
      <c r="BA131" s="412"/>
      <c r="BB131" s="412"/>
    </row>
    <row r="132" spans="2:54" x14ac:dyDescent="0.2">
      <c r="B132" s="411"/>
      <c r="C132" s="411"/>
      <c r="D132" s="411"/>
      <c r="E132" s="411"/>
      <c r="F132" s="411"/>
      <c r="G132" s="411"/>
      <c r="H132" s="411"/>
      <c r="I132" s="411"/>
      <c r="J132" s="411"/>
      <c r="K132" s="411"/>
      <c r="L132" s="411"/>
      <c r="M132" s="411"/>
      <c r="N132" s="411"/>
      <c r="O132" s="411"/>
      <c r="P132" s="411"/>
      <c r="Q132" s="411"/>
      <c r="R132" s="411"/>
      <c r="S132" s="298"/>
      <c r="T132" s="402"/>
      <c r="U132" s="402"/>
      <c r="V132" s="402"/>
      <c r="W132" s="402"/>
      <c r="X132" s="402"/>
      <c r="Y132" s="402"/>
      <c r="Z132" s="402"/>
      <c r="AA132" s="402"/>
      <c r="AB132" s="402"/>
      <c r="AC132" s="402"/>
      <c r="AD132" s="296"/>
      <c r="AE132" s="296"/>
      <c r="AF132" s="411"/>
      <c r="AG132" s="411"/>
      <c r="AH132" s="412"/>
      <c r="AI132" s="412"/>
      <c r="AJ132" s="412"/>
      <c r="AK132" s="412"/>
      <c r="AL132" s="412"/>
      <c r="AM132" s="412"/>
      <c r="AN132" s="412"/>
      <c r="AO132" s="412"/>
      <c r="AP132" s="412"/>
      <c r="AQ132" s="412"/>
      <c r="AR132" s="412"/>
      <c r="AS132" s="412"/>
      <c r="AT132" s="412"/>
      <c r="AU132" s="412"/>
      <c r="AV132" s="412"/>
      <c r="AW132" s="412"/>
      <c r="AX132" s="412"/>
      <c r="AY132" s="412"/>
      <c r="AZ132" s="412"/>
      <c r="BA132" s="412"/>
      <c r="BB132" s="412"/>
    </row>
    <row r="133" spans="2:54" x14ac:dyDescent="0.2">
      <c r="B133" s="411"/>
      <c r="C133" s="411"/>
      <c r="D133" s="411"/>
      <c r="E133" s="411"/>
      <c r="F133" s="411"/>
      <c r="G133" s="411"/>
      <c r="H133" s="411"/>
      <c r="I133" s="411"/>
      <c r="J133" s="411"/>
      <c r="K133" s="411"/>
      <c r="L133" s="411"/>
      <c r="M133" s="411"/>
      <c r="N133" s="411"/>
      <c r="O133" s="411"/>
      <c r="P133" s="411"/>
      <c r="Q133" s="411"/>
      <c r="R133" s="411"/>
      <c r="S133" s="298"/>
      <c r="T133" s="402"/>
      <c r="U133" s="402"/>
      <c r="V133" s="402"/>
      <c r="W133" s="402"/>
      <c r="X133" s="402"/>
      <c r="Y133" s="402"/>
      <c r="Z133" s="402"/>
      <c r="AA133" s="402"/>
      <c r="AB133" s="402"/>
      <c r="AC133" s="402"/>
      <c r="AD133" s="296"/>
      <c r="AE133" s="296"/>
      <c r="AF133" s="411"/>
      <c r="AG133" s="411"/>
      <c r="AH133" s="412"/>
      <c r="AI133" s="412"/>
      <c r="AJ133" s="412"/>
      <c r="AK133" s="412"/>
      <c r="AL133" s="412"/>
      <c r="AM133" s="412"/>
      <c r="AN133" s="412"/>
      <c r="AO133" s="412"/>
      <c r="AP133" s="412"/>
      <c r="AQ133" s="412"/>
      <c r="AR133" s="412"/>
      <c r="AS133" s="412"/>
      <c r="AT133" s="412"/>
      <c r="AU133" s="412"/>
      <c r="AV133" s="412"/>
      <c r="AW133" s="412"/>
      <c r="AX133" s="412"/>
      <c r="AY133" s="412"/>
      <c r="AZ133" s="412"/>
      <c r="BA133" s="412"/>
      <c r="BB133" s="412"/>
    </row>
    <row r="134" spans="2:54" x14ac:dyDescent="0.2">
      <c r="B134" s="411"/>
      <c r="C134" s="411"/>
      <c r="D134" s="411"/>
      <c r="E134" s="411"/>
      <c r="F134" s="411"/>
      <c r="G134" s="411"/>
      <c r="H134" s="411"/>
      <c r="I134" s="411"/>
      <c r="J134" s="411"/>
      <c r="K134" s="411"/>
      <c r="L134" s="411"/>
      <c r="M134" s="411"/>
      <c r="N134" s="411"/>
      <c r="O134" s="411"/>
      <c r="P134" s="411"/>
      <c r="Q134" s="411"/>
      <c r="R134" s="411"/>
      <c r="S134" s="298"/>
      <c r="T134" s="402"/>
      <c r="U134" s="402"/>
      <c r="V134" s="402"/>
      <c r="W134" s="402"/>
      <c r="X134" s="402"/>
      <c r="Y134" s="402"/>
      <c r="Z134" s="402"/>
      <c r="AA134" s="402"/>
      <c r="AB134" s="402"/>
      <c r="AC134" s="402"/>
      <c r="AD134" s="296"/>
      <c r="AE134" s="296"/>
      <c r="AF134" s="411"/>
      <c r="AG134" s="411"/>
      <c r="AH134" s="412"/>
      <c r="AI134" s="412"/>
      <c r="AJ134" s="412"/>
      <c r="AK134" s="412"/>
      <c r="AL134" s="412"/>
      <c r="AM134" s="412"/>
      <c r="AN134" s="412"/>
      <c r="AO134" s="412"/>
      <c r="AP134" s="412"/>
      <c r="AQ134" s="412"/>
      <c r="AR134" s="412"/>
      <c r="AS134" s="412"/>
      <c r="AT134" s="412"/>
      <c r="AU134" s="412"/>
      <c r="AV134" s="412"/>
      <c r="AW134" s="412"/>
      <c r="AX134" s="412"/>
      <c r="AY134" s="412"/>
      <c r="AZ134" s="412"/>
      <c r="BA134" s="412"/>
      <c r="BB134" s="412"/>
    </row>
    <row r="135" spans="2:54" x14ac:dyDescent="0.2">
      <c r="B135" s="411"/>
      <c r="C135" s="411"/>
      <c r="D135" s="411"/>
      <c r="E135" s="411"/>
      <c r="F135" s="411"/>
      <c r="G135" s="411"/>
      <c r="H135" s="411"/>
      <c r="I135" s="411"/>
      <c r="J135" s="411"/>
      <c r="K135" s="411"/>
      <c r="L135" s="411"/>
      <c r="M135" s="411"/>
      <c r="N135" s="411"/>
      <c r="O135" s="411"/>
      <c r="P135" s="411"/>
      <c r="Q135" s="411"/>
      <c r="R135" s="411"/>
      <c r="S135" s="298"/>
      <c r="T135" s="402"/>
      <c r="U135" s="402"/>
      <c r="V135" s="402"/>
      <c r="W135" s="402"/>
      <c r="X135" s="402"/>
      <c r="Y135" s="402"/>
      <c r="Z135" s="402"/>
      <c r="AA135" s="402"/>
      <c r="AB135" s="402"/>
      <c r="AC135" s="402"/>
      <c r="AD135" s="296"/>
      <c r="AE135" s="296"/>
      <c r="AF135" s="411"/>
      <c r="AG135" s="411"/>
      <c r="AH135" s="412"/>
      <c r="AI135" s="412"/>
      <c r="AJ135" s="412"/>
      <c r="AK135" s="412"/>
      <c r="AL135" s="412"/>
      <c r="AM135" s="412"/>
      <c r="AN135" s="412"/>
      <c r="AO135" s="412"/>
      <c r="AP135" s="412"/>
      <c r="AQ135" s="412"/>
      <c r="AR135" s="412"/>
      <c r="AS135" s="412"/>
      <c r="AT135" s="412"/>
      <c r="AU135" s="412"/>
      <c r="AV135" s="412"/>
      <c r="AW135" s="412"/>
      <c r="AX135" s="412"/>
      <c r="AY135" s="412"/>
      <c r="AZ135" s="412"/>
      <c r="BA135" s="412"/>
      <c r="BB135" s="412"/>
    </row>
    <row r="136" spans="2:54" x14ac:dyDescent="0.2">
      <c r="B136" s="411"/>
      <c r="C136" s="411"/>
      <c r="D136" s="411"/>
      <c r="E136" s="411"/>
      <c r="F136" s="411"/>
      <c r="G136" s="411"/>
      <c r="H136" s="411"/>
      <c r="I136" s="411"/>
      <c r="J136" s="411"/>
      <c r="K136" s="411"/>
      <c r="L136" s="411"/>
      <c r="M136" s="411"/>
      <c r="N136" s="411"/>
      <c r="O136" s="411"/>
      <c r="P136" s="411"/>
      <c r="Q136" s="411"/>
      <c r="R136" s="411"/>
      <c r="S136" s="298"/>
      <c r="T136" s="402"/>
      <c r="U136" s="402"/>
      <c r="V136" s="402"/>
      <c r="W136" s="402"/>
      <c r="X136" s="402"/>
      <c r="Y136" s="402"/>
      <c r="Z136" s="402"/>
      <c r="AA136" s="402"/>
      <c r="AB136" s="402"/>
      <c r="AC136" s="402"/>
      <c r="AD136" s="296"/>
      <c r="AE136" s="296"/>
      <c r="AF136" s="411"/>
      <c r="AG136" s="411"/>
      <c r="AH136" s="412"/>
      <c r="AI136" s="412"/>
      <c r="AJ136" s="412"/>
      <c r="AK136" s="412"/>
      <c r="AL136" s="412"/>
      <c r="AM136" s="412"/>
      <c r="AN136" s="412"/>
      <c r="AO136" s="412"/>
      <c r="AP136" s="412"/>
      <c r="AQ136" s="412"/>
      <c r="AR136" s="412"/>
      <c r="AS136" s="412"/>
      <c r="AT136" s="412"/>
      <c r="AU136" s="412"/>
      <c r="AV136" s="412"/>
      <c r="AW136" s="412"/>
      <c r="AX136" s="412"/>
      <c r="AY136" s="412"/>
      <c r="AZ136" s="412"/>
      <c r="BA136" s="412"/>
      <c r="BB136" s="412"/>
    </row>
    <row r="137" spans="2:54" x14ac:dyDescent="0.2">
      <c r="B137" s="411"/>
      <c r="C137" s="411"/>
      <c r="D137" s="411"/>
      <c r="E137" s="411"/>
      <c r="F137" s="411"/>
      <c r="G137" s="411"/>
      <c r="H137" s="411"/>
      <c r="I137" s="411"/>
      <c r="J137" s="411"/>
      <c r="K137" s="411"/>
      <c r="L137" s="411"/>
      <c r="M137" s="411"/>
      <c r="N137" s="411"/>
      <c r="O137" s="411"/>
      <c r="P137" s="411"/>
      <c r="Q137" s="411"/>
      <c r="R137" s="411"/>
      <c r="S137" s="298"/>
      <c r="T137" s="402"/>
      <c r="U137" s="402"/>
      <c r="V137" s="402"/>
      <c r="W137" s="402"/>
      <c r="X137" s="402"/>
      <c r="Y137" s="402"/>
      <c r="Z137" s="402"/>
      <c r="AA137" s="402"/>
      <c r="AB137" s="402"/>
      <c r="AC137" s="402"/>
      <c r="AD137" s="296"/>
      <c r="AE137" s="296"/>
      <c r="AF137" s="411"/>
      <c r="AG137" s="411"/>
      <c r="AH137" s="412"/>
      <c r="AI137" s="412"/>
      <c r="AJ137" s="412"/>
      <c r="AK137" s="412"/>
      <c r="AL137" s="412"/>
      <c r="AM137" s="412"/>
      <c r="AN137" s="412"/>
      <c r="AO137" s="412"/>
      <c r="AP137" s="412"/>
      <c r="AQ137" s="412"/>
      <c r="AR137" s="412"/>
      <c r="AS137" s="412"/>
      <c r="AT137" s="412"/>
      <c r="AU137" s="412"/>
      <c r="AV137" s="412"/>
      <c r="AW137" s="412"/>
      <c r="AX137" s="412"/>
      <c r="AY137" s="412"/>
      <c r="AZ137" s="412"/>
      <c r="BA137" s="412"/>
      <c r="BB137" s="412"/>
    </row>
    <row r="138" spans="2:54" x14ac:dyDescent="0.2">
      <c r="B138" s="411"/>
      <c r="C138" s="411"/>
      <c r="D138" s="411"/>
      <c r="E138" s="411"/>
      <c r="F138" s="411"/>
      <c r="G138" s="411"/>
      <c r="H138" s="411"/>
      <c r="I138" s="411"/>
      <c r="J138" s="411"/>
      <c r="K138" s="411"/>
      <c r="L138" s="411"/>
      <c r="M138" s="411"/>
      <c r="N138" s="411"/>
      <c r="O138" s="411"/>
      <c r="P138" s="411"/>
      <c r="Q138" s="411"/>
      <c r="R138" s="411"/>
      <c r="S138" s="298"/>
      <c r="T138" s="402"/>
      <c r="U138" s="402"/>
      <c r="V138" s="402"/>
      <c r="W138" s="402"/>
      <c r="X138" s="402"/>
      <c r="Y138" s="402"/>
      <c r="Z138" s="402"/>
      <c r="AA138" s="402"/>
      <c r="AB138" s="402"/>
      <c r="AC138" s="402"/>
      <c r="AD138" s="296"/>
      <c r="AE138" s="296"/>
      <c r="AF138" s="411"/>
      <c r="AG138" s="411"/>
      <c r="AH138" s="412"/>
      <c r="AI138" s="412"/>
      <c r="AJ138" s="412"/>
      <c r="AK138" s="412"/>
      <c r="AL138" s="412"/>
      <c r="AM138" s="412"/>
      <c r="AN138" s="412"/>
      <c r="AO138" s="412"/>
      <c r="AP138" s="412"/>
      <c r="AQ138" s="412"/>
      <c r="AR138" s="412"/>
      <c r="AS138" s="412"/>
      <c r="AT138" s="412"/>
      <c r="AU138" s="412"/>
      <c r="AV138" s="412"/>
      <c r="AW138" s="412"/>
      <c r="AX138" s="412"/>
      <c r="AY138" s="412"/>
      <c r="AZ138" s="412"/>
      <c r="BA138" s="412"/>
      <c r="BB138" s="412"/>
    </row>
    <row r="139" spans="2:54" x14ac:dyDescent="0.2">
      <c r="B139" s="411"/>
      <c r="C139" s="411"/>
      <c r="D139" s="411"/>
      <c r="E139" s="411"/>
      <c r="F139" s="411"/>
      <c r="G139" s="411"/>
      <c r="H139" s="411"/>
      <c r="I139" s="411"/>
      <c r="J139" s="411"/>
      <c r="K139" s="411"/>
      <c r="L139" s="411"/>
      <c r="M139" s="411"/>
      <c r="N139" s="411"/>
      <c r="O139" s="411"/>
      <c r="P139" s="411"/>
      <c r="Q139" s="411"/>
      <c r="R139" s="411"/>
      <c r="S139" s="298"/>
      <c r="T139" s="402"/>
      <c r="U139" s="402"/>
      <c r="V139" s="402"/>
      <c r="W139" s="402"/>
      <c r="X139" s="402"/>
      <c r="Y139" s="402"/>
      <c r="Z139" s="402"/>
      <c r="AA139" s="402"/>
      <c r="AB139" s="402"/>
      <c r="AC139" s="402"/>
      <c r="AD139" s="296"/>
      <c r="AE139" s="296"/>
      <c r="AF139" s="411"/>
      <c r="AG139" s="411"/>
      <c r="AH139" s="412"/>
      <c r="AI139" s="412"/>
      <c r="AJ139" s="412"/>
      <c r="AK139" s="412"/>
      <c r="AL139" s="412"/>
      <c r="AM139" s="412"/>
      <c r="AN139" s="412"/>
      <c r="AO139" s="412"/>
      <c r="AP139" s="412"/>
      <c r="AQ139" s="412"/>
      <c r="AR139" s="412"/>
      <c r="AS139" s="412"/>
      <c r="AT139" s="412"/>
      <c r="AU139" s="412"/>
      <c r="AV139" s="412"/>
      <c r="AW139" s="412"/>
      <c r="AX139" s="412"/>
      <c r="AY139" s="412"/>
      <c r="AZ139" s="412"/>
      <c r="BA139" s="412"/>
      <c r="BB139" s="412"/>
    </row>
    <row r="140" spans="2:54" x14ac:dyDescent="0.2">
      <c r="B140" s="411"/>
      <c r="C140" s="411"/>
      <c r="D140" s="411"/>
      <c r="E140" s="411"/>
      <c r="F140" s="411"/>
      <c r="G140" s="411"/>
      <c r="H140" s="411"/>
      <c r="I140" s="411"/>
      <c r="J140" s="411"/>
      <c r="K140" s="411"/>
      <c r="L140" s="411"/>
      <c r="M140" s="411"/>
      <c r="N140" s="411"/>
      <c r="O140" s="411"/>
      <c r="P140" s="411"/>
      <c r="Q140" s="411"/>
      <c r="R140" s="411"/>
      <c r="S140" s="298"/>
      <c r="T140" s="402"/>
      <c r="U140" s="402"/>
      <c r="V140" s="402"/>
      <c r="W140" s="402"/>
      <c r="X140" s="402"/>
      <c r="Y140" s="402"/>
      <c r="Z140" s="402"/>
      <c r="AA140" s="402"/>
      <c r="AB140" s="402"/>
      <c r="AC140" s="402"/>
      <c r="AD140" s="296"/>
      <c r="AE140" s="296"/>
      <c r="AF140" s="411"/>
      <c r="AG140" s="411"/>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row>
    <row r="141" spans="2:54" x14ac:dyDescent="0.2">
      <c r="B141" s="411"/>
      <c r="C141" s="411"/>
      <c r="D141" s="411"/>
      <c r="E141" s="411"/>
      <c r="F141" s="411"/>
      <c r="G141" s="411"/>
      <c r="H141" s="411"/>
      <c r="I141" s="411"/>
      <c r="J141" s="411"/>
      <c r="K141" s="411"/>
      <c r="L141" s="411"/>
      <c r="M141" s="411"/>
      <c r="N141" s="411"/>
      <c r="O141" s="411"/>
      <c r="P141" s="411"/>
      <c r="Q141" s="411"/>
      <c r="R141" s="411"/>
      <c r="S141" s="298"/>
      <c r="T141" s="402"/>
      <c r="U141" s="402"/>
      <c r="V141" s="402"/>
      <c r="W141" s="402"/>
      <c r="X141" s="402"/>
      <c r="Y141" s="402"/>
      <c r="Z141" s="402"/>
      <c r="AA141" s="402"/>
      <c r="AB141" s="402"/>
      <c r="AC141" s="402"/>
      <c r="AD141" s="296"/>
      <c r="AE141" s="296"/>
      <c r="AF141" s="411"/>
      <c r="AG141" s="411"/>
      <c r="AH141" s="412"/>
      <c r="AI141" s="412"/>
      <c r="AJ141" s="412"/>
      <c r="AK141" s="412"/>
      <c r="AL141" s="412"/>
      <c r="AM141" s="412"/>
      <c r="AN141" s="412"/>
      <c r="AO141" s="412"/>
      <c r="AP141" s="412"/>
      <c r="AQ141" s="412"/>
      <c r="AR141" s="412"/>
      <c r="AS141" s="412"/>
      <c r="AT141" s="412"/>
      <c r="AU141" s="412"/>
      <c r="AV141" s="412"/>
      <c r="AW141" s="412"/>
      <c r="AX141" s="412"/>
      <c r="AY141" s="412"/>
      <c r="AZ141" s="412"/>
      <c r="BA141" s="412"/>
      <c r="BB141" s="412"/>
    </row>
    <row r="142" spans="2:54" x14ac:dyDescent="0.2">
      <c r="B142" s="411"/>
      <c r="C142" s="411"/>
      <c r="D142" s="411"/>
      <c r="E142" s="411"/>
      <c r="F142" s="411"/>
      <c r="G142" s="411"/>
      <c r="H142" s="411"/>
      <c r="I142" s="411"/>
      <c r="J142" s="411"/>
      <c r="K142" s="411"/>
      <c r="L142" s="411"/>
      <c r="M142" s="411"/>
      <c r="N142" s="411"/>
      <c r="O142" s="411"/>
      <c r="P142" s="411"/>
      <c r="Q142" s="411"/>
      <c r="R142" s="411"/>
      <c r="S142" s="298"/>
      <c r="T142" s="402"/>
      <c r="U142" s="402"/>
      <c r="V142" s="402"/>
      <c r="W142" s="402"/>
      <c r="X142" s="402"/>
      <c r="Y142" s="402"/>
      <c r="Z142" s="402"/>
      <c r="AA142" s="402"/>
      <c r="AB142" s="402"/>
      <c r="AC142" s="402"/>
      <c r="AD142" s="296"/>
      <c r="AE142" s="296"/>
      <c r="AF142" s="411"/>
      <c r="AG142" s="411"/>
      <c r="AH142" s="412"/>
      <c r="AI142" s="412"/>
      <c r="AJ142" s="412"/>
      <c r="AK142" s="412"/>
      <c r="AL142" s="412"/>
      <c r="AM142" s="412"/>
      <c r="AN142" s="412"/>
      <c r="AO142" s="412"/>
      <c r="AP142" s="412"/>
      <c r="AQ142" s="412"/>
      <c r="AR142" s="412"/>
      <c r="AS142" s="412"/>
      <c r="AT142" s="412"/>
      <c r="AU142" s="412"/>
      <c r="AV142" s="412"/>
      <c r="AW142" s="412"/>
      <c r="AX142" s="412"/>
      <c r="AY142" s="412"/>
      <c r="AZ142" s="412"/>
      <c r="BA142" s="412"/>
      <c r="BB142" s="412"/>
    </row>
    <row r="143" spans="2:54" x14ac:dyDescent="0.2">
      <c r="B143" s="411"/>
      <c r="C143" s="411"/>
      <c r="D143" s="411"/>
      <c r="E143" s="411"/>
      <c r="F143" s="411"/>
      <c r="G143" s="411"/>
      <c r="H143" s="411"/>
      <c r="I143" s="411"/>
      <c r="J143" s="411"/>
      <c r="K143" s="411"/>
      <c r="L143" s="411"/>
      <c r="M143" s="411"/>
      <c r="N143" s="411"/>
      <c r="O143" s="411"/>
      <c r="P143" s="411"/>
      <c r="Q143" s="411"/>
      <c r="R143" s="411"/>
      <c r="S143" s="298"/>
      <c r="T143" s="402"/>
      <c r="U143" s="402"/>
      <c r="V143" s="402"/>
      <c r="W143" s="402"/>
      <c r="X143" s="402"/>
      <c r="Y143" s="402"/>
      <c r="Z143" s="402"/>
      <c r="AA143" s="402"/>
      <c r="AB143" s="402"/>
      <c r="AC143" s="402"/>
      <c r="AD143" s="296"/>
      <c r="AE143" s="296"/>
      <c r="AF143" s="411"/>
      <c r="AG143" s="411"/>
      <c r="AH143" s="412"/>
      <c r="AI143" s="412"/>
      <c r="AJ143" s="412"/>
      <c r="AK143" s="412"/>
      <c r="AL143" s="412"/>
      <c r="AM143" s="412"/>
      <c r="AN143" s="412"/>
      <c r="AO143" s="412"/>
      <c r="AP143" s="412"/>
      <c r="AQ143" s="412"/>
      <c r="AR143" s="412"/>
      <c r="AS143" s="412"/>
      <c r="AT143" s="412"/>
      <c r="AU143" s="412"/>
      <c r="AV143" s="412"/>
      <c r="AW143" s="412"/>
      <c r="AX143" s="412"/>
      <c r="AY143" s="412"/>
      <c r="AZ143" s="412"/>
      <c r="BA143" s="412"/>
      <c r="BB143" s="412"/>
    </row>
    <row r="144" spans="2:54" x14ac:dyDescent="0.2">
      <c r="B144" s="411"/>
      <c r="C144" s="411"/>
      <c r="D144" s="411"/>
      <c r="E144" s="411"/>
      <c r="F144" s="411"/>
      <c r="G144" s="411"/>
      <c r="H144" s="411"/>
      <c r="I144" s="411"/>
      <c r="J144" s="411"/>
      <c r="K144" s="411"/>
      <c r="L144" s="411"/>
      <c r="M144" s="411"/>
      <c r="N144" s="411"/>
      <c r="O144" s="411"/>
      <c r="P144" s="411"/>
      <c r="Q144" s="411"/>
      <c r="R144" s="411"/>
      <c r="S144" s="298"/>
      <c r="T144" s="402"/>
      <c r="U144" s="402"/>
      <c r="V144" s="402"/>
      <c r="W144" s="402"/>
      <c r="X144" s="402"/>
      <c r="Y144" s="402"/>
      <c r="Z144" s="402"/>
      <c r="AA144" s="402"/>
      <c r="AB144" s="402"/>
      <c r="AC144" s="402"/>
      <c r="AD144" s="296"/>
      <c r="AE144" s="296"/>
      <c r="AF144" s="411"/>
      <c r="AG144" s="411"/>
      <c r="AH144" s="412"/>
      <c r="AI144" s="412"/>
      <c r="AJ144" s="412"/>
      <c r="AK144" s="412"/>
      <c r="AL144" s="412"/>
      <c r="AM144" s="412"/>
      <c r="AN144" s="412"/>
      <c r="AO144" s="412"/>
      <c r="AP144" s="412"/>
      <c r="AQ144" s="412"/>
      <c r="AR144" s="412"/>
      <c r="AS144" s="412"/>
      <c r="AT144" s="412"/>
      <c r="AU144" s="412"/>
      <c r="AV144" s="412"/>
      <c r="AW144" s="412"/>
      <c r="AX144" s="412"/>
      <c r="AY144" s="412"/>
      <c r="AZ144" s="412"/>
      <c r="BA144" s="412"/>
      <c r="BB144" s="412"/>
    </row>
    <row r="145" spans="2:54" x14ac:dyDescent="0.2">
      <c r="B145" s="411"/>
      <c r="C145" s="411"/>
      <c r="D145" s="411"/>
      <c r="E145" s="411"/>
      <c r="F145" s="411"/>
      <c r="G145" s="411"/>
      <c r="H145" s="411"/>
      <c r="I145" s="411"/>
      <c r="J145" s="411"/>
      <c r="K145" s="411"/>
      <c r="L145" s="411"/>
      <c r="M145" s="411"/>
      <c r="N145" s="411"/>
      <c r="O145" s="411"/>
      <c r="P145" s="411"/>
      <c r="Q145" s="411"/>
      <c r="R145" s="411"/>
      <c r="S145" s="298"/>
      <c r="T145" s="402"/>
      <c r="U145" s="402"/>
      <c r="V145" s="402"/>
      <c r="W145" s="402"/>
      <c r="X145" s="402"/>
      <c r="Y145" s="402"/>
      <c r="Z145" s="402"/>
      <c r="AA145" s="402"/>
      <c r="AB145" s="402"/>
      <c r="AC145" s="402"/>
      <c r="AD145" s="296"/>
      <c r="AE145" s="296"/>
      <c r="AF145" s="411"/>
      <c r="AG145" s="411"/>
      <c r="AH145" s="412"/>
      <c r="AI145" s="412"/>
      <c r="AJ145" s="412"/>
      <c r="AK145" s="412"/>
      <c r="AL145" s="412"/>
      <c r="AM145" s="412"/>
      <c r="AN145" s="412"/>
      <c r="AO145" s="412"/>
      <c r="AP145" s="412"/>
      <c r="AQ145" s="412"/>
      <c r="AR145" s="412"/>
      <c r="AS145" s="412"/>
      <c r="AT145" s="412"/>
      <c r="AU145" s="412"/>
      <c r="AV145" s="412"/>
      <c r="AW145" s="412"/>
      <c r="AX145" s="412"/>
      <c r="AY145" s="412"/>
      <c r="AZ145" s="412"/>
      <c r="BA145" s="412"/>
      <c r="BB145" s="412"/>
    </row>
    <row r="146" spans="2:54" x14ac:dyDescent="0.2">
      <c r="B146" s="411"/>
      <c r="C146" s="411"/>
      <c r="D146" s="411"/>
      <c r="E146" s="411"/>
      <c r="F146" s="411"/>
      <c r="G146" s="411"/>
      <c r="H146" s="411"/>
      <c r="I146" s="411"/>
      <c r="J146" s="411"/>
      <c r="K146" s="411"/>
      <c r="L146" s="411"/>
      <c r="M146" s="411"/>
      <c r="N146" s="411"/>
      <c r="O146" s="411"/>
      <c r="P146" s="411"/>
      <c r="Q146" s="411"/>
      <c r="R146" s="411"/>
      <c r="S146" s="298"/>
      <c r="T146" s="402"/>
      <c r="U146" s="402"/>
      <c r="V146" s="402"/>
      <c r="W146" s="402"/>
      <c r="X146" s="402"/>
      <c r="Y146" s="402"/>
      <c r="Z146" s="402"/>
      <c r="AA146" s="402"/>
      <c r="AB146" s="402"/>
      <c r="AC146" s="402"/>
      <c r="AD146" s="296"/>
      <c r="AE146" s="296"/>
      <c r="AF146" s="411"/>
      <c r="AG146" s="411"/>
      <c r="AH146" s="412"/>
      <c r="AI146" s="412"/>
      <c r="AJ146" s="412"/>
      <c r="AK146" s="412"/>
      <c r="AL146" s="412"/>
      <c r="AM146" s="412"/>
      <c r="AN146" s="412"/>
      <c r="AO146" s="412"/>
      <c r="AP146" s="412"/>
      <c r="AQ146" s="412"/>
      <c r="AR146" s="412"/>
      <c r="AS146" s="412"/>
      <c r="AT146" s="412"/>
      <c r="AU146" s="412"/>
      <c r="AV146" s="412"/>
      <c r="AW146" s="412"/>
      <c r="AX146" s="412"/>
      <c r="AY146" s="412"/>
      <c r="AZ146" s="412"/>
      <c r="BA146" s="412"/>
      <c r="BB146" s="412"/>
    </row>
    <row r="147" spans="2:54" x14ac:dyDescent="0.2">
      <c r="B147" s="412"/>
      <c r="C147" s="412"/>
      <c r="D147" s="412"/>
      <c r="E147" s="412"/>
      <c r="F147" s="412"/>
      <c r="G147" s="412"/>
      <c r="H147" s="412"/>
      <c r="I147" s="412"/>
      <c r="J147" s="412"/>
      <c r="K147" s="412"/>
      <c r="L147" s="412"/>
      <c r="M147" s="412"/>
      <c r="N147" s="412"/>
      <c r="O147" s="412"/>
      <c r="P147" s="412"/>
      <c r="Q147" s="412"/>
      <c r="R147" s="412"/>
      <c r="S147" s="445"/>
      <c r="T147" s="445"/>
      <c r="U147" s="445"/>
      <c r="V147" s="445"/>
      <c r="W147" s="445"/>
      <c r="X147" s="445"/>
      <c r="Y147" s="445"/>
      <c r="Z147" s="445"/>
      <c r="AA147" s="445"/>
      <c r="AB147" s="445"/>
      <c r="AC147" s="445"/>
      <c r="AD147" s="412"/>
      <c r="AE147" s="412"/>
      <c r="AF147" s="412"/>
      <c r="AG147" s="412"/>
      <c r="AH147" s="412"/>
      <c r="AI147" s="412"/>
      <c r="AJ147" s="412"/>
      <c r="AK147" s="412"/>
      <c r="AL147" s="412"/>
      <c r="AM147" s="412"/>
      <c r="AN147" s="412"/>
      <c r="AO147" s="412"/>
      <c r="AP147" s="412"/>
      <c r="AQ147" s="412"/>
      <c r="AR147" s="412"/>
      <c r="AS147" s="412"/>
      <c r="AT147" s="412"/>
      <c r="AU147" s="412"/>
      <c r="AV147" s="412"/>
      <c r="AW147" s="412"/>
      <c r="AX147" s="412"/>
      <c r="AY147" s="412"/>
      <c r="AZ147" s="412"/>
      <c r="BA147" s="412"/>
      <c r="BB147" s="412"/>
    </row>
    <row r="148" spans="2:54" x14ac:dyDescent="0.2">
      <c r="B148" s="412"/>
      <c r="C148" s="412"/>
      <c r="D148" s="412"/>
      <c r="E148" s="412"/>
      <c r="F148" s="412"/>
      <c r="G148" s="412"/>
      <c r="H148" s="412"/>
      <c r="I148" s="412"/>
      <c r="J148" s="412"/>
      <c r="K148" s="412"/>
      <c r="L148" s="412"/>
      <c r="M148" s="412"/>
      <c r="N148" s="412"/>
      <c r="O148" s="412"/>
      <c r="P148" s="412"/>
      <c r="Q148" s="412"/>
      <c r="R148" s="412"/>
      <c r="S148" s="445"/>
      <c r="T148" s="445"/>
      <c r="U148" s="445"/>
      <c r="V148" s="445"/>
      <c r="W148" s="445"/>
      <c r="X148" s="445"/>
      <c r="Y148" s="445"/>
      <c r="Z148" s="445"/>
      <c r="AA148" s="445"/>
      <c r="AB148" s="445"/>
      <c r="AC148" s="445"/>
      <c r="AD148" s="412"/>
      <c r="AE148" s="412"/>
      <c r="AF148" s="412"/>
      <c r="AG148" s="412"/>
      <c r="AH148" s="412"/>
      <c r="AI148" s="412"/>
      <c r="AJ148" s="412"/>
      <c r="AK148" s="412"/>
      <c r="AL148" s="412"/>
      <c r="AM148" s="412"/>
      <c r="AN148" s="412"/>
      <c r="AO148" s="412"/>
      <c r="AP148" s="412"/>
      <c r="AQ148" s="412"/>
      <c r="AR148" s="412"/>
      <c r="AS148" s="412"/>
      <c r="AT148" s="412"/>
      <c r="AU148" s="412"/>
      <c r="AV148" s="412"/>
      <c r="AW148" s="412"/>
      <c r="AX148" s="412"/>
      <c r="AY148" s="412"/>
      <c r="AZ148" s="412"/>
      <c r="BA148" s="412"/>
      <c r="BB148" s="412"/>
    </row>
    <row r="149" spans="2:54" x14ac:dyDescent="0.2">
      <c r="B149" s="412"/>
      <c r="C149" s="412"/>
      <c r="D149" s="412"/>
      <c r="E149" s="412"/>
      <c r="F149" s="412"/>
      <c r="G149" s="412"/>
      <c r="H149" s="412"/>
      <c r="I149" s="412"/>
      <c r="J149" s="412"/>
      <c r="K149" s="412"/>
      <c r="L149" s="412"/>
      <c r="M149" s="412"/>
      <c r="N149" s="412"/>
      <c r="O149" s="412"/>
      <c r="P149" s="412"/>
      <c r="Q149" s="412"/>
      <c r="R149" s="412"/>
      <c r="S149" s="445"/>
      <c r="T149" s="445"/>
      <c r="U149" s="445"/>
      <c r="V149" s="445"/>
      <c r="W149" s="445"/>
      <c r="X149" s="445"/>
      <c r="Y149" s="445"/>
      <c r="Z149" s="445"/>
      <c r="AA149" s="445"/>
      <c r="AB149" s="445"/>
      <c r="AC149" s="445"/>
      <c r="AD149" s="412"/>
      <c r="AE149" s="412"/>
      <c r="AF149" s="412"/>
      <c r="AG149" s="412"/>
      <c r="AH149" s="412"/>
      <c r="AI149" s="412"/>
      <c r="AJ149" s="412"/>
      <c r="AK149" s="412"/>
      <c r="AL149" s="412"/>
      <c r="AM149" s="412"/>
      <c r="AN149" s="412"/>
      <c r="AO149" s="412"/>
      <c r="AP149" s="412"/>
      <c r="AQ149" s="412"/>
      <c r="AR149" s="412"/>
      <c r="AS149" s="412"/>
      <c r="AT149" s="412"/>
      <c r="AU149" s="412"/>
      <c r="AV149" s="412"/>
      <c r="AW149" s="412"/>
      <c r="AX149" s="412"/>
      <c r="AY149" s="412"/>
      <c r="AZ149" s="412"/>
      <c r="BA149" s="412"/>
      <c r="BB149" s="412"/>
    </row>
    <row r="150" spans="2:54" x14ac:dyDescent="0.2">
      <c r="B150" s="412"/>
      <c r="C150" s="412"/>
      <c r="D150" s="412"/>
      <c r="E150" s="412"/>
      <c r="F150" s="412"/>
      <c r="G150" s="412"/>
      <c r="H150" s="412"/>
      <c r="I150" s="412"/>
      <c r="J150" s="412"/>
      <c r="K150" s="412"/>
      <c r="L150" s="412"/>
      <c r="M150" s="412"/>
      <c r="N150" s="412"/>
      <c r="O150" s="412"/>
      <c r="P150" s="412"/>
      <c r="Q150" s="412"/>
      <c r="R150" s="412"/>
      <c r="S150" s="445"/>
      <c r="T150" s="445"/>
      <c r="U150" s="445"/>
      <c r="V150" s="445"/>
      <c r="W150" s="445"/>
      <c r="X150" s="445"/>
      <c r="Y150" s="445"/>
      <c r="Z150" s="445"/>
      <c r="AA150" s="445"/>
      <c r="AB150" s="445"/>
      <c r="AC150" s="445"/>
      <c r="AD150" s="412"/>
      <c r="AE150" s="412"/>
      <c r="AF150" s="412"/>
      <c r="AG150" s="412"/>
      <c r="AH150" s="412"/>
      <c r="AI150" s="412"/>
      <c r="AJ150" s="412"/>
      <c r="AK150" s="412"/>
      <c r="AL150" s="412"/>
      <c r="AM150" s="412"/>
      <c r="AN150" s="412"/>
      <c r="AO150" s="412"/>
      <c r="AP150" s="412"/>
      <c r="AQ150" s="412"/>
      <c r="AR150" s="412"/>
      <c r="AS150" s="412"/>
      <c r="AT150" s="412"/>
      <c r="AU150" s="412"/>
      <c r="AV150" s="412"/>
      <c r="AW150" s="412"/>
      <c r="AX150" s="412"/>
      <c r="AY150" s="412"/>
      <c r="AZ150" s="412"/>
      <c r="BA150" s="412"/>
      <c r="BB150" s="412"/>
    </row>
    <row r="151" spans="2:54" x14ac:dyDescent="0.2">
      <c r="B151" s="412"/>
      <c r="C151" s="412"/>
      <c r="D151" s="412"/>
      <c r="E151" s="412"/>
      <c r="F151" s="412"/>
      <c r="G151" s="412"/>
      <c r="H151" s="412"/>
      <c r="I151" s="412"/>
      <c r="J151" s="412"/>
      <c r="K151" s="412"/>
      <c r="L151" s="412"/>
      <c r="M151" s="412"/>
      <c r="N151" s="412"/>
      <c r="O151" s="412"/>
      <c r="P151" s="412"/>
      <c r="Q151" s="412"/>
      <c r="R151" s="412"/>
      <c r="S151" s="445"/>
      <c r="T151" s="445"/>
      <c r="U151" s="445"/>
      <c r="V151" s="445"/>
      <c r="W151" s="445"/>
      <c r="X151" s="445"/>
      <c r="Y151" s="445"/>
      <c r="Z151" s="445"/>
      <c r="AA151" s="445"/>
      <c r="AB151" s="445"/>
      <c r="AC151" s="445"/>
      <c r="AD151" s="412"/>
      <c r="AE151" s="412"/>
      <c r="AF151" s="412"/>
      <c r="AG151" s="412"/>
      <c r="AH151" s="412"/>
      <c r="AI151" s="412"/>
      <c r="AJ151" s="412"/>
      <c r="AK151" s="412"/>
      <c r="AL151" s="412"/>
      <c r="AM151" s="412"/>
      <c r="AN151" s="412"/>
      <c r="AO151" s="412"/>
      <c r="AP151" s="412"/>
      <c r="AQ151" s="412"/>
      <c r="AR151" s="412"/>
      <c r="AS151" s="412"/>
      <c r="AT151" s="412"/>
      <c r="AU151" s="412"/>
      <c r="AV151" s="412"/>
      <c r="AW151" s="412"/>
      <c r="AX151" s="412"/>
      <c r="AY151" s="412"/>
      <c r="AZ151" s="412"/>
      <c r="BA151" s="412"/>
      <c r="BB151" s="412"/>
    </row>
    <row r="152" spans="2:54" x14ac:dyDescent="0.2">
      <c r="B152" s="412"/>
      <c r="C152" s="412"/>
      <c r="D152" s="412"/>
      <c r="E152" s="412"/>
      <c r="F152" s="412"/>
      <c r="G152" s="412"/>
      <c r="H152" s="412"/>
      <c r="I152" s="412"/>
      <c r="J152" s="412"/>
      <c r="K152" s="412"/>
      <c r="L152" s="412"/>
      <c r="M152" s="412"/>
      <c r="N152" s="412"/>
      <c r="O152" s="412"/>
      <c r="P152" s="412"/>
      <c r="Q152" s="412"/>
      <c r="R152" s="412"/>
      <c r="S152" s="445"/>
      <c r="T152" s="445"/>
      <c r="U152" s="445"/>
      <c r="V152" s="445"/>
      <c r="W152" s="445"/>
      <c r="X152" s="445"/>
      <c r="Y152" s="445"/>
      <c r="Z152" s="445"/>
      <c r="AA152" s="445"/>
      <c r="AB152" s="445"/>
      <c r="AC152" s="445"/>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row>
    <row r="153" spans="2:54" x14ac:dyDescent="0.2">
      <c r="B153" s="412"/>
      <c r="C153" s="412"/>
      <c r="D153" s="412"/>
      <c r="E153" s="412"/>
      <c r="F153" s="412"/>
      <c r="G153" s="412"/>
      <c r="H153" s="412"/>
      <c r="I153" s="412"/>
      <c r="J153" s="412"/>
      <c r="K153" s="412"/>
      <c r="L153" s="412"/>
      <c r="M153" s="412"/>
      <c r="N153" s="412"/>
      <c r="O153" s="412"/>
      <c r="P153" s="412"/>
      <c r="Q153" s="412"/>
      <c r="R153" s="412"/>
      <c r="S153" s="445"/>
      <c r="T153" s="445"/>
      <c r="U153" s="445"/>
      <c r="V153" s="445"/>
      <c r="W153" s="445"/>
      <c r="X153" s="445"/>
      <c r="Y153" s="445"/>
      <c r="Z153" s="445"/>
      <c r="AA153" s="445"/>
      <c r="AB153" s="445"/>
      <c r="AC153" s="445"/>
      <c r="AD153" s="412"/>
      <c r="AE153" s="412"/>
      <c r="AF153" s="412"/>
      <c r="AG153" s="412"/>
      <c r="AH153" s="412"/>
      <c r="AI153" s="412"/>
      <c r="AJ153" s="412"/>
      <c r="AK153" s="412"/>
      <c r="AL153" s="412"/>
      <c r="AM153" s="412"/>
      <c r="AN153" s="412"/>
      <c r="AO153" s="412"/>
      <c r="AP153" s="412"/>
      <c r="AQ153" s="412"/>
      <c r="AR153" s="412"/>
      <c r="AS153" s="412"/>
      <c r="AT153" s="412"/>
      <c r="AU153" s="412"/>
      <c r="AV153" s="412"/>
      <c r="AW153" s="412"/>
      <c r="AX153" s="412"/>
      <c r="AY153" s="412"/>
      <c r="AZ153" s="412"/>
      <c r="BA153" s="412"/>
      <c r="BB153" s="412"/>
    </row>
    <row r="154" spans="2:54" x14ac:dyDescent="0.2">
      <c r="B154" s="412"/>
      <c r="C154" s="412"/>
      <c r="D154" s="412"/>
      <c r="E154" s="412"/>
      <c r="F154" s="412"/>
      <c r="G154" s="412"/>
      <c r="H154" s="412"/>
      <c r="I154" s="412"/>
      <c r="J154" s="412"/>
      <c r="K154" s="412"/>
      <c r="L154" s="412"/>
      <c r="M154" s="412"/>
      <c r="N154" s="412"/>
      <c r="O154" s="412"/>
      <c r="P154" s="412"/>
      <c r="Q154" s="412"/>
      <c r="R154" s="412"/>
      <c r="S154" s="445"/>
      <c r="T154" s="445"/>
      <c r="U154" s="445"/>
      <c r="V154" s="445"/>
      <c r="W154" s="445"/>
      <c r="X154" s="445"/>
      <c r="Y154" s="445"/>
      <c r="Z154" s="445"/>
      <c r="AA154" s="445"/>
      <c r="AB154" s="445"/>
      <c r="AC154" s="445"/>
      <c r="AD154" s="412"/>
      <c r="AE154" s="412"/>
      <c r="AF154" s="412"/>
      <c r="AG154" s="412"/>
      <c r="AH154" s="412"/>
      <c r="AI154" s="412"/>
      <c r="AJ154" s="412"/>
      <c r="AK154" s="412"/>
      <c r="AL154" s="412"/>
      <c r="AM154" s="412"/>
      <c r="AN154" s="412"/>
      <c r="AO154" s="412"/>
      <c r="AP154" s="412"/>
      <c r="AQ154" s="412"/>
      <c r="AR154" s="412"/>
      <c r="AS154" s="412"/>
      <c r="AT154" s="412"/>
      <c r="AU154" s="412"/>
      <c r="AV154" s="412"/>
      <c r="AW154" s="412"/>
      <c r="AX154" s="412"/>
      <c r="AY154" s="412"/>
      <c r="AZ154" s="412"/>
      <c r="BA154" s="412"/>
      <c r="BB154" s="412"/>
    </row>
    <row r="155" spans="2:54" x14ac:dyDescent="0.2">
      <c r="B155" s="412"/>
      <c r="C155" s="412"/>
      <c r="D155" s="412"/>
      <c r="E155" s="412"/>
      <c r="F155" s="412"/>
      <c r="G155" s="412"/>
      <c r="H155" s="412"/>
      <c r="I155" s="412"/>
      <c r="J155" s="412"/>
      <c r="K155" s="412"/>
      <c r="L155" s="412"/>
      <c r="M155" s="412"/>
      <c r="N155" s="412"/>
      <c r="O155" s="412"/>
      <c r="P155" s="412"/>
      <c r="Q155" s="412"/>
      <c r="R155" s="412"/>
      <c r="S155" s="445"/>
      <c r="T155" s="445"/>
      <c r="U155" s="445"/>
      <c r="V155" s="445"/>
      <c r="W155" s="445"/>
      <c r="X155" s="445"/>
      <c r="Y155" s="445"/>
      <c r="Z155" s="445"/>
      <c r="AA155" s="445"/>
      <c r="AB155" s="445"/>
      <c r="AC155" s="445"/>
      <c r="AD155" s="412"/>
      <c r="AE155" s="412"/>
      <c r="AF155" s="412"/>
      <c r="AG155" s="412"/>
      <c r="AH155" s="412"/>
      <c r="AI155" s="412"/>
      <c r="AJ155" s="412"/>
      <c r="AK155" s="412"/>
      <c r="AL155" s="412"/>
      <c r="AM155" s="412"/>
      <c r="AN155" s="412"/>
      <c r="AO155" s="412"/>
      <c r="AP155" s="412"/>
      <c r="AQ155" s="412"/>
      <c r="AR155" s="412"/>
      <c r="AS155" s="412"/>
      <c r="AT155" s="412"/>
      <c r="AU155" s="412"/>
      <c r="AV155" s="412"/>
      <c r="AW155" s="412"/>
      <c r="AX155" s="412"/>
      <c r="AY155" s="412"/>
      <c r="AZ155" s="412"/>
      <c r="BA155" s="412"/>
      <c r="BB155" s="412"/>
    </row>
    <row r="156" spans="2:54" x14ac:dyDescent="0.2">
      <c r="B156" s="412"/>
      <c r="C156" s="412"/>
      <c r="D156" s="412"/>
      <c r="E156" s="412"/>
      <c r="F156" s="412"/>
      <c r="G156" s="412"/>
      <c r="H156" s="412"/>
      <c r="I156" s="412"/>
      <c r="J156" s="412"/>
      <c r="K156" s="412"/>
      <c r="L156" s="412"/>
      <c r="M156" s="412"/>
      <c r="N156" s="412"/>
      <c r="O156" s="412"/>
      <c r="P156" s="412"/>
      <c r="Q156" s="412"/>
      <c r="R156" s="412"/>
      <c r="S156" s="445"/>
      <c r="T156" s="445"/>
      <c r="U156" s="445"/>
      <c r="V156" s="445"/>
      <c r="W156" s="445"/>
      <c r="X156" s="445"/>
      <c r="Y156" s="445"/>
      <c r="Z156" s="445"/>
      <c r="AA156" s="445"/>
      <c r="AB156" s="445"/>
      <c r="AC156" s="445"/>
      <c r="AD156" s="412"/>
      <c r="AE156" s="412"/>
      <c r="AF156" s="412"/>
      <c r="AG156" s="412"/>
      <c r="AH156" s="412"/>
      <c r="AI156" s="412"/>
      <c r="AJ156" s="412"/>
      <c r="AK156" s="412"/>
      <c r="AL156" s="412"/>
      <c r="AM156" s="412"/>
      <c r="AN156" s="412"/>
      <c r="AO156" s="412"/>
      <c r="AP156" s="412"/>
      <c r="AQ156" s="412"/>
      <c r="AR156" s="412"/>
      <c r="AS156" s="412"/>
      <c r="AT156" s="412"/>
      <c r="AU156" s="412"/>
      <c r="AV156" s="412"/>
      <c r="AW156" s="412"/>
      <c r="AX156" s="412"/>
      <c r="AY156" s="412"/>
      <c r="AZ156" s="412"/>
      <c r="BA156" s="412"/>
      <c r="BB156" s="412"/>
    </row>
    <row r="157" spans="2:54" x14ac:dyDescent="0.2">
      <c r="B157" s="412"/>
      <c r="C157" s="412"/>
      <c r="D157" s="412"/>
      <c r="E157" s="412"/>
      <c r="F157" s="412"/>
      <c r="G157" s="412"/>
      <c r="H157" s="412"/>
      <c r="I157" s="412"/>
      <c r="J157" s="412"/>
      <c r="K157" s="412"/>
      <c r="L157" s="412"/>
      <c r="M157" s="412"/>
      <c r="N157" s="412"/>
      <c r="O157" s="412"/>
      <c r="P157" s="412"/>
      <c r="Q157" s="412"/>
      <c r="R157" s="412"/>
      <c r="S157" s="445"/>
      <c r="T157" s="445"/>
      <c r="U157" s="445"/>
      <c r="V157" s="445"/>
      <c r="W157" s="445"/>
      <c r="X157" s="445"/>
      <c r="Y157" s="445"/>
      <c r="Z157" s="445"/>
      <c r="AA157" s="445"/>
      <c r="AB157" s="445"/>
      <c r="AC157" s="445"/>
      <c r="AD157" s="412"/>
      <c r="AE157" s="412"/>
      <c r="AF157" s="412"/>
      <c r="AG157" s="412"/>
      <c r="AH157" s="412"/>
      <c r="AI157" s="412"/>
      <c r="AJ157" s="412"/>
      <c r="AK157" s="412"/>
      <c r="AL157" s="412"/>
      <c r="AM157" s="412"/>
      <c r="AN157" s="412"/>
      <c r="AO157" s="412"/>
      <c r="AP157" s="412"/>
      <c r="AQ157" s="412"/>
      <c r="AR157" s="412"/>
      <c r="AS157" s="412"/>
      <c r="AT157" s="412"/>
      <c r="AU157" s="412"/>
      <c r="AV157" s="412"/>
      <c r="AW157" s="412"/>
      <c r="AX157" s="412"/>
      <c r="AY157" s="412"/>
      <c r="AZ157" s="412"/>
      <c r="BA157" s="412"/>
      <c r="BB157" s="412"/>
    </row>
    <row r="158" spans="2:54" x14ac:dyDescent="0.2">
      <c r="B158" s="412"/>
      <c r="C158" s="412"/>
      <c r="D158" s="412"/>
      <c r="E158" s="412"/>
      <c r="F158" s="412"/>
      <c r="G158" s="412"/>
      <c r="H158" s="412"/>
      <c r="I158" s="412"/>
      <c r="J158" s="412"/>
      <c r="K158" s="412"/>
      <c r="L158" s="412"/>
      <c r="M158" s="412"/>
      <c r="N158" s="412"/>
      <c r="O158" s="412"/>
      <c r="P158" s="412"/>
      <c r="Q158" s="412"/>
      <c r="R158" s="412"/>
      <c r="S158" s="445"/>
      <c r="T158" s="445"/>
      <c r="U158" s="445"/>
      <c r="V158" s="445"/>
      <c r="W158" s="445"/>
      <c r="X158" s="445"/>
      <c r="Y158" s="445"/>
      <c r="Z158" s="445"/>
      <c r="AA158" s="445"/>
      <c r="AB158" s="445"/>
      <c r="AC158" s="445"/>
      <c r="AD158" s="412"/>
      <c r="AE158" s="412"/>
      <c r="AF158" s="412"/>
      <c r="AG158" s="412"/>
      <c r="AH158" s="412"/>
      <c r="AI158" s="412"/>
      <c r="AJ158" s="412"/>
      <c r="AK158" s="412"/>
      <c r="AL158" s="412"/>
      <c r="AM158" s="412"/>
      <c r="AN158" s="412"/>
      <c r="AO158" s="412"/>
      <c r="AP158" s="412"/>
      <c r="AQ158" s="412"/>
      <c r="AR158" s="412"/>
      <c r="AS158" s="412"/>
      <c r="AT158" s="412"/>
      <c r="AU158" s="412"/>
      <c r="AV158" s="412"/>
      <c r="AW158" s="412"/>
      <c r="AX158" s="412"/>
      <c r="AY158" s="412"/>
      <c r="AZ158" s="412"/>
      <c r="BA158" s="412"/>
      <c r="BB158" s="412"/>
    </row>
    <row r="159" spans="2:54" x14ac:dyDescent="0.2">
      <c r="B159" s="412"/>
      <c r="C159" s="412"/>
      <c r="D159" s="412"/>
      <c r="E159" s="412"/>
      <c r="F159" s="412"/>
      <c r="G159" s="412"/>
      <c r="H159" s="412"/>
      <c r="I159" s="412"/>
      <c r="J159" s="412"/>
      <c r="K159" s="412"/>
      <c r="L159" s="412"/>
      <c r="M159" s="412"/>
      <c r="N159" s="412"/>
      <c r="O159" s="412"/>
      <c r="P159" s="412"/>
      <c r="Q159" s="412"/>
      <c r="R159" s="412"/>
      <c r="S159" s="445"/>
      <c r="T159" s="445"/>
      <c r="U159" s="445"/>
      <c r="V159" s="445"/>
      <c r="W159" s="445"/>
      <c r="X159" s="445"/>
      <c r="Y159" s="445"/>
      <c r="Z159" s="445"/>
      <c r="AA159" s="445"/>
      <c r="AB159" s="445"/>
      <c r="AC159" s="445"/>
      <c r="AD159" s="412"/>
      <c r="AE159" s="412"/>
      <c r="AF159" s="412"/>
      <c r="AG159" s="412"/>
      <c r="AH159" s="412"/>
      <c r="AI159" s="412"/>
      <c r="AJ159" s="412"/>
      <c r="AK159" s="412"/>
      <c r="AL159" s="412"/>
      <c r="AM159" s="412"/>
      <c r="AN159" s="412"/>
      <c r="AO159" s="412"/>
      <c r="AP159" s="412"/>
      <c r="AQ159" s="412"/>
      <c r="AR159" s="412"/>
      <c r="AS159" s="412"/>
      <c r="AT159" s="412"/>
      <c r="AU159" s="412"/>
      <c r="AV159" s="412"/>
      <c r="AW159" s="412"/>
      <c r="AX159" s="412"/>
      <c r="AY159" s="412"/>
      <c r="AZ159" s="412"/>
      <c r="BA159" s="412"/>
      <c r="BB159" s="412"/>
    </row>
    <row r="160" spans="2:54" x14ac:dyDescent="0.2">
      <c r="B160" s="412"/>
      <c r="C160" s="412"/>
      <c r="D160" s="412"/>
      <c r="E160" s="412"/>
      <c r="F160" s="412"/>
      <c r="G160" s="412"/>
      <c r="H160" s="412"/>
      <c r="I160" s="412"/>
      <c r="J160" s="412"/>
      <c r="K160" s="412"/>
      <c r="L160" s="412"/>
      <c r="M160" s="412"/>
      <c r="N160" s="412"/>
      <c r="O160" s="412"/>
      <c r="P160" s="412"/>
      <c r="Q160" s="412"/>
      <c r="R160" s="412"/>
      <c r="S160" s="445"/>
      <c r="T160" s="445"/>
      <c r="U160" s="445"/>
      <c r="V160" s="445"/>
      <c r="W160" s="445"/>
      <c r="X160" s="445"/>
      <c r="Y160" s="445"/>
      <c r="Z160" s="445"/>
      <c r="AA160" s="445"/>
      <c r="AB160" s="445"/>
      <c r="AC160" s="445"/>
      <c r="AD160" s="412"/>
      <c r="AE160" s="412"/>
      <c r="AF160" s="412"/>
      <c r="AG160" s="412"/>
      <c r="AH160" s="412"/>
      <c r="AI160" s="412"/>
      <c r="AJ160" s="412"/>
      <c r="AK160" s="412"/>
      <c r="AL160" s="412"/>
      <c r="AM160" s="412"/>
      <c r="AN160" s="412"/>
      <c r="AO160" s="412"/>
      <c r="AP160" s="412"/>
      <c r="AQ160" s="412"/>
      <c r="AR160" s="412"/>
      <c r="AS160" s="412"/>
      <c r="AT160" s="412"/>
      <c r="AU160" s="412"/>
      <c r="AV160" s="412"/>
      <c r="AW160" s="412"/>
      <c r="AX160" s="412"/>
      <c r="AY160" s="412"/>
      <c r="AZ160" s="412"/>
      <c r="BA160" s="412"/>
      <c r="BB160" s="412"/>
    </row>
    <row r="161" spans="2:54" x14ac:dyDescent="0.2">
      <c r="B161" s="412"/>
      <c r="C161" s="412"/>
      <c r="D161" s="412"/>
      <c r="E161" s="412"/>
      <c r="F161" s="412"/>
      <c r="G161" s="412"/>
      <c r="H161" s="412"/>
      <c r="I161" s="412"/>
      <c r="J161" s="412"/>
      <c r="K161" s="412"/>
      <c r="L161" s="412"/>
      <c r="M161" s="412"/>
      <c r="N161" s="412"/>
      <c r="O161" s="412"/>
      <c r="P161" s="412"/>
      <c r="Q161" s="412"/>
      <c r="R161" s="412"/>
      <c r="S161" s="445"/>
      <c r="T161" s="445"/>
      <c r="U161" s="445"/>
      <c r="V161" s="445"/>
      <c r="W161" s="445"/>
      <c r="X161" s="445"/>
      <c r="Y161" s="445"/>
      <c r="Z161" s="445"/>
      <c r="AA161" s="445"/>
      <c r="AB161" s="445"/>
      <c r="AC161" s="445"/>
      <c r="AD161" s="412"/>
      <c r="AE161" s="412"/>
      <c r="AF161" s="412"/>
      <c r="AG161" s="412"/>
      <c r="AH161" s="412"/>
      <c r="AI161" s="412"/>
      <c r="AJ161" s="412"/>
      <c r="AK161" s="412"/>
      <c r="AL161" s="412"/>
      <c r="AM161" s="412"/>
      <c r="AN161" s="412"/>
      <c r="AO161" s="412"/>
      <c r="AP161" s="412"/>
      <c r="AQ161" s="412"/>
      <c r="AR161" s="412"/>
      <c r="AS161" s="412"/>
      <c r="AT161" s="412"/>
      <c r="AU161" s="412"/>
      <c r="AV161" s="412"/>
      <c r="AW161" s="412"/>
      <c r="AX161" s="412"/>
      <c r="AY161" s="412"/>
      <c r="AZ161" s="412"/>
      <c r="BA161" s="412"/>
      <c r="BB161" s="412"/>
    </row>
    <row r="162" spans="2:54" x14ac:dyDescent="0.2">
      <c r="B162" s="412"/>
      <c r="C162" s="412"/>
      <c r="D162" s="412"/>
      <c r="E162" s="412"/>
      <c r="F162" s="412"/>
      <c r="G162" s="412"/>
      <c r="H162" s="412"/>
      <c r="I162" s="412"/>
      <c r="J162" s="412"/>
      <c r="K162" s="412"/>
      <c r="L162" s="412"/>
      <c r="M162" s="412"/>
      <c r="N162" s="412"/>
      <c r="O162" s="412"/>
      <c r="P162" s="412"/>
      <c r="Q162" s="412"/>
      <c r="R162" s="412"/>
      <c r="S162" s="445"/>
      <c r="T162" s="445"/>
      <c r="U162" s="445"/>
      <c r="V162" s="445"/>
      <c r="W162" s="445"/>
      <c r="X162" s="445"/>
      <c r="Y162" s="445"/>
      <c r="Z162" s="445"/>
      <c r="AA162" s="445"/>
      <c r="AB162" s="445"/>
      <c r="AC162" s="445"/>
      <c r="AD162" s="412"/>
      <c r="AE162" s="412"/>
      <c r="AF162" s="412"/>
      <c r="AG162" s="412"/>
      <c r="AH162" s="412"/>
      <c r="AI162" s="412"/>
      <c r="AJ162" s="412"/>
      <c r="AK162" s="412"/>
      <c r="AL162" s="412"/>
      <c r="AM162" s="412"/>
      <c r="AN162" s="412"/>
      <c r="AO162" s="412"/>
      <c r="AP162" s="412"/>
      <c r="AQ162" s="412"/>
      <c r="AR162" s="412"/>
      <c r="AS162" s="412"/>
      <c r="AT162" s="412"/>
      <c r="AU162" s="412"/>
      <c r="AV162" s="412"/>
      <c r="AW162" s="412"/>
      <c r="AX162" s="412"/>
      <c r="AY162" s="412"/>
      <c r="AZ162" s="412"/>
      <c r="BA162" s="412"/>
      <c r="BB162" s="412"/>
    </row>
    <row r="163" spans="2:54" x14ac:dyDescent="0.2">
      <c r="B163" s="412"/>
      <c r="C163" s="412"/>
      <c r="D163" s="412"/>
      <c r="E163" s="412"/>
      <c r="F163" s="412"/>
      <c r="G163" s="412"/>
      <c r="H163" s="412"/>
      <c r="I163" s="412"/>
      <c r="J163" s="412"/>
      <c r="K163" s="412"/>
      <c r="L163" s="412"/>
      <c r="M163" s="412"/>
      <c r="N163" s="412"/>
      <c r="O163" s="412"/>
      <c r="P163" s="412"/>
      <c r="Q163" s="412"/>
      <c r="R163" s="412"/>
      <c r="S163" s="445"/>
      <c r="T163" s="445"/>
      <c r="U163" s="445"/>
      <c r="V163" s="445"/>
      <c r="W163" s="445"/>
      <c r="X163" s="445"/>
      <c r="Y163" s="445"/>
      <c r="Z163" s="445"/>
      <c r="AA163" s="445"/>
      <c r="AB163" s="445"/>
      <c r="AC163" s="445"/>
      <c r="AD163" s="412"/>
      <c r="AE163" s="412"/>
      <c r="AF163" s="412"/>
      <c r="AG163" s="412"/>
      <c r="AH163" s="412"/>
      <c r="AI163" s="412"/>
      <c r="AJ163" s="412"/>
      <c r="AK163" s="412"/>
      <c r="AL163" s="412"/>
      <c r="AM163" s="412"/>
      <c r="AN163" s="412"/>
      <c r="AO163" s="412"/>
      <c r="AP163" s="412"/>
      <c r="AQ163" s="412"/>
      <c r="AR163" s="412"/>
      <c r="AS163" s="412"/>
      <c r="AT163" s="412"/>
      <c r="AU163" s="412"/>
      <c r="AV163" s="412"/>
      <c r="AW163" s="412"/>
      <c r="AX163" s="412"/>
      <c r="AY163" s="412"/>
      <c r="AZ163" s="412"/>
      <c r="BA163" s="412"/>
      <c r="BB163" s="412"/>
    </row>
    <row r="164" spans="2:54" x14ac:dyDescent="0.2">
      <c r="B164" s="412"/>
      <c r="C164" s="412"/>
      <c r="D164" s="412"/>
      <c r="E164" s="412"/>
      <c r="F164" s="412"/>
      <c r="G164" s="412"/>
      <c r="H164" s="412"/>
      <c r="I164" s="412"/>
      <c r="J164" s="412"/>
      <c r="K164" s="412"/>
      <c r="L164" s="412"/>
      <c r="M164" s="412"/>
      <c r="N164" s="412"/>
      <c r="O164" s="412"/>
      <c r="P164" s="412"/>
      <c r="Q164" s="412"/>
      <c r="R164" s="412"/>
      <c r="S164" s="445"/>
      <c r="T164" s="445"/>
      <c r="U164" s="445"/>
      <c r="V164" s="445"/>
      <c r="W164" s="445"/>
      <c r="X164" s="445"/>
      <c r="Y164" s="445"/>
      <c r="Z164" s="445"/>
      <c r="AA164" s="445"/>
      <c r="AB164" s="445"/>
      <c r="AC164" s="445"/>
      <c r="AD164" s="412"/>
      <c r="AE164" s="412"/>
      <c r="AF164" s="412"/>
      <c r="AG164" s="412"/>
      <c r="AH164" s="412"/>
      <c r="AI164" s="412"/>
      <c r="AJ164" s="412"/>
      <c r="AK164" s="412"/>
      <c r="AL164" s="412"/>
      <c r="AM164" s="412"/>
      <c r="AN164" s="412"/>
      <c r="AO164" s="412"/>
      <c r="AP164" s="412"/>
      <c r="AQ164" s="412"/>
      <c r="AR164" s="412"/>
      <c r="AS164" s="412"/>
      <c r="AT164" s="412"/>
      <c r="AU164" s="412"/>
      <c r="AV164" s="412"/>
      <c r="AW164" s="412"/>
      <c r="AX164" s="412"/>
      <c r="AY164" s="412"/>
      <c r="AZ164" s="412"/>
      <c r="BA164" s="412"/>
      <c r="BB164" s="412"/>
    </row>
    <row r="165" spans="2:54" x14ac:dyDescent="0.2">
      <c r="B165" s="412"/>
      <c r="C165" s="412"/>
      <c r="D165" s="412"/>
      <c r="E165" s="412"/>
      <c r="F165" s="412"/>
      <c r="G165" s="412"/>
      <c r="H165" s="412"/>
      <c r="I165" s="412"/>
      <c r="J165" s="412"/>
      <c r="K165" s="412"/>
      <c r="L165" s="412"/>
      <c r="M165" s="412"/>
      <c r="N165" s="412"/>
      <c r="O165" s="412"/>
      <c r="P165" s="412"/>
      <c r="Q165" s="412"/>
      <c r="R165" s="412"/>
      <c r="S165" s="445"/>
      <c r="T165" s="445"/>
      <c r="U165" s="445"/>
      <c r="V165" s="445"/>
      <c r="W165" s="445"/>
      <c r="X165" s="445"/>
      <c r="Y165" s="445"/>
      <c r="Z165" s="445"/>
      <c r="AA165" s="445"/>
      <c r="AB165" s="445"/>
      <c r="AC165" s="445"/>
      <c r="AD165" s="412"/>
      <c r="AE165" s="412"/>
      <c r="AF165" s="412"/>
      <c r="AG165" s="412"/>
      <c r="AH165" s="412"/>
      <c r="AI165" s="412"/>
      <c r="AJ165" s="412"/>
      <c r="AK165" s="412"/>
      <c r="AL165" s="412"/>
      <c r="AM165" s="412"/>
      <c r="AN165" s="412"/>
      <c r="AO165" s="412"/>
      <c r="AP165" s="412"/>
      <c r="AQ165" s="412"/>
      <c r="AR165" s="412"/>
      <c r="AS165" s="412"/>
      <c r="AT165" s="412"/>
      <c r="AU165" s="412"/>
      <c r="AV165" s="412"/>
      <c r="AW165" s="412"/>
      <c r="AX165" s="449"/>
    </row>
    <row r="166" spans="2:54" x14ac:dyDescent="0.2">
      <c r="B166" s="412"/>
      <c r="C166" s="412"/>
      <c r="D166" s="412"/>
      <c r="E166" s="412"/>
      <c r="F166" s="412"/>
      <c r="G166" s="412"/>
      <c r="H166" s="412"/>
      <c r="I166" s="412"/>
      <c r="J166" s="412"/>
      <c r="K166" s="412"/>
      <c r="L166" s="412"/>
      <c r="M166" s="412"/>
      <c r="N166" s="412"/>
      <c r="O166" s="412"/>
      <c r="P166" s="412"/>
      <c r="Q166" s="412"/>
      <c r="R166" s="412"/>
      <c r="S166" s="445"/>
      <c r="T166" s="445"/>
      <c r="U166" s="445"/>
      <c r="V166" s="445"/>
      <c r="W166" s="445"/>
      <c r="X166" s="445"/>
      <c r="Y166" s="445"/>
      <c r="Z166" s="445"/>
      <c r="AA166" s="445"/>
      <c r="AB166" s="445"/>
      <c r="AC166" s="445"/>
      <c r="AD166" s="412"/>
      <c r="AE166" s="412"/>
      <c r="AF166" s="412"/>
      <c r="AG166" s="412"/>
      <c r="AH166" s="412"/>
      <c r="AI166" s="412"/>
      <c r="AJ166" s="412"/>
      <c r="AK166" s="412"/>
      <c r="AL166" s="412"/>
      <c r="AM166" s="412"/>
      <c r="AN166" s="412"/>
      <c r="AO166" s="412"/>
      <c r="AP166" s="412"/>
      <c r="AQ166" s="412"/>
      <c r="AR166" s="412"/>
      <c r="AS166" s="412"/>
      <c r="AT166" s="412"/>
      <c r="AU166" s="412"/>
      <c r="AV166" s="412"/>
      <c r="AW166" s="412"/>
      <c r="AX166" s="449"/>
    </row>
    <row r="167" spans="2:54" x14ac:dyDescent="0.2">
      <c r="B167" s="412"/>
      <c r="C167" s="412"/>
      <c r="D167" s="412"/>
      <c r="E167" s="412"/>
      <c r="F167" s="412"/>
      <c r="G167" s="412"/>
      <c r="H167" s="412"/>
      <c r="I167" s="412"/>
      <c r="J167" s="412"/>
      <c r="K167" s="412"/>
      <c r="L167" s="412"/>
      <c r="M167" s="412"/>
      <c r="N167" s="412"/>
      <c r="O167" s="412"/>
      <c r="P167" s="412"/>
      <c r="Q167" s="412"/>
      <c r="R167" s="412"/>
      <c r="S167" s="445"/>
      <c r="T167" s="445"/>
      <c r="U167" s="445"/>
      <c r="V167" s="445"/>
      <c r="W167" s="445"/>
      <c r="X167" s="445"/>
      <c r="Y167" s="445"/>
      <c r="Z167" s="445"/>
      <c r="AA167" s="445"/>
      <c r="AB167" s="445"/>
      <c r="AC167" s="445"/>
      <c r="AD167" s="412"/>
      <c r="AE167" s="412"/>
      <c r="AF167" s="412"/>
      <c r="AG167" s="412"/>
      <c r="AH167" s="412"/>
      <c r="AI167" s="412"/>
      <c r="AJ167" s="412"/>
      <c r="AK167" s="412"/>
      <c r="AL167" s="412"/>
      <c r="AM167" s="412"/>
      <c r="AN167" s="412"/>
      <c r="AO167" s="412"/>
      <c r="AP167" s="412"/>
      <c r="AQ167" s="412"/>
      <c r="AR167" s="412"/>
      <c r="AS167" s="412"/>
      <c r="AT167" s="412"/>
      <c r="AU167" s="412"/>
      <c r="AV167" s="412"/>
      <c r="AW167" s="412"/>
      <c r="AX167" s="449"/>
    </row>
    <row r="168" spans="2:54" x14ac:dyDescent="0.2">
      <c r="B168" s="412"/>
      <c r="C168" s="412"/>
      <c r="D168" s="412"/>
      <c r="E168" s="412"/>
      <c r="F168" s="412"/>
      <c r="G168" s="412"/>
      <c r="H168" s="412"/>
      <c r="I168" s="412"/>
      <c r="J168" s="412"/>
      <c r="K168" s="412"/>
      <c r="L168" s="412"/>
      <c r="M168" s="412"/>
      <c r="N168" s="412"/>
      <c r="O168" s="412"/>
      <c r="P168" s="412"/>
      <c r="Q168" s="412"/>
      <c r="R168" s="412"/>
      <c r="S168" s="445"/>
      <c r="T168" s="445"/>
      <c r="U168" s="445"/>
      <c r="V168" s="445"/>
      <c r="W168" s="445"/>
      <c r="X168" s="445"/>
      <c r="Y168" s="445"/>
      <c r="Z168" s="445"/>
      <c r="AA168" s="445"/>
      <c r="AB168" s="445"/>
      <c r="AC168" s="445"/>
      <c r="AD168" s="412"/>
      <c r="AE168" s="412"/>
      <c r="AF168" s="412"/>
      <c r="AG168" s="412"/>
      <c r="AH168" s="412"/>
      <c r="AI168" s="412"/>
      <c r="AJ168" s="412"/>
      <c r="AK168" s="412"/>
      <c r="AL168" s="412"/>
      <c r="AM168" s="412"/>
      <c r="AN168" s="412"/>
      <c r="AO168" s="412"/>
      <c r="AP168" s="412"/>
      <c r="AQ168" s="412"/>
      <c r="AR168" s="412"/>
      <c r="AS168" s="412"/>
      <c r="AT168" s="412"/>
      <c r="AU168" s="412"/>
      <c r="AV168" s="412"/>
      <c r="AW168" s="412"/>
      <c r="AX168" s="449"/>
    </row>
    <row r="169" spans="2:54" x14ac:dyDescent="0.2">
      <c r="B169" s="412"/>
      <c r="C169" s="412"/>
      <c r="D169" s="412"/>
      <c r="E169" s="412"/>
      <c r="F169" s="412"/>
      <c r="G169" s="412"/>
      <c r="H169" s="412"/>
      <c r="I169" s="412"/>
      <c r="J169" s="412"/>
      <c r="K169" s="412"/>
      <c r="L169" s="412"/>
      <c r="M169" s="412"/>
      <c r="N169" s="412"/>
      <c r="O169" s="412"/>
      <c r="P169" s="412"/>
      <c r="Q169" s="412"/>
      <c r="R169" s="412"/>
      <c r="S169" s="445"/>
      <c r="T169" s="445"/>
      <c r="U169" s="445"/>
      <c r="V169" s="445"/>
      <c r="W169" s="445"/>
      <c r="X169" s="445"/>
      <c r="Y169" s="445"/>
      <c r="Z169" s="445"/>
      <c r="AA169" s="445"/>
      <c r="AB169" s="445"/>
      <c r="AC169" s="445"/>
      <c r="AD169" s="412"/>
      <c r="AE169" s="412"/>
      <c r="AF169" s="412"/>
      <c r="AG169" s="412"/>
      <c r="AH169" s="412"/>
      <c r="AI169" s="412"/>
      <c r="AJ169" s="412"/>
      <c r="AK169" s="412"/>
      <c r="AL169" s="412"/>
      <c r="AM169" s="412"/>
      <c r="AN169" s="412"/>
      <c r="AO169" s="412"/>
      <c r="AP169" s="412"/>
      <c r="AQ169" s="412"/>
      <c r="AR169" s="412"/>
      <c r="AS169" s="412"/>
      <c r="AT169" s="412"/>
      <c r="AU169" s="412"/>
      <c r="AV169" s="412"/>
      <c r="AW169" s="412"/>
      <c r="AX169" s="449"/>
    </row>
    <row r="170" spans="2:54" x14ac:dyDescent="0.2">
      <c r="B170" s="412"/>
      <c r="C170" s="412"/>
      <c r="D170" s="412"/>
      <c r="E170" s="412"/>
      <c r="F170" s="412"/>
      <c r="G170" s="412"/>
      <c r="H170" s="412"/>
      <c r="I170" s="412"/>
      <c r="J170" s="412"/>
      <c r="K170" s="412"/>
      <c r="L170" s="412"/>
      <c r="M170" s="412"/>
      <c r="N170" s="412"/>
      <c r="O170" s="412"/>
      <c r="P170" s="412"/>
      <c r="Q170" s="412"/>
      <c r="R170" s="412"/>
      <c r="S170" s="445"/>
      <c r="T170" s="445"/>
      <c r="U170" s="445"/>
      <c r="V170" s="445"/>
      <c r="W170" s="445"/>
      <c r="X170" s="445"/>
      <c r="Y170" s="445"/>
      <c r="Z170" s="445"/>
      <c r="AA170" s="445"/>
      <c r="AB170" s="445"/>
      <c r="AC170" s="445"/>
      <c r="AD170" s="412"/>
      <c r="AE170" s="412"/>
      <c r="AF170" s="412"/>
      <c r="AG170" s="412"/>
      <c r="AH170" s="412"/>
      <c r="AI170" s="412"/>
      <c r="AJ170" s="412"/>
      <c r="AK170" s="412"/>
      <c r="AL170" s="412"/>
      <c r="AM170" s="412"/>
      <c r="AN170" s="412"/>
      <c r="AO170" s="412"/>
      <c r="AP170" s="412"/>
      <c r="AQ170" s="412"/>
      <c r="AR170" s="412"/>
      <c r="AS170" s="412"/>
      <c r="AT170" s="412"/>
      <c r="AU170" s="412"/>
      <c r="AV170" s="412"/>
      <c r="AW170" s="412"/>
      <c r="AX170" s="449"/>
    </row>
    <row r="171" spans="2:54" x14ac:dyDescent="0.2">
      <c r="B171" s="412"/>
      <c r="C171" s="412"/>
      <c r="D171" s="412"/>
      <c r="E171" s="412"/>
      <c r="F171" s="412"/>
      <c r="G171" s="412"/>
      <c r="H171" s="412"/>
      <c r="I171" s="412"/>
      <c r="J171" s="412"/>
      <c r="K171" s="412"/>
      <c r="L171" s="412"/>
      <c r="M171" s="412"/>
      <c r="N171" s="412"/>
      <c r="O171" s="412"/>
      <c r="P171" s="412"/>
      <c r="Q171" s="412"/>
      <c r="R171" s="412"/>
      <c r="S171" s="445"/>
      <c r="T171" s="445"/>
      <c r="U171" s="445"/>
      <c r="V171" s="445"/>
      <c r="W171" s="445"/>
      <c r="X171" s="445"/>
      <c r="Y171" s="445"/>
      <c r="Z171" s="445"/>
      <c r="AA171" s="445"/>
      <c r="AB171" s="445"/>
      <c r="AC171" s="445"/>
      <c r="AD171" s="412"/>
      <c r="AE171" s="412"/>
      <c r="AF171" s="412"/>
      <c r="AG171" s="412"/>
      <c r="AH171" s="412"/>
      <c r="AI171" s="412"/>
      <c r="AJ171" s="412"/>
      <c r="AK171" s="412"/>
      <c r="AL171" s="412"/>
      <c r="AM171" s="412"/>
      <c r="AN171" s="412"/>
      <c r="AO171" s="412"/>
      <c r="AP171" s="412"/>
      <c r="AQ171" s="412"/>
      <c r="AR171" s="412"/>
      <c r="AS171" s="412"/>
      <c r="AT171" s="412"/>
      <c r="AU171" s="412"/>
      <c r="AV171" s="412"/>
      <c r="AW171" s="412"/>
      <c r="AX171" s="449"/>
    </row>
    <row r="172" spans="2:54" x14ac:dyDescent="0.2">
      <c r="B172" s="412"/>
      <c r="C172" s="412"/>
      <c r="D172" s="412"/>
      <c r="E172" s="412"/>
      <c r="F172" s="412"/>
      <c r="G172" s="412"/>
      <c r="H172" s="412"/>
      <c r="I172" s="412"/>
      <c r="J172" s="412"/>
      <c r="K172" s="412"/>
      <c r="L172" s="412"/>
      <c r="M172" s="412"/>
      <c r="N172" s="412"/>
      <c r="O172" s="412"/>
      <c r="P172" s="412"/>
      <c r="Q172" s="412"/>
      <c r="R172" s="412"/>
      <c r="S172" s="445"/>
      <c r="T172" s="445"/>
      <c r="U172" s="445"/>
      <c r="V172" s="445"/>
      <c r="W172" s="445"/>
      <c r="X172" s="445"/>
      <c r="Y172" s="445"/>
      <c r="Z172" s="445"/>
      <c r="AA172" s="445"/>
      <c r="AB172" s="445"/>
      <c r="AC172" s="445"/>
      <c r="AD172" s="412"/>
      <c r="AE172" s="412"/>
      <c r="AF172" s="412"/>
      <c r="AG172" s="412"/>
      <c r="AH172" s="412"/>
      <c r="AI172" s="412"/>
      <c r="AJ172" s="412"/>
      <c r="AK172" s="412"/>
      <c r="AL172" s="412"/>
      <c r="AM172" s="412"/>
      <c r="AN172" s="412"/>
      <c r="AO172" s="412"/>
      <c r="AP172" s="412"/>
      <c r="AQ172" s="412"/>
      <c r="AR172" s="412"/>
      <c r="AS172" s="412"/>
      <c r="AT172" s="412"/>
      <c r="AU172" s="412"/>
      <c r="AV172" s="412"/>
      <c r="AW172" s="412"/>
      <c r="AX172" s="449"/>
    </row>
    <row r="173" spans="2:54" x14ac:dyDescent="0.2">
      <c r="B173" s="412"/>
      <c r="C173" s="412"/>
      <c r="D173" s="412"/>
      <c r="E173" s="412"/>
      <c r="F173" s="412"/>
      <c r="G173" s="412"/>
      <c r="H173" s="412"/>
      <c r="I173" s="412"/>
      <c r="J173" s="412"/>
      <c r="K173" s="412"/>
      <c r="L173" s="412"/>
      <c r="M173" s="412"/>
      <c r="N173" s="412"/>
      <c r="O173" s="412"/>
      <c r="P173" s="412"/>
      <c r="Q173" s="412"/>
      <c r="R173" s="412"/>
      <c r="S173" s="445"/>
      <c r="T173" s="445"/>
      <c r="U173" s="445"/>
      <c r="V173" s="445"/>
      <c r="W173" s="445"/>
      <c r="X173" s="445"/>
      <c r="Y173" s="445"/>
      <c r="Z173" s="445"/>
      <c r="AA173" s="445"/>
      <c r="AB173" s="445"/>
      <c r="AC173" s="445"/>
      <c r="AD173" s="412"/>
      <c r="AE173" s="412"/>
      <c r="AF173" s="412"/>
      <c r="AG173" s="412"/>
      <c r="AH173" s="412"/>
      <c r="AI173" s="412"/>
      <c r="AJ173" s="412"/>
      <c r="AK173" s="412"/>
      <c r="AL173" s="412"/>
      <c r="AM173" s="412"/>
      <c r="AN173" s="412"/>
      <c r="AO173" s="412"/>
      <c r="AP173" s="412"/>
      <c r="AQ173" s="412"/>
      <c r="AR173" s="412"/>
      <c r="AS173" s="412"/>
      <c r="AT173" s="412"/>
      <c r="AU173" s="412"/>
      <c r="AV173" s="412"/>
      <c r="AW173" s="412"/>
      <c r="AX173" s="449"/>
    </row>
    <row r="174" spans="2:54" x14ac:dyDescent="0.2">
      <c r="B174" s="412"/>
      <c r="C174" s="412"/>
      <c r="D174" s="412"/>
      <c r="E174" s="412"/>
      <c r="F174" s="412"/>
      <c r="G174" s="412"/>
      <c r="H174" s="412"/>
      <c r="I174" s="412"/>
      <c r="J174" s="412"/>
      <c r="K174" s="412"/>
      <c r="L174" s="412"/>
      <c r="M174" s="412"/>
      <c r="N174" s="412"/>
      <c r="O174" s="412"/>
      <c r="P174" s="412"/>
      <c r="Q174" s="412"/>
      <c r="R174" s="412"/>
      <c r="S174" s="445"/>
      <c r="T174" s="445"/>
      <c r="U174" s="445"/>
      <c r="V174" s="445"/>
      <c r="W174" s="445"/>
      <c r="X174" s="445"/>
      <c r="Y174" s="445"/>
      <c r="Z174" s="445"/>
      <c r="AA174" s="445"/>
      <c r="AB174" s="445"/>
      <c r="AC174" s="445"/>
      <c r="AD174" s="412"/>
      <c r="AE174" s="412"/>
      <c r="AF174" s="412"/>
      <c r="AG174" s="412"/>
      <c r="AH174" s="412"/>
      <c r="AI174" s="412"/>
      <c r="AJ174" s="412"/>
      <c r="AK174" s="412"/>
      <c r="AL174" s="412"/>
      <c r="AM174" s="412"/>
      <c r="AN174" s="412"/>
      <c r="AO174" s="412"/>
      <c r="AP174" s="412"/>
      <c r="AQ174" s="412"/>
      <c r="AR174" s="412"/>
      <c r="AS174" s="412"/>
      <c r="AT174" s="412"/>
      <c r="AU174" s="412"/>
      <c r="AV174" s="412"/>
      <c r="AW174" s="412"/>
      <c r="AX174" s="449"/>
    </row>
    <row r="175" spans="2:54" x14ac:dyDescent="0.2">
      <c r="B175" s="412"/>
      <c r="C175" s="412"/>
      <c r="D175" s="412"/>
      <c r="E175" s="412"/>
      <c r="F175" s="412"/>
      <c r="G175" s="412"/>
      <c r="H175" s="412"/>
      <c r="I175" s="412"/>
      <c r="J175" s="412"/>
      <c r="K175" s="412"/>
      <c r="L175" s="412"/>
      <c r="M175" s="412"/>
      <c r="N175" s="412"/>
      <c r="O175" s="412"/>
      <c r="P175" s="412"/>
      <c r="Q175" s="412"/>
      <c r="R175" s="412"/>
      <c r="S175" s="445"/>
      <c r="T175" s="445"/>
      <c r="U175" s="445"/>
      <c r="V175" s="445"/>
      <c r="W175" s="445"/>
      <c r="X175" s="445"/>
      <c r="Y175" s="445"/>
      <c r="Z175" s="445"/>
      <c r="AA175" s="445"/>
      <c r="AB175" s="445"/>
      <c r="AC175" s="445"/>
      <c r="AD175" s="412"/>
      <c r="AE175" s="412"/>
      <c r="AF175" s="412"/>
      <c r="AG175" s="412"/>
      <c r="AH175" s="412"/>
      <c r="AI175" s="412"/>
      <c r="AJ175" s="412"/>
      <c r="AK175" s="412"/>
      <c r="AL175" s="412"/>
      <c r="AM175" s="412"/>
      <c r="AN175" s="412"/>
      <c r="AO175" s="412"/>
      <c r="AP175" s="412"/>
      <c r="AQ175" s="412"/>
      <c r="AR175" s="412"/>
      <c r="AS175" s="412"/>
      <c r="AT175" s="412"/>
      <c r="AU175" s="412"/>
      <c r="AV175" s="412"/>
      <c r="AW175" s="412"/>
      <c r="AX175" s="449"/>
    </row>
    <row r="176" spans="2:54" x14ac:dyDescent="0.2">
      <c r="B176" s="412"/>
      <c r="C176" s="412"/>
      <c r="D176" s="412"/>
      <c r="E176" s="412"/>
      <c r="F176" s="412"/>
      <c r="G176" s="412"/>
      <c r="H176" s="412"/>
      <c r="I176" s="412"/>
      <c r="J176" s="412"/>
      <c r="K176" s="412"/>
      <c r="L176" s="412"/>
      <c r="M176" s="412"/>
      <c r="N176" s="412"/>
      <c r="O176" s="412"/>
      <c r="P176" s="412"/>
      <c r="Q176" s="412"/>
      <c r="R176" s="412"/>
      <c r="S176" s="445"/>
      <c r="T176" s="445"/>
      <c r="U176" s="445"/>
      <c r="V176" s="445"/>
      <c r="W176" s="445"/>
      <c r="X176" s="445"/>
      <c r="Y176" s="445"/>
      <c r="Z176" s="445"/>
      <c r="AA176" s="445"/>
      <c r="AB176" s="445"/>
      <c r="AC176" s="445"/>
      <c r="AD176" s="412"/>
      <c r="AE176" s="412"/>
      <c r="AF176" s="412"/>
      <c r="AG176" s="412"/>
      <c r="AH176" s="412"/>
      <c r="AI176" s="412"/>
      <c r="AJ176" s="412"/>
      <c r="AK176" s="412"/>
      <c r="AL176" s="412"/>
      <c r="AM176" s="412"/>
      <c r="AN176" s="412"/>
      <c r="AO176" s="412"/>
      <c r="AP176" s="412"/>
      <c r="AQ176" s="412"/>
      <c r="AR176" s="412"/>
      <c r="AS176" s="412"/>
      <c r="AT176" s="412"/>
      <c r="AU176" s="412"/>
      <c r="AV176" s="412"/>
      <c r="AW176" s="412"/>
      <c r="AX176" s="449"/>
    </row>
    <row r="177" spans="2:50" x14ac:dyDescent="0.2">
      <c r="B177" s="412"/>
      <c r="C177" s="412"/>
      <c r="D177" s="412"/>
      <c r="E177" s="412"/>
      <c r="F177" s="412"/>
      <c r="G177" s="412"/>
      <c r="H177" s="412"/>
      <c r="I177" s="412"/>
      <c r="J177" s="412"/>
      <c r="K177" s="412"/>
      <c r="L177" s="412"/>
      <c r="M177" s="412"/>
      <c r="N177" s="412"/>
      <c r="O177" s="412"/>
      <c r="P177" s="412"/>
      <c r="Q177" s="412"/>
      <c r="R177" s="412"/>
      <c r="S177" s="445"/>
      <c r="T177" s="445"/>
      <c r="U177" s="445"/>
      <c r="V177" s="445"/>
      <c r="W177" s="445"/>
      <c r="X177" s="445"/>
      <c r="Y177" s="445"/>
      <c r="Z177" s="445"/>
      <c r="AA177" s="445"/>
      <c r="AB177" s="445"/>
      <c r="AC177" s="445"/>
      <c r="AD177" s="412"/>
      <c r="AE177" s="412"/>
      <c r="AF177" s="412"/>
      <c r="AG177" s="412"/>
      <c r="AH177" s="412"/>
      <c r="AI177" s="412"/>
      <c r="AJ177" s="412"/>
      <c r="AK177" s="412"/>
      <c r="AL177" s="412"/>
      <c r="AM177" s="412"/>
      <c r="AN177" s="412"/>
      <c r="AO177" s="412"/>
      <c r="AP177" s="412"/>
      <c r="AQ177" s="412"/>
      <c r="AR177" s="412"/>
      <c r="AS177" s="412"/>
      <c r="AT177" s="412"/>
      <c r="AU177" s="412"/>
      <c r="AV177" s="412"/>
      <c r="AW177" s="412"/>
      <c r="AX177" s="449"/>
    </row>
    <row r="178" spans="2:50" x14ac:dyDescent="0.2">
      <c r="B178" s="412"/>
      <c r="C178" s="412"/>
      <c r="D178" s="412"/>
      <c r="E178" s="412"/>
      <c r="F178" s="412"/>
      <c r="G178" s="412"/>
      <c r="H178" s="412"/>
      <c r="I178" s="412"/>
      <c r="J178" s="412"/>
      <c r="K178" s="412"/>
      <c r="L178" s="412"/>
      <c r="M178" s="412"/>
      <c r="N178" s="412"/>
      <c r="O178" s="412"/>
      <c r="P178" s="412"/>
      <c r="Q178" s="412"/>
      <c r="R178" s="412"/>
      <c r="S178" s="445"/>
      <c r="T178" s="445"/>
      <c r="U178" s="445"/>
      <c r="V178" s="445"/>
      <c r="W178" s="445"/>
      <c r="X178" s="445"/>
      <c r="Y178" s="445"/>
      <c r="Z178" s="445"/>
      <c r="AA178" s="445"/>
      <c r="AB178" s="445"/>
      <c r="AC178" s="445"/>
      <c r="AD178" s="412"/>
      <c r="AE178" s="412"/>
      <c r="AF178" s="412"/>
      <c r="AG178" s="412"/>
      <c r="AH178" s="412"/>
      <c r="AI178" s="412"/>
      <c r="AJ178" s="412"/>
      <c r="AK178" s="412"/>
      <c r="AL178" s="412"/>
      <c r="AM178" s="412"/>
      <c r="AN178" s="412"/>
      <c r="AO178" s="412"/>
      <c r="AP178" s="412"/>
      <c r="AQ178" s="412"/>
      <c r="AR178" s="412"/>
      <c r="AS178" s="412"/>
      <c r="AT178" s="412"/>
      <c r="AU178" s="412"/>
      <c r="AV178" s="412"/>
      <c r="AW178" s="412"/>
      <c r="AX178" s="449"/>
    </row>
    <row r="179" spans="2:50" x14ac:dyDescent="0.2">
      <c r="B179" s="412"/>
      <c r="C179" s="412"/>
      <c r="D179" s="412"/>
      <c r="E179" s="412"/>
      <c r="F179" s="412"/>
      <c r="G179" s="412"/>
      <c r="H179" s="412"/>
      <c r="I179" s="412"/>
      <c r="J179" s="412"/>
      <c r="K179" s="412"/>
      <c r="L179" s="412"/>
      <c r="M179" s="412"/>
      <c r="N179" s="412"/>
      <c r="O179" s="412"/>
      <c r="P179" s="412"/>
      <c r="Q179" s="412"/>
      <c r="R179" s="412"/>
      <c r="S179" s="445"/>
      <c r="T179" s="445"/>
      <c r="U179" s="445"/>
      <c r="V179" s="445"/>
      <c r="W179" s="445"/>
      <c r="X179" s="445"/>
      <c r="Y179" s="445"/>
      <c r="Z179" s="445"/>
      <c r="AA179" s="445"/>
      <c r="AB179" s="445"/>
      <c r="AC179" s="445"/>
      <c r="AD179" s="412"/>
      <c r="AE179" s="412"/>
      <c r="AF179" s="412"/>
      <c r="AG179" s="412"/>
      <c r="AH179" s="412"/>
      <c r="AI179" s="412"/>
      <c r="AJ179" s="412"/>
      <c r="AK179" s="412"/>
      <c r="AL179" s="412"/>
      <c r="AM179" s="412"/>
      <c r="AN179" s="412"/>
      <c r="AO179" s="412"/>
      <c r="AP179" s="412"/>
      <c r="AQ179" s="412"/>
      <c r="AR179" s="412"/>
      <c r="AS179" s="412"/>
      <c r="AT179" s="412"/>
      <c r="AU179" s="412"/>
      <c r="AV179" s="412"/>
      <c r="AW179" s="412"/>
      <c r="AX179" s="449"/>
    </row>
    <row r="180" spans="2:50" x14ac:dyDescent="0.2">
      <c r="B180" s="412"/>
      <c r="C180" s="412"/>
      <c r="D180" s="412"/>
      <c r="E180" s="412"/>
      <c r="F180" s="412"/>
      <c r="G180" s="412"/>
      <c r="H180" s="412"/>
      <c r="I180" s="412"/>
      <c r="J180" s="412"/>
      <c r="K180" s="412"/>
      <c r="L180" s="412"/>
      <c r="M180" s="412"/>
      <c r="N180" s="412"/>
      <c r="O180" s="412"/>
      <c r="P180" s="412"/>
      <c r="Q180" s="412"/>
      <c r="R180" s="412"/>
      <c r="S180" s="445"/>
      <c r="T180" s="445"/>
      <c r="U180" s="445"/>
      <c r="V180" s="445"/>
      <c r="W180" s="445"/>
      <c r="X180" s="445"/>
      <c r="Y180" s="445"/>
      <c r="Z180" s="445"/>
      <c r="AA180" s="445"/>
      <c r="AB180" s="445"/>
      <c r="AC180" s="445"/>
      <c r="AD180" s="412"/>
      <c r="AE180" s="412"/>
      <c r="AF180" s="412"/>
      <c r="AG180" s="412"/>
      <c r="AH180" s="412"/>
      <c r="AI180" s="412"/>
      <c r="AJ180" s="412"/>
      <c r="AK180" s="412"/>
      <c r="AL180" s="412"/>
      <c r="AM180" s="412"/>
      <c r="AN180" s="412"/>
      <c r="AO180" s="412"/>
      <c r="AP180" s="412"/>
      <c r="AQ180" s="412"/>
      <c r="AR180" s="412"/>
      <c r="AS180" s="412"/>
      <c r="AT180" s="412"/>
      <c r="AU180" s="412"/>
      <c r="AV180" s="412"/>
      <c r="AW180" s="412"/>
      <c r="AX180" s="449"/>
    </row>
    <row r="181" spans="2:50" x14ac:dyDescent="0.2">
      <c r="B181" s="412"/>
      <c r="C181" s="412"/>
      <c r="D181" s="412"/>
      <c r="E181" s="412"/>
      <c r="F181" s="412"/>
      <c r="G181" s="412"/>
      <c r="H181" s="412"/>
      <c r="I181" s="412"/>
      <c r="J181" s="412"/>
      <c r="K181" s="412"/>
      <c r="L181" s="412"/>
      <c r="M181" s="412"/>
      <c r="N181" s="412"/>
      <c r="O181" s="412"/>
      <c r="P181" s="412"/>
      <c r="Q181" s="412"/>
      <c r="R181" s="412"/>
      <c r="S181" s="445"/>
      <c r="T181" s="445"/>
      <c r="U181" s="445"/>
      <c r="V181" s="445"/>
      <c r="W181" s="445"/>
      <c r="X181" s="445"/>
      <c r="Y181" s="445"/>
      <c r="Z181" s="445"/>
      <c r="AA181" s="445"/>
      <c r="AB181" s="445"/>
      <c r="AC181" s="445"/>
      <c r="AD181" s="412"/>
      <c r="AE181" s="412"/>
      <c r="AF181" s="412"/>
      <c r="AG181" s="412"/>
      <c r="AH181" s="412"/>
      <c r="AI181" s="412"/>
      <c r="AJ181" s="412"/>
      <c r="AK181" s="412"/>
      <c r="AL181" s="412"/>
      <c r="AM181" s="412"/>
      <c r="AN181" s="412"/>
      <c r="AO181" s="412"/>
      <c r="AP181" s="412"/>
      <c r="AQ181" s="412"/>
      <c r="AR181" s="412"/>
      <c r="AS181" s="412"/>
      <c r="AT181" s="412"/>
      <c r="AU181" s="412"/>
      <c r="AV181" s="412"/>
      <c r="AW181" s="412"/>
      <c r="AX181" s="449"/>
    </row>
    <row r="182" spans="2:50" x14ac:dyDescent="0.2">
      <c r="B182" s="412"/>
      <c r="C182" s="412"/>
      <c r="D182" s="412"/>
      <c r="E182" s="412"/>
      <c r="F182" s="412"/>
      <c r="G182" s="412"/>
      <c r="H182" s="412"/>
      <c r="I182" s="412"/>
      <c r="J182" s="412"/>
      <c r="K182" s="412"/>
      <c r="L182" s="412"/>
      <c r="M182" s="412"/>
      <c r="N182" s="412"/>
      <c r="O182" s="412"/>
      <c r="P182" s="412"/>
      <c r="Q182" s="412"/>
      <c r="R182" s="412"/>
      <c r="S182" s="445"/>
      <c r="T182" s="445"/>
      <c r="U182" s="445"/>
      <c r="V182" s="445"/>
      <c r="W182" s="445"/>
      <c r="X182" s="445"/>
      <c r="Y182" s="445"/>
      <c r="Z182" s="445"/>
      <c r="AA182" s="445"/>
      <c r="AB182" s="445"/>
      <c r="AC182" s="445"/>
      <c r="AD182" s="412"/>
      <c r="AE182" s="412"/>
      <c r="AF182" s="412"/>
      <c r="AG182" s="412"/>
      <c r="AH182" s="412"/>
      <c r="AI182" s="412"/>
      <c r="AJ182" s="412"/>
      <c r="AK182" s="412"/>
      <c r="AL182" s="412"/>
      <c r="AM182" s="412"/>
      <c r="AN182" s="412"/>
      <c r="AO182" s="412"/>
      <c r="AP182" s="412"/>
      <c r="AQ182" s="412"/>
      <c r="AR182" s="412"/>
      <c r="AS182" s="412"/>
      <c r="AT182" s="412"/>
      <c r="AU182" s="412"/>
      <c r="AV182" s="412"/>
      <c r="AW182" s="412"/>
      <c r="AX182" s="449"/>
    </row>
    <row r="183" spans="2:50" x14ac:dyDescent="0.2">
      <c r="B183" s="412"/>
      <c r="C183" s="412"/>
      <c r="D183" s="412"/>
      <c r="E183" s="412"/>
      <c r="F183" s="412"/>
      <c r="G183" s="412"/>
      <c r="H183" s="412"/>
      <c r="I183" s="412"/>
      <c r="J183" s="412"/>
      <c r="K183" s="412"/>
      <c r="L183" s="412"/>
      <c r="M183" s="412"/>
      <c r="N183" s="412"/>
      <c r="O183" s="412"/>
      <c r="P183" s="412"/>
      <c r="Q183" s="412"/>
      <c r="R183" s="412"/>
      <c r="S183" s="445"/>
      <c r="T183" s="445"/>
      <c r="U183" s="445"/>
      <c r="V183" s="445"/>
      <c r="W183" s="445"/>
      <c r="X183" s="445"/>
      <c r="Y183" s="445"/>
      <c r="Z183" s="445"/>
      <c r="AA183" s="445"/>
      <c r="AB183" s="445"/>
      <c r="AC183" s="445"/>
      <c r="AD183" s="412"/>
      <c r="AE183" s="412"/>
      <c r="AF183" s="412"/>
      <c r="AG183" s="412"/>
      <c r="AH183" s="412"/>
      <c r="AI183" s="412"/>
      <c r="AJ183" s="412"/>
      <c r="AK183" s="412"/>
      <c r="AL183" s="412"/>
      <c r="AM183" s="412"/>
      <c r="AN183" s="412"/>
      <c r="AO183" s="412"/>
      <c r="AP183" s="412"/>
      <c r="AQ183" s="412"/>
      <c r="AR183" s="412"/>
      <c r="AS183" s="412"/>
      <c r="AT183" s="412"/>
      <c r="AU183" s="412"/>
      <c r="AV183" s="412"/>
      <c r="AW183" s="412"/>
      <c r="AX183" s="449"/>
    </row>
    <row r="184" spans="2:50" x14ac:dyDescent="0.2">
      <c r="B184" s="412"/>
      <c r="C184" s="412"/>
      <c r="D184" s="412"/>
      <c r="E184" s="412"/>
      <c r="F184" s="412"/>
      <c r="G184" s="412"/>
      <c r="H184" s="412"/>
      <c r="I184" s="412"/>
      <c r="J184" s="412"/>
      <c r="K184" s="412"/>
      <c r="L184" s="412"/>
      <c r="M184" s="412"/>
      <c r="N184" s="412"/>
      <c r="O184" s="412"/>
      <c r="P184" s="412"/>
      <c r="Q184" s="412"/>
      <c r="R184" s="412"/>
      <c r="S184" s="445"/>
      <c r="T184" s="445"/>
      <c r="U184" s="445"/>
      <c r="V184" s="445"/>
      <c r="W184" s="445"/>
      <c r="X184" s="445"/>
      <c r="Y184" s="445"/>
      <c r="Z184" s="445"/>
      <c r="AA184" s="445"/>
      <c r="AB184" s="445"/>
      <c r="AC184" s="445"/>
      <c r="AD184" s="412"/>
      <c r="AE184" s="412"/>
      <c r="AF184" s="412"/>
      <c r="AG184" s="412"/>
      <c r="AH184" s="412"/>
      <c r="AI184" s="412"/>
      <c r="AJ184" s="412"/>
      <c r="AK184" s="412"/>
      <c r="AL184" s="412"/>
      <c r="AM184" s="412"/>
      <c r="AN184" s="412"/>
      <c r="AO184" s="412"/>
      <c r="AP184" s="412"/>
      <c r="AQ184" s="412"/>
      <c r="AR184" s="412"/>
      <c r="AS184" s="412"/>
      <c r="AT184" s="412"/>
      <c r="AU184" s="412"/>
      <c r="AV184" s="412"/>
      <c r="AW184" s="412"/>
      <c r="AX184" s="449"/>
    </row>
    <row r="185" spans="2:50" x14ac:dyDescent="0.2">
      <c r="B185" s="412"/>
      <c r="C185" s="412"/>
      <c r="D185" s="412"/>
      <c r="E185" s="412"/>
      <c r="F185" s="412"/>
      <c r="G185" s="412"/>
      <c r="H185" s="412"/>
      <c r="I185" s="412"/>
      <c r="J185" s="412"/>
      <c r="K185" s="412"/>
      <c r="L185" s="412"/>
      <c r="M185" s="412"/>
      <c r="N185" s="412"/>
      <c r="O185" s="412"/>
      <c r="P185" s="412"/>
      <c r="Q185" s="412"/>
      <c r="R185" s="412"/>
      <c r="S185" s="445"/>
      <c r="T185" s="445"/>
      <c r="U185" s="445"/>
      <c r="V185" s="445"/>
      <c r="W185" s="445"/>
      <c r="X185" s="445"/>
      <c r="Y185" s="445"/>
      <c r="Z185" s="445"/>
      <c r="AA185" s="445"/>
      <c r="AB185" s="445"/>
      <c r="AC185" s="445"/>
      <c r="AD185" s="412"/>
      <c r="AE185" s="412"/>
      <c r="AF185" s="412"/>
      <c r="AG185" s="412"/>
      <c r="AH185" s="412"/>
      <c r="AI185" s="412"/>
      <c r="AJ185" s="412"/>
      <c r="AK185" s="412"/>
      <c r="AL185" s="412"/>
      <c r="AM185" s="412"/>
      <c r="AN185" s="412"/>
      <c r="AO185" s="412"/>
      <c r="AP185" s="412"/>
      <c r="AQ185" s="412"/>
      <c r="AR185" s="412"/>
      <c r="AS185" s="412"/>
      <c r="AT185" s="412"/>
      <c r="AU185" s="412"/>
      <c r="AV185" s="412"/>
      <c r="AW185" s="412"/>
      <c r="AX185" s="449"/>
    </row>
    <row r="186" spans="2:50" x14ac:dyDescent="0.2">
      <c r="B186" s="412"/>
      <c r="C186" s="412"/>
      <c r="D186" s="412"/>
      <c r="E186" s="412"/>
      <c r="F186" s="412"/>
      <c r="G186" s="412"/>
      <c r="H186" s="412"/>
      <c r="I186" s="412"/>
      <c r="J186" s="412"/>
      <c r="K186" s="412"/>
      <c r="L186" s="412"/>
      <c r="M186" s="412"/>
      <c r="N186" s="412"/>
      <c r="O186" s="412"/>
      <c r="P186" s="412"/>
      <c r="Q186" s="412"/>
      <c r="R186" s="412"/>
      <c r="S186" s="445"/>
      <c r="T186" s="445"/>
      <c r="U186" s="445"/>
      <c r="V186" s="445"/>
      <c r="W186" s="445"/>
      <c r="X186" s="445"/>
      <c r="Y186" s="445"/>
      <c r="Z186" s="445"/>
      <c r="AA186" s="445"/>
      <c r="AB186" s="445"/>
      <c r="AC186" s="445"/>
      <c r="AD186" s="412"/>
      <c r="AE186" s="412"/>
      <c r="AF186" s="412"/>
      <c r="AG186" s="412"/>
      <c r="AH186" s="412"/>
      <c r="AI186" s="412"/>
      <c r="AJ186" s="412"/>
      <c r="AK186" s="412"/>
      <c r="AL186" s="412"/>
      <c r="AM186" s="412"/>
      <c r="AN186" s="412"/>
      <c r="AO186" s="412"/>
      <c r="AP186" s="412"/>
      <c r="AQ186" s="412"/>
      <c r="AR186" s="412"/>
      <c r="AS186" s="412"/>
      <c r="AT186" s="412"/>
      <c r="AU186" s="412"/>
      <c r="AV186" s="412"/>
      <c r="AW186" s="412"/>
      <c r="AX186" s="449"/>
    </row>
    <row r="187" spans="2:50" x14ac:dyDescent="0.2">
      <c r="B187" s="412"/>
      <c r="C187" s="412"/>
      <c r="D187" s="412"/>
      <c r="E187" s="412"/>
      <c r="F187" s="412"/>
      <c r="G187" s="412"/>
      <c r="H187" s="412"/>
      <c r="I187" s="412"/>
      <c r="J187" s="412"/>
      <c r="K187" s="412"/>
      <c r="L187" s="412"/>
      <c r="M187" s="412"/>
      <c r="N187" s="412"/>
      <c r="O187" s="412"/>
      <c r="P187" s="412"/>
      <c r="Q187" s="412"/>
      <c r="R187" s="412"/>
      <c r="S187" s="445"/>
      <c r="T187" s="445"/>
      <c r="U187" s="445"/>
      <c r="V187" s="445"/>
      <c r="W187" s="445"/>
      <c r="X187" s="445"/>
      <c r="Y187" s="445"/>
      <c r="Z187" s="445"/>
      <c r="AA187" s="445"/>
      <c r="AB187" s="445"/>
      <c r="AC187" s="445"/>
      <c r="AD187" s="412"/>
      <c r="AE187" s="412"/>
      <c r="AF187" s="412"/>
      <c r="AG187" s="412"/>
      <c r="AH187" s="412"/>
      <c r="AI187" s="412"/>
      <c r="AJ187" s="412"/>
      <c r="AK187" s="412"/>
      <c r="AL187" s="412"/>
      <c r="AM187" s="412"/>
      <c r="AN187" s="412"/>
      <c r="AO187" s="412"/>
      <c r="AP187" s="412"/>
      <c r="AQ187" s="412"/>
      <c r="AR187" s="412"/>
      <c r="AS187" s="412"/>
      <c r="AT187" s="412"/>
      <c r="AU187" s="412"/>
      <c r="AV187" s="412"/>
      <c r="AW187" s="412"/>
      <c r="AX187" s="449"/>
    </row>
    <row r="188" spans="2:50" x14ac:dyDescent="0.2">
      <c r="B188" s="412"/>
      <c r="C188" s="412"/>
      <c r="D188" s="412"/>
      <c r="E188" s="412"/>
      <c r="F188" s="412"/>
      <c r="G188" s="412"/>
      <c r="H188" s="412"/>
      <c r="I188" s="412"/>
      <c r="J188" s="412"/>
      <c r="K188" s="412"/>
      <c r="L188" s="412"/>
      <c r="M188" s="412"/>
      <c r="N188" s="412"/>
      <c r="O188" s="412"/>
      <c r="P188" s="412"/>
      <c r="Q188" s="412"/>
      <c r="R188" s="412"/>
      <c r="S188" s="445"/>
      <c r="T188" s="445"/>
      <c r="U188" s="445"/>
      <c r="V188" s="445"/>
      <c r="W188" s="445"/>
      <c r="X188" s="445"/>
      <c r="Y188" s="445"/>
      <c r="Z188" s="445"/>
      <c r="AA188" s="445"/>
      <c r="AB188" s="445"/>
      <c r="AC188" s="445"/>
      <c r="AD188" s="412"/>
      <c r="AE188" s="412"/>
      <c r="AF188" s="412"/>
      <c r="AG188" s="412"/>
      <c r="AH188" s="412"/>
      <c r="AI188" s="412"/>
      <c r="AJ188" s="412"/>
      <c r="AK188" s="412"/>
      <c r="AL188" s="412"/>
      <c r="AM188" s="412"/>
      <c r="AN188" s="412"/>
      <c r="AO188" s="412"/>
      <c r="AP188" s="412"/>
      <c r="AQ188" s="412"/>
      <c r="AR188" s="412"/>
      <c r="AS188" s="412"/>
      <c r="AT188" s="412"/>
      <c r="AU188" s="412"/>
      <c r="AV188" s="412"/>
      <c r="AW188" s="412"/>
      <c r="AX188" s="449"/>
    </row>
    <row r="189" spans="2:50" x14ac:dyDescent="0.2">
      <c r="B189" s="412"/>
      <c r="C189" s="412"/>
      <c r="D189" s="412"/>
      <c r="E189" s="412"/>
      <c r="F189" s="412"/>
      <c r="G189" s="412"/>
      <c r="H189" s="412"/>
      <c r="I189" s="412"/>
      <c r="J189" s="412"/>
      <c r="K189" s="412"/>
      <c r="L189" s="412"/>
      <c r="M189" s="412"/>
      <c r="N189" s="412"/>
      <c r="O189" s="412"/>
      <c r="P189" s="412"/>
      <c r="Q189" s="412"/>
      <c r="R189" s="412"/>
      <c r="S189" s="445"/>
      <c r="T189" s="445"/>
      <c r="U189" s="445"/>
      <c r="V189" s="445"/>
      <c r="W189" s="445"/>
      <c r="X189" s="445"/>
      <c r="Y189" s="445"/>
      <c r="Z189" s="445"/>
      <c r="AA189" s="445"/>
      <c r="AB189" s="445"/>
      <c r="AC189" s="445"/>
      <c r="AD189" s="412"/>
      <c r="AE189" s="412"/>
      <c r="AF189" s="412"/>
      <c r="AG189" s="412"/>
      <c r="AH189" s="412"/>
      <c r="AI189" s="412"/>
      <c r="AJ189" s="412"/>
      <c r="AK189" s="412"/>
      <c r="AL189" s="412"/>
      <c r="AM189" s="412"/>
      <c r="AN189" s="412"/>
      <c r="AO189" s="412"/>
      <c r="AP189" s="412"/>
      <c r="AQ189" s="412"/>
      <c r="AR189" s="412"/>
      <c r="AS189" s="412"/>
      <c r="AT189" s="412"/>
      <c r="AU189" s="412"/>
      <c r="AV189" s="412"/>
      <c r="AW189" s="412"/>
      <c r="AX189" s="449"/>
    </row>
    <row r="190" spans="2:50" x14ac:dyDescent="0.2">
      <c r="B190" s="412"/>
      <c r="C190" s="412"/>
      <c r="D190" s="412"/>
      <c r="E190" s="412"/>
      <c r="F190" s="412"/>
      <c r="G190" s="412"/>
      <c r="H190" s="412"/>
      <c r="I190" s="412"/>
      <c r="J190" s="412"/>
      <c r="K190" s="412"/>
      <c r="L190" s="412"/>
      <c r="M190" s="412"/>
      <c r="N190" s="412"/>
      <c r="O190" s="412"/>
      <c r="P190" s="412"/>
      <c r="Q190" s="412"/>
      <c r="R190" s="412"/>
      <c r="S190" s="445"/>
      <c r="T190" s="445"/>
      <c r="U190" s="445"/>
      <c r="V190" s="445"/>
      <c r="W190" s="445"/>
      <c r="X190" s="445"/>
      <c r="Y190" s="445"/>
      <c r="Z190" s="445"/>
      <c r="AA190" s="445"/>
      <c r="AB190" s="445"/>
      <c r="AC190" s="445"/>
      <c r="AD190" s="412"/>
      <c r="AE190" s="412"/>
      <c r="AF190" s="412"/>
      <c r="AG190" s="412"/>
      <c r="AH190" s="412"/>
      <c r="AI190" s="412"/>
      <c r="AJ190" s="412"/>
      <c r="AK190" s="412"/>
      <c r="AL190" s="412"/>
      <c r="AM190" s="412"/>
      <c r="AN190" s="412"/>
      <c r="AO190" s="412"/>
      <c r="AP190" s="412"/>
      <c r="AQ190" s="412"/>
      <c r="AR190" s="412"/>
      <c r="AS190" s="412"/>
      <c r="AT190" s="412"/>
      <c r="AU190" s="412"/>
      <c r="AV190" s="412"/>
      <c r="AW190" s="412"/>
      <c r="AX190" s="449"/>
    </row>
    <row r="191" spans="2:50" x14ac:dyDescent="0.2">
      <c r="B191" s="412"/>
      <c r="C191" s="412"/>
      <c r="D191" s="412"/>
      <c r="E191" s="412"/>
      <c r="F191" s="412"/>
      <c r="G191" s="412"/>
      <c r="H191" s="412"/>
      <c r="I191" s="412"/>
      <c r="J191" s="412"/>
      <c r="K191" s="412"/>
      <c r="L191" s="412"/>
      <c r="M191" s="412"/>
      <c r="N191" s="412"/>
      <c r="O191" s="412"/>
      <c r="P191" s="412"/>
      <c r="Q191" s="412"/>
      <c r="R191" s="412"/>
      <c r="S191" s="445"/>
      <c r="T191" s="445"/>
      <c r="U191" s="445"/>
      <c r="V191" s="445"/>
      <c r="W191" s="445"/>
      <c r="X191" s="445"/>
      <c r="Y191" s="445"/>
      <c r="Z191" s="445"/>
      <c r="AA191" s="445"/>
      <c r="AB191" s="445"/>
      <c r="AC191" s="445"/>
      <c r="AD191" s="412"/>
      <c r="AE191" s="412"/>
      <c r="AF191" s="412"/>
      <c r="AG191" s="412"/>
      <c r="AH191" s="412"/>
      <c r="AI191" s="412"/>
      <c r="AJ191" s="412"/>
      <c r="AK191" s="412"/>
      <c r="AL191" s="412"/>
      <c r="AM191" s="412"/>
      <c r="AN191" s="412"/>
      <c r="AO191" s="412"/>
      <c r="AP191" s="412"/>
      <c r="AQ191" s="412"/>
      <c r="AR191" s="412"/>
      <c r="AS191" s="412"/>
      <c r="AT191" s="412"/>
      <c r="AU191" s="412"/>
      <c r="AV191" s="412"/>
      <c r="AW191" s="412"/>
      <c r="AX191" s="449"/>
    </row>
    <row r="192" spans="2:50" x14ac:dyDescent="0.2">
      <c r="B192" s="412"/>
      <c r="C192" s="412"/>
      <c r="D192" s="412"/>
      <c r="E192" s="412"/>
      <c r="F192" s="412"/>
      <c r="G192" s="412"/>
      <c r="H192" s="412"/>
      <c r="I192" s="412"/>
      <c r="J192" s="412"/>
      <c r="K192" s="412"/>
      <c r="L192" s="412"/>
      <c r="M192" s="412"/>
      <c r="N192" s="412"/>
      <c r="O192" s="412"/>
      <c r="P192" s="412"/>
      <c r="Q192" s="412"/>
      <c r="R192" s="412"/>
      <c r="S192" s="445"/>
      <c r="T192" s="445"/>
      <c r="U192" s="445"/>
      <c r="V192" s="445"/>
      <c r="W192" s="445"/>
      <c r="X192" s="445"/>
      <c r="Y192" s="445"/>
      <c r="Z192" s="445"/>
      <c r="AA192" s="445"/>
      <c r="AB192" s="445"/>
      <c r="AC192" s="445"/>
      <c r="AD192" s="412"/>
      <c r="AE192" s="412"/>
      <c r="AF192" s="412"/>
      <c r="AG192" s="412"/>
      <c r="AH192" s="412"/>
      <c r="AI192" s="412"/>
      <c r="AJ192" s="412"/>
      <c r="AK192" s="412"/>
      <c r="AL192" s="412"/>
      <c r="AM192" s="412"/>
      <c r="AN192" s="412"/>
      <c r="AO192" s="412"/>
      <c r="AP192" s="412"/>
      <c r="AQ192" s="412"/>
      <c r="AR192" s="412"/>
      <c r="AS192" s="412"/>
      <c r="AT192" s="412"/>
      <c r="AU192" s="412"/>
      <c r="AV192" s="412"/>
      <c r="AW192" s="412"/>
      <c r="AX192" s="449"/>
    </row>
    <row r="193" spans="2:50" x14ac:dyDescent="0.2">
      <c r="B193" s="412"/>
      <c r="C193" s="412"/>
      <c r="D193" s="412"/>
      <c r="E193" s="412"/>
      <c r="F193" s="412"/>
      <c r="G193" s="412"/>
      <c r="H193" s="412"/>
      <c r="I193" s="412"/>
      <c r="J193" s="412"/>
      <c r="K193" s="412"/>
      <c r="L193" s="412"/>
      <c r="M193" s="412"/>
      <c r="N193" s="412"/>
      <c r="O193" s="412"/>
      <c r="P193" s="412"/>
      <c r="Q193" s="412"/>
      <c r="R193" s="412"/>
      <c r="S193" s="445"/>
      <c r="T193" s="445"/>
      <c r="U193" s="445"/>
      <c r="V193" s="445"/>
      <c r="W193" s="445"/>
      <c r="X193" s="445"/>
      <c r="Y193" s="445"/>
      <c r="Z193" s="445"/>
      <c r="AA193" s="445"/>
      <c r="AB193" s="445"/>
      <c r="AC193" s="445"/>
      <c r="AD193" s="412"/>
      <c r="AE193" s="412"/>
      <c r="AF193" s="412"/>
      <c r="AG193" s="412"/>
      <c r="AH193" s="412"/>
      <c r="AI193" s="412"/>
      <c r="AJ193" s="412"/>
      <c r="AK193" s="412"/>
      <c r="AL193" s="412"/>
      <c r="AM193" s="412"/>
      <c r="AN193" s="412"/>
      <c r="AO193" s="412"/>
      <c r="AP193" s="412"/>
      <c r="AQ193" s="412"/>
      <c r="AR193" s="412"/>
      <c r="AS193" s="412"/>
      <c r="AT193" s="412"/>
      <c r="AU193" s="412"/>
      <c r="AV193" s="412"/>
      <c r="AW193" s="412"/>
      <c r="AX193" s="449"/>
    </row>
    <row r="194" spans="2:50" x14ac:dyDescent="0.2">
      <c r="B194" s="412"/>
      <c r="C194" s="412"/>
      <c r="D194" s="412"/>
      <c r="E194" s="412"/>
      <c r="F194" s="412"/>
      <c r="G194" s="412"/>
      <c r="H194" s="412"/>
      <c r="I194" s="412"/>
      <c r="J194" s="412"/>
      <c r="K194" s="412"/>
      <c r="L194" s="412"/>
      <c r="M194" s="412"/>
      <c r="N194" s="412"/>
      <c r="O194" s="412"/>
      <c r="P194" s="412"/>
      <c r="Q194" s="412"/>
      <c r="R194" s="412"/>
      <c r="S194" s="445"/>
      <c r="T194" s="445"/>
      <c r="U194" s="445"/>
      <c r="V194" s="445"/>
      <c r="W194" s="445"/>
      <c r="X194" s="445"/>
      <c r="Y194" s="445"/>
      <c r="Z194" s="445"/>
      <c r="AA194" s="445"/>
      <c r="AB194" s="445"/>
      <c r="AC194" s="445"/>
      <c r="AD194" s="412"/>
      <c r="AE194" s="412"/>
      <c r="AF194" s="412"/>
      <c r="AG194" s="412"/>
      <c r="AH194" s="412"/>
      <c r="AI194" s="412"/>
      <c r="AJ194" s="412"/>
      <c r="AK194" s="412"/>
      <c r="AL194" s="412"/>
      <c r="AM194" s="412"/>
      <c r="AN194" s="412"/>
      <c r="AO194" s="412"/>
      <c r="AP194" s="412"/>
      <c r="AQ194" s="412"/>
      <c r="AR194" s="412"/>
      <c r="AS194" s="412"/>
      <c r="AT194" s="412"/>
      <c r="AU194" s="412"/>
      <c r="AV194" s="412"/>
      <c r="AW194" s="412"/>
      <c r="AX194" s="449"/>
    </row>
    <row r="195" spans="2:50" x14ac:dyDescent="0.2">
      <c r="B195" s="412"/>
      <c r="C195" s="412"/>
      <c r="D195" s="412"/>
      <c r="E195" s="412"/>
      <c r="F195" s="412"/>
      <c r="G195" s="412"/>
      <c r="H195" s="412"/>
      <c r="I195" s="412"/>
      <c r="J195" s="412"/>
      <c r="K195" s="412"/>
      <c r="L195" s="412"/>
      <c r="M195" s="412"/>
      <c r="N195" s="412"/>
      <c r="O195" s="412"/>
      <c r="P195" s="412"/>
      <c r="Q195" s="412"/>
      <c r="R195" s="412"/>
      <c r="S195" s="445"/>
      <c r="T195" s="445"/>
      <c r="U195" s="445"/>
      <c r="V195" s="445"/>
      <c r="W195" s="445"/>
      <c r="X195" s="445"/>
      <c r="Y195" s="445"/>
      <c r="Z195" s="445"/>
      <c r="AA195" s="445"/>
      <c r="AB195" s="445"/>
      <c r="AC195" s="445"/>
      <c r="AD195" s="412"/>
      <c r="AE195" s="412"/>
      <c r="AF195" s="412"/>
      <c r="AG195" s="412"/>
      <c r="AH195" s="412"/>
      <c r="AI195" s="412"/>
      <c r="AJ195" s="412"/>
      <c r="AK195" s="412"/>
      <c r="AL195" s="412"/>
      <c r="AM195" s="412"/>
      <c r="AN195" s="412"/>
      <c r="AO195" s="412"/>
      <c r="AP195" s="412"/>
      <c r="AQ195" s="412"/>
      <c r="AR195" s="412"/>
      <c r="AS195" s="412"/>
      <c r="AT195" s="412"/>
      <c r="AU195" s="412"/>
      <c r="AV195" s="412"/>
      <c r="AW195" s="412"/>
      <c r="AX195" s="449"/>
    </row>
    <row r="196" spans="2:50" x14ac:dyDescent="0.2">
      <c r="B196" s="412"/>
      <c r="C196" s="412"/>
      <c r="D196" s="412"/>
      <c r="E196" s="412"/>
      <c r="F196" s="412"/>
      <c r="G196" s="412"/>
      <c r="H196" s="412"/>
      <c r="I196" s="412"/>
      <c r="J196" s="412"/>
      <c r="K196" s="412"/>
      <c r="L196" s="412"/>
      <c r="M196" s="412"/>
      <c r="N196" s="412"/>
      <c r="O196" s="412"/>
      <c r="P196" s="412"/>
      <c r="Q196" s="412"/>
      <c r="R196" s="412"/>
      <c r="S196" s="445"/>
      <c r="T196" s="445"/>
      <c r="U196" s="445"/>
      <c r="V196" s="445"/>
      <c r="W196" s="445"/>
      <c r="X196" s="445"/>
      <c r="Y196" s="445"/>
      <c r="Z196" s="445"/>
      <c r="AA196" s="445"/>
      <c r="AB196" s="445"/>
      <c r="AC196" s="445"/>
      <c r="AD196" s="412"/>
      <c r="AE196" s="412"/>
      <c r="AF196" s="412"/>
      <c r="AG196" s="412"/>
      <c r="AH196" s="412"/>
      <c r="AI196" s="412"/>
      <c r="AJ196" s="412"/>
      <c r="AK196" s="412"/>
      <c r="AL196" s="412"/>
      <c r="AM196" s="412"/>
      <c r="AN196" s="412"/>
      <c r="AO196" s="412"/>
      <c r="AP196" s="412"/>
      <c r="AQ196" s="412"/>
      <c r="AR196" s="412"/>
      <c r="AS196" s="412"/>
      <c r="AT196" s="412"/>
      <c r="AU196" s="412"/>
      <c r="AV196" s="412"/>
      <c r="AW196" s="412"/>
      <c r="AX196" s="449"/>
    </row>
    <row r="197" spans="2:50" x14ac:dyDescent="0.2">
      <c r="B197" s="412"/>
      <c r="C197" s="412"/>
      <c r="D197" s="412"/>
      <c r="E197" s="412"/>
      <c r="F197" s="412"/>
      <c r="G197" s="412"/>
      <c r="H197" s="412"/>
      <c r="I197" s="412"/>
      <c r="J197" s="412"/>
      <c r="K197" s="412"/>
      <c r="L197" s="412"/>
      <c r="M197" s="412"/>
      <c r="N197" s="412"/>
      <c r="O197" s="412"/>
      <c r="P197" s="412"/>
      <c r="Q197" s="412"/>
      <c r="R197" s="412"/>
      <c r="S197" s="445"/>
      <c r="T197" s="445"/>
      <c r="U197" s="445"/>
      <c r="V197" s="445"/>
      <c r="W197" s="445"/>
      <c r="X197" s="445"/>
      <c r="Y197" s="445"/>
      <c r="Z197" s="445"/>
      <c r="AA197" s="445"/>
      <c r="AB197" s="445"/>
      <c r="AC197" s="445"/>
      <c r="AD197" s="412"/>
      <c r="AE197" s="412"/>
      <c r="AF197" s="412"/>
      <c r="AG197" s="412"/>
      <c r="AH197" s="412"/>
      <c r="AI197" s="412"/>
      <c r="AJ197" s="412"/>
      <c r="AK197" s="412"/>
      <c r="AL197" s="412"/>
      <c r="AM197" s="412"/>
      <c r="AN197" s="412"/>
      <c r="AO197" s="412"/>
      <c r="AP197" s="412"/>
      <c r="AQ197" s="412"/>
      <c r="AR197" s="412"/>
      <c r="AS197" s="412"/>
      <c r="AT197" s="412"/>
      <c r="AU197" s="412"/>
      <c r="AV197" s="412"/>
      <c r="AW197" s="412"/>
      <c r="AX197" s="449"/>
    </row>
    <row r="198" spans="2:50" x14ac:dyDescent="0.2">
      <c r="B198" s="412"/>
      <c r="C198" s="412"/>
      <c r="D198" s="412"/>
      <c r="E198" s="412"/>
      <c r="F198" s="412"/>
      <c r="G198" s="412"/>
      <c r="H198" s="412"/>
      <c r="I198" s="412"/>
      <c r="J198" s="412"/>
      <c r="K198" s="412"/>
      <c r="L198" s="412"/>
      <c r="M198" s="412"/>
      <c r="N198" s="412"/>
      <c r="O198" s="412"/>
      <c r="P198" s="412"/>
      <c r="Q198" s="412"/>
      <c r="R198" s="412"/>
      <c r="S198" s="445"/>
      <c r="T198" s="445"/>
      <c r="U198" s="445"/>
      <c r="V198" s="445"/>
      <c r="W198" s="445"/>
      <c r="X198" s="445"/>
      <c r="Y198" s="445"/>
      <c r="Z198" s="445"/>
      <c r="AA198" s="445"/>
      <c r="AB198" s="445"/>
      <c r="AC198" s="445"/>
      <c r="AD198" s="412"/>
      <c r="AE198" s="412"/>
      <c r="AF198" s="412"/>
      <c r="AG198" s="412"/>
      <c r="AH198" s="412"/>
      <c r="AI198" s="412"/>
      <c r="AJ198" s="412"/>
      <c r="AK198" s="412"/>
      <c r="AL198" s="412"/>
      <c r="AM198" s="412"/>
      <c r="AN198" s="412"/>
      <c r="AO198" s="412"/>
      <c r="AP198" s="412"/>
      <c r="AQ198" s="412"/>
      <c r="AR198" s="412"/>
      <c r="AS198" s="412"/>
      <c r="AT198" s="412"/>
      <c r="AU198" s="412"/>
      <c r="AV198" s="412"/>
      <c r="AW198" s="412"/>
      <c r="AX198" s="449"/>
    </row>
    <row r="199" spans="2:50" x14ac:dyDescent="0.2">
      <c r="B199" s="412"/>
      <c r="C199" s="412"/>
      <c r="D199" s="412"/>
      <c r="E199" s="412"/>
      <c r="F199" s="412"/>
      <c r="G199" s="412"/>
      <c r="H199" s="412"/>
      <c r="I199" s="412"/>
      <c r="J199" s="412"/>
      <c r="K199" s="412"/>
      <c r="L199" s="412"/>
      <c r="M199" s="412"/>
      <c r="N199" s="412"/>
      <c r="O199" s="412"/>
      <c r="P199" s="412"/>
      <c r="Q199" s="412"/>
      <c r="R199" s="412"/>
      <c r="S199" s="445"/>
      <c r="T199" s="445"/>
      <c r="U199" s="445"/>
      <c r="V199" s="445"/>
      <c r="W199" s="445"/>
      <c r="X199" s="445"/>
      <c r="Y199" s="445"/>
      <c r="Z199" s="445"/>
      <c r="AA199" s="445"/>
      <c r="AB199" s="445"/>
      <c r="AC199" s="445"/>
      <c r="AD199" s="412"/>
      <c r="AE199" s="412"/>
      <c r="AF199" s="412"/>
      <c r="AG199" s="412"/>
      <c r="AH199" s="412"/>
      <c r="AI199" s="412"/>
      <c r="AJ199" s="412"/>
      <c r="AK199" s="412"/>
      <c r="AL199" s="412"/>
      <c r="AM199" s="412"/>
      <c r="AN199" s="412"/>
      <c r="AO199" s="412"/>
      <c r="AP199" s="412"/>
      <c r="AQ199" s="412"/>
      <c r="AR199" s="412"/>
      <c r="AS199" s="412"/>
      <c r="AT199" s="412"/>
      <c r="AU199" s="412"/>
      <c r="AV199" s="412"/>
      <c r="AW199" s="412"/>
      <c r="AX199" s="449"/>
    </row>
    <row r="200" spans="2:50" x14ac:dyDescent="0.2">
      <c r="B200" s="412"/>
      <c r="C200" s="412"/>
      <c r="D200" s="412"/>
      <c r="E200" s="412"/>
      <c r="F200" s="412"/>
      <c r="G200" s="412"/>
      <c r="H200" s="412"/>
      <c r="I200" s="412"/>
      <c r="J200" s="412"/>
      <c r="K200" s="412"/>
      <c r="L200" s="412"/>
      <c r="M200" s="412"/>
      <c r="N200" s="412"/>
      <c r="O200" s="412"/>
      <c r="P200" s="412"/>
      <c r="Q200" s="412"/>
      <c r="R200" s="412"/>
      <c r="S200" s="445"/>
      <c r="T200" s="445"/>
      <c r="U200" s="445"/>
      <c r="V200" s="445"/>
      <c r="W200" s="445"/>
      <c r="X200" s="445"/>
      <c r="Y200" s="445"/>
      <c r="Z200" s="445"/>
      <c r="AA200" s="445"/>
      <c r="AB200" s="445"/>
      <c r="AC200" s="445"/>
      <c r="AD200" s="412"/>
      <c r="AE200" s="412"/>
      <c r="AF200" s="412"/>
      <c r="AG200" s="412"/>
      <c r="AH200" s="412"/>
      <c r="AI200" s="412"/>
      <c r="AJ200" s="412"/>
      <c r="AK200" s="412"/>
      <c r="AL200" s="412"/>
      <c r="AM200" s="412"/>
      <c r="AN200" s="412"/>
      <c r="AO200" s="412"/>
      <c r="AP200" s="412"/>
      <c r="AQ200" s="412"/>
      <c r="AR200" s="412"/>
      <c r="AS200" s="412"/>
      <c r="AT200" s="412"/>
      <c r="AU200" s="412"/>
      <c r="AV200" s="412"/>
      <c r="AW200" s="412"/>
      <c r="AX200" s="449"/>
    </row>
    <row r="201" spans="2:50" x14ac:dyDescent="0.2">
      <c r="B201" s="412"/>
      <c r="C201" s="412"/>
      <c r="D201" s="412"/>
      <c r="E201" s="412"/>
      <c r="F201" s="412"/>
      <c r="G201" s="412"/>
      <c r="H201" s="412"/>
      <c r="I201" s="412"/>
      <c r="J201" s="412"/>
      <c r="K201" s="412"/>
      <c r="L201" s="412"/>
      <c r="M201" s="412"/>
      <c r="N201" s="412"/>
      <c r="O201" s="412"/>
      <c r="P201" s="412"/>
      <c r="Q201" s="412"/>
      <c r="R201" s="412"/>
      <c r="S201" s="445"/>
      <c r="T201" s="445"/>
      <c r="U201" s="445"/>
      <c r="V201" s="445"/>
      <c r="W201" s="445"/>
      <c r="X201" s="445"/>
      <c r="Y201" s="445"/>
      <c r="Z201" s="445"/>
      <c r="AA201" s="445"/>
      <c r="AB201" s="445"/>
      <c r="AC201" s="445"/>
      <c r="AD201" s="412"/>
      <c r="AE201" s="412"/>
      <c r="AF201" s="412"/>
      <c r="AG201" s="412"/>
      <c r="AH201" s="412"/>
      <c r="AI201" s="412"/>
      <c r="AJ201" s="412"/>
      <c r="AK201" s="412"/>
      <c r="AL201" s="412"/>
      <c r="AM201" s="412"/>
      <c r="AN201" s="412"/>
      <c r="AO201" s="412"/>
      <c r="AP201" s="412"/>
      <c r="AQ201" s="412"/>
      <c r="AR201" s="412"/>
      <c r="AS201" s="412"/>
      <c r="AT201" s="412"/>
      <c r="AU201" s="412"/>
      <c r="AV201" s="412"/>
      <c r="AW201" s="412"/>
      <c r="AX201" s="449"/>
    </row>
    <row r="202" spans="2:50" x14ac:dyDescent="0.2">
      <c r="B202" s="412"/>
      <c r="C202" s="412"/>
      <c r="D202" s="412"/>
      <c r="E202" s="412"/>
      <c r="F202" s="412"/>
      <c r="G202" s="412"/>
      <c r="H202" s="412"/>
      <c r="I202" s="412"/>
      <c r="J202" s="412"/>
      <c r="K202" s="412"/>
      <c r="L202" s="412"/>
      <c r="M202" s="412"/>
      <c r="N202" s="412"/>
      <c r="O202" s="412"/>
      <c r="P202" s="412"/>
      <c r="Q202" s="412"/>
      <c r="R202" s="412"/>
      <c r="S202" s="445"/>
      <c r="T202" s="445"/>
      <c r="U202" s="445"/>
      <c r="V202" s="445"/>
      <c r="W202" s="445"/>
      <c r="X202" s="445"/>
      <c r="Y202" s="445"/>
      <c r="Z202" s="445"/>
      <c r="AA202" s="445"/>
      <c r="AB202" s="445"/>
      <c r="AC202" s="445"/>
      <c r="AD202" s="412"/>
      <c r="AE202" s="412"/>
      <c r="AF202" s="412"/>
      <c r="AG202" s="412"/>
      <c r="AH202" s="412"/>
      <c r="AI202" s="412"/>
      <c r="AJ202" s="412"/>
      <c r="AK202" s="412"/>
      <c r="AL202" s="412"/>
      <c r="AM202" s="412"/>
      <c r="AN202" s="412"/>
      <c r="AO202" s="412"/>
      <c r="AP202" s="412"/>
      <c r="AQ202" s="412"/>
      <c r="AR202" s="412"/>
      <c r="AS202" s="412"/>
      <c r="AT202" s="412"/>
      <c r="AU202" s="412"/>
      <c r="AV202" s="412"/>
      <c r="AW202" s="412"/>
      <c r="AX202" s="449"/>
    </row>
    <row r="203" spans="2:50" x14ac:dyDescent="0.2">
      <c r="B203" s="412"/>
      <c r="C203" s="412"/>
      <c r="D203" s="412"/>
      <c r="E203" s="412"/>
      <c r="F203" s="412"/>
      <c r="G203" s="412"/>
      <c r="H203" s="412"/>
      <c r="I203" s="412"/>
      <c r="J203" s="412"/>
      <c r="K203" s="412"/>
      <c r="L203" s="412"/>
      <c r="M203" s="412"/>
      <c r="N203" s="412"/>
      <c r="O203" s="412"/>
      <c r="P203" s="412"/>
      <c r="Q203" s="412"/>
      <c r="R203" s="412"/>
      <c r="S203" s="445"/>
      <c r="T203" s="445"/>
      <c r="U203" s="445"/>
      <c r="V203" s="445"/>
      <c r="W203" s="445"/>
      <c r="X203" s="445"/>
      <c r="Y203" s="445"/>
      <c r="Z203" s="445"/>
      <c r="AA203" s="445"/>
      <c r="AB203" s="445"/>
      <c r="AC203" s="445"/>
      <c r="AD203" s="412"/>
      <c r="AE203" s="412"/>
      <c r="AF203" s="412"/>
      <c r="AG203" s="412"/>
      <c r="AH203" s="412"/>
      <c r="AI203" s="412"/>
      <c r="AJ203" s="412"/>
      <c r="AK203" s="412"/>
      <c r="AL203" s="412"/>
      <c r="AM203" s="412"/>
      <c r="AN203" s="412"/>
      <c r="AO203" s="412"/>
      <c r="AP203" s="412"/>
      <c r="AQ203" s="412"/>
      <c r="AR203" s="412"/>
      <c r="AS203" s="412"/>
      <c r="AT203" s="412"/>
      <c r="AU203" s="412"/>
      <c r="AV203" s="412"/>
      <c r="AW203" s="412"/>
      <c r="AX203" s="449"/>
    </row>
    <row r="204" spans="2:50" x14ac:dyDescent="0.2">
      <c r="B204" s="412"/>
      <c r="C204" s="412"/>
      <c r="D204" s="412"/>
      <c r="E204" s="412"/>
      <c r="F204" s="412"/>
      <c r="G204" s="412"/>
      <c r="H204" s="412"/>
      <c r="I204" s="412"/>
      <c r="J204" s="412"/>
      <c r="K204" s="412"/>
      <c r="L204" s="412"/>
      <c r="M204" s="412"/>
      <c r="N204" s="412"/>
      <c r="O204" s="412"/>
      <c r="P204" s="412"/>
      <c r="Q204" s="412"/>
      <c r="R204" s="412"/>
      <c r="S204" s="445"/>
      <c r="T204" s="445"/>
      <c r="U204" s="445"/>
      <c r="V204" s="445"/>
      <c r="W204" s="445"/>
      <c r="X204" s="445"/>
      <c r="Y204" s="445"/>
      <c r="Z204" s="445"/>
      <c r="AA204" s="445"/>
      <c r="AB204" s="445"/>
      <c r="AC204" s="445"/>
      <c r="AD204" s="412"/>
      <c r="AE204" s="412"/>
      <c r="AF204" s="412"/>
      <c r="AG204" s="412"/>
      <c r="AH204" s="412"/>
      <c r="AI204" s="412"/>
      <c r="AJ204" s="412"/>
      <c r="AK204" s="412"/>
      <c r="AL204" s="412"/>
      <c r="AM204" s="412"/>
      <c r="AN204" s="412"/>
      <c r="AO204" s="412"/>
      <c r="AP204" s="412"/>
      <c r="AQ204" s="412"/>
      <c r="AR204" s="412"/>
      <c r="AS204" s="412"/>
      <c r="AT204" s="412"/>
      <c r="AU204" s="412"/>
      <c r="AV204" s="412"/>
      <c r="AW204" s="412"/>
      <c r="AX204" s="449"/>
    </row>
    <row r="205" spans="2:50" x14ac:dyDescent="0.2">
      <c r="B205" s="412"/>
      <c r="C205" s="412"/>
      <c r="D205" s="412"/>
      <c r="E205" s="412"/>
      <c r="F205" s="412"/>
      <c r="G205" s="412"/>
      <c r="H205" s="412"/>
      <c r="I205" s="412"/>
      <c r="J205" s="412"/>
      <c r="K205" s="412"/>
      <c r="L205" s="412"/>
      <c r="M205" s="412"/>
      <c r="N205" s="412"/>
      <c r="O205" s="412"/>
      <c r="P205" s="412"/>
      <c r="Q205" s="412"/>
      <c r="R205" s="412"/>
      <c r="S205" s="445"/>
      <c r="T205" s="445"/>
      <c r="U205" s="445"/>
      <c r="V205" s="445"/>
      <c r="W205" s="445"/>
      <c r="X205" s="445"/>
      <c r="Y205" s="445"/>
      <c r="Z205" s="445"/>
      <c r="AA205" s="445"/>
      <c r="AB205" s="445"/>
      <c r="AC205" s="445"/>
      <c r="AD205" s="412"/>
      <c r="AE205" s="412"/>
      <c r="AF205" s="412"/>
      <c r="AG205" s="412"/>
      <c r="AH205" s="412"/>
      <c r="AI205" s="412"/>
      <c r="AJ205" s="412"/>
      <c r="AK205" s="412"/>
      <c r="AL205" s="412"/>
      <c r="AM205" s="412"/>
      <c r="AN205" s="412"/>
      <c r="AO205" s="412"/>
      <c r="AP205" s="412"/>
      <c r="AQ205" s="412"/>
      <c r="AR205" s="412"/>
      <c r="AS205" s="412"/>
      <c r="AT205" s="412"/>
      <c r="AU205" s="412"/>
      <c r="AV205" s="412"/>
      <c r="AW205" s="412"/>
      <c r="AX205" s="449"/>
    </row>
    <row r="206" spans="2:50" x14ac:dyDescent="0.2">
      <c r="B206" s="412"/>
      <c r="C206" s="412"/>
      <c r="D206" s="412"/>
      <c r="E206" s="412"/>
      <c r="F206" s="412"/>
      <c r="G206" s="412"/>
      <c r="H206" s="412"/>
      <c r="I206" s="412"/>
      <c r="J206" s="412"/>
      <c r="K206" s="412"/>
      <c r="L206" s="412"/>
      <c r="M206" s="412"/>
      <c r="N206" s="412"/>
      <c r="O206" s="412"/>
      <c r="P206" s="412"/>
      <c r="Q206" s="412"/>
      <c r="R206" s="412"/>
      <c r="S206" s="445"/>
      <c r="T206" s="445"/>
      <c r="U206" s="445"/>
      <c r="V206" s="445"/>
      <c r="W206" s="445"/>
      <c r="X206" s="445"/>
      <c r="Y206" s="445"/>
      <c r="Z206" s="445"/>
      <c r="AA206" s="445"/>
      <c r="AB206" s="445"/>
      <c r="AC206" s="445"/>
      <c r="AD206" s="412"/>
      <c r="AE206" s="412"/>
      <c r="AF206" s="412"/>
      <c r="AG206" s="412"/>
      <c r="AH206" s="412"/>
      <c r="AI206" s="412"/>
      <c r="AJ206" s="412"/>
      <c r="AK206" s="412"/>
      <c r="AL206" s="412"/>
      <c r="AM206" s="412"/>
      <c r="AN206" s="412"/>
      <c r="AO206" s="412"/>
      <c r="AP206" s="412"/>
      <c r="AQ206" s="412"/>
      <c r="AR206" s="412"/>
      <c r="AS206" s="412"/>
      <c r="AT206" s="412"/>
      <c r="AU206" s="412"/>
      <c r="AV206" s="412"/>
      <c r="AW206" s="412"/>
      <c r="AX206" s="449"/>
    </row>
    <row r="207" spans="2:50" x14ac:dyDescent="0.2">
      <c r="B207" s="412"/>
      <c r="C207" s="412"/>
      <c r="D207" s="412"/>
      <c r="E207" s="412"/>
      <c r="F207" s="412"/>
      <c r="G207" s="412"/>
      <c r="H207" s="412"/>
      <c r="I207" s="412"/>
      <c r="J207" s="412"/>
      <c r="K207" s="412"/>
      <c r="L207" s="412"/>
      <c r="M207" s="412"/>
      <c r="N207" s="412"/>
      <c r="O207" s="412"/>
      <c r="P207" s="412"/>
      <c r="Q207" s="412"/>
      <c r="R207" s="412"/>
      <c r="S207" s="445"/>
      <c r="T207" s="445"/>
      <c r="U207" s="445"/>
      <c r="V207" s="445"/>
      <c r="W207" s="445"/>
      <c r="X207" s="445"/>
      <c r="Y207" s="445"/>
      <c r="Z207" s="445"/>
      <c r="AA207" s="445"/>
      <c r="AB207" s="445"/>
      <c r="AC207" s="445"/>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49"/>
    </row>
    <row r="208" spans="2:50" x14ac:dyDescent="0.2">
      <c r="B208" s="412"/>
      <c r="C208" s="412"/>
      <c r="D208" s="412"/>
      <c r="E208" s="412"/>
      <c r="F208" s="412"/>
      <c r="G208" s="412"/>
      <c r="H208" s="412"/>
      <c r="I208" s="412"/>
      <c r="J208" s="412"/>
      <c r="K208" s="412"/>
      <c r="L208" s="412"/>
      <c r="M208" s="412"/>
      <c r="N208" s="412"/>
      <c r="O208" s="412"/>
      <c r="P208" s="412"/>
      <c r="Q208" s="412"/>
      <c r="R208" s="412"/>
      <c r="S208" s="445"/>
      <c r="T208" s="445"/>
      <c r="U208" s="445"/>
      <c r="V208" s="445"/>
      <c r="W208" s="445"/>
      <c r="X208" s="445"/>
      <c r="Y208" s="445"/>
      <c r="Z208" s="445"/>
      <c r="AA208" s="445"/>
      <c r="AB208" s="445"/>
      <c r="AC208" s="445"/>
      <c r="AD208" s="412"/>
      <c r="AE208" s="412"/>
      <c r="AF208" s="412"/>
      <c r="AG208" s="412"/>
      <c r="AH208" s="412"/>
      <c r="AI208" s="412"/>
      <c r="AJ208" s="412"/>
      <c r="AK208" s="412"/>
      <c r="AL208" s="412"/>
      <c r="AM208" s="412"/>
      <c r="AN208" s="412"/>
      <c r="AO208" s="412"/>
      <c r="AP208" s="412"/>
      <c r="AQ208" s="412"/>
      <c r="AR208" s="412"/>
      <c r="AS208" s="412"/>
      <c r="AT208" s="412"/>
      <c r="AU208" s="412"/>
      <c r="AV208" s="412"/>
      <c r="AW208" s="412"/>
      <c r="AX208" s="449"/>
    </row>
    <row r="209" spans="2:50" x14ac:dyDescent="0.2">
      <c r="B209" s="412"/>
      <c r="C209" s="412"/>
      <c r="D209" s="412"/>
      <c r="E209" s="412"/>
      <c r="F209" s="412"/>
      <c r="G209" s="412"/>
      <c r="H209" s="412"/>
      <c r="I209" s="412"/>
      <c r="J209" s="412"/>
      <c r="K209" s="412"/>
      <c r="L209" s="412"/>
      <c r="M209" s="412"/>
      <c r="N209" s="412"/>
      <c r="O209" s="412"/>
      <c r="P209" s="412"/>
      <c r="Q209" s="412"/>
      <c r="R209" s="412"/>
      <c r="S209" s="445"/>
      <c r="T209" s="445"/>
      <c r="U209" s="445"/>
      <c r="V209" s="445"/>
      <c r="W209" s="445"/>
      <c r="X209" s="445"/>
      <c r="Y209" s="445"/>
      <c r="Z209" s="445"/>
      <c r="AA209" s="445"/>
      <c r="AB209" s="445"/>
      <c r="AC209" s="445"/>
      <c r="AD209" s="412"/>
      <c r="AE209" s="412"/>
      <c r="AF209" s="412"/>
      <c r="AG209" s="412"/>
      <c r="AH209" s="412"/>
      <c r="AI209" s="412"/>
      <c r="AJ209" s="412"/>
      <c r="AK209" s="412"/>
      <c r="AL209" s="412"/>
      <c r="AM209" s="412"/>
      <c r="AN209" s="412"/>
      <c r="AO209" s="412"/>
      <c r="AP209" s="412"/>
      <c r="AQ209" s="412"/>
      <c r="AR209" s="412"/>
      <c r="AS209" s="412"/>
      <c r="AT209" s="412"/>
      <c r="AU209" s="412"/>
      <c r="AV209" s="412"/>
      <c r="AW209" s="412"/>
      <c r="AX209" s="449"/>
    </row>
    <row r="210" spans="2:50" x14ac:dyDescent="0.2">
      <c r="B210" s="412"/>
      <c r="C210" s="412"/>
      <c r="D210" s="412"/>
      <c r="E210" s="412"/>
      <c r="F210" s="412"/>
      <c r="G210" s="412"/>
      <c r="H210" s="412"/>
      <c r="I210" s="412"/>
      <c r="J210" s="412"/>
      <c r="K210" s="412"/>
      <c r="L210" s="412"/>
      <c r="M210" s="412"/>
      <c r="N210" s="412"/>
      <c r="O210" s="412"/>
      <c r="P210" s="412"/>
      <c r="Q210" s="412"/>
      <c r="R210" s="412"/>
      <c r="S210" s="445"/>
      <c r="T210" s="445"/>
      <c r="U210" s="445"/>
      <c r="V210" s="445"/>
      <c r="W210" s="445"/>
      <c r="X210" s="445"/>
      <c r="Y210" s="445"/>
      <c r="Z210" s="445"/>
      <c r="AA210" s="445"/>
      <c r="AB210" s="445"/>
      <c r="AC210" s="445"/>
      <c r="AD210" s="412"/>
      <c r="AE210" s="412"/>
      <c r="AF210" s="412"/>
      <c r="AG210" s="412"/>
      <c r="AH210" s="412"/>
      <c r="AI210" s="412"/>
      <c r="AJ210" s="412"/>
      <c r="AK210" s="412"/>
      <c r="AL210" s="412"/>
      <c r="AM210" s="412"/>
      <c r="AN210" s="412"/>
      <c r="AO210" s="412"/>
      <c r="AP210" s="412"/>
      <c r="AQ210" s="412"/>
      <c r="AR210" s="412"/>
      <c r="AS210" s="412"/>
      <c r="AT210" s="412"/>
      <c r="AU210" s="412"/>
      <c r="AV210" s="412"/>
      <c r="AW210" s="412"/>
      <c r="AX210" s="449"/>
    </row>
    <row r="211" spans="2:50" x14ac:dyDescent="0.2">
      <c r="B211" s="413"/>
      <c r="C211" s="413"/>
      <c r="D211" s="413"/>
      <c r="E211" s="413"/>
      <c r="F211" s="413"/>
      <c r="G211" s="413"/>
      <c r="H211" s="413"/>
      <c r="I211" s="413"/>
      <c r="J211" s="413"/>
      <c r="K211" s="413"/>
      <c r="L211" s="413"/>
      <c r="M211" s="413"/>
      <c r="N211" s="413"/>
      <c r="O211" s="413"/>
      <c r="P211" s="413"/>
      <c r="Q211" s="413"/>
      <c r="R211" s="413"/>
      <c r="S211" s="450"/>
      <c r="T211" s="450"/>
      <c r="U211" s="450"/>
      <c r="V211" s="450"/>
      <c r="W211" s="450"/>
      <c r="X211" s="450"/>
      <c r="Y211" s="450"/>
      <c r="Z211" s="450"/>
      <c r="AA211" s="450"/>
      <c r="AB211" s="450"/>
      <c r="AC211" s="450"/>
      <c r="AD211" s="413"/>
      <c r="AE211" s="413"/>
      <c r="AF211" s="413"/>
      <c r="AG211" s="413"/>
      <c r="AH211" s="413"/>
      <c r="AI211" s="413"/>
      <c r="AJ211" s="413"/>
      <c r="AK211" s="413"/>
      <c r="AL211" s="413"/>
      <c r="AM211" s="413"/>
      <c r="AN211" s="413"/>
      <c r="AO211" s="413"/>
      <c r="AP211" s="413"/>
      <c r="AQ211" s="413"/>
      <c r="AR211" s="413"/>
      <c r="AS211" s="413"/>
      <c r="AT211" s="413"/>
      <c r="AU211" s="413"/>
      <c r="AV211" s="413"/>
      <c r="AW211" s="413"/>
      <c r="AX211" s="451"/>
    </row>
    <row r="212" spans="2:50" x14ac:dyDescent="0.2">
      <c r="D212" s="15"/>
      <c r="E212" s="15"/>
      <c r="F212" s="15"/>
      <c r="G212" s="15"/>
      <c r="H212" s="15"/>
      <c r="I212" s="15"/>
      <c r="J212" s="15"/>
      <c r="K212" s="15"/>
      <c r="L212" s="15"/>
      <c r="M212" s="15"/>
      <c r="N212" s="15"/>
      <c r="O212" s="15"/>
      <c r="P212" s="15"/>
      <c r="Q212" s="15"/>
      <c r="R212" s="15"/>
    </row>
    <row r="213" spans="2:50" x14ac:dyDescent="0.2">
      <c r="D213" s="15"/>
      <c r="E213" s="15"/>
      <c r="F213" s="15"/>
      <c r="G213" s="15"/>
      <c r="H213" s="15"/>
      <c r="I213" s="15"/>
      <c r="J213" s="15"/>
      <c r="K213" s="15"/>
      <c r="L213" s="15"/>
      <c r="M213" s="15"/>
      <c r="N213" s="15"/>
      <c r="O213" s="15"/>
      <c r="P213" s="15"/>
      <c r="Q213" s="15"/>
      <c r="R213" s="15"/>
    </row>
    <row r="214" spans="2:50" x14ac:dyDescent="0.2">
      <c r="D214" s="15"/>
      <c r="E214" s="15"/>
      <c r="F214" s="15"/>
      <c r="G214" s="15"/>
      <c r="H214" s="15"/>
      <c r="I214" s="15"/>
      <c r="J214" s="15"/>
      <c r="K214" s="15"/>
      <c r="L214" s="15"/>
      <c r="M214" s="15"/>
      <c r="N214" s="15"/>
      <c r="O214" s="15"/>
      <c r="P214" s="15"/>
      <c r="Q214" s="15"/>
      <c r="R214" s="15"/>
    </row>
    <row r="215" spans="2:50" x14ac:dyDescent="0.2">
      <c r="D215" s="15"/>
      <c r="E215" s="15"/>
      <c r="F215" s="15"/>
      <c r="G215" s="15"/>
      <c r="H215" s="15"/>
      <c r="I215" s="15"/>
      <c r="J215" s="15"/>
      <c r="K215" s="15"/>
      <c r="L215" s="15"/>
      <c r="M215" s="15"/>
      <c r="N215" s="15"/>
      <c r="O215" s="15"/>
      <c r="P215" s="15"/>
      <c r="Q215" s="15"/>
      <c r="R215" s="15"/>
    </row>
    <row r="216" spans="2:50" x14ac:dyDescent="0.2">
      <c r="D216" s="15"/>
      <c r="E216" s="15"/>
      <c r="F216" s="15"/>
      <c r="G216" s="15"/>
      <c r="H216" s="15"/>
      <c r="I216" s="15"/>
      <c r="J216" s="15"/>
      <c r="K216" s="15"/>
      <c r="L216" s="15"/>
      <c r="M216" s="15"/>
      <c r="N216" s="15"/>
      <c r="O216" s="15"/>
      <c r="P216" s="15"/>
      <c r="Q216" s="15"/>
      <c r="R216" s="15"/>
    </row>
    <row r="217" spans="2:50" x14ac:dyDescent="0.2">
      <c r="D217" s="15"/>
      <c r="E217" s="15"/>
      <c r="F217" s="15"/>
      <c r="G217" s="15"/>
      <c r="H217" s="15"/>
      <c r="I217" s="15"/>
      <c r="J217" s="15"/>
      <c r="K217" s="15"/>
      <c r="L217" s="15"/>
      <c r="M217" s="15"/>
      <c r="N217" s="15"/>
      <c r="O217" s="15"/>
      <c r="P217" s="15"/>
      <c r="Q217" s="15"/>
      <c r="R217" s="15"/>
    </row>
    <row r="218" spans="2:50" x14ac:dyDescent="0.2">
      <c r="D218" s="15"/>
      <c r="E218" s="15"/>
      <c r="F218" s="15"/>
      <c r="G218" s="15"/>
      <c r="H218" s="15"/>
      <c r="I218" s="15"/>
      <c r="J218" s="15"/>
      <c r="K218" s="15"/>
      <c r="L218" s="15"/>
      <c r="M218" s="15"/>
      <c r="N218" s="15"/>
      <c r="O218" s="15"/>
      <c r="P218" s="15"/>
      <c r="Q218" s="15"/>
      <c r="R218" s="15"/>
    </row>
    <row r="219" spans="2:50" x14ac:dyDescent="0.2">
      <c r="D219" s="15"/>
      <c r="E219" s="15"/>
      <c r="F219" s="15"/>
      <c r="G219" s="15"/>
      <c r="H219" s="15"/>
      <c r="I219" s="15"/>
      <c r="J219" s="15"/>
      <c r="K219" s="15"/>
      <c r="L219" s="15"/>
      <c r="M219" s="15"/>
      <c r="N219" s="15"/>
      <c r="O219" s="15"/>
      <c r="P219" s="15"/>
      <c r="Q219" s="15"/>
      <c r="R219" s="15"/>
    </row>
    <row r="220" spans="2:50" x14ac:dyDescent="0.2">
      <c r="D220" s="15"/>
      <c r="E220" s="15"/>
      <c r="F220" s="15"/>
      <c r="G220" s="15"/>
      <c r="H220" s="15"/>
      <c r="I220" s="15"/>
      <c r="J220" s="15"/>
      <c r="K220" s="15"/>
      <c r="L220" s="15"/>
      <c r="M220" s="15"/>
      <c r="N220" s="15"/>
      <c r="O220" s="15"/>
      <c r="P220" s="15"/>
      <c r="Q220" s="15"/>
      <c r="R220" s="15"/>
    </row>
    <row r="221" spans="2:50" x14ac:dyDescent="0.2">
      <c r="D221" s="15"/>
      <c r="E221" s="15"/>
      <c r="F221" s="15"/>
      <c r="G221" s="15"/>
      <c r="H221" s="15"/>
      <c r="I221" s="15"/>
      <c r="J221" s="15"/>
      <c r="K221" s="15"/>
      <c r="L221" s="15"/>
      <c r="M221" s="15"/>
      <c r="N221" s="15"/>
      <c r="O221" s="15"/>
      <c r="P221" s="15"/>
      <c r="Q221" s="15"/>
      <c r="R221" s="15"/>
    </row>
    <row r="222" spans="2:50" x14ac:dyDescent="0.2">
      <c r="D222" s="15"/>
      <c r="E222" s="15"/>
      <c r="F222" s="15"/>
      <c r="G222" s="15"/>
      <c r="H222" s="15"/>
      <c r="I222" s="15"/>
      <c r="J222" s="15"/>
      <c r="K222" s="15"/>
      <c r="L222" s="15"/>
      <c r="M222" s="15"/>
      <c r="N222" s="15"/>
      <c r="O222" s="15"/>
      <c r="P222" s="15"/>
      <c r="Q222" s="15"/>
      <c r="R222" s="15"/>
    </row>
    <row r="223" spans="2:50" x14ac:dyDescent="0.2">
      <c r="D223" s="15"/>
      <c r="E223" s="15"/>
      <c r="F223" s="15"/>
      <c r="G223" s="15"/>
      <c r="H223" s="15"/>
      <c r="I223" s="15"/>
      <c r="J223" s="15"/>
      <c r="K223" s="15"/>
      <c r="L223" s="15"/>
      <c r="M223" s="15"/>
      <c r="N223" s="15"/>
      <c r="O223" s="15"/>
      <c r="P223" s="15"/>
      <c r="Q223" s="15"/>
      <c r="R223" s="15"/>
    </row>
  </sheetData>
  <sheetProtection sheet="1" objects="1" scenarios="1"/>
  <mergeCells count="23">
    <mergeCell ref="E23:F23"/>
    <mergeCell ref="E25:M25"/>
    <mergeCell ref="E21:F21"/>
    <mergeCell ref="E22:F22"/>
    <mergeCell ref="D2:R2"/>
    <mergeCell ref="E6:F6"/>
    <mergeCell ref="E8:F8"/>
    <mergeCell ref="K6:M6"/>
    <mergeCell ref="K8:M8"/>
    <mergeCell ref="E19:M19"/>
    <mergeCell ref="N17:O17"/>
    <mergeCell ref="E14:F14"/>
    <mergeCell ref="K14:M14"/>
    <mergeCell ref="N4:O4"/>
    <mergeCell ref="N12:O12"/>
    <mergeCell ref="N10:O10"/>
    <mergeCell ref="E30:F30"/>
    <mergeCell ref="E36:F36"/>
    <mergeCell ref="E34:F34"/>
    <mergeCell ref="E35:F35"/>
    <mergeCell ref="E27:F27"/>
    <mergeCell ref="E28:F28"/>
    <mergeCell ref="E29:F29"/>
  </mergeCells>
  <phoneticPr fontId="2" type="noConversion"/>
  <dataValidations count="6">
    <dataValidation type="list" allowBlank="1" showInputMessage="1" showErrorMessage="1" sqref="K35:K36 M28:M30 M22:M23 O14">
      <formula1>mesconcesion</formula1>
    </dataValidation>
    <dataValidation type="list" allowBlank="1" showInputMessage="1" showErrorMessage="1" sqref="K28:K30 K22:K23">
      <formula1>pagosaño</formula1>
    </dataValidation>
    <dataValidation type="list" allowBlank="1" showInputMessage="1" showErrorMessage="1" sqref="I28:I30">
      <formula1>plargo</formula1>
    </dataValidation>
    <dataValidation type="list" allowBlank="1" showInputMessage="1" showErrorMessage="1" sqref="N28:N30">
      <formula1>CARENCIA</formula1>
    </dataValidation>
    <dataValidation type="list" allowBlank="1" showInputMessage="1" showErrorMessage="1" sqref="I22:I23">
      <formula1>pcorto</formula1>
    </dataValidation>
    <dataValidation type="list" allowBlank="1" showInputMessage="1" showErrorMessage="1" sqref="I14">
      <formula1>SEISMESES</formula1>
    </dataValidation>
  </dataValidations>
  <printOptions horizontalCentered="1" verticalCentered="1"/>
  <pageMargins left="0.78740157480314965" right="0.78740157480314965" top="0.98425196850393704" bottom="0.98425196850393704" header="0" footer="0"/>
  <pageSetup paperSize="9" orientation="landscape" horizontalDpi="4294967292"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B1:CH266"/>
  <sheetViews>
    <sheetView showGridLines="0" showRowColHeaders="0" showOutlineSymbols="0" zoomScaleNormal="100" workbookViewId="0">
      <pane xSplit="87" ySplit="156" topLeftCell="CJ158" activePane="bottomRight" state="frozen"/>
      <selection pane="topRight" activeCell="CI1" sqref="CI1"/>
      <selection pane="bottomLeft" activeCell="A158" sqref="A158"/>
      <selection pane="bottomRight"/>
    </sheetView>
  </sheetViews>
  <sheetFormatPr baseColWidth="10" defaultRowHeight="12.75" x14ac:dyDescent="0.2"/>
  <cols>
    <col min="1" max="1" width="0" hidden="1" customWidth="1"/>
    <col min="2" max="2" width="4.140625" customWidth="1"/>
    <col min="3" max="3" width="4.140625" style="475" customWidth="1"/>
    <col min="4" max="4" width="0.85546875" customWidth="1"/>
    <col min="5" max="5" width="15.7109375" customWidth="1"/>
    <col min="6" max="6" width="10.28515625" customWidth="1"/>
    <col min="7" max="18" width="8" customWidth="1"/>
    <col min="19" max="19" width="0.85546875" style="475" customWidth="1"/>
    <col min="20" max="20" width="1.42578125" style="491" customWidth="1"/>
    <col min="21" max="30" width="4.7109375" style="491" customWidth="1"/>
    <col min="31" max="50" width="4.7109375" style="475" customWidth="1"/>
    <col min="51" max="51" width="20.7109375" style="475" customWidth="1"/>
    <col min="52" max="86" width="11.42578125" style="475"/>
  </cols>
  <sheetData>
    <row r="1" spans="3:86" s="468" customFormat="1" ht="9.9499999999999993" customHeight="1" thickBot="1" x14ac:dyDescent="0.25">
      <c r="C1" s="469"/>
      <c r="D1" s="469"/>
      <c r="E1" s="469"/>
      <c r="F1" s="469"/>
      <c r="G1" s="469"/>
      <c r="H1" s="469"/>
      <c r="I1" s="469"/>
      <c r="J1" s="469"/>
      <c r="K1" s="469"/>
      <c r="L1" s="469"/>
      <c r="M1" s="469"/>
      <c r="N1" s="469"/>
      <c r="O1" s="469"/>
      <c r="P1" s="469"/>
      <c r="Q1" s="469"/>
      <c r="R1" s="469"/>
      <c r="S1" s="469"/>
      <c r="T1" s="470"/>
      <c r="U1" s="470"/>
      <c r="V1" s="470"/>
      <c r="W1" s="470"/>
      <c r="X1" s="470"/>
      <c r="Y1" s="470"/>
      <c r="Z1" s="470"/>
      <c r="AA1" s="470"/>
      <c r="AB1" s="470"/>
      <c r="AC1" s="470"/>
      <c r="AD1" s="470"/>
      <c r="AE1" s="469"/>
      <c r="AF1" s="469"/>
      <c r="AG1" s="469"/>
      <c r="AH1" s="469"/>
      <c r="AI1" s="469"/>
      <c r="AJ1" s="469"/>
      <c r="AK1" s="469"/>
      <c r="AL1" s="469"/>
      <c r="AM1" s="469"/>
      <c r="AN1" s="469"/>
      <c r="AO1" s="469"/>
      <c r="AP1" s="469"/>
      <c r="AQ1" s="469"/>
      <c r="AR1" s="469"/>
      <c r="AS1" s="469"/>
      <c r="AT1" s="469"/>
      <c r="AU1" s="469"/>
      <c r="AV1" s="469"/>
      <c r="AW1" s="469"/>
      <c r="AX1" s="469"/>
      <c r="AY1" s="478"/>
      <c r="AZ1" s="478"/>
      <c r="BA1" s="478"/>
      <c r="BB1" s="478"/>
      <c r="BC1" s="478"/>
      <c r="BD1" s="478"/>
    </row>
    <row r="2" spans="3:86" s="46" customFormat="1" ht="30" customHeight="1" thickBot="1" x14ac:dyDescent="0.25">
      <c r="C2" s="469"/>
      <c r="D2" s="1437" t="s">
        <v>658</v>
      </c>
      <c r="E2" s="1367"/>
      <c r="F2" s="1367"/>
      <c r="G2" s="1367"/>
      <c r="H2" s="1367"/>
      <c r="I2" s="1367"/>
      <c r="J2" s="1367"/>
      <c r="K2" s="1367"/>
      <c r="L2" s="1367"/>
      <c r="M2" s="1367"/>
      <c r="N2" s="1367"/>
      <c r="O2" s="1367"/>
      <c r="P2" s="1367"/>
      <c r="Q2" s="1367"/>
      <c r="R2" s="1367"/>
      <c r="S2" s="1456"/>
      <c r="T2" s="476"/>
      <c r="U2" s="476"/>
      <c r="V2" s="476"/>
      <c r="W2" s="476"/>
      <c r="X2" s="476"/>
      <c r="Y2" s="476"/>
      <c r="Z2" s="476"/>
      <c r="AA2" s="476"/>
      <c r="AB2" s="476"/>
      <c r="AC2" s="476"/>
      <c r="AD2" s="476"/>
      <c r="AE2" s="474"/>
      <c r="AF2" s="474"/>
      <c r="AG2" s="474"/>
      <c r="AH2" s="469"/>
      <c r="AI2" s="469"/>
      <c r="AJ2" s="469"/>
      <c r="AK2" s="469"/>
      <c r="AL2" s="469"/>
      <c r="AM2" s="469"/>
      <c r="AN2" s="469"/>
      <c r="AO2" s="469"/>
      <c r="AP2" s="469"/>
      <c r="AQ2" s="469"/>
      <c r="AR2" s="469"/>
      <c r="AS2" s="469"/>
      <c r="AT2" s="469"/>
      <c r="AU2" s="469"/>
      <c r="AV2" s="469"/>
      <c r="AW2" s="469"/>
      <c r="AX2" s="469"/>
      <c r="AY2" s="478"/>
      <c r="AZ2" s="478"/>
      <c r="BA2" s="478"/>
      <c r="BB2" s="478"/>
      <c r="BC2" s="478"/>
      <c r="BD2" s="47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row>
    <row r="3" spans="3:86" s="46" customFormat="1" ht="9.9499999999999993" customHeight="1" thickBot="1" x14ac:dyDescent="0.25">
      <c r="C3" s="470"/>
      <c r="D3" s="1099"/>
      <c r="E3" s="1130"/>
      <c r="F3" s="1130"/>
      <c r="G3" s="1130"/>
      <c r="H3" s="1130"/>
      <c r="I3" s="1130"/>
      <c r="J3" s="1130"/>
      <c r="K3" s="1130"/>
      <c r="L3" s="1130"/>
      <c r="M3" s="1130"/>
      <c r="N3" s="1130"/>
      <c r="O3" s="1130"/>
      <c r="P3" s="1130"/>
      <c r="Q3" s="1130"/>
      <c r="R3" s="1130"/>
      <c r="S3" s="1106"/>
      <c r="T3" s="477"/>
      <c r="U3" s="477"/>
      <c r="V3" s="477"/>
      <c r="W3" s="477"/>
      <c r="X3" s="477"/>
      <c r="Y3" s="477"/>
      <c r="Z3" s="477"/>
      <c r="AA3" s="477"/>
      <c r="AB3" s="477"/>
      <c r="AC3" s="477"/>
      <c r="AD3" s="477"/>
      <c r="AE3" s="478"/>
      <c r="AF3" s="478"/>
      <c r="AG3" s="478"/>
      <c r="AH3" s="468"/>
      <c r="AI3" s="468"/>
      <c r="AJ3" s="468"/>
      <c r="AK3" s="468"/>
      <c r="AL3" s="468"/>
      <c r="AM3" s="468"/>
      <c r="AN3" s="468"/>
      <c r="AO3" s="468"/>
      <c r="AP3" s="468"/>
      <c r="AQ3" s="468"/>
      <c r="AR3" s="468"/>
      <c r="AS3" s="468"/>
      <c r="AT3" s="468"/>
      <c r="AU3" s="468"/>
      <c r="AV3" s="468"/>
      <c r="AW3" s="468"/>
      <c r="AX3" s="468"/>
      <c r="AY3" s="478"/>
      <c r="AZ3" s="478"/>
      <c r="BA3" s="478"/>
      <c r="BB3" s="478"/>
      <c r="BC3" s="478"/>
      <c r="BD3" s="47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row>
    <row r="4" spans="3:86" s="46" customFormat="1" ht="13.5" customHeight="1" thickBot="1" x14ac:dyDescent="0.25">
      <c r="C4" s="470"/>
      <c r="D4" s="1099"/>
      <c r="E4" s="1454" t="s">
        <v>659</v>
      </c>
      <c r="F4" s="1455"/>
      <c r="G4" s="1450">
        <f>INFORME!$E$197</f>
        <v>0</v>
      </c>
      <c r="H4" s="1451"/>
      <c r="I4" s="401" t="str">
        <f>IF(G4=0,"",IF($G$42=0,0,G4/$G$42))</f>
        <v/>
      </c>
      <c r="J4" s="1130"/>
      <c r="K4" s="1130"/>
      <c r="L4" s="1130"/>
      <c r="M4" s="1130"/>
      <c r="N4" s="1130"/>
      <c r="O4" s="1130"/>
      <c r="P4" s="1130"/>
      <c r="Q4" s="1130"/>
      <c r="R4" s="1130"/>
      <c r="S4" s="1106"/>
      <c r="T4" s="477"/>
      <c r="U4" s="477"/>
      <c r="V4" s="477"/>
      <c r="W4" s="477"/>
      <c r="X4" s="477"/>
      <c r="Y4" s="477"/>
      <c r="Z4" s="477"/>
      <c r="AA4" s="477"/>
      <c r="AB4" s="477"/>
      <c r="AC4" s="477"/>
      <c r="AD4" s="477"/>
      <c r="AE4" s="478"/>
      <c r="AF4" s="478"/>
      <c r="AG4" s="478"/>
      <c r="AH4" s="468"/>
      <c r="AI4" s="468"/>
      <c r="AJ4" s="468"/>
      <c r="AK4" s="468"/>
      <c r="AL4" s="468"/>
      <c r="AM4" s="468"/>
      <c r="AN4" s="468"/>
      <c r="AO4" s="468"/>
      <c r="AP4" s="468"/>
      <c r="AQ4" s="468"/>
      <c r="AR4" s="468"/>
      <c r="AS4" s="468"/>
      <c r="AT4" s="468"/>
      <c r="AU4" s="468"/>
      <c r="AV4" s="468"/>
      <c r="AW4" s="468"/>
      <c r="AX4" s="468"/>
      <c r="AY4" s="478"/>
      <c r="AZ4" s="478"/>
      <c r="BA4" s="478"/>
      <c r="BB4" s="478"/>
      <c r="BC4" s="478"/>
      <c r="BD4" s="47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row>
    <row r="5" spans="3:86" s="46" customFormat="1" ht="2.1" customHeight="1" x14ac:dyDescent="0.2">
      <c r="C5" s="470"/>
      <c r="D5" s="1099"/>
      <c r="E5" s="1130"/>
      <c r="F5" s="1130"/>
      <c r="G5" s="1130"/>
      <c r="H5" s="1130"/>
      <c r="I5" s="1130"/>
      <c r="J5" s="1130"/>
      <c r="K5" s="1130"/>
      <c r="L5" s="1130"/>
      <c r="M5" s="1130"/>
      <c r="N5" s="1130"/>
      <c r="O5" s="1130"/>
      <c r="P5" s="1130"/>
      <c r="Q5" s="1130"/>
      <c r="R5" s="1130"/>
      <c r="S5" s="1106"/>
      <c r="T5" s="477"/>
      <c r="U5" s="477"/>
      <c r="V5" s="477"/>
      <c r="W5" s="477"/>
      <c r="X5" s="477"/>
      <c r="Y5" s="477"/>
      <c r="Z5" s="477"/>
      <c r="AA5" s="477"/>
      <c r="AB5" s="477"/>
      <c r="AC5" s="477"/>
      <c r="AD5" s="477"/>
      <c r="AE5" s="478"/>
      <c r="AF5" s="478"/>
      <c r="AG5" s="478"/>
      <c r="AH5" s="468"/>
      <c r="AI5" s="468"/>
      <c r="AJ5" s="468"/>
      <c r="AK5" s="468"/>
      <c r="AL5" s="468"/>
      <c r="AM5" s="468"/>
      <c r="AN5" s="468"/>
      <c r="AO5" s="468"/>
      <c r="AP5" s="468"/>
      <c r="AQ5" s="468"/>
      <c r="AR5" s="468"/>
      <c r="AS5" s="468"/>
      <c r="AT5" s="468"/>
      <c r="AU5" s="468"/>
      <c r="AV5" s="468"/>
      <c r="AW5" s="468"/>
      <c r="AX5" s="468"/>
      <c r="AY5" s="478"/>
      <c r="AZ5" s="478"/>
      <c r="BA5" s="478"/>
      <c r="BB5" s="478"/>
      <c r="BC5" s="478"/>
      <c r="BD5" s="478"/>
      <c r="BE5" s="468"/>
      <c r="BF5" s="468"/>
      <c r="BG5" s="468"/>
      <c r="BH5" s="468"/>
      <c r="BI5" s="468"/>
      <c r="BJ5" s="468"/>
      <c r="BK5" s="468"/>
      <c r="BL5" s="468"/>
      <c r="BM5" s="468"/>
      <c r="BN5" s="468"/>
      <c r="BO5" s="468"/>
      <c r="BP5" s="468"/>
      <c r="BQ5" s="468"/>
      <c r="BR5" s="468"/>
      <c r="BS5" s="468"/>
      <c r="BT5" s="468"/>
      <c r="BU5" s="468"/>
      <c r="BV5" s="468"/>
      <c r="BW5" s="468"/>
      <c r="BX5" s="468"/>
      <c r="BY5" s="468"/>
      <c r="BZ5" s="468"/>
      <c r="CA5" s="468"/>
      <c r="CB5" s="468"/>
      <c r="CC5" s="468"/>
      <c r="CD5" s="468"/>
      <c r="CE5" s="468"/>
      <c r="CF5" s="468"/>
      <c r="CG5" s="468"/>
      <c r="CH5" s="468"/>
    </row>
    <row r="6" spans="3:86" s="46" customFormat="1" ht="12.75" customHeight="1" x14ac:dyDescent="0.2">
      <c r="C6" s="470"/>
      <c r="D6" s="1099"/>
      <c r="E6" s="536" t="s">
        <v>1496</v>
      </c>
      <c r="F6" s="534">
        <v>0.5</v>
      </c>
      <c r="G6" s="1139" t="str">
        <f>IF('1'!I33=0,"",IF(F6=""," ◄ ESTE ES UN DATO ESENCIAL ¿Seguro que es 0?, EL LIBRO LO CONSIDERARÁ UN 100%",IF(F6=0," ◄ ESTE ES UN DATO ESENCIAL ¿Seguro que es 0?, EL LIBRO LO CONSIDERARÁ UN 100%",IF('5'!F72=0," ◄ Ten en cuenta que aún no has definido las ventas, por tanto falta calcular este concepto, cuando lo hagas se calculará",""))))</f>
        <v/>
      </c>
      <c r="H6" s="1130"/>
      <c r="I6" s="1130"/>
      <c r="J6" s="1130"/>
      <c r="K6" s="1130"/>
      <c r="L6" s="1130"/>
      <c r="M6" s="1130"/>
      <c r="N6" s="1130"/>
      <c r="O6" s="1130"/>
      <c r="P6" s="1130"/>
      <c r="Q6" s="1130"/>
      <c r="R6" s="1130"/>
      <c r="S6" s="1106"/>
      <c r="T6" s="477"/>
      <c r="U6" s="477"/>
      <c r="V6" s="477"/>
      <c r="W6" s="477"/>
      <c r="X6" s="477"/>
      <c r="Y6" s="477"/>
      <c r="Z6" s="477"/>
      <c r="AA6" s="477"/>
      <c r="AB6" s="477"/>
      <c r="AC6" s="477"/>
      <c r="AD6" s="477"/>
      <c r="AE6" s="478"/>
      <c r="AF6" s="478"/>
      <c r="AG6" s="478"/>
      <c r="AH6" s="468"/>
      <c r="AI6" s="468"/>
      <c r="AJ6" s="468"/>
      <c r="AK6" s="468"/>
      <c r="AL6" s="468"/>
      <c r="AM6" s="468"/>
      <c r="AN6" s="468"/>
      <c r="AO6" s="468"/>
      <c r="AP6" s="468"/>
      <c r="AQ6" s="468"/>
      <c r="AR6" s="468"/>
      <c r="AS6" s="468"/>
      <c r="AT6" s="468"/>
      <c r="AU6" s="468"/>
      <c r="AV6" s="468"/>
      <c r="AW6" s="468"/>
      <c r="AX6" s="468"/>
      <c r="AY6" s="478"/>
      <c r="AZ6" s="478"/>
      <c r="BA6" s="478"/>
      <c r="BB6" s="478"/>
      <c r="BC6" s="478"/>
      <c r="BD6" s="47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row>
    <row r="7" spans="3:86" s="46" customFormat="1" ht="12.75" customHeight="1" x14ac:dyDescent="0.2">
      <c r="C7" s="470"/>
      <c r="D7" s="1099"/>
      <c r="E7" s="535" t="s">
        <v>660</v>
      </c>
      <c r="F7" s="496"/>
      <c r="G7" s="1140" t="str">
        <f>IF(F7=0,"",IF(#REF!=0," ◄ Ten en cuenta que aún no has definido las ventas, por tanto falta calcular y sumar este concepto",""))</f>
        <v/>
      </c>
      <c r="H7" s="1130"/>
      <c r="I7" s="1130"/>
      <c r="J7" s="1130"/>
      <c r="K7" s="1130"/>
      <c r="L7" s="1130"/>
      <c r="M7" s="1130"/>
      <c r="N7" s="1130"/>
      <c r="O7" s="1130"/>
      <c r="P7" s="1130"/>
      <c r="Q7" s="1130"/>
      <c r="R7" s="1130"/>
      <c r="S7" s="1106"/>
      <c r="T7" s="477"/>
      <c r="U7" s="477"/>
      <c r="V7" s="477"/>
      <c r="W7" s="477"/>
      <c r="X7" s="477"/>
      <c r="Y7" s="477"/>
      <c r="Z7" s="477"/>
      <c r="AA7" s="477"/>
      <c r="AB7" s="477"/>
      <c r="AC7" s="477"/>
      <c r="AD7" s="477"/>
      <c r="AE7" s="478"/>
      <c r="AF7" s="478"/>
      <c r="AG7" s="478"/>
      <c r="AH7" s="468"/>
      <c r="AI7" s="468"/>
      <c r="AJ7" s="468"/>
      <c r="AK7" s="468"/>
      <c r="AL7" s="468"/>
      <c r="AM7" s="468"/>
      <c r="AN7" s="468"/>
      <c r="AO7" s="468"/>
      <c r="AP7" s="468"/>
      <c r="AQ7" s="468"/>
      <c r="AR7" s="468"/>
      <c r="AS7" s="468"/>
      <c r="AT7" s="468"/>
      <c r="AU7" s="468"/>
      <c r="AV7" s="468"/>
      <c r="AW7" s="468"/>
      <c r="AX7" s="468"/>
      <c r="AY7" s="478"/>
      <c r="AZ7" s="478"/>
      <c r="BA7" s="478"/>
      <c r="BB7" s="478"/>
      <c r="BC7" s="478"/>
      <c r="BD7" s="478"/>
      <c r="BE7" s="468"/>
      <c r="BF7" s="468"/>
      <c r="BG7" s="468"/>
      <c r="BH7" s="468"/>
      <c r="BI7" s="468"/>
      <c r="BJ7" s="468"/>
      <c r="BK7" s="468"/>
      <c r="BL7" s="468"/>
      <c r="BM7" s="468"/>
      <c r="BN7" s="468"/>
      <c r="BO7" s="468"/>
      <c r="BP7" s="468"/>
      <c r="BQ7" s="468"/>
      <c r="BR7" s="468"/>
      <c r="BS7" s="468"/>
      <c r="BT7" s="468"/>
      <c r="BU7" s="468"/>
      <c r="BV7" s="468"/>
      <c r="BW7" s="468"/>
      <c r="BX7" s="468"/>
      <c r="BY7" s="468"/>
      <c r="BZ7" s="468"/>
      <c r="CA7" s="468"/>
      <c r="CB7" s="468"/>
      <c r="CC7" s="468"/>
      <c r="CD7" s="468"/>
      <c r="CE7" s="468"/>
      <c r="CF7" s="468"/>
      <c r="CG7" s="468"/>
      <c r="CH7" s="468"/>
    </row>
    <row r="8" spans="3:86" s="46" customFormat="1" ht="2.1" customHeight="1" x14ac:dyDescent="0.2">
      <c r="C8" s="470"/>
      <c r="D8" s="1099"/>
      <c r="E8" s="1141"/>
      <c r="F8" s="1130"/>
      <c r="G8" s="1130"/>
      <c r="H8" s="1130"/>
      <c r="I8" s="1130"/>
      <c r="J8" s="1130"/>
      <c r="K8" s="1130"/>
      <c r="L8" s="1130"/>
      <c r="M8" s="1130"/>
      <c r="N8" s="1130"/>
      <c r="O8" s="1130"/>
      <c r="P8" s="1130"/>
      <c r="Q8" s="1130"/>
      <c r="R8" s="1130"/>
      <c r="S8" s="1106"/>
      <c r="T8" s="477"/>
      <c r="U8" s="477"/>
      <c r="V8" s="477"/>
      <c r="W8" s="477"/>
      <c r="X8" s="477"/>
      <c r="Y8" s="477"/>
      <c r="Z8" s="477"/>
      <c r="AA8" s="477"/>
      <c r="AB8" s="477"/>
      <c r="AC8" s="477"/>
      <c r="AD8" s="477"/>
      <c r="AE8" s="478"/>
      <c r="AF8" s="478"/>
      <c r="AG8" s="478"/>
      <c r="AH8" s="468"/>
      <c r="AI8" s="468"/>
      <c r="AJ8" s="468"/>
      <c r="AK8" s="468"/>
      <c r="AL8" s="468"/>
      <c r="AM8" s="468"/>
      <c r="AN8" s="468"/>
      <c r="AO8" s="468"/>
      <c r="AP8" s="468"/>
      <c r="AQ8" s="468"/>
      <c r="AR8" s="468"/>
      <c r="AS8" s="468"/>
      <c r="AT8" s="468"/>
      <c r="AU8" s="468"/>
      <c r="AV8" s="468"/>
      <c r="AW8" s="468"/>
      <c r="AX8" s="468"/>
      <c r="AY8" s="478"/>
      <c r="AZ8" s="478"/>
      <c r="BA8" s="478"/>
      <c r="BB8" s="478"/>
      <c r="BC8" s="478"/>
      <c r="BD8" s="478"/>
      <c r="BE8" s="468"/>
      <c r="BF8" s="468"/>
      <c r="BG8" s="468"/>
      <c r="BH8" s="468"/>
      <c r="BI8" s="468"/>
      <c r="BJ8" s="468"/>
      <c r="BK8" s="468"/>
      <c r="BL8" s="468"/>
      <c r="BM8" s="468"/>
      <c r="BN8" s="468"/>
      <c r="BO8" s="468"/>
      <c r="BP8" s="468"/>
      <c r="BQ8" s="468"/>
      <c r="BR8" s="468"/>
      <c r="BS8" s="468"/>
      <c r="BT8" s="468"/>
      <c r="BU8" s="468"/>
      <c r="BV8" s="468"/>
      <c r="BW8" s="468"/>
      <c r="BX8" s="468"/>
      <c r="BY8" s="468"/>
      <c r="BZ8" s="468"/>
      <c r="CA8" s="468"/>
      <c r="CB8" s="468"/>
      <c r="CC8" s="468"/>
      <c r="CD8" s="468"/>
      <c r="CE8" s="468"/>
      <c r="CF8" s="468"/>
      <c r="CG8" s="468"/>
      <c r="CH8" s="468"/>
    </row>
    <row r="9" spans="3:86" s="46" customFormat="1" ht="11.25" x14ac:dyDescent="0.2">
      <c r="C9" s="470"/>
      <c r="D9" s="1099"/>
      <c r="E9" s="910" t="s">
        <v>129</v>
      </c>
      <c r="F9" s="498" t="s">
        <v>786</v>
      </c>
      <c r="G9" s="492" t="str">
        <f>'5'!G12</f>
        <v>Enero</v>
      </c>
      <c r="H9" s="492" t="str">
        <f>'5'!H12</f>
        <v>Febrero</v>
      </c>
      <c r="I9" s="492" t="str">
        <f>'5'!I12</f>
        <v>Marzo</v>
      </c>
      <c r="J9" s="492" t="str">
        <f>'5'!J12</f>
        <v>Abril</v>
      </c>
      <c r="K9" s="492" t="str">
        <f>'5'!K12</f>
        <v xml:space="preserve">Mayo </v>
      </c>
      <c r="L9" s="492" t="str">
        <f>'5'!L12</f>
        <v>Junio</v>
      </c>
      <c r="M9" s="492" t="str">
        <f>'5'!M12</f>
        <v>Julio</v>
      </c>
      <c r="N9" s="492" t="str">
        <f>'5'!N12</f>
        <v>Agosto</v>
      </c>
      <c r="O9" s="492" t="str">
        <f>'5'!O12</f>
        <v>Septiembre</v>
      </c>
      <c r="P9" s="492" t="str">
        <f>'5'!P12</f>
        <v>Octubre</v>
      </c>
      <c r="Q9" s="492" t="str">
        <f>'5'!Q12</f>
        <v>Noviembre</v>
      </c>
      <c r="R9" s="493" t="str">
        <f>'5'!R12</f>
        <v>Diciembre</v>
      </c>
      <c r="S9" s="1106"/>
      <c r="T9" s="477"/>
      <c r="U9" s="477"/>
      <c r="V9" s="477"/>
      <c r="W9" s="477"/>
      <c r="X9" s="477"/>
      <c r="Y9" s="477"/>
      <c r="Z9" s="477"/>
      <c r="AA9" s="477"/>
      <c r="AB9" s="477"/>
      <c r="AC9" s="477"/>
      <c r="AD9" s="477"/>
      <c r="AE9" s="478"/>
      <c r="AF9" s="478"/>
      <c r="AG9" s="478"/>
      <c r="AH9" s="468"/>
      <c r="AI9" s="468"/>
      <c r="AJ9" s="468"/>
      <c r="AK9" s="468"/>
      <c r="AL9" s="468"/>
      <c r="AM9" s="468"/>
      <c r="AN9" s="468"/>
      <c r="AO9" s="468"/>
      <c r="AP9" s="468"/>
      <c r="AQ9" s="468"/>
      <c r="AR9" s="468"/>
      <c r="AS9" s="468"/>
      <c r="AT9" s="468"/>
      <c r="AU9" s="468"/>
      <c r="AV9" s="468"/>
      <c r="AW9" s="468"/>
      <c r="AX9" s="468"/>
      <c r="AY9" s="478"/>
      <c r="AZ9" s="478"/>
      <c r="BA9" s="478"/>
      <c r="BB9" s="478"/>
      <c r="BC9" s="478"/>
      <c r="BD9" s="47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row>
    <row r="10" spans="3:86" s="46" customFormat="1" ht="12" x14ac:dyDescent="0.2">
      <c r="C10" s="470"/>
      <c r="D10" s="1099"/>
      <c r="E10" s="494" t="s">
        <v>1520</v>
      </c>
      <c r="F10" s="288">
        <f>SUM(G10:R10)</f>
        <v>0</v>
      </c>
      <c r="G10" s="512"/>
      <c r="H10" s="513"/>
      <c r="I10" s="513"/>
      <c r="J10" s="513"/>
      <c r="K10" s="513"/>
      <c r="L10" s="513"/>
      <c r="M10" s="513"/>
      <c r="N10" s="513"/>
      <c r="O10" s="513"/>
      <c r="P10" s="513"/>
      <c r="Q10" s="513"/>
      <c r="R10" s="514"/>
      <c r="S10" s="1106"/>
      <c r="T10" s="477"/>
      <c r="U10" s="477"/>
      <c r="V10" s="477"/>
      <c r="W10" s="477"/>
      <c r="X10" s="477"/>
      <c r="Y10" s="477"/>
      <c r="Z10" s="477"/>
      <c r="AA10" s="477"/>
      <c r="AB10" s="477"/>
      <c r="AC10" s="477"/>
      <c r="AD10" s="477"/>
      <c r="AE10" s="478"/>
      <c r="AF10" s="478"/>
      <c r="AG10" s="478"/>
      <c r="AH10" s="468"/>
      <c r="AI10" s="468"/>
      <c r="AJ10" s="468"/>
      <c r="AK10" s="468"/>
      <c r="AL10" s="468"/>
      <c r="AM10" s="468"/>
      <c r="AN10" s="468"/>
      <c r="AO10" s="468"/>
      <c r="AP10" s="468"/>
      <c r="AQ10" s="468"/>
      <c r="AR10" s="468"/>
      <c r="AS10" s="468"/>
      <c r="AT10" s="468"/>
      <c r="AU10" s="468"/>
      <c r="AV10" s="468"/>
      <c r="AW10" s="468"/>
      <c r="AX10" s="468"/>
      <c r="AY10" s="478"/>
      <c r="AZ10" s="478"/>
      <c r="BA10" s="478"/>
      <c r="BB10" s="478"/>
      <c r="BC10" s="478"/>
      <c r="BD10" s="47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row>
    <row r="11" spans="3:86" s="46" customFormat="1" ht="12" x14ac:dyDescent="0.2">
      <c r="C11" s="470"/>
      <c r="D11" s="1099"/>
      <c r="E11" s="495" t="s">
        <v>1521</v>
      </c>
      <c r="F11" s="288">
        <f>SUM(G11:R11)</f>
        <v>0</v>
      </c>
      <c r="G11" s="515"/>
      <c r="H11" s="516"/>
      <c r="I11" s="516"/>
      <c r="J11" s="516"/>
      <c r="K11" s="516"/>
      <c r="L11" s="516"/>
      <c r="M11" s="516"/>
      <c r="N11" s="516"/>
      <c r="O11" s="516"/>
      <c r="P11" s="516"/>
      <c r="Q11" s="516"/>
      <c r="R11" s="517"/>
      <c r="S11" s="1106"/>
      <c r="T11" s="477"/>
      <c r="U11" s="477"/>
      <c r="V11" s="477"/>
      <c r="W11" s="477"/>
      <c r="X11" s="533"/>
      <c r="Y11" s="477"/>
      <c r="Z11" s="477"/>
      <c r="AA11" s="477"/>
      <c r="AB11" s="477"/>
      <c r="AC11" s="477"/>
      <c r="AD11" s="477"/>
      <c r="AE11" s="478"/>
      <c r="AF11" s="478"/>
      <c r="AG11" s="478"/>
      <c r="AH11" s="468"/>
      <c r="AI11" s="468"/>
      <c r="AJ11" s="468"/>
      <c r="AK11" s="468"/>
      <c r="AL11" s="468"/>
      <c r="AM11" s="468"/>
      <c r="AN11" s="468"/>
      <c r="AO11" s="468"/>
      <c r="AP11" s="468"/>
      <c r="AQ11" s="468"/>
      <c r="AR11" s="468"/>
      <c r="AS11" s="468"/>
      <c r="AT11" s="468"/>
      <c r="AU11" s="468"/>
      <c r="AV11" s="468"/>
      <c r="AW11" s="468"/>
      <c r="AX11" s="468"/>
      <c r="AY11" s="478"/>
      <c r="AZ11" s="478"/>
      <c r="BA11" s="478"/>
      <c r="BB11" s="478"/>
      <c r="BC11" s="478"/>
      <c r="BD11" s="478"/>
      <c r="BE11" s="468"/>
      <c r="BF11" s="468"/>
      <c r="BG11" s="468"/>
      <c r="BH11" s="468"/>
      <c r="BI11" s="468"/>
      <c r="BJ11" s="468"/>
      <c r="BK11" s="468"/>
      <c r="BL11" s="468"/>
      <c r="BM11" s="468"/>
      <c r="BN11" s="468"/>
      <c r="BO11" s="468"/>
      <c r="BP11" s="468"/>
      <c r="BQ11" s="468"/>
      <c r="BR11" s="468"/>
      <c r="BS11" s="468"/>
      <c r="BT11" s="468"/>
      <c r="BU11" s="468"/>
      <c r="BV11" s="468"/>
      <c r="BW11" s="468"/>
      <c r="BX11" s="468"/>
      <c r="BY11" s="468"/>
      <c r="BZ11" s="468"/>
      <c r="CA11" s="468"/>
      <c r="CB11" s="468"/>
      <c r="CC11" s="468"/>
      <c r="CD11" s="468"/>
      <c r="CE11" s="468"/>
      <c r="CF11" s="468"/>
      <c r="CG11" s="468"/>
      <c r="CH11" s="468"/>
    </row>
    <row r="12" spans="3:86" s="46" customFormat="1" ht="12" x14ac:dyDescent="0.2">
      <c r="C12" s="470"/>
      <c r="D12" s="1099"/>
      <c r="E12" s="500" t="s">
        <v>1522</v>
      </c>
      <c r="F12" s="501">
        <f>SUM(G12:R12)</f>
        <v>0</v>
      </c>
      <c r="G12" s="518"/>
      <c r="H12" s="519"/>
      <c r="I12" s="519"/>
      <c r="J12" s="519"/>
      <c r="K12" s="519"/>
      <c r="L12" s="519"/>
      <c r="M12" s="519"/>
      <c r="N12" s="519"/>
      <c r="O12" s="519"/>
      <c r="P12" s="519"/>
      <c r="Q12" s="519"/>
      <c r="R12" s="520"/>
      <c r="S12" s="1106"/>
      <c r="T12" s="477"/>
      <c r="U12" s="477"/>
      <c r="V12" s="477"/>
      <c r="W12" s="477"/>
      <c r="X12" s="477"/>
      <c r="Y12" s="477"/>
      <c r="Z12" s="477"/>
      <c r="AA12" s="477"/>
      <c r="AB12" s="477"/>
      <c r="AC12" s="477"/>
      <c r="AD12" s="477"/>
      <c r="AE12" s="478"/>
      <c r="AF12" s="478"/>
      <c r="AG12" s="478"/>
      <c r="AH12" s="468"/>
      <c r="AI12" s="468"/>
      <c r="AJ12" s="468"/>
      <c r="AK12" s="468"/>
      <c r="AL12" s="468"/>
      <c r="AM12" s="468"/>
      <c r="AN12" s="468"/>
      <c r="AO12" s="468"/>
      <c r="AP12" s="468"/>
      <c r="AQ12" s="468"/>
      <c r="AR12" s="468"/>
      <c r="AS12" s="468"/>
      <c r="AT12" s="468"/>
      <c r="AU12" s="468"/>
      <c r="AV12" s="468"/>
      <c r="AW12" s="468"/>
      <c r="AX12" s="468"/>
      <c r="AY12" s="478"/>
      <c r="AZ12" s="478"/>
      <c r="BA12" s="478"/>
      <c r="BB12" s="478"/>
      <c r="BC12" s="478"/>
      <c r="BD12" s="478"/>
      <c r="BE12" s="468"/>
      <c r="BF12" s="468"/>
      <c r="BG12" s="468"/>
      <c r="BH12" s="468"/>
      <c r="BI12" s="468"/>
      <c r="BJ12" s="468"/>
      <c r="BK12" s="468"/>
      <c r="BL12" s="468"/>
      <c r="BM12" s="468"/>
      <c r="BN12" s="468"/>
      <c r="BO12" s="468"/>
      <c r="BP12" s="468"/>
      <c r="BQ12" s="468"/>
      <c r="BR12" s="468"/>
      <c r="BS12" s="468"/>
      <c r="BT12" s="468"/>
      <c r="BU12" s="468"/>
      <c r="BV12" s="468"/>
      <c r="BW12" s="468"/>
      <c r="BX12" s="468"/>
      <c r="BY12" s="468"/>
      <c r="BZ12" s="468"/>
      <c r="CA12" s="468"/>
      <c r="CB12" s="468"/>
      <c r="CC12" s="468"/>
      <c r="CD12" s="468"/>
      <c r="CE12" s="468"/>
      <c r="CF12" s="468"/>
      <c r="CG12" s="468"/>
      <c r="CH12" s="468"/>
    </row>
    <row r="13" spans="3:86" s="46" customFormat="1" ht="3" customHeight="1" thickBot="1" x14ac:dyDescent="0.25">
      <c r="C13" s="470"/>
      <c r="D13" s="1099"/>
      <c r="E13" s="1130"/>
      <c r="F13" s="1130"/>
      <c r="G13" s="1130"/>
      <c r="H13" s="1130"/>
      <c r="I13" s="1130"/>
      <c r="J13" s="1130"/>
      <c r="K13" s="1130"/>
      <c r="L13" s="1130"/>
      <c r="M13" s="1130"/>
      <c r="N13" s="1130"/>
      <c r="O13" s="1130"/>
      <c r="P13" s="1130"/>
      <c r="Q13" s="1130"/>
      <c r="R13" s="1130"/>
      <c r="S13" s="1106"/>
      <c r="T13" s="477"/>
      <c r="U13" s="477"/>
      <c r="V13" s="477"/>
      <c r="W13" s="477"/>
      <c r="X13" s="477"/>
      <c r="Y13" s="477"/>
      <c r="Z13" s="477"/>
      <c r="AA13" s="477"/>
      <c r="AB13" s="477"/>
      <c r="AC13" s="477"/>
      <c r="AD13" s="477"/>
      <c r="AE13" s="478"/>
      <c r="AF13" s="478"/>
      <c r="AG13" s="478"/>
      <c r="AH13" s="468"/>
      <c r="AI13" s="468"/>
      <c r="AJ13" s="468"/>
      <c r="AK13" s="468"/>
      <c r="AL13" s="468"/>
      <c r="AM13" s="468"/>
      <c r="AN13" s="468"/>
      <c r="AO13" s="468"/>
      <c r="AP13" s="468"/>
      <c r="AQ13" s="468"/>
      <c r="AR13" s="468"/>
      <c r="AS13" s="468"/>
      <c r="AT13" s="468"/>
      <c r="AU13" s="468"/>
      <c r="AV13" s="468"/>
      <c r="AW13" s="468"/>
      <c r="AX13" s="468"/>
      <c r="AY13" s="478"/>
      <c r="AZ13" s="478"/>
      <c r="BA13" s="478"/>
      <c r="BB13" s="478"/>
      <c r="BC13" s="478"/>
      <c r="BD13" s="478"/>
      <c r="BE13" s="468"/>
      <c r="BF13" s="468"/>
      <c r="BG13" s="468"/>
      <c r="BH13" s="468"/>
      <c r="BI13" s="468"/>
      <c r="BJ13" s="468"/>
      <c r="BK13" s="468"/>
      <c r="BL13" s="468"/>
      <c r="BM13" s="468"/>
      <c r="BN13" s="468"/>
      <c r="BO13" s="468"/>
      <c r="BP13" s="468"/>
      <c r="BQ13" s="468"/>
      <c r="BR13" s="468"/>
      <c r="BS13" s="468"/>
      <c r="BT13" s="468"/>
      <c r="BU13" s="468"/>
      <c r="BV13" s="468"/>
      <c r="BW13" s="468"/>
      <c r="BX13" s="468"/>
      <c r="BY13" s="468"/>
      <c r="BZ13" s="468"/>
      <c r="CA13" s="468"/>
      <c r="CB13" s="468"/>
      <c r="CC13" s="468"/>
      <c r="CD13" s="468"/>
      <c r="CE13" s="468"/>
      <c r="CF13" s="468"/>
      <c r="CG13" s="468"/>
      <c r="CH13" s="468"/>
    </row>
    <row r="14" spans="3:86" s="46" customFormat="1" ht="12" customHeight="1" thickBot="1" x14ac:dyDescent="0.25">
      <c r="C14" s="470"/>
      <c r="D14" s="1099"/>
      <c r="E14" s="1454" t="s">
        <v>1498</v>
      </c>
      <c r="F14" s="1455"/>
      <c r="G14" s="1450">
        <f>INFORME!$E$208</f>
        <v>0</v>
      </c>
      <c r="H14" s="1451"/>
      <c r="I14" s="401" t="str">
        <f>IF(G14=0,"",IF($G$42=0,0,G14/$G$42))</f>
        <v/>
      </c>
      <c r="J14" s="1130"/>
      <c r="K14" s="1130"/>
      <c r="L14" s="1130"/>
      <c r="M14" s="1130"/>
      <c r="N14" s="1130"/>
      <c r="O14" s="1130"/>
      <c r="P14" s="1130"/>
      <c r="Q14" s="1130"/>
      <c r="R14" s="1130"/>
      <c r="S14" s="1106"/>
      <c r="T14" s="477"/>
      <c r="U14" s="509"/>
      <c r="V14" s="510"/>
      <c r="W14" s="477"/>
      <c r="X14" s="477"/>
      <c r="Y14" s="477"/>
      <c r="Z14" s="477"/>
      <c r="AA14" s="477"/>
      <c r="AB14" s="477"/>
      <c r="AC14" s="477"/>
      <c r="AD14" s="477"/>
      <c r="AE14" s="478"/>
      <c r="AF14" s="478"/>
      <c r="AG14" s="478"/>
      <c r="AH14" s="468"/>
      <c r="AI14" s="468"/>
      <c r="AJ14" s="468"/>
      <c r="AK14" s="468"/>
      <c r="AL14" s="468"/>
      <c r="AM14" s="468"/>
      <c r="AN14" s="468"/>
      <c r="AO14" s="468"/>
      <c r="AP14" s="468"/>
      <c r="AQ14" s="468"/>
      <c r="AR14" s="468"/>
      <c r="AS14" s="468"/>
      <c r="AT14" s="468"/>
      <c r="AU14" s="468"/>
      <c r="AV14" s="468"/>
      <c r="AW14" s="468"/>
      <c r="AX14" s="468"/>
      <c r="AY14" s="478"/>
      <c r="AZ14" s="478"/>
      <c r="BA14" s="478"/>
      <c r="BB14" s="478"/>
      <c r="BC14" s="478"/>
      <c r="BD14" s="478"/>
      <c r="BE14" s="468"/>
      <c r="BF14" s="468"/>
      <c r="BG14" s="468"/>
      <c r="BH14" s="468"/>
      <c r="BI14" s="468"/>
      <c r="BJ14" s="468"/>
      <c r="BK14" s="468"/>
      <c r="BL14" s="468"/>
      <c r="BM14" s="468"/>
      <c r="BN14" s="468"/>
      <c r="BO14" s="468"/>
      <c r="BP14" s="468"/>
      <c r="BQ14" s="468"/>
      <c r="BR14" s="468"/>
      <c r="BS14" s="468"/>
      <c r="BT14" s="468"/>
      <c r="BU14" s="468"/>
      <c r="BV14" s="468"/>
      <c r="BW14" s="468"/>
      <c r="BX14" s="468"/>
      <c r="BY14" s="468"/>
      <c r="BZ14" s="468"/>
      <c r="CA14" s="468"/>
      <c r="CB14" s="468"/>
      <c r="CC14" s="468"/>
      <c r="CD14" s="468"/>
      <c r="CE14" s="468"/>
      <c r="CF14" s="468"/>
      <c r="CG14" s="468"/>
      <c r="CH14" s="468"/>
    </row>
    <row r="15" spans="3:86" s="46" customFormat="1" ht="2.1" customHeight="1" x14ac:dyDescent="0.2">
      <c r="C15" s="470"/>
      <c r="D15" s="1099"/>
      <c r="E15" s="1130"/>
      <c r="F15" s="1130"/>
      <c r="G15" s="1130"/>
      <c r="H15" s="1130"/>
      <c r="I15" s="1130"/>
      <c r="J15" s="1130"/>
      <c r="K15" s="1130"/>
      <c r="L15" s="1130"/>
      <c r="M15" s="1130"/>
      <c r="N15" s="1130"/>
      <c r="O15" s="1130"/>
      <c r="P15" s="1130"/>
      <c r="Q15" s="1130"/>
      <c r="R15" s="1130"/>
      <c r="S15" s="1106"/>
      <c r="T15" s="477"/>
      <c r="U15" s="477"/>
      <c r="V15" s="477"/>
      <c r="W15" s="477"/>
      <c r="X15" s="477"/>
      <c r="Y15" s="477"/>
      <c r="Z15" s="477"/>
      <c r="AA15" s="477"/>
      <c r="AB15" s="477"/>
      <c r="AC15" s="477"/>
      <c r="AD15" s="477"/>
      <c r="AE15" s="478"/>
      <c r="AF15" s="478"/>
      <c r="AG15" s="478"/>
      <c r="AH15" s="468"/>
      <c r="AI15" s="468"/>
      <c r="AJ15" s="468"/>
      <c r="AK15" s="468"/>
      <c r="AL15" s="468"/>
      <c r="AM15" s="468"/>
      <c r="AN15" s="468"/>
      <c r="AO15" s="468"/>
      <c r="AP15" s="468"/>
      <c r="AQ15" s="468"/>
      <c r="AR15" s="468"/>
      <c r="AS15" s="468"/>
      <c r="AT15" s="468"/>
      <c r="AU15" s="468"/>
      <c r="AV15" s="468"/>
      <c r="AW15" s="468"/>
      <c r="AX15" s="468"/>
      <c r="AY15" s="478"/>
      <c r="AZ15" s="478"/>
      <c r="BA15" s="478"/>
      <c r="BB15" s="478"/>
      <c r="BC15" s="478"/>
      <c r="BD15" s="478"/>
      <c r="BE15" s="468"/>
      <c r="BF15" s="468"/>
      <c r="BG15" s="468"/>
      <c r="BH15" s="468"/>
      <c r="BI15" s="468"/>
      <c r="BJ15" s="468"/>
      <c r="BK15" s="468"/>
      <c r="BL15" s="468"/>
      <c r="BM15" s="468"/>
      <c r="BN15" s="468"/>
      <c r="BO15" s="468"/>
      <c r="BP15" s="468"/>
      <c r="BQ15" s="468"/>
      <c r="BR15" s="468"/>
      <c r="BS15" s="468"/>
      <c r="BT15" s="468"/>
      <c r="BU15" s="468"/>
      <c r="BV15" s="468"/>
      <c r="BW15" s="468"/>
      <c r="BX15" s="468"/>
      <c r="BY15" s="468"/>
      <c r="BZ15" s="468"/>
      <c r="CA15" s="468"/>
      <c r="CB15" s="468"/>
      <c r="CC15" s="468"/>
      <c r="CD15" s="468"/>
      <c r="CE15" s="468"/>
      <c r="CF15" s="468"/>
      <c r="CG15" s="468"/>
      <c r="CH15" s="468"/>
    </row>
    <row r="16" spans="3:86" s="77" customFormat="1" ht="12.75" customHeight="1" x14ac:dyDescent="0.15">
      <c r="C16" s="471"/>
      <c r="D16" s="1099"/>
      <c r="E16" s="497" t="s">
        <v>36</v>
      </c>
      <c r="F16" s="498" t="s">
        <v>786</v>
      </c>
      <c r="G16" s="492" t="str">
        <f>SANDBOX!F15</f>
        <v>Enero</v>
      </c>
      <c r="H16" s="492" t="str">
        <f>SANDBOX!G15</f>
        <v>Febrero</v>
      </c>
      <c r="I16" s="492" t="str">
        <f>SANDBOX!H15</f>
        <v>Marzo</v>
      </c>
      <c r="J16" s="492" t="str">
        <f>SANDBOX!I15</f>
        <v>Abril</v>
      </c>
      <c r="K16" s="492" t="str">
        <f>SANDBOX!J15</f>
        <v xml:space="preserve">Mayo </v>
      </c>
      <c r="L16" s="492" t="str">
        <f>SANDBOX!K15</f>
        <v>Junio</v>
      </c>
      <c r="M16" s="492" t="str">
        <f>SANDBOX!L15</f>
        <v>Julio</v>
      </c>
      <c r="N16" s="492" t="str">
        <f>SANDBOX!M15</f>
        <v>Agosto</v>
      </c>
      <c r="O16" s="492" t="str">
        <f>SANDBOX!N15</f>
        <v>Septiembre</v>
      </c>
      <c r="P16" s="492" t="str">
        <f>SANDBOX!O15</f>
        <v>Octubre</v>
      </c>
      <c r="Q16" s="492" t="str">
        <f>SANDBOX!P15</f>
        <v>Noviembre</v>
      </c>
      <c r="R16" s="493" t="str">
        <f>SANDBOX!Q15</f>
        <v>Diciembre</v>
      </c>
      <c r="S16" s="1102"/>
      <c r="T16" s="479"/>
      <c r="U16" s="511"/>
      <c r="V16" s="479"/>
      <c r="W16" s="479"/>
      <c r="X16" s="479"/>
      <c r="Y16" s="479"/>
      <c r="Z16" s="479"/>
      <c r="AA16" s="479"/>
      <c r="AB16" s="479"/>
      <c r="AC16" s="479"/>
      <c r="AD16" s="479"/>
      <c r="AE16" s="480"/>
      <c r="AF16" s="480"/>
      <c r="AG16" s="480"/>
      <c r="AH16" s="481"/>
      <c r="AI16" s="481"/>
      <c r="AJ16" s="481"/>
      <c r="AK16" s="481"/>
      <c r="AL16" s="481"/>
      <c r="AM16" s="481"/>
      <c r="AN16" s="481"/>
      <c r="AO16" s="481"/>
      <c r="AP16" s="481"/>
      <c r="AQ16" s="481"/>
      <c r="AR16" s="481"/>
      <c r="AS16" s="481"/>
      <c r="AT16" s="481"/>
      <c r="AU16" s="481"/>
      <c r="AV16" s="481"/>
      <c r="AW16" s="481"/>
      <c r="AX16" s="481"/>
      <c r="AY16" s="480"/>
      <c r="AZ16" s="480"/>
      <c r="BA16" s="480"/>
      <c r="BB16" s="480"/>
      <c r="BC16" s="480"/>
      <c r="BD16" s="480"/>
      <c r="BE16" s="481"/>
      <c r="BF16" s="481"/>
      <c r="BG16" s="481"/>
      <c r="BH16" s="481"/>
      <c r="BI16" s="481"/>
      <c r="BJ16" s="481"/>
      <c r="BK16" s="481"/>
      <c r="BL16" s="481"/>
      <c r="BM16" s="481"/>
      <c r="BN16" s="481"/>
      <c r="BO16" s="481"/>
      <c r="BP16" s="481"/>
      <c r="BQ16" s="481"/>
      <c r="BR16" s="481"/>
      <c r="BS16" s="481"/>
      <c r="BT16" s="481"/>
      <c r="BU16" s="481"/>
      <c r="BV16" s="481"/>
      <c r="BW16" s="481"/>
      <c r="BX16" s="481"/>
      <c r="BY16" s="481"/>
      <c r="BZ16" s="481"/>
      <c r="CA16" s="481"/>
      <c r="CB16" s="481"/>
      <c r="CC16" s="481"/>
      <c r="CD16" s="481"/>
      <c r="CE16" s="481"/>
      <c r="CF16" s="481"/>
      <c r="CG16" s="481"/>
      <c r="CH16" s="481"/>
    </row>
    <row r="17" spans="3:86" s="78" customFormat="1" ht="12" x14ac:dyDescent="0.2">
      <c r="C17" s="472"/>
      <c r="D17" s="1109"/>
      <c r="E17" s="499" t="s">
        <v>1500</v>
      </c>
      <c r="F17" s="287">
        <f>SUM(G17:R17)</f>
        <v>0</v>
      </c>
      <c r="G17" s="512"/>
      <c r="H17" s="513"/>
      <c r="I17" s="513"/>
      <c r="J17" s="513"/>
      <c r="K17" s="513"/>
      <c r="L17" s="513"/>
      <c r="M17" s="513"/>
      <c r="N17" s="513"/>
      <c r="O17" s="513"/>
      <c r="P17" s="513"/>
      <c r="Q17" s="513"/>
      <c r="R17" s="514"/>
      <c r="S17" s="1104"/>
      <c r="T17" s="482"/>
      <c r="U17" s="482"/>
      <c r="V17" s="482"/>
      <c r="W17" s="482"/>
      <c r="X17" s="482"/>
      <c r="Y17" s="482"/>
      <c r="Z17" s="482"/>
      <c r="AA17" s="482"/>
      <c r="AB17" s="482"/>
      <c r="AC17" s="482"/>
      <c r="AD17" s="482"/>
      <c r="AE17" s="483"/>
      <c r="AF17" s="483"/>
      <c r="AG17" s="483"/>
      <c r="AH17" s="484"/>
      <c r="AI17" s="484"/>
      <c r="AJ17" s="484"/>
      <c r="AK17" s="484"/>
      <c r="AL17" s="484"/>
      <c r="AM17" s="484"/>
      <c r="AN17" s="484"/>
      <c r="AO17" s="484"/>
      <c r="AP17" s="484"/>
      <c r="AQ17" s="484"/>
      <c r="AR17" s="484"/>
      <c r="AS17" s="484"/>
      <c r="AT17" s="484"/>
      <c r="AU17" s="484"/>
      <c r="AV17" s="484"/>
      <c r="AW17" s="484"/>
      <c r="AX17" s="484"/>
      <c r="AY17" s="483"/>
      <c r="AZ17" s="483"/>
      <c r="BA17" s="483"/>
      <c r="BB17" s="483"/>
      <c r="BC17" s="483"/>
      <c r="BD17" s="483"/>
      <c r="BE17" s="484"/>
      <c r="BF17" s="484"/>
      <c r="BG17" s="484"/>
      <c r="BH17" s="484"/>
      <c r="BI17" s="484"/>
      <c r="BJ17" s="484"/>
      <c r="BK17" s="484"/>
      <c r="BL17" s="484"/>
      <c r="BM17" s="484"/>
      <c r="BN17" s="484"/>
      <c r="BO17" s="484"/>
      <c r="BP17" s="484"/>
      <c r="BQ17" s="484"/>
      <c r="BR17" s="484"/>
      <c r="BS17" s="484"/>
      <c r="BT17" s="484"/>
      <c r="BU17" s="484"/>
      <c r="BV17" s="484"/>
      <c r="BW17" s="484"/>
      <c r="BX17" s="484"/>
      <c r="BY17" s="484"/>
      <c r="BZ17" s="484"/>
      <c r="CA17" s="484"/>
      <c r="CB17" s="484"/>
      <c r="CC17" s="484"/>
      <c r="CD17" s="484"/>
      <c r="CE17" s="484"/>
      <c r="CF17" s="484"/>
      <c r="CG17" s="484"/>
      <c r="CH17" s="484"/>
    </row>
    <row r="18" spans="3:86" s="78" customFormat="1" ht="12" x14ac:dyDescent="0.2">
      <c r="C18" s="472"/>
      <c r="D18" s="1109"/>
      <c r="E18" s="495" t="s">
        <v>1503</v>
      </c>
      <c r="F18" s="288">
        <f>SUM(G18:R18)</f>
        <v>0</v>
      </c>
      <c r="G18" s="515"/>
      <c r="H18" s="516"/>
      <c r="I18" s="516"/>
      <c r="J18" s="516"/>
      <c r="K18" s="516"/>
      <c r="L18" s="516"/>
      <c r="M18" s="516"/>
      <c r="N18" s="516"/>
      <c r="O18" s="516"/>
      <c r="P18" s="516"/>
      <c r="Q18" s="516"/>
      <c r="R18" s="517"/>
      <c r="S18" s="1104"/>
      <c r="T18" s="482"/>
      <c r="U18" s="482"/>
      <c r="V18" s="482"/>
      <c r="W18" s="482"/>
      <c r="X18" s="482"/>
      <c r="Y18" s="482"/>
      <c r="Z18" s="482"/>
      <c r="AA18" s="482"/>
      <c r="AB18" s="482"/>
      <c r="AC18" s="482"/>
      <c r="AD18" s="482"/>
      <c r="AE18" s="483"/>
      <c r="AF18" s="483"/>
      <c r="AG18" s="483"/>
      <c r="AH18" s="484"/>
      <c r="AI18" s="484"/>
      <c r="AJ18" s="484"/>
      <c r="AK18" s="484"/>
      <c r="AL18" s="484"/>
      <c r="AM18" s="484"/>
      <c r="AN18" s="484"/>
      <c r="AO18" s="484"/>
      <c r="AP18" s="484"/>
      <c r="AQ18" s="484"/>
      <c r="AR18" s="484"/>
      <c r="AS18" s="484"/>
      <c r="AT18" s="484"/>
      <c r="AU18" s="484"/>
      <c r="AV18" s="484"/>
      <c r="AW18" s="484"/>
      <c r="AX18" s="484"/>
      <c r="AY18" s="483"/>
      <c r="AZ18" s="483"/>
      <c r="BA18" s="483"/>
      <c r="BB18" s="483"/>
      <c r="BC18" s="483"/>
      <c r="BD18" s="483"/>
      <c r="BE18" s="484"/>
      <c r="BF18" s="484"/>
      <c r="BG18" s="484"/>
      <c r="BH18" s="484"/>
      <c r="BI18" s="484"/>
      <c r="BJ18" s="484"/>
      <c r="BK18" s="484"/>
      <c r="BL18" s="484"/>
      <c r="BM18" s="484"/>
      <c r="BN18" s="484"/>
      <c r="BO18" s="484"/>
      <c r="BP18" s="484"/>
      <c r="BQ18" s="484"/>
      <c r="BR18" s="484"/>
      <c r="BS18" s="484"/>
      <c r="BT18" s="484"/>
      <c r="BU18" s="484"/>
      <c r="BV18" s="484"/>
      <c r="BW18" s="484"/>
      <c r="BX18" s="484"/>
      <c r="BY18" s="484"/>
      <c r="BZ18" s="484"/>
      <c r="CA18" s="484"/>
      <c r="CB18" s="484"/>
      <c r="CC18" s="484"/>
      <c r="CD18" s="484"/>
      <c r="CE18" s="484"/>
      <c r="CF18" s="484"/>
      <c r="CG18" s="484"/>
      <c r="CH18" s="484"/>
    </row>
    <row r="19" spans="3:86" s="78" customFormat="1" ht="12" x14ac:dyDescent="0.2">
      <c r="C19" s="472"/>
      <c r="D19" s="1109"/>
      <c r="E19" s="500" t="s">
        <v>1504</v>
      </c>
      <c r="F19" s="501">
        <f>SUM(G19:R19)</f>
        <v>0</v>
      </c>
      <c r="G19" s="518"/>
      <c r="H19" s="519"/>
      <c r="I19" s="519"/>
      <c r="J19" s="519"/>
      <c r="K19" s="519"/>
      <c r="L19" s="519"/>
      <c r="M19" s="519"/>
      <c r="N19" s="519"/>
      <c r="O19" s="519"/>
      <c r="P19" s="519"/>
      <c r="Q19" s="519"/>
      <c r="R19" s="520"/>
      <c r="S19" s="1104"/>
      <c r="T19" s="482"/>
      <c r="U19" s="482"/>
      <c r="V19" s="482"/>
      <c r="W19" s="482"/>
      <c r="X19" s="482"/>
      <c r="Y19" s="482"/>
      <c r="Z19" s="482"/>
      <c r="AA19" s="482"/>
      <c r="AB19" s="482"/>
      <c r="AC19" s="482"/>
      <c r="AD19" s="482"/>
      <c r="AE19" s="483"/>
      <c r="AF19" s="483"/>
      <c r="AG19" s="483"/>
      <c r="AH19" s="484"/>
      <c r="AI19" s="484"/>
      <c r="AJ19" s="484"/>
      <c r="AK19" s="484"/>
      <c r="AL19" s="484"/>
      <c r="AM19" s="484"/>
      <c r="AN19" s="484"/>
      <c r="AO19" s="484"/>
      <c r="AP19" s="484"/>
      <c r="AQ19" s="484"/>
      <c r="AR19" s="484"/>
      <c r="AS19" s="484"/>
      <c r="AT19" s="484"/>
      <c r="AU19" s="484"/>
      <c r="AV19" s="484"/>
      <c r="AW19" s="484"/>
      <c r="AX19" s="484"/>
      <c r="AY19" s="483"/>
      <c r="AZ19" s="483"/>
      <c r="BA19" s="483"/>
      <c r="BB19" s="483"/>
      <c r="BC19" s="483"/>
      <c r="BD19" s="483"/>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4"/>
      <c r="CH19" s="484"/>
    </row>
    <row r="20" spans="3:86" s="78" customFormat="1" ht="12" x14ac:dyDescent="0.2">
      <c r="C20" s="472"/>
      <c r="D20" s="1109"/>
      <c r="E20" s="537" t="s">
        <v>604</v>
      </c>
      <c r="F20" s="502"/>
      <c r="G20" s="1140" t="str">
        <f>IF(F20=0,"",IF(#REF!=0," ◄ Ten en cuenta que aún no has definido las ventas, por tanto falta calcular y sumar este concepto",""))</f>
        <v/>
      </c>
      <c r="H20" s="1144"/>
      <c r="I20" s="1144"/>
      <c r="J20" s="1144"/>
      <c r="K20" s="1144"/>
      <c r="L20" s="1144"/>
      <c r="M20" s="1144"/>
      <c r="N20" s="1144"/>
      <c r="O20" s="1144"/>
      <c r="P20" s="1144"/>
      <c r="Q20" s="1144"/>
      <c r="R20" s="1144"/>
      <c r="S20" s="1104"/>
      <c r="T20" s="482"/>
      <c r="U20" s="482"/>
      <c r="V20" s="482"/>
      <c r="W20" s="482"/>
      <c r="X20" s="482"/>
      <c r="Y20" s="482"/>
      <c r="Z20" s="482"/>
      <c r="AA20" s="482"/>
      <c r="AB20" s="482"/>
      <c r="AC20" s="482"/>
      <c r="AD20" s="482"/>
      <c r="AE20" s="483"/>
      <c r="AF20" s="483"/>
      <c r="AG20" s="483"/>
      <c r="AH20" s="484"/>
      <c r="AI20" s="484"/>
      <c r="AJ20" s="484"/>
      <c r="AK20" s="484"/>
      <c r="AL20" s="484"/>
      <c r="AM20" s="484"/>
      <c r="AN20" s="484"/>
      <c r="AO20" s="484"/>
      <c r="AP20" s="484"/>
      <c r="AQ20" s="484"/>
      <c r="AR20" s="484"/>
      <c r="AS20" s="484"/>
      <c r="AT20" s="484"/>
      <c r="AU20" s="484"/>
      <c r="AV20" s="484"/>
      <c r="AW20" s="484"/>
      <c r="AX20" s="484"/>
      <c r="AY20" s="483"/>
      <c r="AZ20" s="483"/>
      <c r="BA20" s="483"/>
      <c r="BB20" s="483"/>
      <c r="BC20" s="483"/>
      <c r="BD20" s="483"/>
      <c r="BE20" s="484"/>
      <c r="BF20" s="484"/>
      <c r="BG20" s="484"/>
      <c r="BH20" s="484"/>
      <c r="BI20" s="484"/>
      <c r="BJ20" s="484"/>
      <c r="BK20" s="484"/>
      <c r="BL20" s="484"/>
      <c r="BM20" s="484"/>
      <c r="BN20" s="484"/>
      <c r="BO20" s="484"/>
      <c r="BP20" s="484"/>
      <c r="BQ20" s="484"/>
      <c r="BR20" s="484"/>
      <c r="BS20" s="484"/>
      <c r="BT20" s="484"/>
      <c r="BU20" s="484"/>
      <c r="BV20" s="484"/>
      <c r="BW20" s="484"/>
      <c r="BX20" s="484"/>
      <c r="BY20" s="484"/>
      <c r="BZ20" s="484"/>
      <c r="CA20" s="484"/>
      <c r="CB20" s="484"/>
      <c r="CC20" s="484"/>
      <c r="CD20" s="484"/>
      <c r="CE20" s="484"/>
      <c r="CF20" s="484"/>
      <c r="CG20" s="484"/>
      <c r="CH20" s="484"/>
    </row>
    <row r="21" spans="3:86" s="78" customFormat="1" ht="3" customHeight="1" thickBot="1" x14ac:dyDescent="0.25">
      <c r="C21" s="472"/>
      <c r="D21" s="1109"/>
      <c r="E21" s="1145"/>
      <c r="F21" s="1113"/>
      <c r="G21" s="1105"/>
      <c r="H21" s="1105"/>
      <c r="I21" s="1105"/>
      <c r="J21" s="1105"/>
      <c r="K21" s="1105"/>
      <c r="L21" s="1105"/>
      <c r="M21" s="1105"/>
      <c r="N21" s="1105"/>
      <c r="O21" s="1105"/>
      <c r="P21" s="1105"/>
      <c r="Q21" s="1105"/>
      <c r="R21" s="1105"/>
      <c r="S21" s="1104"/>
      <c r="T21" s="482"/>
      <c r="U21" s="482"/>
      <c r="V21" s="482"/>
      <c r="W21" s="482"/>
      <c r="X21" s="482"/>
      <c r="Y21" s="482"/>
      <c r="Z21" s="482"/>
      <c r="AA21" s="482"/>
      <c r="AB21" s="482"/>
      <c r="AC21" s="482"/>
      <c r="AD21" s="482"/>
      <c r="AE21" s="483"/>
      <c r="AF21" s="483"/>
      <c r="AG21" s="483"/>
      <c r="AH21" s="484"/>
      <c r="AI21" s="484"/>
      <c r="AJ21" s="484"/>
      <c r="AK21" s="484"/>
      <c r="AL21" s="484"/>
      <c r="AM21" s="484"/>
      <c r="AN21" s="484"/>
      <c r="AO21" s="484"/>
      <c r="AP21" s="484"/>
      <c r="AQ21" s="484"/>
      <c r="AR21" s="484"/>
      <c r="AS21" s="484"/>
      <c r="AT21" s="484"/>
      <c r="AU21" s="484"/>
      <c r="AV21" s="484"/>
      <c r="AW21" s="484"/>
      <c r="AX21" s="484"/>
      <c r="AY21" s="483"/>
      <c r="AZ21" s="483"/>
      <c r="BA21" s="483"/>
      <c r="BB21" s="483"/>
      <c r="BC21" s="483"/>
      <c r="BD21" s="483"/>
      <c r="BE21" s="484"/>
      <c r="BF21" s="484"/>
      <c r="BG21" s="484"/>
      <c r="BH21" s="484"/>
      <c r="BI21" s="484"/>
      <c r="BJ21" s="484"/>
      <c r="BK21" s="484"/>
      <c r="BL21" s="484"/>
      <c r="BM21" s="484"/>
      <c r="BN21" s="484"/>
      <c r="BO21" s="484"/>
      <c r="BP21" s="484"/>
      <c r="BQ21" s="484"/>
      <c r="BR21" s="484"/>
      <c r="BS21" s="484"/>
      <c r="BT21" s="484"/>
      <c r="BU21" s="484"/>
      <c r="BV21" s="484"/>
      <c r="BW21" s="484"/>
      <c r="BX21" s="484"/>
      <c r="BY21" s="484"/>
      <c r="BZ21" s="484"/>
      <c r="CA21" s="484"/>
      <c r="CB21" s="484"/>
      <c r="CC21" s="484"/>
      <c r="CD21" s="484"/>
      <c r="CE21" s="484"/>
      <c r="CF21" s="484"/>
      <c r="CG21" s="484"/>
      <c r="CH21" s="484"/>
    </row>
    <row r="22" spans="3:86" s="78" customFormat="1" ht="12" customHeight="1" thickBot="1" x14ac:dyDescent="0.25">
      <c r="C22" s="472"/>
      <c r="D22" s="1109"/>
      <c r="E22" s="1454" t="s">
        <v>1499</v>
      </c>
      <c r="F22" s="1455"/>
      <c r="G22" s="1450">
        <f>INFORME!$E$218</f>
        <v>0</v>
      </c>
      <c r="H22" s="1451"/>
      <c r="I22" s="401" t="str">
        <f>IF(G22=0,"",IF($G$42=0,0,G22/$G$42))</f>
        <v/>
      </c>
      <c r="J22" s="1105"/>
      <c r="K22" s="1105"/>
      <c r="L22" s="1105"/>
      <c r="M22" s="1105"/>
      <c r="N22" s="1105"/>
      <c r="O22" s="1105"/>
      <c r="P22" s="1105"/>
      <c r="Q22" s="1105"/>
      <c r="R22" s="1105"/>
      <c r="S22" s="1104"/>
      <c r="T22" s="482"/>
      <c r="U22" s="509"/>
      <c r="V22" s="510"/>
      <c r="W22" s="510"/>
      <c r="X22" s="482"/>
      <c r="Y22" s="482"/>
      <c r="Z22" s="482"/>
      <c r="AA22" s="482"/>
      <c r="AB22" s="482"/>
      <c r="AC22" s="482"/>
      <c r="AD22" s="482"/>
      <c r="AE22" s="483"/>
      <c r="AF22" s="483"/>
      <c r="AG22" s="483"/>
      <c r="AH22" s="484"/>
      <c r="AI22" s="484"/>
      <c r="AJ22" s="484"/>
      <c r="AK22" s="484"/>
      <c r="AL22" s="484"/>
      <c r="AM22" s="484"/>
      <c r="AN22" s="484"/>
      <c r="AO22" s="484"/>
      <c r="AP22" s="484"/>
      <c r="AQ22" s="484"/>
      <c r="AR22" s="484"/>
      <c r="AS22" s="484"/>
      <c r="AT22" s="484"/>
      <c r="AU22" s="484"/>
      <c r="AV22" s="484"/>
      <c r="AW22" s="484"/>
      <c r="AX22" s="484"/>
      <c r="AY22" s="483"/>
      <c r="AZ22" s="483"/>
      <c r="BA22" s="483"/>
      <c r="BB22" s="483"/>
      <c r="BC22" s="483"/>
      <c r="BD22" s="483"/>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row>
    <row r="23" spans="3:86" s="78" customFormat="1" ht="2.1" customHeight="1" x14ac:dyDescent="0.2">
      <c r="C23" s="472"/>
      <c r="D23" s="1109"/>
      <c r="E23" s="1072"/>
      <c r="F23" s="1068"/>
      <c r="G23" s="1069"/>
      <c r="H23" s="1069"/>
      <c r="I23" s="1069"/>
      <c r="J23" s="1105"/>
      <c r="K23" s="1105"/>
      <c r="L23" s="1105"/>
      <c r="M23" s="1105"/>
      <c r="N23" s="1105"/>
      <c r="O23" s="1105"/>
      <c r="P23" s="1105"/>
      <c r="Q23" s="1105"/>
      <c r="R23" s="1105"/>
      <c r="S23" s="1104"/>
      <c r="T23" s="482"/>
      <c r="U23" s="482"/>
      <c r="V23" s="482"/>
      <c r="W23" s="482"/>
      <c r="X23" s="482"/>
      <c r="Y23" s="482"/>
      <c r="Z23" s="482"/>
      <c r="AA23" s="482"/>
      <c r="AB23" s="482"/>
      <c r="AC23" s="482"/>
      <c r="AD23" s="482"/>
      <c r="AE23" s="483"/>
      <c r="AF23" s="483"/>
      <c r="AG23" s="483"/>
      <c r="AH23" s="484"/>
      <c r="AI23" s="484"/>
      <c r="AJ23" s="484"/>
      <c r="AK23" s="484"/>
      <c r="AL23" s="484"/>
      <c r="AM23" s="484"/>
      <c r="AN23" s="484"/>
      <c r="AO23" s="484"/>
      <c r="AP23" s="484"/>
      <c r="AQ23" s="484"/>
      <c r="AR23" s="484"/>
      <c r="AS23" s="484"/>
      <c r="AT23" s="484"/>
      <c r="AU23" s="484"/>
      <c r="AV23" s="484"/>
      <c r="AW23" s="484"/>
      <c r="AX23" s="484"/>
      <c r="AY23" s="483"/>
      <c r="AZ23" s="483"/>
      <c r="BA23" s="483"/>
      <c r="BB23" s="483"/>
      <c r="BC23" s="483"/>
      <c r="BD23" s="483"/>
      <c r="BE23" s="484"/>
      <c r="BF23" s="484"/>
      <c r="BG23" s="484"/>
      <c r="BH23" s="484"/>
      <c r="BI23" s="484"/>
      <c r="BJ23" s="484"/>
      <c r="BK23" s="484"/>
      <c r="BL23" s="484"/>
      <c r="BM23" s="484"/>
      <c r="BN23" s="484"/>
      <c r="BO23" s="484"/>
      <c r="BP23" s="484"/>
      <c r="BQ23" s="484"/>
      <c r="BR23" s="484"/>
      <c r="BS23" s="484"/>
      <c r="BT23" s="484"/>
      <c r="BU23" s="484"/>
      <c r="BV23" s="484"/>
      <c r="BW23" s="484"/>
      <c r="BX23" s="484"/>
      <c r="BY23" s="484"/>
      <c r="BZ23" s="484"/>
      <c r="CA23" s="484"/>
      <c r="CB23" s="484"/>
      <c r="CC23" s="484"/>
      <c r="CD23" s="484"/>
      <c r="CE23" s="484"/>
      <c r="CF23" s="484"/>
      <c r="CG23" s="484"/>
      <c r="CH23" s="484"/>
    </row>
    <row r="24" spans="3:86" s="78" customFormat="1" ht="12" x14ac:dyDescent="0.2">
      <c r="C24" s="472"/>
      <c r="D24" s="1109"/>
      <c r="E24" s="505" t="s">
        <v>575</v>
      </c>
      <c r="F24" s="504">
        <f t="shared" ref="F24:F34" si="0">SUM(G24:R24)</f>
        <v>0</v>
      </c>
      <c r="G24" s="521"/>
      <c r="H24" s="522"/>
      <c r="I24" s="522"/>
      <c r="J24" s="522"/>
      <c r="K24" s="522"/>
      <c r="L24" s="522"/>
      <c r="M24" s="522"/>
      <c r="N24" s="522"/>
      <c r="O24" s="522"/>
      <c r="P24" s="522"/>
      <c r="Q24" s="522"/>
      <c r="R24" s="523"/>
      <c r="S24" s="1104"/>
      <c r="T24" s="482"/>
      <c r="U24" s="482"/>
      <c r="V24" s="482"/>
      <c r="W24" s="482"/>
      <c r="X24" s="482"/>
      <c r="Y24" s="482"/>
      <c r="Z24" s="482"/>
      <c r="AA24" s="482"/>
      <c r="AB24" s="482"/>
      <c r="AC24" s="482"/>
      <c r="AD24" s="482"/>
      <c r="AE24" s="483"/>
      <c r="AF24" s="483"/>
      <c r="AG24" s="483"/>
      <c r="AH24" s="484"/>
      <c r="AI24" s="484"/>
      <c r="AJ24" s="484"/>
      <c r="AK24" s="484"/>
      <c r="AL24" s="484"/>
      <c r="AM24" s="484"/>
      <c r="AN24" s="484"/>
      <c r="AO24" s="484"/>
      <c r="AP24" s="484"/>
      <c r="AQ24" s="484"/>
      <c r="AR24" s="484"/>
      <c r="AS24" s="484"/>
      <c r="AT24" s="484"/>
      <c r="AU24" s="484"/>
      <c r="AV24" s="484"/>
      <c r="AW24" s="484"/>
      <c r="AX24" s="484"/>
      <c r="AY24" s="483"/>
      <c r="AZ24" s="483"/>
      <c r="BA24" s="483"/>
      <c r="BB24" s="483"/>
      <c r="BC24" s="483"/>
      <c r="BD24" s="483"/>
      <c r="BE24" s="484"/>
      <c r="BF24" s="484"/>
      <c r="BG24" s="484"/>
      <c r="BH24" s="484"/>
      <c r="BI24" s="484"/>
      <c r="BJ24" s="484"/>
      <c r="BK24" s="484"/>
      <c r="BL24" s="484"/>
      <c r="BM24" s="484"/>
      <c r="BN24" s="484"/>
      <c r="BO24" s="484"/>
      <c r="BP24" s="484"/>
      <c r="BQ24" s="484"/>
      <c r="BR24" s="484"/>
      <c r="BS24" s="484"/>
      <c r="BT24" s="484"/>
      <c r="BU24" s="484"/>
      <c r="BV24" s="484"/>
      <c r="BW24" s="484"/>
      <c r="BX24" s="484"/>
      <c r="BY24" s="484"/>
      <c r="BZ24" s="484"/>
      <c r="CA24" s="484"/>
      <c r="CB24" s="484"/>
      <c r="CC24" s="484"/>
      <c r="CD24" s="484"/>
      <c r="CE24" s="484"/>
      <c r="CF24" s="484"/>
      <c r="CG24" s="484"/>
      <c r="CH24" s="484"/>
    </row>
    <row r="25" spans="3:86" s="78" customFormat="1" ht="12" x14ac:dyDescent="0.2">
      <c r="C25" s="472"/>
      <c r="D25" s="1109"/>
      <c r="E25" s="506" t="s">
        <v>190</v>
      </c>
      <c r="F25" s="288">
        <f t="shared" si="0"/>
        <v>0</v>
      </c>
      <c r="G25" s="515"/>
      <c r="H25" s="516"/>
      <c r="I25" s="516"/>
      <c r="J25" s="516"/>
      <c r="K25" s="516"/>
      <c r="L25" s="516"/>
      <c r="M25" s="516"/>
      <c r="N25" s="516"/>
      <c r="O25" s="516"/>
      <c r="P25" s="516"/>
      <c r="Q25" s="516"/>
      <c r="R25" s="517"/>
      <c r="S25" s="1104"/>
      <c r="T25" s="482"/>
      <c r="U25" s="482"/>
      <c r="V25" s="482"/>
      <c r="W25" s="482"/>
      <c r="X25" s="482"/>
      <c r="Y25" s="482"/>
      <c r="Z25" s="482"/>
      <c r="AA25" s="482"/>
      <c r="AB25" s="482"/>
      <c r="AC25" s="482"/>
      <c r="AD25" s="482"/>
      <c r="AE25" s="483"/>
      <c r="AF25" s="483"/>
      <c r="AG25" s="483"/>
      <c r="AH25" s="484"/>
      <c r="AI25" s="484"/>
      <c r="AJ25" s="484"/>
      <c r="AK25" s="484"/>
      <c r="AL25" s="484"/>
      <c r="AM25" s="484"/>
      <c r="AN25" s="484"/>
      <c r="AO25" s="484"/>
      <c r="AP25" s="484"/>
      <c r="AQ25" s="484"/>
      <c r="AR25" s="484"/>
      <c r="AS25" s="484"/>
      <c r="AT25" s="484"/>
      <c r="AU25" s="484"/>
      <c r="AV25" s="484"/>
      <c r="AW25" s="484"/>
      <c r="AX25" s="484"/>
      <c r="AY25" s="483"/>
      <c r="AZ25" s="483"/>
      <c r="BA25" s="483"/>
      <c r="BB25" s="483"/>
      <c r="BC25" s="483"/>
      <c r="BD25" s="483"/>
      <c r="BE25" s="484"/>
      <c r="BF25" s="484"/>
      <c r="BG25" s="484"/>
      <c r="BH25" s="484"/>
      <c r="BI25" s="484"/>
      <c r="BJ25" s="484"/>
      <c r="BK25" s="484"/>
      <c r="BL25" s="484"/>
      <c r="BM25" s="484"/>
      <c r="BN25" s="484"/>
      <c r="BO25" s="484"/>
      <c r="BP25" s="484"/>
      <c r="BQ25" s="484"/>
      <c r="BR25" s="484"/>
      <c r="BS25" s="484"/>
      <c r="BT25" s="484"/>
      <c r="BU25" s="484"/>
      <c r="BV25" s="484"/>
      <c r="BW25" s="484"/>
      <c r="BX25" s="484"/>
      <c r="BY25" s="484"/>
      <c r="BZ25" s="484"/>
      <c r="CA25" s="484"/>
      <c r="CB25" s="484"/>
      <c r="CC25" s="484"/>
      <c r="CD25" s="484"/>
      <c r="CE25" s="484"/>
      <c r="CF25" s="484"/>
      <c r="CG25" s="484"/>
      <c r="CH25" s="484"/>
    </row>
    <row r="26" spans="3:86" s="78" customFormat="1" ht="12" x14ac:dyDescent="0.2">
      <c r="C26" s="472"/>
      <c r="D26" s="1109"/>
      <c r="E26" s="494" t="s">
        <v>576</v>
      </c>
      <c r="F26" s="288">
        <f t="shared" si="0"/>
        <v>0</v>
      </c>
      <c r="G26" s="515"/>
      <c r="H26" s="516"/>
      <c r="I26" s="516"/>
      <c r="J26" s="516"/>
      <c r="K26" s="516"/>
      <c r="L26" s="516"/>
      <c r="M26" s="516"/>
      <c r="N26" s="516"/>
      <c r="O26" s="516"/>
      <c r="P26" s="516"/>
      <c r="Q26" s="516"/>
      <c r="R26" s="517"/>
      <c r="S26" s="1104"/>
      <c r="T26" s="482"/>
      <c r="U26" s="482"/>
      <c r="V26" s="482"/>
      <c r="W26" s="482"/>
      <c r="X26" s="482"/>
      <c r="Y26" s="482"/>
      <c r="Z26" s="482"/>
      <c r="AA26" s="482"/>
      <c r="AB26" s="482"/>
      <c r="AC26" s="482"/>
      <c r="AD26" s="482"/>
      <c r="AE26" s="483"/>
      <c r="AF26" s="483"/>
      <c r="AG26" s="483"/>
      <c r="AH26" s="484"/>
      <c r="AI26" s="484"/>
      <c r="AJ26" s="484"/>
      <c r="AK26" s="484"/>
      <c r="AL26" s="484"/>
      <c r="AM26" s="484"/>
      <c r="AN26" s="484"/>
      <c r="AO26" s="484"/>
      <c r="AP26" s="484"/>
      <c r="AQ26" s="484"/>
      <c r="AR26" s="484"/>
      <c r="AS26" s="484"/>
      <c r="AT26" s="484"/>
      <c r="AU26" s="484"/>
      <c r="AV26" s="484"/>
      <c r="AW26" s="484"/>
      <c r="AX26" s="484"/>
      <c r="AY26" s="483"/>
      <c r="AZ26" s="483"/>
      <c r="BA26" s="483"/>
      <c r="BB26" s="483"/>
      <c r="BC26" s="483"/>
      <c r="BD26" s="483"/>
      <c r="BE26" s="484"/>
      <c r="BF26" s="484"/>
      <c r="BG26" s="484"/>
      <c r="BH26" s="484"/>
      <c r="BI26" s="484"/>
      <c r="BJ26" s="484"/>
      <c r="BK26" s="484"/>
      <c r="BL26" s="484"/>
      <c r="BM26" s="484"/>
      <c r="BN26" s="484"/>
      <c r="BO26" s="484"/>
      <c r="BP26" s="484"/>
      <c r="BQ26" s="484"/>
      <c r="BR26" s="484"/>
      <c r="BS26" s="484"/>
      <c r="BT26" s="484"/>
      <c r="BU26" s="484"/>
      <c r="BV26" s="484"/>
      <c r="BW26" s="484"/>
      <c r="BX26" s="484"/>
      <c r="BY26" s="484"/>
      <c r="BZ26" s="484"/>
      <c r="CA26" s="484"/>
      <c r="CB26" s="484"/>
      <c r="CC26" s="484"/>
      <c r="CD26" s="484"/>
      <c r="CE26" s="484"/>
      <c r="CF26" s="484"/>
      <c r="CG26" s="484"/>
      <c r="CH26" s="484"/>
    </row>
    <row r="27" spans="3:86" s="78" customFormat="1" ht="12" x14ac:dyDescent="0.2">
      <c r="C27" s="472"/>
      <c r="D27" s="1109"/>
      <c r="E27" s="495" t="s">
        <v>1501</v>
      </c>
      <c r="F27" s="288">
        <f t="shared" si="0"/>
        <v>0</v>
      </c>
      <c r="G27" s="515"/>
      <c r="H27" s="516"/>
      <c r="I27" s="516"/>
      <c r="J27" s="516"/>
      <c r="K27" s="516"/>
      <c r="L27" s="516"/>
      <c r="M27" s="516"/>
      <c r="N27" s="516"/>
      <c r="O27" s="516"/>
      <c r="P27" s="516"/>
      <c r="Q27" s="516"/>
      <c r="R27" s="517"/>
      <c r="S27" s="1104"/>
      <c r="T27" s="482"/>
      <c r="U27" s="482"/>
      <c r="V27" s="482"/>
      <c r="W27" s="482"/>
      <c r="X27" s="482"/>
      <c r="Y27" s="482"/>
      <c r="Z27" s="482"/>
      <c r="AA27" s="482"/>
      <c r="AB27" s="482"/>
      <c r="AC27" s="482"/>
      <c r="AD27" s="482"/>
      <c r="AE27" s="483"/>
      <c r="AF27" s="483"/>
      <c r="AG27" s="483"/>
      <c r="AH27" s="484"/>
      <c r="AI27" s="484"/>
      <c r="AJ27" s="484"/>
      <c r="AK27" s="484"/>
      <c r="AL27" s="484"/>
      <c r="AM27" s="484"/>
      <c r="AN27" s="484"/>
      <c r="AO27" s="484"/>
      <c r="AP27" s="484"/>
      <c r="AQ27" s="484"/>
      <c r="AR27" s="484"/>
      <c r="AS27" s="484"/>
      <c r="AT27" s="484"/>
      <c r="AU27" s="484"/>
      <c r="AV27" s="484"/>
      <c r="AW27" s="484"/>
      <c r="AX27" s="484"/>
      <c r="AY27" s="483"/>
      <c r="AZ27" s="483"/>
      <c r="BA27" s="483"/>
      <c r="BB27" s="483"/>
      <c r="BC27" s="483"/>
      <c r="BD27" s="483"/>
      <c r="BE27" s="484"/>
      <c r="BF27" s="484"/>
      <c r="BG27" s="484"/>
      <c r="BH27" s="484"/>
      <c r="BI27" s="484"/>
      <c r="BJ27" s="484"/>
      <c r="BK27" s="484"/>
      <c r="BL27" s="484"/>
      <c r="BM27" s="484"/>
      <c r="BN27" s="484"/>
      <c r="BO27" s="484"/>
      <c r="BP27" s="484"/>
      <c r="BQ27" s="484"/>
      <c r="BR27" s="484"/>
      <c r="BS27" s="484"/>
      <c r="BT27" s="484"/>
      <c r="BU27" s="484"/>
      <c r="BV27" s="484"/>
      <c r="BW27" s="484"/>
      <c r="BX27" s="484"/>
      <c r="BY27" s="484"/>
      <c r="BZ27" s="484"/>
      <c r="CA27" s="484"/>
      <c r="CB27" s="484"/>
      <c r="CC27" s="484"/>
      <c r="CD27" s="484"/>
      <c r="CE27" s="484"/>
      <c r="CF27" s="484"/>
      <c r="CG27" s="484"/>
      <c r="CH27" s="484"/>
    </row>
    <row r="28" spans="3:86" s="78" customFormat="1" ht="12" x14ac:dyDescent="0.2">
      <c r="C28" s="472"/>
      <c r="D28" s="1109"/>
      <c r="E28" s="495" t="s">
        <v>818</v>
      </c>
      <c r="F28" s="288">
        <f t="shared" si="0"/>
        <v>0</v>
      </c>
      <c r="G28" s="515"/>
      <c r="H28" s="516"/>
      <c r="I28" s="516"/>
      <c r="J28" s="516"/>
      <c r="K28" s="516"/>
      <c r="L28" s="516"/>
      <c r="M28" s="516"/>
      <c r="N28" s="516"/>
      <c r="O28" s="516"/>
      <c r="P28" s="516"/>
      <c r="Q28" s="516"/>
      <c r="R28" s="517"/>
      <c r="S28" s="1104"/>
      <c r="T28" s="482"/>
      <c r="U28" s="482"/>
      <c r="V28" s="482"/>
      <c r="W28" s="482"/>
      <c r="X28" s="482"/>
      <c r="Y28" s="482"/>
      <c r="Z28" s="482"/>
      <c r="AA28" s="482"/>
      <c r="AB28" s="482"/>
      <c r="AC28" s="482"/>
      <c r="AD28" s="482"/>
      <c r="AE28" s="483"/>
      <c r="AF28" s="483"/>
      <c r="AG28" s="483"/>
      <c r="AH28" s="484"/>
      <c r="AI28" s="484"/>
      <c r="AJ28" s="484"/>
      <c r="AK28" s="484"/>
      <c r="AL28" s="484"/>
      <c r="AM28" s="484"/>
      <c r="AN28" s="484"/>
      <c r="AO28" s="484"/>
      <c r="AP28" s="484"/>
      <c r="AQ28" s="484"/>
      <c r="AR28" s="484"/>
      <c r="AS28" s="484"/>
      <c r="AT28" s="484"/>
      <c r="AU28" s="484"/>
      <c r="AV28" s="484"/>
      <c r="AW28" s="484"/>
      <c r="AX28" s="484"/>
      <c r="AY28" s="483"/>
      <c r="AZ28" s="483"/>
      <c r="BA28" s="483"/>
      <c r="BB28" s="483"/>
      <c r="BC28" s="483"/>
      <c r="BD28" s="483"/>
      <c r="BE28" s="484"/>
      <c r="BF28" s="484"/>
      <c r="BG28" s="484"/>
      <c r="BH28" s="484"/>
      <c r="BI28" s="484"/>
      <c r="BJ28" s="484"/>
      <c r="BK28" s="484"/>
      <c r="BL28" s="484"/>
      <c r="BM28" s="484"/>
      <c r="BN28" s="484"/>
      <c r="BO28" s="484"/>
      <c r="BP28" s="484"/>
      <c r="BQ28" s="484"/>
      <c r="BR28" s="484"/>
      <c r="BS28" s="484"/>
      <c r="BT28" s="484"/>
      <c r="BU28" s="484"/>
      <c r="BV28" s="484"/>
      <c r="BW28" s="484"/>
      <c r="BX28" s="484"/>
      <c r="BY28" s="484"/>
      <c r="BZ28" s="484"/>
      <c r="CA28" s="484"/>
      <c r="CB28" s="484"/>
      <c r="CC28" s="484"/>
      <c r="CD28" s="484"/>
      <c r="CE28" s="484"/>
      <c r="CF28" s="484"/>
      <c r="CG28" s="484"/>
      <c r="CH28" s="484"/>
    </row>
    <row r="29" spans="3:86" s="78" customFormat="1" ht="12" x14ac:dyDescent="0.2">
      <c r="C29" s="472"/>
      <c r="D29" s="1109"/>
      <c r="E29" s="495" t="s">
        <v>577</v>
      </c>
      <c r="F29" s="288">
        <f t="shared" si="0"/>
        <v>0</v>
      </c>
      <c r="G29" s="515"/>
      <c r="H29" s="516"/>
      <c r="I29" s="516"/>
      <c r="J29" s="516"/>
      <c r="K29" s="516"/>
      <c r="L29" s="516"/>
      <c r="M29" s="516"/>
      <c r="N29" s="516"/>
      <c r="O29" s="516"/>
      <c r="P29" s="516"/>
      <c r="Q29" s="516"/>
      <c r="R29" s="517"/>
      <c r="S29" s="1104"/>
      <c r="T29" s="482"/>
      <c r="U29" s="482"/>
      <c r="V29" s="482"/>
      <c r="W29" s="482"/>
      <c r="X29" s="482"/>
      <c r="Y29" s="482"/>
      <c r="Z29" s="482"/>
      <c r="AA29" s="482"/>
      <c r="AB29" s="482"/>
      <c r="AC29" s="482"/>
      <c r="AD29" s="482"/>
      <c r="AE29" s="483"/>
      <c r="AF29" s="483"/>
      <c r="AG29" s="483"/>
      <c r="AH29" s="484"/>
      <c r="AI29" s="484"/>
      <c r="AJ29" s="484"/>
      <c r="AK29" s="484"/>
      <c r="AL29" s="484"/>
      <c r="AM29" s="484"/>
      <c r="AN29" s="484"/>
      <c r="AO29" s="484"/>
      <c r="AP29" s="484"/>
      <c r="AQ29" s="484"/>
      <c r="AR29" s="484"/>
      <c r="AS29" s="484"/>
      <c r="AT29" s="484"/>
      <c r="AU29" s="484"/>
      <c r="AV29" s="484"/>
      <c r="AW29" s="484"/>
      <c r="AX29" s="484"/>
      <c r="AY29" s="483"/>
      <c r="AZ29" s="483"/>
      <c r="BA29" s="483"/>
      <c r="BB29" s="483"/>
      <c r="BC29" s="483"/>
      <c r="BD29" s="483"/>
      <c r="BE29" s="484"/>
      <c r="BF29" s="484"/>
      <c r="BG29" s="484"/>
      <c r="BH29" s="484"/>
      <c r="BI29" s="484"/>
      <c r="BJ29" s="484"/>
      <c r="BK29" s="484"/>
      <c r="BL29" s="484"/>
      <c r="BM29" s="484"/>
      <c r="BN29" s="484"/>
      <c r="BO29" s="484"/>
      <c r="BP29" s="484"/>
      <c r="BQ29" s="484"/>
      <c r="BR29" s="484"/>
      <c r="BS29" s="484"/>
      <c r="BT29" s="484"/>
      <c r="BU29" s="484"/>
      <c r="BV29" s="484"/>
      <c r="BW29" s="484"/>
      <c r="BX29" s="484"/>
      <c r="BY29" s="484"/>
      <c r="BZ29" s="484"/>
      <c r="CA29" s="484"/>
      <c r="CB29" s="484"/>
      <c r="CC29" s="484"/>
      <c r="CD29" s="484"/>
      <c r="CE29" s="484"/>
      <c r="CF29" s="484"/>
      <c r="CG29" s="484"/>
      <c r="CH29" s="484"/>
    </row>
    <row r="30" spans="3:86" s="78" customFormat="1" ht="12" x14ac:dyDescent="0.2">
      <c r="C30" s="472"/>
      <c r="D30" s="1109"/>
      <c r="E30" s="495" t="s">
        <v>578</v>
      </c>
      <c r="F30" s="288">
        <f t="shared" si="0"/>
        <v>0</v>
      </c>
      <c r="G30" s="515"/>
      <c r="H30" s="516"/>
      <c r="I30" s="516"/>
      <c r="J30" s="516"/>
      <c r="K30" s="516"/>
      <c r="L30" s="516"/>
      <c r="M30" s="516"/>
      <c r="N30" s="516"/>
      <c r="O30" s="516"/>
      <c r="P30" s="516"/>
      <c r="Q30" s="516"/>
      <c r="R30" s="517"/>
      <c r="S30" s="1104"/>
      <c r="T30" s="482"/>
      <c r="U30" s="482"/>
      <c r="V30" s="482"/>
      <c r="W30" s="482"/>
      <c r="X30" s="482"/>
      <c r="Y30" s="482"/>
      <c r="Z30" s="482"/>
      <c r="AA30" s="482"/>
      <c r="AB30" s="482"/>
      <c r="AC30" s="482"/>
      <c r="AD30" s="482"/>
      <c r="AE30" s="483"/>
      <c r="AF30" s="483"/>
      <c r="AG30" s="483"/>
      <c r="AH30" s="484"/>
      <c r="AI30" s="484"/>
      <c r="AJ30" s="484"/>
      <c r="AK30" s="484"/>
      <c r="AL30" s="484"/>
      <c r="AM30" s="484"/>
      <c r="AN30" s="484"/>
      <c r="AO30" s="484"/>
      <c r="AP30" s="484"/>
      <c r="AQ30" s="484"/>
      <c r="AR30" s="484"/>
      <c r="AS30" s="484"/>
      <c r="AT30" s="484"/>
      <c r="AU30" s="484"/>
      <c r="AV30" s="484"/>
      <c r="AW30" s="484"/>
      <c r="AX30" s="484"/>
      <c r="AY30" s="483"/>
      <c r="AZ30" s="483"/>
      <c r="BA30" s="483"/>
      <c r="BB30" s="483"/>
      <c r="BC30" s="483"/>
      <c r="BD30" s="483"/>
      <c r="BE30" s="484"/>
      <c r="BF30" s="484"/>
      <c r="BG30" s="484"/>
      <c r="BH30" s="484"/>
      <c r="BI30" s="484"/>
      <c r="BJ30" s="484"/>
      <c r="BK30" s="484"/>
      <c r="BL30" s="484"/>
      <c r="BM30" s="484"/>
      <c r="BN30" s="484"/>
      <c r="BO30" s="484"/>
      <c r="BP30" s="484"/>
      <c r="BQ30" s="484"/>
      <c r="BR30" s="484"/>
      <c r="BS30" s="484"/>
      <c r="BT30" s="484"/>
      <c r="BU30" s="484"/>
      <c r="BV30" s="484"/>
      <c r="BW30" s="484"/>
      <c r="BX30" s="484"/>
      <c r="BY30" s="484"/>
      <c r="BZ30" s="484"/>
      <c r="CA30" s="484"/>
      <c r="CB30" s="484"/>
      <c r="CC30" s="484"/>
      <c r="CD30" s="484"/>
      <c r="CE30" s="484"/>
      <c r="CF30" s="484"/>
      <c r="CG30" s="484"/>
      <c r="CH30" s="484"/>
    </row>
    <row r="31" spans="3:86" s="78" customFormat="1" ht="12" x14ac:dyDescent="0.2">
      <c r="C31" s="472"/>
      <c r="D31" s="1109"/>
      <c r="E31" s="495" t="s">
        <v>475</v>
      </c>
      <c r="F31" s="288">
        <f t="shared" si="0"/>
        <v>0</v>
      </c>
      <c r="G31" s="515"/>
      <c r="H31" s="516"/>
      <c r="I31" s="516"/>
      <c r="J31" s="516"/>
      <c r="K31" s="516"/>
      <c r="L31" s="516"/>
      <c r="M31" s="516"/>
      <c r="N31" s="516"/>
      <c r="O31" s="516"/>
      <c r="P31" s="516"/>
      <c r="Q31" s="516"/>
      <c r="R31" s="517"/>
      <c r="S31" s="1104"/>
      <c r="T31" s="482"/>
      <c r="U31" s="482"/>
      <c r="V31" s="482"/>
      <c r="W31" s="482"/>
      <c r="X31" s="482"/>
      <c r="Y31" s="482"/>
      <c r="Z31" s="482"/>
      <c r="AA31" s="482"/>
      <c r="AB31" s="482"/>
      <c r="AC31" s="482"/>
      <c r="AD31" s="482"/>
      <c r="AE31" s="483"/>
      <c r="AF31" s="483"/>
      <c r="AG31" s="483"/>
      <c r="AH31" s="484"/>
      <c r="AI31" s="484"/>
      <c r="AJ31" s="484"/>
      <c r="AK31" s="484"/>
      <c r="AL31" s="484"/>
      <c r="AM31" s="484"/>
      <c r="AN31" s="484"/>
      <c r="AO31" s="484"/>
      <c r="AP31" s="484"/>
      <c r="AQ31" s="484"/>
      <c r="AR31" s="484"/>
      <c r="AS31" s="484"/>
      <c r="AT31" s="484"/>
      <c r="AU31" s="484"/>
      <c r="AV31" s="484"/>
      <c r="AW31" s="484"/>
      <c r="AX31" s="484"/>
      <c r="AY31" s="483"/>
      <c r="AZ31" s="483"/>
      <c r="BA31" s="483"/>
      <c r="BB31" s="483"/>
      <c r="BC31" s="483"/>
      <c r="BD31" s="483"/>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c r="CC31" s="484"/>
      <c r="CD31" s="484"/>
      <c r="CE31" s="484"/>
      <c r="CF31" s="484"/>
      <c r="CG31" s="484"/>
      <c r="CH31" s="484"/>
    </row>
    <row r="32" spans="3:86" s="78" customFormat="1" ht="12" x14ac:dyDescent="0.2">
      <c r="C32" s="472"/>
      <c r="D32" s="1109"/>
      <c r="E32" s="495" t="s">
        <v>1502</v>
      </c>
      <c r="F32" s="288">
        <f t="shared" si="0"/>
        <v>0</v>
      </c>
      <c r="G32" s="515"/>
      <c r="H32" s="516"/>
      <c r="I32" s="516"/>
      <c r="J32" s="516"/>
      <c r="K32" s="516"/>
      <c r="L32" s="516"/>
      <c r="M32" s="516"/>
      <c r="N32" s="516"/>
      <c r="O32" s="516"/>
      <c r="P32" s="516"/>
      <c r="Q32" s="516"/>
      <c r="R32" s="517"/>
      <c r="S32" s="1104"/>
      <c r="T32" s="485"/>
      <c r="U32" s="482"/>
      <c r="V32" s="482"/>
      <c r="W32" s="482"/>
      <c r="X32" s="482"/>
      <c r="Y32" s="482"/>
      <c r="Z32" s="482"/>
      <c r="AA32" s="482"/>
      <c r="AB32" s="482"/>
      <c r="AC32" s="482"/>
      <c r="AD32" s="482"/>
      <c r="AE32" s="483"/>
      <c r="AF32" s="483"/>
      <c r="AG32" s="483"/>
      <c r="AH32" s="484"/>
      <c r="AI32" s="484"/>
      <c r="AJ32" s="484"/>
      <c r="AK32" s="484"/>
      <c r="AL32" s="484"/>
      <c r="AM32" s="484"/>
      <c r="AN32" s="484"/>
      <c r="AO32" s="484"/>
      <c r="AP32" s="484"/>
      <c r="AQ32" s="484"/>
      <c r="AR32" s="484"/>
      <c r="AS32" s="484"/>
      <c r="AT32" s="484"/>
      <c r="AU32" s="484"/>
      <c r="AV32" s="484"/>
      <c r="AW32" s="484"/>
      <c r="AX32" s="484"/>
      <c r="AY32" s="483"/>
      <c r="AZ32" s="483"/>
      <c r="BA32" s="483"/>
      <c r="BB32" s="483"/>
      <c r="BC32" s="483"/>
      <c r="BD32" s="483"/>
      <c r="BE32" s="484"/>
      <c r="BF32" s="484"/>
      <c r="BG32" s="484"/>
      <c r="BH32" s="484"/>
      <c r="BI32" s="484"/>
      <c r="BJ32" s="484"/>
      <c r="BK32" s="484"/>
      <c r="BL32" s="484"/>
      <c r="BM32" s="484"/>
      <c r="BN32" s="484"/>
      <c r="BO32" s="484"/>
      <c r="BP32" s="484"/>
      <c r="BQ32" s="484"/>
      <c r="BR32" s="484"/>
      <c r="BS32" s="484"/>
      <c r="BT32" s="484"/>
      <c r="BU32" s="484"/>
      <c r="BV32" s="484"/>
      <c r="BW32" s="484"/>
      <c r="BX32" s="484"/>
      <c r="BY32" s="484"/>
      <c r="BZ32" s="484"/>
      <c r="CA32" s="484"/>
      <c r="CB32" s="484"/>
      <c r="CC32" s="484"/>
      <c r="CD32" s="484"/>
      <c r="CE32" s="484"/>
      <c r="CF32" s="484"/>
      <c r="CG32" s="484"/>
      <c r="CH32" s="484"/>
    </row>
    <row r="33" spans="2:86" s="78" customFormat="1" ht="12" x14ac:dyDescent="0.2">
      <c r="C33" s="472"/>
      <c r="D33" s="1109"/>
      <c r="E33" s="495" t="s">
        <v>476</v>
      </c>
      <c r="F33" s="288">
        <f t="shared" si="0"/>
        <v>0</v>
      </c>
      <c r="G33" s="515"/>
      <c r="H33" s="516"/>
      <c r="I33" s="516"/>
      <c r="J33" s="516"/>
      <c r="K33" s="516"/>
      <c r="L33" s="516"/>
      <c r="M33" s="516"/>
      <c r="N33" s="516"/>
      <c r="O33" s="516"/>
      <c r="P33" s="516"/>
      <c r="Q33" s="516"/>
      <c r="R33" s="517"/>
      <c r="S33" s="1104"/>
      <c r="T33" s="485"/>
      <c r="U33" s="482"/>
      <c r="V33" s="482"/>
      <c r="W33" s="482"/>
      <c r="X33" s="482"/>
      <c r="Y33" s="482"/>
      <c r="Z33" s="482"/>
      <c r="AA33" s="482"/>
      <c r="AB33" s="482"/>
      <c r="AC33" s="482"/>
      <c r="AD33" s="482"/>
      <c r="AE33" s="483"/>
      <c r="AF33" s="483"/>
      <c r="AG33" s="483"/>
      <c r="AH33" s="484"/>
      <c r="AI33" s="484"/>
      <c r="AJ33" s="484"/>
      <c r="AK33" s="484"/>
      <c r="AL33" s="484"/>
      <c r="AM33" s="484"/>
      <c r="AN33" s="484"/>
      <c r="AO33" s="484"/>
      <c r="AP33" s="484"/>
      <c r="AQ33" s="484"/>
      <c r="AR33" s="484"/>
      <c r="AS33" s="484"/>
      <c r="AT33" s="484"/>
      <c r="AU33" s="484"/>
      <c r="AV33" s="484"/>
      <c r="AW33" s="484"/>
      <c r="AX33" s="484"/>
      <c r="AY33" s="483"/>
      <c r="AZ33" s="483"/>
      <c r="BA33" s="483"/>
      <c r="BB33" s="483"/>
      <c r="BC33" s="483"/>
      <c r="BD33" s="483"/>
      <c r="BE33" s="484"/>
      <c r="BF33" s="484"/>
      <c r="BG33" s="484"/>
      <c r="BH33" s="484"/>
      <c r="BI33" s="484"/>
      <c r="BJ33" s="484"/>
      <c r="BK33" s="484"/>
      <c r="BL33" s="484"/>
      <c r="BM33" s="484"/>
      <c r="BN33" s="484"/>
      <c r="BO33" s="484"/>
      <c r="BP33" s="484"/>
      <c r="BQ33" s="484"/>
      <c r="BR33" s="484"/>
      <c r="BS33" s="484"/>
      <c r="BT33" s="484"/>
      <c r="BU33" s="484"/>
      <c r="BV33" s="484"/>
      <c r="BW33" s="484"/>
      <c r="BX33" s="484"/>
      <c r="BY33" s="484"/>
      <c r="BZ33" s="484"/>
      <c r="CA33" s="484"/>
      <c r="CB33" s="484"/>
      <c r="CC33" s="484"/>
      <c r="CD33" s="484"/>
      <c r="CE33" s="484"/>
      <c r="CF33" s="484"/>
      <c r="CG33" s="484"/>
      <c r="CH33" s="484"/>
    </row>
    <row r="34" spans="2:86" s="78" customFormat="1" ht="12" x14ac:dyDescent="0.2">
      <c r="C34" s="472"/>
      <c r="D34" s="1109"/>
      <c r="E34" s="500" t="s">
        <v>477</v>
      </c>
      <c r="F34" s="501">
        <f t="shared" si="0"/>
        <v>0</v>
      </c>
      <c r="G34" s="518"/>
      <c r="H34" s="519"/>
      <c r="I34" s="519"/>
      <c r="J34" s="519"/>
      <c r="K34" s="519"/>
      <c r="L34" s="519"/>
      <c r="M34" s="519"/>
      <c r="N34" s="519"/>
      <c r="O34" s="519"/>
      <c r="P34" s="519"/>
      <c r="Q34" s="519"/>
      <c r="R34" s="520"/>
      <c r="S34" s="1104"/>
      <c r="T34" s="485"/>
      <c r="U34" s="482"/>
      <c r="V34" s="482"/>
      <c r="W34" s="482"/>
      <c r="X34" s="482"/>
      <c r="Y34" s="482"/>
      <c r="Z34" s="482"/>
      <c r="AA34" s="482"/>
      <c r="AB34" s="482"/>
      <c r="AC34" s="482"/>
      <c r="AD34" s="482"/>
      <c r="AE34" s="483"/>
      <c r="AF34" s="483"/>
      <c r="AG34" s="483"/>
      <c r="AH34" s="484"/>
      <c r="AI34" s="484"/>
      <c r="AJ34" s="484"/>
      <c r="AK34" s="484"/>
      <c r="AL34" s="484"/>
      <c r="AM34" s="484"/>
      <c r="AN34" s="484"/>
      <c r="AO34" s="484"/>
      <c r="AP34" s="484"/>
      <c r="AQ34" s="484"/>
      <c r="AR34" s="484"/>
      <c r="AS34" s="484"/>
      <c r="AT34" s="484"/>
      <c r="AU34" s="484"/>
      <c r="AV34" s="484"/>
      <c r="AW34" s="484"/>
      <c r="AX34" s="484"/>
      <c r="AY34" s="483"/>
      <c r="AZ34" s="483"/>
      <c r="BA34" s="483"/>
      <c r="BB34" s="483"/>
      <c r="BC34" s="483"/>
      <c r="BD34" s="483"/>
      <c r="BE34" s="484"/>
      <c r="BF34" s="484"/>
      <c r="BG34" s="484"/>
      <c r="BH34" s="484"/>
      <c r="BI34" s="484"/>
      <c r="BJ34" s="484"/>
      <c r="BK34" s="484"/>
      <c r="BL34" s="484"/>
      <c r="BM34" s="484"/>
      <c r="BN34" s="484"/>
      <c r="BO34" s="484"/>
      <c r="BP34" s="484"/>
      <c r="BQ34" s="484"/>
      <c r="BR34" s="484"/>
      <c r="BS34" s="484"/>
      <c r="BT34" s="484"/>
      <c r="BU34" s="484"/>
      <c r="BV34" s="484"/>
      <c r="BW34" s="484"/>
      <c r="BX34" s="484"/>
      <c r="BY34" s="484"/>
      <c r="BZ34" s="484"/>
      <c r="CA34" s="484"/>
      <c r="CB34" s="484"/>
      <c r="CC34" s="484"/>
      <c r="CD34" s="484"/>
      <c r="CE34" s="484"/>
      <c r="CF34" s="484"/>
      <c r="CG34" s="484"/>
      <c r="CH34" s="484"/>
    </row>
    <row r="35" spans="2:86" s="78" customFormat="1" ht="3" customHeight="1" thickBot="1" x14ac:dyDescent="0.25">
      <c r="C35" s="472"/>
      <c r="D35" s="1109"/>
      <c r="E35" s="1145"/>
      <c r="F35" s="1113"/>
      <c r="G35" s="1105"/>
      <c r="H35" s="1105"/>
      <c r="I35" s="1105"/>
      <c r="J35" s="1105"/>
      <c r="K35" s="1105"/>
      <c r="L35" s="1105"/>
      <c r="M35" s="1105"/>
      <c r="N35" s="1105"/>
      <c r="O35" s="1105"/>
      <c r="P35" s="1105"/>
      <c r="Q35" s="1105"/>
      <c r="R35" s="1105"/>
      <c r="S35" s="1104"/>
      <c r="T35" s="485"/>
      <c r="U35" s="482"/>
      <c r="V35" s="482"/>
      <c r="W35" s="482"/>
      <c r="X35" s="482"/>
      <c r="Y35" s="482"/>
      <c r="Z35" s="482"/>
      <c r="AA35" s="482"/>
      <c r="AB35" s="482"/>
      <c r="AC35" s="482"/>
      <c r="AD35" s="482"/>
      <c r="AE35" s="483"/>
      <c r="AF35" s="483"/>
      <c r="AG35" s="483"/>
      <c r="AH35" s="484"/>
      <c r="AI35" s="484"/>
      <c r="AJ35" s="484"/>
      <c r="AK35" s="484"/>
      <c r="AL35" s="484"/>
      <c r="AM35" s="484"/>
      <c r="AN35" s="484"/>
      <c r="AO35" s="484"/>
      <c r="AP35" s="484"/>
      <c r="AQ35" s="484"/>
      <c r="AR35" s="484"/>
      <c r="AS35" s="484"/>
      <c r="AT35" s="484"/>
      <c r="AU35" s="484"/>
      <c r="AV35" s="484"/>
      <c r="AW35" s="484"/>
      <c r="AX35" s="484"/>
      <c r="AY35" s="483"/>
      <c r="AZ35" s="483"/>
      <c r="BA35" s="483"/>
      <c r="BB35" s="483"/>
      <c r="BC35" s="483"/>
      <c r="BD35" s="483"/>
      <c r="BE35" s="484"/>
      <c r="BF35" s="484"/>
      <c r="BG35" s="484"/>
      <c r="BH35" s="484"/>
      <c r="BI35" s="484"/>
      <c r="BJ35" s="484"/>
      <c r="BK35" s="484"/>
      <c r="BL35" s="484"/>
      <c r="BM35" s="484"/>
      <c r="BN35" s="484"/>
      <c r="BO35" s="484"/>
      <c r="BP35" s="484"/>
      <c r="BQ35" s="484"/>
      <c r="BR35" s="484"/>
      <c r="BS35" s="484"/>
      <c r="BT35" s="484"/>
      <c r="BU35" s="484"/>
      <c r="BV35" s="484"/>
      <c r="BW35" s="484"/>
      <c r="BX35" s="484"/>
      <c r="BY35" s="484"/>
      <c r="BZ35" s="484"/>
      <c r="CA35" s="484"/>
      <c r="CB35" s="484"/>
      <c r="CC35" s="484"/>
      <c r="CD35" s="484"/>
      <c r="CE35" s="484"/>
      <c r="CF35" s="484"/>
      <c r="CG35" s="484"/>
      <c r="CH35" s="484"/>
    </row>
    <row r="36" spans="2:86" s="78" customFormat="1" ht="12" customHeight="1" thickBot="1" x14ac:dyDescent="0.25">
      <c r="C36" s="472"/>
      <c r="D36" s="1109"/>
      <c r="E36" s="1454" t="s">
        <v>129</v>
      </c>
      <c r="F36" s="1455"/>
      <c r="G36" s="1450">
        <f>SUM(F38:F39)</f>
        <v>0</v>
      </c>
      <c r="H36" s="1451"/>
      <c r="I36" s="401" t="str">
        <f>IF(G36=0,"",IF($G$42=0,0,G36/$G$42))</f>
        <v/>
      </c>
      <c r="J36" s="1105"/>
      <c r="K36" s="1105"/>
      <c r="L36" s="1105"/>
      <c r="M36" s="1105"/>
      <c r="N36" s="1105"/>
      <c r="O36" s="1105"/>
      <c r="P36" s="1105"/>
      <c r="Q36" s="1105"/>
      <c r="R36" s="1105"/>
      <c r="S36" s="1104"/>
      <c r="T36" s="485"/>
      <c r="U36" s="509"/>
      <c r="V36" s="510"/>
      <c r="W36" s="482"/>
      <c r="X36" s="482"/>
      <c r="Y36" s="482"/>
      <c r="Z36" s="482"/>
      <c r="AA36" s="482"/>
      <c r="AB36" s="482"/>
      <c r="AC36" s="482"/>
      <c r="AD36" s="482"/>
      <c r="AE36" s="483"/>
      <c r="AF36" s="483"/>
      <c r="AG36" s="483"/>
      <c r="AH36" s="484"/>
      <c r="AI36" s="484"/>
      <c r="AJ36" s="484"/>
      <c r="AK36" s="484"/>
      <c r="AL36" s="484"/>
      <c r="AM36" s="484"/>
      <c r="AN36" s="484"/>
      <c r="AO36" s="484"/>
      <c r="AP36" s="484"/>
      <c r="AQ36" s="484"/>
      <c r="AR36" s="484"/>
      <c r="AS36" s="484"/>
      <c r="AT36" s="484"/>
      <c r="AU36" s="484"/>
      <c r="AV36" s="484"/>
      <c r="AW36" s="484"/>
      <c r="AX36" s="484"/>
      <c r="AY36" s="483"/>
      <c r="AZ36" s="483"/>
      <c r="BA36" s="483"/>
      <c r="BB36" s="483"/>
      <c r="BC36" s="483"/>
      <c r="BD36" s="483"/>
      <c r="BE36" s="484"/>
      <c r="BF36" s="484"/>
      <c r="BG36" s="484"/>
      <c r="BH36" s="484"/>
      <c r="BI36" s="484"/>
      <c r="BJ36" s="484"/>
      <c r="BK36" s="484"/>
      <c r="BL36" s="484"/>
      <c r="BM36" s="484"/>
      <c r="BN36" s="484"/>
      <c r="BO36" s="484"/>
      <c r="BP36" s="484"/>
      <c r="BQ36" s="484"/>
      <c r="BR36" s="484"/>
      <c r="BS36" s="484"/>
      <c r="BT36" s="484"/>
      <c r="BU36" s="484"/>
      <c r="BV36" s="484"/>
      <c r="BW36" s="484"/>
      <c r="BX36" s="484"/>
      <c r="BY36" s="484"/>
      <c r="BZ36" s="484"/>
      <c r="CA36" s="484"/>
      <c r="CB36" s="484"/>
      <c r="CC36" s="484"/>
      <c r="CD36" s="484"/>
      <c r="CE36" s="484"/>
      <c r="CF36" s="484"/>
      <c r="CG36" s="484"/>
      <c r="CH36" s="484"/>
    </row>
    <row r="37" spans="2:86" s="78" customFormat="1" ht="2.1" customHeight="1" x14ac:dyDescent="0.2">
      <c r="C37" s="472"/>
      <c r="D37" s="1109"/>
      <c r="E37" s="1145"/>
      <c r="F37" s="1113"/>
      <c r="G37" s="1105"/>
      <c r="H37" s="1105"/>
      <c r="I37" s="1105"/>
      <c r="J37" s="1105"/>
      <c r="K37" s="1105"/>
      <c r="L37" s="1105"/>
      <c r="M37" s="1105"/>
      <c r="N37" s="1105"/>
      <c r="O37" s="1105"/>
      <c r="P37" s="1105"/>
      <c r="Q37" s="1105"/>
      <c r="R37" s="1105"/>
      <c r="S37" s="1104"/>
      <c r="T37" s="485"/>
      <c r="U37" s="482"/>
      <c r="V37" s="482"/>
      <c r="W37" s="482"/>
      <c r="X37" s="482"/>
      <c r="Y37" s="482"/>
      <c r="Z37" s="482"/>
      <c r="AA37" s="482"/>
      <c r="AB37" s="482"/>
      <c r="AC37" s="482"/>
      <c r="AD37" s="482"/>
      <c r="AE37" s="483"/>
      <c r="AF37" s="483"/>
      <c r="AG37" s="483"/>
      <c r="AH37" s="484"/>
      <c r="AI37" s="484"/>
      <c r="AJ37" s="484"/>
      <c r="AK37" s="484"/>
      <c r="AL37" s="484"/>
      <c r="AM37" s="484"/>
      <c r="AN37" s="484"/>
      <c r="AO37" s="484"/>
      <c r="AP37" s="484"/>
      <c r="AQ37" s="484"/>
      <c r="AR37" s="484"/>
      <c r="AS37" s="484"/>
      <c r="AT37" s="484"/>
      <c r="AU37" s="484"/>
      <c r="AV37" s="484"/>
      <c r="AW37" s="484"/>
      <c r="AX37" s="484"/>
      <c r="AY37" s="483"/>
      <c r="AZ37" s="483"/>
      <c r="BA37" s="483"/>
      <c r="BB37" s="483"/>
      <c r="BC37" s="483"/>
      <c r="BD37" s="483"/>
      <c r="BE37" s="484"/>
      <c r="BF37" s="484"/>
      <c r="BG37" s="484"/>
      <c r="BH37" s="484"/>
      <c r="BI37" s="484"/>
      <c r="BJ37" s="484"/>
      <c r="BK37" s="484"/>
      <c r="BL37" s="484"/>
      <c r="BM37" s="484"/>
      <c r="BN37" s="484"/>
      <c r="BO37" s="484"/>
      <c r="BP37" s="484"/>
      <c r="BQ37" s="484"/>
      <c r="BR37" s="484"/>
      <c r="BS37" s="484"/>
      <c r="BT37" s="484"/>
      <c r="BU37" s="484"/>
      <c r="BV37" s="484"/>
      <c r="BW37" s="484"/>
      <c r="BX37" s="484"/>
      <c r="BY37" s="484"/>
      <c r="BZ37" s="484"/>
      <c r="CA37" s="484"/>
      <c r="CB37" s="484"/>
      <c r="CC37" s="484"/>
      <c r="CD37" s="484"/>
      <c r="CE37" s="484"/>
      <c r="CF37" s="484"/>
      <c r="CG37" s="484"/>
      <c r="CH37" s="484"/>
    </row>
    <row r="38" spans="2:86" s="78" customFormat="1" ht="12" x14ac:dyDescent="0.2">
      <c r="C38" s="472"/>
      <c r="D38" s="1109"/>
      <c r="E38" s="530" t="s">
        <v>154</v>
      </c>
      <c r="F38" s="507">
        <f>SUM(G38:R38)</f>
        <v>0</v>
      </c>
      <c r="G38" s="524"/>
      <c r="H38" s="525"/>
      <c r="I38" s="525"/>
      <c r="J38" s="525"/>
      <c r="K38" s="525"/>
      <c r="L38" s="525"/>
      <c r="M38" s="525"/>
      <c r="N38" s="525"/>
      <c r="O38" s="525"/>
      <c r="P38" s="525"/>
      <c r="Q38" s="525"/>
      <c r="R38" s="526"/>
      <c r="S38" s="1104"/>
      <c r="T38" s="485"/>
      <c r="U38" s="482"/>
      <c r="V38" s="482"/>
      <c r="W38" s="482"/>
      <c r="X38" s="482"/>
      <c r="Y38" s="482"/>
      <c r="Z38" s="482"/>
      <c r="AA38" s="482"/>
      <c r="AB38" s="482"/>
      <c r="AC38" s="482"/>
      <c r="AD38" s="482"/>
      <c r="AE38" s="483"/>
      <c r="AF38" s="483"/>
      <c r="AG38" s="483"/>
      <c r="AH38" s="484"/>
      <c r="AI38" s="484"/>
      <c r="AJ38" s="484"/>
      <c r="AK38" s="484"/>
      <c r="AL38" s="484"/>
      <c r="AM38" s="484"/>
      <c r="AN38" s="484"/>
      <c r="AO38" s="484"/>
      <c r="AP38" s="484"/>
      <c r="AQ38" s="484"/>
      <c r="AR38" s="484"/>
      <c r="AS38" s="484"/>
      <c r="AT38" s="484"/>
      <c r="AU38" s="484"/>
      <c r="AV38" s="484"/>
      <c r="AW38" s="484"/>
      <c r="AX38" s="484"/>
      <c r="AY38" s="483"/>
      <c r="AZ38" s="483"/>
      <c r="BA38" s="483"/>
      <c r="BB38" s="483"/>
      <c r="BC38" s="483"/>
      <c r="BD38" s="483"/>
      <c r="BE38" s="484"/>
      <c r="BF38" s="484"/>
      <c r="BG38" s="484"/>
      <c r="BH38" s="484"/>
      <c r="BI38" s="484"/>
      <c r="BJ38" s="484"/>
      <c r="BK38" s="484"/>
      <c r="BL38" s="484"/>
      <c r="BM38" s="484"/>
      <c r="BN38" s="484"/>
      <c r="BO38" s="484"/>
      <c r="BP38" s="484"/>
      <c r="BQ38" s="484"/>
      <c r="BR38" s="484"/>
      <c r="BS38" s="484"/>
      <c r="BT38" s="484"/>
      <c r="BU38" s="484"/>
      <c r="BV38" s="484"/>
      <c r="BW38" s="484"/>
      <c r="BX38" s="484"/>
      <c r="BY38" s="484"/>
      <c r="BZ38" s="484"/>
      <c r="CA38" s="484"/>
      <c r="CB38" s="484"/>
      <c r="CC38" s="484"/>
      <c r="CD38" s="484"/>
      <c r="CE38" s="484"/>
      <c r="CF38" s="484"/>
      <c r="CG38" s="484"/>
      <c r="CH38" s="484"/>
    </row>
    <row r="39" spans="2:86" s="78" customFormat="1" ht="12" x14ac:dyDescent="0.2">
      <c r="C39" s="472"/>
      <c r="D39" s="1109"/>
      <c r="E39" s="531" t="s">
        <v>153</v>
      </c>
      <c r="F39" s="508">
        <f>SUM(G39:R39)</f>
        <v>0</v>
      </c>
      <c r="G39" s="527"/>
      <c r="H39" s="528"/>
      <c r="I39" s="528"/>
      <c r="J39" s="528"/>
      <c r="K39" s="528"/>
      <c r="L39" s="528"/>
      <c r="M39" s="528"/>
      <c r="N39" s="528"/>
      <c r="O39" s="528"/>
      <c r="P39" s="528"/>
      <c r="Q39" s="528"/>
      <c r="R39" s="529"/>
      <c r="S39" s="1104"/>
      <c r="T39" s="485"/>
      <c r="U39" s="482"/>
      <c r="V39" s="482"/>
      <c r="W39" s="482"/>
      <c r="X39" s="482"/>
      <c r="Y39" s="482"/>
      <c r="Z39" s="482"/>
      <c r="AA39" s="482"/>
      <c r="AB39" s="482"/>
      <c r="AC39" s="482"/>
      <c r="AD39" s="482"/>
      <c r="AE39" s="483"/>
      <c r="AF39" s="483"/>
      <c r="AG39" s="483"/>
      <c r="AH39" s="484"/>
      <c r="AI39" s="484"/>
      <c r="AJ39" s="484"/>
      <c r="AK39" s="484"/>
      <c r="AL39" s="484"/>
      <c r="AM39" s="484"/>
      <c r="AN39" s="484"/>
      <c r="AO39" s="484"/>
      <c r="AP39" s="484"/>
      <c r="AQ39" s="484"/>
      <c r="AR39" s="484"/>
      <c r="AS39" s="484"/>
      <c r="AT39" s="484"/>
      <c r="AU39" s="484"/>
      <c r="AV39" s="484"/>
      <c r="AW39" s="484"/>
      <c r="AX39" s="484"/>
      <c r="AY39" s="483"/>
      <c r="AZ39" s="483"/>
      <c r="BA39" s="483"/>
      <c r="BB39" s="483"/>
      <c r="BC39" s="483"/>
      <c r="BD39" s="483"/>
      <c r="BE39" s="484"/>
      <c r="BF39" s="484"/>
      <c r="BG39" s="484"/>
      <c r="BH39" s="484"/>
      <c r="BI39" s="484"/>
      <c r="BJ39" s="484"/>
      <c r="BK39" s="484"/>
      <c r="BL39" s="484"/>
      <c r="BM39" s="484"/>
      <c r="BN39" s="484"/>
      <c r="BO39" s="484"/>
      <c r="BP39" s="484"/>
      <c r="BQ39" s="484"/>
      <c r="BR39" s="484"/>
      <c r="BS39" s="484"/>
      <c r="BT39" s="484"/>
      <c r="BU39" s="484"/>
      <c r="BV39" s="484"/>
      <c r="BW39" s="484"/>
      <c r="BX39" s="484"/>
      <c r="BY39" s="484"/>
      <c r="BZ39" s="484"/>
      <c r="CA39" s="484"/>
      <c r="CB39" s="484"/>
      <c r="CC39" s="484"/>
      <c r="CD39" s="484"/>
      <c r="CE39" s="484"/>
      <c r="CF39" s="484"/>
      <c r="CG39" s="484"/>
      <c r="CH39" s="484"/>
    </row>
    <row r="40" spans="2:86" s="78" customFormat="1" x14ac:dyDescent="0.2">
      <c r="C40" s="472"/>
      <c r="D40" s="1109"/>
      <c r="E40" s="503" t="s">
        <v>755</v>
      </c>
      <c r="F40" s="496"/>
      <c r="G40" s="1140" t="str">
        <f>IF(F40=0,"",IF('5'!F14=0," ◄ Ten en cuenta que aún no has definido las ventas, por tanto falta calcular y sumar este concepto",""))</f>
        <v/>
      </c>
      <c r="H40" s="1144"/>
      <c r="I40" s="1144"/>
      <c r="J40" s="1144"/>
      <c r="K40" s="1144"/>
      <c r="L40" s="1144"/>
      <c r="M40" s="1144"/>
      <c r="N40" s="1144"/>
      <c r="O40" s="1144"/>
      <c r="P40" s="1144"/>
      <c r="Q40" s="1144"/>
      <c r="R40" s="1144"/>
      <c r="S40" s="1104"/>
      <c r="T40" s="485"/>
      <c r="U40" s="482"/>
      <c r="V40" s="482"/>
      <c r="W40" s="482"/>
      <c r="X40" s="482"/>
      <c r="Y40" s="482"/>
      <c r="Z40" s="482"/>
      <c r="AA40" s="482"/>
      <c r="AB40" s="482"/>
      <c r="AC40" s="482"/>
      <c r="AD40" s="482"/>
      <c r="AE40" s="483"/>
      <c r="AF40" s="483"/>
      <c r="AG40" s="483"/>
      <c r="AH40" s="484"/>
      <c r="AI40" s="484"/>
      <c r="AJ40" s="484"/>
      <c r="AK40" s="484"/>
      <c r="AL40" s="484"/>
      <c r="AM40" s="484"/>
      <c r="AN40" s="484"/>
      <c r="AO40" s="484"/>
      <c r="AP40" s="484"/>
      <c r="AQ40" s="484"/>
      <c r="AR40" s="484"/>
      <c r="AS40" s="484"/>
      <c r="AT40" s="484"/>
      <c r="AU40" s="484"/>
      <c r="AV40" s="484"/>
      <c r="AW40" s="484"/>
      <c r="AX40" s="484"/>
      <c r="AY40" s="483"/>
      <c r="AZ40" s="483"/>
      <c r="BA40" s="483"/>
      <c r="BB40" s="483"/>
      <c r="BC40" s="483"/>
      <c r="BD40" s="483"/>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c r="CE40" s="484"/>
      <c r="CF40" s="484"/>
      <c r="CG40" s="484"/>
      <c r="CH40" s="484"/>
    </row>
    <row r="41" spans="2:86" s="468" customFormat="1" ht="5.0999999999999996" customHeight="1" thickBot="1" x14ac:dyDescent="0.25">
      <c r="C41" s="470"/>
      <c r="D41" s="1142"/>
      <c r="E41" s="1146"/>
      <c r="F41" s="1146"/>
      <c r="G41" s="1146"/>
      <c r="H41" s="1146"/>
      <c r="I41" s="1146"/>
      <c r="J41" s="1146"/>
      <c r="K41" s="1146"/>
      <c r="L41" s="1146"/>
      <c r="M41" s="1146"/>
      <c r="N41" s="1146"/>
      <c r="O41" s="1146"/>
      <c r="P41" s="1146"/>
      <c r="Q41" s="1146"/>
      <c r="R41" s="1146"/>
      <c r="S41" s="1147"/>
      <c r="T41" s="486"/>
      <c r="U41" s="477"/>
      <c r="V41" s="477"/>
      <c r="W41" s="477"/>
      <c r="X41" s="477"/>
      <c r="Y41" s="477"/>
      <c r="Z41" s="477"/>
      <c r="AA41" s="477"/>
      <c r="AB41" s="477"/>
      <c r="AC41" s="477"/>
      <c r="AD41" s="477"/>
      <c r="AE41" s="478"/>
      <c r="AF41" s="478"/>
      <c r="AG41" s="478"/>
      <c r="AY41" s="478"/>
      <c r="AZ41" s="478"/>
      <c r="BA41" s="478"/>
      <c r="BB41" s="478"/>
      <c r="BC41" s="478"/>
      <c r="BD41" s="478"/>
    </row>
    <row r="42" spans="2:86" s="468" customFormat="1" ht="15" customHeight="1" thickBot="1" x14ac:dyDescent="0.25">
      <c r="C42" s="470"/>
      <c r="D42" s="1142"/>
      <c r="E42" s="1452" t="s">
        <v>669</v>
      </c>
      <c r="F42" s="1453"/>
      <c r="G42" s="1450">
        <f>G36+G22+G14+G4</f>
        <v>0</v>
      </c>
      <c r="H42" s="1451"/>
      <c r="I42" s="1146"/>
      <c r="J42" s="1146"/>
      <c r="K42" s="1146"/>
      <c r="L42" s="1146"/>
      <c r="M42" s="1146"/>
      <c r="N42" s="1146"/>
      <c r="O42" s="1146"/>
      <c r="P42" s="1146"/>
      <c r="Q42" s="1146"/>
      <c r="R42" s="1146"/>
      <c r="S42" s="1147"/>
      <c r="T42" s="532"/>
      <c r="U42" s="477"/>
      <c r="V42" s="477"/>
      <c r="W42" s="477"/>
      <c r="X42" s="477"/>
      <c r="Y42" s="477"/>
      <c r="Z42" s="477"/>
      <c r="AA42" s="477"/>
      <c r="AB42" s="477"/>
      <c r="AC42" s="477"/>
      <c r="AD42" s="477"/>
      <c r="AE42" s="478"/>
      <c r="AF42" s="478"/>
      <c r="AG42" s="478"/>
      <c r="AY42" s="478"/>
      <c r="AZ42" s="478"/>
      <c r="BA42" s="478"/>
      <c r="BB42" s="478"/>
      <c r="BC42" s="478"/>
      <c r="BD42" s="478"/>
    </row>
    <row r="43" spans="2:86" s="468" customFormat="1" ht="11.25" x14ac:dyDescent="0.2">
      <c r="C43" s="473"/>
      <c r="D43" s="1143"/>
      <c r="E43" s="1148"/>
      <c r="F43" s="1148"/>
      <c r="G43" s="1148"/>
      <c r="H43" s="1148"/>
      <c r="I43" s="1148"/>
      <c r="J43" s="1148"/>
      <c r="K43" s="1148"/>
      <c r="L43" s="1148"/>
      <c r="M43" s="1148"/>
      <c r="N43" s="1148"/>
      <c r="O43" s="1148"/>
      <c r="P43" s="1148"/>
      <c r="Q43" s="1148"/>
      <c r="R43" s="1148"/>
      <c r="S43" s="1149"/>
      <c r="T43" s="473"/>
      <c r="U43" s="473"/>
      <c r="V43" s="473"/>
      <c r="W43" s="477"/>
      <c r="X43" s="477"/>
      <c r="Y43" s="477"/>
      <c r="Z43" s="477"/>
      <c r="AA43" s="477"/>
      <c r="AB43" s="477"/>
      <c r="AC43" s="477"/>
      <c r="AD43" s="477"/>
      <c r="AE43" s="478"/>
      <c r="AF43" s="478"/>
      <c r="AG43" s="478"/>
      <c r="AY43" s="478"/>
      <c r="AZ43" s="478"/>
      <c r="BA43" s="478"/>
      <c r="BB43" s="478"/>
      <c r="BC43" s="478"/>
      <c r="BD43" s="478"/>
    </row>
    <row r="44" spans="2:86" s="468" customFormat="1" ht="11.25" x14ac:dyDescent="0.2">
      <c r="B44" s="538"/>
      <c r="C44" s="539"/>
      <c r="D44" s="539"/>
      <c r="E44" s="539"/>
      <c r="F44" s="539"/>
      <c r="G44" s="539"/>
      <c r="H44" s="539"/>
      <c r="I44" s="539"/>
      <c r="J44" s="539"/>
      <c r="K44" s="539"/>
      <c r="L44" s="539"/>
      <c r="M44" s="539"/>
      <c r="N44" s="539"/>
      <c r="O44" s="539"/>
      <c r="P44" s="539"/>
      <c r="Q44" s="539"/>
      <c r="R44" s="539"/>
      <c r="S44" s="539"/>
      <c r="T44" s="539"/>
      <c r="U44" s="539"/>
      <c r="V44" s="533"/>
      <c r="W44" s="533"/>
      <c r="X44" s="533"/>
      <c r="Y44" s="533"/>
      <c r="Z44" s="533"/>
      <c r="AA44" s="533"/>
      <c r="AB44" s="477"/>
      <c r="AC44" s="477"/>
      <c r="AD44" s="477"/>
      <c r="AE44" s="478"/>
      <c r="AF44" s="478"/>
      <c r="AG44" s="478"/>
      <c r="AY44" s="478"/>
      <c r="AZ44" s="478"/>
      <c r="BA44" s="478"/>
      <c r="BB44" s="478"/>
      <c r="BC44" s="478"/>
      <c r="BD44" s="478"/>
    </row>
    <row r="45" spans="2:86" s="468" customFormat="1" ht="11.25" x14ac:dyDescent="0.2">
      <c r="B45" s="538"/>
      <c r="C45" s="539"/>
      <c r="D45" s="539"/>
      <c r="E45" s="539"/>
      <c r="F45" s="539"/>
      <c r="G45" s="539"/>
      <c r="H45" s="539"/>
      <c r="I45" s="539"/>
      <c r="J45" s="539"/>
      <c r="K45" s="539"/>
      <c r="L45" s="539"/>
      <c r="M45" s="539"/>
      <c r="N45" s="539"/>
      <c r="O45" s="539"/>
      <c r="P45" s="539"/>
      <c r="Q45" s="539"/>
      <c r="R45" s="539"/>
      <c r="S45" s="539"/>
      <c r="T45" s="539"/>
      <c r="U45" s="539"/>
      <c r="V45" s="533"/>
      <c r="W45" s="533"/>
      <c r="X45" s="533"/>
      <c r="Y45" s="533"/>
      <c r="Z45" s="533"/>
      <c r="AA45" s="533"/>
      <c r="AB45" s="477"/>
      <c r="AC45" s="477"/>
      <c r="AD45" s="477"/>
      <c r="AE45" s="478"/>
      <c r="AF45" s="478"/>
      <c r="AG45" s="478"/>
      <c r="AY45" s="478"/>
      <c r="AZ45" s="478"/>
      <c r="BA45" s="478"/>
      <c r="BB45" s="478"/>
      <c r="BC45" s="478"/>
      <c r="BD45" s="478"/>
    </row>
    <row r="46" spans="2:86" s="468" customFormat="1" ht="11.25" x14ac:dyDescent="0.2">
      <c r="B46" s="538"/>
      <c r="C46" s="539"/>
      <c r="D46" s="539"/>
      <c r="E46" s="539"/>
      <c r="F46" s="539"/>
      <c r="G46" s="539"/>
      <c r="H46" s="539"/>
      <c r="I46" s="539"/>
      <c r="J46" s="539"/>
      <c r="K46" s="539"/>
      <c r="L46" s="539"/>
      <c r="M46" s="539"/>
      <c r="N46" s="539"/>
      <c r="O46" s="539"/>
      <c r="P46" s="539"/>
      <c r="Q46" s="539"/>
      <c r="R46" s="539"/>
      <c r="S46" s="539"/>
      <c r="T46" s="539"/>
      <c r="U46" s="539"/>
      <c r="V46" s="533"/>
      <c r="W46" s="533"/>
      <c r="X46" s="533"/>
      <c r="Y46" s="533"/>
      <c r="Z46" s="533"/>
      <c r="AA46" s="533"/>
      <c r="AB46" s="477"/>
      <c r="AC46" s="477"/>
      <c r="AD46" s="477"/>
      <c r="AE46" s="478"/>
      <c r="AF46" s="478"/>
      <c r="AG46" s="478"/>
      <c r="AY46" s="478"/>
      <c r="AZ46" s="478"/>
      <c r="BA46" s="478"/>
      <c r="BB46" s="478"/>
      <c r="BC46" s="478"/>
      <c r="BD46" s="478"/>
    </row>
    <row r="47" spans="2:86" s="468" customFormat="1" ht="11.25" x14ac:dyDescent="0.2">
      <c r="B47" s="538"/>
      <c r="C47" s="539"/>
      <c r="D47" s="539"/>
      <c r="E47" s="539"/>
      <c r="F47" s="539"/>
      <c r="G47" s="539"/>
      <c r="H47" s="539"/>
      <c r="I47" s="539"/>
      <c r="J47" s="539"/>
      <c r="K47" s="539"/>
      <c r="L47" s="539"/>
      <c r="M47" s="539"/>
      <c r="N47" s="539"/>
      <c r="O47" s="539"/>
      <c r="P47" s="539"/>
      <c r="Q47" s="539"/>
      <c r="R47" s="539"/>
      <c r="S47" s="539"/>
      <c r="T47" s="539"/>
      <c r="U47" s="539"/>
      <c r="V47" s="533"/>
      <c r="W47" s="533"/>
      <c r="X47" s="533"/>
      <c r="Y47" s="533"/>
      <c r="Z47" s="533"/>
      <c r="AA47" s="533"/>
      <c r="AB47" s="477"/>
      <c r="AC47" s="477"/>
      <c r="AD47" s="477"/>
      <c r="AE47" s="478"/>
      <c r="AF47" s="478"/>
      <c r="AG47" s="478"/>
      <c r="AY47" s="478"/>
      <c r="AZ47" s="478"/>
      <c r="BA47" s="478"/>
      <c r="BB47" s="478"/>
      <c r="BC47" s="478"/>
      <c r="BD47" s="478"/>
    </row>
    <row r="48" spans="2:86" s="468" customFormat="1" ht="11.25" x14ac:dyDescent="0.2">
      <c r="B48" s="538"/>
      <c r="C48" s="539"/>
      <c r="D48" s="539"/>
      <c r="E48" s="539"/>
      <c r="F48" s="539"/>
      <c r="G48" s="539"/>
      <c r="H48" s="539"/>
      <c r="I48" s="539"/>
      <c r="J48" s="539"/>
      <c r="K48" s="539"/>
      <c r="L48" s="539"/>
      <c r="M48" s="539"/>
      <c r="N48" s="539"/>
      <c r="O48" s="539"/>
      <c r="P48" s="539"/>
      <c r="Q48" s="539"/>
      <c r="R48" s="539"/>
      <c r="S48" s="539"/>
      <c r="T48" s="539"/>
      <c r="U48" s="539"/>
      <c r="V48" s="533"/>
      <c r="W48" s="533"/>
      <c r="X48" s="533"/>
      <c r="Y48" s="533"/>
      <c r="Z48" s="533"/>
      <c r="AA48" s="533"/>
      <c r="AB48" s="477"/>
      <c r="AC48" s="477"/>
      <c r="AD48" s="477"/>
      <c r="AE48" s="478"/>
      <c r="AF48" s="478"/>
      <c r="AG48" s="478"/>
      <c r="AY48" s="478"/>
      <c r="AZ48" s="478"/>
      <c r="BA48" s="478"/>
      <c r="BB48" s="478"/>
      <c r="BC48" s="478"/>
      <c r="BD48" s="478"/>
    </row>
    <row r="49" spans="2:56" s="468" customFormat="1" ht="11.25" x14ac:dyDescent="0.2">
      <c r="B49" s="538"/>
      <c r="C49" s="539"/>
      <c r="D49" s="539"/>
      <c r="E49" s="539"/>
      <c r="F49" s="539"/>
      <c r="G49" s="539"/>
      <c r="H49" s="539"/>
      <c r="I49" s="539"/>
      <c r="J49" s="539"/>
      <c r="K49" s="539"/>
      <c r="L49" s="539"/>
      <c r="M49" s="539"/>
      <c r="N49" s="539"/>
      <c r="O49" s="539"/>
      <c r="P49" s="539"/>
      <c r="Q49" s="539"/>
      <c r="R49" s="539"/>
      <c r="S49" s="539"/>
      <c r="T49" s="539"/>
      <c r="U49" s="539"/>
      <c r="V49" s="533"/>
      <c r="W49" s="533"/>
      <c r="X49" s="533"/>
      <c r="Y49" s="533"/>
      <c r="Z49" s="533"/>
      <c r="AA49" s="533"/>
      <c r="AB49" s="477"/>
      <c r="AC49" s="477"/>
      <c r="AD49" s="477"/>
      <c r="AE49" s="478"/>
      <c r="AF49" s="478"/>
      <c r="AG49" s="478"/>
      <c r="AY49" s="478"/>
      <c r="AZ49" s="478"/>
      <c r="BA49" s="478"/>
      <c r="BB49" s="478"/>
      <c r="BC49" s="478"/>
      <c r="BD49" s="478"/>
    </row>
    <row r="50" spans="2:56" s="468" customFormat="1" ht="11.25" x14ac:dyDescent="0.2">
      <c r="B50" s="538"/>
      <c r="C50" s="539"/>
      <c r="D50" s="539"/>
      <c r="E50" s="539"/>
      <c r="F50" s="539"/>
      <c r="G50" s="539"/>
      <c r="H50" s="539"/>
      <c r="I50" s="539"/>
      <c r="J50" s="539"/>
      <c r="K50" s="539"/>
      <c r="L50" s="539"/>
      <c r="M50" s="539"/>
      <c r="N50" s="539"/>
      <c r="O50" s="539"/>
      <c r="P50" s="539"/>
      <c r="Q50" s="539"/>
      <c r="R50" s="539"/>
      <c r="S50" s="539"/>
      <c r="T50" s="539"/>
      <c r="U50" s="539"/>
      <c r="V50" s="533"/>
      <c r="W50" s="533"/>
      <c r="X50" s="533"/>
      <c r="Y50" s="533"/>
      <c r="Z50" s="533"/>
      <c r="AA50" s="533"/>
      <c r="AB50" s="477"/>
      <c r="AC50" s="477"/>
      <c r="AD50" s="477"/>
      <c r="AE50" s="478"/>
      <c r="AF50" s="478"/>
      <c r="AG50" s="478"/>
      <c r="AY50" s="478"/>
      <c r="AZ50" s="478"/>
      <c r="BA50" s="478"/>
      <c r="BB50" s="478"/>
      <c r="BC50" s="478"/>
      <c r="BD50" s="478"/>
    </row>
    <row r="51" spans="2:56" s="468" customFormat="1" ht="11.25" x14ac:dyDescent="0.2">
      <c r="B51" s="538"/>
      <c r="C51" s="539"/>
      <c r="D51" s="539"/>
      <c r="E51" s="539"/>
      <c r="F51" s="539"/>
      <c r="G51" s="539"/>
      <c r="H51" s="539"/>
      <c r="I51" s="539"/>
      <c r="J51" s="539"/>
      <c r="K51" s="539"/>
      <c r="L51" s="539"/>
      <c r="M51" s="539"/>
      <c r="N51" s="539"/>
      <c r="O51" s="539"/>
      <c r="P51" s="539"/>
      <c r="Q51" s="539"/>
      <c r="R51" s="539"/>
      <c r="S51" s="539"/>
      <c r="T51" s="539"/>
      <c r="U51" s="539"/>
      <c r="V51" s="533"/>
      <c r="W51" s="533"/>
      <c r="X51" s="533"/>
      <c r="Y51" s="533"/>
      <c r="Z51" s="533"/>
      <c r="AA51" s="533"/>
      <c r="AB51" s="477"/>
      <c r="AC51" s="477"/>
      <c r="AD51" s="477"/>
      <c r="AE51" s="478"/>
      <c r="AF51" s="478"/>
      <c r="AG51" s="478"/>
      <c r="AY51" s="478"/>
      <c r="AZ51" s="478"/>
      <c r="BA51" s="478"/>
      <c r="BB51" s="478"/>
      <c r="BC51" s="478"/>
      <c r="BD51" s="478"/>
    </row>
    <row r="52" spans="2:56" s="468" customFormat="1" ht="11.25" x14ac:dyDescent="0.2">
      <c r="B52" s="538"/>
      <c r="C52" s="539"/>
      <c r="D52" s="539"/>
      <c r="E52" s="539"/>
      <c r="F52" s="539"/>
      <c r="G52" s="539"/>
      <c r="H52" s="539"/>
      <c r="I52" s="539"/>
      <c r="J52" s="539"/>
      <c r="K52" s="539"/>
      <c r="L52" s="539"/>
      <c r="M52" s="539"/>
      <c r="N52" s="539"/>
      <c r="O52" s="539"/>
      <c r="P52" s="539"/>
      <c r="Q52" s="539"/>
      <c r="R52" s="539"/>
      <c r="S52" s="539"/>
      <c r="T52" s="539"/>
      <c r="U52" s="539"/>
      <c r="V52" s="533"/>
      <c r="W52" s="533"/>
      <c r="X52" s="533"/>
      <c r="Y52" s="533"/>
      <c r="Z52" s="533"/>
      <c r="AA52" s="533"/>
      <c r="AB52" s="477"/>
      <c r="AC52" s="477"/>
      <c r="AD52" s="477"/>
      <c r="AE52" s="478"/>
      <c r="AF52" s="478"/>
      <c r="AG52" s="478"/>
      <c r="AY52" s="478"/>
      <c r="AZ52" s="478"/>
      <c r="BA52" s="478"/>
      <c r="BB52" s="478"/>
      <c r="BC52" s="478"/>
      <c r="BD52" s="478"/>
    </row>
    <row r="53" spans="2:56" s="468" customFormat="1" ht="11.25" x14ac:dyDescent="0.2">
      <c r="B53" s="538"/>
      <c r="C53" s="539"/>
      <c r="D53" s="539"/>
      <c r="E53" s="539"/>
      <c r="F53" s="539"/>
      <c r="G53" s="539"/>
      <c r="H53" s="539"/>
      <c r="I53" s="539"/>
      <c r="J53" s="539"/>
      <c r="K53" s="539"/>
      <c r="L53" s="539"/>
      <c r="M53" s="539"/>
      <c r="N53" s="539"/>
      <c r="O53" s="539"/>
      <c r="P53" s="539"/>
      <c r="Q53" s="539"/>
      <c r="R53" s="539"/>
      <c r="S53" s="539"/>
      <c r="T53" s="539"/>
      <c r="U53" s="539"/>
      <c r="V53" s="533"/>
      <c r="W53" s="533"/>
      <c r="X53" s="533"/>
      <c r="Y53" s="533"/>
      <c r="Z53" s="533"/>
      <c r="AA53" s="533"/>
      <c r="AB53" s="477"/>
      <c r="AC53" s="477"/>
      <c r="AD53" s="477"/>
      <c r="AE53" s="478"/>
      <c r="AF53" s="478"/>
      <c r="AG53" s="478"/>
      <c r="AY53" s="478"/>
      <c r="AZ53" s="478"/>
      <c r="BA53" s="478"/>
      <c r="BB53" s="478"/>
      <c r="BC53" s="478"/>
      <c r="BD53" s="478"/>
    </row>
    <row r="54" spans="2:56" s="468" customFormat="1" ht="11.25" x14ac:dyDescent="0.2">
      <c r="B54" s="538"/>
      <c r="C54" s="539"/>
      <c r="D54" s="539"/>
      <c r="E54" s="539"/>
      <c r="F54" s="539"/>
      <c r="G54" s="539"/>
      <c r="H54" s="539"/>
      <c r="I54" s="539"/>
      <c r="J54" s="539"/>
      <c r="K54" s="539"/>
      <c r="L54" s="539"/>
      <c r="M54" s="539"/>
      <c r="N54" s="539"/>
      <c r="O54" s="539"/>
      <c r="P54" s="539"/>
      <c r="Q54" s="539"/>
      <c r="R54" s="539"/>
      <c r="S54" s="539"/>
      <c r="T54" s="539"/>
      <c r="U54" s="539"/>
      <c r="V54" s="533"/>
      <c r="W54" s="533"/>
      <c r="X54" s="533"/>
      <c r="Y54" s="533"/>
      <c r="Z54" s="533"/>
      <c r="AA54" s="533"/>
      <c r="AB54" s="477"/>
      <c r="AC54" s="477"/>
      <c r="AD54" s="477"/>
      <c r="AE54" s="478"/>
      <c r="AF54" s="478"/>
      <c r="AG54" s="478"/>
      <c r="AY54" s="478"/>
      <c r="AZ54" s="478"/>
      <c r="BA54" s="478"/>
      <c r="BB54" s="478"/>
      <c r="BC54" s="478"/>
      <c r="BD54" s="478"/>
    </row>
    <row r="55" spans="2:56" s="468" customFormat="1" ht="11.25" x14ac:dyDescent="0.2">
      <c r="B55" s="538"/>
      <c r="C55" s="539"/>
      <c r="D55" s="539"/>
      <c r="E55" s="539"/>
      <c r="F55" s="539"/>
      <c r="G55" s="539"/>
      <c r="H55" s="539"/>
      <c r="I55" s="539"/>
      <c r="J55" s="539"/>
      <c r="K55" s="539"/>
      <c r="L55" s="539"/>
      <c r="M55" s="539"/>
      <c r="N55" s="539"/>
      <c r="O55" s="539"/>
      <c r="P55" s="539"/>
      <c r="Q55" s="539"/>
      <c r="R55" s="539"/>
      <c r="S55" s="539"/>
      <c r="T55" s="539"/>
      <c r="U55" s="539"/>
      <c r="V55" s="533"/>
      <c r="W55" s="533"/>
      <c r="X55" s="533"/>
      <c r="Y55" s="533"/>
      <c r="Z55" s="533"/>
      <c r="AA55" s="533"/>
      <c r="AB55" s="477"/>
      <c r="AC55" s="477"/>
      <c r="AD55" s="477"/>
      <c r="AE55" s="478"/>
      <c r="AF55" s="478"/>
      <c r="AG55" s="478"/>
      <c r="AY55" s="478"/>
      <c r="AZ55" s="478"/>
      <c r="BA55" s="478"/>
      <c r="BB55" s="478"/>
      <c r="BC55" s="478"/>
      <c r="BD55" s="478"/>
    </row>
    <row r="56" spans="2:56" s="468" customFormat="1" ht="11.25" x14ac:dyDescent="0.2">
      <c r="B56" s="538"/>
      <c r="C56" s="539"/>
      <c r="D56" s="539"/>
      <c r="E56" s="539"/>
      <c r="F56" s="539"/>
      <c r="G56" s="539"/>
      <c r="H56" s="539"/>
      <c r="I56" s="539"/>
      <c r="J56" s="539"/>
      <c r="K56" s="539"/>
      <c r="L56" s="539"/>
      <c r="M56" s="539"/>
      <c r="N56" s="539"/>
      <c r="O56" s="539"/>
      <c r="P56" s="539"/>
      <c r="Q56" s="539"/>
      <c r="R56" s="539"/>
      <c r="S56" s="539"/>
      <c r="T56" s="539"/>
      <c r="U56" s="539"/>
      <c r="V56" s="533"/>
      <c r="W56" s="533"/>
      <c r="X56" s="533"/>
      <c r="Y56" s="533"/>
      <c r="Z56" s="533"/>
      <c r="AA56" s="533"/>
      <c r="AB56" s="477"/>
      <c r="AC56" s="477"/>
      <c r="AD56" s="477"/>
      <c r="AE56" s="478"/>
      <c r="AF56" s="478"/>
      <c r="AG56" s="478"/>
      <c r="AY56" s="478"/>
      <c r="AZ56" s="478"/>
      <c r="BA56" s="478"/>
      <c r="BB56" s="478"/>
      <c r="BC56" s="478"/>
      <c r="BD56" s="478"/>
    </row>
    <row r="57" spans="2:56" s="468" customFormat="1" ht="11.25" x14ac:dyDescent="0.2">
      <c r="B57" s="538"/>
      <c r="C57" s="539"/>
      <c r="D57" s="539"/>
      <c r="E57" s="539"/>
      <c r="F57" s="539"/>
      <c r="G57" s="539"/>
      <c r="H57" s="539"/>
      <c r="I57" s="539"/>
      <c r="J57" s="539"/>
      <c r="K57" s="539"/>
      <c r="L57" s="539"/>
      <c r="M57" s="539"/>
      <c r="N57" s="539"/>
      <c r="O57" s="539"/>
      <c r="P57" s="539"/>
      <c r="Q57" s="539"/>
      <c r="R57" s="539"/>
      <c r="S57" s="539"/>
      <c r="T57" s="539"/>
      <c r="U57" s="539"/>
      <c r="V57" s="533"/>
      <c r="W57" s="533"/>
      <c r="X57" s="533"/>
      <c r="Y57" s="533"/>
      <c r="Z57" s="533"/>
      <c r="AA57" s="533"/>
      <c r="AB57" s="477"/>
      <c r="AC57" s="477"/>
      <c r="AD57" s="477"/>
      <c r="AE57" s="478"/>
      <c r="AF57" s="478"/>
      <c r="AG57" s="478"/>
      <c r="AY57" s="478"/>
      <c r="AZ57" s="478"/>
      <c r="BA57" s="478"/>
      <c r="BB57" s="478"/>
      <c r="BC57" s="478"/>
      <c r="BD57" s="478"/>
    </row>
    <row r="58" spans="2:56" s="468" customFormat="1" ht="11.25" x14ac:dyDescent="0.2">
      <c r="B58" s="538"/>
      <c r="C58" s="539"/>
      <c r="D58" s="539"/>
      <c r="E58" s="539"/>
      <c r="F58" s="539"/>
      <c r="G58" s="539"/>
      <c r="H58" s="539"/>
      <c r="I58" s="539"/>
      <c r="J58" s="539"/>
      <c r="K58" s="539"/>
      <c r="L58" s="539"/>
      <c r="M58" s="539"/>
      <c r="N58" s="539"/>
      <c r="O58" s="539"/>
      <c r="P58" s="539"/>
      <c r="Q58" s="539"/>
      <c r="R58" s="539"/>
      <c r="S58" s="539"/>
      <c r="T58" s="539"/>
      <c r="U58" s="539"/>
      <c r="V58" s="533"/>
      <c r="W58" s="533"/>
      <c r="X58" s="533"/>
      <c r="Y58" s="533"/>
      <c r="Z58" s="533"/>
      <c r="AA58" s="533"/>
      <c r="AB58" s="477"/>
      <c r="AC58" s="477"/>
      <c r="AD58" s="477"/>
      <c r="AE58" s="478"/>
      <c r="AF58" s="478"/>
      <c r="AG58" s="478"/>
      <c r="AY58" s="478"/>
      <c r="AZ58" s="478"/>
      <c r="BA58" s="478"/>
      <c r="BB58" s="478"/>
      <c r="BC58" s="478"/>
      <c r="BD58" s="478"/>
    </row>
    <row r="59" spans="2:56" s="468" customFormat="1" ht="11.25" x14ac:dyDescent="0.2">
      <c r="B59" s="538"/>
      <c r="C59" s="539"/>
      <c r="D59" s="539"/>
      <c r="E59" s="539"/>
      <c r="F59" s="539"/>
      <c r="G59" s="539"/>
      <c r="H59" s="539"/>
      <c r="I59" s="539"/>
      <c r="J59" s="539"/>
      <c r="K59" s="539"/>
      <c r="L59" s="539"/>
      <c r="M59" s="539"/>
      <c r="N59" s="539"/>
      <c r="O59" s="539"/>
      <c r="P59" s="539"/>
      <c r="Q59" s="539"/>
      <c r="R59" s="539"/>
      <c r="S59" s="539"/>
      <c r="T59" s="539"/>
      <c r="U59" s="539"/>
      <c r="V59" s="533"/>
      <c r="W59" s="533"/>
      <c r="X59" s="533"/>
      <c r="Y59" s="533"/>
      <c r="Z59" s="533"/>
      <c r="AA59" s="533"/>
      <c r="AB59" s="477"/>
      <c r="AC59" s="477"/>
      <c r="AD59" s="477"/>
      <c r="AE59" s="478"/>
      <c r="AF59" s="478"/>
      <c r="AG59" s="478"/>
      <c r="AY59" s="478"/>
      <c r="AZ59" s="478"/>
      <c r="BA59" s="478"/>
      <c r="BB59" s="478"/>
      <c r="BC59" s="478"/>
      <c r="BD59" s="478"/>
    </row>
    <row r="60" spans="2:56" s="468" customFormat="1" ht="11.25" x14ac:dyDescent="0.2">
      <c r="B60" s="538"/>
      <c r="C60" s="539"/>
      <c r="D60" s="539"/>
      <c r="E60" s="539"/>
      <c r="F60" s="539"/>
      <c r="G60" s="539"/>
      <c r="H60" s="539"/>
      <c r="I60" s="539"/>
      <c r="J60" s="539"/>
      <c r="K60" s="539"/>
      <c r="L60" s="539"/>
      <c r="M60" s="539"/>
      <c r="N60" s="539"/>
      <c r="O60" s="539"/>
      <c r="P60" s="539"/>
      <c r="Q60" s="539"/>
      <c r="R60" s="539"/>
      <c r="S60" s="539"/>
      <c r="T60" s="539"/>
      <c r="U60" s="539"/>
      <c r="V60" s="533"/>
      <c r="W60" s="533"/>
      <c r="X60" s="533"/>
      <c r="Y60" s="533"/>
      <c r="Z60" s="533"/>
      <c r="AA60" s="533"/>
      <c r="AB60" s="477"/>
      <c r="AC60" s="477"/>
      <c r="AD60" s="477"/>
      <c r="AE60" s="478"/>
      <c r="AF60" s="478"/>
      <c r="AG60" s="478"/>
      <c r="AY60" s="478"/>
      <c r="AZ60" s="478"/>
      <c r="BA60" s="478"/>
      <c r="BB60" s="478"/>
      <c r="BC60" s="478"/>
      <c r="BD60" s="478"/>
    </row>
    <row r="61" spans="2:56" s="468" customFormat="1" ht="11.25" x14ac:dyDescent="0.2">
      <c r="B61" s="538"/>
      <c r="C61" s="539"/>
      <c r="D61" s="539"/>
      <c r="E61" s="539"/>
      <c r="F61" s="539"/>
      <c r="G61" s="539"/>
      <c r="H61" s="539"/>
      <c r="I61" s="539"/>
      <c r="J61" s="539"/>
      <c r="K61" s="539"/>
      <c r="L61" s="539"/>
      <c r="M61" s="539"/>
      <c r="N61" s="539"/>
      <c r="O61" s="539"/>
      <c r="P61" s="539"/>
      <c r="Q61" s="539"/>
      <c r="R61" s="539"/>
      <c r="S61" s="539"/>
      <c r="T61" s="539"/>
      <c r="U61" s="539"/>
      <c r="V61" s="533"/>
      <c r="W61" s="533"/>
      <c r="X61" s="533"/>
      <c r="Y61" s="533"/>
      <c r="Z61" s="533"/>
      <c r="AA61" s="533"/>
      <c r="AB61" s="477"/>
      <c r="AC61" s="477"/>
      <c r="AD61" s="477"/>
      <c r="AE61" s="478"/>
      <c r="AF61" s="478"/>
      <c r="AG61" s="478"/>
      <c r="AY61" s="478"/>
      <c r="AZ61" s="478"/>
      <c r="BA61" s="478"/>
      <c r="BB61" s="478"/>
      <c r="BC61" s="478"/>
      <c r="BD61" s="478"/>
    </row>
    <row r="62" spans="2:56" s="468" customFormat="1" ht="11.25" x14ac:dyDescent="0.2">
      <c r="B62" s="538"/>
      <c r="C62" s="539"/>
      <c r="D62" s="539"/>
      <c r="E62" s="539"/>
      <c r="F62" s="539"/>
      <c r="G62" s="539"/>
      <c r="H62" s="539"/>
      <c r="I62" s="539"/>
      <c r="J62" s="539"/>
      <c r="K62" s="539"/>
      <c r="L62" s="539"/>
      <c r="M62" s="539"/>
      <c r="N62" s="539"/>
      <c r="O62" s="539"/>
      <c r="P62" s="539"/>
      <c r="Q62" s="539"/>
      <c r="R62" s="539"/>
      <c r="S62" s="539"/>
      <c r="T62" s="539"/>
      <c r="U62" s="539"/>
      <c r="V62" s="533"/>
      <c r="W62" s="533"/>
      <c r="X62" s="533"/>
      <c r="Y62" s="533"/>
      <c r="Z62" s="533"/>
      <c r="AA62" s="533"/>
      <c r="AB62" s="477"/>
      <c r="AC62" s="477"/>
      <c r="AD62" s="477"/>
      <c r="AE62" s="478"/>
      <c r="AF62" s="478"/>
      <c r="AG62" s="478"/>
      <c r="AY62" s="478"/>
      <c r="AZ62" s="478"/>
      <c r="BA62" s="478"/>
      <c r="BB62" s="478"/>
      <c r="BC62" s="478"/>
      <c r="BD62" s="478"/>
    </row>
    <row r="63" spans="2:56" s="468" customFormat="1" ht="11.25" x14ac:dyDescent="0.2">
      <c r="B63" s="538"/>
      <c r="C63" s="539"/>
      <c r="D63" s="539"/>
      <c r="E63" s="539"/>
      <c r="F63" s="539"/>
      <c r="G63" s="539"/>
      <c r="H63" s="539"/>
      <c r="I63" s="539"/>
      <c r="J63" s="539"/>
      <c r="K63" s="539"/>
      <c r="L63" s="539"/>
      <c r="M63" s="539"/>
      <c r="N63" s="539"/>
      <c r="O63" s="539"/>
      <c r="P63" s="539"/>
      <c r="Q63" s="539"/>
      <c r="R63" s="539"/>
      <c r="S63" s="539"/>
      <c r="T63" s="539"/>
      <c r="U63" s="539"/>
      <c r="V63" s="533"/>
      <c r="W63" s="533"/>
      <c r="X63" s="533"/>
      <c r="Y63" s="533"/>
      <c r="Z63" s="533"/>
      <c r="AA63" s="533"/>
      <c r="AB63" s="477"/>
      <c r="AC63" s="477"/>
      <c r="AD63" s="477"/>
      <c r="AE63" s="478"/>
      <c r="AF63" s="478"/>
      <c r="AG63" s="478"/>
      <c r="AY63" s="478"/>
      <c r="AZ63" s="478"/>
      <c r="BA63" s="478"/>
      <c r="BB63" s="478"/>
      <c r="BC63" s="478"/>
      <c r="BD63" s="478"/>
    </row>
    <row r="64" spans="2:56" s="468" customFormat="1" ht="11.25" x14ac:dyDescent="0.2">
      <c r="B64" s="538"/>
      <c r="C64" s="539"/>
      <c r="D64" s="539"/>
      <c r="E64" s="539"/>
      <c r="F64" s="539"/>
      <c r="G64" s="539"/>
      <c r="H64" s="539"/>
      <c r="I64" s="539"/>
      <c r="J64" s="539"/>
      <c r="K64" s="539"/>
      <c r="L64" s="539"/>
      <c r="M64" s="539"/>
      <c r="N64" s="539"/>
      <c r="O64" s="539"/>
      <c r="P64" s="539"/>
      <c r="Q64" s="539"/>
      <c r="R64" s="539"/>
      <c r="S64" s="539"/>
      <c r="T64" s="539"/>
      <c r="U64" s="539"/>
      <c r="V64" s="533"/>
      <c r="W64" s="533"/>
      <c r="X64" s="533"/>
      <c r="Y64" s="533"/>
      <c r="Z64" s="533"/>
      <c r="AA64" s="533"/>
      <c r="AB64" s="477"/>
      <c r="AC64" s="477"/>
      <c r="AD64" s="477"/>
      <c r="AE64" s="478"/>
      <c r="AF64" s="478"/>
      <c r="AG64" s="478"/>
      <c r="AY64" s="478"/>
      <c r="AZ64" s="478"/>
      <c r="BA64" s="478"/>
      <c r="BB64" s="478"/>
      <c r="BC64" s="478"/>
      <c r="BD64" s="478"/>
    </row>
    <row r="65" spans="2:56" s="468" customFormat="1" ht="11.25" x14ac:dyDescent="0.2">
      <c r="B65" s="538"/>
      <c r="C65" s="539"/>
      <c r="D65" s="539"/>
      <c r="E65" s="539"/>
      <c r="F65" s="539"/>
      <c r="G65" s="539"/>
      <c r="H65" s="539"/>
      <c r="I65" s="539"/>
      <c r="J65" s="539"/>
      <c r="K65" s="539"/>
      <c r="L65" s="539"/>
      <c r="M65" s="539"/>
      <c r="N65" s="539"/>
      <c r="O65" s="539"/>
      <c r="P65" s="539"/>
      <c r="Q65" s="539"/>
      <c r="R65" s="539"/>
      <c r="S65" s="539"/>
      <c r="T65" s="539"/>
      <c r="U65" s="539"/>
      <c r="V65" s="533"/>
      <c r="W65" s="533"/>
      <c r="X65" s="533"/>
      <c r="Y65" s="533"/>
      <c r="Z65" s="533"/>
      <c r="AA65" s="533"/>
      <c r="AB65" s="477"/>
      <c r="AC65" s="477"/>
      <c r="AD65" s="477"/>
      <c r="AE65" s="478"/>
      <c r="AF65" s="478"/>
      <c r="AG65" s="478"/>
      <c r="AY65" s="478"/>
      <c r="AZ65" s="478"/>
      <c r="BA65" s="478"/>
      <c r="BB65" s="478"/>
      <c r="BC65" s="478"/>
      <c r="BD65" s="478"/>
    </row>
    <row r="66" spans="2:56" s="468" customFormat="1" ht="11.25" x14ac:dyDescent="0.2">
      <c r="B66" s="538"/>
      <c r="C66" s="539"/>
      <c r="D66" s="539"/>
      <c r="E66" s="539"/>
      <c r="F66" s="539"/>
      <c r="G66" s="539"/>
      <c r="H66" s="539"/>
      <c r="I66" s="539"/>
      <c r="J66" s="539"/>
      <c r="K66" s="539"/>
      <c r="L66" s="539"/>
      <c r="M66" s="539"/>
      <c r="N66" s="539"/>
      <c r="O66" s="539"/>
      <c r="P66" s="539"/>
      <c r="Q66" s="539"/>
      <c r="R66" s="539"/>
      <c r="S66" s="539"/>
      <c r="T66" s="539"/>
      <c r="U66" s="539"/>
      <c r="V66" s="533"/>
      <c r="W66" s="533"/>
      <c r="X66" s="533"/>
      <c r="Y66" s="533"/>
      <c r="Z66" s="533"/>
      <c r="AA66" s="533"/>
      <c r="AB66" s="477"/>
      <c r="AC66" s="477"/>
      <c r="AD66" s="477"/>
      <c r="AE66" s="478"/>
      <c r="AF66" s="478"/>
      <c r="AG66" s="478"/>
      <c r="AY66" s="478"/>
      <c r="AZ66" s="478"/>
      <c r="BA66" s="478"/>
      <c r="BB66" s="478"/>
      <c r="BC66" s="478"/>
      <c r="BD66" s="478"/>
    </row>
    <row r="67" spans="2:56" s="468" customFormat="1" ht="11.25" x14ac:dyDescent="0.2">
      <c r="B67" s="538"/>
      <c r="C67" s="539"/>
      <c r="D67" s="539"/>
      <c r="E67" s="539"/>
      <c r="F67" s="539"/>
      <c r="G67" s="539"/>
      <c r="H67" s="539"/>
      <c r="I67" s="539"/>
      <c r="J67" s="539"/>
      <c r="K67" s="539"/>
      <c r="L67" s="539"/>
      <c r="M67" s="539"/>
      <c r="N67" s="539"/>
      <c r="O67" s="539"/>
      <c r="P67" s="539"/>
      <c r="Q67" s="539"/>
      <c r="R67" s="539"/>
      <c r="S67" s="539"/>
      <c r="T67" s="539"/>
      <c r="U67" s="539"/>
      <c r="V67" s="533"/>
      <c r="W67" s="533"/>
      <c r="X67" s="533"/>
      <c r="Y67" s="533"/>
      <c r="Z67" s="533"/>
      <c r="AA67" s="533"/>
      <c r="AB67" s="477"/>
      <c r="AC67" s="477"/>
      <c r="AD67" s="477"/>
      <c r="AE67" s="478"/>
      <c r="AF67" s="478"/>
      <c r="AG67" s="478"/>
      <c r="AY67" s="478"/>
      <c r="AZ67" s="478"/>
      <c r="BA67" s="478"/>
      <c r="BB67" s="478"/>
      <c r="BC67" s="478"/>
      <c r="BD67" s="478"/>
    </row>
    <row r="68" spans="2:56" s="468" customFormat="1" ht="11.25" x14ac:dyDescent="0.2">
      <c r="B68" s="538"/>
      <c r="C68" s="539"/>
      <c r="D68" s="539"/>
      <c r="E68" s="539"/>
      <c r="F68" s="539"/>
      <c r="G68" s="539"/>
      <c r="H68" s="539"/>
      <c r="I68" s="539"/>
      <c r="J68" s="539"/>
      <c r="K68" s="539"/>
      <c r="L68" s="539"/>
      <c r="M68" s="539"/>
      <c r="N68" s="539"/>
      <c r="O68" s="539"/>
      <c r="P68" s="539"/>
      <c r="Q68" s="539"/>
      <c r="R68" s="539"/>
      <c r="S68" s="539"/>
      <c r="T68" s="539"/>
      <c r="U68" s="539"/>
      <c r="V68" s="533"/>
      <c r="W68" s="533"/>
      <c r="X68" s="533"/>
      <c r="Y68" s="533"/>
      <c r="Z68" s="533"/>
      <c r="AA68" s="533"/>
      <c r="AB68" s="477"/>
      <c r="AC68" s="477"/>
      <c r="AD68" s="477"/>
      <c r="AE68" s="478"/>
      <c r="AF68" s="478"/>
      <c r="AG68" s="478"/>
      <c r="AY68" s="478"/>
      <c r="AZ68" s="478"/>
      <c r="BA68" s="478"/>
      <c r="BB68" s="478"/>
      <c r="BC68" s="478"/>
      <c r="BD68" s="478"/>
    </row>
    <row r="69" spans="2:56" s="468" customFormat="1" ht="11.25" x14ac:dyDescent="0.2">
      <c r="B69" s="538"/>
      <c r="C69" s="539"/>
      <c r="D69" s="539"/>
      <c r="E69" s="539"/>
      <c r="F69" s="539"/>
      <c r="G69" s="539"/>
      <c r="H69" s="539"/>
      <c r="I69" s="539"/>
      <c r="J69" s="539"/>
      <c r="K69" s="539"/>
      <c r="L69" s="539"/>
      <c r="M69" s="539"/>
      <c r="N69" s="539"/>
      <c r="O69" s="539"/>
      <c r="P69" s="539"/>
      <c r="Q69" s="539"/>
      <c r="R69" s="539"/>
      <c r="S69" s="539"/>
      <c r="T69" s="539"/>
      <c r="U69" s="539"/>
      <c r="V69" s="533"/>
      <c r="W69" s="533"/>
      <c r="X69" s="533"/>
      <c r="Y69" s="533"/>
      <c r="Z69" s="533"/>
      <c r="AA69" s="533"/>
      <c r="AB69" s="477"/>
      <c r="AC69" s="477"/>
      <c r="AD69" s="477"/>
      <c r="AE69" s="478"/>
      <c r="AF69" s="478"/>
      <c r="AG69" s="478"/>
      <c r="AY69" s="478"/>
      <c r="AZ69" s="478"/>
      <c r="BA69" s="478"/>
      <c r="BB69" s="478"/>
      <c r="BC69" s="478"/>
      <c r="BD69" s="478"/>
    </row>
    <row r="70" spans="2:56" s="468" customFormat="1" ht="11.25" x14ac:dyDescent="0.2">
      <c r="B70" s="538"/>
      <c r="C70" s="539"/>
      <c r="D70" s="539"/>
      <c r="E70" s="539"/>
      <c r="F70" s="539"/>
      <c r="G70" s="539"/>
      <c r="H70" s="539"/>
      <c r="I70" s="539"/>
      <c r="J70" s="539"/>
      <c r="K70" s="539"/>
      <c r="L70" s="539"/>
      <c r="M70" s="539"/>
      <c r="N70" s="539"/>
      <c r="O70" s="539"/>
      <c r="P70" s="539"/>
      <c r="Q70" s="539"/>
      <c r="R70" s="539"/>
      <c r="S70" s="539"/>
      <c r="T70" s="539"/>
      <c r="U70" s="539"/>
      <c r="V70" s="533"/>
      <c r="W70" s="533"/>
      <c r="X70" s="533"/>
      <c r="Y70" s="533"/>
      <c r="Z70" s="533"/>
      <c r="AA70" s="533"/>
      <c r="AB70" s="477"/>
      <c r="AC70" s="477"/>
      <c r="AD70" s="477"/>
      <c r="AE70" s="478"/>
      <c r="AF70" s="478"/>
      <c r="AG70" s="478"/>
      <c r="AY70" s="478"/>
      <c r="AZ70" s="478"/>
      <c r="BA70" s="478"/>
      <c r="BB70" s="478"/>
      <c r="BC70" s="478"/>
      <c r="BD70" s="478"/>
    </row>
    <row r="71" spans="2:56" s="468" customFormat="1" ht="11.25" x14ac:dyDescent="0.2">
      <c r="B71" s="538"/>
      <c r="C71" s="539"/>
      <c r="D71" s="539"/>
      <c r="E71" s="539"/>
      <c r="F71" s="539"/>
      <c r="G71" s="539"/>
      <c r="H71" s="539"/>
      <c r="I71" s="539"/>
      <c r="J71" s="539"/>
      <c r="K71" s="539"/>
      <c r="L71" s="539"/>
      <c r="M71" s="539"/>
      <c r="N71" s="539"/>
      <c r="O71" s="539"/>
      <c r="P71" s="539"/>
      <c r="Q71" s="539"/>
      <c r="R71" s="539"/>
      <c r="S71" s="539"/>
      <c r="T71" s="539"/>
      <c r="U71" s="539"/>
      <c r="V71" s="533"/>
      <c r="W71" s="533"/>
      <c r="X71" s="533"/>
      <c r="Y71" s="533"/>
      <c r="Z71" s="533"/>
      <c r="AA71" s="533"/>
      <c r="AB71" s="477"/>
      <c r="AC71" s="477"/>
      <c r="AD71" s="477"/>
      <c r="AE71" s="478"/>
      <c r="AF71" s="478"/>
      <c r="AG71" s="478"/>
      <c r="AY71" s="478"/>
      <c r="AZ71" s="478"/>
      <c r="BA71" s="478"/>
      <c r="BB71" s="478"/>
      <c r="BC71" s="478"/>
      <c r="BD71" s="478"/>
    </row>
    <row r="72" spans="2:56" s="468" customFormat="1" ht="11.25" x14ac:dyDescent="0.2">
      <c r="B72" s="538"/>
      <c r="C72" s="539"/>
      <c r="D72" s="539"/>
      <c r="E72" s="539"/>
      <c r="F72" s="539"/>
      <c r="G72" s="539"/>
      <c r="H72" s="539"/>
      <c r="I72" s="539"/>
      <c r="J72" s="539"/>
      <c r="K72" s="539"/>
      <c r="L72" s="539"/>
      <c r="M72" s="539"/>
      <c r="N72" s="539"/>
      <c r="O72" s="539"/>
      <c r="P72" s="539"/>
      <c r="Q72" s="539"/>
      <c r="R72" s="539"/>
      <c r="S72" s="539"/>
      <c r="T72" s="539"/>
      <c r="U72" s="539"/>
      <c r="V72" s="533"/>
      <c r="W72" s="533"/>
      <c r="X72" s="533"/>
      <c r="Y72" s="533"/>
      <c r="Z72" s="533"/>
      <c r="AA72" s="533"/>
      <c r="AB72" s="477"/>
      <c r="AC72" s="477"/>
      <c r="AD72" s="477"/>
      <c r="AE72" s="478"/>
      <c r="AF72" s="478"/>
      <c r="AG72" s="478"/>
      <c r="AY72" s="478"/>
      <c r="AZ72" s="478"/>
      <c r="BA72" s="478"/>
      <c r="BB72" s="478"/>
      <c r="BC72" s="478"/>
      <c r="BD72" s="478"/>
    </row>
    <row r="73" spans="2:56" s="468" customFormat="1" ht="11.25" x14ac:dyDescent="0.2">
      <c r="B73" s="538"/>
      <c r="C73" s="539"/>
      <c r="D73" s="539"/>
      <c r="E73" s="539"/>
      <c r="F73" s="539"/>
      <c r="G73" s="539"/>
      <c r="H73" s="539"/>
      <c r="I73" s="539"/>
      <c r="J73" s="539"/>
      <c r="K73" s="539"/>
      <c r="L73" s="539"/>
      <c r="M73" s="539"/>
      <c r="N73" s="539"/>
      <c r="O73" s="539"/>
      <c r="P73" s="539"/>
      <c r="Q73" s="539"/>
      <c r="R73" s="539"/>
      <c r="S73" s="539"/>
      <c r="T73" s="539"/>
      <c r="U73" s="539"/>
      <c r="V73" s="533"/>
      <c r="W73" s="533"/>
      <c r="X73" s="533"/>
      <c r="Y73" s="533"/>
      <c r="Z73" s="533"/>
      <c r="AA73" s="533"/>
      <c r="AB73" s="477"/>
      <c r="AC73" s="477"/>
      <c r="AD73" s="477"/>
      <c r="AE73" s="478"/>
      <c r="AF73" s="478"/>
      <c r="AG73" s="478"/>
      <c r="AY73" s="478"/>
      <c r="AZ73" s="478"/>
      <c r="BA73" s="478"/>
      <c r="BB73" s="478"/>
      <c r="BC73" s="478"/>
      <c r="BD73" s="478"/>
    </row>
    <row r="74" spans="2:56" s="468" customFormat="1" ht="11.25" x14ac:dyDescent="0.2">
      <c r="B74" s="538"/>
      <c r="C74" s="539"/>
      <c r="D74" s="539"/>
      <c r="E74" s="539"/>
      <c r="F74" s="539"/>
      <c r="G74" s="539"/>
      <c r="H74" s="539"/>
      <c r="I74" s="539"/>
      <c r="J74" s="539"/>
      <c r="K74" s="539"/>
      <c r="L74" s="539"/>
      <c r="M74" s="539"/>
      <c r="N74" s="539"/>
      <c r="O74" s="539"/>
      <c r="P74" s="539"/>
      <c r="Q74" s="539"/>
      <c r="R74" s="539"/>
      <c r="S74" s="539"/>
      <c r="T74" s="539"/>
      <c r="U74" s="539"/>
      <c r="V74" s="533"/>
      <c r="W74" s="533"/>
      <c r="X74" s="533"/>
      <c r="Y74" s="533"/>
      <c r="Z74" s="533"/>
      <c r="AA74" s="533"/>
      <c r="AB74" s="477"/>
      <c r="AC74" s="477"/>
      <c r="AD74" s="477"/>
      <c r="AE74" s="478"/>
      <c r="AF74" s="478"/>
      <c r="AG74" s="478"/>
      <c r="AY74" s="478"/>
      <c r="AZ74" s="478"/>
      <c r="BA74" s="478"/>
      <c r="BB74" s="478"/>
      <c r="BC74" s="478"/>
      <c r="BD74" s="478"/>
    </row>
    <row r="75" spans="2:56" s="468" customFormat="1" ht="11.25" x14ac:dyDescent="0.2">
      <c r="B75" s="538"/>
      <c r="C75" s="539"/>
      <c r="D75" s="539"/>
      <c r="E75" s="539"/>
      <c r="F75" s="539"/>
      <c r="G75" s="539"/>
      <c r="H75" s="539"/>
      <c r="I75" s="539"/>
      <c r="J75" s="539"/>
      <c r="K75" s="539"/>
      <c r="L75" s="539"/>
      <c r="M75" s="539"/>
      <c r="N75" s="539"/>
      <c r="O75" s="539"/>
      <c r="P75" s="539"/>
      <c r="Q75" s="539"/>
      <c r="R75" s="539"/>
      <c r="S75" s="539"/>
      <c r="T75" s="539"/>
      <c r="U75" s="539"/>
      <c r="V75" s="533"/>
      <c r="W75" s="533"/>
      <c r="X75" s="533"/>
      <c r="Y75" s="533"/>
      <c r="Z75" s="533"/>
      <c r="AA75" s="533"/>
      <c r="AB75" s="477"/>
      <c r="AC75" s="477"/>
      <c r="AD75" s="477"/>
      <c r="AE75" s="478"/>
      <c r="AF75" s="478"/>
      <c r="AG75" s="478"/>
      <c r="AY75" s="478"/>
      <c r="AZ75" s="478"/>
      <c r="BA75" s="478"/>
      <c r="BB75" s="478"/>
      <c r="BC75" s="478"/>
      <c r="BD75" s="478"/>
    </row>
    <row r="76" spans="2:56" s="468" customFormat="1" ht="11.25" x14ac:dyDescent="0.2">
      <c r="B76" s="538"/>
      <c r="C76" s="539"/>
      <c r="D76" s="539"/>
      <c r="E76" s="539"/>
      <c r="F76" s="539"/>
      <c r="G76" s="539"/>
      <c r="H76" s="539"/>
      <c r="I76" s="539"/>
      <c r="J76" s="539"/>
      <c r="K76" s="539"/>
      <c r="L76" s="539"/>
      <c r="M76" s="539"/>
      <c r="N76" s="539"/>
      <c r="O76" s="539"/>
      <c r="P76" s="539"/>
      <c r="Q76" s="539"/>
      <c r="R76" s="539"/>
      <c r="S76" s="539"/>
      <c r="T76" s="539"/>
      <c r="U76" s="539"/>
      <c r="V76" s="533"/>
      <c r="W76" s="533"/>
      <c r="X76" s="533"/>
      <c r="Y76" s="533"/>
      <c r="Z76" s="533"/>
      <c r="AA76" s="533"/>
      <c r="AB76" s="477"/>
      <c r="AC76" s="477"/>
      <c r="AD76" s="477"/>
      <c r="AE76" s="478"/>
      <c r="AF76" s="478"/>
      <c r="AG76" s="478"/>
      <c r="AY76" s="478"/>
      <c r="AZ76" s="478"/>
      <c r="BA76" s="478"/>
      <c r="BB76" s="478"/>
      <c r="BC76" s="478"/>
      <c r="BD76" s="478"/>
    </row>
    <row r="77" spans="2:56" s="468" customFormat="1" ht="11.25" x14ac:dyDescent="0.2">
      <c r="B77" s="538"/>
      <c r="C77" s="539"/>
      <c r="D77" s="539"/>
      <c r="E77" s="539"/>
      <c r="F77" s="539"/>
      <c r="G77" s="539"/>
      <c r="H77" s="539"/>
      <c r="I77" s="539"/>
      <c r="J77" s="539"/>
      <c r="K77" s="539"/>
      <c r="L77" s="539"/>
      <c r="M77" s="539"/>
      <c r="N77" s="539"/>
      <c r="O77" s="539"/>
      <c r="P77" s="539"/>
      <c r="Q77" s="539"/>
      <c r="R77" s="539"/>
      <c r="S77" s="539"/>
      <c r="T77" s="539"/>
      <c r="U77" s="539"/>
      <c r="V77" s="533"/>
      <c r="W77" s="533"/>
      <c r="X77" s="533"/>
      <c r="Y77" s="533"/>
      <c r="Z77" s="533"/>
      <c r="AA77" s="533"/>
      <c r="AB77" s="477"/>
      <c r="AC77" s="477"/>
      <c r="AD77" s="477"/>
      <c r="AE77" s="478"/>
      <c r="AF77" s="478"/>
      <c r="AG77" s="478"/>
      <c r="AY77" s="478"/>
      <c r="AZ77" s="478"/>
      <c r="BA77" s="478"/>
      <c r="BB77" s="478"/>
      <c r="BC77" s="478"/>
      <c r="BD77" s="478"/>
    </row>
    <row r="78" spans="2:56" s="468" customFormat="1" ht="11.25" x14ac:dyDescent="0.2">
      <c r="B78" s="538"/>
      <c r="C78" s="539"/>
      <c r="D78" s="539"/>
      <c r="E78" s="539"/>
      <c r="F78" s="539"/>
      <c r="G78" s="539"/>
      <c r="H78" s="539"/>
      <c r="I78" s="539"/>
      <c r="J78" s="539"/>
      <c r="K78" s="539"/>
      <c r="L78" s="539"/>
      <c r="M78" s="539"/>
      <c r="N78" s="539"/>
      <c r="O78" s="539"/>
      <c r="P78" s="539"/>
      <c r="Q78" s="539"/>
      <c r="R78" s="539"/>
      <c r="S78" s="539"/>
      <c r="T78" s="539"/>
      <c r="U78" s="539"/>
      <c r="V78" s="533"/>
      <c r="W78" s="533"/>
      <c r="X78" s="533"/>
      <c r="Y78" s="533"/>
      <c r="Z78" s="533"/>
      <c r="AA78" s="533"/>
      <c r="AB78" s="477"/>
      <c r="AC78" s="477"/>
      <c r="AD78" s="477"/>
      <c r="AE78" s="478"/>
      <c r="AF78" s="478"/>
      <c r="AG78" s="478"/>
      <c r="AY78" s="478"/>
      <c r="AZ78" s="478"/>
      <c r="BA78" s="478"/>
      <c r="BB78" s="478"/>
      <c r="BC78" s="478"/>
      <c r="BD78" s="478"/>
    </row>
    <row r="79" spans="2:56" s="489" customFormat="1" x14ac:dyDescent="0.2">
      <c r="B79" s="540"/>
      <c r="C79" s="539"/>
      <c r="D79" s="554"/>
      <c r="E79" s="555" t="s">
        <v>661</v>
      </c>
      <c r="F79" s="555"/>
      <c r="G79" s="555"/>
      <c r="H79" s="555"/>
      <c r="I79" s="555"/>
      <c r="J79" s="555"/>
      <c r="K79" s="555"/>
      <c r="L79" s="555"/>
      <c r="M79" s="555"/>
      <c r="N79" s="555"/>
      <c r="O79" s="555"/>
      <c r="P79" s="555"/>
      <c r="Q79" s="555"/>
      <c r="R79" s="555"/>
      <c r="S79" s="556"/>
      <c r="T79" s="539"/>
      <c r="U79" s="539"/>
      <c r="V79" s="541"/>
      <c r="W79" s="541"/>
      <c r="X79" s="541"/>
      <c r="Y79" s="541"/>
      <c r="Z79" s="541"/>
      <c r="AA79" s="541"/>
      <c r="AB79" s="487"/>
      <c r="AC79" s="487"/>
      <c r="AD79" s="487"/>
      <c r="AE79" s="488"/>
      <c r="AF79" s="488"/>
      <c r="AG79" s="488"/>
      <c r="AY79" s="488"/>
      <c r="AZ79" s="488"/>
      <c r="BA79" s="488"/>
      <c r="BB79" s="488"/>
      <c r="BC79" s="488"/>
      <c r="BD79" s="488"/>
    </row>
    <row r="80" spans="2:56" hidden="1" x14ac:dyDescent="0.2">
      <c r="B80" s="540"/>
      <c r="C80" s="542"/>
      <c r="D80" s="543"/>
      <c r="E80" s="549" t="s">
        <v>1625</v>
      </c>
      <c r="F80" s="550">
        <f>SUM(G80:R80)</f>
        <v>0</v>
      </c>
      <c r="G80" s="551">
        <f t="shared" ref="G80:R80" si="1">SUM(G10:G12)</f>
        <v>0</v>
      </c>
      <c r="H80" s="552">
        <f t="shared" si="1"/>
        <v>0</v>
      </c>
      <c r="I80" s="552">
        <f t="shared" si="1"/>
        <v>0</v>
      </c>
      <c r="J80" s="552">
        <f t="shared" si="1"/>
        <v>0</v>
      </c>
      <c r="K80" s="552">
        <f t="shared" si="1"/>
        <v>0</v>
      </c>
      <c r="L80" s="552">
        <f t="shared" si="1"/>
        <v>0</v>
      </c>
      <c r="M80" s="552">
        <f t="shared" si="1"/>
        <v>0</v>
      </c>
      <c r="N80" s="552">
        <f t="shared" si="1"/>
        <v>0</v>
      </c>
      <c r="O80" s="552">
        <f t="shared" si="1"/>
        <v>0</v>
      </c>
      <c r="P80" s="552">
        <f t="shared" si="1"/>
        <v>0</v>
      </c>
      <c r="Q80" s="552">
        <f t="shared" si="1"/>
        <v>0</v>
      </c>
      <c r="R80" s="553">
        <f t="shared" si="1"/>
        <v>0</v>
      </c>
      <c r="S80" s="544"/>
      <c r="T80" s="542"/>
      <c r="U80" s="545"/>
      <c r="V80" s="545"/>
      <c r="W80" s="545"/>
      <c r="X80" s="545"/>
      <c r="Y80" s="545"/>
      <c r="Z80" s="545"/>
      <c r="AA80" s="545"/>
      <c r="AB80" s="470"/>
      <c r="AC80" s="470"/>
      <c r="AD80" s="470"/>
      <c r="AE80" s="469"/>
      <c r="AF80" s="469"/>
      <c r="AG80" s="474"/>
      <c r="AH80" s="474"/>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row>
    <row r="81" spans="2:56" hidden="1" x14ac:dyDescent="0.2">
      <c r="B81" s="540"/>
      <c r="C81" s="542"/>
      <c r="D81" s="543"/>
      <c r="E81" s="542"/>
      <c r="F81" s="542"/>
      <c r="G81" s="542"/>
      <c r="H81" s="542"/>
      <c r="I81" s="542"/>
      <c r="J81" s="542"/>
      <c r="K81" s="542"/>
      <c r="L81" s="542"/>
      <c r="M81" s="542"/>
      <c r="N81" s="542"/>
      <c r="O81" s="542"/>
      <c r="P81" s="542"/>
      <c r="Q81" s="542"/>
      <c r="R81" s="542"/>
      <c r="S81" s="544"/>
      <c r="T81" s="542"/>
      <c r="U81" s="545"/>
      <c r="V81" s="545"/>
      <c r="W81" s="545"/>
      <c r="X81" s="545"/>
      <c r="Y81" s="545"/>
      <c r="Z81" s="545"/>
      <c r="AA81" s="545"/>
      <c r="AB81" s="470"/>
      <c r="AC81" s="470"/>
      <c r="AD81" s="470"/>
      <c r="AE81" s="469"/>
      <c r="AF81" s="469"/>
      <c r="AG81" s="474"/>
      <c r="AH81" s="474"/>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row>
    <row r="82" spans="2:56" x14ac:dyDescent="0.2">
      <c r="B82" s="540"/>
      <c r="C82" s="542"/>
      <c r="D82" s="546"/>
      <c r="E82" s="547"/>
      <c r="F82" s="547"/>
      <c r="G82" s="547"/>
      <c r="H82" s="547"/>
      <c r="I82" s="547"/>
      <c r="J82" s="547"/>
      <c r="K82" s="547"/>
      <c r="L82" s="547"/>
      <c r="M82" s="547"/>
      <c r="N82" s="547"/>
      <c r="O82" s="547"/>
      <c r="P82" s="547"/>
      <c r="Q82" s="547"/>
      <c r="R82" s="547"/>
      <c r="S82" s="548"/>
      <c r="T82" s="542"/>
      <c r="U82" s="545"/>
      <c r="V82" s="545"/>
      <c r="W82" s="545"/>
      <c r="X82" s="545"/>
      <c r="Y82" s="545"/>
      <c r="Z82" s="545"/>
      <c r="AA82" s="545"/>
      <c r="AB82" s="470"/>
      <c r="AC82" s="470"/>
      <c r="AD82" s="470"/>
      <c r="AE82" s="469"/>
      <c r="AF82" s="469"/>
      <c r="AG82" s="474"/>
      <c r="AH82" s="474"/>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row>
    <row r="83" spans="2:56" x14ac:dyDescent="0.2">
      <c r="B83" s="540"/>
      <c r="C83" s="542"/>
      <c r="D83" s="542"/>
      <c r="E83" s="542"/>
      <c r="F83" s="542"/>
      <c r="G83" s="542"/>
      <c r="H83" s="542"/>
      <c r="I83" s="542"/>
      <c r="J83" s="542"/>
      <c r="K83" s="542"/>
      <c r="L83" s="542"/>
      <c r="M83" s="542"/>
      <c r="N83" s="542"/>
      <c r="O83" s="542"/>
      <c r="P83" s="542"/>
      <c r="Q83" s="542"/>
      <c r="R83" s="542"/>
      <c r="S83" s="542"/>
      <c r="T83" s="542"/>
      <c r="U83" s="545"/>
      <c r="V83" s="545"/>
      <c r="W83" s="545"/>
      <c r="X83" s="545"/>
      <c r="Y83" s="545"/>
      <c r="Z83" s="545"/>
      <c r="AA83" s="545"/>
      <c r="AB83" s="470"/>
      <c r="AC83" s="470"/>
      <c r="AD83" s="470"/>
      <c r="AE83" s="469"/>
      <c r="AF83" s="469"/>
      <c r="AG83" s="474"/>
      <c r="AH83" s="474"/>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row>
    <row r="84" spans="2:56" x14ac:dyDescent="0.2">
      <c r="B84" s="540"/>
      <c r="C84" s="542"/>
      <c r="D84" s="542"/>
      <c r="E84" s="542"/>
      <c r="F84" s="542"/>
      <c r="G84" s="542"/>
      <c r="H84" s="542"/>
      <c r="I84" s="542"/>
      <c r="J84" s="542"/>
      <c r="K84" s="542"/>
      <c r="L84" s="542"/>
      <c r="M84" s="542"/>
      <c r="N84" s="542"/>
      <c r="O84" s="542"/>
      <c r="P84" s="542"/>
      <c r="Q84" s="542"/>
      <c r="R84" s="542"/>
      <c r="S84" s="542"/>
      <c r="T84" s="542"/>
      <c r="U84" s="545"/>
      <c r="V84" s="545"/>
      <c r="W84" s="545"/>
      <c r="X84" s="545"/>
      <c r="Y84" s="545"/>
      <c r="Z84" s="545"/>
      <c r="AA84" s="545"/>
      <c r="AB84" s="470"/>
      <c r="AC84" s="470"/>
      <c r="AD84" s="470"/>
      <c r="AE84" s="469"/>
      <c r="AF84" s="469"/>
      <c r="AG84" s="474"/>
      <c r="AH84" s="474"/>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row>
    <row r="85" spans="2:56" x14ac:dyDescent="0.2">
      <c r="B85" s="540"/>
      <c r="C85" s="542"/>
      <c r="D85" s="542"/>
      <c r="E85" s="542"/>
      <c r="F85" s="542"/>
      <c r="G85" s="542"/>
      <c r="H85" s="542"/>
      <c r="I85" s="542"/>
      <c r="J85" s="542"/>
      <c r="K85" s="542"/>
      <c r="L85" s="542"/>
      <c r="M85" s="542"/>
      <c r="N85" s="542"/>
      <c r="O85" s="542"/>
      <c r="P85" s="542"/>
      <c r="Q85" s="542"/>
      <c r="R85" s="542"/>
      <c r="S85" s="542"/>
      <c r="T85" s="542"/>
      <c r="U85" s="545"/>
      <c r="V85" s="545"/>
      <c r="W85" s="545"/>
      <c r="X85" s="545"/>
      <c r="Y85" s="545"/>
      <c r="Z85" s="545"/>
      <c r="AA85" s="545"/>
      <c r="AB85" s="470"/>
      <c r="AC85" s="470"/>
      <c r="AD85" s="470"/>
      <c r="AE85" s="469"/>
      <c r="AF85" s="469"/>
      <c r="AG85" s="474"/>
      <c r="AH85" s="474"/>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row>
    <row r="86" spans="2:56" x14ac:dyDescent="0.2">
      <c r="B86" s="540"/>
      <c r="C86" s="542"/>
      <c r="D86" s="542"/>
      <c r="E86" s="542"/>
      <c r="F86" s="542"/>
      <c r="G86" s="542"/>
      <c r="H86" s="542"/>
      <c r="I86" s="542"/>
      <c r="J86" s="542"/>
      <c r="K86" s="542"/>
      <c r="L86" s="542"/>
      <c r="M86" s="542"/>
      <c r="N86" s="542"/>
      <c r="O86" s="542"/>
      <c r="P86" s="542"/>
      <c r="Q86" s="542"/>
      <c r="R86" s="542"/>
      <c r="S86" s="542"/>
      <c r="T86" s="542"/>
      <c r="U86" s="545"/>
      <c r="V86" s="545"/>
      <c r="W86" s="545"/>
      <c r="X86" s="545"/>
      <c r="Y86" s="545"/>
      <c r="Z86" s="545"/>
      <c r="AA86" s="545"/>
      <c r="AB86" s="470"/>
      <c r="AC86" s="470"/>
      <c r="AD86" s="470"/>
      <c r="AE86" s="469"/>
      <c r="AF86" s="469"/>
      <c r="AG86" s="474"/>
      <c r="AH86" s="474"/>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row>
    <row r="87" spans="2:56" x14ac:dyDescent="0.2">
      <c r="B87" s="540"/>
      <c r="C87" s="542"/>
      <c r="D87" s="542"/>
      <c r="E87" s="542"/>
      <c r="F87" s="542"/>
      <c r="G87" s="542"/>
      <c r="H87" s="542"/>
      <c r="I87" s="542"/>
      <c r="J87" s="542"/>
      <c r="K87" s="542"/>
      <c r="L87" s="542"/>
      <c r="M87" s="542"/>
      <c r="N87" s="542"/>
      <c r="O87" s="542"/>
      <c r="P87" s="542"/>
      <c r="Q87" s="542"/>
      <c r="R87" s="542"/>
      <c r="S87" s="542"/>
      <c r="T87" s="542"/>
      <c r="U87" s="545"/>
      <c r="V87" s="545"/>
      <c r="W87" s="545"/>
      <c r="X87" s="545"/>
      <c r="Y87" s="545"/>
      <c r="Z87" s="545"/>
      <c r="AA87" s="545"/>
      <c r="AB87" s="470"/>
      <c r="AC87" s="470"/>
      <c r="AD87" s="470"/>
      <c r="AE87" s="469"/>
      <c r="AF87" s="469"/>
      <c r="AG87" s="474"/>
      <c r="AH87" s="474"/>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row>
    <row r="88" spans="2:56" x14ac:dyDescent="0.2">
      <c r="B88" s="540"/>
      <c r="C88" s="542"/>
      <c r="D88" s="542"/>
      <c r="E88" s="542"/>
      <c r="F88" s="542"/>
      <c r="G88" s="542"/>
      <c r="H88" s="542"/>
      <c r="I88" s="542"/>
      <c r="J88" s="542"/>
      <c r="K88" s="542"/>
      <c r="L88" s="542"/>
      <c r="M88" s="542"/>
      <c r="N88" s="542"/>
      <c r="O88" s="542"/>
      <c r="P88" s="542"/>
      <c r="Q88" s="542"/>
      <c r="R88" s="542"/>
      <c r="S88" s="542"/>
      <c r="T88" s="542"/>
      <c r="U88" s="545"/>
      <c r="V88" s="545"/>
      <c r="W88" s="545"/>
      <c r="X88" s="545"/>
      <c r="Y88" s="545"/>
      <c r="Z88" s="545"/>
      <c r="AA88" s="545"/>
      <c r="AB88" s="470"/>
      <c r="AC88" s="470"/>
      <c r="AD88" s="470"/>
      <c r="AE88" s="469"/>
      <c r="AF88" s="469"/>
      <c r="AG88" s="474"/>
      <c r="AH88" s="474"/>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row>
    <row r="89" spans="2:56" x14ac:dyDescent="0.2">
      <c r="B89" s="540"/>
      <c r="C89" s="542"/>
      <c r="D89" s="542"/>
      <c r="E89" s="542"/>
      <c r="F89" s="542"/>
      <c r="G89" s="542"/>
      <c r="H89" s="542"/>
      <c r="I89" s="542"/>
      <c r="J89" s="542"/>
      <c r="K89" s="542"/>
      <c r="L89" s="542"/>
      <c r="M89" s="542"/>
      <c r="N89" s="542"/>
      <c r="O89" s="542"/>
      <c r="P89" s="542"/>
      <c r="Q89" s="542"/>
      <c r="R89" s="542"/>
      <c r="S89" s="542"/>
      <c r="T89" s="542"/>
      <c r="U89" s="545"/>
      <c r="V89" s="545"/>
      <c r="W89" s="545"/>
      <c r="X89" s="545"/>
      <c r="Y89" s="545"/>
      <c r="Z89" s="545"/>
      <c r="AA89" s="545"/>
      <c r="AB89" s="470"/>
      <c r="AC89" s="470"/>
      <c r="AD89" s="470"/>
      <c r="AE89" s="469"/>
      <c r="AF89" s="469"/>
      <c r="AG89" s="474"/>
      <c r="AH89" s="474"/>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row>
    <row r="90" spans="2:56" x14ac:dyDescent="0.2">
      <c r="B90" s="540"/>
      <c r="C90" s="542"/>
      <c r="D90" s="542"/>
      <c r="E90" s="542"/>
      <c r="F90" s="542"/>
      <c r="G90" s="542"/>
      <c r="H90" s="542"/>
      <c r="I90" s="542"/>
      <c r="J90" s="542"/>
      <c r="K90" s="542"/>
      <c r="L90" s="542"/>
      <c r="M90" s="542"/>
      <c r="N90" s="542"/>
      <c r="O90" s="542"/>
      <c r="P90" s="542"/>
      <c r="Q90" s="542"/>
      <c r="R90" s="542"/>
      <c r="S90" s="542"/>
      <c r="T90" s="542"/>
      <c r="U90" s="545"/>
      <c r="V90" s="545"/>
      <c r="W90" s="545"/>
      <c r="X90" s="545"/>
      <c r="Y90" s="545"/>
      <c r="Z90" s="545"/>
      <c r="AA90" s="545"/>
      <c r="AB90" s="470"/>
      <c r="AC90" s="470"/>
      <c r="AD90" s="470"/>
      <c r="AE90" s="469"/>
      <c r="AF90" s="469"/>
      <c r="AG90" s="474"/>
      <c r="AH90" s="474"/>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row>
    <row r="91" spans="2:56" x14ac:dyDescent="0.2">
      <c r="B91" s="540"/>
      <c r="C91" s="542"/>
      <c r="D91" s="542"/>
      <c r="E91" s="542"/>
      <c r="F91" s="542"/>
      <c r="G91" s="542"/>
      <c r="H91" s="542"/>
      <c r="I91" s="542"/>
      <c r="J91" s="542"/>
      <c r="K91" s="542"/>
      <c r="L91" s="542"/>
      <c r="M91" s="542"/>
      <c r="N91" s="542"/>
      <c r="O91" s="542"/>
      <c r="P91" s="542"/>
      <c r="Q91" s="542"/>
      <c r="R91" s="542"/>
      <c r="S91" s="542"/>
      <c r="T91" s="542"/>
      <c r="U91" s="545"/>
      <c r="V91" s="545"/>
      <c r="W91" s="545"/>
      <c r="X91" s="545"/>
      <c r="Y91" s="545"/>
      <c r="Z91" s="545"/>
      <c r="AA91" s="545"/>
      <c r="AB91" s="470"/>
      <c r="AC91" s="470"/>
      <c r="AD91" s="470"/>
      <c r="AE91" s="469"/>
      <c r="AF91" s="469"/>
      <c r="AG91" s="474"/>
      <c r="AH91" s="474"/>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row>
    <row r="92" spans="2:56" x14ac:dyDescent="0.2">
      <c r="B92" s="540"/>
      <c r="C92" s="542"/>
      <c r="D92" s="542"/>
      <c r="E92" s="542"/>
      <c r="F92" s="542"/>
      <c r="G92" s="542"/>
      <c r="H92" s="542"/>
      <c r="I92" s="542"/>
      <c r="J92" s="542"/>
      <c r="K92" s="542"/>
      <c r="L92" s="542"/>
      <c r="M92" s="542"/>
      <c r="N92" s="542"/>
      <c r="O92" s="542"/>
      <c r="P92" s="542"/>
      <c r="Q92" s="542"/>
      <c r="R92" s="542"/>
      <c r="S92" s="542"/>
      <c r="T92" s="542"/>
      <c r="U92" s="545"/>
      <c r="V92" s="545"/>
      <c r="W92" s="545"/>
      <c r="X92" s="545"/>
      <c r="Y92" s="545"/>
      <c r="Z92" s="545"/>
      <c r="AA92" s="545"/>
      <c r="AB92" s="470"/>
      <c r="AC92" s="470"/>
      <c r="AD92" s="470"/>
      <c r="AE92" s="469"/>
      <c r="AF92" s="469"/>
      <c r="AG92" s="474"/>
      <c r="AH92" s="474"/>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row>
    <row r="93" spans="2:56" x14ac:dyDescent="0.2">
      <c r="B93" s="540"/>
      <c r="C93" s="542"/>
      <c r="D93" s="542"/>
      <c r="E93" s="542"/>
      <c r="F93" s="542"/>
      <c r="G93" s="542"/>
      <c r="H93" s="542"/>
      <c r="I93" s="542"/>
      <c r="J93" s="542"/>
      <c r="K93" s="542"/>
      <c r="L93" s="542"/>
      <c r="M93" s="542"/>
      <c r="N93" s="542"/>
      <c r="O93" s="542"/>
      <c r="P93" s="542"/>
      <c r="Q93" s="542"/>
      <c r="R93" s="542"/>
      <c r="S93" s="542"/>
      <c r="T93" s="542"/>
      <c r="U93" s="545"/>
      <c r="V93" s="545"/>
      <c r="W93" s="545"/>
      <c r="X93" s="545"/>
      <c r="Y93" s="545"/>
      <c r="Z93" s="545"/>
      <c r="AA93" s="545"/>
      <c r="AB93" s="470"/>
      <c r="AC93" s="470"/>
      <c r="AD93" s="470"/>
      <c r="AE93" s="469"/>
      <c r="AF93" s="469"/>
      <c r="AG93" s="474"/>
      <c r="AH93" s="474"/>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row>
    <row r="94" spans="2:56" x14ac:dyDescent="0.2">
      <c r="B94" s="540"/>
      <c r="C94" s="542"/>
      <c r="D94" s="542"/>
      <c r="E94" s="542"/>
      <c r="F94" s="542"/>
      <c r="G94" s="542"/>
      <c r="H94" s="542"/>
      <c r="I94" s="542"/>
      <c r="J94" s="542"/>
      <c r="K94" s="542"/>
      <c r="L94" s="542"/>
      <c r="M94" s="542"/>
      <c r="N94" s="542"/>
      <c r="O94" s="542"/>
      <c r="P94" s="542"/>
      <c r="Q94" s="542"/>
      <c r="R94" s="542"/>
      <c r="S94" s="542"/>
      <c r="T94" s="542"/>
      <c r="U94" s="545"/>
      <c r="V94" s="545"/>
      <c r="W94" s="545"/>
      <c r="X94" s="545"/>
      <c r="Y94" s="545"/>
      <c r="Z94" s="545"/>
      <c r="AA94" s="545"/>
      <c r="AB94" s="470"/>
      <c r="AC94" s="470"/>
      <c r="AD94" s="470"/>
      <c r="AE94" s="469"/>
      <c r="AF94" s="469"/>
      <c r="AG94" s="474"/>
      <c r="AH94" s="474"/>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row>
    <row r="95" spans="2:56" x14ac:dyDescent="0.2">
      <c r="B95" s="475"/>
      <c r="C95" s="474"/>
      <c r="D95" s="474"/>
      <c r="E95" s="474"/>
      <c r="F95" s="474"/>
      <c r="G95" s="474"/>
      <c r="H95" s="474"/>
      <c r="I95" s="474"/>
      <c r="J95" s="474"/>
      <c r="K95" s="474"/>
      <c r="L95" s="474"/>
      <c r="M95" s="474"/>
      <c r="N95" s="474"/>
      <c r="O95" s="474"/>
      <c r="P95" s="474"/>
      <c r="Q95" s="474"/>
      <c r="R95" s="474"/>
      <c r="S95" s="474"/>
      <c r="T95" s="476"/>
      <c r="U95" s="470"/>
      <c r="V95" s="470"/>
      <c r="W95" s="470"/>
      <c r="X95" s="470"/>
      <c r="Y95" s="470"/>
      <c r="Z95" s="470"/>
      <c r="AA95" s="470"/>
      <c r="AB95" s="470"/>
      <c r="AC95" s="470"/>
      <c r="AD95" s="470"/>
      <c r="AE95" s="469"/>
      <c r="AF95" s="469"/>
      <c r="AG95" s="474"/>
      <c r="AH95" s="474"/>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row>
    <row r="96" spans="2:56" s="475" customFormat="1" x14ac:dyDescent="0.2">
      <c r="C96" s="474"/>
      <c r="D96" s="474"/>
      <c r="E96" s="474"/>
      <c r="F96" s="474"/>
      <c r="G96" s="474"/>
      <c r="H96" s="474"/>
      <c r="I96" s="474"/>
      <c r="J96" s="474"/>
      <c r="K96" s="474"/>
      <c r="L96" s="474"/>
      <c r="M96" s="474"/>
      <c r="N96" s="474"/>
      <c r="O96" s="474"/>
      <c r="P96" s="474"/>
      <c r="Q96" s="474"/>
      <c r="R96" s="474"/>
      <c r="S96" s="474"/>
      <c r="T96" s="476"/>
      <c r="U96" s="470"/>
      <c r="V96" s="470"/>
      <c r="W96" s="470"/>
      <c r="X96" s="470"/>
      <c r="Y96" s="470"/>
      <c r="Z96" s="470"/>
      <c r="AA96" s="470"/>
      <c r="AB96" s="470"/>
      <c r="AC96" s="470"/>
      <c r="AD96" s="470"/>
      <c r="AE96" s="469"/>
      <c r="AF96" s="469"/>
      <c r="AG96" s="474"/>
      <c r="AH96" s="474"/>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row>
    <row r="97" spans="3:56" s="475" customFormat="1" x14ac:dyDescent="0.2">
      <c r="C97" s="474"/>
      <c r="D97" s="474"/>
      <c r="E97" s="474"/>
      <c r="F97" s="474"/>
      <c r="G97" s="474"/>
      <c r="H97" s="474"/>
      <c r="I97" s="474"/>
      <c r="J97" s="474"/>
      <c r="K97" s="474"/>
      <c r="L97" s="474"/>
      <c r="M97" s="474"/>
      <c r="N97" s="474"/>
      <c r="O97" s="474"/>
      <c r="P97" s="474"/>
      <c r="Q97" s="474"/>
      <c r="R97" s="474"/>
      <c r="S97" s="474"/>
      <c r="T97" s="476"/>
      <c r="U97" s="470"/>
      <c r="V97" s="470"/>
      <c r="W97" s="470"/>
      <c r="X97" s="470"/>
      <c r="Y97" s="470"/>
      <c r="Z97" s="470"/>
      <c r="AA97" s="470"/>
      <c r="AB97" s="470"/>
      <c r="AC97" s="470"/>
      <c r="AD97" s="470"/>
      <c r="AE97" s="469"/>
      <c r="AF97" s="469"/>
      <c r="AG97" s="474"/>
      <c r="AH97" s="474"/>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row>
    <row r="98" spans="3:56" s="475" customFormat="1" x14ac:dyDescent="0.2">
      <c r="C98" s="474"/>
      <c r="D98" s="474"/>
      <c r="E98" s="474"/>
      <c r="F98" s="474"/>
      <c r="G98" s="474"/>
      <c r="H98" s="474"/>
      <c r="I98" s="474"/>
      <c r="J98" s="474"/>
      <c r="K98" s="474"/>
      <c r="L98" s="474"/>
      <c r="M98" s="474"/>
      <c r="N98" s="474"/>
      <c r="O98" s="474"/>
      <c r="P98" s="474"/>
      <c r="Q98" s="474"/>
      <c r="R98" s="474"/>
      <c r="S98" s="474"/>
      <c r="T98" s="476"/>
      <c r="U98" s="470"/>
      <c r="V98" s="470"/>
      <c r="W98" s="470"/>
      <c r="X98" s="470"/>
      <c r="Y98" s="470"/>
      <c r="Z98" s="470"/>
      <c r="AA98" s="470"/>
      <c r="AB98" s="470"/>
      <c r="AC98" s="470"/>
      <c r="AD98" s="470"/>
      <c r="AE98" s="469"/>
      <c r="AF98" s="469"/>
      <c r="AG98" s="474"/>
      <c r="AH98" s="474"/>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row>
    <row r="99" spans="3:56" s="475" customFormat="1" x14ac:dyDescent="0.2">
      <c r="C99" s="474"/>
      <c r="D99" s="474"/>
      <c r="E99" s="474"/>
      <c r="F99" s="474"/>
      <c r="G99" s="474"/>
      <c r="H99" s="474"/>
      <c r="I99" s="474"/>
      <c r="J99" s="474"/>
      <c r="K99" s="474"/>
      <c r="L99" s="474"/>
      <c r="M99" s="474"/>
      <c r="N99" s="474"/>
      <c r="O99" s="474"/>
      <c r="P99" s="474"/>
      <c r="Q99" s="474"/>
      <c r="R99" s="474"/>
      <c r="S99" s="474"/>
      <c r="T99" s="476"/>
      <c r="U99" s="470"/>
      <c r="V99" s="470"/>
      <c r="W99" s="470"/>
      <c r="X99" s="470"/>
      <c r="Y99" s="470"/>
      <c r="Z99" s="470"/>
      <c r="AA99" s="470"/>
      <c r="AB99" s="470"/>
      <c r="AC99" s="470"/>
      <c r="AD99" s="470"/>
      <c r="AE99" s="469"/>
      <c r="AF99" s="469"/>
      <c r="AG99" s="474"/>
      <c r="AH99" s="474"/>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row>
    <row r="100" spans="3:56" s="475" customFormat="1" x14ac:dyDescent="0.2">
      <c r="C100" s="474"/>
      <c r="D100" s="474"/>
      <c r="E100" s="474"/>
      <c r="F100" s="474"/>
      <c r="G100" s="474"/>
      <c r="H100" s="474"/>
      <c r="I100" s="474"/>
      <c r="J100" s="474"/>
      <c r="K100" s="474"/>
      <c r="L100" s="474"/>
      <c r="M100" s="474"/>
      <c r="N100" s="474"/>
      <c r="O100" s="474"/>
      <c r="P100" s="474"/>
      <c r="Q100" s="474"/>
      <c r="R100" s="474"/>
      <c r="S100" s="474"/>
      <c r="T100" s="476"/>
      <c r="U100" s="470"/>
      <c r="V100" s="470"/>
      <c r="W100" s="470"/>
      <c r="X100" s="470"/>
      <c r="Y100" s="470"/>
      <c r="Z100" s="470"/>
      <c r="AA100" s="470"/>
      <c r="AB100" s="470"/>
      <c r="AC100" s="470"/>
      <c r="AD100" s="470"/>
      <c r="AE100" s="469"/>
      <c r="AF100" s="469"/>
      <c r="AG100" s="474"/>
      <c r="AH100" s="474"/>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row>
    <row r="101" spans="3:56" s="475" customFormat="1" x14ac:dyDescent="0.2">
      <c r="C101" s="474"/>
      <c r="D101" s="474"/>
      <c r="E101" s="474"/>
      <c r="F101" s="474"/>
      <c r="G101" s="474"/>
      <c r="H101" s="474"/>
      <c r="I101" s="474"/>
      <c r="J101" s="474"/>
      <c r="K101" s="474"/>
      <c r="L101" s="474"/>
      <c r="M101" s="474"/>
      <c r="N101" s="474"/>
      <c r="O101" s="474"/>
      <c r="P101" s="474"/>
      <c r="Q101" s="474"/>
      <c r="R101" s="474"/>
      <c r="S101" s="474"/>
      <c r="T101" s="476"/>
      <c r="U101" s="470"/>
      <c r="V101" s="470"/>
      <c r="W101" s="470"/>
      <c r="X101" s="470"/>
      <c r="Y101" s="470"/>
      <c r="Z101" s="470"/>
      <c r="AA101" s="470"/>
      <c r="AB101" s="470"/>
      <c r="AC101" s="470"/>
      <c r="AD101" s="470"/>
      <c r="AE101" s="469"/>
      <c r="AF101" s="469"/>
      <c r="AG101" s="474"/>
      <c r="AH101" s="474"/>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row>
    <row r="102" spans="3:56" s="475" customFormat="1" x14ac:dyDescent="0.2">
      <c r="C102" s="474"/>
      <c r="D102" s="474"/>
      <c r="E102" s="474"/>
      <c r="F102" s="474"/>
      <c r="G102" s="474"/>
      <c r="H102" s="474"/>
      <c r="I102" s="474"/>
      <c r="J102" s="474"/>
      <c r="K102" s="474"/>
      <c r="L102" s="474"/>
      <c r="M102" s="474"/>
      <c r="N102" s="474"/>
      <c r="O102" s="474"/>
      <c r="P102" s="474"/>
      <c r="Q102" s="474"/>
      <c r="R102" s="474"/>
      <c r="S102" s="474"/>
      <c r="T102" s="476"/>
      <c r="U102" s="470"/>
      <c r="V102" s="470"/>
      <c r="W102" s="470"/>
      <c r="X102" s="470"/>
      <c r="Y102" s="470"/>
      <c r="Z102" s="470"/>
      <c r="AA102" s="470"/>
      <c r="AB102" s="470"/>
      <c r="AC102" s="470"/>
      <c r="AD102" s="470"/>
      <c r="AE102" s="469"/>
      <c r="AF102" s="469"/>
      <c r="AG102" s="474"/>
      <c r="AH102" s="474"/>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row>
    <row r="103" spans="3:56" s="475" customFormat="1" x14ac:dyDescent="0.2">
      <c r="C103" s="474"/>
      <c r="D103" s="474"/>
      <c r="E103" s="474"/>
      <c r="F103" s="474"/>
      <c r="G103" s="474"/>
      <c r="H103" s="474"/>
      <c r="I103" s="474"/>
      <c r="J103" s="474"/>
      <c r="K103" s="474"/>
      <c r="L103" s="474"/>
      <c r="M103" s="474"/>
      <c r="N103" s="474"/>
      <c r="O103" s="474"/>
      <c r="P103" s="474"/>
      <c r="Q103" s="474"/>
      <c r="R103" s="474"/>
      <c r="S103" s="474"/>
      <c r="T103" s="476"/>
      <c r="U103" s="470"/>
      <c r="V103" s="470"/>
      <c r="W103" s="470"/>
      <c r="X103" s="470"/>
      <c r="Y103" s="470"/>
      <c r="Z103" s="470"/>
      <c r="AA103" s="470"/>
      <c r="AB103" s="470"/>
      <c r="AC103" s="470"/>
      <c r="AD103" s="470"/>
      <c r="AE103" s="469"/>
      <c r="AF103" s="469"/>
      <c r="AG103" s="474"/>
      <c r="AH103" s="474"/>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row>
    <row r="104" spans="3:56" s="475" customFormat="1" x14ac:dyDescent="0.2">
      <c r="C104" s="474"/>
      <c r="D104" s="474"/>
      <c r="E104" s="474"/>
      <c r="F104" s="474"/>
      <c r="G104" s="474"/>
      <c r="H104" s="474"/>
      <c r="I104" s="474"/>
      <c r="J104" s="474"/>
      <c r="K104" s="474"/>
      <c r="L104" s="474"/>
      <c r="M104" s="474"/>
      <c r="N104" s="474"/>
      <c r="O104" s="474"/>
      <c r="P104" s="474"/>
      <c r="Q104" s="474"/>
      <c r="R104" s="474"/>
      <c r="S104" s="474"/>
      <c r="T104" s="476"/>
      <c r="U104" s="470"/>
      <c r="V104" s="470"/>
      <c r="W104" s="470"/>
      <c r="X104" s="470"/>
      <c r="Y104" s="470"/>
      <c r="Z104" s="470"/>
      <c r="AA104" s="470"/>
      <c r="AB104" s="470"/>
      <c r="AC104" s="470"/>
      <c r="AD104" s="470"/>
      <c r="AE104" s="469"/>
      <c r="AF104" s="469"/>
      <c r="AG104" s="474"/>
      <c r="AH104" s="474"/>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row>
    <row r="105" spans="3:56" s="475" customFormat="1" x14ac:dyDescent="0.2">
      <c r="C105" s="474"/>
      <c r="D105" s="474"/>
      <c r="E105" s="474"/>
      <c r="F105" s="474"/>
      <c r="G105" s="474"/>
      <c r="H105" s="474"/>
      <c r="I105" s="474"/>
      <c r="J105" s="474"/>
      <c r="K105" s="474"/>
      <c r="L105" s="474"/>
      <c r="M105" s="474"/>
      <c r="N105" s="474"/>
      <c r="O105" s="474"/>
      <c r="P105" s="474"/>
      <c r="Q105" s="474"/>
      <c r="R105" s="474"/>
      <c r="S105" s="474"/>
      <c r="T105" s="476"/>
      <c r="U105" s="470"/>
      <c r="V105" s="470"/>
      <c r="W105" s="470"/>
      <c r="X105" s="470"/>
      <c r="Y105" s="470"/>
      <c r="Z105" s="470"/>
      <c r="AA105" s="470"/>
      <c r="AB105" s="470"/>
      <c r="AC105" s="470"/>
      <c r="AD105" s="470"/>
      <c r="AE105" s="469"/>
      <c r="AF105" s="469"/>
      <c r="AG105" s="474"/>
      <c r="AH105" s="474"/>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row>
    <row r="106" spans="3:56" s="475" customFormat="1" x14ac:dyDescent="0.2">
      <c r="C106" s="474"/>
      <c r="D106" s="474"/>
      <c r="E106" s="474"/>
      <c r="F106" s="474"/>
      <c r="G106" s="474"/>
      <c r="H106" s="474"/>
      <c r="I106" s="474"/>
      <c r="J106" s="474"/>
      <c r="K106" s="474"/>
      <c r="L106" s="474"/>
      <c r="M106" s="474"/>
      <c r="N106" s="474"/>
      <c r="O106" s="474"/>
      <c r="P106" s="474"/>
      <c r="Q106" s="474"/>
      <c r="R106" s="474"/>
      <c r="S106" s="474"/>
      <c r="T106" s="476"/>
      <c r="U106" s="470"/>
      <c r="V106" s="470"/>
      <c r="W106" s="470"/>
      <c r="X106" s="470"/>
      <c r="Y106" s="470"/>
      <c r="Z106" s="470"/>
      <c r="AA106" s="470"/>
      <c r="AB106" s="470"/>
      <c r="AC106" s="470"/>
      <c r="AD106" s="470"/>
      <c r="AE106" s="469"/>
      <c r="AF106" s="469"/>
      <c r="AG106" s="474"/>
      <c r="AH106" s="474"/>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row>
    <row r="107" spans="3:56" s="475" customFormat="1" x14ac:dyDescent="0.2">
      <c r="C107" s="474"/>
      <c r="D107" s="474"/>
      <c r="E107" s="474"/>
      <c r="F107" s="474"/>
      <c r="G107" s="474"/>
      <c r="H107" s="474"/>
      <c r="I107" s="474"/>
      <c r="J107" s="474"/>
      <c r="K107" s="474"/>
      <c r="L107" s="474"/>
      <c r="M107" s="474"/>
      <c r="N107" s="474"/>
      <c r="O107" s="474"/>
      <c r="P107" s="474"/>
      <c r="Q107" s="474"/>
      <c r="R107" s="474"/>
      <c r="S107" s="474"/>
      <c r="T107" s="476"/>
      <c r="U107" s="470"/>
      <c r="V107" s="470"/>
      <c r="W107" s="470"/>
      <c r="X107" s="470"/>
      <c r="Y107" s="470"/>
      <c r="Z107" s="470"/>
      <c r="AA107" s="470"/>
      <c r="AB107" s="470"/>
      <c r="AC107" s="470"/>
      <c r="AD107" s="470"/>
      <c r="AE107" s="469"/>
      <c r="AF107" s="469"/>
      <c r="AG107" s="474"/>
      <c r="AH107" s="474"/>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row>
    <row r="108" spans="3:56" s="475" customFormat="1" x14ac:dyDescent="0.2">
      <c r="C108" s="474"/>
      <c r="D108" s="474"/>
      <c r="E108" s="474"/>
      <c r="F108" s="474"/>
      <c r="G108" s="474"/>
      <c r="H108" s="474"/>
      <c r="I108" s="474"/>
      <c r="J108" s="474"/>
      <c r="K108" s="474"/>
      <c r="L108" s="474"/>
      <c r="M108" s="474"/>
      <c r="N108" s="474"/>
      <c r="O108" s="474"/>
      <c r="P108" s="474"/>
      <c r="Q108" s="474"/>
      <c r="R108" s="474"/>
      <c r="S108" s="474"/>
      <c r="T108" s="476"/>
      <c r="U108" s="470"/>
      <c r="V108" s="470"/>
      <c r="W108" s="470"/>
      <c r="X108" s="470"/>
      <c r="Y108" s="470"/>
      <c r="Z108" s="470"/>
      <c r="AA108" s="470"/>
      <c r="AB108" s="470"/>
      <c r="AC108" s="470"/>
      <c r="AD108" s="470"/>
      <c r="AE108" s="469"/>
      <c r="AF108" s="469"/>
      <c r="AG108" s="474"/>
      <c r="AH108" s="474"/>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row>
    <row r="109" spans="3:56" s="475" customFormat="1" x14ac:dyDescent="0.2">
      <c r="C109" s="474"/>
      <c r="D109" s="474"/>
      <c r="E109" s="474"/>
      <c r="F109" s="474"/>
      <c r="G109" s="474"/>
      <c r="H109" s="474"/>
      <c r="I109" s="474"/>
      <c r="J109" s="474"/>
      <c r="K109" s="474"/>
      <c r="L109" s="474"/>
      <c r="M109" s="474"/>
      <c r="N109" s="474"/>
      <c r="O109" s="474"/>
      <c r="P109" s="474"/>
      <c r="Q109" s="474"/>
      <c r="R109" s="474"/>
      <c r="S109" s="474"/>
      <c r="T109" s="476"/>
      <c r="U109" s="470"/>
      <c r="V109" s="470"/>
      <c r="W109" s="470"/>
      <c r="X109" s="470"/>
      <c r="Y109" s="470"/>
      <c r="Z109" s="470"/>
      <c r="AA109" s="470"/>
      <c r="AB109" s="470"/>
      <c r="AC109" s="470"/>
      <c r="AD109" s="470"/>
      <c r="AE109" s="469"/>
      <c r="AF109" s="469"/>
      <c r="AG109" s="474"/>
      <c r="AH109" s="474"/>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row>
    <row r="110" spans="3:56" s="475" customFormat="1" x14ac:dyDescent="0.2">
      <c r="C110" s="474"/>
      <c r="D110" s="474"/>
      <c r="E110" s="474"/>
      <c r="F110" s="474"/>
      <c r="G110" s="474"/>
      <c r="H110" s="474"/>
      <c r="I110" s="474"/>
      <c r="J110" s="474"/>
      <c r="K110" s="474"/>
      <c r="L110" s="474"/>
      <c r="M110" s="474"/>
      <c r="N110" s="474"/>
      <c r="O110" s="474"/>
      <c r="P110" s="474"/>
      <c r="Q110" s="474"/>
      <c r="R110" s="474"/>
      <c r="S110" s="474"/>
      <c r="T110" s="476"/>
      <c r="U110" s="470"/>
      <c r="V110" s="470"/>
      <c r="W110" s="470"/>
      <c r="X110" s="470"/>
      <c r="Y110" s="470"/>
      <c r="Z110" s="470"/>
      <c r="AA110" s="470"/>
      <c r="AB110" s="470"/>
      <c r="AC110" s="470"/>
      <c r="AD110" s="470"/>
      <c r="AE110" s="469"/>
      <c r="AF110" s="469"/>
      <c r="AG110" s="474"/>
      <c r="AH110" s="474"/>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row>
    <row r="111" spans="3:56" s="475" customFormat="1" x14ac:dyDescent="0.2">
      <c r="C111" s="474"/>
      <c r="D111" s="474"/>
      <c r="E111" s="474"/>
      <c r="F111" s="474"/>
      <c r="G111" s="474"/>
      <c r="H111" s="474"/>
      <c r="I111" s="474"/>
      <c r="J111" s="474"/>
      <c r="K111" s="474"/>
      <c r="L111" s="474"/>
      <c r="M111" s="474"/>
      <c r="N111" s="474"/>
      <c r="O111" s="474"/>
      <c r="P111" s="474"/>
      <c r="Q111" s="474"/>
      <c r="R111" s="474"/>
      <c r="S111" s="474"/>
      <c r="T111" s="476"/>
      <c r="U111" s="470"/>
      <c r="V111" s="470"/>
      <c r="W111" s="470"/>
      <c r="X111" s="470"/>
      <c r="Y111" s="470"/>
      <c r="Z111" s="470"/>
      <c r="AA111" s="470"/>
      <c r="AB111" s="470"/>
      <c r="AC111" s="470"/>
      <c r="AD111" s="470"/>
      <c r="AE111" s="469"/>
      <c r="AF111" s="469"/>
      <c r="AG111" s="474"/>
      <c r="AH111" s="474"/>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row>
    <row r="112" spans="3:56" s="475" customFormat="1" x14ac:dyDescent="0.2">
      <c r="C112" s="474"/>
      <c r="D112" s="474"/>
      <c r="E112" s="474"/>
      <c r="F112" s="474"/>
      <c r="G112" s="474"/>
      <c r="H112" s="474"/>
      <c r="I112" s="474"/>
      <c r="J112" s="474"/>
      <c r="K112" s="474"/>
      <c r="L112" s="474"/>
      <c r="M112" s="474"/>
      <c r="N112" s="474"/>
      <c r="O112" s="474"/>
      <c r="P112" s="474"/>
      <c r="Q112" s="474"/>
      <c r="R112" s="474"/>
      <c r="S112" s="474"/>
      <c r="T112" s="476"/>
      <c r="U112" s="470"/>
      <c r="V112" s="470"/>
      <c r="W112" s="470"/>
      <c r="X112" s="470"/>
      <c r="Y112" s="470"/>
      <c r="Z112" s="470"/>
      <c r="AA112" s="470"/>
      <c r="AB112" s="470"/>
      <c r="AC112" s="470"/>
      <c r="AD112" s="470"/>
      <c r="AE112" s="469"/>
      <c r="AF112" s="469"/>
      <c r="AG112" s="474"/>
      <c r="AH112" s="474"/>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row>
    <row r="113" spans="3:56" s="475" customFormat="1" x14ac:dyDescent="0.2">
      <c r="C113" s="474"/>
      <c r="D113" s="474"/>
      <c r="E113" s="474"/>
      <c r="F113" s="474"/>
      <c r="G113" s="474"/>
      <c r="H113" s="474"/>
      <c r="I113" s="474"/>
      <c r="J113" s="474"/>
      <c r="K113" s="474"/>
      <c r="L113" s="474"/>
      <c r="M113" s="474"/>
      <c r="N113" s="474"/>
      <c r="O113" s="474"/>
      <c r="P113" s="474"/>
      <c r="Q113" s="474"/>
      <c r="R113" s="474"/>
      <c r="S113" s="474"/>
      <c r="T113" s="476"/>
      <c r="U113" s="470"/>
      <c r="V113" s="470"/>
      <c r="W113" s="470"/>
      <c r="X113" s="470"/>
      <c r="Y113" s="470"/>
      <c r="Z113" s="470"/>
      <c r="AA113" s="470"/>
      <c r="AB113" s="470"/>
      <c r="AC113" s="470"/>
      <c r="AD113" s="470"/>
      <c r="AE113" s="469"/>
      <c r="AF113" s="469"/>
      <c r="AG113" s="474"/>
      <c r="AH113" s="474"/>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row>
    <row r="114" spans="3:56" s="475" customFormat="1" x14ac:dyDescent="0.2">
      <c r="C114" s="474"/>
      <c r="D114" s="474"/>
      <c r="E114" s="474"/>
      <c r="F114" s="474"/>
      <c r="G114" s="474"/>
      <c r="H114" s="474"/>
      <c r="I114" s="474"/>
      <c r="J114" s="474"/>
      <c r="K114" s="474"/>
      <c r="L114" s="474"/>
      <c r="M114" s="474"/>
      <c r="N114" s="474"/>
      <c r="O114" s="474"/>
      <c r="P114" s="474"/>
      <c r="Q114" s="474"/>
      <c r="R114" s="474"/>
      <c r="S114" s="474"/>
      <c r="T114" s="476"/>
      <c r="U114" s="470"/>
      <c r="V114" s="470"/>
      <c r="W114" s="470"/>
      <c r="X114" s="470"/>
      <c r="Y114" s="470"/>
      <c r="Z114" s="470"/>
      <c r="AA114" s="470"/>
      <c r="AB114" s="470"/>
      <c r="AC114" s="470"/>
      <c r="AD114" s="470"/>
      <c r="AE114" s="469"/>
      <c r="AF114" s="469"/>
      <c r="AG114" s="474"/>
      <c r="AH114" s="474"/>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row>
    <row r="115" spans="3:56" s="475" customFormat="1" x14ac:dyDescent="0.2">
      <c r="C115" s="474"/>
      <c r="D115" s="474"/>
      <c r="E115" s="474"/>
      <c r="F115" s="474"/>
      <c r="G115" s="474"/>
      <c r="H115" s="474"/>
      <c r="I115" s="474"/>
      <c r="J115" s="474"/>
      <c r="K115" s="474"/>
      <c r="L115" s="474"/>
      <c r="M115" s="474"/>
      <c r="N115" s="474"/>
      <c r="O115" s="474"/>
      <c r="P115" s="474"/>
      <c r="Q115" s="474"/>
      <c r="R115" s="474"/>
      <c r="S115" s="474"/>
      <c r="T115" s="476"/>
      <c r="U115" s="470"/>
      <c r="V115" s="470"/>
      <c r="W115" s="470"/>
      <c r="X115" s="470"/>
      <c r="Y115" s="470"/>
      <c r="Z115" s="470"/>
      <c r="AA115" s="470"/>
      <c r="AB115" s="470"/>
      <c r="AC115" s="470"/>
      <c r="AD115" s="470"/>
      <c r="AE115" s="469"/>
      <c r="AF115" s="469"/>
      <c r="AG115" s="474"/>
      <c r="AH115" s="474"/>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row>
    <row r="116" spans="3:56" s="475" customFormat="1" x14ac:dyDescent="0.2">
      <c r="C116" s="474"/>
      <c r="D116" s="474"/>
      <c r="E116" s="474"/>
      <c r="F116" s="474"/>
      <c r="G116" s="474"/>
      <c r="H116" s="474"/>
      <c r="I116" s="474"/>
      <c r="J116" s="474"/>
      <c r="K116" s="474"/>
      <c r="L116" s="474"/>
      <c r="M116" s="474"/>
      <c r="N116" s="474"/>
      <c r="O116" s="474"/>
      <c r="P116" s="474"/>
      <c r="Q116" s="474"/>
      <c r="R116" s="474"/>
      <c r="S116" s="474"/>
      <c r="T116" s="476"/>
      <c r="U116" s="470"/>
      <c r="V116" s="470"/>
      <c r="W116" s="470"/>
      <c r="X116" s="470"/>
      <c r="Y116" s="470"/>
      <c r="Z116" s="470"/>
      <c r="AA116" s="470"/>
      <c r="AB116" s="470"/>
      <c r="AC116" s="470"/>
      <c r="AD116" s="470"/>
      <c r="AE116" s="469"/>
      <c r="AF116" s="469"/>
      <c r="AG116" s="474"/>
      <c r="AH116" s="474"/>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row>
    <row r="117" spans="3:56" s="475" customFormat="1" x14ac:dyDescent="0.2">
      <c r="C117" s="474"/>
      <c r="D117" s="474"/>
      <c r="E117" s="474"/>
      <c r="F117" s="474"/>
      <c r="G117" s="474"/>
      <c r="H117" s="474"/>
      <c r="I117" s="474"/>
      <c r="J117" s="474"/>
      <c r="K117" s="474"/>
      <c r="L117" s="474"/>
      <c r="M117" s="474"/>
      <c r="N117" s="474"/>
      <c r="O117" s="474"/>
      <c r="P117" s="474"/>
      <c r="Q117" s="474"/>
      <c r="R117" s="474"/>
      <c r="S117" s="474"/>
      <c r="T117" s="476"/>
      <c r="U117" s="470"/>
      <c r="V117" s="470"/>
      <c r="W117" s="470"/>
      <c r="X117" s="470"/>
      <c r="Y117" s="470"/>
      <c r="Z117" s="470"/>
      <c r="AA117" s="470"/>
      <c r="AB117" s="470"/>
      <c r="AC117" s="470"/>
      <c r="AD117" s="470"/>
      <c r="AE117" s="469"/>
      <c r="AF117" s="469"/>
      <c r="AG117" s="474"/>
      <c r="AH117" s="474"/>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row>
    <row r="118" spans="3:56" s="475" customFormat="1" x14ac:dyDescent="0.2">
      <c r="C118" s="474"/>
      <c r="D118" s="474"/>
      <c r="E118" s="474"/>
      <c r="F118" s="474"/>
      <c r="G118" s="474"/>
      <c r="H118" s="474"/>
      <c r="I118" s="474"/>
      <c r="J118" s="474"/>
      <c r="K118" s="474"/>
      <c r="L118" s="474"/>
      <c r="M118" s="474"/>
      <c r="N118" s="474"/>
      <c r="O118" s="474"/>
      <c r="P118" s="474"/>
      <c r="Q118" s="474"/>
      <c r="R118" s="474"/>
      <c r="S118" s="474"/>
      <c r="T118" s="476"/>
      <c r="U118" s="470"/>
      <c r="V118" s="470"/>
      <c r="W118" s="470"/>
      <c r="X118" s="470"/>
      <c r="Y118" s="470"/>
      <c r="Z118" s="470"/>
      <c r="AA118" s="470"/>
      <c r="AB118" s="470"/>
      <c r="AC118" s="470"/>
      <c r="AD118" s="470"/>
      <c r="AE118" s="469"/>
      <c r="AF118" s="469"/>
      <c r="AG118" s="474"/>
      <c r="AH118" s="474"/>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row>
    <row r="119" spans="3:56" s="475" customFormat="1" x14ac:dyDescent="0.2">
      <c r="C119" s="474"/>
      <c r="D119" s="474"/>
      <c r="E119" s="474"/>
      <c r="F119" s="474"/>
      <c r="G119" s="474"/>
      <c r="H119" s="474"/>
      <c r="I119" s="474"/>
      <c r="J119" s="474"/>
      <c r="K119" s="474"/>
      <c r="L119" s="474"/>
      <c r="M119" s="474"/>
      <c r="N119" s="474"/>
      <c r="O119" s="474"/>
      <c r="P119" s="474"/>
      <c r="Q119" s="474"/>
      <c r="R119" s="474"/>
      <c r="S119" s="474"/>
      <c r="T119" s="476"/>
      <c r="U119" s="470"/>
      <c r="V119" s="470"/>
      <c r="W119" s="470"/>
      <c r="X119" s="470"/>
      <c r="Y119" s="470"/>
      <c r="Z119" s="470"/>
      <c r="AA119" s="470"/>
      <c r="AB119" s="470"/>
      <c r="AC119" s="470"/>
      <c r="AD119" s="470"/>
      <c r="AE119" s="469"/>
      <c r="AF119" s="469"/>
      <c r="AG119" s="474"/>
      <c r="AH119" s="474"/>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row>
    <row r="120" spans="3:56" s="475" customFormat="1" x14ac:dyDescent="0.2">
      <c r="C120" s="474"/>
      <c r="D120" s="474"/>
      <c r="E120" s="474"/>
      <c r="F120" s="474"/>
      <c r="G120" s="474"/>
      <c r="H120" s="474"/>
      <c r="I120" s="474"/>
      <c r="J120" s="474"/>
      <c r="K120" s="474"/>
      <c r="L120" s="474"/>
      <c r="M120" s="474"/>
      <c r="N120" s="474"/>
      <c r="O120" s="474"/>
      <c r="P120" s="474"/>
      <c r="Q120" s="474"/>
      <c r="R120" s="474"/>
      <c r="S120" s="474"/>
      <c r="T120" s="476"/>
      <c r="U120" s="470"/>
      <c r="V120" s="470"/>
      <c r="W120" s="470"/>
      <c r="X120" s="470"/>
      <c r="Y120" s="470"/>
      <c r="Z120" s="470"/>
      <c r="AA120" s="470"/>
      <c r="AB120" s="470"/>
      <c r="AC120" s="470"/>
      <c r="AD120" s="470"/>
      <c r="AE120" s="469"/>
      <c r="AF120" s="469"/>
      <c r="AG120" s="474"/>
      <c r="AH120" s="474"/>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row>
    <row r="121" spans="3:56" s="475" customFormat="1" x14ac:dyDescent="0.2">
      <c r="C121" s="474"/>
      <c r="D121" s="474"/>
      <c r="E121" s="474"/>
      <c r="F121" s="474"/>
      <c r="G121" s="474"/>
      <c r="H121" s="474"/>
      <c r="I121" s="474"/>
      <c r="J121" s="474"/>
      <c r="K121" s="474"/>
      <c r="L121" s="474"/>
      <c r="M121" s="474"/>
      <c r="N121" s="474"/>
      <c r="O121" s="474"/>
      <c r="P121" s="474"/>
      <c r="Q121" s="474"/>
      <c r="R121" s="474"/>
      <c r="S121" s="474"/>
      <c r="T121" s="476"/>
      <c r="U121" s="470"/>
      <c r="V121" s="470"/>
      <c r="W121" s="470"/>
      <c r="X121" s="470"/>
      <c r="Y121" s="470"/>
      <c r="Z121" s="470"/>
      <c r="AA121" s="470"/>
      <c r="AB121" s="470"/>
      <c r="AC121" s="470"/>
      <c r="AD121" s="470"/>
      <c r="AE121" s="469"/>
      <c r="AF121" s="469"/>
      <c r="AG121" s="474"/>
      <c r="AH121" s="474"/>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row>
    <row r="122" spans="3:56" s="475" customFormat="1" x14ac:dyDescent="0.2">
      <c r="C122" s="474"/>
      <c r="D122" s="474"/>
      <c r="E122" s="474"/>
      <c r="F122" s="474"/>
      <c r="G122" s="474"/>
      <c r="H122" s="474"/>
      <c r="I122" s="474"/>
      <c r="J122" s="474"/>
      <c r="K122" s="474"/>
      <c r="L122" s="474"/>
      <c r="M122" s="474"/>
      <c r="N122" s="474"/>
      <c r="O122" s="474"/>
      <c r="P122" s="474"/>
      <c r="Q122" s="474"/>
      <c r="R122" s="474"/>
      <c r="S122" s="474"/>
      <c r="T122" s="476"/>
      <c r="U122" s="470"/>
      <c r="V122" s="470"/>
      <c r="W122" s="470"/>
      <c r="X122" s="470"/>
      <c r="Y122" s="470"/>
      <c r="Z122" s="470"/>
      <c r="AA122" s="470"/>
      <c r="AB122" s="470"/>
      <c r="AC122" s="470"/>
      <c r="AD122" s="470"/>
      <c r="AE122" s="469"/>
      <c r="AF122" s="469"/>
      <c r="AG122" s="474"/>
      <c r="AH122" s="474"/>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row>
    <row r="123" spans="3:56" s="475" customFormat="1" x14ac:dyDescent="0.2">
      <c r="C123" s="474"/>
      <c r="D123" s="474"/>
      <c r="E123" s="474"/>
      <c r="F123" s="474"/>
      <c r="G123" s="474"/>
      <c r="H123" s="474"/>
      <c r="I123" s="474"/>
      <c r="J123" s="474"/>
      <c r="K123" s="474"/>
      <c r="L123" s="474"/>
      <c r="M123" s="474"/>
      <c r="N123" s="474"/>
      <c r="O123" s="474"/>
      <c r="P123" s="474"/>
      <c r="Q123" s="474"/>
      <c r="R123" s="474"/>
      <c r="S123" s="474"/>
      <c r="T123" s="476"/>
      <c r="U123" s="470"/>
      <c r="V123" s="470"/>
      <c r="W123" s="470"/>
      <c r="X123" s="470"/>
      <c r="Y123" s="470"/>
      <c r="Z123" s="470"/>
      <c r="AA123" s="470"/>
      <c r="AB123" s="470"/>
      <c r="AC123" s="470"/>
      <c r="AD123" s="470"/>
      <c r="AE123" s="469"/>
      <c r="AF123" s="469"/>
      <c r="AG123" s="474"/>
      <c r="AH123" s="474"/>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row>
    <row r="124" spans="3:56" s="475" customFormat="1" x14ac:dyDescent="0.2">
      <c r="C124" s="474"/>
      <c r="D124" s="474"/>
      <c r="E124" s="474"/>
      <c r="F124" s="474"/>
      <c r="G124" s="474"/>
      <c r="H124" s="474"/>
      <c r="I124" s="474"/>
      <c r="J124" s="474"/>
      <c r="K124" s="474"/>
      <c r="L124" s="474"/>
      <c r="M124" s="474"/>
      <c r="N124" s="474"/>
      <c r="O124" s="474"/>
      <c r="P124" s="474"/>
      <c r="Q124" s="474"/>
      <c r="R124" s="474"/>
      <c r="S124" s="474"/>
      <c r="T124" s="476"/>
      <c r="U124" s="470"/>
      <c r="V124" s="470"/>
      <c r="W124" s="470"/>
      <c r="X124" s="470"/>
      <c r="Y124" s="470"/>
      <c r="Z124" s="470"/>
      <c r="AA124" s="470"/>
      <c r="AB124" s="470"/>
      <c r="AC124" s="470"/>
      <c r="AD124" s="470"/>
      <c r="AE124" s="469"/>
      <c r="AF124" s="469"/>
      <c r="AG124" s="474"/>
      <c r="AH124" s="474"/>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row>
    <row r="125" spans="3:56" s="475" customFormat="1" x14ac:dyDescent="0.2">
      <c r="C125" s="474"/>
      <c r="D125" s="474"/>
      <c r="E125" s="474"/>
      <c r="F125" s="474"/>
      <c r="G125" s="474"/>
      <c r="H125" s="474"/>
      <c r="I125" s="474"/>
      <c r="J125" s="474"/>
      <c r="K125" s="474"/>
      <c r="L125" s="474"/>
      <c r="M125" s="474"/>
      <c r="N125" s="474"/>
      <c r="O125" s="474"/>
      <c r="P125" s="474"/>
      <c r="Q125" s="474"/>
      <c r="R125" s="474"/>
      <c r="S125" s="474"/>
      <c r="T125" s="476"/>
      <c r="U125" s="470"/>
      <c r="V125" s="470"/>
      <c r="W125" s="470"/>
      <c r="X125" s="470"/>
      <c r="Y125" s="470"/>
      <c r="Z125" s="470"/>
      <c r="AA125" s="470"/>
      <c r="AB125" s="470"/>
      <c r="AC125" s="470"/>
      <c r="AD125" s="470"/>
      <c r="AE125" s="469"/>
      <c r="AF125" s="469"/>
      <c r="AG125" s="474"/>
      <c r="AH125" s="474"/>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row>
    <row r="126" spans="3:56" s="475" customFormat="1" x14ac:dyDescent="0.2">
      <c r="C126" s="474"/>
      <c r="D126" s="474"/>
      <c r="E126" s="474"/>
      <c r="F126" s="474"/>
      <c r="G126" s="474"/>
      <c r="H126" s="474"/>
      <c r="I126" s="474"/>
      <c r="J126" s="474"/>
      <c r="K126" s="474"/>
      <c r="L126" s="474"/>
      <c r="M126" s="474"/>
      <c r="N126" s="474"/>
      <c r="O126" s="474"/>
      <c r="P126" s="474"/>
      <c r="Q126" s="474"/>
      <c r="R126" s="474"/>
      <c r="S126" s="474"/>
      <c r="T126" s="476"/>
      <c r="U126" s="470"/>
      <c r="V126" s="470"/>
      <c r="W126" s="470"/>
      <c r="X126" s="470"/>
      <c r="Y126" s="470"/>
      <c r="Z126" s="470"/>
      <c r="AA126" s="470"/>
      <c r="AB126" s="470"/>
      <c r="AC126" s="470"/>
      <c r="AD126" s="470"/>
      <c r="AE126" s="469"/>
      <c r="AF126" s="469"/>
      <c r="AG126" s="474"/>
      <c r="AH126" s="474"/>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row>
    <row r="127" spans="3:56" s="475" customFormat="1" x14ac:dyDescent="0.2">
      <c r="C127" s="474"/>
      <c r="D127" s="474"/>
      <c r="E127" s="474"/>
      <c r="F127" s="474"/>
      <c r="G127" s="474"/>
      <c r="H127" s="474"/>
      <c r="I127" s="474"/>
      <c r="J127" s="474"/>
      <c r="K127" s="474"/>
      <c r="L127" s="474"/>
      <c r="M127" s="474"/>
      <c r="N127" s="474"/>
      <c r="O127" s="474"/>
      <c r="P127" s="474"/>
      <c r="Q127" s="474"/>
      <c r="R127" s="474"/>
      <c r="S127" s="474"/>
      <c r="T127" s="476"/>
      <c r="U127" s="470"/>
      <c r="V127" s="470"/>
      <c r="W127" s="470"/>
      <c r="X127" s="470"/>
      <c r="Y127" s="470"/>
      <c r="Z127" s="470"/>
      <c r="AA127" s="470"/>
      <c r="AB127" s="470"/>
      <c r="AC127" s="470"/>
      <c r="AD127" s="470"/>
      <c r="AE127" s="469"/>
      <c r="AF127" s="469"/>
      <c r="AG127" s="474"/>
      <c r="AH127" s="474"/>
      <c r="AI127" s="250"/>
      <c r="AJ127" s="250"/>
      <c r="AK127" s="250"/>
      <c r="AL127" s="250"/>
      <c r="AM127" s="250"/>
      <c r="AN127" s="250"/>
      <c r="AO127" s="250"/>
      <c r="AP127" s="250"/>
      <c r="AQ127" s="250"/>
      <c r="AR127" s="250"/>
      <c r="AS127" s="250"/>
      <c r="AT127" s="250"/>
      <c r="AU127" s="250"/>
      <c r="AV127" s="250"/>
      <c r="AW127" s="250"/>
      <c r="AX127" s="250"/>
      <c r="AY127" s="250"/>
      <c r="AZ127" s="250"/>
      <c r="BA127" s="250"/>
      <c r="BB127" s="250"/>
      <c r="BC127" s="250"/>
      <c r="BD127" s="250"/>
    </row>
    <row r="128" spans="3:56" s="475" customFormat="1" x14ac:dyDescent="0.2">
      <c r="C128" s="474"/>
      <c r="D128" s="474"/>
      <c r="E128" s="474"/>
      <c r="F128" s="474"/>
      <c r="G128" s="474"/>
      <c r="H128" s="474"/>
      <c r="I128" s="474"/>
      <c r="J128" s="474"/>
      <c r="K128" s="474"/>
      <c r="L128" s="474"/>
      <c r="M128" s="474"/>
      <c r="N128" s="474"/>
      <c r="O128" s="474"/>
      <c r="P128" s="474"/>
      <c r="Q128" s="474"/>
      <c r="R128" s="474"/>
      <c r="S128" s="474"/>
      <c r="T128" s="476"/>
      <c r="U128" s="470"/>
      <c r="V128" s="470"/>
      <c r="W128" s="470"/>
      <c r="X128" s="470"/>
      <c r="Y128" s="470"/>
      <c r="Z128" s="470"/>
      <c r="AA128" s="470"/>
      <c r="AB128" s="470"/>
      <c r="AC128" s="470"/>
      <c r="AD128" s="470"/>
      <c r="AE128" s="469"/>
      <c r="AF128" s="469"/>
      <c r="AG128" s="474"/>
      <c r="AH128" s="474"/>
      <c r="AI128" s="250"/>
      <c r="AJ128" s="250"/>
      <c r="AK128" s="250"/>
      <c r="AL128" s="250"/>
      <c r="AM128" s="250"/>
      <c r="AN128" s="250"/>
      <c r="AO128" s="250"/>
      <c r="AP128" s="250"/>
      <c r="AQ128" s="250"/>
      <c r="AR128" s="250"/>
      <c r="AS128" s="250"/>
      <c r="AT128" s="250"/>
      <c r="AU128" s="250"/>
      <c r="AV128" s="250"/>
      <c r="AW128" s="250"/>
      <c r="AX128" s="250"/>
      <c r="AY128" s="250"/>
      <c r="AZ128" s="250"/>
      <c r="BA128" s="250"/>
      <c r="BB128" s="250"/>
      <c r="BC128" s="250"/>
      <c r="BD128" s="250"/>
    </row>
    <row r="129" spans="3:56" s="475" customFormat="1" x14ac:dyDescent="0.2">
      <c r="C129" s="474"/>
      <c r="D129" s="474"/>
      <c r="E129" s="474"/>
      <c r="F129" s="474"/>
      <c r="G129" s="474"/>
      <c r="H129" s="474"/>
      <c r="I129" s="474"/>
      <c r="J129" s="474"/>
      <c r="K129" s="474"/>
      <c r="L129" s="474"/>
      <c r="M129" s="474"/>
      <c r="N129" s="474"/>
      <c r="O129" s="474"/>
      <c r="P129" s="474"/>
      <c r="Q129" s="474"/>
      <c r="R129" s="474"/>
      <c r="S129" s="474"/>
      <c r="T129" s="476"/>
      <c r="U129" s="470"/>
      <c r="V129" s="470"/>
      <c r="W129" s="470"/>
      <c r="X129" s="470"/>
      <c r="Y129" s="470"/>
      <c r="Z129" s="470"/>
      <c r="AA129" s="470"/>
      <c r="AB129" s="470"/>
      <c r="AC129" s="470"/>
      <c r="AD129" s="470"/>
      <c r="AE129" s="469"/>
      <c r="AF129" s="469"/>
      <c r="AG129" s="474"/>
      <c r="AH129" s="474"/>
      <c r="AI129" s="250"/>
      <c r="AJ129" s="250"/>
      <c r="AK129" s="250"/>
      <c r="AL129" s="250"/>
      <c r="AM129" s="250"/>
      <c r="AN129" s="250"/>
      <c r="AO129" s="250"/>
      <c r="AP129" s="250"/>
      <c r="AQ129" s="250"/>
      <c r="AR129" s="250"/>
      <c r="AS129" s="250"/>
      <c r="AT129" s="250"/>
      <c r="AU129" s="250"/>
      <c r="AV129" s="250"/>
      <c r="AW129" s="250"/>
      <c r="AX129" s="250"/>
      <c r="AY129" s="250"/>
      <c r="AZ129" s="250"/>
      <c r="BA129" s="250"/>
      <c r="BB129" s="250"/>
      <c r="BC129" s="250"/>
      <c r="BD129" s="250"/>
    </row>
    <row r="130" spans="3:56" s="475" customFormat="1" x14ac:dyDescent="0.2">
      <c r="C130" s="474"/>
      <c r="D130" s="474"/>
      <c r="E130" s="474"/>
      <c r="F130" s="474"/>
      <c r="G130" s="474"/>
      <c r="H130" s="474"/>
      <c r="I130" s="474"/>
      <c r="J130" s="474"/>
      <c r="K130" s="474"/>
      <c r="L130" s="474"/>
      <c r="M130" s="474"/>
      <c r="N130" s="474"/>
      <c r="O130" s="474"/>
      <c r="P130" s="474"/>
      <c r="Q130" s="474"/>
      <c r="R130" s="474"/>
      <c r="S130" s="474"/>
      <c r="T130" s="476"/>
      <c r="U130" s="470"/>
      <c r="V130" s="470"/>
      <c r="W130" s="470"/>
      <c r="X130" s="470"/>
      <c r="Y130" s="470"/>
      <c r="Z130" s="470"/>
      <c r="AA130" s="470"/>
      <c r="AB130" s="470"/>
      <c r="AC130" s="470"/>
      <c r="AD130" s="470"/>
      <c r="AE130" s="469"/>
      <c r="AF130" s="469"/>
      <c r="AG130" s="474"/>
      <c r="AH130" s="474"/>
      <c r="AI130" s="250"/>
      <c r="AJ130" s="250"/>
      <c r="AK130" s="250"/>
      <c r="AL130" s="250"/>
      <c r="AM130" s="250"/>
      <c r="AN130" s="250"/>
      <c r="AO130" s="250"/>
      <c r="AP130" s="250"/>
      <c r="AQ130" s="250"/>
      <c r="AR130" s="250"/>
      <c r="AS130" s="250"/>
      <c r="AT130" s="250"/>
      <c r="AU130" s="250"/>
      <c r="AV130" s="250"/>
      <c r="AW130" s="250"/>
      <c r="AX130" s="250"/>
      <c r="AY130" s="250"/>
      <c r="AZ130" s="250"/>
      <c r="BA130" s="250"/>
      <c r="BB130" s="250"/>
      <c r="BC130" s="250"/>
      <c r="BD130" s="250"/>
    </row>
    <row r="131" spans="3:56" s="475" customFormat="1" x14ac:dyDescent="0.2">
      <c r="C131" s="474"/>
      <c r="D131" s="474"/>
      <c r="E131" s="474"/>
      <c r="F131" s="474"/>
      <c r="G131" s="474"/>
      <c r="H131" s="474"/>
      <c r="I131" s="474"/>
      <c r="J131" s="474"/>
      <c r="K131" s="474"/>
      <c r="L131" s="474"/>
      <c r="M131" s="474"/>
      <c r="N131" s="474"/>
      <c r="O131" s="474"/>
      <c r="P131" s="474"/>
      <c r="Q131" s="474"/>
      <c r="R131" s="474"/>
      <c r="S131" s="474"/>
      <c r="T131" s="476"/>
      <c r="U131" s="470"/>
      <c r="V131" s="470"/>
      <c r="W131" s="470"/>
      <c r="X131" s="470"/>
      <c r="Y131" s="470"/>
      <c r="Z131" s="470"/>
      <c r="AA131" s="470"/>
      <c r="AB131" s="470"/>
      <c r="AC131" s="470"/>
      <c r="AD131" s="470"/>
      <c r="AE131" s="469"/>
      <c r="AF131" s="469"/>
      <c r="AG131" s="474"/>
      <c r="AH131" s="474"/>
      <c r="AI131" s="250"/>
      <c r="AJ131" s="250"/>
      <c r="AK131" s="250"/>
      <c r="AL131" s="250"/>
      <c r="AM131" s="250"/>
      <c r="AN131" s="250"/>
      <c r="AO131" s="250"/>
      <c r="AP131" s="250"/>
      <c r="AQ131" s="250"/>
      <c r="AR131" s="250"/>
      <c r="AS131" s="250"/>
      <c r="AT131" s="250"/>
      <c r="AU131" s="250"/>
      <c r="AV131" s="250"/>
      <c r="AW131" s="250"/>
      <c r="AX131" s="250"/>
      <c r="AY131" s="250"/>
      <c r="AZ131" s="250"/>
      <c r="BA131" s="250"/>
      <c r="BB131" s="250"/>
      <c r="BC131" s="250"/>
      <c r="BD131" s="250"/>
    </row>
    <row r="132" spans="3:56" s="475" customFormat="1" x14ac:dyDescent="0.2">
      <c r="C132" s="474"/>
      <c r="D132" s="474"/>
      <c r="E132" s="474"/>
      <c r="F132" s="474"/>
      <c r="G132" s="474"/>
      <c r="H132" s="474"/>
      <c r="I132" s="474"/>
      <c r="J132" s="474"/>
      <c r="K132" s="474"/>
      <c r="L132" s="474"/>
      <c r="M132" s="474"/>
      <c r="N132" s="474"/>
      <c r="O132" s="474"/>
      <c r="P132" s="474"/>
      <c r="Q132" s="474"/>
      <c r="R132" s="474"/>
      <c r="S132" s="474"/>
      <c r="T132" s="476"/>
      <c r="U132" s="470"/>
      <c r="V132" s="470"/>
      <c r="W132" s="470"/>
      <c r="X132" s="470"/>
      <c r="Y132" s="470"/>
      <c r="Z132" s="470"/>
      <c r="AA132" s="470"/>
      <c r="AB132" s="470"/>
      <c r="AC132" s="470"/>
      <c r="AD132" s="470"/>
      <c r="AE132" s="469"/>
      <c r="AF132" s="469"/>
      <c r="AG132" s="474"/>
      <c r="AH132" s="474"/>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row>
    <row r="133" spans="3:56" s="475" customFormat="1" x14ac:dyDescent="0.2">
      <c r="C133" s="474"/>
      <c r="D133" s="474"/>
      <c r="E133" s="474"/>
      <c r="F133" s="474"/>
      <c r="G133" s="474"/>
      <c r="H133" s="474"/>
      <c r="I133" s="474"/>
      <c r="J133" s="474"/>
      <c r="K133" s="474"/>
      <c r="L133" s="474"/>
      <c r="M133" s="474"/>
      <c r="N133" s="474"/>
      <c r="O133" s="474"/>
      <c r="P133" s="474"/>
      <c r="Q133" s="474"/>
      <c r="R133" s="474"/>
      <c r="S133" s="474"/>
      <c r="T133" s="476"/>
      <c r="U133" s="470"/>
      <c r="V133" s="470"/>
      <c r="W133" s="470"/>
      <c r="X133" s="470"/>
      <c r="Y133" s="470"/>
      <c r="Z133" s="470"/>
      <c r="AA133" s="470"/>
      <c r="AB133" s="470"/>
      <c r="AC133" s="470"/>
      <c r="AD133" s="470"/>
      <c r="AE133" s="469"/>
      <c r="AF133" s="469"/>
      <c r="AG133" s="474"/>
      <c r="AH133" s="474"/>
      <c r="AI133" s="250"/>
      <c r="AJ133" s="250"/>
      <c r="AK133" s="250"/>
      <c r="AL133" s="250"/>
      <c r="AM133" s="250"/>
      <c r="AN133" s="250"/>
      <c r="AO133" s="250"/>
      <c r="AP133" s="250"/>
      <c r="AQ133" s="250"/>
      <c r="AR133" s="250"/>
      <c r="AS133" s="250"/>
      <c r="AT133" s="250"/>
      <c r="AU133" s="250"/>
      <c r="AV133" s="250"/>
      <c r="AW133" s="250"/>
      <c r="AX133" s="250"/>
      <c r="AY133" s="250"/>
      <c r="AZ133" s="250"/>
      <c r="BA133" s="250"/>
      <c r="BB133" s="250"/>
      <c r="BC133" s="250"/>
      <c r="BD133" s="250"/>
    </row>
    <row r="134" spans="3:56" s="475" customFormat="1" x14ac:dyDescent="0.2">
      <c r="C134" s="474"/>
      <c r="D134" s="474"/>
      <c r="E134" s="474"/>
      <c r="F134" s="474"/>
      <c r="G134" s="474"/>
      <c r="H134" s="474"/>
      <c r="I134" s="474"/>
      <c r="J134" s="474"/>
      <c r="K134" s="474"/>
      <c r="L134" s="474"/>
      <c r="M134" s="474"/>
      <c r="N134" s="474"/>
      <c r="O134" s="474"/>
      <c r="P134" s="474"/>
      <c r="Q134" s="474"/>
      <c r="R134" s="474"/>
      <c r="S134" s="474"/>
      <c r="T134" s="476"/>
      <c r="U134" s="470"/>
      <c r="V134" s="470"/>
      <c r="W134" s="470"/>
      <c r="X134" s="470"/>
      <c r="Y134" s="470"/>
      <c r="Z134" s="470"/>
      <c r="AA134" s="470"/>
      <c r="AB134" s="470"/>
      <c r="AC134" s="470"/>
      <c r="AD134" s="470"/>
      <c r="AE134" s="469"/>
      <c r="AF134" s="469"/>
      <c r="AG134" s="474"/>
      <c r="AH134" s="474"/>
      <c r="AI134" s="250"/>
      <c r="AJ134" s="250"/>
      <c r="AK134" s="250"/>
      <c r="AL134" s="250"/>
      <c r="AM134" s="250"/>
      <c r="AN134" s="250"/>
      <c r="AO134" s="250"/>
      <c r="AP134" s="250"/>
      <c r="AQ134" s="250"/>
      <c r="AR134" s="250"/>
      <c r="AS134" s="250"/>
      <c r="AT134" s="250"/>
      <c r="AU134" s="250"/>
      <c r="AV134" s="250"/>
      <c r="AW134" s="250"/>
      <c r="AX134" s="250"/>
      <c r="AY134" s="250"/>
      <c r="AZ134" s="250"/>
      <c r="BA134" s="250"/>
      <c r="BB134" s="250"/>
      <c r="BC134" s="250"/>
      <c r="BD134" s="250"/>
    </row>
    <row r="135" spans="3:56" s="475" customFormat="1" x14ac:dyDescent="0.2">
      <c r="C135" s="474"/>
      <c r="D135" s="474"/>
      <c r="E135" s="474"/>
      <c r="F135" s="474"/>
      <c r="G135" s="474"/>
      <c r="H135" s="474"/>
      <c r="I135" s="474"/>
      <c r="J135" s="474"/>
      <c r="K135" s="474"/>
      <c r="L135" s="474"/>
      <c r="M135" s="474"/>
      <c r="N135" s="474"/>
      <c r="O135" s="474"/>
      <c r="P135" s="474"/>
      <c r="Q135" s="474"/>
      <c r="R135" s="474"/>
      <c r="S135" s="474"/>
      <c r="T135" s="476"/>
      <c r="U135" s="470"/>
      <c r="V135" s="470"/>
      <c r="W135" s="470"/>
      <c r="X135" s="470"/>
      <c r="Y135" s="470"/>
      <c r="Z135" s="470"/>
      <c r="AA135" s="470"/>
      <c r="AB135" s="470"/>
      <c r="AC135" s="470"/>
      <c r="AD135" s="470"/>
      <c r="AE135" s="469"/>
      <c r="AF135" s="469"/>
      <c r="AG135" s="474"/>
      <c r="AH135" s="474"/>
      <c r="AI135" s="250"/>
      <c r="AJ135" s="250"/>
      <c r="AK135" s="250"/>
      <c r="AL135" s="250"/>
      <c r="AM135" s="250"/>
      <c r="AN135" s="250"/>
      <c r="AO135" s="250"/>
      <c r="AP135" s="250"/>
      <c r="AQ135" s="250"/>
      <c r="AR135" s="250"/>
      <c r="AS135" s="250"/>
      <c r="AT135" s="250"/>
      <c r="AU135" s="250"/>
      <c r="AV135" s="250"/>
      <c r="AW135" s="250"/>
      <c r="AX135" s="250"/>
      <c r="AY135" s="250"/>
      <c r="AZ135" s="250"/>
      <c r="BA135" s="250"/>
      <c r="BB135" s="250"/>
      <c r="BC135" s="250"/>
      <c r="BD135" s="250"/>
    </row>
    <row r="136" spans="3:56" s="475" customFormat="1" x14ac:dyDescent="0.2">
      <c r="C136" s="474"/>
      <c r="D136" s="474"/>
      <c r="E136" s="474"/>
      <c r="F136" s="474"/>
      <c r="G136" s="474"/>
      <c r="H136" s="474"/>
      <c r="I136" s="474"/>
      <c r="J136" s="474"/>
      <c r="K136" s="474"/>
      <c r="L136" s="474"/>
      <c r="M136" s="474"/>
      <c r="N136" s="474"/>
      <c r="O136" s="474"/>
      <c r="P136" s="474"/>
      <c r="Q136" s="474"/>
      <c r="R136" s="474"/>
      <c r="S136" s="474"/>
      <c r="T136" s="476"/>
      <c r="U136" s="470"/>
      <c r="V136" s="470"/>
      <c r="W136" s="470"/>
      <c r="X136" s="470"/>
      <c r="Y136" s="470"/>
      <c r="Z136" s="470"/>
      <c r="AA136" s="470"/>
      <c r="AB136" s="470"/>
      <c r="AC136" s="470"/>
      <c r="AD136" s="470"/>
      <c r="AE136" s="469"/>
      <c r="AF136" s="469"/>
      <c r="AG136" s="474"/>
      <c r="AH136" s="474"/>
      <c r="AI136" s="250"/>
      <c r="AJ136" s="250"/>
      <c r="AK136" s="250"/>
      <c r="AL136" s="250"/>
      <c r="AM136" s="250"/>
      <c r="AN136" s="250"/>
      <c r="AO136" s="250"/>
      <c r="AP136" s="250"/>
      <c r="AQ136" s="250"/>
      <c r="AR136" s="250"/>
      <c r="AS136" s="250"/>
      <c r="AT136" s="250"/>
      <c r="AU136" s="250"/>
      <c r="AV136" s="250"/>
      <c r="AW136" s="250"/>
      <c r="AX136" s="250"/>
      <c r="AY136" s="250"/>
      <c r="AZ136" s="250"/>
      <c r="BA136" s="250"/>
      <c r="BB136" s="250"/>
      <c r="BC136" s="250"/>
      <c r="BD136" s="250"/>
    </row>
    <row r="137" spans="3:56" s="475" customFormat="1" x14ac:dyDescent="0.2">
      <c r="C137" s="474"/>
      <c r="D137" s="474"/>
      <c r="E137" s="474"/>
      <c r="F137" s="474"/>
      <c r="G137" s="474"/>
      <c r="H137" s="474"/>
      <c r="I137" s="474"/>
      <c r="J137" s="474"/>
      <c r="K137" s="474"/>
      <c r="L137" s="474"/>
      <c r="M137" s="474"/>
      <c r="N137" s="474"/>
      <c r="O137" s="474"/>
      <c r="P137" s="474"/>
      <c r="Q137" s="474"/>
      <c r="R137" s="474"/>
      <c r="S137" s="474"/>
      <c r="T137" s="476"/>
      <c r="U137" s="470"/>
      <c r="V137" s="470"/>
      <c r="W137" s="470"/>
      <c r="X137" s="470"/>
      <c r="Y137" s="470"/>
      <c r="Z137" s="470"/>
      <c r="AA137" s="470"/>
      <c r="AB137" s="470"/>
      <c r="AC137" s="470"/>
      <c r="AD137" s="470"/>
      <c r="AE137" s="469"/>
      <c r="AF137" s="469"/>
      <c r="AG137" s="474"/>
      <c r="AH137" s="474"/>
      <c r="AI137" s="250"/>
      <c r="AJ137" s="250"/>
      <c r="AK137" s="250"/>
      <c r="AL137" s="250"/>
      <c r="AM137" s="250"/>
      <c r="AN137" s="250"/>
      <c r="AO137" s="250"/>
      <c r="AP137" s="250"/>
      <c r="AQ137" s="250"/>
      <c r="AR137" s="250"/>
      <c r="AS137" s="250"/>
      <c r="AT137" s="250"/>
      <c r="AU137" s="250"/>
      <c r="AV137" s="250"/>
      <c r="AW137" s="250"/>
      <c r="AX137" s="250"/>
      <c r="AY137" s="250"/>
      <c r="AZ137" s="250"/>
      <c r="BA137" s="250"/>
      <c r="BB137" s="250"/>
      <c r="BC137" s="250"/>
      <c r="BD137" s="250"/>
    </row>
    <row r="138" spans="3:56" s="475" customFormat="1" x14ac:dyDescent="0.2">
      <c r="C138" s="474"/>
      <c r="D138" s="474"/>
      <c r="E138" s="474"/>
      <c r="F138" s="474"/>
      <c r="G138" s="474"/>
      <c r="H138" s="474"/>
      <c r="I138" s="474"/>
      <c r="J138" s="474"/>
      <c r="K138" s="474"/>
      <c r="L138" s="474"/>
      <c r="M138" s="474"/>
      <c r="N138" s="474"/>
      <c r="O138" s="474"/>
      <c r="P138" s="474"/>
      <c r="Q138" s="474"/>
      <c r="R138" s="474"/>
      <c r="S138" s="474"/>
      <c r="T138" s="476"/>
      <c r="U138" s="470"/>
      <c r="V138" s="470"/>
      <c r="W138" s="470"/>
      <c r="X138" s="470"/>
      <c r="Y138" s="470"/>
      <c r="Z138" s="470"/>
      <c r="AA138" s="470"/>
      <c r="AB138" s="470"/>
      <c r="AC138" s="470"/>
      <c r="AD138" s="470"/>
      <c r="AE138" s="469"/>
      <c r="AF138" s="469"/>
      <c r="AG138" s="474"/>
      <c r="AH138" s="474"/>
      <c r="AI138" s="250"/>
      <c r="AJ138" s="250"/>
      <c r="AK138" s="250"/>
      <c r="AL138" s="250"/>
      <c r="AM138" s="250"/>
      <c r="AN138" s="250"/>
      <c r="AO138" s="250"/>
      <c r="AP138" s="250"/>
      <c r="AQ138" s="250"/>
      <c r="AR138" s="250"/>
      <c r="AS138" s="250"/>
      <c r="AT138" s="250"/>
      <c r="AU138" s="250"/>
      <c r="AV138" s="250"/>
      <c r="AW138" s="250"/>
      <c r="AX138" s="250"/>
      <c r="AY138" s="250"/>
      <c r="AZ138" s="250"/>
      <c r="BA138" s="250"/>
      <c r="BB138" s="250"/>
      <c r="BC138" s="250"/>
      <c r="BD138" s="250"/>
    </row>
    <row r="139" spans="3:56" s="475" customFormat="1" x14ac:dyDescent="0.2">
      <c r="C139" s="474"/>
      <c r="D139" s="474"/>
      <c r="E139" s="474"/>
      <c r="F139" s="474"/>
      <c r="G139" s="474"/>
      <c r="H139" s="474"/>
      <c r="I139" s="474"/>
      <c r="J139" s="474"/>
      <c r="K139" s="474"/>
      <c r="L139" s="474"/>
      <c r="M139" s="474"/>
      <c r="N139" s="474"/>
      <c r="O139" s="474"/>
      <c r="P139" s="474"/>
      <c r="Q139" s="474"/>
      <c r="R139" s="474"/>
      <c r="S139" s="474"/>
      <c r="T139" s="476"/>
      <c r="U139" s="470"/>
      <c r="V139" s="470"/>
      <c r="W139" s="470"/>
      <c r="X139" s="470"/>
      <c r="Y139" s="470"/>
      <c r="Z139" s="470"/>
      <c r="AA139" s="470"/>
      <c r="AB139" s="470"/>
      <c r="AC139" s="470"/>
      <c r="AD139" s="470"/>
      <c r="AE139" s="469"/>
      <c r="AF139" s="469"/>
      <c r="AG139" s="474"/>
      <c r="AH139" s="474"/>
      <c r="AI139" s="250"/>
      <c r="AJ139" s="250"/>
      <c r="AK139" s="250"/>
      <c r="AL139" s="250"/>
      <c r="AM139" s="250"/>
      <c r="AN139" s="250"/>
      <c r="AO139" s="250"/>
      <c r="AP139" s="250"/>
      <c r="AQ139" s="250"/>
      <c r="AR139" s="250"/>
      <c r="AS139" s="250"/>
      <c r="AT139" s="250"/>
      <c r="AU139" s="250"/>
      <c r="AV139" s="250"/>
      <c r="AW139" s="250"/>
      <c r="AX139" s="250"/>
      <c r="AY139" s="250"/>
      <c r="AZ139" s="250"/>
      <c r="BA139" s="250"/>
      <c r="BB139" s="250"/>
      <c r="BC139" s="250"/>
      <c r="BD139" s="250"/>
    </row>
    <row r="140" spans="3:56" s="475" customFormat="1" x14ac:dyDescent="0.2">
      <c r="C140" s="474"/>
      <c r="D140" s="474"/>
      <c r="E140" s="474"/>
      <c r="F140" s="474"/>
      <c r="G140" s="474"/>
      <c r="H140" s="474"/>
      <c r="I140" s="474"/>
      <c r="J140" s="474"/>
      <c r="K140" s="474"/>
      <c r="L140" s="474"/>
      <c r="M140" s="474"/>
      <c r="N140" s="474"/>
      <c r="O140" s="474"/>
      <c r="P140" s="474"/>
      <c r="Q140" s="474"/>
      <c r="R140" s="474"/>
      <c r="S140" s="474"/>
      <c r="T140" s="476"/>
      <c r="U140" s="470"/>
      <c r="V140" s="470"/>
      <c r="W140" s="470"/>
      <c r="X140" s="470"/>
      <c r="Y140" s="470"/>
      <c r="Z140" s="470"/>
      <c r="AA140" s="470"/>
      <c r="AB140" s="470"/>
      <c r="AC140" s="470"/>
      <c r="AD140" s="470"/>
      <c r="AE140" s="469"/>
      <c r="AF140" s="469"/>
      <c r="AG140" s="474"/>
      <c r="AH140" s="474"/>
      <c r="AI140" s="250"/>
      <c r="AJ140" s="250"/>
      <c r="AK140" s="250"/>
      <c r="AL140" s="250"/>
      <c r="AM140" s="250"/>
      <c r="AN140" s="250"/>
      <c r="AO140" s="250"/>
      <c r="AP140" s="250"/>
      <c r="AQ140" s="250"/>
      <c r="AR140" s="250"/>
      <c r="AS140" s="250"/>
      <c r="AT140" s="250"/>
      <c r="AU140" s="250"/>
      <c r="AV140" s="250"/>
      <c r="AW140" s="250"/>
      <c r="AX140" s="250"/>
      <c r="AY140" s="250"/>
      <c r="AZ140" s="250"/>
      <c r="BA140" s="250"/>
      <c r="BB140" s="250"/>
      <c r="BC140" s="250"/>
      <c r="BD140" s="250"/>
    </row>
    <row r="141" spans="3:56" s="475" customFormat="1" x14ac:dyDescent="0.2">
      <c r="C141" s="474"/>
      <c r="D141" s="474"/>
      <c r="E141" s="474"/>
      <c r="F141" s="474"/>
      <c r="G141" s="474"/>
      <c r="H141" s="474"/>
      <c r="I141" s="474"/>
      <c r="J141" s="474"/>
      <c r="K141" s="474"/>
      <c r="L141" s="474"/>
      <c r="M141" s="474"/>
      <c r="N141" s="474"/>
      <c r="O141" s="474"/>
      <c r="P141" s="474"/>
      <c r="Q141" s="474"/>
      <c r="R141" s="474"/>
      <c r="S141" s="474"/>
      <c r="T141" s="476"/>
      <c r="U141" s="470"/>
      <c r="V141" s="470"/>
      <c r="W141" s="470"/>
      <c r="X141" s="470"/>
      <c r="Y141" s="470"/>
      <c r="Z141" s="470"/>
      <c r="AA141" s="470"/>
      <c r="AB141" s="470"/>
      <c r="AC141" s="470"/>
      <c r="AD141" s="470"/>
      <c r="AE141" s="469"/>
      <c r="AF141" s="469"/>
      <c r="AG141" s="474"/>
      <c r="AH141" s="474"/>
      <c r="AI141" s="250"/>
      <c r="AJ141" s="250"/>
      <c r="AK141" s="250"/>
      <c r="AL141" s="250"/>
      <c r="AM141" s="250"/>
      <c r="AN141" s="250"/>
      <c r="AO141" s="250"/>
      <c r="AP141" s="250"/>
      <c r="AQ141" s="250"/>
      <c r="AR141" s="250"/>
      <c r="AS141" s="250"/>
      <c r="AT141" s="250"/>
      <c r="AU141" s="250"/>
      <c r="AV141" s="250"/>
      <c r="AW141" s="250"/>
      <c r="AX141" s="250"/>
      <c r="AY141" s="250"/>
      <c r="AZ141" s="250"/>
      <c r="BA141" s="250"/>
      <c r="BB141" s="250"/>
      <c r="BC141" s="250"/>
      <c r="BD141" s="250"/>
    </row>
    <row r="142" spans="3:56" s="475" customFormat="1" x14ac:dyDescent="0.2">
      <c r="C142" s="474"/>
      <c r="D142" s="474"/>
      <c r="E142" s="474"/>
      <c r="F142" s="474"/>
      <c r="G142" s="474"/>
      <c r="H142" s="474"/>
      <c r="I142" s="474"/>
      <c r="J142" s="474"/>
      <c r="K142" s="474"/>
      <c r="L142" s="474"/>
      <c r="M142" s="474"/>
      <c r="N142" s="474"/>
      <c r="O142" s="474"/>
      <c r="P142" s="474"/>
      <c r="Q142" s="474"/>
      <c r="R142" s="474"/>
      <c r="S142" s="474"/>
      <c r="T142" s="476"/>
      <c r="U142" s="470"/>
      <c r="V142" s="470"/>
      <c r="W142" s="470"/>
      <c r="X142" s="470"/>
      <c r="Y142" s="470"/>
      <c r="Z142" s="470"/>
      <c r="AA142" s="470"/>
      <c r="AB142" s="470"/>
      <c r="AC142" s="470"/>
      <c r="AD142" s="470"/>
      <c r="AE142" s="469"/>
      <c r="AF142" s="469"/>
      <c r="AG142" s="474"/>
      <c r="AH142" s="474"/>
      <c r="AI142" s="250"/>
      <c r="AJ142" s="250"/>
      <c r="AK142" s="250"/>
      <c r="AL142" s="250"/>
      <c r="AM142" s="250"/>
      <c r="AN142" s="250"/>
      <c r="AO142" s="250"/>
      <c r="AP142" s="250"/>
      <c r="AQ142" s="250"/>
      <c r="AR142" s="250"/>
      <c r="AS142" s="250"/>
      <c r="AT142" s="250"/>
      <c r="AU142" s="250"/>
      <c r="AV142" s="250"/>
      <c r="AW142" s="250"/>
      <c r="AX142" s="250"/>
      <c r="AY142" s="250"/>
      <c r="AZ142" s="250"/>
      <c r="BA142" s="250"/>
      <c r="BB142" s="250"/>
      <c r="BC142" s="250"/>
      <c r="BD142" s="250"/>
    </row>
    <row r="143" spans="3:56" s="475" customFormat="1" x14ac:dyDescent="0.2">
      <c r="C143" s="474"/>
      <c r="D143" s="474"/>
      <c r="E143" s="474"/>
      <c r="F143" s="474"/>
      <c r="G143" s="474"/>
      <c r="H143" s="474"/>
      <c r="I143" s="474"/>
      <c r="J143" s="474"/>
      <c r="K143" s="474"/>
      <c r="L143" s="474"/>
      <c r="M143" s="474"/>
      <c r="N143" s="474"/>
      <c r="O143" s="474"/>
      <c r="P143" s="474"/>
      <c r="Q143" s="474"/>
      <c r="R143" s="474"/>
      <c r="S143" s="474"/>
      <c r="T143" s="476"/>
      <c r="U143" s="470"/>
      <c r="V143" s="470"/>
      <c r="W143" s="470"/>
      <c r="X143" s="470"/>
      <c r="Y143" s="470"/>
      <c r="Z143" s="470"/>
      <c r="AA143" s="470"/>
      <c r="AB143" s="470"/>
      <c r="AC143" s="470"/>
      <c r="AD143" s="470"/>
      <c r="AE143" s="469"/>
      <c r="AF143" s="469"/>
      <c r="AG143" s="474"/>
      <c r="AH143" s="474"/>
      <c r="AI143" s="250"/>
      <c r="AJ143" s="250"/>
      <c r="AK143" s="250"/>
      <c r="AL143" s="250"/>
      <c r="AM143" s="250"/>
      <c r="AN143" s="250"/>
      <c r="AO143" s="250"/>
      <c r="AP143" s="250"/>
      <c r="AQ143" s="250"/>
      <c r="AR143" s="250"/>
      <c r="AS143" s="250"/>
      <c r="AT143" s="250"/>
      <c r="AU143" s="250"/>
      <c r="AV143" s="250"/>
      <c r="AW143" s="250"/>
      <c r="AX143" s="250"/>
      <c r="AY143" s="250"/>
      <c r="AZ143" s="250"/>
      <c r="BA143" s="250"/>
      <c r="BB143" s="250"/>
      <c r="BC143" s="250"/>
      <c r="BD143" s="250"/>
    </row>
    <row r="144" spans="3:56" s="475" customFormat="1" x14ac:dyDescent="0.2">
      <c r="C144" s="474"/>
      <c r="D144" s="474"/>
      <c r="E144" s="474"/>
      <c r="F144" s="474"/>
      <c r="G144" s="474"/>
      <c r="H144" s="474"/>
      <c r="I144" s="474"/>
      <c r="J144" s="474"/>
      <c r="K144" s="474"/>
      <c r="L144" s="474"/>
      <c r="M144" s="474"/>
      <c r="N144" s="474"/>
      <c r="O144" s="474"/>
      <c r="P144" s="474"/>
      <c r="Q144" s="474"/>
      <c r="R144" s="474"/>
      <c r="S144" s="474"/>
      <c r="T144" s="476"/>
      <c r="U144" s="470"/>
      <c r="V144" s="470"/>
      <c r="W144" s="470"/>
      <c r="X144" s="470"/>
      <c r="Y144" s="470"/>
      <c r="Z144" s="470"/>
      <c r="AA144" s="470"/>
      <c r="AB144" s="470"/>
      <c r="AC144" s="470"/>
      <c r="AD144" s="470"/>
      <c r="AE144" s="469"/>
      <c r="AF144" s="469"/>
      <c r="AG144" s="474"/>
      <c r="AH144" s="474"/>
      <c r="AI144" s="250"/>
      <c r="AJ144" s="250"/>
      <c r="AK144" s="250"/>
      <c r="AL144" s="250"/>
      <c r="AM144" s="250"/>
      <c r="AN144" s="250"/>
      <c r="AO144" s="250"/>
      <c r="AP144" s="250"/>
      <c r="AQ144" s="250"/>
      <c r="AR144" s="250"/>
      <c r="AS144" s="250"/>
      <c r="AT144" s="250"/>
      <c r="AU144" s="250"/>
      <c r="AV144" s="250"/>
      <c r="AW144" s="250"/>
      <c r="AX144" s="250"/>
      <c r="AY144" s="250"/>
      <c r="AZ144" s="250"/>
      <c r="BA144" s="250"/>
      <c r="BB144" s="250"/>
      <c r="BC144" s="250"/>
      <c r="BD144" s="250"/>
    </row>
    <row r="145" spans="3:56" s="475" customFormat="1" x14ac:dyDescent="0.2">
      <c r="C145" s="474"/>
      <c r="D145" s="474"/>
      <c r="E145" s="474"/>
      <c r="F145" s="474"/>
      <c r="G145" s="474"/>
      <c r="H145" s="474"/>
      <c r="I145" s="474"/>
      <c r="J145" s="474"/>
      <c r="K145" s="474"/>
      <c r="L145" s="474"/>
      <c r="M145" s="474"/>
      <c r="N145" s="474"/>
      <c r="O145" s="474"/>
      <c r="P145" s="474"/>
      <c r="Q145" s="474"/>
      <c r="R145" s="474"/>
      <c r="S145" s="474"/>
      <c r="T145" s="476"/>
      <c r="U145" s="470"/>
      <c r="V145" s="470"/>
      <c r="W145" s="470"/>
      <c r="X145" s="470"/>
      <c r="Y145" s="470"/>
      <c r="Z145" s="470"/>
      <c r="AA145" s="470"/>
      <c r="AB145" s="470"/>
      <c r="AC145" s="470"/>
      <c r="AD145" s="470"/>
      <c r="AE145" s="469"/>
      <c r="AF145" s="469"/>
      <c r="AG145" s="474"/>
      <c r="AH145" s="474"/>
      <c r="AI145" s="250"/>
      <c r="AJ145" s="250"/>
      <c r="AK145" s="250"/>
      <c r="AL145" s="250"/>
      <c r="AM145" s="250"/>
      <c r="AN145" s="250"/>
      <c r="AO145" s="250"/>
      <c r="AP145" s="250"/>
      <c r="AQ145" s="250"/>
      <c r="AR145" s="250"/>
      <c r="AS145" s="250"/>
      <c r="AT145" s="250"/>
      <c r="AU145" s="250"/>
      <c r="AV145" s="250"/>
      <c r="AW145" s="250"/>
      <c r="AX145" s="250"/>
      <c r="AY145" s="250"/>
      <c r="AZ145" s="250"/>
      <c r="BA145" s="250"/>
      <c r="BB145" s="250"/>
      <c r="BC145" s="250"/>
      <c r="BD145" s="250"/>
    </row>
    <row r="146" spans="3:56" s="475" customFormat="1" x14ac:dyDescent="0.2">
      <c r="C146" s="474"/>
      <c r="D146" s="474"/>
      <c r="E146" s="474"/>
      <c r="F146" s="474"/>
      <c r="G146" s="474"/>
      <c r="H146" s="474"/>
      <c r="I146" s="474"/>
      <c r="J146" s="474"/>
      <c r="K146" s="474"/>
      <c r="L146" s="474"/>
      <c r="M146" s="474"/>
      <c r="N146" s="474"/>
      <c r="O146" s="474"/>
      <c r="P146" s="474"/>
      <c r="Q146" s="474"/>
      <c r="R146" s="474"/>
      <c r="S146" s="474"/>
      <c r="T146" s="476"/>
      <c r="U146" s="470"/>
      <c r="V146" s="470"/>
      <c r="W146" s="470"/>
      <c r="X146" s="470"/>
      <c r="Y146" s="470"/>
      <c r="Z146" s="470"/>
      <c r="AA146" s="470"/>
      <c r="AB146" s="470"/>
      <c r="AC146" s="470"/>
      <c r="AD146" s="470"/>
      <c r="AE146" s="469"/>
      <c r="AF146" s="469"/>
      <c r="AG146" s="474"/>
      <c r="AH146" s="474"/>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row>
    <row r="147" spans="3:56" s="475" customFormat="1" x14ac:dyDescent="0.2">
      <c r="C147" s="474"/>
      <c r="D147" s="474"/>
      <c r="E147" s="474"/>
      <c r="F147" s="474"/>
      <c r="G147" s="474"/>
      <c r="H147" s="474"/>
      <c r="I147" s="474"/>
      <c r="J147" s="474"/>
      <c r="K147" s="474"/>
      <c r="L147" s="474"/>
      <c r="M147" s="474"/>
      <c r="N147" s="474"/>
      <c r="O147" s="474"/>
      <c r="P147" s="474"/>
      <c r="Q147" s="474"/>
      <c r="R147" s="474"/>
      <c r="S147" s="474"/>
      <c r="T147" s="476"/>
      <c r="U147" s="470"/>
      <c r="V147" s="470"/>
      <c r="W147" s="470"/>
      <c r="X147" s="470"/>
      <c r="Y147" s="470"/>
      <c r="Z147" s="470"/>
      <c r="AA147" s="470"/>
      <c r="AB147" s="470"/>
      <c r="AC147" s="470"/>
      <c r="AD147" s="470"/>
      <c r="AE147" s="469"/>
      <c r="AF147" s="469"/>
      <c r="AG147" s="474"/>
      <c r="AH147" s="474"/>
      <c r="AI147" s="250"/>
      <c r="AJ147" s="250"/>
      <c r="AK147" s="250"/>
      <c r="AL147" s="250"/>
      <c r="AM147" s="250"/>
      <c r="AN147" s="250"/>
      <c r="AO147" s="250"/>
      <c r="AP147" s="250"/>
      <c r="AQ147" s="250"/>
      <c r="AR147" s="250"/>
      <c r="AS147" s="250"/>
      <c r="AT147" s="250"/>
      <c r="AU147" s="250"/>
      <c r="AV147" s="250"/>
      <c r="AW147" s="250"/>
      <c r="AX147" s="250"/>
      <c r="AY147" s="250"/>
      <c r="AZ147" s="250"/>
      <c r="BA147" s="250"/>
      <c r="BB147" s="250"/>
      <c r="BC147" s="250"/>
      <c r="BD147" s="250"/>
    </row>
    <row r="148" spans="3:56" s="475" customFormat="1" x14ac:dyDescent="0.2">
      <c r="C148" s="474"/>
      <c r="D148" s="474"/>
      <c r="E148" s="474"/>
      <c r="F148" s="474"/>
      <c r="G148" s="474"/>
      <c r="H148" s="474"/>
      <c r="I148" s="474"/>
      <c r="J148" s="474"/>
      <c r="K148" s="474"/>
      <c r="L148" s="474"/>
      <c r="M148" s="474"/>
      <c r="N148" s="474"/>
      <c r="O148" s="474"/>
      <c r="P148" s="474"/>
      <c r="Q148" s="474"/>
      <c r="R148" s="474"/>
      <c r="S148" s="474"/>
      <c r="T148" s="476"/>
      <c r="U148" s="470"/>
      <c r="V148" s="470"/>
      <c r="W148" s="470"/>
      <c r="X148" s="470"/>
      <c r="Y148" s="470"/>
      <c r="Z148" s="470"/>
      <c r="AA148" s="470"/>
      <c r="AB148" s="470"/>
      <c r="AC148" s="470"/>
      <c r="AD148" s="470"/>
      <c r="AE148" s="469"/>
      <c r="AF148" s="469"/>
      <c r="AG148" s="474"/>
      <c r="AH148" s="474"/>
      <c r="AI148" s="250"/>
      <c r="AJ148" s="250"/>
      <c r="AK148" s="250"/>
      <c r="AL148" s="250"/>
      <c r="AM148" s="250"/>
      <c r="AN148" s="250"/>
      <c r="AO148" s="250"/>
      <c r="AP148" s="250"/>
      <c r="AQ148" s="250"/>
      <c r="AR148" s="250"/>
      <c r="AS148" s="250"/>
      <c r="AT148" s="250"/>
      <c r="AU148" s="250"/>
      <c r="AV148" s="250"/>
      <c r="AW148" s="250"/>
      <c r="AX148" s="250"/>
      <c r="AY148" s="250"/>
      <c r="AZ148" s="250"/>
      <c r="BA148" s="250"/>
      <c r="BB148" s="250"/>
      <c r="BC148" s="250"/>
      <c r="BD148" s="250"/>
    </row>
    <row r="149" spans="3:56" s="475" customFormat="1" x14ac:dyDescent="0.2">
      <c r="C149" s="474"/>
      <c r="D149" s="474"/>
      <c r="E149" s="474"/>
      <c r="F149" s="474"/>
      <c r="G149" s="474"/>
      <c r="H149" s="474"/>
      <c r="I149" s="474"/>
      <c r="J149" s="474"/>
      <c r="K149" s="474"/>
      <c r="L149" s="474"/>
      <c r="M149" s="474"/>
      <c r="N149" s="474"/>
      <c r="O149" s="474"/>
      <c r="P149" s="474"/>
      <c r="Q149" s="474"/>
      <c r="R149" s="474"/>
      <c r="S149" s="474"/>
      <c r="T149" s="476"/>
      <c r="U149" s="470"/>
      <c r="V149" s="470"/>
      <c r="W149" s="470"/>
      <c r="X149" s="470"/>
      <c r="Y149" s="470"/>
      <c r="Z149" s="470"/>
      <c r="AA149" s="470"/>
      <c r="AB149" s="470"/>
      <c r="AC149" s="470"/>
      <c r="AD149" s="470"/>
      <c r="AE149" s="469"/>
      <c r="AF149" s="469"/>
      <c r="AG149" s="474"/>
      <c r="AH149" s="474"/>
      <c r="AI149" s="250"/>
      <c r="AJ149" s="250"/>
      <c r="AK149" s="250"/>
      <c r="AL149" s="250"/>
      <c r="AM149" s="250"/>
      <c r="AN149" s="250"/>
      <c r="AO149" s="250"/>
      <c r="AP149" s="250"/>
      <c r="AQ149" s="250"/>
      <c r="AR149" s="250"/>
      <c r="AS149" s="250"/>
      <c r="AT149" s="250"/>
      <c r="AU149" s="250"/>
      <c r="AV149" s="250"/>
      <c r="AW149" s="250"/>
      <c r="AX149" s="250"/>
      <c r="AY149" s="250"/>
      <c r="AZ149" s="250"/>
      <c r="BA149" s="250"/>
      <c r="BB149" s="250"/>
      <c r="BC149" s="250"/>
      <c r="BD149" s="250"/>
    </row>
    <row r="150" spans="3:56" s="475" customFormat="1" x14ac:dyDescent="0.2">
      <c r="C150" s="474"/>
      <c r="D150" s="474"/>
      <c r="E150" s="474"/>
      <c r="F150" s="474"/>
      <c r="G150" s="474"/>
      <c r="H150" s="474"/>
      <c r="I150" s="474"/>
      <c r="J150" s="474"/>
      <c r="K150" s="474"/>
      <c r="L150" s="474"/>
      <c r="M150" s="474"/>
      <c r="N150" s="474"/>
      <c r="O150" s="474"/>
      <c r="P150" s="474"/>
      <c r="Q150" s="474"/>
      <c r="R150" s="474"/>
      <c r="S150" s="474"/>
      <c r="T150" s="476"/>
      <c r="U150" s="470"/>
      <c r="V150" s="470"/>
      <c r="W150" s="470"/>
      <c r="X150" s="470"/>
      <c r="Y150" s="470"/>
      <c r="Z150" s="470"/>
      <c r="AA150" s="470"/>
      <c r="AB150" s="470"/>
      <c r="AC150" s="470"/>
      <c r="AD150" s="470"/>
      <c r="AE150" s="469"/>
      <c r="AF150" s="469"/>
      <c r="AG150" s="474"/>
      <c r="AH150" s="474"/>
      <c r="AI150" s="250"/>
      <c r="AJ150" s="250"/>
      <c r="AK150" s="250"/>
      <c r="AL150" s="250"/>
      <c r="AM150" s="250"/>
      <c r="AN150" s="250"/>
      <c r="AO150" s="250"/>
      <c r="AP150" s="250"/>
      <c r="AQ150" s="250"/>
      <c r="AR150" s="250"/>
      <c r="AS150" s="250"/>
      <c r="AT150" s="250"/>
      <c r="AU150" s="250"/>
      <c r="AV150" s="250"/>
      <c r="AW150" s="250"/>
      <c r="AX150" s="250"/>
      <c r="AY150" s="250"/>
      <c r="AZ150" s="250"/>
      <c r="BA150" s="250"/>
      <c r="BB150" s="250"/>
      <c r="BC150" s="250"/>
      <c r="BD150" s="250"/>
    </row>
    <row r="151" spans="3:56" s="475" customFormat="1" x14ac:dyDescent="0.2">
      <c r="C151" s="474"/>
      <c r="D151" s="474"/>
      <c r="E151" s="474"/>
      <c r="F151" s="474"/>
      <c r="G151" s="474"/>
      <c r="H151" s="474"/>
      <c r="I151" s="474"/>
      <c r="J151" s="474"/>
      <c r="K151" s="474"/>
      <c r="L151" s="474"/>
      <c r="M151" s="474"/>
      <c r="N151" s="474"/>
      <c r="O151" s="474"/>
      <c r="P151" s="474"/>
      <c r="Q151" s="474"/>
      <c r="R151" s="474"/>
      <c r="S151" s="474"/>
      <c r="T151" s="476"/>
      <c r="U151" s="470"/>
      <c r="V151" s="470"/>
      <c r="W151" s="470"/>
      <c r="X151" s="470"/>
      <c r="Y151" s="470"/>
      <c r="Z151" s="470"/>
      <c r="AA151" s="470"/>
      <c r="AB151" s="470"/>
      <c r="AC151" s="470"/>
      <c r="AD151" s="470"/>
      <c r="AE151" s="469"/>
      <c r="AF151" s="469"/>
      <c r="AG151" s="474"/>
      <c r="AH151" s="474"/>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row>
    <row r="152" spans="3:56" s="475" customFormat="1" x14ac:dyDescent="0.2">
      <c r="C152" s="474"/>
      <c r="D152" s="474"/>
      <c r="E152" s="474"/>
      <c r="F152" s="474"/>
      <c r="G152" s="474"/>
      <c r="H152" s="474"/>
      <c r="I152" s="474"/>
      <c r="J152" s="474"/>
      <c r="K152" s="474"/>
      <c r="L152" s="474"/>
      <c r="M152" s="474"/>
      <c r="N152" s="474"/>
      <c r="O152" s="474"/>
      <c r="P152" s="474"/>
      <c r="Q152" s="474"/>
      <c r="R152" s="474"/>
      <c r="S152" s="474"/>
      <c r="T152" s="476"/>
      <c r="U152" s="470"/>
      <c r="V152" s="470"/>
      <c r="W152" s="470"/>
      <c r="X152" s="470"/>
      <c r="Y152" s="470"/>
      <c r="Z152" s="470"/>
      <c r="AA152" s="470"/>
      <c r="AB152" s="470"/>
      <c r="AC152" s="470"/>
      <c r="AD152" s="470"/>
      <c r="AE152" s="469"/>
      <c r="AF152" s="469"/>
      <c r="AG152" s="474"/>
      <c r="AH152" s="474"/>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row>
    <row r="153" spans="3:56" s="475" customFormat="1" x14ac:dyDescent="0.2">
      <c r="C153" s="474"/>
      <c r="D153" s="474"/>
      <c r="E153" s="474"/>
      <c r="F153" s="474"/>
      <c r="G153" s="474"/>
      <c r="H153" s="474"/>
      <c r="I153" s="474"/>
      <c r="J153" s="474"/>
      <c r="K153" s="474"/>
      <c r="L153" s="474"/>
      <c r="M153" s="474"/>
      <c r="N153" s="474"/>
      <c r="O153" s="474"/>
      <c r="P153" s="474"/>
      <c r="Q153" s="474"/>
      <c r="R153" s="474"/>
      <c r="S153" s="474"/>
      <c r="T153" s="476"/>
      <c r="U153" s="470"/>
      <c r="V153" s="470"/>
      <c r="W153" s="470"/>
      <c r="X153" s="470"/>
      <c r="Y153" s="470"/>
      <c r="Z153" s="470"/>
      <c r="AA153" s="470"/>
      <c r="AB153" s="470"/>
      <c r="AC153" s="470"/>
      <c r="AD153" s="470"/>
      <c r="AE153" s="469"/>
      <c r="AF153" s="469"/>
      <c r="AG153" s="474"/>
      <c r="AH153" s="474"/>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row>
    <row r="154" spans="3:56" s="475" customFormat="1" x14ac:dyDescent="0.2">
      <c r="C154" s="474"/>
      <c r="D154" s="474"/>
      <c r="E154" s="474"/>
      <c r="F154" s="474"/>
      <c r="G154" s="474"/>
      <c r="H154" s="474"/>
      <c r="I154" s="474"/>
      <c r="J154" s="474"/>
      <c r="K154" s="474"/>
      <c r="L154" s="474"/>
      <c r="M154" s="474"/>
      <c r="N154" s="474"/>
      <c r="O154" s="474"/>
      <c r="P154" s="474"/>
      <c r="Q154" s="474"/>
      <c r="R154" s="474"/>
      <c r="S154" s="474"/>
      <c r="T154" s="476"/>
      <c r="U154" s="470"/>
      <c r="V154" s="470"/>
      <c r="W154" s="470"/>
      <c r="X154" s="470"/>
      <c r="Y154" s="470"/>
      <c r="Z154" s="470"/>
      <c r="AA154" s="470"/>
      <c r="AB154" s="470"/>
      <c r="AC154" s="470"/>
      <c r="AD154" s="470"/>
      <c r="AE154" s="469"/>
      <c r="AF154" s="469"/>
      <c r="AG154" s="474"/>
      <c r="AH154" s="474"/>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row>
    <row r="155" spans="3:56" s="475" customFormat="1" x14ac:dyDescent="0.2">
      <c r="C155" s="474"/>
      <c r="D155" s="474"/>
      <c r="E155" s="474"/>
      <c r="F155" s="474"/>
      <c r="G155" s="474"/>
      <c r="H155" s="474"/>
      <c r="I155" s="474"/>
      <c r="J155" s="474"/>
      <c r="K155" s="474"/>
      <c r="L155" s="474"/>
      <c r="M155" s="474"/>
      <c r="N155" s="474"/>
      <c r="O155" s="474"/>
      <c r="P155" s="474"/>
      <c r="Q155" s="474"/>
      <c r="R155" s="474"/>
      <c r="S155" s="474"/>
      <c r="T155" s="476"/>
      <c r="U155" s="470"/>
      <c r="V155" s="470"/>
      <c r="W155" s="470"/>
      <c r="X155" s="470"/>
      <c r="Y155" s="470"/>
      <c r="Z155" s="470"/>
      <c r="AA155" s="470"/>
      <c r="AB155" s="470"/>
      <c r="AC155" s="470"/>
      <c r="AD155" s="470"/>
      <c r="AE155" s="469"/>
      <c r="AF155" s="469"/>
      <c r="AG155" s="474"/>
      <c r="AH155" s="474"/>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row>
    <row r="156" spans="3:56" s="475" customFormat="1" x14ac:dyDescent="0.2">
      <c r="C156" s="474"/>
      <c r="D156" s="474"/>
      <c r="E156" s="474"/>
      <c r="F156" s="474"/>
      <c r="G156" s="474"/>
      <c r="H156" s="474"/>
      <c r="I156" s="474"/>
      <c r="J156" s="474"/>
      <c r="K156" s="474"/>
      <c r="L156" s="474"/>
      <c r="M156" s="474"/>
      <c r="N156" s="474"/>
      <c r="O156" s="474"/>
      <c r="P156" s="474"/>
      <c r="Q156" s="474"/>
      <c r="R156" s="474"/>
      <c r="S156" s="474"/>
      <c r="T156" s="476"/>
      <c r="U156" s="470"/>
      <c r="V156" s="470"/>
      <c r="W156" s="470"/>
      <c r="X156" s="470"/>
      <c r="Y156" s="470"/>
      <c r="Z156" s="470"/>
      <c r="AA156" s="470"/>
      <c r="AB156" s="470"/>
      <c r="AC156" s="470"/>
      <c r="AD156" s="470"/>
      <c r="AE156" s="469"/>
      <c r="AF156" s="469"/>
      <c r="AG156" s="474"/>
      <c r="AH156" s="474"/>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row>
    <row r="157" spans="3:56" s="475" customFormat="1" x14ac:dyDescent="0.2">
      <c r="C157" s="474"/>
      <c r="D157" s="474"/>
      <c r="E157" s="474"/>
      <c r="F157" s="474"/>
      <c r="G157" s="474"/>
      <c r="H157" s="474"/>
      <c r="I157" s="474"/>
      <c r="J157" s="474"/>
      <c r="K157" s="474"/>
      <c r="L157" s="474"/>
      <c r="M157" s="474"/>
      <c r="N157" s="474"/>
      <c r="O157" s="474"/>
      <c r="P157" s="474"/>
      <c r="Q157" s="474"/>
      <c r="R157" s="474"/>
      <c r="S157" s="474"/>
      <c r="T157" s="476"/>
      <c r="U157" s="470"/>
      <c r="V157" s="470"/>
      <c r="W157" s="470"/>
      <c r="X157" s="470"/>
      <c r="Y157" s="470"/>
      <c r="Z157" s="470"/>
      <c r="AA157" s="470"/>
      <c r="AB157" s="470"/>
      <c r="AC157" s="470"/>
      <c r="AD157" s="470"/>
      <c r="AE157" s="469"/>
      <c r="AF157" s="469"/>
      <c r="AG157" s="474"/>
      <c r="AH157" s="474"/>
      <c r="AI157" s="250"/>
      <c r="AJ157" s="250"/>
      <c r="AK157" s="250"/>
      <c r="AL157" s="250"/>
      <c r="AM157" s="250"/>
      <c r="AN157" s="250"/>
      <c r="AO157" s="250"/>
      <c r="AP157" s="250"/>
      <c r="AQ157" s="250"/>
      <c r="AR157" s="250"/>
      <c r="AS157" s="250"/>
      <c r="AT157" s="250"/>
      <c r="AU157" s="250"/>
      <c r="AV157" s="250"/>
      <c r="AW157" s="250"/>
      <c r="AX157" s="250"/>
      <c r="AY157" s="250"/>
      <c r="AZ157" s="250"/>
      <c r="BA157" s="250"/>
      <c r="BB157" s="250"/>
      <c r="BC157" s="250"/>
      <c r="BD157" s="250"/>
    </row>
    <row r="158" spans="3:56" s="475" customFormat="1" x14ac:dyDescent="0.2">
      <c r="C158" s="474"/>
      <c r="D158" s="474"/>
      <c r="E158" s="474"/>
      <c r="F158" s="474"/>
      <c r="G158" s="474"/>
      <c r="H158" s="474"/>
      <c r="I158" s="474"/>
      <c r="J158" s="474"/>
      <c r="K158" s="474"/>
      <c r="L158" s="474"/>
      <c r="M158" s="474"/>
      <c r="N158" s="474"/>
      <c r="O158" s="474"/>
      <c r="P158" s="474"/>
      <c r="Q158" s="474"/>
      <c r="R158" s="474"/>
      <c r="S158" s="474"/>
      <c r="T158" s="476"/>
      <c r="U158" s="470"/>
      <c r="V158" s="470"/>
      <c r="W158" s="470"/>
      <c r="X158" s="470"/>
      <c r="Y158" s="470"/>
      <c r="Z158" s="470"/>
      <c r="AA158" s="470"/>
      <c r="AB158" s="470"/>
      <c r="AC158" s="470"/>
      <c r="AD158" s="470"/>
      <c r="AE158" s="469"/>
      <c r="AF158" s="469"/>
      <c r="AG158" s="474"/>
      <c r="AH158" s="474"/>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row>
    <row r="159" spans="3:56" s="475" customFormat="1" x14ac:dyDescent="0.2">
      <c r="C159" s="474"/>
      <c r="D159" s="474"/>
      <c r="E159" s="474"/>
      <c r="F159" s="474"/>
      <c r="G159" s="474"/>
      <c r="H159" s="474"/>
      <c r="I159" s="474"/>
      <c r="J159" s="474"/>
      <c r="K159" s="474"/>
      <c r="L159" s="474"/>
      <c r="M159" s="474"/>
      <c r="N159" s="474"/>
      <c r="O159" s="474"/>
      <c r="P159" s="474"/>
      <c r="Q159" s="474"/>
      <c r="R159" s="474"/>
      <c r="S159" s="474"/>
      <c r="T159" s="476"/>
      <c r="U159" s="470"/>
      <c r="V159" s="470"/>
      <c r="W159" s="470"/>
      <c r="X159" s="470"/>
      <c r="Y159" s="470"/>
      <c r="Z159" s="470"/>
      <c r="AA159" s="470"/>
      <c r="AB159" s="470"/>
      <c r="AC159" s="470"/>
      <c r="AD159" s="470"/>
      <c r="AE159" s="469"/>
      <c r="AF159" s="469"/>
      <c r="AG159" s="474"/>
      <c r="AH159" s="474"/>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row>
    <row r="160" spans="3:56" s="475" customFormat="1" x14ac:dyDescent="0.2">
      <c r="C160" s="474"/>
      <c r="D160" s="474"/>
      <c r="E160" s="474"/>
      <c r="F160" s="474"/>
      <c r="G160" s="474"/>
      <c r="H160" s="474"/>
      <c r="I160" s="474"/>
      <c r="J160" s="474"/>
      <c r="K160" s="474"/>
      <c r="L160" s="474"/>
      <c r="M160" s="474"/>
      <c r="N160" s="474"/>
      <c r="O160" s="474"/>
      <c r="P160" s="474"/>
      <c r="Q160" s="474"/>
      <c r="R160" s="474"/>
      <c r="S160" s="474"/>
      <c r="T160" s="476"/>
      <c r="U160" s="470"/>
      <c r="V160" s="470"/>
      <c r="W160" s="470"/>
      <c r="X160" s="470"/>
      <c r="Y160" s="470"/>
      <c r="Z160" s="470"/>
      <c r="AA160" s="470"/>
      <c r="AB160" s="470"/>
      <c r="AC160" s="470"/>
      <c r="AD160" s="470"/>
      <c r="AE160" s="469"/>
      <c r="AF160" s="469"/>
      <c r="AG160" s="474"/>
      <c r="AH160" s="474"/>
      <c r="AI160" s="250"/>
      <c r="AJ160" s="250"/>
      <c r="AK160" s="250"/>
      <c r="AL160" s="250"/>
      <c r="AM160" s="250"/>
      <c r="AN160" s="250"/>
      <c r="AO160" s="250"/>
      <c r="AP160" s="250"/>
      <c r="AQ160" s="250"/>
      <c r="AR160" s="250"/>
      <c r="AS160" s="250"/>
      <c r="AT160" s="250"/>
      <c r="AU160" s="250"/>
      <c r="AV160" s="250"/>
      <c r="AW160" s="250"/>
      <c r="AX160" s="250"/>
      <c r="AY160" s="250"/>
      <c r="AZ160" s="250"/>
      <c r="BA160" s="250"/>
      <c r="BB160" s="250"/>
      <c r="BC160" s="250"/>
      <c r="BD160" s="250"/>
    </row>
    <row r="161" spans="3:51" s="475" customFormat="1" x14ac:dyDescent="0.2">
      <c r="C161" s="474"/>
      <c r="D161" s="474"/>
      <c r="E161" s="474"/>
      <c r="F161" s="474"/>
      <c r="G161" s="474"/>
      <c r="H161" s="474"/>
      <c r="I161" s="474"/>
      <c r="J161" s="474"/>
      <c r="K161" s="474"/>
      <c r="L161" s="474"/>
      <c r="M161" s="474"/>
      <c r="N161" s="474"/>
      <c r="O161" s="474"/>
      <c r="P161" s="474"/>
      <c r="Q161" s="474"/>
      <c r="R161" s="474"/>
      <c r="S161" s="474"/>
      <c r="T161" s="476"/>
      <c r="U161" s="470"/>
      <c r="V161" s="470"/>
      <c r="W161" s="470"/>
      <c r="X161" s="470"/>
      <c r="Y161" s="470"/>
      <c r="Z161" s="470"/>
      <c r="AA161" s="470"/>
      <c r="AB161" s="470"/>
      <c r="AC161" s="470"/>
      <c r="AD161" s="470"/>
      <c r="AE161" s="469"/>
      <c r="AF161" s="469"/>
      <c r="AG161" s="474"/>
      <c r="AH161" s="474"/>
      <c r="AI161" s="250"/>
      <c r="AJ161" s="250"/>
      <c r="AK161" s="250"/>
      <c r="AL161" s="250"/>
      <c r="AM161" s="250"/>
      <c r="AN161" s="250"/>
      <c r="AO161" s="250"/>
      <c r="AP161" s="250"/>
      <c r="AQ161" s="250"/>
      <c r="AR161" s="250"/>
      <c r="AS161" s="250"/>
      <c r="AT161" s="250"/>
      <c r="AU161" s="250"/>
      <c r="AV161" s="250"/>
      <c r="AW161" s="250"/>
      <c r="AX161" s="250"/>
      <c r="AY161" s="124"/>
    </row>
    <row r="162" spans="3:51" s="475" customFormat="1" x14ac:dyDescent="0.2">
      <c r="C162" s="474"/>
      <c r="D162" s="474"/>
      <c r="E162" s="474"/>
      <c r="F162" s="474"/>
      <c r="G162" s="474"/>
      <c r="H162" s="474"/>
      <c r="I162" s="474"/>
      <c r="J162" s="474"/>
      <c r="K162" s="474"/>
      <c r="L162" s="474"/>
      <c r="M162" s="474"/>
      <c r="N162" s="474"/>
      <c r="O162" s="474"/>
      <c r="P162" s="474"/>
      <c r="Q162" s="474"/>
      <c r="R162" s="474"/>
      <c r="S162" s="474"/>
      <c r="T162" s="476"/>
      <c r="U162" s="470"/>
      <c r="V162" s="470"/>
      <c r="W162" s="470"/>
      <c r="X162" s="470"/>
      <c r="Y162" s="470"/>
      <c r="Z162" s="470"/>
      <c r="AA162" s="470"/>
      <c r="AB162" s="470"/>
      <c r="AC162" s="470"/>
      <c r="AD162" s="470"/>
      <c r="AE162" s="469"/>
      <c r="AF162" s="469"/>
      <c r="AG162" s="474"/>
      <c r="AH162" s="474"/>
      <c r="AI162" s="250"/>
      <c r="AJ162" s="250"/>
      <c r="AK162" s="250"/>
      <c r="AL162" s="250"/>
      <c r="AM162" s="250"/>
      <c r="AN162" s="250"/>
      <c r="AO162" s="250"/>
      <c r="AP162" s="250"/>
      <c r="AQ162" s="250"/>
      <c r="AR162" s="250"/>
      <c r="AS162" s="250"/>
      <c r="AT162" s="250"/>
      <c r="AU162" s="250"/>
      <c r="AV162" s="250"/>
      <c r="AW162" s="250"/>
      <c r="AX162" s="250"/>
      <c r="AY162" s="124"/>
    </row>
    <row r="163" spans="3:51" s="475" customFormat="1" x14ac:dyDescent="0.2">
      <c r="C163" s="474"/>
      <c r="D163" s="474"/>
      <c r="E163" s="474"/>
      <c r="F163" s="474"/>
      <c r="G163" s="474"/>
      <c r="H163" s="474"/>
      <c r="I163" s="474"/>
      <c r="J163" s="474"/>
      <c r="K163" s="474"/>
      <c r="L163" s="474"/>
      <c r="M163" s="474"/>
      <c r="N163" s="474"/>
      <c r="O163" s="474"/>
      <c r="P163" s="474"/>
      <c r="Q163" s="474"/>
      <c r="R163" s="474"/>
      <c r="S163" s="474"/>
      <c r="T163" s="476"/>
      <c r="U163" s="470"/>
      <c r="V163" s="470"/>
      <c r="W163" s="470"/>
      <c r="X163" s="470"/>
      <c r="Y163" s="470"/>
      <c r="Z163" s="470"/>
      <c r="AA163" s="470"/>
      <c r="AB163" s="470"/>
      <c r="AC163" s="470"/>
      <c r="AD163" s="470"/>
      <c r="AE163" s="469"/>
      <c r="AF163" s="469"/>
      <c r="AG163" s="474"/>
      <c r="AH163" s="474"/>
      <c r="AI163" s="250"/>
      <c r="AJ163" s="250"/>
      <c r="AK163" s="250"/>
      <c r="AL163" s="250"/>
      <c r="AM163" s="250"/>
      <c r="AN163" s="250"/>
      <c r="AO163" s="250"/>
      <c r="AP163" s="250"/>
      <c r="AQ163" s="250"/>
      <c r="AR163" s="250"/>
      <c r="AS163" s="250"/>
      <c r="AT163" s="250"/>
      <c r="AU163" s="250"/>
      <c r="AV163" s="250"/>
      <c r="AW163" s="250"/>
      <c r="AX163" s="250"/>
      <c r="AY163" s="124"/>
    </row>
    <row r="164" spans="3:51" s="475" customFormat="1" x14ac:dyDescent="0.2">
      <c r="C164" s="474"/>
      <c r="D164" s="474"/>
      <c r="E164" s="474"/>
      <c r="F164" s="474"/>
      <c r="G164" s="474"/>
      <c r="H164" s="474"/>
      <c r="I164" s="474"/>
      <c r="J164" s="474"/>
      <c r="K164" s="474"/>
      <c r="L164" s="474"/>
      <c r="M164" s="474"/>
      <c r="N164" s="474"/>
      <c r="O164" s="474"/>
      <c r="P164" s="474"/>
      <c r="Q164" s="474"/>
      <c r="R164" s="474"/>
      <c r="S164" s="474"/>
      <c r="T164" s="476"/>
      <c r="U164" s="470"/>
      <c r="V164" s="470"/>
      <c r="W164" s="470"/>
      <c r="X164" s="470"/>
      <c r="Y164" s="470"/>
      <c r="Z164" s="470"/>
      <c r="AA164" s="470"/>
      <c r="AB164" s="470"/>
      <c r="AC164" s="470"/>
      <c r="AD164" s="470"/>
      <c r="AE164" s="469"/>
      <c r="AF164" s="469"/>
      <c r="AG164" s="474"/>
      <c r="AH164" s="474"/>
      <c r="AI164" s="250"/>
      <c r="AJ164" s="250"/>
      <c r="AK164" s="250"/>
      <c r="AL164" s="250"/>
      <c r="AM164" s="250"/>
      <c r="AN164" s="250"/>
      <c r="AO164" s="250"/>
      <c r="AP164" s="250"/>
      <c r="AQ164" s="250"/>
      <c r="AR164" s="250"/>
      <c r="AS164" s="250"/>
      <c r="AT164" s="250"/>
      <c r="AU164" s="250"/>
      <c r="AV164" s="250"/>
      <c r="AW164" s="250"/>
      <c r="AX164" s="250"/>
      <c r="AY164" s="124"/>
    </row>
    <row r="165" spans="3:51" s="475" customFormat="1" x14ac:dyDescent="0.2">
      <c r="C165" s="474"/>
      <c r="D165" s="474"/>
      <c r="E165" s="474"/>
      <c r="F165" s="474"/>
      <c r="G165" s="474"/>
      <c r="H165" s="474"/>
      <c r="I165" s="474"/>
      <c r="J165" s="474"/>
      <c r="K165" s="474"/>
      <c r="L165" s="474"/>
      <c r="M165" s="474"/>
      <c r="N165" s="474"/>
      <c r="O165" s="474"/>
      <c r="P165" s="474"/>
      <c r="Q165" s="474"/>
      <c r="R165" s="474"/>
      <c r="S165" s="474"/>
      <c r="T165" s="476"/>
      <c r="U165" s="470"/>
      <c r="V165" s="470"/>
      <c r="W165" s="470"/>
      <c r="X165" s="470"/>
      <c r="Y165" s="470"/>
      <c r="Z165" s="470"/>
      <c r="AA165" s="470"/>
      <c r="AB165" s="470"/>
      <c r="AC165" s="470"/>
      <c r="AD165" s="470"/>
      <c r="AE165" s="469"/>
      <c r="AF165" s="469"/>
      <c r="AG165" s="474"/>
      <c r="AH165" s="474"/>
      <c r="AI165" s="250"/>
      <c r="AJ165" s="250"/>
      <c r="AK165" s="250"/>
      <c r="AL165" s="250"/>
      <c r="AM165" s="250"/>
      <c r="AN165" s="250"/>
      <c r="AO165" s="250"/>
      <c r="AP165" s="250"/>
      <c r="AQ165" s="250"/>
      <c r="AR165" s="250"/>
      <c r="AS165" s="250"/>
      <c r="AT165" s="250"/>
      <c r="AU165" s="250"/>
      <c r="AV165" s="250"/>
      <c r="AW165" s="250"/>
      <c r="AX165" s="250"/>
      <c r="AY165" s="124"/>
    </row>
    <row r="166" spans="3:51" s="475" customFormat="1" x14ac:dyDescent="0.2">
      <c r="C166" s="474"/>
      <c r="D166" s="474"/>
      <c r="E166" s="474"/>
      <c r="F166" s="474"/>
      <c r="G166" s="474"/>
      <c r="H166" s="474"/>
      <c r="I166" s="474"/>
      <c r="J166" s="474"/>
      <c r="K166" s="474"/>
      <c r="L166" s="474"/>
      <c r="M166" s="474"/>
      <c r="N166" s="474"/>
      <c r="O166" s="474"/>
      <c r="P166" s="474"/>
      <c r="Q166" s="474"/>
      <c r="R166" s="474"/>
      <c r="S166" s="474"/>
      <c r="T166" s="476"/>
      <c r="U166" s="470"/>
      <c r="V166" s="470"/>
      <c r="W166" s="470"/>
      <c r="X166" s="470"/>
      <c r="Y166" s="470"/>
      <c r="Z166" s="470"/>
      <c r="AA166" s="470"/>
      <c r="AB166" s="470"/>
      <c r="AC166" s="470"/>
      <c r="AD166" s="470"/>
      <c r="AE166" s="469"/>
      <c r="AF166" s="469"/>
      <c r="AG166" s="474"/>
      <c r="AH166" s="474"/>
      <c r="AI166" s="250"/>
      <c r="AJ166" s="250"/>
      <c r="AK166" s="250"/>
      <c r="AL166" s="250"/>
      <c r="AM166" s="250"/>
      <c r="AN166" s="250"/>
      <c r="AO166" s="250"/>
      <c r="AP166" s="250"/>
      <c r="AQ166" s="250"/>
      <c r="AR166" s="250"/>
      <c r="AS166" s="250"/>
      <c r="AT166" s="250"/>
      <c r="AU166" s="250"/>
      <c r="AV166" s="250"/>
      <c r="AW166" s="250"/>
      <c r="AX166" s="250"/>
      <c r="AY166" s="124"/>
    </row>
    <row r="167" spans="3:51" s="475" customFormat="1" x14ac:dyDescent="0.2">
      <c r="C167" s="474"/>
      <c r="D167" s="474"/>
      <c r="E167" s="474"/>
      <c r="F167" s="474"/>
      <c r="G167" s="474"/>
      <c r="H167" s="474"/>
      <c r="I167" s="474"/>
      <c r="J167" s="474"/>
      <c r="K167" s="474"/>
      <c r="L167" s="474"/>
      <c r="M167" s="474"/>
      <c r="N167" s="474"/>
      <c r="O167" s="474"/>
      <c r="P167" s="474"/>
      <c r="Q167" s="474"/>
      <c r="R167" s="474"/>
      <c r="S167" s="474"/>
      <c r="T167" s="476"/>
      <c r="U167" s="470"/>
      <c r="V167" s="470"/>
      <c r="W167" s="470"/>
      <c r="X167" s="470"/>
      <c r="Y167" s="470"/>
      <c r="Z167" s="470"/>
      <c r="AA167" s="470"/>
      <c r="AB167" s="470"/>
      <c r="AC167" s="470"/>
      <c r="AD167" s="470"/>
      <c r="AE167" s="469"/>
      <c r="AF167" s="469"/>
      <c r="AG167" s="474"/>
      <c r="AH167" s="474"/>
      <c r="AI167" s="250"/>
      <c r="AJ167" s="250"/>
      <c r="AK167" s="250"/>
      <c r="AL167" s="250"/>
      <c r="AM167" s="250"/>
      <c r="AN167" s="250"/>
      <c r="AO167" s="250"/>
      <c r="AP167" s="250"/>
      <c r="AQ167" s="250"/>
      <c r="AR167" s="250"/>
      <c r="AS167" s="250"/>
      <c r="AT167" s="250"/>
      <c r="AU167" s="250"/>
      <c r="AV167" s="250"/>
      <c r="AW167" s="250"/>
      <c r="AX167" s="250"/>
      <c r="AY167" s="124"/>
    </row>
    <row r="168" spans="3:51" s="475" customFormat="1" x14ac:dyDescent="0.2">
      <c r="C168" s="474"/>
      <c r="D168" s="474"/>
      <c r="E168" s="474"/>
      <c r="F168" s="474"/>
      <c r="G168" s="474"/>
      <c r="H168" s="474"/>
      <c r="I168" s="474"/>
      <c r="J168" s="474"/>
      <c r="K168" s="474"/>
      <c r="L168" s="474"/>
      <c r="M168" s="474"/>
      <c r="N168" s="474"/>
      <c r="O168" s="474"/>
      <c r="P168" s="474"/>
      <c r="Q168" s="474"/>
      <c r="R168" s="474"/>
      <c r="S168" s="474"/>
      <c r="T168" s="476"/>
      <c r="U168" s="470"/>
      <c r="V168" s="470"/>
      <c r="W168" s="470"/>
      <c r="X168" s="470"/>
      <c r="Y168" s="470"/>
      <c r="Z168" s="470"/>
      <c r="AA168" s="470"/>
      <c r="AB168" s="470"/>
      <c r="AC168" s="470"/>
      <c r="AD168" s="470"/>
      <c r="AE168" s="469"/>
      <c r="AF168" s="469"/>
      <c r="AG168" s="474"/>
      <c r="AH168" s="474"/>
      <c r="AI168" s="250"/>
      <c r="AJ168" s="250"/>
      <c r="AK168" s="250"/>
      <c r="AL168" s="250"/>
      <c r="AM168" s="250"/>
      <c r="AN168" s="250"/>
      <c r="AO168" s="250"/>
      <c r="AP168" s="250"/>
      <c r="AQ168" s="250"/>
      <c r="AR168" s="250"/>
      <c r="AS168" s="250"/>
      <c r="AT168" s="250"/>
      <c r="AU168" s="250"/>
      <c r="AV168" s="250"/>
      <c r="AW168" s="250"/>
      <c r="AX168" s="250"/>
      <c r="AY168" s="124"/>
    </row>
    <row r="169" spans="3:51" s="475" customFormat="1" x14ac:dyDescent="0.2">
      <c r="C169" s="474"/>
      <c r="D169" s="474"/>
      <c r="E169" s="474"/>
      <c r="F169" s="474"/>
      <c r="G169" s="474"/>
      <c r="H169" s="474"/>
      <c r="I169" s="474"/>
      <c r="J169" s="474"/>
      <c r="K169" s="474"/>
      <c r="L169" s="474"/>
      <c r="M169" s="474"/>
      <c r="N169" s="474"/>
      <c r="O169" s="474"/>
      <c r="P169" s="474"/>
      <c r="Q169" s="474"/>
      <c r="R169" s="474"/>
      <c r="S169" s="474"/>
      <c r="T169" s="476"/>
      <c r="U169" s="470"/>
      <c r="V169" s="470"/>
      <c r="W169" s="470"/>
      <c r="X169" s="470"/>
      <c r="Y169" s="470"/>
      <c r="Z169" s="470"/>
      <c r="AA169" s="470"/>
      <c r="AB169" s="470"/>
      <c r="AC169" s="470"/>
      <c r="AD169" s="470"/>
      <c r="AE169" s="469"/>
      <c r="AF169" s="469"/>
      <c r="AG169" s="474"/>
      <c r="AH169" s="474"/>
      <c r="AI169" s="250"/>
      <c r="AJ169" s="250"/>
      <c r="AK169" s="250"/>
      <c r="AL169" s="250"/>
      <c r="AM169" s="250"/>
      <c r="AN169" s="250"/>
      <c r="AO169" s="250"/>
      <c r="AP169" s="250"/>
      <c r="AQ169" s="250"/>
      <c r="AR169" s="250"/>
      <c r="AS169" s="250"/>
      <c r="AT169" s="250"/>
      <c r="AU169" s="250"/>
      <c r="AV169" s="250"/>
      <c r="AW169" s="250"/>
      <c r="AX169" s="250"/>
      <c r="AY169" s="124"/>
    </row>
    <row r="170" spans="3:51" s="475" customFormat="1" x14ac:dyDescent="0.2">
      <c r="C170" s="474"/>
      <c r="D170" s="474"/>
      <c r="E170" s="474"/>
      <c r="F170" s="474"/>
      <c r="G170" s="474"/>
      <c r="H170" s="474"/>
      <c r="I170" s="474"/>
      <c r="J170" s="474"/>
      <c r="K170" s="474"/>
      <c r="L170" s="474"/>
      <c r="M170" s="474"/>
      <c r="N170" s="474"/>
      <c r="O170" s="474"/>
      <c r="P170" s="474"/>
      <c r="Q170" s="474"/>
      <c r="R170" s="474"/>
      <c r="S170" s="474"/>
      <c r="T170" s="476"/>
      <c r="U170" s="470"/>
      <c r="V170" s="470"/>
      <c r="W170" s="470"/>
      <c r="X170" s="470"/>
      <c r="Y170" s="470"/>
      <c r="Z170" s="470"/>
      <c r="AA170" s="470"/>
      <c r="AB170" s="470"/>
      <c r="AC170" s="470"/>
      <c r="AD170" s="470"/>
      <c r="AE170" s="469"/>
      <c r="AF170" s="469"/>
      <c r="AG170" s="474"/>
      <c r="AH170" s="474"/>
      <c r="AI170" s="250"/>
      <c r="AJ170" s="250"/>
      <c r="AK170" s="250"/>
      <c r="AL170" s="250"/>
      <c r="AM170" s="250"/>
      <c r="AN170" s="250"/>
      <c r="AO170" s="250"/>
      <c r="AP170" s="250"/>
      <c r="AQ170" s="250"/>
      <c r="AR170" s="250"/>
      <c r="AS170" s="250"/>
      <c r="AT170" s="250"/>
      <c r="AU170" s="250"/>
      <c r="AV170" s="250"/>
      <c r="AW170" s="250"/>
      <c r="AX170" s="250"/>
      <c r="AY170" s="124"/>
    </row>
    <row r="171" spans="3:51" s="475" customFormat="1" x14ac:dyDescent="0.2">
      <c r="C171" s="474"/>
      <c r="D171" s="474"/>
      <c r="E171" s="474"/>
      <c r="F171" s="474"/>
      <c r="G171" s="474"/>
      <c r="H171" s="474"/>
      <c r="I171" s="474"/>
      <c r="J171" s="474"/>
      <c r="K171" s="474"/>
      <c r="L171" s="474"/>
      <c r="M171" s="474"/>
      <c r="N171" s="474"/>
      <c r="O171" s="474"/>
      <c r="P171" s="474"/>
      <c r="Q171" s="474"/>
      <c r="R171" s="474"/>
      <c r="S171" s="474"/>
      <c r="T171" s="476"/>
      <c r="U171" s="470"/>
      <c r="V171" s="470"/>
      <c r="W171" s="470"/>
      <c r="X171" s="470"/>
      <c r="Y171" s="470"/>
      <c r="Z171" s="470"/>
      <c r="AA171" s="470"/>
      <c r="AB171" s="470"/>
      <c r="AC171" s="470"/>
      <c r="AD171" s="470"/>
      <c r="AE171" s="469"/>
      <c r="AF171" s="469"/>
      <c r="AG171" s="474"/>
      <c r="AH171" s="474"/>
      <c r="AI171" s="250"/>
      <c r="AJ171" s="250"/>
      <c r="AK171" s="250"/>
      <c r="AL171" s="250"/>
      <c r="AM171" s="250"/>
      <c r="AN171" s="250"/>
      <c r="AO171" s="250"/>
      <c r="AP171" s="250"/>
      <c r="AQ171" s="250"/>
      <c r="AR171" s="250"/>
      <c r="AS171" s="250"/>
      <c r="AT171" s="250"/>
      <c r="AU171" s="250"/>
      <c r="AV171" s="250"/>
      <c r="AW171" s="250"/>
      <c r="AX171" s="250"/>
      <c r="AY171" s="124"/>
    </row>
    <row r="172" spans="3:51" s="475" customFormat="1" x14ac:dyDescent="0.2">
      <c r="C172" s="474"/>
      <c r="D172" s="474"/>
      <c r="E172" s="474"/>
      <c r="F172" s="474"/>
      <c r="G172" s="474"/>
      <c r="H172" s="474"/>
      <c r="I172" s="474"/>
      <c r="J172" s="474"/>
      <c r="K172" s="474"/>
      <c r="L172" s="474"/>
      <c r="M172" s="474"/>
      <c r="N172" s="474"/>
      <c r="O172" s="474"/>
      <c r="P172" s="474"/>
      <c r="Q172" s="474"/>
      <c r="R172" s="474"/>
      <c r="S172" s="474"/>
      <c r="T172" s="476"/>
      <c r="U172" s="470"/>
      <c r="V172" s="470"/>
      <c r="W172" s="470"/>
      <c r="X172" s="470"/>
      <c r="Y172" s="470"/>
      <c r="Z172" s="470"/>
      <c r="AA172" s="470"/>
      <c r="AB172" s="470"/>
      <c r="AC172" s="470"/>
      <c r="AD172" s="470"/>
      <c r="AE172" s="469"/>
      <c r="AF172" s="469"/>
      <c r="AG172" s="474"/>
      <c r="AH172" s="474"/>
      <c r="AI172" s="250"/>
      <c r="AJ172" s="250"/>
      <c r="AK172" s="250"/>
      <c r="AL172" s="250"/>
      <c r="AM172" s="250"/>
      <c r="AN172" s="250"/>
      <c r="AO172" s="250"/>
      <c r="AP172" s="250"/>
      <c r="AQ172" s="250"/>
      <c r="AR172" s="250"/>
      <c r="AS172" s="250"/>
      <c r="AT172" s="250"/>
      <c r="AU172" s="250"/>
      <c r="AV172" s="250"/>
      <c r="AW172" s="250"/>
      <c r="AX172" s="250"/>
      <c r="AY172" s="124"/>
    </row>
    <row r="173" spans="3:51" s="475" customFormat="1" x14ac:dyDescent="0.2">
      <c r="C173" s="474"/>
      <c r="D173" s="474"/>
      <c r="E173" s="474"/>
      <c r="F173" s="474"/>
      <c r="G173" s="474"/>
      <c r="H173" s="474"/>
      <c r="I173" s="474"/>
      <c r="J173" s="474"/>
      <c r="K173" s="474"/>
      <c r="L173" s="474"/>
      <c r="M173" s="474"/>
      <c r="N173" s="474"/>
      <c r="O173" s="474"/>
      <c r="P173" s="474"/>
      <c r="Q173" s="474"/>
      <c r="R173" s="474"/>
      <c r="S173" s="474"/>
      <c r="T173" s="476"/>
      <c r="U173" s="470"/>
      <c r="V173" s="470"/>
      <c r="W173" s="470"/>
      <c r="X173" s="470"/>
      <c r="Y173" s="470"/>
      <c r="Z173" s="470"/>
      <c r="AA173" s="470"/>
      <c r="AB173" s="470"/>
      <c r="AC173" s="470"/>
      <c r="AD173" s="470"/>
      <c r="AE173" s="469"/>
      <c r="AF173" s="469"/>
      <c r="AG173" s="474"/>
      <c r="AH173" s="474"/>
      <c r="AI173" s="250"/>
      <c r="AJ173" s="250"/>
      <c r="AK173" s="250"/>
      <c r="AL173" s="250"/>
      <c r="AM173" s="250"/>
      <c r="AN173" s="250"/>
      <c r="AO173" s="250"/>
      <c r="AP173" s="250"/>
      <c r="AQ173" s="250"/>
      <c r="AR173" s="250"/>
      <c r="AS173" s="250"/>
      <c r="AT173" s="250"/>
      <c r="AU173" s="250"/>
      <c r="AV173" s="250"/>
      <c r="AW173" s="250"/>
      <c r="AX173" s="250"/>
      <c r="AY173" s="124"/>
    </row>
    <row r="174" spans="3:51" s="475" customFormat="1" x14ac:dyDescent="0.2">
      <c r="C174" s="474"/>
      <c r="D174" s="474"/>
      <c r="E174" s="474"/>
      <c r="F174" s="474"/>
      <c r="G174" s="474"/>
      <c r="H174" s="474"/>
      <c r="I174" s="474"/>
      <c r="J174" s="474"/>
      <c r="K174" s="474"/>
      <c r="L174" s="474"/>
      <c r="M174" s="474"/>
      <c r="N174" s="474"/>
      <c r="O174" s="474"/>
      <c r="P174" s="474"/>
      <c r="Q174" s="474"/>
      <c r="R174" s="474"/>
      <c r="S174" s="474"/>
      <c r="T174" s="476"/>
      <c r="U174" s="470"/>
      <c r="V174" s="470"/>
      <c r="W174" s="470"/>
      <c r="X174" s="470"/>
      <c r="Y174" s="470"/>
      <c r="Z174" s="470"/>
      <c r="AA174" s="470"/>
      <c r="AB174" s="470"/>
      <c r="AC174" s="470"/>
      <c r="AD174" s="470"/>
      <c r="AE174" s="469"/>
      <c r="AF174" s="469"/>
      <c r="AG174" s="474"/>
      <c r="AH174" s="474"/>
      <c r="AI174" s="250"/>
      <c r="AJ174" s="250"/>
      <c r="AK174" s="250"/>
      <c r="AL174" s="250"/>
      <c r="AM174" s="250"/>
      <c r="AN174" s="250"/>
      <c r="AO174" s="250"/>
      <c r="AP174" s="250"/>
      <c r="AQ174" s="250"/>
      <c r="AR174" s="250"/>
      <c r="AS174" s="250"/>
      <c r="AT174" s="250"/>
      <c r="AU174" s="250"/>
      <c r="AV174" s="250"/>
      <c r="AW174" s="250"/>
      <c r="AX174" s="250"/>
      <c r="AY174" s="124"/>
    </row>
    <row r="175" spans="3:51" s="475" customFormat="1" x14ac:dyDescent="0.2">
      <c r="C175" s="474"/>
      <c r="D175" s="474"/>
      <c r="E175" s="474"/>
      <c r="F175" s="474"/>
      <c r="G175" s="474"/>
      <c r="H175" s="474"/>
      <c r="I175" s="474"/>
      <c r="J175" s="474"/>
      <c r="K175" s="474"/>
      <c r="L175" s="474"/>
      <c r="M175" s="474"/>
      <c r="N175" s="474"/>
      <c r="O175" s="474"/>
      <c r="P175" s="474"/>
      <c r="Q175" s="474"/>
      <c r="R175" s="474"/>
      <c r="S175" s="474"/>
      <c r="T175" s="476"/>
      <c r="U175" s="470"/>
      <c r="V175" s="470"/>
      <c r="W175" s="470"/>
      <c r="X175" s="470"/>
      <c r="Y175" s="470"/>
      <c r="Z175" s="470"/>
      <c r="AA175" s="470"/>
      <c r="AB175" s="470"/>
      <c r="AC175" s="470"/>
      <c r="AD175" s="470"/>
      <c r="AE175" s="469"/>
      <c r="AF175" s="469"/>
      <c r="AG175" s="474"/>
      <c r="AH175" s="474"/>
      <c r="AI175" s="250"/>
      <c r="AJ175" s="250"/>
      <c r="AK175" s="250"/>
      <c r="AL175" s="250"/>
      <c r="AM175" s="250"/>
      <c r="AN175" s="250"/>
      <c r="AO175" s="250"/>
      <c r="AP175" s="250"/>
      <c r="AQ175" s="250"/>
      <c r="AR175" s="250"/>
      <c r="AS175" s="250"/>
      <c r="AT175" s="250"/>
      <c r="AU175" s="250"/>
      <c r="AV175" s="250"/>
      <c r="AW175" s="250"/>
      <c r="AX175" s="250"/>
      <c r="AY175" s="124"/>
    </row>
    <row r="176" spans="3:51" s="475" customFormat="1" x14ac:dyDescent="0.2">
      <c r="C176" s="474"/>
      <c r="D176" s="474"/>
      <c r="E176" s="474"/>
      <c r="F176" s="474"/>
      <c r="G176" s="474"/>
      <c r="H176" s="474"/>
      <c r="I176" s="474"/>
      <c r="J176" s="474"/>
      <c r="K176" s="474"/>
      <c r="L176" s="474"/>
      <c r="M176" s="474"/>
      <c r="N176" s="474"/>
      <c r="O176" s="474"/>
      <c r="P176" s="474"/>
      <c r="Q176" s="474"/>
      <c r="R176" s="474"/>
      <c r="S176" s="474"/>
      <c r="T176" s="476"/>
      <c r="U176" s="470"/>
      <c r="V176" s="470"/>
      <c r="W176" s="470"/>
      <c r="X176" s="470"/>
      <c r="Y176" s="470"/>
      <c r="Z176" s="470"/>
      <c r="AA176" s="470"/>
      <c r="AB176" s="470"/>
      <c r="AC176" s="470"/>
      <c r="AD176" s="470"/>
      <c r="AE176" s="469"/>
      <c r="AF176" s="469"/>
      <c r="AG176" s="474"/>
      <c r="AH176" s="474"/>
      <c r="AI176" s="250"/>
      <c r="AJ176" s="250"/>
      <c r="AK176" s="250"/>
      <c r="AL176" s="250"/>
      <c r="AM176" s="250"/>
      <c r="AN176" s="250"/>
      <c r="AO176" s="250"/>
      <c r="AP176" s="250"/>
      <c r="AQ176" s="250"/>
      <c r="AR176" s="250"/>
      <c r="AS176" s="250"/>
      <c r="AT176" s="250"/>
      <c r="AU176" s="250"/>
      <c r="AV176" s="250"/>
      <c r="AW176" s="250"/>
      <c r="AX176" s="250"/>
      <c r="AY176" s="124"/>
    </row>
    <row r="177" spans="3:51" s="475" customFormat="1" x14ac:dyDescent="0.2">
      <c r="C177" s="474"/>
      <c r="D177" s="474"/>
      <c r="E177" s="474"/>
      <c r="F177" s="474"/>
      <c r="G177" s="474"/>
      <c r="H177" s="474"/>
      <c r="I177" s="474"/>
      <c r="J177" s="474"/>
      <c r="K177" s="474"/>
      <c r="L177" s="474"/>
      <c r="M177" s="474"/>
      <c r="N177" s="474"/>
      <c r="O177" s="474"/>
      <c r="P177" s="474"/>
      <c r="Q177" s="474"/>
      <c r="R177" s="474"/>
      <c r="S177" s="474"/>
      <c r="T177" s="476"/>
      <c r="U177" s="470"/>
      <c r="V177" s="470"/>
      <c r="W177" s="470"/>
      <c r="X177" s="470"/>
      <c r="Y177" s="470"/>
      <c r="Z177" s="470"/>
      <c r="AA177" s="470"/>
      <c r="AB177" s="470"/>
      <c r="AC177" s="470"/>
      <c r="AD177" s="470"/>
      <c r="AE177" s="469"/>
      <c r="AF177" s="469"/>
      <c r="AG177" s="474"/>
      <c r="AH177" s="474"/>
      <c r="AI177" s="250"/>
      <c r="AJ177" s="250"/>
      <c r="AK177" s="250"/>
      <c r="AL177" s="250"/>
      <c r="AM177" s="250"/>
      <c r="AN177" s="250"/>
      <c r="AO177" s="250"/>
      <c r="AP177" s="250"/>
      <c r="AQ177" s="250"/>
      <c r="AR177" s="250"/>
      <c r="AS177" s="250"/>
      <c r="AT177" s="250"/>
      <c r="AU177" s="250"/>
      <c r="AV177" s="250"/>
      <c r="AW177" s="250"/>
      <c r="AX177" s="250"/>
      <c r="AY177" s="124"/>
    </row>
    <row r="178" spans="3:51" s="475" customFormat="1" x14ac:dyDescent="0.2">
      <c r="C178" s="474"/>
      <c r="D178" s="474"/>
      <c r="E178" s="474"/>
      <c r="F178" s="474"/>
      <c r="G178" s="474"/>
      <c r="H178" s="474"/>
      <c r="I178" s="474"/>
      <c r="J178" s="474"/>
      <c r="K178" s="474"/>
      <c r="L178" s="474"/>
      <c r="M178" s="474"/>
      <c r="N178" s="474"/>
      <c r="O178" s="474"/>
      <c r="P178" s="474"/>
      <c r="Q178" s="474"/>
      <c r="R178" s="474"/>
      <c r="S178" s="474"/>
      <c r="T178" s="476"/>
      <c r="U178" s="470"/>
      <c r="V178" s="470"/>
      <c r="W178" s="470"/>
      <c r="X178" s="470"/>
      <c r="Y178" s="470"/>
      <c r="Z178" s="470"/>
      <c r="AA178" s="470"/>
      <c r="AB178" s="470"/>
      <c r="AC178" s="470"/>
      <c r="AD178" s="470"/>
      <c r="AE178" s="469"/>
      <c r="AF178" s="469"/>
      <c r="AG178" s="474"/>
      <c r="AH178" s="474"/>
      <c r="AI178" s="250"/>
      <c r="AJ178" s="250"/>
      <c r="AK178" s="250"/>
      <c r="AL178" s="250"/>
      <c r="AM178" s="250"/>
      <c r="AN178" s="250"/>
      <c r="AO178" s="250"/>
      <c r="AP178" s="250"/>
      <c r="AQ178" s="250"/>
      <c r="AR178" s="250"/>
      <c r="AS178" s="250"/>
      <c r="AT178" s="250"/>
      <c r="AU178" s="250"/>
      <c r="AV178" s="250"/>
      <c r="AW178" s="250"/>
      <c r="AX178" s="250"/>
      <c r="AY178" s="124"/>
    </row>
    <row r="179" spans="3:51" s="475" customFormat="1" x14ac:dyDescent="0.2">
      <c r="C179" s="474"/>
      <c r="D179" s="474"/>
      <c r="E179" s="474"/>
      <c r="F179" s="474"/>
      <c r="G179" s="474"/>
      <c r="H179" s="474"/>
      <c r="I179" s="474"/>
      <c r="J179" s="474"/>
      <c r="K179" s="474"/>
      <c r="L179" s="474"/>
      <c r="M179" s="474"/>
      <c r="N179" s="474"/>
      <c r="O179" s="474"/>
      <c r="P179" s="474"/>
      <c r="Q179" s="474"/>
      <c r="R179" s="474"/>
      <c r="S179" s="474"/>
      <c r="T179" s="476"/>
      <c r="U179" s="470"/>
      <c r="V179" s="470"/>
      <c r="W179" s="470"/>
      <c r="X179" s="470"/>
      <c r="Y179" s="470"/>
      <c r="Z179" s="470"/>
      <c r="AA179" s="470"/>
      <c r="AB179" s="470"/>
      <c r="AC179" s="470"/>
      <c r="AD179" s="470"/>
      <c r="AE179" s="469"/>
      <c r="AF179" s="469"/>
      <c r="AG179" s="474"/>
      <c r="AH179" s="474"/>
      <c r="AI179" s="250"/>
      <c r="AJ179" s="250"/>
      <c r="AK179" s="250"/>
      <c r="AL179" s="250"/>
      <c r="AM179" s="250"/>
      <c r="AN179" s="250"/>
      <c r="AO179" s="250"/>
      <c r="AP179" s="250"/>
      <c r="AQ179" s="250"/>
      <c r="AR179" s="250"/>
      <c r="AS179" s="250"/>
      <c r="AT179" s="250"/>
      <c r="AU179" s="250"/>
      <c r="AV179" s="250"/>
      <c r="AW179" s="250"/>
      <c r="AX179" s="250"/>
      <c r="AY179" s="124"/>
    </row>
    <row r="180" spans="3:51" s="475" customFormat="1" x14ac:dyDescent="0.2">
      <c r="C180" s="474"/>
      <c r="D180" s="474"/>
      <c r="E180" s="474"/>
      <c r="F180" s="474"/>
      <c r="G180" s="474"/>
      <c r="H180" s="474"/>
      <c r="I180" s="474"/>
      <c r="J180" s="474"/>
      <c r="K180" s="474"/>
      <c r="L180" s="474"/>
      <c r="M180" s="474"/>
      <c r="N180" s="474"/>
      <c r="O180" s="474"/>
      <c r="P180" s="474"/>
      <c r="Q180" s="474"/>
      <c r="R180" s="474"/>
      <c r="S180" s="474"/>
      <c r="T180" s="476"/>
      <c r="U180" s="470"/>
      <c r="V180" s="470"/>
      <c r="W180" s="470"/>
      <c r="X180" s="470"/>
      <c r="Y180" s="470"/>
      <c r="Z180" s="470"/>
      <c r="AA180" s="470"/>
      <c r="AB180" s="470"/>
      <c r="AC180" s="470"/>
      <c r="AD180" s="470"/>
      <c r="AE180" s="469"/>
      <c r="AF180" s="469"/>
      <c r="AG180" s="474"/>
      <c r="AH180" s="474"/>
      <c r="AI180" s="250"/>
      <c r="AJ180" s="250"/>
      <c r="AK180" s="250"/>
      <c r="AL180" s="250"/>
      <c r="AM180" s="250"/>
      <c r="AN180" s="250"/>
      <c r="AO180" s="250"/>
      <c r="AP180" s="250"/>
      <c r="AQ180" s="250"/>
      <c r="AR180" s="250"/>
      <c r="AS180" s="250"/>
      <c r="AT180" s="250"/>
      <c r="AU180" s="250"/>
      <c r="AV180" s="250"/>
      <c r="AW180" s="250"/>
      <c r="AX180" s="250"/>
      <c r="AY180" s="124"/>
    </row>
    <row r="181" spans="3:51" s="475" customFormat="1" x14ac:dyDescent="0.2">
      <c r="C181" s="474"/>
      <c r="D181" s="474"/>
      <c r="E181" s="474"/>
      <c r="F181" s="474"/>
      <c r="G181" s="474"/>
      <c r="H181" s="474"/>
      <c r="I181" s="474"/>
      <c r="J181" s="474"/>
      <c r="K181" s="474"/>
      <c r="L181" s="474"/>
      <c r="M181" s="474"/>
      <c r="N181" s="474"/>
      <c r="O181" s="474"/>
      <c r="P181" s="474"/>
      <c r="Q181" s="474"/>
      <c r="R181" s="474"/>
      <c r="S181" s="474"/>
      <c r="T181" s="476"/>
      <c r="U181" s="470"/>
      <c r="V181" s="470"/>
      <c r="W181" s="470"/>
      <c r="X181" s="470"/>
      <c r="Y181" s="470"/>
      <c r="Z181" s="470"/>
      <c r="AA181" s="470"/>
      <c r="AB181" s="470"/>
      <c r="AC181" s="470"/>
      <c r="AD181" s="470"/>
      <c r="AE181" s="469"/>
      <c r="AF181" s="469"/>
      <c r="AG181" s="474"/>
      <c r="AH181" s="474"/>
      <c r="AI181" s="250"/>
      <c r="AJ181" s="250"/>
      <c r="AK181" s="250"/>
      <c r="AL181" s="250"/>
      <c r="AM181" s="250"/>
      <c r="AN181" s="250"/>
      <c r="AO181" s="250"/>
      <c r="AP181" s="250"/>
      <c r="AQ181" s="250"/>
      <c r="AR181" s="250"/>
      <c r="AS181" s="250"/>
      <c r="AT181" s="250"/>
      <c r="AU181" s="250"/>
      <c r="AV181" s="250"/>
      <c r="AW181" s="250"/>
      <c r="AX181" s="250"/>
      <c r="AY181" s="124"/>
    </row>
    <row r="182" spans="3:51" s="475" customFormat="1" x14ac:dyDescent="0.2">
      <c r="C182" s="474"/>
      <c r="D182" s="474"/>
      <c r="E182" s="474"/>
      <c r="F182" s="474"/>
      <c r="G182" s="474"/>
      <c r="H182" s="474"/>
      <c r="I182" s="474"/>
      <c r="J182" s="474"/>
      <c r="K182" s="474"/>
      <c r="L182" s="474"/>
      <c r="M182" s="474"/>
      <c r="N182" s="474"/>
      <c r="O182" s="474"/>
      <c r="P182" s="474"/>
      <c r="Q182" s="474"/>
      <c r="R182" s="474"/>
      <c r="S182" s="474"/>
      <c r="T182" s="476"/>
      <c r="U182" s="470"/>
      <c r="V182" s="470"/>
      <c r="W182" s="470"/>
      <c r="X182" s="470"/>
      <c r="Y182" s="470"/>
      <c r="Z182" s="470"/>
      <c r="AA182" s="470"/>
      <c r="AB182" s="470"/>
      <c r="AC182" s="470"/>
      <c r="AD182" s="470"/>
      <c r="AE182" s="469"/>
      <c r="AF182" s="469"/>
      <c r="AG182" s="474"/>
      <c r="AH182" s="474"/>
      <c r="AI182" s="250"/>
      <c r="AJ182" s="250"/>
      <c r="AK182" s="250"/>
      <c r="AL182" s="250"/>
      <c r="AM182" s="250"/>
      <c r="AN182" s="250"/>
      <c r="AO182" s="250"/>
      <c r="AP182" s="250"/>
      <c r="AQ182" s="250"/>
      <c r="AR182" s="250"/>
      <c r="AS182" s="250"/>
      <c r="AT182" s="250"/>
      <c r="AU182" s="250"/>
      <c r="AV182" s="250"/>
      <c r="AW182" s="250"/>
      <c r="AX182" s="250"/>
      <c r="AY182" s="124"/>
    </row>
    <row r="183" spans="3:51" s="475" customFormat="1" x14ac:dyDescent="0.2">
      <c r="C183" s="474"/>
      <c r="D183" s="474"/>
      <c r="E183" s="474"/>
      <c r="F183" s="474"/>
      <c r="G183" s="474"/>
      <c r="H183" s="474"/>
      <c r="I183" s="474"/>
      <c r="J183" s="474"/>
      <c r="K183" s="474"/>
      <c r="L183" s="474"/>
      <c r="M183" s="474"/>
      <c r="N183" s="474"/>
      <c r="O183" s="474"/>
      <c r="P183" s="474"/>
      <c r="Q183" s="474"/>
      <c r="R183" s="474"/>
      <c r="S183" s="474"/>
      <c r="T183" s="476"/>
      <c r="U183" s="470"/>
      <c r="V183" s="470"/>
      <c r="W183" s="470"/>
      <c r="X183" s="470"/>
      <c r="Y183" s="470"/>
      <c r="Z183" s="470"/>
      <c r="AA183" s="470"/>
      <c r="AB183" s="470"/>
      <c r="AC183" s="470"/>
      <c r="AD183" s="470"/>
      <c r="AE183" s="469"/>
      <c r="AF183" s="469"/>
      <c r="AG183" s="474"/>
      <c r="AH183" s="474"/>
      <c r="AI183" s="250"/>
      <c r="AJ183" s="250"/>
      <c r="AK183" s="250"/>
      <c r="AL183" s="250"/>
      <c r="AM183" s="250"/>
      <c r="AN183" s="250"/>
      <c r="AO183" s="250"/>
      <c r="AP183" s="250"/>
      <c r="AQ183" s="250"/>
      <c r="AR183" s="250"/>
      <c r="AS183" s="250"/>
      <c r="AT183" s="250"/>
      <c r="AU183" s="250"/>
      <c r="AV183" s="250"/>
      <c r="AW183" s="250"/>
      <c r="AX183" s="250"/>
      <c r="AY183" s="124"/>
    </row>
    <row r="184" spans="3:51" s="475" customFormat="1" x14ac:dyDescent="0.2">
      <c r="C184" s="474"/>
      <c r="D184" s="474"/>
      <c r="E184" s="474"/>
      <c r="F184" s="474"/>
      <c r="G184" s="474"/>
      <c r="H184" s="474"/>
      <c r="I184" s="474"/>
      <c r="J184" s="474"/>
      <c r="K184" s="474"/>
      <c r="L184" s="474"/>
      <c r="M184" s="474"/>
      <c r="N184" s="474"/>
      <c r="O184" s="474"/>
      <c r="P184" s="474"/>
      <c r="Q184" s="474"/>
      <c r="R184" s="474"/>
      <c r="S184" s="474"/>
      <c r="T184" s="476"/>
      <c r="U184" s="470"/>
      <c r="V184" s="470"/>
      <c r="W184" s="470"/>
      <c r="X184" s="470"/>
      <c r="Y184" s="470"/>
      <c r="Z184" s="470"/>
      <c r="AA184" s="470"/>
      <c r="AB184" s="470"/>
      <c r="AC184" s="470"/>
      <c r="AD184" s="470"/>
      <c r="AE184" s="469"/>
      <c r="AF184" s="469"/>
      <c r="AG184" s="474"/>
      <c r="AH184" s="474"/>
      <c r="AI184" s="250"/>
      <c r="AJ184" s="250"/>
      <c r="AK184" s="250"/>
      <c r="AL184" s="250"/>
      <c r="AM184" s="250"/>
      <c r="AN184" s="250"/>
      <c r="AO184" s="250"/>
      <c r="AP184" s="250"/>
      <c r="AQ184" s="250"/>
      <c r="AR184" s="250"/>
      <c r="AS184" s="250"/>
      <c r="AT184" s="250"/>
      <c r="AU184" s="250"/>
      <c r="AV184" s="250"/>
      <c r="AW184" s="250"/>
      <c r="AX184" s="250"/>
      <c r="AY184" s="124"/>
    </row>
    <row r="185" spans="3:51" s="475" customFormat="1" x14ac:dyDescent="0.2">
      <c r="C185" s="250"/>
      <c r="D185" s="250"/>
      <c r="E185" s="250"/>
      <c r="F185" s="250"/>
      <c r="G185" s="250"/>
      <c r="H185" s="250"/>
      <c r="I185" s="250"/>
      <c r="J185" s="250"/>
      <c r="K185" s="250"/>
      <c r="L185" s="250"/>
      <c r="M185" s="250"/>
      <c r="N185" s="250"/>
      <c r="O185" s="250"/>
      <c r="P185" s="250"/>
      <c r="Q185" s="250"/>
      <c r="R185" s="250"/>
      <c r="S185" s="250"/>
      <c r="T185" s="487"/>
      <c r="U185" s="487"/>
      <c r="V185" s="487"/>
      <c r="W185" s="487"/>
      <c r="X185" s="487"/>
      <c r="Y185" s="487"/>
      <c r="Z185" s="487"/>
      <c r="AA185" s="487"/>
      <c r="AB185" s="487"/>
      <c r="AC185" s="487"/>
      <c r="AD185" s="487"/>
      <c r="AE185" s="250"/>
      <c r="AF185" s="250"/>
      <c r="AG185" s="250"/>
      <c r="AH185" s="250"/>
      <c r="AI185" s="250"/>
      <c r="AJ185" s="250"/>
      <c r="AK185" s="250"/>
      <c r="AL185" s="250"/>
      <c r="AM185" s="250"/>
      <c r="AN185" s="250"/>
      <c r="AO185" s="250"/>
      <c r="AP185" s="250"/>
      <c r="AQ185" s="250"/>
      <c r="AR185" s="250"/>
      <c r="AS185" s="250"/>
      <c r="AT185" s="250"/>
      <c r="AU185" s="250"/>
      <c r="AV185" s="250"/>
      <c r="AW185" s="250"/>
      <c r="AX185" s="250"/>
      <c r="AY185" s="124"/>
    </row>
    <row r="186" spans="3:51" s="475" customFormat="1" x14ac:dyDescent="0.2">
      <c r="C186" s="250"/>
      <c r="D186" s="250"/>
      <c r="E186" s="250"/>
      <c r="F186" s="250"/>
      <c r="G186" s="250"/>
      <c r="H186" s="250"/>
      <c r="I186" s="250"/>
      <c r="J186" s="250"/>
      <c r="K186" s="250"/>
      <c r="L186" s="250"/>
      <c r="M186" s="250"/>
      <c r="N186" s="250"/>
      <c r="O186" s="250"/>
      <c r="P186" s="250"/>
      <c r="Q186" s="250"/>
      <c r="R186" s="250"/>
      <c r="S186" s="250"/>
      <c r="T186" s="487"/>
      <c r="U186" s="487"/>
      <c r="V186" s="487"/>
      <c r="W186" s="487"/>
      <c r="X186" s="487"/>
      <c r="Y186" s="487"/>
      <c r="Z186" s="487"/>
      <c r="AA186" s="487"/>
      <c r="AB186" s="487"/>
      <c r="AC186" s="487"/>
      <c r="AD186" s="487"/>
      <c r="AE186" s="250"/>
      <c r="AF186" s="250"/>
      <c r="AG186" s="250"/>
      <c r="AH186" s="250"/>
      <c r="AI186" s="250"/>
      <c r="AJ186" s="250"/>
      <c r="AK186" s="250"/>
      <c r="AL186" s="250"/>
      <c r="AM186" s="250"/>
      <c r="AN186" s="250"/>
      <c r="AO186" s="250"/>
      <c r="AP186" s="250"/>
      <c r="AQ186" s="250"/>
      <c r="AR186" s="250"/>
      <c r="AS186" s="250"/>
      <c r="AT186" s="250"/>
      <c r="AU186" s="250"/>
      <c r="AV186" s="250"/>
      <c r="AW186" s="250"/>
      <c r="AX186" s="250"/>
      <c r="AY186" s="124"/>
    </row>
    <row r="187" spans="3:51" s="475" customFormat="1" x14ac:dyDescent="0.2">
      <c r="C187" s="250"/>
      <c r="D187" s="250"/>
      <c r="E187" s="250"/>
      <c r="F187" s="250"/>
      <c r="G187" s="250"/>
      <c r="H187" s="250"/>
      <c r="I187" s="250"/>
      <c r="J187" s="250"/>
      <c r="K187" s="250"/>
      <c r="L187" s="250"/>
      <c r="M187" s="250"/>
      <c r="N187" s="250"/>
      <c r="O187" s="250"/>
      <c r="P187" s="250"/>
      <c r="Q187" s="250"/>
      <c r="R187" s="250"/>
      <c r="S187" s="250"/>
      <c r="T187" s="487"/>
      <c r="U187" s="487"/>
      <c r="V187" s="487"/>
      <c r="W187" s="487"/>
      <c r="X187" s="487"/>
      <c r="Y187" s="487"/>
      <c r="Z187" s="487"/>
      <c r="AA187" s="487"/>
      <c r="AB187" s="487"/>
      <c r="AC187" s="487"/>
      <c r="AD187" s="487"/>
      <c r="AE187" s="250"/>
      <c r="AF187" s="250"/>
      <c r="AG187" s="250"/>
      <c r="AH187" s="250"/>
      <c r="AI187" s="250"/>
      <c r="AJ187" s="250"/>
      <c r="AK187" s="250"/>
      <c r="AL187" s="250"/>
      <c r="AM187" s="250"/>
      <c r="AN187" s="250"/>
      <c r="AO187" s="250"/>
      <c r="AP187" s="250"/>
      <c r="AQ187" s="250"/>
      <c r="AR187" s="250"/>
      <c r="AS187" s="250"/>
      <c r="AT187" s="250"/>
      <c r="AU187" s="250"/>
      <c r="AV187" s="250"/>
      <c r="AW187" s="250"/>
      <c r="AX187" s="250"/>
      <c r="AY187" s="124"/>
    </row>
    <row r="188" spans="3:51" s="475" customFormat="1" x14ac:dyDescent="0.2">
      <c r="C188" s="250"/>
      <c r="D188" s="250"/>
      <c r="E188" s="250"/>
      <c r="F188" s="250"/>
      <c r="G188" s="250"/>
      <c r="H188" s="250"/>
      <c r="I188" s="250"/>
      <c r="J188" s="250"/>
      <c r="K188" s="250"/>
      <c r="L188" s="250"/>
      <c r="M188" s="250"/>
      <c r="N188" s="250"/>
      <c r="O188" s="250"/>
      <c r="P188" s="250"/>
      <c r="Q188" s="250"/>
      <c r="R188" s="250"/>
      <c r="S188" s="250"/>
      <c r="T188" s="487"/>
      <c r="U188" s="487"/>
      <c r="V188" s="487"/>
      <c r="W188" s="487"/>
      <c r="X188" s="487"/>
      <c r="Y188" s="487"/>
      <c r="Z188" s="487"/>
      <c r="AA188" s="487"/>
      <c r="AB188" s="487"/>
      <c r="AC188" s="487"/>
      <c r="AD188" s="487"/>
      <c r="AE188" s="250"/>
      <c r="AF188" s="250"/>
      <c r="AG188" s="250"/>
      <c r="AH188" s="250"/>
      <c r="AI188" s="250"/>
      <c r="AJ188" s="250"/>
      <c r="AK188" s="250"/>
      <c r="AL188" s="250"/>
      <c r="AM188" s="250"/>
      <c r="AN188" s="250"/>
      <c r="AO188" s="250"/>
      <c r="AP188" s="250"/>
      <c r="AQ188" s="250"/>
      <c r="AR188" s="250"/>
      <c r="AS188" s="250"/>
      <c r="AT188" s="250"/>
      <c r="AU188" s="250"/>
      <c r="AV188" s="250"/>
      <c r="AW188" s="250"/>
      <c r="AX188" s="250"/>
      <c r="AY188" s="124"/>
    </row>
    <row r="189" spans="3:51" s="475" customFormat="1" x14ac:dyDescent="0.2">
      <c r="C189" s="250"/>
      <c r="D189" s="250"/>
      <c r="E189" s="250"/>
      <c r="F189" s="250"/>
      <c r="G189" s="250"/>
      <c r="H189" s="250"/>
      <c r="I189" s="250"/>
      <c r="J189" s="250"/>
      <c r="K189" s="250"/>
      <c r="L189" s="250"/>
      <c r="M189" s="250"/>
      <c r="N189" s="250"/>
      <c r="O189" s="250"/>
      <c r="P189" s="250"/>
      <c r="Q189" s="250"/>
      <c r="R189" s="250"/>
      <c r="S189" s="250"/>
      <c r="T189" s="487"/>
      <c r="U189" s="487"/>
      <c r="V189" s="487"/>
      <c r="W189" s="487"/>
      <c r="X189" s="487"/>
      <c r="Y189" s="487"/>
      <c r="Z189" s="487"/>
      <c r="AA189" s="487"/>
      <c r="AB189" s="487"/>
      <c r="AC189" s="487"/>
      <c r="AD189" s="487"/>
      <c r="AE189" s="250"/>
      <c r="AF189" s="250"/>
      <c r="AG189" s="250"/>
      <c r="AH189" s="250"/>
      <c r="AI189" s="250"/>
      <c r="AJ189" s="250"/>
      <c r="AK189" s="250"/>
      <c r="AL189" s="250"/>
      <c r="AM189" s="250"/>
      <c r="AN189" s="250"/>
      <c r="AO189" s="250"/>
      <c r="AP189" s="250"/>
      <c r="AQ189" s="250"/>
      <c r="AR189" s="250"/>
      <c r="AS189" s="250"/>
      <c r="AT189" s="250"/>
      <c r="AU189" s="250"/>
      <c r="AV189" s="250"/>
      <c r="AW189" s="250"/>
      <c r="AX189" s="250"/>
      <c r="AY189" s="124"/>
    </row>
    <row r="190" spans="3:51" s="475" customFormat="1" x14ac:dyDescent="0.2">
      <c r="C190" s="250"/>
      <c r="D190" s="250"/>
      <c r="E190" s="250"/>
      <c r="F190" s="250"/>
      <c r="G190" s="250"/>
      <c r="H190" s="250"/>
      <c r="I190" s="250"/>
      <c r="J190" s="250"/>
      <c r="K190" s="250"/>
      <c r="L190" s="250"/>
      <c r="M190" s="250"/>
      <c r="N190" s="250"/>
      <c r="O190" s="250"/>
      <c r="P190" s="250"/>
      <c r="Q190" s="250"/>
      <c r="R190" s="250"/>
      <c r="S190" s="250"/>
      <c r="T190" s="487"/>
      <c r="U190" s="487"/>
      <c r="V190" s="487"/>
      <c r="W190" s="487"/>
      <c r="X190" s="487"/>
      <c r="Y190" s="487"/>
      <c r="Z190" s="487"/>
      <c r="AA190" s="487"/>
      <c r="AB190" s="487"/>
      <c r="AC190" s="487"/>
      <c r="AD190" s="487"/>
      <c r="AE190" s="250"/>
      <c r="AF190" s="250"/>
      <c r="AG190" s="250"/>
      <c r="AH190" s="250"/>
      <c r="AI190" s="250"/>
      <c r="AJ190" s="250"/>
      <c r="AK190" s="250"/>
      <c r="AL190" s="250"/>
      <c r="AM190" s="250"/>
      <c r="AN190" s="250"/>
      <c r="AO190" s="250"/>
      <c r="AP190" s="250"/>
      <c r="AQ190" s="250"/>
      <c r="AR190" s="250"/>
      <c r="AS190" s="250"/>
      <c r="AT190" s="250"/>
      <c r="AU190" s="250"/>
      <c r="AV190" s="250"/>
      <c r="AW190" s="250"/>
      <c r="AX190" s="250"/>
      <c r="AY190" s="124"/>
    </row>
    <row r="191" spans="3:51" s="475" customFormat="1" x14ac:dyDescent="0.2">
      <c r="C191" s="250"/>
      <c r="D191" s="250"/>
      <c r="E191" s="250"/>
      <c r="F191" s="250"/>
      <c r="G191" s="250"/>
      <c r="H191" s="250"/>
      <c r="I191" s="250"/>
      <c r="J191" s="250"/>
      <c r="K191" s="250"/>
      <c r="L191" s="250"/>
      <c r="M191" s="250"/>
      <c r="N191" s="250"/>
      <c r="O191" s="250"/>
      <c r="P191" s="250"/>
      <c r="Q191" s="250"/>
      <c r="R191" s="250"/>
      <c r="S191" s="250"/>
      <c r="T191" s="487"/>
      <c r="U191" s="487"/>
      <c r="V191" s="487"/>
      <c r="W191" s="487"/>
      <c r="X191" s="487"/>
      <c r="Y191" s="487"/>
      <c r="Z191" s="487"/>
      <c r="AA191" s="487"/>
      <c r="AB191" s="487"/>
      <c r="AC191" s="487"/>
      <c r="AD191" s="487"/>
      <c r="AE191" s="250"/>
      <c r="AF191" s="250"/>
      <c r="AG191" s="250"/>
      <c r="AH191" s="250"/>
      <c r="AI191" s="250"/>
      <c r="AJ191" s="250"/>
      <c r="AK191" s="250"/>
      <c r="AL191" s="250"/>
      <c r="AM191" s="250"/>
      <c r="AN191" s="250"/>
      <c r="AO191" s="250"/>
      <c r="AP191" s="250"/>
      <c r="AQ191" s="250"/>
      <c r="AR191" s="250"/>
      <c r="AS191" s="250"/>
      <c r="AT191" s="250"/>
      <c r="AU191" s="250"/>
      <c r="AV191" s="250"/>
      <c r="AW191" s="250"/>
      <c r="AX191" s="250"/>
      <c r="AY191" s="124"/>
    </row>
    <row r="192" spans="3:51" s="475" customFormat="1" x14ac:dyDescent="0.2">
      <c r="C192" s="250"/>
      <c r="D192" s="250"/>
      <c r="E192" s="250"/>
      <c r="F192" s="250"/>
      <c r="G192" s="250"/>
      <c r="H192" s="250"/>
      <c r="I192" s="250"/>
      <c r="J192" s="250"/>
      <c r="K192" s="250"/>
      <c r="L192" s="250"/>
      <c r="M192" s="250"/>
      <c r="N192" s="250"/>
      <c r="O192" s="250"/>
      <c r="P192" s="250"/>
      <c r="Q192" s="250"/>
      <c r="R192" s="250"/>
      <c r="S192" s="250"/>
      <c r="T192" s="487"/>
      <c r="U192" s="487"/>
      <c r="V192" s="487"/>
      <c r="W192" s="487"/>
      <c r="X192" s="487"/>
      <c r="Y192" s="487"/>
      <c r="Z192" s="487"/>
      <c r="AA192" s="487"/>
      <c r="AB192" s="487"/>
      <c r="AC192" s="487"/>
      <c r="AD192" s="487"/>
      <c r="AE192" s="250"/>
      <c r="AF192" s="250"/>
      <c r="AG192" s="250"/>
      <c r="AH192" s="250"/>
      <c r="AI192" s="250"/>
      <c r="AJ192" s="250"/>
      <c r="AK192" s="250"/>
      <c r="AL192" s="250"/>
      <c r="AM192" s="250"/>
      <c r="AN192" s="250"/>
      <c r="AO192" s="250"/>
      <c r="AP192" s="250"/>
      <c r="AQ192" s="250"/>
      <c r="AR192" s="250"/>
      <c r="AS192" s="250"/>
      <c r="AT192" s="250"/>
      <c r="AU192" s="250"/>
      <c r="AV192" s="250"/>
      <c r="AW192" s="250"/>
      <c r="AX192" s="250"/>
      <c r="AY192" s="124"/>
    </row>
    <row r="193" spans="3:51" s="475" customFormat="1" x14ac:dyDescent="0.2">
      <c r="C193" s="250"/>
      <c r="D193" s="250"/>
      <c r="E193" s="250"/>
      <c r="F193" s="250"/>
      <c r="G193" s="250"/>
      <c r="H193" s="250"/>
      <c r="I193" s="250"/>
      <c r="J193" s="250"/>
      <c r="K193" s="250"/>
      <c r="L193" s="250"/>
      <c r="M193" s="250"/>
      <c r="N193" s="250"/>
      <c r="O193" s="250"/>
      <c r="P193" s="250"/>
      <c r="Q193" s="250"/>
      <c r="R193" s="250"/>
      <c r="S193" s="250"/>
      <c r="T193" s="487"/>
      <c r="U193" s="487"/>
      <c r="V193" s="487"/>
      <c r="W193" s="487"/>
      <c r="X193" s="487"/>
      <c r="Y193" s="487"/>
      <c r="Z193" s="487"/>
      <c r="AA193" s="487"/>
      <c r="AB193" s="487"/>
      <c r="AC193" s="487"/>
      <c r="AD193" s="487"/>
      <c r="AE193" s="250"/>
      <c r="AF193" s="250"/>
      <c r="AG193" s="250"/>
      <c r="AH193" s="250"/>
      <c r="AI193" s="250"/>
      <c r="AJ193" s="250"/>
      <c r="AK193" s="250"/>
      <c r="AL193" s="250"/>
      <c r="AM193" s="250"/>
      <c r="AN193" s="250"/>
      <c r="AO193" s="250"/>
      <c r="AP193" s="250"/>
      <c r="AQ193" s="250"/>
      <c r="AR193" s="250"/>
      <c r="AS193" s="250"/>
      <c r="AT193" s="250"/>
      <c r="AU193" s="250"/>
      <c r="AV193" s="250"/>
      <c r="AW193" s="250"/>
      <c r="AX193" s="250"/>
      <c r="AY193" s="124"/>
    </row>
    <row r="194" spans="3:51" s="475" customFormat="1" x14ac:dyDescent="0.2">
      <c r="C194" s="250"/>
      <c r="D194" s="250"/>
      <c r="E194" s="250"/>
      <c r="F194" s="250"/>
      <c r="G194" s="250"/>
      <c r="H194" s="250"/>
      <c r="I194" s="250"/>
      <c r="J194" s="250"/>
      <c r="K194" s="250"/>
      <c r="L194" s="250"/>
      <c r="M194" s="250"/>
      <c r="N194" s="250"/>
      <c r="O194" s="250"/>
      <c r="P194" s="250"/>
      <c r="Q194" s="250"/>
      <c r="R194" s="250"/>
      <c r="S194" s="250"/>
      <c r="T194" s="487"/>
      <c r="U194" s="487"/>
      <c r="V194" s="487"/>
      <c r="W194" s="487"/>
      <c r="X194" s="487"/>
      <c r="Y194" s="487"/>
      <c r="Z194" s="487"/>
      <c r="AA194" s="487"/>
      <c r="AB194" s="487"/>
      <c r="AC194" s="487"/>
      <c r="AD194" s="487"/>
      <c r="AE194" s="250"/>
      <c r="AF194" s="250"/>
      <c r="AG194" s="250"/>
      <c r="AH194" s="250"/>
      <c r="AI194" s="250"/>
      <c r="AJ194" s="250"/>
      <c r="AK194" s="250"/>
      <c r="AL194" s="250"/>
      <c r="AM194" s="250"/>
      <c r="AN194" s="250"/>
      <c r="AO194" s="250"/>
      <c r="AP194" s="250"/>
      <c r="AQ194" s="250"/>
      <c r="AR194" s="250"/>
      <c r="AS194" s="250"/>
      <c r="AT194" s="250"/>
      <c r="AU194" s="250"/>
      <c r="AV194" s="250"/>
      <c r="AW194" s="250"/>
      <c r="AX194" s="250"/>
      <c r="AY194" s="124"/>
    </row>
    <row r="195" spans="3:51" s="475" customFormat="1" x14ac:dyDescent="0.2">
      <c r="C195" s="250"/>
      <c r="D195" s="250"/>
      <c r="E195" s="250"/>
      <c r="F195" s="250"/>
      <c r="G195" s="250"/>
      <c r="H195" s="250"/>
      <c r="I195" s="250"/>
      <c r="J195" s="250"/>
      <c r="K195" s="250"/>
      <c r="L195" s="250"/>
      <c r="M195" s="250"/>
      <c r="N195" s="250"/>
      <c r="O195" s="250"/>
      <c r="P195" s="250"/>
      <c r="Q195" s="250"/>
      <c r="R195" s="250"/>
      <c r="S195" s="250"/>
      <c r="T195" s="487"/>
      <c r="U195" s="487"/>
      <c r="V195" s="487"/>
      <c r="W195" s="487"/>
      <c r="X195" s="487"/>
      <c r="Y195" s="487"/>
      <c r="Z195" s="487"/>
      <c r="AA195" s="487"/>
      <c r="AB195" s="487"/>
      <c r="AC195" s="487"/>
      <c r="AD195" s="487"/>
      <c r="AE195" s="250"/>
      <c r="AF195" s="250"/>
      <c r="AG195" s="250"/>
      <c r="AH195" s="250"/>
      <c r="AI195" s="250"/>
      <c r="AJ195" s="250"/>
      <c r="AK195" s="250"/>
      <c r="AL195" s="250"/>
      <c r="AM195" s="250"/>
      <c r="AN195" s="250"/>
      <c r="AO195" s="250"/>
      <c r="AP195" s="250"/>
      <c r="AQ195" s="250"/>
      <c r="AR195" s="250"/>
      <c r="AS195" s="250"/>
      <c r="AT195" s="250"/>
      <c r="AU195" s="250"/>
      <c r="AV195" s="250"/>
      <c r="AW195" s="250"/>
      <c r="AX195" s="250"/>
      <c r="AY195" s="124"/>
    </row>
    <row r="196" spans="3:51" s="475" customFormat="1" x14ac:dyDescent="0.2">
      <c r="C196" s="250"/>
      <c r="D196" s="250"/>
      <c r="E196" s="250"/>
      <c r="F196" s="250"/>
      <c r="G196" s="250"/>
      <c r="H196" s="250"/>
      <c r="I196" s="250"/>
      <c r="J196" s="250"/>
      <c r="K196" s="250"/>
      <c r="L196" s="250"/>
      <c r="M196" s="250"/>
      <c r="N196" s="250"/>
      <c r="O196" s="250"/>
      <c r="P196" s="250"/>
      <c r="Q196" s="250"/>
      <c r="R196" s="250"/>
      <c r="S196" s="250"/>
      <c r="T196" s="487"/>
      <c r="U196" s="487"/>
      <c r="V196" s="487"/>
      <c r="W196" s="487"/>
      <c r="X196" s="487"/>
      <c r="Y196" s="487"/>
      <c r="Z196" s="487"/>
      <c r="AA196" s="487"/>
      <c r="AB196" s="487"/>
      <c r="AC196" s="487"/>
      <c r="AD196" s="487"/>
      <c r="AE196" s="250"/>
      <c r="AF196" s="250"/>
      <c r="AG196" s="250"/>
      <c r="AH196" s="250"/>
      <c r="AI196" s="250"/>
      <c r="AJ196" s="250"/>
      <c r="AK196" s="250"/>
      <c r="AL196" s="250"/>
      <c r="AM196" s="250"/>
      <c r="AN196" s="250"/>
      <c r="AO196" s="250"/>
      <c r="AP196" s="250"/>
      <c r="AQ196" s="250"/>
      <c r="AR196" s="250"/>
      <c r="AS196" s="250"/>
      <c r="AT196" s="250"/>
      <c r="AU196" s="250"/>
      <c r="AV196" s="250"/>
      <c r="AW196" s="250"/>
      <c r="AX196" s="250"/>
      <c r="AY196" s="124"/>
    </row>
    <row r="197" spans="3:51" s="475" customFormat="1" x14ac:dyDescent="0.2">
      <c r="C197" s="250"/>
      <c r="D197" s="250"/>
      <c r="E197" s="250"/>
      <c r="F197" s="250"/>
      <c r="G197" s="250"/>
      <c r="H197" s="250"/>
      <c r="I197" s="250"/>
      <c r="J197" s="250"/>
      <c r="K197" s="250"/>
      <c r="L197" s="250"/>
      <c r="M197" s="250"/>
      <c r="N197" s="250"/>
      <c r="O197" s="250"/>
      <c r="P197" s="250"/>
      <c r="Q197" s="250"/>
      <c r="R197" s="250"/>
      <c r="S197" s="250"/>
      <c r="T197" s="487"/>
      <c r="U197" s="487"/>
      <c r="V197" s="487"/>
      <c r="W197" s="487"/>
      <c r="X197" s="487"/>
      <c r="Y197" s="487"/>
      <c r="Z197" s="487"/>
      <c r="AA197" s="487"/>
      <c r="AB197" s="487"/>
      <c r="AC197" s="487"/>
      <c r="AD197" s="487"/>
      <c r="AE197" s="250"/>
      <c r="AF197" s="250"/>
      <c r="AG197" s="250"/>
      <c r="AH197" s="250"/>
      <c r="AI197" s="250"/>
      <c r="AJ197" s="250"/>
      <c r="AK197" s="250"/>
      <c r="AL197" s="250"/>
      <c r="AM197" s="250"/>
      <c r="AN197" s="250"/>
      <c r="AO197" s="250"/>
      <c r="AP197" s="250"/>
      <c r="AQ197" s="250"/>
      <c r="AR197" s="250"/>
      <c r="AS197" s="250"/>
      <c r="AT197" s="250"/>
      <c r="AU197" s="250"/>
      <c r="AV197" s="250"/>
      <c r="AW197" s="250"/>
      <c r="AX197" s="250"/>
      <c r="AY197" s="124"/>
    </row>
    <row r="198" spans="3:51" s="475" customFormat="1" x14ac:dyDescent="0.2">
      <c r="C198" s="250"/>
      <c r="D198" s="250"/>
      <c r="E198" s="250"/>
      <c r="F198" s="250"/>
      <c r="G198" s="250"/>
      <c r="H198" s="250"/>
      <c r="I198" s="250"/>
      <c r="J198" s="250"/>
      <c r="K198" s="250"/>
      <c r="L198" s="250"/>
      <c r="M198" s="250"/>
      <c r="N198" s="250"/>
      <c r="O198" s="250"/>
      <c r="P198" s="250"/>
      <c r="Q198" s="250"/>
      <c r="R198" s="250"/>
      <c r="S198" s="250"/>
      <c r="T198" s="487"/>
      <c r="U198" s="487"/>
      <c r="V198" s="487"/>
      <c r="W198" s="487"/>
      <c r="X198" s="487"/>
      <c r="Y198" s="487"/>
      <c r="Z198" s="487"/>
      <c r="AA198" s="487"/>
      <c r="AB198" s="487"/>
      <c r="AC198" s="487"/>
      <c r="AD198" s="487"/>
      <c r="AE198" s="250"/>
      <c r="AF198" s="250"/>
      <c r="AG198" s="250"/>
      <c r="AH198" s="250"/>
      <c r="AI198" s="250"/>
      <c r="AJ198" s="250"/>
      <c r="AK198" s="250"/>
      <c r="AL198" s="250"/>
      <c r="AM198" s="250"/>
      <c r="AN198" s="250"/>
      <c r="AO198" s="250"/>
      <c r="AP198" s="250"/>
      <c r="AQ198" s="250"/>
      <c r="AR198" s="250"/>
      <c r="AS198" s="250"/>
      <c r="AT198" s="250"/>
      <c r="AU198" s="250"/>
      <c r="AV198" s="250"/>
      <c r="AW198" s="250"/>
      <c r="AX198" s="250"/>
      <c r="AY198" s="124"/>
    </row>
    <row r="199" spans="3:51" s="475" customFormat="1" x14ac:dyDescent="0.2">
      <c r="C199" s="250"/>
      <c r="D199" s="250"/>
      <c r="E199" s="250"/>
      <c r="F199" s="250"/>
      <c r="G199" s="250"/>
      <c r="H199" s="250"/>
      <c r="I199" s="250"/>
      <c r="J199" s="250"/>
      <c r="K199" s="250"/>
      <c r="L199" s="250"/>
      <c r="M199" s="250"/>
      <c r="N199" s="250"/>
      <c r="O199" s="250"/>
      <c r="P199" s="250"/>
      <c r="Q199" s="250"/>
      <c r="R199" s="250"/>
      <c r="S199" s="250"/>
      <c r="T199" s="487"/>
      <c r="U199" s="487"/>
      <c r="V199" s="487"/>
      <c r="W199" s="487"/>
      <c r="X199" s="487"/>
      <c r="Y199" s="487"/>
      <c r="Z199" s="487"/>
      <c r="AA199" s="487"/>
      <c r="AB199" s="487"/>
      <c r="AC199" s="487"/>
      <c r="AD199" s="487"/>
      <c r="AE199" s="250"/>
      <c r="AF199" s="250"/>
      <c r="AG199" s="250"/>
      <c r="AH199" s="250"/>
      <c r="AI199" s="250"/>
      <c r="AJ199" s="250"/>
      <c r="AK199" s="250"/>
      <c r="AL199" s="250"/>
      <c r="AM199" s="250"/>
      <c r="AN199" s="250"/>
      <c r="AO199" s="250"/>
      <c r="AP199" s="250"/>
      <c r="AQ199" s="250"/>
      <c r="AR199" s="250"/>
      <c r="AS199" s="250"/>
      <c r="AT199" s="250"/>
      <c r="AU199" s="250"/>
      <c r="AV199" s="250"/>
      <c r="AW199" s="250"/>
      <c r="AX199" s="250"/>
      <c r="AY199" s="124"/>
    </row>
    <row r="200" spans="3:51" s="475" customFormat="1" x14ac:dyDescent="0.2">
      <c r="C200" s="250"/>
      <c r="D200" s="250"/>
      <c r="E200" s="250"/>
      <c r="F200" s="250"/>
      <c r="G200" s="250"/>
      <c r="H200" s="250"/>
      <c r="I200" s="250"/>
      <c r="J200" s="250"/>
      <c r="K200" s="250"/>
      <c r="L200" s="250"/>
      <c r="M200" s="250"/>
      <c r="N200" s="250"/>
      <c r="O200" s="250"/>
      <c r="P200" s="250"/>
      <c r="Q200" s="250"/>
      <c r="R200" s="250"/>
      <c r="S200" s="250"/>
      <c r="T200" s="487"/>
      <c r="U200" s="487"/>
      <c r="V200" s="487"/>
      <c r="W200" s="487"/>
      <c r="X200" s="487"/>
      <c r="Y200" s="487"/>
      <c r="Z200" s="487"/>
      <c r="AA200" s="487"/>
      <c r="AB200" s="487"/>
      <c r="AC200" s="487"/>
      <c r="AD200" s="487"/>
      <c r="AE200" s="250"/>
      <c r="AF200" s="250"/>
      <c r="AG200" s="250"/>
      <c r="AH200" s="250"/>
      <c r="AI200" s="250"/>
      <c r="AJ200" s="250"/>
      <c r="AK200" s="250"/>
      <c r="AL200" s="250"/>
      <c r="AM200" s="250"/>
      <c r="AN200" s="250"/>
      <c r="AO200" s="250"/>
      <c r="AP200" s="250"/>
      <c r="AQ200" s="250"/>
      <c r="AR200" s="250"/>
      <c r="AS200" s="250"/>
      <c r="AT200" s="250"/>
      <c r="AU200" s="250"/>
      <c r="AV200" s="250"/>
      <c r="AW200" s="250"/>
      <c r="AX200" s="250"/>
      <c r="AY200" s="124"/>
    </row>
    <row r="201" spans="3:51" s="475" customFormat="1" x14ac:dyDescent="0.2">
      <c r="C201" s="250"/>
      <c r="D201" s="250"/>
      <c r="E201" s="250"/>
      <c r="F201" s="250"/>
      <c r="G201" s="250"/>
      <c r="H201" s="250"/>
      <c r="I201" s="250"/>
      <c r="J201" s="250"/>
      <c r="K201" s="250"/>
      <c r="L201" s="250"/>
      <c r="M201" s="250"/>
      <c r="N201" s="250"/>
      <c r="O201" s="250"/>
      <c r="P201" s="250"/>
      <c r="Q201" s="250"/>
      <c r="R201" s="250"/>
      <c r="S201" s="250"/>
      <c r="T201" s="487"/>
      <c r="U201" s="487"/>
      <c r="V201" s="487"/>
      <c r="W201" s="487"/>
      <c r="X201" s="487"/>
      <c r="Y201" s="487"/>
      <c r="Z201" s="487"/>
      <c r="AA201" s="487"/>
      <c r="AB201" s="487"/>
      <c r="AC201" s="487"/>
      <c r="AD201" s="487"/>
      <c r="AE201" s="250"/>
      <c r="AF201" s="250"/>
      <c r="AG201" s="250"/>
      <c r="AH201" s="250"/>
      <c r="AI201" s="250"/>
      <c r="AJ201" s="250"/>
      <c r="AK201" s="250"/>
      <c r="AL201" s="250"/>
      <c r="AM201" s="250"/>
      <c r="AN201" s="250"/>
      <c r="AO201" s="250"/>
      <c r="AP201" s="250"/>
      <c r="AQ201" s="250"/>
      <c r="AR201" s="250"/>
      <c r="AS201" s="250"/>
      <c r="AT201" s="250"/>
      <c r="AU201" s="250"/>
      <c r="AV201" s="250"/>
      <c r="AW201" s="250"/>
      <c r="AX201" s="250"/>
      <c r="AY201" s="124"/>
    </row>
    <row r="202" spans="3:51" s="475" customFormat="1" x14ac:dyDescent="0.2">
      <c r="C202" s="250"/>
      <c r="D202" s="250"/>
      <c r="E202" s="250"/>
      <c r="F202" s="250"/>
      <c r="G202" s="250"/>
      <c r="H202" s="250"/>
      <c r="I202" s="250"/>
      <c r="J202" s="250"/>
      <c r="K202" s="250"/>
      <c r="L202" s="250"/>
      <c r="M202" s="250"/>
      <c r="N202" s="250"/>
      <c r="O202" s="250"/>
      <c r="P202" s="250"/>
      <c r="Q202" s="250"/>
      <c r="R202" s="250"/>
      <c r="S202" s="250"/>
      <c r="T202" s="487"/>
      <c r="U202" s="487"/>
      <c r="V202" s="487"/>
      <c r="W202" s="487"/>
      <c r="X202" s="487"/>
      <c r="Y202" s="487"/>
      <c r="Z202" s="487"/>
      <c r="AA202" s="487"/>
      <c r="AB202" s="487"/>
      <c r="AC202" s="487"/>
      <c r="AD202" s="487"/>
      <c r="AE202" s="250"/>
      <c r="AF202" s="250"/>
      <c r="AG202" s="250"/>
      <c r="AH202" s="250"/>
      <c r="AI202" s="250"/>
      <c r="AJ202" s="250"/>
      <c r="AK202" s="250"/>
      <c r="AL202" s="250"/>
      <c r="AM202" s="250"/>
      <c r="AN202" s="250"/>
      <c r="AO202" s="250"/>
      <c r="AP202" s="250"/>
      <c r="AQ202" s="250"/>
      <c r="AR202" s="250"/>
      <c r="AS202" s="250"/>
      <c r="AT202" s="250"/>
      <c r="AU202" s="250"/>
      <c r="AV202" s="250"/>
      <c r="AW202" s="250"/>
      <c r="AX202" s="250"/>
      <c r="AY202" s="124"/>
    </row>
    <row r="203" spans="3:51" s="475" customFormat="1" x14ac:dyDescent="0.2">
      <c r="C203" s="250"/>
      <c r="D203" s="250"/>
      <c r="E203" s="250"/>
      <c r="F203" s="250"/>
      <c r="G203" s="250"/>
      <c r="H203" s="250"/>
      <c r="I203" s="250"/>
      <c r="J203" s="250"/>
      <c r="K203" s="250"/>
      <c r="L203" s="250"/>
      <c r="M203" s="250"/>
      <c r="N203" s="250"/>
      <c r="O203" s="250"/>
      <c r="P203" s="250"/>
      <c r="Q203" s="250"/>
      <c r="R203" s="250"/>
      <c r="S203" s="250"/>
      <c r="T203" s="487"/>
      <c r="U203" s="487"/>
      <c r="V203" s="487"/>
      <c r="W203" s="487"/>
      <c r="X203" s="487"/>
      <c r="Y203" s="487"/>
      <c r="Z203" s="487"/>
      <c r="AA203" s="487"/>
      <c r="AB203" s="487"/>
      <c r="AC203" s="487"/>
      <c r="AD203" s="487"/>
      <c r="AE203" s="250"/>
      <c r="AF203" s="250"/>
      <c r="AG203" s="250"/>
      <c r="AH203" s="250"/>
      <c r="AI203" s="250"/>
      <c r="AJ203" s="250"/>
      <c r="AK203" s="250"/>
      <c r="AL203" s="250"/>
      <c r="AM203" s="250"/>
      <c r="AN203" s="250"/>
      <c r="AO203" s="250"/>
      <c r="AP203" s="250"/>
      <c r="AQ203" s="250"/>
      <c r="AR203" s="250"/>
      <c r="AS203" s="250"/>
      <c r="AT203" s="250"/>
      <c r="AU203" s="250"/>
      <c r="AV203" s="250"/>
      <c r="AW203" s="250"/>
      <c r="AX203" s="250"/>
      <c r="AY203" s="124"/>
    </row>
    <row r="204" spans="3:51" s="475" customFormat="1" x14ac:dyDescent="0.2">
      <c r="C204" s="250"/>
      <c r="D204" s="250"/>
      <c r="E204" s="250"/>
      <c r="F204" s="250"/>
      <c r="G204" s="250"/>
      <c r="H204" s="250"/>
      <c r="I204" s="250"/>
      <c r="J204" s="250"/>
      <c r="K204" s="250"/>
      <c r="L204" s="250"/>
      <c r="M204" s="250"/>
      <c r="N204" s="250"/>
      <c r="O204" s="250"/>
      <c r="P204" s="250"/>
      <c r="Q204" s="250"/>
      <c r="R204" s="250"/>
      <c r="S204" s="250"/>
      <c r="T204" s="487"/>
      <c r="U204" s="487"/>
      <c r="V204" s="487"/>
      <c r="W204" s="487"/>
      <c r="X204" s="487"/>
      <c r="Y204" s="487"/>
      <c r="Z204" s="487"/>
      <c r="AA204" s="487"/>
      <c r="AB204" s="487"/>
      <c r="AC204" s="487"/>
      <c r="AD204" s="487"/>
      <c r="AE204" s="250"/>
      <c r="AF204" s="250"/>
      <c r="AG204" s="250"/>
      <c r="AH204" s="250"/>
      <c r="AI204" s="250"/>
      <c r="AJ204" s="250"/>
      <c r="AK204" s="250"/>
      <c r="AL204" s="250"/>
      <c r="AM204" s="250"/>
      <c r="AN204" s="250"/>
      <c r="AO204" s="250"/>
      <c r="AP204" s="250"/>
      <c r="AQ204" s="250"/>
      <c r="AR204" s="250"/>
      <c r="AS204" s="250"/>
      <c r="AT204" s="250"/>
      <c r="AU204" s="250"/>
      <c r="AV204" s="250"/>
      <c r="AW204" s="250"/>
      <c r="AX204" s="250"/>
      <c r="AY204" s="124"/>
    </row>
    <row r="205" spans="3:51" s="475" customFormat="1" x14ac:dyDescent="0.2">
      <c r="C205" s="250"/>
      <c r="D205" s="250"/>
      <c r="E205" s="250"/>
      <c r="F205" s="250"/>
      <c r="G205" s="250"/>
      <c r="H205" s="250"/>
      <c r="I205" s="250"/>
      <c r="J205" s="250"/>
      <c r="K205" s="250"/>
      <c r="L205" s="250"/>
      <c r="M205" s="250"/>
      <c r="N205" s="250"/>
      <c r="O205" s="250"/>
      <c r="P205" s="250"/>
      <c r="Q205" s="250"/>
      <c r="R205" s="250"/>
      <c r="S205" s="250"/>
      <c r="T205" s="487"/>
      <c r="U205" s="487"/>
      <c r="V205" s="487"/>
      <c r="W205" s="487"/>
      <c r="X205" s="487"/>
      <c r="Y205" s="487"/>
      <c r="Z205" s="487"/>
      <c r="AA205" s="487"/>
      <c r="AB205" s="487"/>
      <c r="AC205" s="487"/>
      <c r="AD205" s="487"/>
      <c r="AE205" s="250"/>
      <c r="AF205" s="250"/>
      <c r="AG205" s="250"/>
      <c r="AH205" s="250"/>
      <c r="AI205" s="250"/>
      <c r="AJ205" s="250"/>
      <c r="AK205" s="250"/>
      <c r="AL205" s="250"/>
      <c r="AM205" s="250"/>
      <c r="AN205" s="250"/>
      <c r="AO205" s="250"/>
      <c r="AP205" s="250"/>
      <c r="AQ205" s="250"/>
      <c r="AR205" s="250"/>
      <c r="AS205" s="250"/>
      <c r="AT205" s="250"/>
      <c r="AU205" s="250"/>
      <c r="AV205" s="250"/>
      <c r="AW205" s="250"/>
      <c r="AX205" s="250"/>
      <c r="AY205" s="124"/>
    </row>
    <row r="206" spans="3:51" s="475" customFormat="1" x14ac:dyDescent="0.2">
      <c r="C206" s="250"/>
      <c r="D206" s="250"/>
      <c r="E206" s="250"/>
      <c r="F206" s="250"/>
      <c r="G206" s="250"/>
      <c r="H206" s="250"/>
      <c r="I206" s="250"/>
      <c r="J206" s="250"/>
      <c r="K206" s="250"/>
      <c r="L206" s="250"/>
      <c r="M206" s="250"/>
      <c r="N206" s="250"/>
      <c r="O206" s="250"/>
      <c r="P206" s="250"/>
      <c r="Q206" s="250"/>
      <c r="R206" s="250"/>
      <c r="S206" s="250"/>
      <c r="T206" s="487"/>
      <c r="U206" s="487"/>
      <c r="V206" s="487"/>
      <c r="W206" s="487"/>
      <c r="X206" s="487"/>
      <c r="Y206" s="487"/>
      <c r="Z206" s="487"/>
      <c r="AA206" s="487"/>
      <c r="AB206" s="487"/>
      <c r="AC206" s="487"/>
      <c r="AD206" s="487"/>
      <c r="AE206" s="250"/>
      <c r="AF206" s="250"/>
      <c r="AG206" s="250"/>
      <c r="AH206" s="250"/>
      <c r="AI206" s="250"/>
      <c r="AJ206" s="250"/>
      <c r="AK206" s="250"/>
      <c r="AL206" s="250"/>
      <c r="AM206" s="250"/>
      <c r="AN206" s="250"/>
      <c r="AO206" s="250"/>
      <c r="AP206" s="250"/>
      <c r="AQ206" s="250"/>
      <c r="AR206" s="250"/>
      <c r="AS206" s="250"/>
      <c r="AT206" s="250"/>
      <c r="AU206" s="250"/>
      <c r="AV206" s="250"/>
      <c r="AW206" s="250"/>
      <c r="AX206" s="250"/>
      <c r="AY206" s="124"/>
    </row>
    <row r="207" spans="3:51" s="475" customFormat="1" x14ac:dyDescent="0.2">
      <c r="C207" s="250"/>
      <c r="D207" s="250"/>
      <c r="E207" s="250"/>
      <c r="F207" s="250"/>
      <c r="G207" s="250"/>
      <c r="H207" s="250"/>
      <c r="I207" s="250"/>
      <c r="J207" s="250"/>
      <c r="K207" s="250"/>
      <c r="L207" s="250"/>
      <c r="M207" s="250"/>
      <c r="N207" s="250"/>
      <c r="O207" s="250"/>
      <c r="P207" s="250"/>
      <c r="Q207" s="250"/>
      <c r="R207" s="250"/>
      <c r="S207" s="250"/>
      <c r="T207" s="487"/>
      <c r="U207" s="487"/>
      <c r="V207" s="487"/>
      <c r="W207" s="487"/>
      <c r="X207" s="487"/>
      <c r="Y207" s="487"/>
      <c r="Z207" s="487"/>
      <c r="AA207" s="487"/>
      <c r="AB207" s="487"/>
      <c r="AC207" s="487"/>
      <c r="AD207" s="487"/>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124"/>
    </row>
    <row r="208" spans="3:51" s="475" customFormat="1" x14ac:dyDescent="0.2">
      <c r="C208" s="250"/>
      <c r="D208" s="250"/>
      <c r="E208" s="250"/>
      <c r="F208" s="250"/>
      <c r="G208" s="250"/>
      <c r="H208" s="250"/>
      <c r="I208" s="250"/>
      <c r="J208" s="250"/>
      <c r="K208" s="250"/>
      <c r="L208" s="250"/>
      <c r="M208" s="250"/>
      <c r="N208" s="250"/>
      <c r="O208" s="250"/>
      <c r="P208" s="250"/>
      <c r="Q208" s="250"/>
      <c r="R208" s="250"/>
      <c r="S208" s="250"/>
      <c r="T208" s="487"/>
      <c r="U208" s="487"/>
      <c r="V208" s="487"/>
      <c r="W208" s="487"/>
      <c r="X208" s="487"/>
      <c r="Y208" s="487"/>
      <c r="Z208" s="487"/>
      <c r="AA208" s="487"/>
      <c r="AB208" s="487"/>
      <c r="AC208" s="487"/>
      <c r="AD208" s="487"/>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124"/>
    </row>
    <row r="209" spans="3:51" s="475" customFormat="1" x14ac:dyDescent="0.2">
      <c r="C209" s="250"/>
      <c r="D209" s="250"/>
      <c r="E209" s="250"/>
      <c r="F209" s="250"/>
      <c r="G209" s="250"/>
      <c r="H209" s="250"/>
      <c r="I209" s="250"/>
      <c r="J209" s="250"/>
      <c r="K209" s="250"/>
      <c r="L209" s="250"/>
      <c r="M209" s="250"/>
      <c r="N209" s="250"/>
      <c r="O209" s="250"/>
      <c r="P209" s="250"/>
      <c r="Q209" s="250"/>
      <c r="R209" s="250"/>
      <c r="S209" s="250"/>
      <c r="T209" s="487"/>
      <c r="U209" s="487"/>
      <c r="V209" s="487"/>
      <c r="W209" s="487"/>
      <c r="X209" s="487"/>
      <c r="Y209" s="487"/>
      <c r="Z209" s="487"/>
      <c r="AA209" s="487"/>
      <c r="AB209" s="487"/>
      <c r="AC209" s="487"/>
      <c r="AD209" s="487"/>
      <c r="AE209" s="250"/>
      <c r="AF209" s="250"/>
      <c r="AG209" s="250"/>
      <c r="AH209" s="250"/>
      <c r="AI209" s="250"/>
      <c r="AJ209" s="250"/>
      <c r="AK209" s="250"/>
      <c r="AL209" s="250"/>
      <c r="AM209" s="250"/>
      <c r="AN209" s="250"/>
      <c r="AO209" s="250"/>
      <c r="AP209" s="250"/>
      <c r="AQ209" s="250"/>
      <c r="AR209" s="250"/>
      <c r="AS209" s="250"/>
      <c r="AT209" s="250"/>
      <c r="AU209" s="250"/>
      <c r="AV209" s="250"/>
      <c r="AW209" s="250"/>
      <c r="AX209" s="250"/>
      <c r="AY209" s="124"/>
    </row>
    <row r="210" spans="3:51" s="475" customFormat="1" x14ac:dyDescent="0.2">
      <c r="C210" s="250"/>
      <c r="D210" s="250"/>
      <c r="E210" s="250"/>
      <c r="F210" s="250"/>
      <c r="G210" s="250"/>
      <c r="H210" s="250"/>
      <c r="I210" s="250"/>
      <c r="J210" s="250"/>
      <c r="K210" s="250"/>
      <c r="L210" s="250"/>
      <c r="M210" s="250"/>
      <c r="N210" s="250"/>
      <c r="O210" s="250"/>
      <c r="P210" s="250"/>
      <c r="Q210" s="250"/>
      <c r="R210" s="250"/>
      <c r="S210" s="250"/>
      <c r="T210" s="487"/>
      <c r="U210" s="487"/>
      <c r="V210" s="487"/>
      <c r="W210" s="487"/>
      <c r="X210" s="487"/>
      <c r="Y210" s="487"/>
      <c r="Z210" s="487"/>
      <c r="AA210" s="487"/>
      <c r="AB210" s="487"/>
      <c r="AC210" s="487"/>
      <c r="AD210" s="487"/>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124"/>
    </row>
    <row r="211" spans="3:51" s="475" customFormat="1" x14ac:dyDescent="0.2">
      <c r="C211" s="250"/>
      <c r="D211" s="250"/>
      <c r="E211" s="250"/>
      <c r="F211" s="250"/>
      <c r="G211" s="250"/>
      <c r="H211" s="250"/>
      <c r="I211" s="250"/>
      <c r="J211" s="250"/>
      <c r="K211" s="250"/>
      <c r="L211" s="250"/>
      <c r="M211" s="250"/>
      <c r="N211" s="250"/>
      <c r="O211" s="250"/>
      <c r="P211" s="250"/>
      <c r="Q211" s="250"/>
      <c r="R211" s="250"/>
      <c r="S211" s="250"/>
      <c r="T211" s="487"/>
      <c r="U211" s="487"/>
      <c r="V211" s="487"/>
      <c r="W211" s="487"/>
      <c r="X211" s="487"/>
      <c r="Y211" s="487"/>
      <c r="Z211" s="487"/>
      <c r="AA211" s="487"/>
      <c r="AB211" s="487"/>
      <c r="AC211" s="487"/>
      <c r="AD211" s="487"/>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124"/>
    </row>
    <row r="212" spans="3:51" s="475" customFormat="1" x14ac:dyDescent="0.2">
      <c r="C212" s="250"/>
      <c r="D212" s="250"/>
      <c r="E212" s="250"/>
      <c r="F212" s="250"/>
      <c r="G212" s="250"/>
      <c r="H212" s="250"/>
      <c r="I212" s="250"/>
      <c r="J212" s="250"/>
      <c r="K212" s="250"/>
      <c r="L212" s="250"/>
      <c r="M212" s="250"/>
      <c r="N212" s="250"/>
      <c r="O212" s="250"/>
      <c r="P212" s="250"/>
      <c r="Q212" s="250"/>
      <c r="R212" s="250"/>
      <c r="S212" s="250"/>
      <c r="T212" s="487"/>
      <c r="U212" s="487"/>
      <c r="V212" s="487"/>
      <c r="W212" s="487"/>
      <c r="X212" s="487"/>
      <c r="Y212" s="487"/>
      <c r="Z212" s="487"/>
      <c r="AA212" s="487"/>
      <c r="AB212" s="487"/>
      <c r="AC212" s="487"/>
      <c r="AD212" s="487"/>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124"/>
    </row>
    <row r="213" spans="3:51" s="475" customFormat="1" x14ac:dyDescent="0.2">
      <c r="C213" s="250"/>
      <c r="D213" s="250"/>
      <c r="E213" s="250"/>
      <c r="F213" s="250"/>
      <c r="G213" s="250"/>
      <c r="H213" s="250"/>
      <c r="I213" s="250"/>
      <c r="J213" s="250"/>
      <c r="K213" s="250"/>
      <c r="L213" s="250"/>
      <c r="M213" s="250"/>
      <c r="N213" s="250"/>
      <c r="O213" s="250"/>
      <c r="P213" s="250"/>
      <c r="Q213" s="250"/>
      <c r="R213" s="250"/>
      <c r="S213" s="250"/>
      <c r="T213" s="487"/>
      <c r="U213" s="487"/>
      <c r="V213" s="487"/>
      <c r="W213" s="487"/>
      <c r="X213" s="487"/>
      <c r="Y213" s="487"/>
      <c r="Z213" s="487"/>
      <c r="AA213" s="487"/>
      <c r="AB213" s="487"/>
      <c r="AC213" s="487"/>
      <c r="AD213" s="487"/>
      <c r="AE213" s="250"/>
      <c r="AF213" s="250"/>
      <c r="AG213" s="250"/>
      <c r="AH213" s="250"/>
      <c r="AI213" s="250"/>
      <c r="AJ213" s="250"/>
      <c r="AK213" s="250"/>
      <c r="AL213" s="250"/>
      <c r="AM213" s="250"/>
      <c r="AN213" s="250"/>
      <c r="AO213" s="250"/>
      <c r="AP213" s="250"/>
      <c r="AQ213" s="250"/>
      <c r="AR213" s="250"/>
      <c r="AS213" s="250"/>
      <c r="AT213" s="250"/>
      <c r="AU213" s="250"/>
      <c r="AV213" s="250"/>
      <c r="AW213" s="250"/>
      <c r="AX213" s="250"/>
      <c r="AY213" s="124"/>
    </row>
    <row r="214" spans="3:51" s="475" customFormat="1" x14ac:dyDescent="0.2">
      <c r="C214" s="250"/>
      <c r="D214" s="250"/>
      <c r="E214" s="250"/>
      <c r="F214" s="250"/>
      <c r="G214" s="250"/>
      <c r="H214" s="250"/>
      <c r="I214" s="250"/>
      <c r="J214" s="250"/>
      <c r="K214" s="250"/>
      <c r="L214" s="250"/>
      <c r="M214" s="250"/>
      <c r="N214" s="250"/>
      <c r="O214" s="250"/>
      <c r="P214" s="250"/>
      <c r="Q214" s="250"/>
      <c r="R214" s="250"/>
      <c r="S214" s="250"/>
      <c r="T214" s="487"/>
      <c r="U214" s="487"/>
      <c r="V214" s="487"/>
      <c r="W214" s="487"/>
      <c r="X214" s="487"/>
      <c r="Y214" s="487"/>
      <c r="Z214" s="487"/>
      <c r="AA214" s="487"/>
      <c r="AB214" s="487"/>
      <c r="AC214" s="487"/>
      <c r="AD214" s="487"/>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124"/>
    </row>
    <row r="215" spans="3:51" s="475" customFormat="1" x14ac:dyDescent="0.2">
      <c r="C215" s="250"/>
      <c r="D215" s="250"/>
      <c r="E215" s="250"/>
      <c r="F215" s="250"/>
      <c r="G215" s="250"/>
      <c r="H215" s="250"/>
      <c r="I215" s="250"/>
      <c r="J215" s="250"/>
      <c r="K215" s="250"/>
      <c r="L215" s="250"/>
      <c r="M215" s="250"/>
      <c r="N215" s="250"/>
      <c r="O215" s="250"/>
      <c r="P215" s="250"/>
      <c r="Q215" s="250"/>
      <c r="R215" s="250"/>
      <c r="S215" s="250"/>
      <c r="T215" s="487"/>
      <c r="U215" s="487"/>
      <c r="V215" s="487"/>
      <c r="W215" s="487"/>
      <c r="X215" s="487"/>
      <c r="Y215" s="487"/>
      <c r="Z215" s="487"/>
      <c r="AA215" s="487"/>
      <c r="AB215" s="487"/>
      <c r="AC215" s="487"/>
      <c r="AD215" s="487"/>
      <c r="AE215" s="250"/>
      <c r="AF215" s="250"/>
      <c r="AG215" s="250"/>
      <c r="AH215" s="250"/>
      <c r="AI215" s="250"/>
      <c r="AJ215" s="250"/>
      <c r="AK215" s="250"/>
      <c r="AL215" s="250"/>
      <c r="AM215" s="250"/>
      <c r="AN215" s="250"/>
      <c r="AO215" s="250"/>
      <c r="AP215" s="250"/>
      <c r="AQ215" s="250"/>
      <c r="AR215" s="250"/>
      <c r="AS215" s="250"/>
      <c r="AT215" s="250"/>
      <c r="AU215" s="250"/>
      <c r="AV215" s="250"/>
      <c r="AW215" s="250"/>
      <c r="AX215" s="250"/>
      <c r="AY215" s="124"/>
    </row>
    <row r="216" spans="3:51" s="475" customFormat="1" x14ac:dyDescent="0.2">
      <c r="C216" s="250"/>
      <c r="D216" s="250"/>
      <c r="E216" s="250"/>
      <c r="F216" s="250"/>
      <c r="G216" s="250"/>
      <c r="H216" s="250"/>
      <c r="I216" s="250"/>
      <c r="J216" s="250"/>
      <c r="K216" s="250"/>
      <c r="L216" s="250"/>
      <c r="M216" s="250"/>
      <c r="N216" s="250"/>
      <c r="O216" s="250"/>
      <c r="P216" s="250"/>
      <c r="Q216" s="250"/>
      <c r="R216" s="250"/>
      <c r="S216" s="250"/>
      <c r="T216" s="487"/>
      <c r="U216" s="487"/>
      <c r="V216" s="487"/>
      <c r="W216" s="487"/>
      <c r="X216" s="487"/>
      <c r="Y216" s="487"/>
      <c r="Z216" s="487"/>
      <c r="AA216" s="487"/>
      <c r="AB216" s="487"/>
      <c r="AC216" s="487"/>
      <c r="AD216" s="487"/>
      <c r="AE216" s="250"/>
      <c r="AF216" s="250"/>
      <c r="AG216" s="250"/>
      <c r="AH216" s="250"/>
      <c r="AI216" s="250"/>
      <c r="AJ216" s="250"/>
      <c r="AK216" s="250"/>
      <c r="AL216" s="250"/>
      <c r="AM216" s="250"/>
      <c r="AN216" s="250"/>
      <c r="AO216" s="250"/>
      <c r="AP216" s="250"/>
      <c r="AQ216" s="250"/>
      <c r="AR216" s="250"/>
      <c r="AS216" s="250"/>
      <c r="AT216" s="250"/>
      <c r="AU216" s="250"/>
      <c r="AV216" s="250"/>
      <c r="AW216" s="250"/>
      <c r="AX216" s="250"/>
      <c r="AY216" s="124"/>
    </row>
    <row r="217" spans="3:51" s="475" customFormat="1" x14ac:dyDescent="0.2">
      <c r="C217" s="250"/>
      <c r="D217" s="250"/>
      <c r="E217" s="250"/>
      <c r="F217" s="250"/>
      <c r="G217" s="250"/>
      <c r="H217" s="250"/>
      <c r="I217" s="250"/>
      <c r="J217" s="250"/>
      <c r="K217" s="250"/>
      <c r="L217" s="250"/>
      <c r="M217" s="250"/>
      <c r="N217" s="250"/>
      <c r="O217" s="250"/>
      <c r="P217" s="250"/>
      <c r="Q217" s="250"/>
      <c r="R217" s="250"/>
      <c r="S217" s="250"/>
      <c r="T217" s="487"/>
      <c r="U217" s="487"/>
      <c r="V217" s="487"/>
      <c r="W217" s="487"/>
      <c r="X217" s="487"/>
      <c r="Y217" s="487"/>
      <c r="Z217" s="487"/>
      <c r="AA217" s="487"/>
      <c r="AB217" s="487"/>
      <c r="AC217" s="487"/>
      <c r="AD217" s="487"/>
      <c r="AE217" s="250"/>
      <c r="AF217" s="250"/>
      <c r="AG217" s="250"/>
      <c r="AH217" s="250"/>
      <c r="AI217" s="250"/>
      <c r="AJ217" s="250"/>
      <c r="AK217" s="250"/>
      <c r="AL217" s="250"/>
      <c r="AM217" s="250"/>
      <c r="AN217" s="250"/>
      <c r="AO217" s="250"/>
      <c r="AP217" s="250"/>
      <c r="AQ217" s="250"/>
      <c r="AR217" s="250"/>
      <c r="AS217" s="250"/>
      <c r="AT217" s="250"/>
      <c r="AU217" s="250"/>
      <c r="AV217" s="250"/>
      <c r="AW217" s="250"/>
      <c r="AX217" s="250"/>
      <c r="AY217" s="124"/>
    </row>
    <row r="218" spans="3:51" s="475" customFormat="1" x14ac:dyDescent="0.2">
      <c r="C218" s="250"/>
      <c r="D218" s="250"/>
      <c r="E218" s="250"/>
      <c r="F218" s="250"/>
      <c r="G218" s="250"/>
      <c r="H218" s="250"/>
      <c r="I218" s="250"/>
      <c r="J218" s="250"/>
      <c r="K218" s="250"/>
      <c r="L218" s="250"/>
      <c r="M218" s="250"/>
      <c r="N218" s="250"/>
      <c r="O218" s="250"/>
      <c r="P218" s="250"/>
      <c r="Q218" s="250"/>
      <c r="R218" s="250"/>
      <c r="S218" s="250"/>
      <c r="T218" s="487"/>
      <c r="U218" s="487"/>
      <c r="V218" s="487"/>
      <c r="W218" s="487"/>
      <c r="X218" s="487"/>
      <c r="Y218" s="487"/>
      <c r="Z218" s="487"/>
      <c r="AA218" s="487"/>
      <c r="AB218" s="487"/>
      <c r="AC218" s="487"/>
      <c r="AD218" s="487"/>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124"/>
    </row>
    <row r="219" spans="3:51" s="475" customFormat="1" x14ac:dyDescent="0.2">
      <c r="C219" s="250"/>
      <c r="D219" s="250"/>
      <c r="E219" s="250"/>
      <c r="F219" s="250"/>
      <c r="G219" s="250"/>
      <c r="H219" s="250"/>
      <c r="I219" s="250"/>
      <c r="J219" s="250"/>
      <c r="K219" s="250"/>
      <c r="L219" s="250"/>
      <c r="M219" s="250"/>
      <c r="N219" s="250"/>
      <c r="O219" s="250"/>
      <c r="P219" s="250"/>
      <c r="Q219" s="250"/>
      <c r="R219" s="250"/>
      <c r="S219" s="250"/>
      <c r="T219" s="487"/>
      <c r="U219" s="487"/>
      <c r="V219" s="487"/>
      <c r="W219" s="487"/>
      <c r="X219" s="487"/>
      <c r="Y219" s="487"/>
      <c r="Z219" s="487"/>
      <c r="AA219" s="487"/>
      <c r="AB219" s="487"/>
      <c r="AC219" s="487"/>
      <c r="AD219" s="487"/>
      <c r="AE219" s="250"/>
      <c r="AF219" s="250"/>
      <c r="AG219" s="250"/>
      <c r="AH219" s="250"/>
      <c r="AI219" s="250"/>
      <c r="AJ219" s="250"/>
      <c r="AK219" s="250"/>
      <c r="AL219" s="250"/>
      <c r="AM219" s="250"/>
      <c r="AN219" s="250"/>
      <c r="AO219" s="250"/>
      <c r="AP219" s="250"/>
      <c r="AQ219" s="250"/>
      <c r="AR219" s="250"/>
      <c r="AS219" s="250"/>
      <c r="AT219" s="250"/>
      <c r="AU219" s="250"/>
      <c r="AV219" s="250"/>
      <c r="AW219" s="250"/>
      <c r="AX219" s="250"/>
      <c r="AY219" s="124"/>
    </row>
    <row r="220" spans="3:51" s="475" customFormat="1" x14ac:dyDescent="0.2">
      <c r="C220" s="250"/>
      <c r="D220" s="250"/>
      <c r="E220" s="250"/>
      <c r="F220" s="250"/>
      <c r="G220" s="250"/>
      <c r="H220" s="250"/>
      <c r="I220" s="250"/>
      <c r="J220" s="250"/>
      <c r="K220" s="250"/>
      <c r="L220" s="250"/>
      <c r="M220" s="250"/>
      <c r="N220" s="250"/>
      <c r="O220" s="250"/>
      <c r="P220" s="250"/>
      <c r="Q220" s="250"/>
      <c r="R220" s="250"/>
      <c r="S220" s="250"/>
      <c r="T220" s="487"/>
      <c r="U220" s="487"/>
      <c r="V220" s="487"/>
      <c r="W220" s="487"/>
      <c r="X220" s="487"/>
      <c r="Y220" s="487"/>
      <c r="Z220" s="487"/>
      <c r="AA220" s="487"/>
      <c r="AB220" s="487"/>
      <c r="AC220" s="487"/>
      <c r="AD220" s="487"/>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124"/>
    </row>
    <row r="221" spans="3:51" s="475" customFormat="1" x14ac:dyDescent="0.2">
      <c r="C221" s="250"/>
      <c r="D221" s="250"/>
      <c r="E221" s="250"/>
      <c r="F221" s="250"/>
      <c r="G221" s="250"/>
      <c r="H221" s="250"/>
      <c r="I221" s="250"/>
      <c r="J221" s="250"/>
      <c r="K221" s="250"/>
      <c r="L221" s="250"/>
      <c r="M221" s="250"/>
      <c r="N221" s="250"/>
      <c r="O221" s="250"/>
      <c r="P221" s="250"/>
      <c r="Q221" s="250"/>
      <c r="R221" s="250"/>
      <c r="S221" s="250"/>
      <c r="T221" s="487"/>
      <c r="U221" s="487"/>
      <c r="V221" s="487"/>
      <c r="W221" s="487"/>
      <c r="X221" s="487"/>
      <c r="Y221" s="487"/>
      <c r="Z221" s="487"/>
      <c r="AA221" s="487"/>
      <c r="AB221" s="487"/>
      <c r="AC221" s="487"/>
      <c r="AD221" s="487"/>
      <c r="AE221" s="250"/>
      <c r="AF221" s="250"/>
      <c r="AG221" s="250"/>
      <c r="AH221" s="250"/>
      <c r="AI221" s="250"/>
      <c r="AJ221" s="250"/>
      <c r="AK221" s="250"/>
      <c r="AL221" s="250"/>
      <c r="AM221" s="250"/>
      <c r="AN221" s="250"/>
      <c r="AO221" s="250"/>
      <c r="AP221" s="250"/>
      <c r="AQ221" s="250"/>
      <c r="AR221" s="250"/>
      <c r="AS221" s="250"/>
      <c r="AT221" s="250"/>
      <c r="AU221" s="250"/>
      <c r="AV221" s="250"/>
      <c r="AW221" s="250"/>
      <c r="AX221" s="250"/>
      <c r="AY221" s="124"/>
    </row>
    <row r="222" spans="3:51" s="475" customFormat="1" x14ac:dyDescent="0.2">
      <c r="C222" s="250"/>
      <c r="D222" s="250"/>
      <c r="E222" s="250"/>
      <c r="F222" s="250"/>
      <c r="G222" s="250"/>
      <c r="H222" s="250"/>
      <c r="I222" s="250"/>
      <c r="J222" s="250"/>
      <c r="K222" s="250"/>
      <c r="L222" s="250"/>
      <c r="M222" s="250"/>
      <c r="N222" s="250"/>
      <c r="O222" s="250"/>
      <c r="P222" s="250"/>
      <c r="Q222" s="250"/>
      <c r="R222" s="250"/>
      <c r="S222" s="250"/>
      <c r="T222" s="487"/>
      <c r="U222" s="487"/>
      <c r="V222" s="487"/>
      <c r="W222" s="487"/>
      <c r="X222" s="487"/>
      <c r="Y222" s="487"/>
      <c r="Z222" s="487"/>
      <c r="AA222" s="487"/>
      <c r="AB222" s="487"/>
      <c r="AC222" s="487"/>
      <c r="AD222" s="487"/>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124"/>
    </row>
    <row r="223" spans="3:51" s="475" customFormat="1" x14ac:dyDescent="0.2">
      <c r="C223" s="250"/>
      <c r="D223" s="250"/>
      <c r="E223" s="250"/>
      <c r="F223" s="250"/>
      <c r="G223" s="250"/>
      <c r="H223" s="250"/>
      <c r="I223" s="250"/>
      <c r="J223" s="250"/>
      <c r="K223" s="250"/>
      <c r="L223" s="250"/>
      <c r="M223" s="250"/>
      <c r="N223" s="250"/>
      <c r="O223" s="250"/>
      <c r="P223" s="250"/>
      <c r="Q223" s="250"/>
      <c r="R223" s="250"/>
      <c r="S223" s="250"/>
      <c r="T223" s="487"/>
      <c r="U223" s="487"/>
      <c r="V223" s="487"/>
      <c r="W223" s="487"/>
      <c r="X223" s="487"/>
      <c r="Y223" s="487"/>
      <c r="Z223" s="487"/>
      <c r="AA223" s="487"/>
      <c r="AB223" s="487"/>
      <c r="AC223" s="487"/>
      <c r="AD223" s="487"/>
      <c r="AE223" s="250"/>
      <c r="AF223" s="250"/>
      <c r="AG223" s="250"/>
      <c r="AH223" s="250"/>
      <c r="AI223" s="250"/>
      <c r="AJ223" s="250"/>
      <c r="AK223" s="250"/>
      <c r="AL223" s="250"/>
      <c r="AM223" s="250"/>
      <c r="AN223" s="250"/>
      <c r="AO223" s="250"/>
      <c r="AP223" s="250"/>
      <c r="AQ223" s="250"/>
      <c r="AR223" s="250"/>
      <c r="AS223" s="250"/>
      <c r="AT223" s="250"/>
      <c r="AU223" s="250"/>
      <c r="AV223" s="250"/>
      <c r="AW223" s="250"/>
      <c r="AX223" s="250"/>
      <c r="AY223" s="124"/>
    </row>
    <row r="224" spans="3:51" s="475" customFormat="1" x14ac:dyDescent="0.2">
      <c r="C224" s="250"/>
      <c r="D224" s="250"/>
      <c r="E224" s="250"/>
      <c r="F224" s="250"/>
      <c r="G224" s="250"/>
      <c r="H224" s="250"/>
      <c r="I224" s="250"/>
      <c r="J224" s="250"/>
      <c r="K224" s="250"/>
      <c r="L224" s="250"/>
      <c r="M224" s="250"/>
      <c r="N224" s="250"/>
      <c r="O224" s="250"/>
      <c r="P224" s="250"/>
      <c r="Q224" s="250"/>
      <c r="R224" s="250"/>
      <c r="S224" s="250"/>
      <c r="T224" s="487"/>
      <c r="U224" s="487"/>
      <c r="V224" s="487"/>
      <c r="W224" s="487"/>
      <c r="X224" s="487"/>
      <c r="Y224" s="487"/>
      <c r="Z224" s="487"/>
      <c r="AA224" s="487"/>
      <c r="AB224" s="487"/>
      <c r="AC224" s="487"/>
      <c r="AD224" s="487"/>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124"/>
    </row>
    <row r="225" spans="3:51" s="475" customFormat="1" x14ac:dyDescent="0.2">
      <c r="C225" s="250"/>
      <c r="D225" s="250"/>
      <c r="E225" s="250"/>
      <c r="F225" s="250"/>
      <c r="G225" s="250"/>
      <c r="H225" s="250"/>
      <c r="I225" s="250"/>
      <c r="J225" s="250"/>
      <c r="K225" s="250"/>
      <c r="L225" s="250"/>
      <c r="M225" s="250"/>
      <c r="N225" s="250"/>
      <c r="O225" s="250"/>
      <c r="P225" s="250"/>
      <c r="Q225" s="250"/>
      <c r="R225" s="250"/>
      <c r="S225" s="250"/>
      <c r="T225" s="487"/>
      <c r="U225" s="487"/>
      <c r="V225" s="487"/>
      <c r="W225" s="487"/>
      <c r="X225" s="487"/>
      <c r="Y225" s="487"/>
      <c r="Z225" s="487"/>
      <c r="AA225" s="487"/>
      <c r="AB225" s="487"/>
      <c r="AC225" s="487"/>
      <c r="AD225" s="487"/>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124"/>
    </row>
    <row r="226" spans="3:51" s="475" customFormat="1" x14ac:dyDescent="0.2">
      <c r="C226" s="250"/>
      <c r="D226" s="250"/>
      <c r="E226" s="250"/>
      <c r="F226" s="250"/>
      <c r="G226" s="250"/>
      <c r="H226" s="250"/>
      <c r="I226" s="250"/>
      <c r="J226" s="250"/>
      <c r="K226" s="250"/>
      <c r="L226" s="250"/>
      <c r="M226" s="250"/>
      <c r="N226" s="250"/>
      <c r="O226" s="250"/>
      <c r="P226" s="250"/>
      <c r="Q226" s="250"/>
      <c r="R226" s="250"/>
      <c r="S226" s="250"/>
      <c r="T226" s="487"/>
      <c r="U226" s="487"/>
      <c r="V226" s="487"/>
      <c r="W226" s="487"/>
      <c r="X226" s="487"/>
      <c r="Y226" s="487"/>
      <c r="Z226" s="487"/>
      <c r="AA226" s="487"/>
      <c r="AB226" s="487"/>
      <c r="AC226" s="487"/>
      <c r="AD226" s="487"/>
      <c r="AE226" s="250"/>
      <c r="AF226" s="250"/>
      <c r="AG226" s="250"/>
      <c r="AH226" s="250"/>
      <c r="AI226" s="250"/>
      <c r="AJ226" s="250"/>
      <c r="AK226" s="250"/>
      <c r="AL226" s="250"/>
      <c r="AM226" s="250"/>
      <c r="AN226" s="250"/>
      <c r="AO226" s="250"/>
      <c r="AP226" s="250"/>
      <c r="AQ226" s="250"/>
      <c r="AR226" s="250"/>
      <c r="AS226" s="250"/>
      <c r="AT226" s="250"/>
      <c r="AU226" s="250"/>
      <c r="AV226" s="250"/>
      <c r="AW226" s="250"/>
      <c r="AX226" s="250"/>
      <c r="AY226" s="124"/>
    </row>
    <row r="227" spans="3:51" s="475" customFormat="1" x14ac:dyDescent="0.2">
      <c r="C227" s="250"/>
      <c r="D227" s="250"/>
      <c r="E227" s="250"/>
      <c r="F227" s="250"/>
      <c r="G227" s="250"/>
      <c r="H227" s="250"/>
      <c r="I227" s="250"/>
      <c r="J227" s="250"/>
      <c r="K227" s="250"/>
      <c r="L227" s="250"/>
      <c r="M227" s="250"/>
      <c r="N227" s="250"/>
      <c r="O227" s="250"/>
      <c r="P227" s="250"/>
      <c r="Q227" s="250"/>
      <c r="R227" s="250"/>
      <c r="S227" s="250"/>
      <c r="T227" s="487"/>
      <c r="U227" s="487"/>
      <c r="V227" s="487"/>
      <c r="W227" s="487"/>
      <c r="X227" s="487"/>
      <c r="Y227" s="487"/>
      <c r="Z227" s="487"/>
      <c r="AA227" s="487"/>
      <c r="AB227" s="487"/>
      <c r="AC227" s="487"/>
      <c r="AD227" s="487"/>
      <c r="AE227" s="250"/>
      <c r="AF227" s="250"/>
      <c r="AG227" s="250"/>
      <c r="AH227" s="250"/>
      <c r="AI227" s="250"/>
      <c r="AJ227" s="250"/>
      <c r="AK227" s="250"/>
      <c r="AL227" s="250"/>
      <c r="AM227" s="250"/>
      <c r="AN227" s="250"/>
      <c r="AO227" s="250"/>
      <c r="AP227" s="250"/>
      <c r="AQ227" s="250"/>
      <c r="AR227" s="250"/>
      <c r="AS227" s="250"/>
      <c r="AT227" s="250"/>
      <c r="AU227" s="250"/>
      <c r="AV227" s="250"/>
      <c r="AW227" s="250"/>
      <c r="AX227" s="250"/>
      <c r="AY227" s="124"/>
    </row>
    <row r="228" spans="3:51" s="475" customFormat="1" x14ac:dyDescent="0.2">
      <c r="C228" s="250"/>
      <c r="D228" s="250"/>
      <c r="E228" s="250"/>
      <c r="F228" s="250"/>
      <c r="G228" s="250"/>
      <c r="H228" s="250"/>
      <c r="I228" s="250"/>
      <c r="J228" s="250"/>
      <c r="K228" s="250"/>
      <c r="L228" s="250"/>
      <c r="M228" s="250"/>
      <c r="N228" s="250"/>
      <c r="O228" s="250"/>
      <c r="P228" s="250"/>
      <c r="Q228" s="250"/>
      <c r="R228" s="250"/>
      <c r="S228" s="250"/>
      <c r="T228" s="487"/>
      <c r="U228" s="487"/>
      <c r="V228" s="487"/>
      <c r="W228" s="487"/>
      <c r="X228" s="487"/>
      <c r="Y228" s="487"/>
      <c r="Z228" s="487"/>
      <c r="AA228" s="487"/>
      <c r="AB228" s="487"/>
      <c r="AC228" s="487"/>
      <c r="AD228" s="487"/>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124"/>
    </row>
    <row r="229" spans="3:51" s="475" customFormat="1" x14ac:dyDescent="0.2">
      <c r="C229" s="250"/>
      <c r="D229" s="250"/>
      <c r="E229" s="250"/>
      <c r="F229" s="250"/>
      <c r="G229" s="250"/>
      <c r="H229" s="250"/>
      <c r="I229" s="250"/>
      <c r="J229" s="250"/>
      <c r="K229" s="250"/>
      <c r="L229" s="250"/>
      <c r="M229" s="250"/>
      <c r="N229" s="250"/>
      <c r="O229" s="250"/>
      <c r="P229" s="250"/>
      <c r="Q229" s="250"/>
      <c r="R229" s="250"/>
      <c r="S229" s="250"/>
      <c r="T229" s="487"/>
      <c r="U229" s="487"/>
      <c r="V229" s="487"/>
      <c r="W229" s="487"/>
      <c r="X229" s="487"/>
      <c r="Y229" s="487"/>
      <c r="Z229" s="487"/>
      <c r="AA229" s="487"/>
      <c r="AB229" s="487"/>
      <c r="AC229" s="487"/>
      <c r="AD229" s="487"/>
      <c r="AE229" s="250"/>
      <c r="AF229" s="250"/>
      <c r="AG229" s="250"/>
      <c r="AH229" s="250"/>
      <c r="AI229" s="250"/>
      <c r="AJ229" s="250"/>
      <c r="AK229" s="250"/>
      <c r="AL229" s="250"/>
      <c r="AM229" s="250"/>
      <c r="AN229" s="250"/>
      <c r="AO229" s="250"/>
      <c r="AP229" s="250"/>
      <c r="AQ229" s="250"/>
      <c r="AR229" s="250"/>
      <c r="AS229" s="250"/>
      <c r="AT229" s="250"/>
      <c r="AU229" s="250"/>
      <c r="AV229" s="250"/>
      <c r="AW229" s="250"/>
      <c r="AX229" s="250"/>
      <c r="AY229" s="124"/>
    </row>
    <row r="230" spans="3:51" s="475" customFormat="1" x14ac:dyDescent="0.2">
      <c r="C230" s="250"/>
      <c r="D230" s="250"/>
      <c r="E230" s="250"/>
      <c r="F230" s="250"/>
      <c r="G230" s="250"/>
      <c r="H230" s="250"/>
      <c r="I230" s="250"/>
      <c r="J230" s="250"/>
      <c r="K230" s="250"/>
      <c r="L230" s="250"/>
      <c r="M230" s="250"/>
      <c r="N230" s="250"/>
      <c r="O230" s="250"/>
      <c r="P230" s="250"/>
      <c r="Q230" s="250"/>
      <c r="R230" s="250"/>
      <c r="S230" s="250"/>
      <c r="T230" s="487"/>
      <c r="U230" s="487"/>
      <c r="V230" s="487"/>
      <c r="W230" s="487"/>
      <c r="X230" s="487"/>
      <c r="Y230" s="487"/>
      <c r="Z230" s="487"/>
      <c r="AA230" s="487"/>
      <c r="AB230" s="487"/>
      <c r="AC230" s="487"/>
      <c r="AD230" s="487"/>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124"/>
    </row>
    <row r="231" spans="3:51" s="475" customFormat="1" x14ac:dyDescent="0.2">
      <c r="C231" s="250"/>
      <c r="D231" s="250"/>
      <c r="E231" s="250"/>
      <c r="F231" s="250"/>
      <c r="G231" s="250"/>
      <c r="H231" s="250"/>
      <c r="I231" s="250"/>
      <c r="J231" s="250"/>
      <c r="K231" s="250"/>
      <c r="L231" s="250"/>
      <c r="M231" s="250"/>
      <c r="N231" s="250"/>
      <c r="O231" s="250"/>
      <c r="P231" s="250"/>
      <c r="Q231" s="250"/>
      <c r="R231" s="250"/>
      <c r="S231" s="250"/>
      <c r="T231" s="487"/>
      <c r="U231" s="487"/>
      <c r="V231" s="487"/>
      <c r="W231" s="487"/>
      <c r="X231" s="487"/>
      <c r="Y231" s="487"/>
      <c r="Z231" s="487"/>
      <c r="AA231" s="487"/>
      <c r="AB231" s="487"/>
      <c r="AC231" s="487"/>
      <c r="AD231" s="487"/>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124"/>
    </row>
    <row r="232" spans="3:51" s="475" customFormat="1" x14ac:dyDescent="0.2">
      <c r="C232" s="250"/>
      <c r="D232" s="250"/>
      <c r="E232" s="250"/>
      <c r="F232" s="250"/>
      <c r="G232" s="250"/>
      <c r="H232" s="250"/>
      <c r="I232" s="250"/>
      <c r="J232" s="250"/>
      <c r="K232" s="250"/>
      <c r="L232" s="250"/>
      <c r="M232" s="250"/>
      <c r="N232" s="250"/>
      <c r="O232" s="250"/>
      <c r="P232" s="250"/>
      <c r="Q232" s="250"/>
      <c r="R232" s="250"/>
      <c r="S232" s="250"/>
      <c r="T232" s="487"/>
      <c r="U232" s="487"/>
      <c r="V232" s="487"/>
      <c r="W232" s="487"/>
      <c r="X232" s="487"/>
      <c r="Y232" s="487"/>
      <c r="Z232" s="487"/>
      <c r="AA232" s="487"/>
      <c r="AB232" s="487"/>
      <c r="AC232" s="487"/>
      <c r="AD232" s="487"/>
      <c r="AE232" s="250"/>
      <c r="AF232" s="250"/>
      <c r="AG232" s="250"/>
      <c r="AH232" s="250"/>
      <c r="AI232" s="250"/>
      <c r="AJ232" s="250"/>
      <c r="AK232" s="250"/>
      <c r="AL232" s="250"/>
      <c r="AM232" s="250"/>
      <c r="AN232" s="250"/>
      <c r="AO232" s="250"/>
      <c r="AP232" s="250"/>
      <c r="AQ232" s="250"/>
      <c r="AR232" s="250"/>
      <c r="AS232" s="250"/>
      <c r="AT232" s="250"/>
      <c r="AU232" s="250"/>
      <c r="AV232" s="250"/>
      <c r="AW232" s="250"/>
      <c r="AX232" s="250"/>
      <c r="AY232" s="124"/>
    </row>
    <row r="233" spans="3:51" s="475" customFormat="1" x14ac:dyDescent="0.2">
      <c r="C233" s="250"/>
      <c r="D233" s="250"/>
      <c r="E233" s="250"/>
      <c r="F233" s="250"/>
      <c r="G233" s="250"/>
      <c r="H233" s="250"/>
      <c r="I233" s="250"/>
      <c r="J233" s="250"/>
      <c r="K233" s="250"/>
      <c r="L233" s="250"/>
      <c r="M233" s="250"/>
      <c r="N233" s="250"/>
      <c r="O233" s="250"/>
      <c r="P233" s="250"/>
      <c r="Q233" s="250"/>
      <c r="R233" s="250"/>
      <c r="S233" s="250"/>
      <c r="T233" s="487"/>
      <c r="U233" s="487"/>
      <c r="V233" s="487"/>
      <c r="W233" s="487"/>
      <c r="X233" s="487"/>
      <c r="Y233" s="487"/>
      <c r="Z233" s="487"/>
      <c r="AA233" s="487"/>
      <c r="AB233" s="487"/>
      <c r="AC233" s="487"/>
      <c r="AD233" s="487"/>
      <c r="AE233" s="250"/>
      <c r="AF233" s="250"/>
      <c r="AG233" s="250"/>
      <c r="AH233" s="250"/>
      <c r="AI233" s="250"/>
      <c r="AJ233" s="250"/>
      <c r="AK233" s="250"/>
      <c r="AL233" s="250"/>
      <c r="AM233" s="250"/>
      <c r="AN233" s="250"/>
      <c r="AO233" s="250"/>
      <c r="AP233" s="250"/>
      <c r="AQ233" s="250"/>
      <c r="AR233" s="250"/>
      <c r="AS233" s="250"/>
      <c r="AT233" s="250"/>
      <c r="AU233" s="250"/>
      <c r="AV233" s="250"/>
      <c r="AW233" s="250"/>
      <c r="AX233" s="250"/>
      <c r="AY233" s="124"/>
    </row>
    <row r="234" spans="3:51" s="475" customFormat="1" x14ac:dyDescent="0.2">
      <c r="C234" s="250"/>
      <c r="D234" s="250"/>
      <c r="E234" s="250"/>
      <c r="F234" s="250"/>
      <c r="G234" s="250"/>
      <c r="H234" s="250"/>
      <c r="I234" s="250"/>
      <c r="J234" s="250"/>
      <c r="K234" s="250"/>
      <c r="L234" s="250"/>
      <c r="M234" s="250"/>
      <c r="N234" s="250"/>
      <c r="O234" s="250"/>
      <c r="P234" s="250"/>
      <c r="Q234" s="250"/>
      <c r="R234" s="250"/>
      <c r="S234" s="250"/>
      <c r="T234" s="487"/>
      <c r="U234" s="487"/>
      <c r="V234" s="487"/>
      <c r="W234" s="487"/>
      <c r="X234" s="487"/>
      <c r="Y234" s="487"/>
      <c r="Z234" s="487"/>
      <c r="AA234" s="487"/>
      <c r="AB234" s="487"/>
      <c r="AC234" s="487"/>
      <c r="AD234" s="487"/>
      <c r="AE234" s="250"/>
      <c r="AF234" s="250"/>
      <c r="AG234" s="250"/>
      <c r="AH234" s="250"/>
      <c r="AI234" s="250"/>
      <c r="AJ234" s="250"/>
      <c r="AK234" s="250"/>
      <c r="AL234" s="250"/>
      <c r="AM234" s="250"/>
      <c r="AN234" s="250"/>
      <c r="AO234" s="250"/>
      <c r="AP234" s="250"/>
      <c r="AQ234" s="250"/>
      <c r="AR234" s="250"/>
      <c r="AS234" s="250"/>
      <c r="AT234" s="250"/>
      <c r="AU234" s="250"/>
      <c r="AV234" s="250"/>
      <c r="AW234" s="250"/>
      <c r="AX234" s="250"/>
      <c r="AY234" s="124"/>
    </row>
    <row r="235" spans="3:51" s="475" customFormat="1" x14ac:dyDescent="0.2">
      <c r="C235" s="250"/>
      <c r="D235" s="250"/>
      <c r="E235" s="250"/>
      <c r="F235" s="250"/>
      <c r="G235" s="250"/>
      <c r="H235" s="250"/>
      <c r="I235" s="250"/>
      <c r="J235" s="250"/>
      <c r="K235" s="250"/>
      <c r="L235" s="250"/>
      <c r="M235" s="250"/>
      <c r="N235" s="250"/>
      <c r="O235" s="250"/>
      <c r="P235" s="250"/>
      <c r="Q235" s="250"/>
      <c r="R235" s="250"/>
      <c r="S235" s="250"/>
      <c r="T235" s="487"/>
      <c r="U235" s="487"/>
      <c r="V235" s="487"/>
      <c r="W235" s="487"/>
      <c r="X235" s="487"/>
      <c r="Y235" s="487"/>
      <c r="Z235" s="487"/>
      <c r="AA235" s="487"/>
      <c r="AB235" s="487"/>
      <c r="AC235" s="487"/>
      <c r="AD235" s="487"/>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124"/>
    </row>
    <row r="236" spans="3:51" s="475" customFormat="1" x14ac:dyDescent="0.2">
      <c r="C236" s="250"/>
      <c r="D236" s="250"/>
      <c r="E236" s="250"/>
      <c r="F236" s="250"/>
      <c r="G236" s="250"/>
      <c r="H236" s="250"/>
      <c r="I236" s="250"/>
      <c r="J236" s="250"/>
      <c r="K236" s="250"/>
      <c r="L236" s="250"/>
      <c r="M236" s="250"/>
      <c r="N236" s="250"/>
      <c r="O236" s="250"/>
      <c r="P236" s="250"/>
      <c r="Q236" s="250"/>
      <c r="R236" s="250"/>
      <c r="S236" s="250"/>
      <c r="T236" s="487"/>
      <c r="U236" s="487"/>
      <c r="V236" s="487"/>
      <c r="W236" s="487"/>
      <c r="X236" s="487"/>
      <c r="Y236" s="487"/>
      <c r="Z236" s="487"/>
      <c r="AA236" s="487"/>
      <c r="AB236" s="487"/>
      <c r="AC236" s="487"/>
      <c r="AD236" s="487"/>
      <c r="AE236" s="250"/>
      <c r="AF236" s="250"/>
      <c r="AG236" s="250"/>
      <c r="AH236" s="250"/>
      <c r="AI236" s="250"/>
      <c r="AJ236" s="250"/>
      <c r="AK236" s="250"/>
      <c r="AL236" s="250"/>
      <c r="AM236" s="250"/>
      <c r="AN236" s="250"/>
      <c r="AO236" s="250"/>
      <c r="AP236" s="250"/>
      <c r="AQ236" s="250"/>
      <c r="AR236" s="250"/>
      <c r="AS236" s="250"/>
      <c r="AT236" s="250"/>
      <c r="AU236" s="250"/>
      <c r="AV236" s="250"/>
      <c r="AW236" s="250"/>
      <c r="AX236" s="250"/>
      <c r="AY236" s="124"/>
    </row>
    <row r="237" spans="3:51" s="475" customFormat="1" x14ac:dyDescent="0.2">
      <c r="C237" s="250"/>
      <c r="D237" s="250"/>
      <c r="E237" s="250"/>
      <c r="F237" s="250"/>
      <c r="G237" s="250"/>
      <c r="H237" s="250"/>
      <c r="I237" s="250"/>
      <c r="J237" s="250"/>
      <c r="K237" s="250"/>
      <c r="L237" s="250"/>
      <c r="M237" s="250"/>
      <c r="N237" s="250"/>
      <c r="O237" s="250"/>
      <c r="P237" s="250"/>
      <c r="Q237" s="250"/>
      <c r="R237" s="250"/>
      <c r="S237" s="250"/>
      <c r="T237" s="487"/>
      <c r="U237" s="487"/>
      <c r="V237" s="487"/>
      <c r="W237" s="487"/>
      <c r="X237" s="487"/>
      <c r="Y237" s="487"/>
      <c r="Z237" s="487"/>
      <c r="AA237" s="487"/>
      <c r="AB237" s="487"/>
      <c r="AC237" s="487"/>
      <c r="AD237" s="487"/>
      <c r="AE237" s="250"/>
      <c r="AF237" s="250"/>
      <c r="AG237" s="250"/>
      <c r="AH237" s="250"/>
      <c r="AI237" s="250"/>
      <c r="AJ237" s="250"/>
      <c r="AK237" s="250"/>
      <c r="AL237" s="250"/>
      <c r="AM237" s="250"/>
      <c r="AN237" s="250"/>
      <c r="AO237" s="250"/>
      <c r="AP237" s="250"/>
      <c r="AQ237" s="250"/>
      <c r="AR237" s="250"/>
      <c r="AS237" s="250"/>
      <c r="AT237" s="250"/>
      <c r="AU237" s="250"/>
      <c r="AV237" s="250"/>
      <c r="AW237" s="250"/>
      <c r="AX237" s="250"/>
      <c r="AY237" s="124"/>
    </row>
    <row r="238" spans="3:51" s="475" customFormat="1" x14ac:dyDescent="0.2">
      <c r="C238" s="250"/>
      <c r="D238" s="250"/>
      <c r="E238" s="250"/>
      <c r="F238" s="250"/>
      <c r="G238" s="250"/>
      <c r="H238" s="250"/>
      <c r="I238" s="250"/>
      <c r="J238" s="250"/>
      <c r="K238" s="250"/>
      <c r="L238" s="250"/>
      <c r="M238" s="250"/>
      <c r="N238" s="250"/>
      <c r="O238" s="250"/>
      <c r="P238" s="250"/>
      <c r="Q238" s="250"/>
      <c r="R238" s="250"/>
      <c r="S238" s="250"/>
      <c r="T238" s="487"/>
      <c r="U238" s="487"/>
      <c r="V238" s="487"/>
      <c r="W238" s="487"/>
      <c r="X238" s="487"/>
      <c r="Y238" s="487"/>
      <c r="Z238" s="487"/>
      <c r="AA238" s="487"/>
      <c r="AB238" s="487"/>
      <c r="AC238" s="487"/>
      <c r="AD238" s="487"/>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124"/>
    </row>
    <row r="239" spans="3:51" s="475" customFormat="1" x14ac:dyDescent="0.2">
      <c r="C239" s="250"/>
      <c r="D239" s="250"/>
      <c r="E239" s="250"/>
      <c r="F239" s="250"/>
      <c r="G239" s="250"/>
      <c r="H239" s="250"/>
      <c r="I239" s="250"/>
      <c r="J239" s="250"/>
      <c r="K239" s="250"/>
      <c r="L239" s="250"/>
      <c r="M239" s="250"/>
      <c r="N239" s="250"/>
      <c r="O239" s="250"/>
      <c r="P239" s="250"/>
      <c r="Q239" s="250"/>
      <c r="R239" s="250"/>
      <c r="S239" s="250"/>
      <c r="T239" s="487"/>
      <c r="U239" s="487"/>
      <c r="V239" s="487"/>
      <c r="W239" s="487"/>
      <c r="X239" s="487"/>
      <c r="Y239" s="487"/>
      <c r="Z239" s="487"/>
      <c r="AA239" s="487"/>
      <c r="AB239" s="487"/>
      <c r="AC239" s="487"/>
      <c r="AD239" s="487"/>
      <c r="AE239" s="250"/>
      <c r="AF239" s="250"/>
      <c r="AG239" s="250"/>
      <c r="AH239" s="250"/>
      <c r="AI239" s="250"/>
      <c r="AJ239" s="250"/>
      <c r="AK239" s="250"/>
      <c r="AL239" s="250"/>
      <c r="AM239" s="250"/>
      <c r="AN239" s="250"/>
      <c r="AO239" s="250"/>
      <c r="AP239" s="250"/>
      <c r="AQ239" s="250"/>
      <c r="AR239" s="250"/>
      <c r="AS239" s="250"/>
      <c r="AT239" s="250"/>
      <c r="AU239" s="250"/>
      <c r="AV239" s="250"/>
      <c r="AW239" s="250"/>
      <c r="AX239" s="250"/>
      <c r="AY239" s="124"/>
    </row>
    <row r="240" spans="3:51" s="475" customFormat="1" x14ac:dyDescent="0.2">
      <c r="C240" s="250"/>
      <c r="D240" s="250"/>
      <c r="E240" s="250"/>
      <c r="F240" s="250"/>
      <c r="G240" s="250"/>
      <c r="H240" s="250"/>
      <c r="I240" s="250"/>
      <c r="J240" s="250"/>
      <c r="K240" s="250"/>
      <c r="L240" s="250"/>
      <c r="M240" s="250"/>
      <c r="N240" s="250"/>
      <c r="O240" s="250"/>
      <c r="P240" s="250"/>
      <c r="Q240" s="250"/>
      <c r="R240" s="250"/>
      <c r="S240" s="250"/>
      <c r="T240" s="487"/>
      <c r="U240" s="487"/>
      <c r="V240" s="487"/>
      <c r="W240" s="487"/>
      <c r="X240" s="487"/>
      <c r="Y240" s="487"/>
      <c r="Z240" s="487"/>
      <c r="AA240" s="487"/>
      <c r="AB240" s="487"/>
      <c r="AC240" s="487"/>
      <c r="AD240" s="487"/>
      <c r="AE240" s="250"/>
      <c r="AF240" s="250"/>
      <c r="AG240" s="250"/>
      <c r="AH240" s="250"/>
      <c r="AI240" s="250"/>
      <c r="AJ240" s="250"/>
      <c r="AK240" s="250"/>
      <c r="AL240" s="250"/>
      <c r="AM240" s="250"/>
      <c r="AN240" s="250"/>
      <c r="AO240" s="250"/>
      <c r="AP240" s="250"/>
      <c r="AQ240" s="250"/>
      <c r="AR240" s="250"/>
      <c r="AS240" s="250"/>
      <c r="AT240" s="250"/>
      <c r="AU240" s="250"/>
      <c r="AV240" s="250"/>
      <c r="AW240" s="250"/>
      <c r="AX240" s="250"/>
      <c r="AY240" s="124"/>
    </row>
    <row r="241" spans="3:51" s="475" customFormat="1" x14ac:dyDescent="0.2">
      <c r="C241" s="250"/>
      <c r="D241" s="250"/>
      <c r="E241" s="250"/>
      <c r="F241" s="250"/>
      <c r="G241" s="250"/>
      <c r="H241" s="250"/>
      <c r="I241" s="250"/>
      <c r="J241" s="250"/>
      <c r="K241" s="250"/>
      <c r="L241" s="250"/>
      <c r="M241" s="250"/>
      <c r="N241" s="250"/>
      <c r="O241" s="250"/>
      <c r="P241" s="250"/>
      <c r="Q241" s="250"/>
      <c r="R241" s="250"/>
      <c r="S241" s="250"/>
      <c r="T241" s="487"/>
      <c r="U241" s="487"/>
      <c r="V241" s="487"/>
      <c r="W241" s="487"/>
      <c r="X241" s="487"/>
      <c r="Y241" s="487"/>
      <c r="Z241" s="487"/>
      <c r="AA241" s="487"/>
      <c r="AB241" s="487"/>
      <c r="AC241" s="487"/>
      <c r="AD241" s="487"/>
      <c r="AE241" s="250"/>
      <c r="AF241" s="250"/>
      <c r="AG241" s="250"/>
      <c r="AH241" s="250"/>
      <c r="AI241" s="250"/>
      <c r="AJ241" s="250"/>
      <c r="AK241" s="250"/>
      <c r="AL241" s="250"/>
      <c r="AM241" s="250"/>
      <c r="AN241" s="250"/>
      <c r="AO241" s="250"/>
      <c r="AP241" s="250"/>
      <c r="AQ241" s="250"/>
      <c r="AR241" s="250"/>
      <c r="AS241" s="250"/>
      <c r="AT241" s="250"/>
      <c r="AU241" s="250"/>
      <c r="AV241" s="250"/>
      <c r="AW241" s="250"/>
      <c r="AX241" s="250"/>
      <c r="AY241" s="124"/>
    </row>
    <row r="242" spans="3:51" s="475" customFormat="1" x14ac:dyDescent="0.2">
      <c r="C242" s="250"/>
      <c r="D242" s="250"/>
      <c r="E242" s="250"/>
      <c r="F242" s="250"/>
      <c r="G242" s="250"/>
      <c r="H242" s="250"/>
      <c r="I242" s="250"/>
      <c r="J242" s="250"/>
      <c r="K242" s="250"/>
      <c r="L242" s="250"/>
      <c r="M242" s="250"/>
      <c r="N242" s="250"/>
      <c r="O242" s="250"/>
      <c r="P242" s="250"/>
      <c r="Q242" s="250"/>
      <c r="R242" s="250"/>
      <c r="S242" s="250"/>
      <c r="T242" s="487"/>
      <c r="U242" s="487"/>
      <c r="V242" s="487"/>
      <c r="W242" s="487"/>
      <c r="X242" s="487"/>
      <c r="Y242" s="487"/>
      <c r="Z242" s="487"/>
      <c r="AA242" s="487"/>
      <c r="AB242" s="487"/>
      <c r="AC242" s="487"/>
      <c r="AD242" s="487"/>
      <c r="AE242" s="250"/>
      <c r="AF242" s="250"/>
      <c r="AG242" s="250"/>
      <c r="AH242" s="250"/>
      <c r="AI242" s="250"/>
      <c r="AJ242" s="250"/>
      <c r="AK242" s="250"/>
      <c r="AL242" s="250"/>
      <c r="AM242" s="250"/>
      <c r="AN242" s="250"/>
      <c r="AO242" s="250"/>
      <c r="AP242" s="250"/>
      <c r="AQ242" s="250"/>
      <c r="AR242" s="250"/>
      <c r="AS242" s="250"/>
      <c r="AT242" s="250"/>
      <c r="AU242" s="250"/>
      <c r="AV242" s="250"/>
      <c r="AW242" s="250"/>
      <c r="AX242" s="250"/>
      <c r="AY242" s="124"/>
    </row>
    <row r="243" spans="3:51" s="475" customFormat="1" x14ac:dyDescent="0.2">
      <c r="C243" s="250"/>
      <c r="D243" s="250"/>
      <c r="E243" s="250"/>
      <c r="F243" s="250"/>
      <c r="G243" s="250"/>
      <c r="H243" s="250"/>
      <c r="I243" s="250"/>
      <c r="J243" s="250"/>
      <c r="K243" s="250"/>
      <c r="L243" s="250"/>
      <c r="M243" s="250"/>
      <c r="N243" s="250"/>
      <c r="O243" s="250"/>
      <c r="P243" s="250"/>
      <c r="Q243" s="250"/>
      <c r="R243" s="250"/>
      <c r="S243" s="250"/>
      <c r="T243" s="487"/>
      <c r="U243" s="487"/>
      <c r="V243" s="487"/>
      <c r="W243" s="487"/>
      <c r="X243" s="487"/>
      <c r="Y243" s="487"/>
      <c r="Z243" s="487"/>
      <c r="AA243" s="487"/>
      <c r="AB243" s="487"/>
      <c r="AC243" s="487"/>
      <c r="AD243" s="487"/>
      <c r="AE243" s="250"/>
      <c r="AF243" s="250"/>
      <c r="AG243" s="250"/>
      <c r="AH243" s="250"/>
      <c r="AI243" s="250"/>
      <c r="AJ243" s="250"/>
      <c r="AK243" s="250"/>
      <c r="AL243" s="250"/>
      <c r="AM243" s="250"/>
      <c r="AN243" s="250"/>
      <c r="AO243" s="250"/>
      <c r="AP243" s="250"/>
      <c r="AQ243" s="250"/>
      <c r="AR243" s="250"/>
      <c r="AS243" s="250"/>
      <c r="AT243" s="250"/>
      <c r="AU243" s="250"/>
      <c r="AV243" s="250"/>
      <c r="AW243" s="250"/>
      <c r="AX243" s="250"/>
      <c r="AY243" s="124"/>
    </row>
    <row r="244" spans="3:51" s="475" customFormat="1" x14ac:dyDescent="0.2">
      <c r="C244" s="250"/>
      <c r="D244" s="250"/>
      <c r="E244" s="250"/>
      <c r="F244" s="250"/>
      <c r="G244" s="250"/>
      <c r="H244" s="250"/>
      <c r="I244" s="250"/>
      <c r="J244" s="250"/>
      <c r="K244" s="250"/>
      <c r="L244" s="250"/>
      <c r="M244" s="250"/>
      <c r="N244" s="250"/>
      <c r="O244" s="250"/>
      <c r="P244" s="250"/>
      <c r="Q244" s="250"/>
      <c r="R244" s="250"/>
      <c r="S244" s="250"/>
      <c r="T244" s="487"/>
      <c r="U244" s="487"/>
      <c r="V244" s="487"/>
      <c r="W244" s="487"/>
      <c r="X244" s="487"/>
      <c r="Y244" s="487"/>
      <c r="Z244" s="487"/>
      <c r="AA244" s="487"/>
      <c r="AB244" s="487"/>
      <c r="AC244" s="487"/>
      <c r="AD244" s="487"/>
      <c r="AE244" s="250"/>
      <c r="AF244" s="250"/>
      <c r="AG244" s="250"/>
      <c r="AH244" s="250"/>
      <c r="AI244" s="250"/>
      <c r="AJ244" s="250"/>
      <c r="AK244" s="250"/>
      <c r="AL244" s="250"/>
      <c r="AM244" s="250"/>
      <c r="AN244" s="250"/>
      <c r="AO244" s="250"/>
      <c r="AP244" s="250"/>
      <c r="AQ244" s="250"/>
      <c r="AR244" s="250"/>
      <c r="AS244" s="250"/>
      <c r="AT244" s="250"/>
      <c r="AU244" s="250"/>
      <c r="AV244" s="250"/>
      <c r="AW244" s="250"/>
      <c r="AX244" s="250"/>
      <c r="AY244" s="124"/>
    </row>
    <row r="245" spans="3:51" s="475" customFormat="1" x14ac:dyDescent="0.2">
      <c r="C245" s="250"/>
      <c r="D245" s="250"/>
      <c r="E245" s="250"/>
      <c r="F245" s="250"/>
      <c r="G245" s="250"/>
      <c r="H245" s="250"/>
      <c r="I245" s="250"/>
      <c r="J245" s="250"/>
      <c r="K245" s="250"/>
      <c r="L245" s="250"/>
      <c r="M245" s="250"/>
      <c r="N245" s="250"/>
      <c r="O245" s="250"/>
      <c r="P245" s="250"/>
      <c r="Q245" s="250"/>
      <c r="R245" s="250"/>
      <c r="S245" s="250"/>
      <c r="T245" s="487"/>
      <c r="U245" s="487"/>
      <c r="V245" s="487"/>
      <c r="W245" s="487"/>
      <c r="X245" s="487"/>
      <c r="Y245" s="487"/>
      <c r="Z245" s="487"/>
      <c r="AA245" s="487"/>
      <c r="AB245" s="487"/>
      <c r="AC245" s="487"/>
      <c r="AD245" s="487"/>
      <c r="AE245" s="250"/>
      <c r="AF245" s="250"/>
      <c r="AG245" s="250"/>
      <c r="AH245" s="250"/>
      <c r="AI245" s="250"/>
      <c r="AJ245" s="250"/>
      <c r="AK245" s="250"/>
      <c r="AL245" s="250"/>
      <c r="AM245" s="250"/>
      <c r="AN245" s="250"/>
      <c r="AO245" s="250"/>
      <c r="AP245" s="250"/>
      <c r="AQ245" s="250"/>
      <c r="AR245" s="250"/>
      <c r="AS245" s="250"/>
      <c r="AT245" s="250"/>
      <c r="AU245" s="250"/>
      <c r="AV245" s="250"/>
      <c r="AW245" s="250"/>
      <c r="AX245" s="250"/>
      <c r="AY245" s="124"/>
    </row>
    <row r="246" spans="3:51" s="475" customFormat="1" x14ac:dyDescent="0.2">
      <c r="C246" s="250"/>
      <c r="D246" s="250"/>
      <c r="E246" s="250"/>
      <c r="F246" s="250"/>
      <c r="G246" s="250"/>
      <c r="H246" s="250"/>
      <c r="I246" s="250"/>
      <c r="J246" s="250"/>
      <c r="K246" s="250"/>
      <c r="L246" s="250"/>
      <c r="M246" s="250"/>
      <c r="N246" s="250"/>
      <c r="O246" s="250"/>
      <c r="P246" s="250"/>
      <c r="Q246" s="250"/>
      <c r="R246" s="250"/>
      <c r="S246" s="250"/>
      <c r="T246" s="487"/>
      <c r="U246" s="487"/>
      <c r="V246" s="487"/>
      <c r="W246" s="487"/>
      <c r="X246" s="487"/>
      <c r="Y246" s="487"/>
      <c r="Z246" s="487"/>
      <c r="AA246" s="487"/>
      <c r="AB246" s="487"/>
      <c r="AC246" s="487"/>
      <c r="AD246" s="487"/>
      <c r="AE246" s="250"/>
      <c r="AF246" s="250"/>
      <c r="AG246" s="250"/>
      <c r="AH246" s="250"/>
      <c r="AI246" s="250"/>
      <c r="AJ246" s="250"/>
      <c r="AK246" s="250"/>
      <c r="AL246" s="250"/>
      <c r="AM246" s="250"/>
      <c r="AN246" s="250"/>
      <c r="AO246" s="250"/>
      <c r="AP246" s="250"/>
      <c r="AQ246" s="250"/>
      <c r="AR246" s="250"/>
      <c r="AS246" s="250"/>
      <c r="AT246" s="250"/>
      <c r="AU246" s="250"/>
      <c r="AV246" s="250"/>
      <c r="AW246" s="250"/>
      <c r="AX246" s="250"/>
      <c r="AY246" s="124"/>
    </row>
    <row r="247" spans="3:51" s="475" customFormat="1" x14ac:dyDescent="0.2">
      <c r="C247" s="250"/>
      <c r="D247" s="250"/>
      <c r="E247" s="250"/>
      <c r="F247" s="250"/>
      <c r="G247" s="250"/>
      <c r="H247" s="250"/>
      <c r="I247" s="250"/>
      <c r="J247" s="250"/>
      <c r="K247" s="250"/>
      <c r="L247" s="250"/>
      <c r="M247" s="250"/>
      <c r="N247" s="250"/>
      <c r="O247" s="250"/>
      <c r="P247" s="250"/>
      <c r="Q247" s="250"/>
      <c r="R247" s="250"/>
      <c r="S247" s="250"/>
      <c r="T247" s="487"/>
      <c r="U247" s="487"/>
      <c r="V247" s="487"/>
      <c r="W247" s="487"/>
      <c r="X247" s="487"/>
      <c r="Y247" s="487"/>
      <c r="Z247" s="487"/>
      <c r="AA247" s="487"/>
      <c r="AB247" s="487"/>
      <c r="AC247" s="487"/>
      <c r="AD247" s="487"/>
      <c r="AE247" s="250"/>
      <c r="AF247" s="250"/>
      <c r="AG247" s="250"/>
      <c r="AH247" s="250"/>
      <c r="AI247" s="250"/>
      <c r="AJ247" s="250"/>
      <c r="AK247" s="250"/>
      <c r="AL247" s="250"/>
      <c r="AM247" s="250"/>
      <c r="AN247" s="250"/>
      <c r="AO247" s="250"/>
      <c r="AP247" s="250"/>
      <c r="AQ247" s="250"/>
      <c r="AR247" s="250"/>
      <c r="AS247" s="250"/>
      <c r="AT247" s="250"/>
      <c r="AU247" s="250"/>
      <c r="AV247" s="250"/>
      <c r="AW247" s="250"/>
      <c r="AX247" s="250"/>
      <c r="AY247" s="124"/>
    </row>
    <row r="248" spans="3:51" s="475" customFormat="1" x14ac:dyDescent="0.2">
      <c r="C248" s="250"/>
      <c r="D248" s="250"/>
      <c r="E248" s="250"/>
      <c r="F248" s="250"/>
      <c r="G248" s="250"/>
      <c r="H248" s="250"/>
      <c r="I248" s="250"/>
      <c r="J248" s="250"/>
      <c r="K248" s="250"/>
      <c r="L248" s="250"/>
      <c r="M248" s="250"/>
      <c r="N248" s="250"/>
      <c r="O248" s="250"/>
      <c r="P248" s="250"/>
      <c r="Q248" s="250"/>
      <c r="R248" s="250"/>
      <c r="S248" s="250"/>
      <c r="T248" s="487"/>
      <c r="U248" s="487"/>
      <c r="V248" s="487"/>
      <c r="W248" s="487"/>
      <c r="X248" s="487"/>
      <c r="Y248" s="487"/>
      <c r="Z248" s="487"/>
      <c r="AA248" s="487"/>
      <c r="AB248" s="487"/>
      <c r="AC248" s="487"/>
      <c r="AD248" s="487"/>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124"/>
    </row>
    <row r="249" spans="3:51" s="475" customFormat="1" x14ac:dyDescent="0.2">
      <c r="C249" s="251"/>
      <c r="D249" s="251"/>
      <c r="E249" s="251"/>
      <c r="F249" s="251"/>
      <c r="G249" s="251"/>
      <c r="H249" s="251"/>
      <c r="I249" s="251"/>
      <c r="J249" s="251"/>
      <c r="K249" s="251"/>
      <c r="L249" s="251"/>
      <c r="M249" s="251"/>
      <c r="N249" s="251"/>
      <c r="O249" s="251"/>
      <c r="P249" s="251"/>
      <c r="Q249" s="251"/>
      <c r="R249" s="251"/>
      <c r="S249" s="251"/>
      <c r="T249" s="490"/>
      <c r="U249" s="490"/>
      <c r="V249" s="490"/>
      <c r="W249" s="490"/>
      <c r="X249" s="490"/>
      <c r="Y249" s="490"/>
      <c r="Z249" s="490"/>
      <c r="AA249" s="490"/>
      <c r="AB249" s="490"/>
      <c r="AC249" s="490"/>
      <c r="AD249" s="490"/>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125"/>
    </row>
    <row r="250" spans="3:51" s="475" customFormat="1" x14ac:dyDescent="0.2">
      <c r="T250" s="491"/>
      <c r="U250" s="491"/>
      <c r="V250" s="491"/>
      <c r="W250" s="491"/>
      <c r="X250" s="491"/>
      <c r="Y250" s="491"/>
      <c r="Z250" s="491"/>
      <c r="AA250" s="491"/>
      <c r="AB250" s="491"/>
      <c r="AC250" s="491"/>
      <c r="AD250" s="491"/>
    </row>
    <row r="251" spans="3:51" s="475" customFormat="1" x14ac:dyDescent="0.2">
      <c r="T251" s="491"/>
      <c r="U251" s="491"/>
      <c r="V251" s="491"/>
      <c r="W251" s="491"/>
      <c r="X251" s="491"/>
      <c r="Y251" s="491"/>
      <c r="Z251" s="491"/>
      <c r="AA251" s="491"/>
      <c r="AB251" s="491"/>
      <c r="AC251" s="491"/>
      <c r="AD251" s="491"/>
    </row>
    <row r="252" spans="3:51" s="475" customFormat="1" x14ac:dyDescent="0.2">
      <c r="T252" s="491"/>
      <c r="U252" s="491"/>
      <c r="V252" s="491"/>
      <c r="W252" s="491"/>
      <c r="X252" s="491"/>
      <c r="Y252" s="491"/>
      <c r="Z252" s="491"/>
      <c r="AA252" s="491"/>
      <c r="AB252" s="491"/>
      <c r="AC252" s="491"/>
      <c r="AD252" s="491"/>
    </row>
    <row r="253" spans="3:51" s="475" customFormat="1" x14ac:dyDescent="0.2">
      <c r="T253" s="491"/>
      <c r="U253" s="491"/>
      <c r="V253" s="491"/>
      <c r="W253" s="491"/>
      <c r="X253" s="491"/>
      <c r="Y253" s="491"/>
      <c r="Z253" s="491"/>
      <c r="AA253" s="491"/>
      <c r="AB253" s="491"/>
      <c r="AC253" s="491"/>
      <c r="AD253" s="491"/>
    </row>
    <row r="254" spans="3:51" s="475" customFormat="1" x14ac:dyDescent="0.2">
      <c r="T254" s="491"/>
      <c r="U254" s="491"/>
      <c r="V254" s="491"/>
      <c r="W254" s="491"/>
      <c r="X254" s="491"/>
      <c r="Y254" s="491"/>
      <c r="Z254" s="491"/>
      <c r="AA254" s="491"/>
      <c r="AB254" s="491"/>
      <c r="AC254" s="491"/>
      <c r="AD254" s="491"/>
    </row>
    <row r="255" spans="3:51" s="475" customFormat="1" x14ac:dyDescent="0.2">
      <c r="T255" s="491"/>
      <c r="U255" s="491"/>
      <c r="V255" s="491"/>
      <c r="W255" s="491"/>
      <c r="X255" s="491"/>
      <c r="Y255" s="491"/>
      <c r="Z255" s="491"/>
      <c r="AA255" s="491"/>
      <c r="AB255" s="491"/>
      <c r="AC255" s="491"/>
      <c r="AD255" s="491"/>
    </row>
    <row r="256" spans="3:51" s="475" customFormat="1" x14ac:dyDescent="0.2">
      <c r="T256" s="491"/>
      <c r="U256" s="491"/>
      <c r="V256" s="491"/>
      <c r="W256" s="491"/>
      <c r="X256" s="491"/>
      <c r="Y256" s="491"/>
      <c r="Z256" s="491"/>
      <c r="AA256" s="491"/>
      <c r="AB256" s="491"/>
      <c r="AC256" s="491"/>
      <c r="AD256" s="491"/>
    </row>
    <row r="257" spans="20:30" s="475" customFormat="1" x14ac:dyDescent="0.2">
      <c r="T257" s="491"/>
      <c r="U257" s="491"/>
      <c r="V257" s="491"/>
      <c r="W257" s="491"/>
      <c r="X257" s="491"/>
      <c r="Y257" s="491"/>
      <c r="Z257" s="491"/>
      <c r="AA257" s="491"/>
      <c r="AB257" s="491"/>
      <c r="AC257" s="491"/>
      <c r="AD257" s="491"/>
    </row>
    <row r="258" spans="20:30" s="475" customFormat="1" x14ac:dyDescent="0.2">
      <c r="T258" s="491"/>
      <c r="U258" s="491"/>
      <c r="V258" s="491"/>
      <c r="W258" s="491"/>
      <c r="X258" s="491"/>
      <c r="Y258" s="491"/>
      <c r="Z258" s="491"/>
      <c r="AA258" s="491"/>
      <c r="AB258" s="491"/>
      <c r="AC258" s="491"/>
      <c r="AD258" s="491"/>
    </row>
    <row r="259" spans="20:30" s="475" customFormat="1" x14ac:dyDescent="0.2">
      <c r="T259" s="491"/>
      <c r="U259" s="491"/>
      <c r="V259" s="491"/>
      <c r="W259" s="491"/>
      <c r="X259" s="491"/>
      <c r="Y259" s="491"/>
      <c r="Z259" s="491"/>
      <c r="AA259" s="491"/>
      <c r="AB259" s="491"/>
      <c r="AC259" s="491"/>
      <c r="AD259" s="491"/>
    </row>
    <row r="260" spans="20:30" s="475" customFormat="1" x14ac:dyDescent="0.2">
      <c r="T260" s="491"/>
      <c r="U260" s="491"/>
      <c r="V260" s="491"/>
      <c r="W260" s="491"/>
      <c r="X260" s="491"/>
      <c r="Y260" s="491"/>
      <c r="Z260" s="491"/>
      <c r="AA260" s="491"/>
      <c r="AB260" s="491"/>
      <c r="AC260" s="491"/>
      <c r="AD260" s="491"/>
    </row>
    <row r="261" spans="20:30" s="475" customFormat="1" x14ac:dyDescent="0.2">
      <c r="T261" s="491"/>
      <c r="U261" s="491"/>
      <c r="V261" s="491"/>
      <c r="W261" s="491"/>
      <c r="X261" s="491"/>
      <c r="Y261" s="491"/>
      <c r="Z261" s="491"/>
      <c r="AA261" s="491"/>
      <c r="AB261" s="491"/>
      <c r="AC261" s="491"/>
      <c r="AD261" s="491"/>
    </row>
    <row r="262" spans="20:30" s="475" customFormat="1" x14ac:dyDescent="0.2">
      <c r="T262" s="491"/>
      <c r="U262" s="491"/>
      <c r="V262" s="491"/>
      <c r="W262" s="491"/>
      <c r="X262" s="491"/>
      <c r="Y262" s="491"/>
      <c r="Z262" s="491"/>
      <c r="AA262" s="491"/>
      <c r="AB262" s="491"/>
      <c r="AC262" s="491"/>
      <c r="AD262" s="491"/>
    </row>
    <row r="263" spans="20:30" s="475" customFormat="1" x14ac:dyDescent="0.2">
      <c r="T263" s="491"/>
      <c r="U263" s="491"/>
      <c r="V263" s="491"/>
      <c r="W263" s="491"/>
      <c r="X263" s="491"/>
      <c r="Y263" s="491"/>
      <c r="Z263" s="491"/>
      <c r="AA263" s="491"/>
      <c r="AB263" s="491"/>
      <c r="AC263" s="491"/>
      <c r="AD263" s="491"/>
    </row>
    <row r="264" spans="20:30" s="475" customFormat="1" x14ac:dyDescent="0.2">
      <c r="T264" s="491"/>
      <c r="U264" s="491"/>
      <c r="V264" s="491"/>
      <c r="W264" s="491"/>
      <c r="X264" s="491"/>
      <c r="Y264" s="491"/>
      <c r="Z264" s="491"/>
      <c r="AA264" s="491"/>
      <c r="AB264" s="491"/>
      <c r="AC264" s="491"/>
      <c r="AD264" s="491"/>
    </row>
    <row r="265" spans="20:30" s="475" customFormat="1" x14ac:dyDescent="0.2">
      <c r="T265" s="491"/>
      <c r="U265" s="491"/>
      <c r="V265" s="491"/>
      <c r="W265" s="491"/>
      <c r="X265" s="491"/>
      <c r="Y265" s="491"/>
      <c r="Z265" s="491"/>
      <c r="AA265" s="491"/>
      <c r="AB265" s="491"/>
      <c r="AC265" s="491"/>
      <c r="AD265" s="491"/>
    </row>
    <row r="266" spans="20:30" s="475" customFormat="1" x14ac:dyDescent="0.2">
      <c r="T266" s="491"/>
      <c r="U266" s="491"/>
      <c r="V266" s="491"/>
      <c r="W266" s="491"/>
      <c r="X266" s="491"/>
      <c r="Y266" s="491"/>
      <c r="Z266" s="491"/>
      <c r="AA266" s="491"/>
      <c r="AB266" s="491"/>
      <c r="AC266" s="491"/>
      <c r="AD266" s="491"/>
    </row>
  </sheetData>
  <sheetProtection sheet="1" objects="1" scenarios="1"/>
  <mergeCells count="11">
    <mergeCell ref="D2:S2"/>
    <mergeCell ref="E4:F4"/>
    <mergeCell ref="G4:H4"/>
    <mergeCell ref="G14:H14"/>
    <mergeCell ref="E14:F14"/>
    <mergeCell ref="G36:H36"/>
    <mergeCell ref="E42:F42"/>
    <mergeCell ref="G42:H42"/>
    <mergeCell ref="E36:F36"/>
    <mergeCell ref="E22:F22"/>
    <mergeCell ref="G22:H22"/>
  </mergeCells>
  <phoneticPr fontId="2" type="noConversion"/>
  <dataValidations count="1">
    <dataValidation allowBlank="1" showInputMessage="1" showErrorMessage="1" promptTitle="% de COSTE" prompt="sobre el total de gastos" sqref="I4 I14 I22 I36"/>
  </dataValidations>
  <printOptions horizontalCentered="1" verticalCentered="1"/>
  <pageMargins left="0.78740157480314965" right="0.78740157480314965" top="0.98425196850393704" bottom="0.98425196850393704" header="0" footer="0"/>
  <pageSetup paperSize="9" scale="94" orientation="landscape" horizontalDpi="4294967292"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B1:CT302"/>
  <sheetViews>
    <sheetView showGridLines="0" showRowColHeaders="0" showOutlineSymbols="0" zoomScaleNormal="100" workbookViewId="0">
      <pane xSplit="99" ySplit="148" topLeftCell="CV149" activePane="bottomRight" state="frozen"/>
      <selection pane="topRight" activeCell="CU1" sqref="CU1"/>
      <selection pane="bottomLeft" activeCell="A150" sqref="A150"/>
      <selection pane="bottomRight"/>
    </sheetView>
  </sheetViews>
  <sheetFormatPr baseColWidth="10" defaultRowHeight="12.75" x14ac:dyDescent="0.2"/>
  <cols>
    <col min="1" max="1" width="0" hidden="1" customWidth="1"/>
    <col min="2" max="3" width="4.140625" style="15" customWidth="1"/>
    <col min="4" max="4" width="2.7109375" customWidth="1"/>
    <col min="5" max="5" width="15.7109375" customWidth="1"/>
    <col min="6" max="6" width="12.7109375" customWidth="1"/>
    <col min="7" max="7" width="10.7109375" customWidth="1"/>
    <col min="8" max="8" width="0.42578125" customWidth="1"/>
    <col min="9" max="20" width="5.140625" customWidth="1"/>
    <col min="21" max="21" width="0.42578125" customWidth="1"/>
    <col min="22" max="23" width="7.7109375" customWidth="1"/>
    <col min="24" max="24" width="2.7109375" customWidth="1"/>
    <col min="25" max="27" width="5.7109375" hidden="1" customWidth="1"/>
    <col min="28" max="29" width="10.7109375" hidden="1" customWidth="1"/>
    <col min="30" max="30" width="0.5703125" hidden="1" customWidth="1"/>
    <col min="31" max="31" width="0.85546875" hidden="1" customWidth="1"/>
    <col min="32" max="32" width="1.42578125" style="580" hidden="1" customWidth="1"/>
    <col min="33" max="33" width="6.7109375" style="580" customWidth="1"/>
    <col min="34" max="42" width="4.7109375" style="580" customWidth="1"/>
    <col min="43" max="62" width="4.7109375" style="577" customWidth="1"/>
    <col min="63" max="63" width="20.7109375" style="577" customWidth="1"/>
    <col min="64" max="98" width="11.42578125" style="577"/>
  </cols>
  <sheetData>
    <row r="1" spans="2:98" s="39" customFormat="1" ht="9.9499999999999993" customHeight="1" thickBot="1" x14ac:dyDescent="0.25">
      <c r="B1" s="296"/>
      <c r="C1" s="296"/>
      <c r="D1" s="296"/>
      <c r="E1" s="296"/>
      <c r="F1" s="296"/>
      <c r="G1" s="296"/>
      <c r="H1" s="296"/>
      <c r="I1" s="296"/>
      <c r="J1" s="296"/>
      <c r="K1" s="296"/>
      <c r="L1" s="296"/>
      <c r="M1" s="296"/>
      <c r="N1" s="296"/>
      <c r="O1" s="296"/>
      <c r="P1" s="296"/>
      <c r="Q1" s="296"/>
      <c r="R1" s="296"/>
      <c r="S1" s="296"/>
      <c r="T1" s="296"/>
      <c r="U1" s="296"/>
      <c r="V1" s="296"/>
      <c r="W1" s="296"/>
      <c r="X1" s="296"/>
      <c r="Y1" s="411"/>
      <c r="Z1" s="411"/>
      <c r="AA1" s="411"/>
      <c r="AB1" s="296"/>
      <c r="AC1" s="296"/>
      <c r="AD1" s="296"/>
      <c r="AE1" s="296"/>
      <c r="AF1" s="559"/>
      <c r="AG1" s="559"/>
      <c r="AH1" s="559"/>
      <c r="AI1" s="559"/>
      <c r="AJ1" s="559"/>
      <c r="AK1" s="559"/>
      <c r="AL1" s="559"/>
      <c r="AM1" s="559"/>
      <c r="AN1" s="559"/>
      <c r="AO1" s="559"/>
      <c r="AP1" s="559"/>
      <c r="AQ1" s="560"/>
      <c r="AR1" s="560"/>
      <c r="AS1" s="560"/>
      <c r="AT1" s="560"/>
      <c r="AU1" s="560"/>
      <c r="AV1" s="560"/>
      <c r="AW1" s="560"/>
      <c r="AX1" s="560"/>
      <c r="AY1" s="560"/>
      <c r="AZ1" s="560"/>
      <c r="BA1" s="560"/>
      <c r="BB1" s="560"/>
      <c r="BC1" s="560"/>
      <c r="BD1" s="560"/>
      <c r="BE1" s="560"/>
      <c r="BF1" s="560"/>
      <c r="BG1" s="560"/>
      <c r="BH1" s="560"/>
      <c r="BI1" s="564"/>
      <c r="BJ1" s="564"/>
      <c r="BK1" s="566"/>
      <c r="BL1" s="566"/>
      <c r="BM1" s="566"/>
      <c r="BN1" s="566"/>
      <c r="BO1" s="561"/>
      <c r="BP1" s="561"/>
      <c r="BQ1" s="561"/>
      <c r="BR1" s="561"/>
      <c r="BS1" s="561"/>
      <c r="BT1" s="561"/>
      <c r="BU1" s="561"/>
      <c r="BV1" s="561"/>
      <c r="BW1" s="561"/>
      <c r="BX1" s="561"/>
      <c r="BY1" s="561"/>
      <c r="BZ1" s="561"/>
      <c r="CA1" s="561"/>
      <c r="CB1" s="561"/>
      <c r="CC1" s="561"/>
      <c r="CD1" s="561"/>
      <c r="CE1" s="561"/>
      <c r="CF1" s="561"/>
      <c r="CG1" s="561"/>
      <c r="CH1" s="561"/>
      <c r="CI1" s="561"/>
      <c r="CJ1" s="561"/>
      <c r="CK1" s="561"/>
      <c r="CL1" s="561"/>
      <c r="CM1" s="561"/>
      <c r="CN1" s="561"/>
      <c r="CO1" s="561"/>
      <c r="CP1" s="561"/>
      <c r="CQ1" s="561"/>
      <c r="CR1" s="561"/>
      <c r="CS1" s="561"/>
      <c r="CT1" s="561"/>
    </row>
    <row r="2" spans="2:98" s="46" customFormat="1" ht="30" customHeight="1" thickBot="1" x14ac:dyDescent="0.25">
      <c r="B2" s="296"/>
      <c r="C2" s="296"/>
      <c r="D2" s="1457" t="s">
        <v>663</v>
      </c>
      <c r="E2" s="1458"/>
      <c r="F2" s="1458"/>
      <c r="G2" s="1458"/>
      <c r="H2" s="1458"/>
      <c r="I2" s="1458"/>
      <c r="J2" s="1458"/>
      <c r="K2" s="1458"/>
      <c r="L2" s="1458"/>
      <c r="M2" s="1458"/>
      <c r="N2" s="1458"/>
      <c r="O2" s="1458"/>
      <c r="P2" s="1458"/>
      <c r="Q2" s="1458"/>
      <c r="R2" s="1458"/>
      <c r="S2" s="1458"/>
      <c r="T2" s="1458"/>
      <c r="U2" s="1458"/>
      <c r="V2" s="1458"/>
      <c r="W2" s="1458"/>
      <c r="X2" s="1459"/>
      <c r="Y2" s="581"/>
      <c r="Z2" s="581"/>
      <c r="AA2" s="581"/>
      <c r="AB2" s="581"/>
      <c r="AC2" s="644"/>
      <c r="AD2" s="645"/>
      <c r="AE2" s="645"/>
      <c r="AF2" s="562"/>
      <c r="AG2" s="562"/>
      <c r="AH2" s="562"/>
      <c r="AI2" s="562"/>
      <c r="AJ2" s="562"/>
      <c r="AK2" s="562"/>
      <c r="AL2" s="562"/>
      <c r="AM2" s="562"/>
      <c r="AN2" s="563"/>
      <c r="AO2" s="563"/>
      <c r="AP2" s="563"/>
      <c r="AQ2" s="564"/>
      <c r="AR2" s="564"/>
      <c r="AS2" s="564"/>
      <c r="AT2" s="560"/>
      <c r="AU2" s="560"/>
      <c r="AV2" s="560"/>
      <c r="AW2" s="560"/>
      <c r="AX2" s="560"/>
      <c r="AY2" s="560"/>
      <c r="AZ2" s="560"/>
      <c r="BA2" s="560"/>
      <c r="BB2" s="560"/>
      <c r="BC2" s="560"/>
      <c r="BD2" s="560"/>
      <c r="BE2" s="560"/>
      <c r="BF2" s="560"/>
      <c r="BG2" s="560"/>
      <c r="BH2" s="560"/>
      <c r="BI2" s="564"/>
      <c r="BJ2" s="564"/>
      <c r="BK2" s="566"/>
      <c r="BL2" s="566"/>
      <c r="BM2" s="566"/>
      <c r="BN2" s="566"/>
      <c r="BO2" s="561"/>
      <c r="BP2" s="561"/>
      <c r="BQ2" s="561"/>
      <c r="BR2" s="561"/>
      <c r="BS2" s="561"/>
      <c r="BT2" s="561"/>
      <c r="BU2" s="561"/>
      <c r="BV2" s="561"/>
      <c r="BW2" s="561"/>
      <c r="BX2" s="561"/>
      <c r="BY2" s="561"/>
      <c r="BZ2" s="561"/>
      <c r="CA2" s="561"/>
      <c r="CB2" s="561"/>
      <c r="CC2" s="561"/>
      <c r="CD2" s="561"/>
      <c r="CE2" s="561"/>
      <c r="CF2" s="561"/>
      <c r="CG2" s="561"/>
      <c r="CH2" s="561"/>
      <c r="CI2" s="561"/>
      <c r="CJ2" s="561"/>
      <c r="CK2" s="561"/>
      <c r="CL2" s="561"/>
      <c r="CM2" s="561"/>
      <c r="CN2" s="561"/>
      <c r="CO2" s="561"/>
      <c r="CP2" s="561"/>
      <c r="CQ2" s="561"/>
      <c r="CR2" s="561"/>
      <c r="CS2" s="561"/>
      <c r="CT2" s="561"/>
    </row>
    <row r="3" spans="2:98" s="46" customFormat="1" ht="15" customHeight="1" x14ac:dyDescent="0.2">
      <c r="B3" s="402"/>
      <c r="C3" s="402"/>
      <c r="D3" s="1099"/>
      <c r="E3" s="1130"/>
      <c r="F3" s="1130"/>
      <c r="G3" s="1130"/>
      <c r="H3" s="1130"/>
      <c r="I3" s="1130"/>
      <c r="J3" s="1130"/>
      <c r="K3" s="1130"/>
      <c r="L3" s="1130"/>
      <c r="M3" s="1130"/>
      <c r="N3" s="1130"/>
      <c r="O3" s="1130"/>
      <c r="P3" s="1130"/>
      <c r="Q3" s="1130"/>
      <c r="R3" s="1130"/>
      <c r="S3" s="1130"/>
      <c r="T3" s="1130"/>
      <c r="U3" s="1130"/>
      <c r="V3" s="1130"/>
      <c r="W3" s="1130"/>
      <c r="X3" s="1106"/>
      <c r="Y3" s="582"/>
      <c r="Z3" s="582"/>
      <c r="AA3" s="582"/>
      <c r="AB3" s="649"/>
      <c r="AC3" s="650"/>
      <c r="AD3" s="647"/>
      <c r="AE3" s="299"/>
      <c r="AF3" s="663"/>
      <c r="AG3" s="663"/>
      <c r="AH3" s="663"/>
      <c r="AI3" s="663"/>
      <c r="AJ3" s="663"/>
      <c r="AK3" s="663"/>
      <c r="AL3" s="663"/>
      <c r="AM3" s="663"/>
      <c r="AN3" s="664"/>
      <c r="AO3" s="565"/>
      <c r="AP3" s="565"/>
      <c r="AQ3" s="566"/>
      <c r="AR3" s="566"/>
      <c r="AS3" s="566"/>
      <c r="AT3" s="561"/>
      <c r="AU3" s="561"/>
      <c r="AV3" s="561"/>
      <c r="AW3" s="561"/>
      <c r="AX3" s="561"/>
      <c r="AY3" s="561"/>
      <c r="AZ3" s="561"/>
      <c r="BA3" s="561"/>
      <c r="BB3" s="561"/>
      <c r="BC3" s="561"/>
      <c r="BD3" s="561"/>
      <c r="BE3" s="561"/>
      <c r="BF3" s="561"/>
      <c r="BG3" s="561"/>
      <c r="BH3" s="561"/>
      <c r="BI3" s="566"/>
      <c r="BJ3" s="566"/>
      <c r="BK3" s="566"/>
      <c r="BL3" s="566"/>
      <c r="BM3" s="566"/>
      <c r="BN3" s="566"/>
      <c r="BO3" s="561"/>
      <c r="BP3" s="561"/>
      <c r="BQ3" s="561"/>
      <c r="BR3" s="561"/>
      <c r="BS3" s="561"/>
      <c r="BT3" s="561"/>
      <c r="BU3" s="561"/>
      <c r="BV3" s="561"/>
      <c r="BW3" s="561"/>
      <c r="BX3" s="561"/>
      <c r="BY3" s="561"/>
      <c r="BZ3" s="561"/>
      <c r="CA3" s="561"/>
      <c r="CB3" s="561"/>
      <c r="CC3" s="561"/>
      <c r="CD3" s="561"/>
      <c r="CE3" s="561"/>
      <c r="CF3" s="561"/>
      <c r="CG3" s="561"/>
      <c r="CH3" s="561"/>
      <c r="CI3" s="561"/>
      <c r="CJ3" s="561"/>
      <c r="CK3" s="561"/>
      <c r="CL3" s="561"/>
      <c r="CM3" s="561"/>
      <c r="CN3" s="561"/>
      <c r="CO3" s="561"/>
      <c r="CP3" s="561"/>
      <c r="CQ3" s="561"/>
      <c r="CR3" s="561"/>
      <c r="CS3" s="561"/>
      <c r="CT3" s="561"/>
    </row>
    <row r="4" spans="2:98" s="46" customFormat="1" ht="12" customHeight="1" x14ac:dyDescent="0.2">
      <c r="B4" s="402"/>
      <c r="C4" s="402"/>
      <c r="D4" s="1099"/>
      <c r="E4" s="1468" t="s">
        <v>1377</v>
      </c>
      <c r="F4" s="1469"/>
      <c r="G4" s="1470"/>
      <c r="H4" s="1130"/>
      <c r="I4" s="1465" t="s">
        <v>666</v>
      </c>
      <c r="J4" s="1466"/>
      <c r="K4" s="1466"/>
      <c r="L4" s="1466"/>
      <c r="M4" s="1466"/>
      <c r="N4" s="1466"/>
      <c r="O4" s="1466"/>
      <c r="P4" s="1466"/>
      <c r="Q4" s="1466"/>
      <c r="R4" s="1466"/>
      <c r="S4" s="1466"/>
      <c r="T4" s="1467"/>
      <c r="U4" s="1130"/>
      <c r="V4" s="1460" t="s">
        <v>665</v>
      </c>
      <c r="W4" s="1461"/>
      <c r="X4" s="1106"/>
      <c r="Y4" s="582"/>
      <c r="Z4" s="582"/>
      <c r="AA4" s="582"/>
      <c r="AB4" s="651" t="s">
        <v>1378</v>
      </c>
      <c r="AC4" s="652" t="s">
        <v>1377</v>
      </c>
      <c r="AD4" s="647"/>
      <c r="AE4" s="299"/>
      <c r="AF4" s="663"/>
      <c r="AG4" s="663"/>
      <c r="AH4" s="663"/>
      <c r="AI4" s="663"/>
      <c r="AJ4" s="663"/>
      <c r="AK4" s="663"/>
      <c r="AL4" s="663"/>
      <c r="AM4" s="663"/>
      <c r="AN4" s="664"/>
      <c r="AO4" s="565"/>
      <c r="AP4" s="565"/>
      <c r="AQ4" s="566"/>
      <c r="AR4" s="566"/>
      <c r="AS4" s="566"/>
      <c r="AT4" s="561"/>
      <c r="AU4" s="561"/>
      <c r="AV4" s="561"/>
      <c r="AW4" s="561"/>
      <c r="AX4" s="561"/>
      <c r="AY4" s="561"/>
      <c r="AZ4" s="561"/>
      <c r="BA4" s="561"/>
      <c r="BB4" s="561"/>
      <c r="BC4" s="561"/>
      <c r="BD4" s="561"/>
      <c r="BE4" s="561"/>
      <c r="BF4" s="561"/>
      <c r="BG4" s="561"/>
      <c r="BH4" s="561"/>
      <c r="BI4" s="566"/>
      <c r="BJ4" s="566"/>
      <c r="BK4" s="566"/>
      <c r="BL4" s="566"/>
      <c r="BM4" s="566"/>
      <c r="BN4" s="566"/>
      <c r="BO4" s="561"/>
      <c r="BP4" s="561"/>
      <c r="BQ4" s="561"/>
      <c r="BR4" s="561"/>
      <c r="BS4" s="561"/>
      <c r="BT4" s="561"/>
      <c r="BU4" s="561"/>
      <c r="BV4" s="561"/>
      <c r="BW4" s="561"/>
      <c r="BX4" s="561"/>
      <c r="BY4" s="561"/>
      <c r="BZ4" s="561"/>
      <c r="CA4" s="561"/>
      <c r="CB4" s="561"/>
      <c r="CC4" s="561"/>
      <c r="CD4" s="561"/>
      <c r="CE4" s="561"/>
      <c r="CF4" s="561"/>
      <c r="CG4" s="561"/>
      <c r="CH4" s="561"/>
      <c r="CI4" s="561"/>
      <c r="CJ4" s="561"/>
      <c r="CK4" s="561"/>
      <c r="CL4" s="561"/>
      <c r="CM4" s="561"/>
      <c r="CN4" s="561"/>
      <c r="CO4" s="561"/>
      <c r="CP4" s="561"/>
      <c r="CQ4" s="561"/>
      <c r="CR4" s="561"/>
      <c r="CS4" s="561"/>
      <c r="CT4" s="561"/>
    </row>
    <row r="5" spans="2:98" s="77" customFormat="1" ht="11.1" customHeight="1" x14ac:dyDescent="0.15">
      <c r="B5" s="406"/>
      <c r="C5" s="406"/>
      <c r="D5" s="1099"/>
      <c r="E5" s="593" t="s">
        <v>1511</v>
      </c>
      <c r="F5" s="584" t="s">
        <v>680</v>
      </c>
      <c r="G5" s="585" t="s">
        <v>664</v>
      </c>
      <c r="H5" s="1105"/>
      <c r="I5" s="599" t="str">
        <f>SANDBOX!H252</f>
        <v>1</v>
      </c>
      <c r="J5" s="600" t="str">
        <f>SANDBOX!I252</f>
        <v>2</v>
      </c>
      <c r="K5" s="600" t="str">
        <f>SANDBOX!J252</f>
        <v>3</v>
      </c>
      <c r="L5" s="600" t="str">
        <f>SANDBOX!K252</f>
        <v>4</v>
      </c>
      <c r="M5" s="600" t="str">
        <f>SANDBOX!L252</f>
        <v>5</v>
      </c>
      <c r="N5" s="600" t="str">
        <f>SANDBOX!M252</f>
        <v>6</v>
      </c>
      <c r="O5" s="600" t="str">
        <f>SANDBOX!N252</f>
        <v>7</v>
      </c>
      <c r="P5" s="600" t="str">
        <f>SANDBOX!O252</f>
        <v>8</v>
      </c>
      <c r="Q5" s="600" t="str">
        <f>SANDBOX!P252</f>
        <v>9</v>
      </c>
      <c r="R5" s="600" t="str">
        <f>SANDBOX!Q252</f>
        <v>10</v>
      </c>
      <c r="S5" s="600" t="str">
        <f>SANDBOX!R252</f>
        <v>11</v>
      </c>
      <c r="T5" s="601" t="str">
        <f>SANDBOX!S252</f>
        <v>12</v>
      </c>
      <c r="U5" s="1105"/>
      <c r="V5" s="625" t="s">
        <v>1513</v>
      </c>
      <c r="W5" s="626" t="s">
        <v>1514</v>
      </c>
      <c r="X5" s="1102"/>
      <c r="Y5" s="583"/>
      <c r="Z5" s="583"/>
      <c r="AA5" s="583"/>
      <c r="AB5" s="653" t="s">
        <v>1517</v>
      </c>
      <c r="AC5" s="654" t="s">
        <v>1518</v>
      </c>
      <c r="AD5" s="647"/>
      <c r="AE5" s="300"/>
      <c r="AF5" s="665"/>
      <c r="AG5" s="665"/>
      <c r="AH5" s="665"/>
      <c r="AI5" s="665"/>
      <c r="AJ5" s="665"/>
      <c r="AK5" s="665"/>
      <c r="AL5" s="665"/>
      <c r="AM5" s="665"/>
      <c r="AN5" s="666"/>
      <c r="AO5" s="567"/>
      <c r="AP5" s="567"/>
      <c r="AQ5" s="568"/>
      <c r="AR5" s="568"/>
      <c r="AS5" s="568"/>
      <c r="AT5" s="569"/>
      <c r="AU5" s="569"/>
      <c r="AV5" s="569"/>
      <c r="AW5" s="569"/>
      <c r="AX5" s="569"/>
      <c r="AY5" s="569"/>
      <c r="AZ5" s="569"/>
      <c r="BA5" s="569"/>
      <c r="BB5" s="569"/>
      <c r="BC5" s="569"/>
      <c r="BD5" s="569"/>
      <c r="BE5" s="569"/>
      <c r="BF5" s="569"/>
      <c r="BG5" s="569"/>
      <c r="BH5" s="569"/>
      <c r="BI5" s="568"/>
      <c r="BJ5" s="568"/>
      <c r="BK5" s="568"/>
      <c r="BL5" s="568"/>
      <c r="BM5" s="568"/>
      <c r="BN5" s="568"/>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row>
    <row r="6" spans="2:98" s="78" customFormat="1" ht="12" x14ac:dyDescent="0.2">
      <c r="B6" s="408"/>
      <c r="C6" s="408"/>
      <c r="D6" s="1109"/>
      <c r="E6" s="586"/>
      <c r="F6" s="557"/>
      <c r="G6" s="587"/>
      <c r="H6" s="1154"/>
      <c r="I6" s="602"/>
      <c r="J6" s="557"/>
      <c r="K6" s="557"/>
      <c r="L6" s="557"/>
      <c r="M6" s="557"/>
      <c r="N6" s="557"/>
      <c r="O6" s="557"/>
      <c r="P6" s="557"/>
      <c r="Q6" s="557"/>
      <c r="R6" s="557"/>
      <c r="S6" s="557"/>
      <c r="T6" s="603"/>
      <c r="U6" s="1105"/>
      <c r="V6" s="623"/>
      <c r="W6" s="624"/>
      <c r="X6" s="1104"/>
      <c r="Y6" s="583"/>
      <c r="Z6" s="583"/>
      <c r="AA6" s="583"/>
      <c r="AB6" s="655">
        <f>SANDBOX!T255</f>
        <v>0</v>
      </c>
      <c r="AC6" s="656">
        <f>SANDBOX!U255</f>
        <v>0</v>
      </c>
      <c r="AD6" s="646"/>
      <c r="AE6" s="303"/>
      <c r="AF6" s="667"/>
      <c r="AG6" s="668" t="str">
        <f>IF(AB6+AC6=0,"",IF(F6=0,SANDBOX!$D$1091,""))</f>
        <v/>
      </c>
      <c r="AH6" s="669" t="str">
        <f>IF(AG6=SANDBOX!$D$1091,"ASIGNAR. Dato IMPRESCINDIBLE","")</f>
        <v/>
      </c>
      <c r="AI6" s="667"/>
      <c r="AJ6" s="667"/>
      <c r="AK6" s="667"/>
      <c r="AL6" s="667"/>
      <c r="AM6" s="667"/>
      <c r="AN6" s="670"/>
      <c r="AO6" s="571"/>
      <c r="AP6" s="571"/>
      <c r="AQ6" s="572"/>
      <c r="AR6" s="572"/>
      <c r="AS6" s="572"/>
      <c r="AT6" s="573"/>
      <c r="AU6" s="573"/>
      <c r="AV6" s="573"/>
      <c r="AW6" s="573"/>
      <c r="AX6" s="573"/>
      <c r="AY6" s="573"/>
      <c r="AZ6" s="573"/>
      <c r="BA6" s="573"/>
      <c r="BB6" s="573"/>
      <c r="BC6" s="573"/>
      <c r="BD6" s="573"/>
      <c r="BE6" s="573"/>
      <c r="BF6" s="573"/>
      <c r="BG6" s="573"/>
      <c r="BH6" s="573"/>
      <c r="BI6" s="572"/>
      <c r="BJ6" s="572"/>
      <c r="BK6" s="572"/>
      <c r="BL6" s="572"/>
      <c r="BM6" s="572"/>
      <c r="BN6" s="572"/>
      <c r="BO6" s="573"/>
      <c r="BP6" s="573"/>
      <c r="BQ6" s="573"/>
      <c r="BR6" s="573"/>
      <c r="BS6" s="573"/>
      <c r="BT6" s="573"/>
      <c r="BU6" s="573"/>
      <c r="BV6" s="573"/>
      <c r="BW6" s="573"/>
      <c r="BX6" s="573"/>
      <c r="BY6" s="573"/>
      <c r="BZ6" s="573"/>
      <c r="CA6" s="573"/>
      <c r="CB6" s="573"/>
      <c r="CC6" s="573"/>
      <c r="CD6" s="573"/>
      <c r="CE6" s="573"/>
      <c r="CF6" s="573"/>
      <c r="CG6" s="573"/>
      <c r="CH6" s="573"/>
      <c r="CI6" s="573"/>
      <c r="CJ6" s="573"/>
      <c r="CK6" s="573"/>
      <c r="CL6" s="573"/>
      <c r="CM6" s="573"/>
      <c r="CN6" s="573"/>
      <c r="CO6" s="573"/>
      <c r="CP6" s="573"/>
      <c r="CQ6" s="573"/>
      <c r="CR6" s="573"/>
      <c r="CS6" s="573"/>
      <c r="CT6" s="573"/>
    </row>
    <row r="7" spans="2:98" s="78" customFormat="1" ht="12" x14ac:dyDescent="0.2">
      <c r="B7" s="408"/>
      <c r="C7" s="408"/>
      <c r="D7" s="1109"/>
      <c r="E7" s="588"/>
      <c r="F7" s="558"/>
      <c r="G7" s="589"/>
      <c r="H7" s="1154"/>
      <c r="I7" s="604"/>
      <c r="J7" s="558"/>
      <c r="K7" s="558"/>
      <c r="L7" s="558"/>
      <c r="M7" s="558"/>
      <c r="N7" s="558"/>
      <c r="O7" s="558"/>
      <c r="P7" s="558"/>
      <c r="Q7" s="558"/>
      <c r="R7" s="558"/>
      <c r="S7" s="558"/>
      <c r="T7" s="605"/>
      <c r="U7" s="1105"/>
      <c r="V7" s="619"/>
      <c r="W7" s="620"/>
      <c r="X7" s="1104"/>
      <c r="Y7" s="583"/>
      <c r="Z7" s="583"/>
      <c r="AA7" s="583"/>
      <c r="AB7" s="655">
        <f>SANDBOX!T256</f>
        <v>0</v>
      </c>
      <c r="AC7" s="656">
        <f>SANDBOX!U256</f>
        <v>0</v>
      </c>
      <c r="AD7" s="646"/>
      <c r="AE7" s="303"/>
      <c r="AF7" s="667"/>
      <c r="AG7" s="668" t="str">
        <f>IF(AB7+AC7=0,"",IF(F7=0,SANDBOX!$D$1091,""))</f>
        <v/>
      </c>
      <c r="AH7" s="669" t="str">
        <f>IF(AG7=SANDBOX!$D$1091,"ASIGNAR. Dato IMPRESCINDIBLE","")</f>
        <v/>
      </c>
      <c r="AI7" s="667"/>
      <c r="AJ7" s="667"/>
      <c r="AK7" s="667"/>
      <c r="AL7" s="667"/>
      <c r="AM7" s="667"/>
      <c r="AN7" s="670"/>
      <c r="AO7" s="571"/>
      <c r="AP7" s="571"/>
      <c r="AQ7" s="572"/>
      <c r="AR7" s="572"/>
      <c r="AS7" s="572"/>
      <c r="AT7" s="573"/>
      <c r="AU7" s="573"/>
      <c r="AV7" s="573"/>
      <c r="AW7" s="573"/>
      <c r="AX7" s="573"/>
      <c r="AY7" s="573"/>
      <c r="AZ7" s="573"/>
      <c r="BA7" s="573"/>
      <c r="BB7" s="573"/>
      <c r="BC7" s="573"/>
      <c r="BD7" s="573"/>
      <c r="BE7" s="573"/>
      <c r="BF7" s="573"/>
      <c r="BG7" s="573"/>
      <c r="BH7" s="573"/>
      <c r="BI7" s="572"/>
      <c r="BJ7" s="572"/>
      <c r="BK7" s="572"/>
      <c r="BL7" s="572"/>
      <c r="BM7" s="572"/>
      <c r="BN7" s="572"/>
      <c r="BO7" s="573"/>
      <c r="BP7" s="573"/>
      <c r="BQ7" s="573"/>
      <c r="BR7" s="573"/>
      <c r="BS7" s="573"/>
      <c r="BT7" s="573"/>
      <c r="BU7" s="573"/>
      <c r="BV7" s="573"/>
      <c r="BW7" s="573"/>
      <c r="BX7" s="573"/>
      <c r="BY7" s="573"/>
      <c r="BZ7" s="573"/>
      <c r="CA7" s="573"/>
      <c r="CB7" s="573"/>
      <c r="CC7" s="573"/>
      <c r="CD7" s="573"/>
      <c r="CE7" s="573"/>
      <c r="CF7" s="573"/>
      <c r="CG7" s="573"/>
      <c r="CH7" s="573"/>
      <c r="CI7" s="573"/>
      <c r="CJ7" s="573"/>
      <c r="CK7" s="573"/>
      <c r="CL7" s="573"/>
      <c r="CM7" s="573"/>
      <c r="CN7" s="573"/>
      <c r="CO7" s="573"/>
      <c r="CP7" s="573"/>
      <c r="CQ7" s="573"/>
      <c r="CR7" s="573"/>
      <c r="CS7" s="573"/>
      <c r="CT7" s="573"/>
    </row>
    <row r="8" spans="2:98" s="78" customFormat="1" ht="12" x14ac:dyDescent="0.2">
      <c r="B8" s="408"/>
      <c r="C8" s="408"/>
      <c r="D8" s="1109"/>
      <c r="E8" s="588"/>
      <c r="F8" s="558"/>
      <c r="G8" s="589"/>
      <c r="H8" s="1154"/>
      <c r="I8" s="604"/>
      <c r="J8" s="558"/>
      <c r="K8" s="558"/>
      <c r="L8" s="558"/>
      <c r="M8" s="558"/>
      <c r="N8" s="558"/>
      <c r="O8" s="558"/>
      <c r="P8" s="558"/>
      <c r="Q8" s="558"/>
      <c r="R8" s="558"/>
      <c r="S8" s="558"/>
      <c r="T8" s="605"/>
      <c r="U8" s="1105"/>
      <c r="V8" s="619"/>
      <c r="W8" s="620"/>
      <c r="X8" s="1104"/>
      <c r="Y8" s="583"/>
      <c r="Z8" s="583"/>
      <c r="AA8" s="583"/>
      <c r="AB8" s="655">
        <f>SANDBOX!T257</f>
        <v>0</v>
      </c>
      <c r="AC8" s="656">
        <f>SANDBOX!U257</f>
        <v>0</v>
      </c>
      <c r="AD8" s="646"/>
      <c r="AE8" s="303"/>
      <c r="AF8" s="667"/>
      <c r="AG8" s="668" t="str">
        <f>IF(AB8+AC8=0,"",IF(F8=0,SANDBOX!$D$1091,""))</f>
        <v/>
      </c>
      <c r="AH8" s="669" t="str">
        <f>IF(AG8=SANDBOX!$D$1091,"ASIGNAR. Dato IMPRESCINDIBLE","")</f>
        <v/>
      </c>
      <c r="AI8" s="667"/>
      <c r="AJ8" s="667"/>
      <c r="AK8" s="667"/>
      <c r="AL8" s="667"/>
      <c r="AM8" s="667"/>
      <c r="AN8" s="670"/>
      <c r="AO8" s="571"/>
      <c r="AP8" s="571"/>
      <c r="AQ8" s="572"/>
      <c r="AR8" s="572"/>
      <c r="AS8" s="572"/>
      <c r="AT8" s="573"/>
      <c r="AU8" s="573"/>
      <c r="AV8" s="573"/>
      <c r="AW8" s="573"/>
      <c r="AX8" s="573"/>
      <c r="AY8" s="573"/>
      <c r="AZ8" s="573"/>
      <c r="BA8" s="573"/>
      <c r="BB8" s="573"/>
      <c r="BC8" s="573"/>
      <c r="BD8" s="573"/>
      <c r="BE8" s="573"/>
      <c r="BF8" s="573"/>
      <c r="BG8" s="573"/>
      <c r="BH8" s="573"/>
      <c r="BI8" s="572"/>
      <c r="BJ8" s="572"/>
      <c r="BK8" s="572"/>
      <c r="BL8" s="572"/>
      <c r="BM8" s="572"/>
      <c r="BN8" s="572"/>
      <c r="BO8" s="573"/>
      <c r="BP8" s="573"/>
      <c r="BQ8" s="573"/>
      <c r="BR8" s="573"/>
      <c r="BS8" s="573"/>
      <c r="BT8" s="573"/>
      <c r="BU8" s="573"/>
      <c r="BV8" s="573"/>
      <c r="BW8" s="573"/>
      <c r="BX8" s="573"/>
      <c r="BY8" s="573"/>
      <c r="BZ8" s="573"/>
      <c r="CA8" s="573"/>
      <c r="CB8" s="573"/>
      <c r="CC8" s="573"/>
      <c r="CD8" s="573"/>
      <c r="CE8" s="573"/>
      <c r="CF8" s="573"/>
      <c r="CG8" s="573"/>
      <c r="CH8" s="573"/>
      <c r="CI8" s="573"/>
      <c r="CJ8" s="573"/>
      <c r="CK8" s="573"/>
      <c r="CL8" s="573"/>
      <c r="CM8" s="573"/>
      <c r="CN8" s="573"/>
      <c r="CO8" s="573"/>
      <c r="CP8" s="573"/>
      <c r="CQ8" s="573"/>
      <c r="CR8" s="573"/>
      <c r="CS8" s="573"/>
      <c r="CT8" s="573"/>
    </row>
    <row r="9" spans="2:98" s="78" customFormat="1" ht="12" x14ac:dyDescent="0.2">
      <c r="B9" s="408"/>
      <c r="C9" s="408"/>
      <c r="D9" s="1109"/>
      <c r="E9" s="590"/>
      <c r="F9" s="591"/>
      <c r="G9" s="592"/>
      <c r="H9" s="1154"/>
      <c r="I9" s="606"/>
      <c r="J9" s="591"/>
      <c r="K9" s="591"/>
      <c r="L9" s="591"/>
      <c r="M9" s="591"/>
      <c r="N9" s="591"/>
      <c r="O9" s="591"/>
      <c r="P9" s="591"/>
      <c r="Q9" s="591"/>
      <c r="R9" s="591"/>
      <c r="S9" s="591"/>
      <c r="T9" s="607"/>
      <c r="U9" s="1105"/>
      <c r="V9" s="621"/>
      <c r="W9" s="622"/>
      <c r="X9" s="1104"/>
      <c r="Y9" s="583"/>
      <c r="Z9" s="583"/>
      <c r="AA9" s="583"/>
      <c r="AB9" s="655">
        <f>SANDBOX!T258</f>
        <v>0</v>
      </c>
      <c r="AC9" s="656">
        <f>SANDBOX!U258</f>
        <v>0</v>
      </c>
      <c r="AD9" s="646"/>
      <c r="AE9" s="303"/>
      <c r="AF9" s="667"/>
      <c r="AG9" s="668" t="str">
        <f>IF(AB9+AC9=0,"",IF(F9=0,SANDBOX!$D$1091,""))</f>
        <v/>
      </c>
      <c r="AH9" s="669" t="str">
        <f>IF(AG9=SANDBOX!$D$1091,"ASIGNAR. Dato IMPRESCINDIBLE","")</f>
        <v/>
      </c>
      <c r="AI9" s="667"/>
      <c r="AJ9" s="667"/>
      <c r="AK9" s="667"/>
      <c r="AL9" s="667"/>
      <c r="AM9" s="667"/>
      <c r="AN9" s="670"/>
      <c r="AO9" s="571"/>
      <c r="AP9" s="571"/>
      <c r="AQ9" s="572"/>
      <c r="AR9" s="572"/>
      <c r="AS9" s="572"/>
      <c r="AT9" s="573"/>
      <c r="AU9" s="573"/>
      <c r="AV9" s="573"/>
      <c r="AW9" s="573"/>
      <c r="AX9" s="573"/>
      <c r="AY9" s="573"/>
      <c r="AZ9" s="573"/>
      <c r="BA9" s="573"/>
      <c r="BB9" s="573"/>
      <c r="BC9" s="573"/>
      <c r="BD9" s="573"/>
      <c r="BE9" s="573"/>
      <c r="BF9" s="573"/>
      <c r="BG9" s="573"/>
      <c r="BH9" s="573"/>
      <c r="BI9" s="572"/>
      <c r="BJ9" s="572"/>
      <c r="BK9" s="572"/>
      <c r="BL9" s="572"/>
      <c r="BM9" s="572"/>
      <c r="BN9" s="572"/>
      <c r="BO9" s="573"/>
      <c r="BP9" s="573"/>
      <c r="BQ9" s="573"/>
      <c r="BR9" s="573"/>
      <c r="BS9" s="573"/>
      <c r="BT9" s="573"/>
      <c r="BU9" s="573"/>
      <c r="BV9" s="573"/>
      <c r="BW9" s="573"/>
      <c r="BX9" s="573"/>
      <c r="BY9" s="573"/>
      <c r="BZ9" s="573"/>
      <c r="CA9" s="573"/>
      <c r="CB9" s="573"/>
      <c r="CC9" s="573"/>
      <c r="CD9" s="573"/>
      <c r="CE9" s="573"/>
      <c r="CF9" s="573"/>
      <c r="CG9" s="573"/>
      <c r="CH9" s="573"/>
      <c r="CI9" s="573"/>
      <c r="CJ9" s="573"/>
      <c r="CK9" s="573"/>
      <c r="CL9" s="573"/>
      <c r="CM9" s="573"/>
      <c r="CN9" s="573"/>
      <c r="CO9" s="573"/>
      <c r="CP9" s="573"/>
      <c r="CQ9" s="573"/>
      <c r="CR9" s="573"/>
      <c r="CS9" s="573"/>
      <c r="CT9" s="573"/>
    </row>
    <row r="10" spans="2:98" s="78" customFormat="1" ht="2.1" customHeight="1" x14ac:dyDescent="0.2">
      <c r="B10" s="408"/>
      <c r="C10" s="408"/>
      <c r="D10" s="1109"/>
      <c r="E10" s="181"/>
      <c r="F10" s="181"/>
      <c r="G10" s="181"/>
      <c r="H10" s="1105"/>
      <c r="I10" s="181"/>
      <c r="J10" s="181"/>
      <c r="K10" s="181"/>
      <c r="L10" s="181"/>
      <c r="M10" s="181"/>
      <c r="N10" s="181"/>
      <c r="O10" s="181"/>
      <c r="P10" s="181"/>
      <c r="Q10" s="181"/>
      <c r="R10" s="181"/>
      <c r="S10" s="181"/>
      <c r="T10" s="181"/>
      <c r="U10" s="1105"/>
      <c r="V10" s="181"/>
      <c r="W10" s="181"/>
      <c r="X10" s="1104"/>
      <c r="Y10" s="583"/>
      <c r="Z10" s="583"/>
      <c r="AA10" s="583"/>
      <c r="AB10" s="657"/>
      <c r="AC10" s="658"/>
      <c r="AD10" s="646"/>
      <c r="AE10" s="303"/>
      <c r="AF10" s="667"/>
      <c r="AG10" s="667"/>
      <c r="AH10" s="667"/>
      <c r="AI10" s="667"/>
      <c r="AJ10" s="667"/>
      <c r="AK10" s="667"/>
      <c r="AL10" s="667"/>
      <c r="AM10" s="667"/>
      <c r="AN10" s="670"/>
      <c r="AO10" s="571"/>
      <c r="AP10" s="571"/>
      <c r="AQ10" s="572"/>
      <c r="AR10" s="572"/>
      <c r="AS10" s="572"/>
      <c r="AT10" s="573"/>
      <c r="AU10" s="573"/>
      <c r="AV10" s="573"/>
      <c r="AW10" s="573"/>
      <c r="AX10" s="573"/>
      <c r="AY10" s="573"/>
      <c r="AZ10" s="573"/>
      <c r="BA10" s="573"/>
      <c r="BB10" s="573"/>
      <c r="BC10" s="573"/>
      <c r="BD10" s="573"/>
      <c r="BE10" s="573"/>
      <c r="BF10" s="573"/>
      <c r="BG10" s="573"/>
      <c r="BH10" s="573"/>
      <c r="BI10" s="572"/>
      <c r="BJ10" s="572"/>
      <c r="BK10" s="572"/>
      <c r="BL10" s="572"/>
      <c r="BM10" s="572"/>
      <c r="BN10" s="572"/>
      <c r="BO10" s="573"/>
      <c r="BP10" s="573"/>
      <c r="BQ10" s="573"/>
      <c r="BR10" s="573"/>
      <c r="BS10" s="573"/>
      <c r="BT10" s="573"/>
      <c r="BU10" s="573"/>
      <c r="BV10" s="573"/>
      <c r="BW10" s="573"/>
      <c r="BX10" s="573"/>
      <c r="BY10" s="573"/>
      <c r="BZ10" s="573"/>
      <c r="CA10" s="573"/>
      <c r="CB10" s="573"/>
      <c r="CC10" s="573"/>
      <c r="CD10" s="573"/>
      <c r="CE10" s="573"/>
      <c r="CF10" s="573"/>
      <c r="CG10" s="573"/>
      <c r="CH10" s="573"/>
      <c r="CI10" s="573"/>
      <c r="CJ10" s="573"/>
      <c r="CK10" s="573"/>
      <c r="CL10" s="573"/>
      <c r="CM10" s="573"/>
      <c r="CN10" s="573"/>
      <c r="CO10" s="573"/>
      <c r="CP10" s="573"/>
      <c r="CQ10" s="573"/>
      <c r="CR10" s="573"/>
      <c r="CS10" s="573"/>
      <c r="CT10" s="573"/>
    </row>
    <row r="11" spans="2:98" s="78" customFormat="1" ht="11.1" customHeight="1" x14ac:dyDescent="0.2">
      <c r="B11" s="408"/>
      <c r="C11" s="408"/>
      <c r="D11" s="1109"/>
      <c r="E11" s="912" t="s">
        <v>1515</v>
      </c>
      <c r="F11" s="594" t="str">
        <f>$F$5</f>
        <v>Sección</v>
      </c>
      <c r="G11" s="595" t="s">
        <v>664</v>
      </c>
      <c r="H11" s="1105"/>
      <c r="I11" s="608" t="str">
        <f t="shared" ref="I11:AC11" si="0">I5</f>
        <v>1</v>
      </c>
      <c r="J11" s="609" t="str">
        <f t="shared" si="0"/>
        <v>2</v>
      </c>
      <c r="K11" s="609" t="str">
        <f t="shared" si="0"/>
        <v>3</v>
      </c>
      <c r="L11" s="609" t="str">
        <f t="shared" si="0"/>
        <v>4</v>
      </c>
      <c r="M11" s="609" t="str">
        <f t="shared" si="0"/>
        <v>5</v>
      </c>
      <c r="N11" s="609" t="str">
        <f t="shared" si="0"/>
        <v>6</v>
      </c>
      <c r="O11" s="609" t="str">
        <f t="shared" si="0"/>
        <v>7</v>
      </c>
      <c r="P11" s="609" t="str">
        <f t="shared" si="0"/>
        <v>8</v>
      </c>
      <c r="Q11" s="609" t="str">
        <f t="shared" si="0"/>
        <v>9</v>
      </c>
      <c r="R11" s="609" t="str">
        <f t="shared" si="0"/>
        <v>10</v>
      </c>
      <c r="S11" s="609" t="str">
        <f t="shared" si="0"/>
        <v>11</v>
      </c>
      <c r="T11" s="610" t="str">
        <f t="shared" si="0"/>
        <v>12</v>
      </c>
      <c r="U11" s="1105">
        <f t="shared" si="0"/>
        <v>0</v>
      </c>
      <c r="V11" s="615" t="s">
        <v>1513</v>
      </c>
      <c r="W11" s="616" t="s">
        <v>1514</v>
      </c>
      <c r="X11" s="1104"/>
      <c r="Y11" s="583"/>
      <c r="Z11" s="583"/>
      <c r="AA11" s="583"/>
      <c r="AB11" s="653" t="str">
        <f t="shared" si="0"/>
        <v>c. total año</v>
      </c>
      <c r="AC11" s="654" t="str">
        <f t="shared" si="0"/>
        <v>s. bruto año</v>
      </c>
      <c r="AD11" s="646"/>
      <c r="AE11" s="303"/>
      <c r="AF11" s="667"/>
      <c r="AG11" s="667"/>
      <c r="AH11" s="667"/>
      <c r="AI11" s="667"/>
      <c r="AJ11" s="667"/>
      <c r="AK11" s="667"/>
      <c r="AL11" s="667"/>
      <c r="AM11" s="667"/>
      <c r="AN11" s="670"/>
      <c r="AO11" s="571"/>
      <c r="AP11" s="571"/>
      <c r="AQ11" s="572"/>
      <c r="AR11" s="572"/>
      <c r="AS11" s="572"/>
      <c r="AT11" s="573"/>
      <c r="AU11" s="573"/>
      <c r="AV11" s="573"/>
      <c r="AW11" s="573"/>
      <c r="AX11" s="573"/>
      <c r="AY11" s="573"/>
      <c r="AZ11" s="573"/>
      <c r="BA11" s="573"/>
      <c r="BB11" s="573"/>
      <c r="BC11" s="573"/>
      <c r="BD11" s="573"/>
      <c r="BE11" s="573"/>
      <c r="BF11" s="573"/>
      <c r="BG11" s="573"/>
      <c r="BH11" s="573"/>
      <c r="BI11" s="572"/>
      <c r="BJ11" s="572"/>
      <c r="BK11" s="572"/>
      <c r="BL11" s="572"/>
      <c r="BM11" s="572"/>
      <c r="BN11" s="572"/>
      <c r="BO11" s="573"/>
      <c r="BP11" s="573"/>
      <c r="BQ11" s="573"/>
      <c r="BR11" s="573"/>
      <c r="BS11" s="573"/>
      <c r="BT11" s="573"/>
      <c r="BU11" s="573"/>
      <c r="BV11" s="573"/>
      <c r="BW11" s="573"/>
      <c r="BX11" s="573"/>
      <c r="BY11" s="573"/>
      <c r="BZ11" s="573"/>
      <c r="CA11" s="573"/>
      <c r="CB11" s="573"/>
      <c r="CC11" s="573"/>
      <c r="CD11" s="573"/>
      <c r="CE11" s="573"/>
      <c r="CF11" s="573"/>
      <c r="CG11" s="573"/>
      <c r="CH11" s="573"/>
      <c r="CI11" s="573"/>
      <c r="CJ11" s="573"/>
      <c r="CK11" s="573"/>
      <c r="CL11" s="573"/>
      <c r="CM11" s="573"/>
      <c r="CN11" s="573"/>
      <c r="CO11" s="573"/>
      <c r="CP11" s="573"/>
      <c r="CQ11" s="573"/>
      <c r="CR11" s="573"/>
      <c r="CS11" s="573"/>
      <c r="CT11" s="573"/>
    </row>
    <row r="12" spans="2:98" s="78" customFormat="1" ht="12" x14ac:dyDescent="0.2">
      <c r="B12" s="408"/>
      <c r="C12" s="408"/>
      <c r="D12" s="1109"/>
      <c r="E12" s="596"/>
      <c r="F12" s="597"/>
      <c r="G12" s="598"/>
      <c r="H12" s="1154"/>
      <c r="I12" s="611"/>
      <c r="J12" s="146"/>
      <c r="K12" s="146"/>
      <c r="L12" s="146"/>
      <c r="M12" s="146"/>
      <c r="N12" s="146"/>
      <c r="O12" s="146"/>
      <c r="P12" s="146"/>
      <c r="Q12" s="146"/>
      <c r="R12" s="146"/>
      <c r="S12" s="146"/>
      <c r="T12" s="587"/>
      <c r="U12" s="1105"/>
      <c r="V12" s="617"/>
      <c r="W12" s="618"/>
      <c r="X12" s="1104"/>
      <c r="Y12" s="583"/>
      <c r="Z12" s="583"/>
      <c r="AA12" s="583"/>
      <c r="AB12" s="655">
        <f>SANDBOX!T266</f>
        <v>0</v>
      </c>
      <c r="AC12" s="656">
        <f>SANDBOX!U266</f>
        <v>0</v>
      </c>
      <c r="AD12" s="646"/>
      <c r="AE12" s="303"/>
      <c r="AF12" s="667"/>
      <c r="AG12" s="668" t="str">
        <f>IF(AB12+AC12=0,"",IF(F12=0,SANDBOX!$D$1091,""))</f>
        <v/>
      </c>
      <c r="AH12" s="669" t="str">
        <f>IF(AG12=SANDBOX!$D$1091,"ASIGNAR. Dato IMPRESCINDIBLE","")</f>
        <v/>
      </c>
      <c r="AI12" s="667"/>
      <c r="AJ12" s="667"/>
      <c r="AK12" s="667"/>
      <c r="AL12" s="667"/>
      <c r="AM12" s="667"/>
      <c r="AN12" s="670"/>
      <c r="AO12" s="571"/>
      <c r="AP12" s="571"/>
      <c r="AQ12" s="572"/>
      <c r="AR12" s="572"/>
      <c r="AS12" s="572"/>
      <c r="AT12" s="573"/>
      <c r="AU12" s="573"/>
      <c r="AV12" s="573"/>
      <c r="AW12" s="573"/>
      <c r="AX12" s="573"/>
      <c r="AY12" s="573"/>
      <c r="AZ12" s="573"/>
      <c r="BA12" s="573"/>
      <c r="BB12" s="573"/>
      <c r="BC12" s="573"/>
      <c r="BD12" s="573"/>
      <c r="BE12" s="573"/>
      <c r="BF12" s="573"/>
      <c r="BG12" s="573"/>
      <c r="BH12" s="573"/>
      <c r="BI12" s="572"/>
      <c r="BJ12" s="572"/>
      <c r="BK12" s="572"/>
      <c r="BL12" s="572"/>
      <c r="BM12" s="572"/>
      <c r="BN12" s="572"/>
      <c r="BO12" s="573"/>
      <c r="BP12" s="573"/>
      <c r="BQ12" s="573"/>
      <c r="BR12" s="573"/>
      <c r="BS12" s="573"/>
      <c r="BT12" s="573"/>
      <c r="BU12" s="573"/>
      <c r="BV12" s="573"/>
      <c r="BW12" s="573"/>
      <c r="BX12" s="573"/>
      <c r="BY12" s="573"/>
      <c r="BZ12" s="573"/>
      <c r="CA12" s="573"/>
      <c r="CB12" s="573"/>
      <c r="CC12" s="573"/>
      <c r="CD12" s="573"/>
      <c r="CE12" s="573"/>
      <c r="CF12" s="573"/>
      <c r="CG12" s="573"/>
      <c r="CH12" s="573"/>
      <c r="CI12" s="573"/>
      <c r="CJ12" s="573"/>
      <c r="CK12" s="573"/>
      <c r="CL12" s="573"/>
      <c r="CM12" s="573"/>
      <c r="CN12" s="573"/>
      <c r="CO12" s="573"/>
      <c r="CP12" s="573"/>
      <c r="CQ12" s="573"/>
      <c r="CR12" s="573"/>
      <c r="CS12" s="573"/>
      <c r="CT12" s="573"/>
    </row>
    <row r="13" spans="2:98" s="78" customFormat="1" ht="12" x14ac:dyDescent="0.2">
      <c r="B13" s="408"/>
      <c r="C13" s="408"/>
      <c r="D13" s="1109"/>
      <c r="E13" s="588"/>
      <c r="F13" s="558"/>
      <c r="G13" s="589"/>
      <c r="H13" s="1154"/>
      <c r="I13" s="612"/>
      <c r="J13" s="147"/>
      <c r="K13" s="147"/>
      <c r="L13" s="147"/>
      <c r="M13" s="147"/>
      <c r="N13" s="147"/>
      <c r="O13" s="147"/>
      <c r="P13" s="147"/>
      <c r="Q13" s="147"/>
      <c r="R13" s="147"/>
      <c r="S13" s="147"/>
      <c r="T13" s="589"/>
      <c r="U13" s="1105"/>
      <c r="V13" s="619"/>
      <c r="W13" s="620"/>
      <c r="X13" s="1104"/>
      <c r="Y13" s="583"/>
      <c r="Z13" s="583"/>
      <c r="AA13" s="583"/>
      <c r="AB13" s="655">
        <f>SANDBOX!T267</f>
        <v>0</v>
      </c>
      <c r="AC13" s="656">
        <f>SANDBOX!U267</f>
        <v>0</v>
      </c>
      <c r="AD13" s="646"/>
      <c r="AE13" s="303"/>
      <c r="AF13" s="667"/>
      <c r="AG13" s="668" t="str">
        <f>IF(AB13+AC13=0,"",IF(F13=0,SANDBOX!$D$1091,""))</f>
        <v/>
      </c>
      <c r="AH13" s="669" t="str">
        <f>IF(AG13=SANDBOX!$D$1091,"ASIGNAR. Dato IMPRESCINDIBLE","")</f>
        <v/>
      </c>
      <c r="AI13" s="667"/>
      <c r="AJ13" s="667"/>
      <c r="AK13" s="667"/>
      <c r="AL13" s="667"/>
      <c r="AM13" s="667"/>
      <c r="AN13" s="670"/>
      <c r="AO13" s="571"/>
      <c r="AP13" s="571"/>
      <c r="AQ13" s="571"/>
      <c r="AR13" s="571"/>
      <c r="AS13" s="571"/>
      <c r="AT13" s="571"/>
      <c r="AU13" s="571"/>
      <c r="AV13" s="573"/>
      <c r="AW13" s="573"/>
      <c r="AX13" s="573"/>
      <c r="AY13" s="573"/>
      <c r="AZ13" s="573"/>
      <c r="BA13" s="573"/>
      <c r="BB13" s="573"/>
      <c r="BC13" s="573"/>
      <c r="BD13" s="573"/>
      <c r="BE13" s="573"/>
      <c r="BF13" s="573"/>
      <c r="BG13" s="573"/>
      <c r="BH13" s="573"/>
      <c r="BI13" s="572"/>
      <c r="BJ13" s="572"/>
      <c r="BK13" s="572"/>
      <c r="BL13" s="572"/>
      <c r="BM13" s="572"/>
      <c r="BN13" s="572"/>
      <c r="BO13" s="573"/>
      <c r="BP13" s="573"/>
      <c r="BQ13" s="573"/>
      <c r="BR13" s="573"/>
      <c r="BS13" s="573"/>
      <c r="BT13" s="573"/>
      <c r="BU13" s="573"/>
      <c r="BV13" s="573"/>
      <c r="BW13" s="573"/>
      <c r="BX13" s="573"/>
      <c r="BY13" s="573"/>
      <c r="BZ13" s="573"/>
      <c r="CA13" s="573"/>
      <c r="CB13" s="573"/>
      <c r="CC13" s="573"/>
      <c r="CD13" s="573"/>
      <c r="CE13" s="573"/>
      <c r="CF13" s="573"/>
      <c r="CG13" s="573"/>
      <c r="CH13" s="573"/>
      <c r="CI13" s="573"/>
      <c r="CJ13" s="573"/>
      <c r="CK13" s="573"/>
      <c r="CL13" s="573"/>
      <c r="CM13" s="573"/>
      <c r="CN13" s="573"/>
      <c r="CO13" s="573"/>
      <c r="CP13" s="573"/>
      <c r="CQ13" s="573"/>
      <c r="CR13" s="573"/>
      <c r="CS13" s="573"/>
      <c r="CT13" s="573"/>
    </row>
    <row r="14" spans="2:98" s="78" customFormat="1" ht="12" x14ac:dyDescent="0.2">
      <c r="B14" s="408"/>
      <c r="C14" s="408"/>
      <c r="D14" s="1109"/>
      <c r="E14" s="588"/>
      <c r="F14" s="558"/>
      <c r="G14" s="589"/>
      <c r="H14" s="1154"/>
      <c r="I14" s="612"/>
      <c r="J14" s="147"/>
      <c r="K14" s="147"/>
      <c r="L14" s="147"/>
      <c r="M14" s="147"/>
      <c r="N14" s="147"/>
      <c r="O14" s="147"/>
      <c r="P14" s="147"/>
      <c r="Q14" s="147"/>
      <c r="R14" s="147"/>
      <c r="S14" s="147"/>
      <c r="T14" s="589"/>
      <c r="U14" s="1105"/>
      <c r="V14" s="619"/>
      <c r="W14" s="620"/>
      <c r="X14" s="1104"/>
      <c r="Y14" s="583"/>
      <c r="Z14" s="583"/>
      <c r="AA14" s="583"/>
      <c r="AB14" s="655">
        <f>SANDBOX!T268</f>
        <v>0</v>
      </c>
      <c r="AC14" s="656">
        <f>SANDBOX!U268</f>
        <v>0</v>
      </c>
      <c r="AD14" s="434"/>
      <c r="AE14" s="303"/>
      <c r="AF14" s="667"/>
      <c r="AG14" s="668" t="str">
        <f>IF(AB14+AC14=0,"",IF(F14=0,SANDBOX!$D$1091,""))</f>
        <v/>
      </c>
      <c r="AH14" s="669" t="str">
        <f>IF(AG14=SANDBOX!$D$1091,"ASIGNAR. Dato IMPRESCINDIBLE","")</f>
        <v/>
      </c>
      <c r="AI14" s="667"/>
      <c r="AJ14" s="667"/>
      <c r="AK14" s="667"/>
      <c r="AL14" s="667"/>
      <c r="AM14" s="667"/>
      <c r="AN14" s="670"/>
      <c r="AO14" s="571"/>
      <c r="AP14" s="571"/>
      <c r="AQ14" s="571"/>
      <c r="AR14" s="571"/>
      <c r="AS14" s="571"/>
      <c r="AT14" s="571"/>
      <c r="AU14" s="571"/>
      <c r="AV14" s="573"/>
      <c r="AW14" s="573"/>
      <c r="AX14" s="573"/>
      <c r="AY14" s="573"/>
      <c r="AZ14" s="573"/>
      <c r="BA14" s="573"/>
      <c r="BB14" s="573"/>
      <c r="BC14" s="573"/>
      <c r="BD14" s="573"/>
      <c r="BE14" s="573"/>
      <c r="BF14" s="573"/>
      <c r="BG14" s="573"/>
      <c r="BH14" s="573"/>
      <c r="BI14" s="572"/>
      <c r="BJ14" s="572"/>
      <c r="BK14" s="572"/>
      <c r="BL14" s="572"/>
      <c r="BM14" s="572"/>
      <c r="BN14" s="572"/>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573"/>
      <c r="CS14" s="573"/>
      <c r="CT14" s="573"/>
    </row>
    <row r="15" spans="2:98" s="78" customFormat="1" ht="12" x14ac:dyDescent="0.2">
      <c r="B15" s="408"/>
      <c r="C15" s="408"/>
      <c r="D15" s="1109"/>
      <c r="E15" s="588"/>
      <c r="F15" s="558"/>
      <c r="G15" s="589"/>
      <c r="H15" s="1154"/>
      <c r="I15" s="612"/>
      <c r="J15" s="147"/>
      <c r="K15" s="147"/>
      <c r="L15" s="147"/>
      <c r="M15" s="147"/>
      <c r="N15" s="147"/>
      <c r="O15" s="147"/>
      <c r="P15" s="147"/>
      <c r="Q15" s="147"/>
      <c r="R15" s="147"/>
      <c r="S15" s="147"/>
      <c r="T15" s="589"/>
      <c r="U15" s="1105"/>
      <c r="V15" s="619"/>
      <c r="W15" s="620"/>
      <c r="X15" s="1104"/>
      <c r="Y15" s="583"/>
      <c r="Z15" s="583"/>
      <c r="AA15" s="583"/>
      <c r="AB15" s="655">
        <f>SANDBOX!T269</f>
        <v>0</v>
      </c>
      <c r="AC15" s="656">
        <f>SANDBOX!U269</f>
        <v>0</v>
      </c>
      <c r="AD15" s="434"/>
      <c r="AE15" s="303"/>
      <c r="AF15" s="667"/>
      <c r="AG15" s="668" t="str">
        <f>IF(AB15+AC15=0,"",IF(F15=0,SANDBOX!$D$1091,""))</f>
        <v/>
      </c>
      <c r="AH15" s="669" t="str">
        <f>IF(AG15=SANDBOX!$D$1091,"ASIGNAR. Dato IMPRESCINDIBLE","")</f>
        <v/>
      </c>
      <c r="AI15" s="667"/>
      <c r="AJ15" s="667"/>
      <c r="AK15" s="667"/>
      <c r="AL15" s="667"/>
      <c r="AM15" s="667"/>
      <c r="AN15" s="670"/>
      <c r="AO15" s="571"/>
      <c r="AP15" s="571"/>
      <c r="AQ15" s="571"/>
      <c r="AR15" s="571"/>
      <c r="AS15" s="571"/>
      <c r="AT15" s="571"/>
      <c r="AU15" s="571"/>
      <c r="AV15" s="573"/>
      <c r="AW15" s="573"/>
      <c r="AX15" s="573"/>
      <c r="AY15" s="573"/>
      <c r="AZ15" s="573"/>
      <c r="BA15" s="573"/>
      <c r="BB15" s="573"/>
      <c r="BC15" s="573"/>
      <c r="BD15" s="573"/>
      <c r="BE15" s="573"/>
      <c r="BF15" s="573"/>
      <c r="BG15" s="573"/>
      <c r="BH15" s="573"/>
      <c r="BI15" s="572"/>
      <c r="BJ15" s="572"/>
      <c r="BK15" s="572"/>
      <c r="BL15" s="572"/>
      <c r="BM15" s="572"/>
      <c r="BN15" s="572"/>
      <c r="BO15" s="573"/>
      <c r="BP15" s="573"/>
      <c r="BQ15" s="573"/>
      <c r="BR15" s="573"/>
      <c r="BS15" s="573"/>
      <c r="BT15" s="573"/>
      <c r="BU15" s="573"/>
      <c r="BV15" s="573"/>
      <c r="BW15" s="573"/>
      <c r="BX15" s="573"/>
      <c r="BY15" s="573"/>
      <c r="BZ15" s="573"/>
      <c r="CA15" s="573"/>
      <c r="CB15" s="573"/>
      <c r="CC15" s="573"/>
      <c r="CD15" s="573"/>
      <c r="CE15" s="573"/>
      <c r="CF15" s="573"/>
      <c r="CG15" s="573"/>
      <c r="CH15" s="573"/>
      <c r="CI15" s="573"/>
      <c r="CJ15" s="573"/>
      <c r="CK15" s="573"/>
      <c r="CL15" s="573"/>
      <c r="CM15" s="573"/>
      <c r="CN15" s="573"/>
      <c r="CO15" s="573"/>
      <c r="CP15" s="573"/>
      <c r="CQ15" s="573"/>
      <c r="CR15" s="573"/>
      <c r="CS15" s="573"/>
      <c r="CT15" s="573"/>
    </row>
    <row r="16" spans="2:98" s="78" customFormat="1" ht="12" x14ac:dyDescent="0.2">
      <c r="B16" s="408"/>
      <c r="C16" s="408"/>
      <c r="D16" s="1109"/>
      <c r="E16" s="588"/>
      <c r="F16" s="558"/>
      <c r="G16" s="589"/>
      <c r="H16" s="1154"/>
      <c r="I16" s="612"/>
      <c r="J16" s="147"/>
      <c r="K16" s="147"/>
      <c r="L16" s="147"/>
      <c r="M16" s="147"/>
      <c r="N16" s="147"/>
      <c r="O16" s="147"/>
      <c r="P16" s="147"/>
      <c r="Q16" s="147"/>
      <c r="R16" s="147"/>
      <c r="S16" s="147"/>
      <c r="T16" s="589"/>
      <c r="U16" s="1105"/>
      <c r="V16" s="619"/>
      <c r="W16" s="620"/>
      <c r="X16" s="1104"/>
      <c r="Y16" s="583"/>
      <c r="Z16" s="583"/>
      <c r="AA16" s="583"/>
      <c r="AB16" s="655">
        <f>SANDBOX!T270</f>
        <v>0</v>
      </c>
      <c r="AC16" s="656">
        <f>SANDBOX!U270</f>
        <v>0</v>
      </c>
      <c r="AD16" s="434"/>
      <c r="AE16" s="303"/>
      <c r="AF16" s="667"/>
      <c r="AG16" s="668" t="str">
        <f>IF(AB16+AC16=0,"",IF(F16=0,SANDBOX!$D$1091,""))</f>
        <v/>
      </c>
      <c r="AH16" s="669" t="str">
        <f>IF(AG16=SANDBOX!$D$1091,"ASIGNAR. Dato IMPRESCINDIBLE","")</f>
        <v/>
      </c>
      <c r="AI16" s="667"/>
      <c r="AJ16" s="667"/>
      <c r="AK16" s="667"/>
      <c r="AL16" s="667"/>
      <c r="AM16" s="667"/>
      <c r="AN16" s="670"/>
      <c r="AO16" s="571"/>
      <c r="AP16" s="571"/>
      <c r="AQ16" s="571"/>
      <c r="AR16" s="571"/>
      <c r="AS16" s="571"/>
      <c r="AT16" s="571"/>
      <c r="AU16" s="571"/>
      <c r="AV16" s="573"/>
      <c r="AW16" s="573"/>
      <c r="AX16" s="573"/>
      <c r="AY16" s="573"/>
      <c r="AZ16" s="573"/>
      <c r="BA16" s="573"/>
      <c r="BB16" s="573"/>
      <c r="BC16" s="573"/>
      <c r="BD16" s="573"/>
      <c r="BE16" s="573"/>
      <c r="BF16" s="573"/>
      <c r="BG16" s="573"/>
      <c r="BH16" s="573"/>
      <c r="BI16" s="572"/>
      <c r="BJ16" s="572"/>
      <c r="BK16" s="572"/>
      <c r="BL16" s="572"/>
      <c r="BM16" s="572"/>
      <c r="BN16" s="572"/>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3"/>
      <c r="CM16" s="573"/>
      <c r="CN16" s="573"/>
      <c r="CO16" s="573"/>
      <c r="CP16" s="573"/>
      <c r="CQ16" s="573"/>
      <c r="CR16" s="573"/>
      <c r="CS16" s="573"/>
      <c r="CT16" s="573"/>
    </row>
    <row r="17" spans="2:98" s="78" customFormat="1" ht="12" x14ac:dyDescent="0.2">
      <c r="B17" s="408"/>
      <c r="C17" s="408"/>
      <c r="D17" s="1109"/>
      <c r="E17" s="588"/>
      <c r="F17" s="558"/>
      <c r="G17" s="589"/>
      <c r="H17" s="1154"/>
      <c r="I17" s="612"/>
      <c r="J17" s="147"/>
      <c r="K17" s="147"/>
      <c r="L17" s="147"/>
      <c r="M17" s="147"/>
      <c r="N17" s="147"/>
      <c r="O17" s="147"/>
      <c r="P17" s="147"/>
      <c r="Q17" s="147"/>
      <c r="R17" s="147"/>
      <c r="S17" s="147"/>
      <c r="T17" s="589"/>
      <c r="U17" s="1105"/>
      <c r="V17" s="619"/>
      <c r="W17" s="620"/>
      <c r="X17" s="1104"/>
      <c r="Y17" s="583"/>
      <c r="Z17" s="583"/>
      <c r="AA17" s="583"/>
      <c r="AB17" s="655">
        <f>SANDBOX!T271</f>
        <v>0</v>
      </c>
      <c r="AC17" s="656">
        <f>SANDBOX!U271</f>
        <v>0</v>
      </c>
      <c r="AD17" s="434"/>
      <c r="AE17" s="303"/>
      <c r="AF17" s="667"/>
      <c r="AG17" s="668" t="str">
        <f>IF(AB17+AC17=0,"",IF(F17=0,SANDBOX!$D$1091,""))</f>
        <v/>
      </c>
      <c r="AH17" s="669" t="str">
        <f>IF(AG17=SANDBOX!$D$1091,"ASIGNAR. Dato IMPRESCINDIBLE","")</f>
        <v/>
      </c>
      <c r="AI17" s="667"/>
      <c r="AJ17" s="667"/>
      <c r="AK17" s="667"/>
      <c r="AL17" s="667"/>
      <c r="AM17" s="667"/>
      <c r="AN17" s="670"/>
      <c r="AO17" s="571"/>
      <c r="AP17" s="571"/>
      <c r="AQ17" s="571"/>
      <c r="AR17" s="571"/>
      <c r="AS17" s="571"/>
      <c r="AT17" s="571"/>
      <c r="AU17" s="571"/>
      <c r="AV17" s="573"/>
      <c r="AW17" s="573"/>
      <c r="AX17" s="573"/>
      <c r="AY17" s="573"/>
      <c r="AZ17" s="573"/>
      <c r="BA17" s="573"/>
      <c r="BB17" s="573"/>
      <c r="BC17" s="573"/>
      <c r="BD17" s="573"/>
      <c r="BE17" s="573"/>
      <c r="BF17" s="573"/>
      <c r="BG17" s="573"/>
      <c r="BH17" s="573"/>
      <c r="BI17" s="572"/>
      <c r="BJ17" s="572"/>
      <c r="BK17" s="572"/>
      <c r="BL17" s="572"/>
      <c r="BM17" s="572"/>
      <c r="BN17" s="572"/>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573"/>
      <c r="CS17" s="573"/>
      <c r="CT17" s="573"/>
    </row>
    <row r="18" spans="2:98" s="78" customFormat="1" ht="12" x14ac:dyDescent="0.2">
      <c r="B18" s="408"/>
      <c r="C18" s="408"/>
      <c r="D18" s="1109"/>
      <c r="E18" s="588"/>
      <c r="F18" s="558"/>
      <c r="G18" s="589"/>
      <c r="H18" s="1154"/>
      <c r="I18" s="612"/>
      <c r="J18" s="147"/>
      <c r="K18" s="147"/>
      <c r="L18" s="147"/>
      <c r="M18" s="147"/>
      <c r="N18" s="147"/>
      <c r="O18" s="147"/>
      <c r="P18" s="147"/>
      <c r="Q18" s="147"/>
      <c r="R18" s="147"/>
      <c r="S18" s="147"/>
      <c r="T18" s="589"/>
      <c r="U18" s="1105"/>
      <c r="V18" s="619"/>
      <c r="W18" s="620"/>
      <c r="X18" s="1104"/>
      <c r="Y18" s="583"/>
      <c r="Z18" s="583"/>
      <c r="AA18" s="583"/>
      <c r="AB18" s="655">
        <f>SANDBOX!T272</f>
        <v>0</v>
      </c>
      <c r="AC18" s="656">
        <f>SANDBOX!U272</f>
        <v>0</v>
      </c>
      <c r="AD18" s="434"/>
      <c r="AE18" s="303"/>
      <c r="AF18" s="667"/>
      <c r="AG18" s="668" t="str">
        <f>IF(AB18+AC18=0,"",IF(F18=0,SANDBOX!$D$1091,""))</f>
        <v/>
      </c>
      <c r="AH18" s="669" t="str">
        <f>IF(AG18=SANDBOX!$D$1091,"ASIGNAR. Dato IMPRESCINDIBLE","")</f>
        <v/>
      </c>
      <c r="AI18" s="667"/>
      <c r="AJ18" s="667"/>
      <c r="AK18" s="667"/>
      <c r="AL18" s="667"/>
      <c r="AM18" s="667"/>
      <c r="AN18" s="670"/>
      <c r="AO18" s="571"/>
      <c r="AP18" s="571"/>
      <c r="AQ18" s="571"/>
      <c r="AR18" s="571"/>
      <c r="AS18" s="571"/>
      <c r="AT18" s="571"/>
      <c r="AU18" s="571"/>
      <c r="AV18" s="573"/>
      <c r="AW18" s="573"/>
      <c r="AX18" s="573"/>
      <c r="AY18" s="573"/>
      <c r="AZ18" s="573"/>
      <c r="BA18" s="573"/>
      <c r="BB18" s="573"/>
      <c r="BC18" s="573"/>
      <c r="BD18" s="573"/>
      <c r="BE18" s="573"/>
      <c r="BF18" s="573"/>
      <c r="BG18" s="573"/>
      <c r="BH18" s="573"/>
      <c r="BI18" s="572"/>
      <c r="BJ18" s="572"/>
      <c r="BK18" s="572"/>
      <c r="BL18" s="572"/>
      <c r="BM18" s="572"/>
      <c r="BN18" s="572"/>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3"/>
      <c r="CM18" s="573"/>
      <c r="CN18" s="573"/>
      <c r="CO18" s="573"/>
      <c r="CP18" s="573"/>
      <c r="CQ18" s="573"/>
      <c r="CR18" s="573"/>
      <c r="CS18" s="573"/>
      <c r="CT18" s="573"/>
    </row>
    <row r="19" spans="2:98" s="78" customFormat="1" ht="12" x14ac:dyDescent="0.2">
      <c r="B19" s="408"/>
      <c r="C19" s="408"/>
      <c r="D19" s="1109"/>
      <c r="E19" s="588"/>
      <c r="F19" s="558"/>
      <c r="G19" s="589"/>
      <c r="H19" s="1154"/>
      <c r="I19" s="612"/>
      <c r="J19" s="147"/>
      <c r="K19" s="147"/>
      <c r="L19" s="147"/>
      <c r="M19" s="147"/>
      <c r="N19" s="147"/>
      <c r="O19" s="147"/>
      <c r="P19" s="147"/>
      <c r="Q19" s="147"/>
      <c r="R19" s="147"/>
      <c r="S19" s="147"/>
      <c r="T19" s="589"/>
      <c r="U19" s="1105"/>
      <c r="V19" s="619"/>
      <c r="W19" s="620"/>
      <c r="X19" s="1104"/>
      <c r="Y19" s="583"/>
      <c r="Z19" s="583"/>
      <c r="AA19" s="583"/>
      <c r="AB19" s="655">
        <f>SANDBOX!T273</f>
        <v>0</v>
      </c>
      <c r="AC19" s="656">
        <f>SANDBOX!U273</f>
        <v>0</v>
      </c>
      <c r="AD19" s="434"/>
      <c r="AE19" s="303"/>
      <c r="AF19" s="667"/>
      <c r="AG19" s="668" t="str">
        <f>IF(AB19+AC19=0,"",IF(F19=0,SANDBOX!$D$1091,""))</f>
        <v/>
      </c>
      <c r="AH19" s="669" t="str">
        <f>IF(AG19=SANDBOX!$D$1091,"ASIGNAR. Dato IMPRESCINDIBLE","")</f>
        <v/>
      </c>
      <c r="AI19" s="667"/>
      <c r="AJ19" s="667"/>
      <c r="AK19" s="667"/>
      <c r="AL19" s="667"/>
      <c r="AM19" s="667"/>
      <c r="AN19" s="670"/>
      <c r="AO19" s="571"/>
      <c r="AP19" s="571"/>
      <c r="AQ19" s="571"/>
      <c r="AR19" s="571"/>
      <c r="AS19" s="571"/>
      <c r="AT19" s="571"/>
      <c r="AU19" s="571"/>
      <c r="AV19" s="573"/>
      <c r="AW19" s="573"/>
      <c r="AX19" s="573"/>
      <c r="AY19" s="573"/>
      <c r="AZ19" s="573"/>
      <c r="BA19" s="573"/>
      <c r="BB19" s="573"/>
      <c r="BC19" s="573"/>
      <c r="BD19" s="573"/>
      <c r="BE19" s="573"/>
      <c r="BF19" s="573"/>
      <c r="BG19" s="573"/>
      <c r="BH19" s="573"/>
      <c r="BI19" s="572"/>
      <c r="BJ19" s="572"/>
      <c r="BK19" s="572"/>
      <c r="BL19" s="572"/>
      <c r="BM19" s="572"/>
      <c r="BN19" s="572"/>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3"/>
      <c r="CM19" s="573"/>
      <c r="CN19" s="573"/>
      <c r="CO19" s="573"/>
      <c r="CP19" s="573"/>
      <c r="CQ19" s="573"/>
      <c r="CR19" s="573"/>
      <c r="CS19" s="573"/>
      <c r="CT19" s="573"/>
    </row>
    <row r="20" spans="2:98" s="78" customFormat="1" ht="12" x14ac:dyDescent="0.2">
      <c r="B20" s="408"/>
      <c r="C20" s="408"/>
      <c r="D20" s="1109"/>
      <c r="E20" s="588"/>
      <c r="F20" s="558"/>
      <c r="G20" s="589"/>
      <c r="H20" s="1154"/>
      <c r="I20" s="612"/>
      <c r="J20" s="147"/>
      <c r="K20" s="147"/>
      <c r="L20" s="147"/>
      <c r="M20" s="147"/>
      <c r="N20" s="147"/>
      <c r="O20" s="147"/>
      <c r="P20" s="147"/>
      <c r="Q20" s="147"/>
      <c r="R20" s="147"/>
      <c r="S20" s="147"/>
      <c r="T20" s="589"/>
      <c r="U20" s="1105"/>
      <c r="V20" s="619"/>
      <c r="W20" s="620"/>
      <c r="X20" s="1104"/>
      <c r="Y20" s="583"/>
      <c r="Z20" s="583"/>
      <c r="AA20" s="583"/>
      <c r="AB20" s="655">
        <f>SANDBOX!T274</f>
        <v>0</v>
      </c>
      <c r="AC20" s="656">
        <f>SANDBOX!U274</f>
        <v>0</v>
      </c>
      <c r="AD20" s="646"/>
      <c r="AE20" s="303"/>
      <c r="AF20" s="667"/>
      <c r="AG20" s="668" t="str">
        <f>IF(AB20+AC20=0,"",IF(F20=0,SANDBOX!$D$1091,""))</f>
        <v/>
      </c>
      <c r="AH20" s="669" t="str">
        <f>IF(AG20=SANDBOX!$D$1091,"ASIGNAR. Dato IMPRESCINDIBLE","")</f>
        <v/>
      </c>
      <c r="AI20" s="667"/>
      <c r="AJ20" s="667"/>
      <c r="AK20" s="667"/>
      <c r="AL20" s="667"/>
      <c r="AM20" s="667"/>
      <c r="AN20" s="670"/>
      <c r="AO20" s="571"/>
      <c r="AP20" s="571"/>
      <c r="AQ20" s="571"/>
      <c r="AR20" s="571"/>
      <c r="AS20" s="571"/>
      <c r="AT20" s="571"/>
      <c r="AU20" s="571"/>
      <c r="AV20" s="573"/>
      <c r="AW20" s="573"/>
      <c r="AX20" s="573"/>
      <c r="AY20" s="573"/>
      <c r="AZ20" s="573"/>
      <c r="BA20" s="573"/>
      <c r="BB20" s="573"/>
      <c r="BC20" s="573"/>
      <c r="BD20" s="573"/>
      <c r="BE20" s="573"/>
      <c r="BF20" s="573"/>
      <c r="BG20" s="573"/>
      <c r="BH20" s="573"/>
      <c r="BI20" s="572"/>
      <c r="BJ20" s="572"/>
      <c r="BK20" s="572"/>
      <c r="BL20" s="572"/>
      <c r="BM20" s="572"/>
      <c r="BN20" s="572"/>
      <c r="BO20" s="573"/>
      <c r="BP20" s="573"/>
      <c r="BQ20" s="573"/>
      <c r="BR20" s="573"/>
      <c r="BS20" s="573"/>
      <c r="BT20" s="573"/>
      <c r="BU20" s="573"/>
      <c r="BV20" s="573"/>
      <c r="BW20" s="573"/>
      <c r="BX20" s="573"/>
      <c r="BY20" s="573"/>
      <c r="BZ20" s="573"/>
      <c r="CA20" s="573"/>
      <c r="CB20" s="573"/>
      <c r="CC20" s="573"/>
      <c r="CD20" s="573"/>
      <c r="CE20" s="573"/>
      <c r="CF20" s="573"/>
      <c r="CG20" s="573"/>
      <c r="CH20" s="573"/>
      <c r="CI20" s="573"/>
      <c r="CJ20" s="573"/>
      <c r="CK20" s="573"/>
      <c r="CL20" s="573"/>
      <c r="CM20" s="573"/>
      <c r="CN20" s="573"/>
      <c r="CO20" s="573"/>
      <c r="CP20" s="573"/>
      <c r="CQ20" s="573"/>
      <c r="CR20" s="573"/>
      <c r="CS20" s="573"/>
      <c r="CT20" s="573"/>
    </row>
    <row r="21" spans="2:98" s="78" customFormat="1" ht="12" x14ac:dyDescent="0.2">
      <c r="B21" s="408"/>
      <c r="C21" s="408"/>
      <c r="D21" s="1109"/>
      <c r="E21" s="590"/>
      <c r="F21" s="591"/>
      <c r="G21" s="592"/>
      <c r="H21" s="1154"/>
      <c r="I21" s="613"/>
      <c r="J21" s="614"/>
      <c r="K21" s="614"/>
      <c r="L21" s="614"/>
      <c r="M21" s="614"/>
      <c r="N21" s="614"/>
      <c r="O21" s="614"/>
      <c r="P21" s="614"/>
      <c r="Q21" s="614"/>
      <c r="R21" s="614"/>
      <c r="S21" s="614"/>
      <c r="T21" s="592"/>
      <c r="U21" s="1105"/>
      <c r="V21" s="621"/>
      <c r="W21" s="622"/>
      <c r="X21" s="1104"/>
      <c r="Y21" s="583"/>
      <c r="Z21" s="583"/>
      <c r="AA21" s="583"/>
      <c r="AB21" s="655">
        <f>SANDBOX!T275</f>
        <v>0</v>
      </c>
      <c r="AC21" s="656">
        <f>SANDBOX!U275</f>
        <v>0</v>
      </c>
      <c r="AD21" s="646"/>
      <c r="AE21" s="303"/>
      <c r="AF21" s="667"/>
      <c r="AG21" s="668" t="str">
        <f>IF(AB21+AC21=0,"",IF(F21=0,SANDBOX!$D$1091,""))</f>
        <v/>
      </c>
      <c r="AH21" s="669" t="str">
        <f>IF(AG21=SANDBOX!$D$1091,"ASIGNAR. Dato IMPRESCINDIBLE","")</f>
        <v/>
      </c>
      <c r="AI21" s="667"/>
      <c r="AJ21" s="667"/>
      <c r="AK21" s="667"/>
      <c r="AL21" s="667"/>
      <c r="AM21" s="667"/>
      <c r="AN21" s="670"/>
      <c r="AO21" s="571"/>
      <c r="AP21" s="571"/>
      <c r="AQ21" s="572"/>
      <c r="AR21" s="572"/>
      <c r="AS21" s="572"/>
      <c r="AT21" s="573"/>
      <c r="AU21" s="573"/>
      <c r="AV21" s="573"/>
      <c r="AW21" s="573"/>
      <c r="AX21" s="573"/>
      <c r="AY21" s="573"/>
      <c r="AZ21" s="573"/>
      <c r="BA21" s="573"/>
      <c r="BB21" s="573"/>
      <c r="BC21" s="573"/>
      <c r="BD21" s="573"/>
      <c r="BE21" s="573"/>
      <c r="BF21" s="573"/>
      <c r="BG21" s="573"/>
      <c r="BH21" s="573"/>
      <c r="BI21" s="572"/>
      <c r="BJ21" s="572"/>
      <c r="BK21" s="572"/>
      <c r="BL21" s="572"/>
      <c r="BM21" s="572"/>
      <c r="BN21" s="572"/>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3"/>
      <c r="CM21" s="573"/>
      <c r="CN21" s="573"/>
      <c r="CO21" s="573"/>
      <c r="CP21" s="573"/>
      <c r="CQ21" s="573"/>
      <c r="CR21" s="573"/>
      <c r="CS21" s="573"/>
      <c r="CT21" s="573"/>
    </row>
    <row r="22" spans="2:98" s="78" customFormat="1" ht="12" customHeight="1" x14ac:dyDescent="0.2">
      <c r="B22" s="408"/>
      <c r="C22" s="408"/>
      <c r="D22" s="1109"/>
      <c r="E22" s="1105"/>
      <c r="F22" s="1105"/>
      <c r="G22" s="1105"/>
      <c r="H22" s="1105"/>
      <c r="I22" s="1105"/>
      <c r="J22" s="1105"/>
      <c r="K22" s="1105"/>
      <c r="L22" s="1105"/>
      <c r="M22" s="1105"/>
      <c r="N22" s="1105"/>
      <c r="O22" s="1105"/>
      <c r="P22" s="1105"/>
      <c r="Q22" s="1105"/>
      <c r="R22" s="1105"/>
      <c r="S22" s="1105"/>
      <c r="T22" s="1105"/>
      <c r="U22" s="1105"/>
      <c r="V22" s="1105"/>
      <c r="W22" s="1105"/>
      <c r="X22" s="1104"/>
      <c r="Y22" s="583"/>
      <c r="Z22" s="583"/>
      <c r="AA22" s="583"/>
      <c r="AB22" s="657"/>
      <c r="AC22" s="658"/>
      <c r="AD22" s="646"/>
      <c r="AE22" s="303"/>
      <c r="AF22" s="667"/>
      <c r="AG22" s="667"/>
      <c r="AH22" s="667"/>
      <c r="AI22" s="667"/>
      <c r="AJ22" s="667"/>
      <c r="AK22" s="667"/>
      <c r="AL22" s="667"/>
      <c r="AM22" s="667"/>
      <c r="AN22" s="670"/>
      <c r="AO22" s="571"/>
      <c r="AP22" s="571"/>
      <c r="AQ22" s="572"/>
      <c r="AR22" s="572"/>
      <c r="AS22" s="572"/>
      <c r="AT22" s="573"/>
      <c r="AU22" s="573"/>
      <c r="AV22" s="573"/>
      <c r="AW22" s="573"/>
      <c r="AX22" s="573"/>
      <c r="AY22" s="573"/>
      <c r="AZ22" s="573"/>
      <c r="BA22" s="573"/>
      <c r="BB22" s="573"/>
      <c r="BC22" s="573"/>
      <c r="BD22" s="573"/>
      <c r="BE22" s="573"/>
      <c r="BF22" s="573"/>
      <c r="BG22" s="573"/>
      <c r="BH22" s="573"/>
      <c r="BI22" s="572"/>
      <c r="BJ22" s="572"/>
      <c r="BK22" s="572"/>
      <c r="BL22" s="572"/>
      <c r="BM22" s="572"/>
      <c r="BN22" s="572"/>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3"/>
      <c r="CM22" s="573"/>
      <c r="CN22" s="573"/>
      <c r="CO22" s="573"/>
      <c r="CP22" s="573"/>
      <c r="CQ22" s="573"/>
      <c r="CR22" s="573"/>
      <c r="CS22" s="573"/>
      <c r="CT22" s="573"/>
    </row>
    <row r="23" spans="2:98" s="78" customFormat="1" ht="12" customHeight="1" x14ac:dyDescent="0.2">
      <c r="B23" s="408"/>
      <c r="C23" s="408"/>
      <c r="D23" s="1109"/>
      <c r="E23" s="1462" t="s">
        <v>667</v>
      </c>
      <c r="F23" s="1463"/>
      <c r="G23" s="1105"/>
      <c r="H23" s="1105"/>
      <c r="I23" s="638" t="str">
        <f t="shared" ref="I23:T23" si="1">I11</f>
        <v>1</v>
      </c>
      <c r="J23" s="639" t="str">
        <f t="shared" si="1"/>
        <v>2</v>
      </c>
      <c r="K23" s="639" t="str">
        <f t="shared" si="1"/>
        <v>3</v>
      </c>
      <c r="L23" s="639" t="str">
        <f t="shared" si="1"/>
        <v>4</v>
      </c>
      <c r="M23" s="639" t="str">
        <f t="shared" si="1"/>
        <v>5</v>
      </c>
      <c r="N23" s="639" t="str">
        <f t="shared" si="1"/>
        <v>6</v>
      </c>
      <c r="O23" s="639" t="str">
        <f t="shared" si="1"/>
        <v>7</v>
      </c>
      <c r="P23" s="639" t="str">
        <f t="shared" si="1"/>
        <v>8</v>
      </c>
      <c r="Q23" s="639" t="str">
        <f t="shared" si="1"/>
        <v>9</v>
      </c>
      <c r="R23" s="639" t="str">
        <f t="shared" si="1"/>
        <v>10</v>
      </c>
      <c r="S23" s="639" t="str">
        <f t="shared" si="1"/>
        <v>11</v>
      </c>
      <c r="T23" s="640" t="str">
        <f t="shared" si="1"/>
        <v>12</v>
      </c>
      <c r="U23" s="1105"/>
      <c r="V23" s="615" t="s">
        <v>1513</v>
      </c>
      <c r="W23" s="616" t="s">
        <v>1514</v>
      </c>
      <c r="X23" s="1104"/>
      <c r="Y23" s="583"/>
      <c r="Z23" s="583"/>
      <c r="AA23" s="583"/>
      <c r="AB23" s="653" t="s">
        <v>1287</v>
      </c>
      <c r="AC23" s="654" t="s">
        <v>1288</v>
      </c>
      <c r="AD23" s="646"/>
      <c r="AE23" s="303"/>
      <c r="AF23" s="667"/>
      <c r="AG23" s="667"/>
      <c r="AH23" s="667"/>
      <c r="AI23" s="667"/>
      <c r="AJ23" s="667"/>
      <c r="AK23" s="667"/>
      <c r="AL23" s="667"/>
      <c r="AM23" s="667"/>
      <c r="AN23" s="670"/>
      <c r="AO23" s="571"/>
      <c r="AP23" s="571"/>
      <c r="AQ23" s="572"/>
      <c r="AR23" s="572"/>
      <c r="AS23" s="572"/>
      <c r="AT23" s="573"/>
      <c r="AU23" s="573"/>
      <c r="AV23" s="573"/>
      <c r="AW23" s="573"/>
      <c r="AX23" s="573"/>
      <c r="AY23" s="573"/>
      <c r="AZ23" s="573"/>
      <c r="BA23" s="573"/>
      <c r="BB23" s="573"/>
      <c r="BC23" s="573"/>
      <c r="BD23" s="573"/>
      <c r="BE23" s="573"/>
      <c r="BF23" s="573"/>
      <c r="BG23" s="573"/>
      <c r="BH23" s="573"/>
      <c r="BI23" s="572"/>
      <c r="BJ23" s="572"/>
      <c r="BK23" s="572"/>
      <c r="BL23" s="572"/>
      <c r="BM23" s="572"/>
      <c r="BN23" s="572"/>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3"/>
      <c r="CM23" s="573"/>
      <c r="CN23" s="573"/>
      <c r="CO23" s="573"/>
      <c r="CP23" s="573"/>
      <c r="CQ23" s="573"/>
      <c r="CR23" s="573"/>
      <c r="CS23" s="573"/>
      <c r="CT23" s="573"/>
    </row>
    <row r="24" spans="2:98" s="78" customFormat="1" ht="12" x14ac:dyDescent="0.2">
      <c r="B24" s="408"/>
      <c r="C24" s="408"/>
      <c r="D24" s="1109"/>
      <c r="E24" s="1332" t="s">
        <v>1511</v>
      </c>
      <c r="F24" s="629" t="s">
        <v>808</v>
      </c>
      <c r="G24" s="1105"/>
      <c r="H24" s="1154"/>
      <c r="I24" s="635"/>
      <c r="J24" s="636"/>
      <c r="K24" s="636"/>
      <c r="L24" s="636"/>
      <c r="M24" s="636"/>
      <c r="N24" s="636"/>
      <c r="O24" s="636"/>
      <c r="P24" s="636"/>
      <c r="Q24" s="636"/>
      <c r="R24" s="636"/>
      <c r="S24" s="636"/>
      <c r="T24" s="637"/>
      <c r="U24" s="1105"/>
      <c r="V24" s="617"/>
      <c r="W24" s="618"/>
      <c r="X24" s="1104"/>
      <c r="Y24" s="583"/>
      <c r="Z24" s="583"/>
      <c r="AA24" s="583"/>
      <c r="AB24" s="655">
        <f>SANDBOX!T319</f>
        <v>0</v>
      </c>
      <c r="AC24" s="656">
        <f>SANDBOX!U319</f>
        <v>0</v>
      </c>
      <c r="AD24" s="646"/>
      <c r="AE24" s="303"/>
      <c r="AF24" s="667"/>
      <c r="AG24" s="668" t="str">
        <f>IF(AB24+AC24=0,"",IF(F24=0,SANDBOX!$D$1091,""))</f>
        <v/>
      </c>
      <c r="AH24" s="669" t="str">
        <f>IF(AG24=SANDBOX!$D$1091,"ASIGNAR. Dato IMPRESCINDIBLE","")</f>
        <v/>
      </c>
      <c r="AI24" s="667"/>
      <c r="AJ24" s="667"/>
      <c r="AK24" s="667"/>
      <c r="AL24" s="667"/>
      <c r="AM24" s="667"/>
      <c r="AN24" s="670"/>
      <c r="AO24" s="571"/>
      <c r="AP24" s="571"/>
      <c r="AQ24" s="572"/>
      <c r="AR24" s="572"/>
      <c r="AS24" s="572"/>
      <c r="AT24" s="573"/>
      <c r="AU24" s="573"/>
      <c r="AV24" s="573"/>
      <c r="AW24" s="573"/>
      <c r="AX24" s="573"/>
      <c r="AY24" s="573"/>
      <c r="AZ24" s="573"/>
      <c r="BA24" s="573"/>
      <c r="BB24" s="573"/>
      <c r="BC24" s="573"/>
      <c r="BD24" s="573"/>
      <c r="BE24" s="573"/>
      <c r="BF24" s="573"/>
      <c r="BG24" s="573"/>
      <c r="BH24" s="573"/>
      <c r="BI24" s="572"/>
      <c r="BJ24" s="572"/>
      <c r="BK24" s="572"/>
      <c r="BL24" s="572"/>
      <c r="BM24" s="572"/>
      <c r="BN24" s="572"/>
      <c r="BO24" s="573"/>
      <c r="BP24" s="573"/>
      <c r="BQ24" s="573"/>
      <c r="BR24" s="573"/>
      <c r="BS24" s="573"/>
      <c r="BT24" s="573"/>
      <c r="BU24" s="573"/>
      <c r="BV24" s="573"/>
      <c r="BW24" s="573"/>
      <c r="BX24" s="573"/>
      <c r="BY24" s="573"/>
      <c r="BZ24" s="573"/>
      <c r="CA24" s="573"/>
      <c r="CB24" s="573"/>
      <c r="CC24" s="573"/>
      <c r="CD24" s="573"/>
      <c r="CE24" s="573"/>
      <c r="CF24" s="573"/>
      <c r="CG24" s="573"/>
      <c r="CH24" s="573"/>
      <c r="CI24" s="573"/>
      <c r="CJ24" s="573"/>
      <c r="CK24" s="573"/>
      <c r="CL24" s="573"/>
      <c r="CM24" s="573"/>
      <c r="CN24" s="573"/>
      <c r="CO24" s="573"/>
      <c r="CP24" s="573"/>
      <c r="CQ24" s="573"/>
      <c r="CR24" s="573"/>
      <c r="CS24" s="573"/>
      <c r="CT24" s="573"/>
    </row>
    <row r="25" spans="2:98" s="78" customFormat="1" ht="12" x14ac:dyDescent="0.2">
      <c r="B25" s="408"/>
      <c r="C25" s="408"/>
      <c r="D25" s="1109"/>
      <c r="E25" s="1330"/>
      <c r="F25" s="605" t="s">
        <v>808</v>
      </c>
      <c r="G25" s="1105"/>
      <c r="H25" s="1154"/>
      <c r="I25" s="630"/>
      <c r="J25" s="147"/>
      <c r="K25" s="147"/>
      <c r="L25" s="147"/>
      <c r="M25" s="147"/>
      <c r="N25" s="147"/>
      <c r="O25" s="147"/>
      <c r="P25" s="147"/>
      <c r="Q25" s="147"/>
      <c r="R25" s="147"/>
      <c r="S25" s="147"/>
      <c r="T25" s="631"/>
      <c r="U25" s="1105"/>
      <c r="V25" s="619"/>
      <c r="W25" s="620"/>
      <c r="X25" s="1104"/>
      <c r="Y25" s="583"/>
      <c r="Z25" s="583"/>
      <c r="AA25" s="583"/>
      <c r="AB25" s="655">
        <f>SANDBOX!T330</f>
        <v>0</v>
      </c>
      <c r="AC25" s="656">
        <f>SANDBOX!U330</f>
        <v>0</v>
      </c>
      <c r="AD25" s="646"/>
      <c r="AE25" s="303"/>
      <c r="AF25" s="667"/>
      <c r="AG25" s="668" t="str">
        <f>IF(AB25+AC25=0,"",IF(F25=0,SANDBOX!$D$1091,""))</f>
        <v/>
      </c>
      <c r="AH25" s="669" t="str">
        <f>IF(AG25=SANDBOX!$D$1091,"ASIGNAR. Dato IMPRESCINDIBLE","")</f>
        <v/>
      </c>
      <c r="AI25" s="667"/>
      <c r="AJ25" s="667"/>
      <c r="AK25" s="667"/>
      <c r="AL25" s="667"/>
      <c r="AM25" s="667"/>
      <c r="AN25" s="670"/>
      <c r="AO25" s="571"/>
      <c r="AP25" s="571"/>
      <c r="AQ25" s="572"/>
      <c r="AR25" s="572"/>
      <c r="AS25" s="572"/>
      <c r="AT25" s="573"/>
      <c r="AU25" s="573"/>
      <c r="AV25" s="573"/>
      <c r="AW25" s="573"/>
      <c r="AX25" s="573"/>
      <c r="AY25" s="573"/>
      <c r="AZ25" s="573"/>
      <c r="BA25" s="573"/>
      <c r="BB25" s="573"/>
      <c r="BC25" s="573"/>
      <c r="BD25" s="573"/>
      <c r="BE25" s="573"/>
      <c r="BF25" s="573"/>
      <c r="BG25" s="573"/>
      <c r="BH25" s="573"/>
      <c r="BI25" s="572"/>
      <c r="BJ25" s="572"/>
      <c r="BK25" s="572"/>
      <c r="BL25" s="572"/>
      <c r="BM25" s="572"/>
      <c r="BN25" s="572"/>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3"/>
      <c r="CM25" s="573"/>
      <c r="CN25" s="573"/>
      <c r="CO25" s="573"/>
      <c r="CP25" s="573"/>
      <c r="CQ25" s="573"/>
      <c r="CR25" s="573"/>
      <c r="CS25" s="573"/>
      <c r="CT25" s="573"/>
    </row>
    <row r="26" spans="2:98" s="78" customFormat="1" ht="12" x14ac:dyDescent="0.2">
      <c r="B26" s="408"/>
      <c r="C26" s="408"/>
      <c r="D26" s="1109"/>
      <c r="E26" s="1331"/>
      <c r="F26" s="607"/>
      <c r="G26" s="1105"/>
      <c r="H26" s="1154"/>
      <c r="I26" s="632"/>
      <c r="J26" s="633"/>
      <c r="K26" s="633"/>
      <c r="L26" s="633"/>
      <c r="M26" s="633"/>
      <c r="N26" s="633"/>
      <c r="O26" s="633"/>
      <c r="P26" s="633"/>
      <c r="Q26" s="633"/>
      <c r="R26" s="633"/>
      <c r="S26" s="633"/>
      <c r="T26" s="634"/>
      <c r="U26" s="1105"/>
      <c r="V26" s="621"/>
      <c r="W26" s="622"/>
      <c r="X26" s="1104"/>
      <c r="Y26" s="583"/>
      <c r="Z26" s="583"/>
      <c r="AA26" s="583"/>
      <c r="AB26" s="655">
        <f>SANDBOX!T331</f>
        <v>0</v>
      </c>
      <c r="AC26" s="656">
        <f>SANDBOX!U331</f>
        <v>0</v>
      </c>
      <c r="AD26" s="646"/>
      <c r="AE26" s="303"/>
      <c r="AF26" s="667"/>
      <c r="AG26" s="668" t="str">
        <f>IF(AB26+AC26=0,"",IF(F26=0,SANDBOX!$D$1091,""))</f>
        <v/>
      </c>
      <c r="AH26" s="669" t="str">
        <f>IF(AG26=SANDBOX!$D$1091,"ASIGNAR. Dato IMPRESCINDIBLE","")</f>
        <v/>
      </c>
      <c r="AI26" s="667"/>
      <c r="AJ26" s="667"/>
      <c r="AK26" s="667"/>
      <c r="AL26" s="667"/>
      <c r="AM26" s="667"/>
      <c r="AN26" s="670"/>
      <c r="AO26" s="571"/>
      <c r="AP26" s="571"/>
      <c r="AQ26" s="572"/>
      <c r="AR26" s="572"/>
      <c r="AS26" s="572"/>
      <c r="AT26" s="573"/>
      <c r="AU26" s="573"/>
      <c r="AV26" s="573"/>
      <c r="AW26" s="573"/>
      <c r="AX26" s="573"/>
      <c r="AY26" s="573"/>
      <c r="AZ26" s="573"/>
      <c r="BA26" s="573"/>
      <c r="BB26" s="573"/>
      <c r="BC26" s="573"/>
      <c r="BD26" s="573"/>
      <c r="BE26" s="573"/>
      <c r="BF26" s="573"/>
      <c r="BG26" s="573"/>
      <c r="BH26" s="573"/>
      <c r="BI26" s="572"/>
      <c r="BJ26" s="572"/>
      <c r="BK26" s="572"/>
      <c r="BL26" s="572"/>
      <c r="BM26" s="572"/>
      <c r="BN26" s="572"/>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3"/>
      <c r="CM26" s="573"/>
      <c r="CN26" s="573"/>
      <c r="CO26" s="573"/>
      <c r="CP26" s="573"/>
      <c r="CQ26" s="573"/>
      <c r="CR26" s="573"/>
      <c r="CS26" s="573"/>
      <c r="CT26" s="573"/>
    </row>
    <row r="27" spans="2:98" s="78" customFormat="1" ht="12" customHeight="1" x14ac:dyDescent="0.2">
      <c r="B27" s="408"/>
      <c r="C27" s="408"/>
      <c r="D27" s="1109"/>
      <c r="E27" s="1105"/>
      <c r="F27" s="1105"/>
      <c r="G27" s="1105"/>
      <c r="H27" s="1105"/>
      <c r="I27" s="1105"/>
      <c r="J27" s="1105"/>
      <c r="K27" s="1105"/>
      <c r="L27" s="1105"/>
      <c r="M27" s="1105"/>
      <c r="N27" s="1105"/>
      <c r="O27" s="1105"/>
      <c r="P27" s="1105"/>
      <c r="Q27" s="1105"/>
      <c r="R27" s="1105"/>
      <c r="S27" s="1105"/>
      <c r="T27" s="1105"/>
      <c r="U27" s="1105"/>
      <c r="V27" s="1105"/>
      <c r="W27" s="1105"/>
      <c r="X27" s="1104"/>
      <c r="Y27" s="583"/>
      <c r="Z27" s="583"/>
      <c r="AA27" s="583"/>
      <c r="AB27" s="659"/>
      <c r="AC27" s="660"/>
      <c r="AD27" s="646"/>
      <c r="AE27" s="303"/>
      <c r="AF27" s="667"/>
      <c r="AG27" s="667"/>
      <c r="AH27" s="667"/>
      <c r="AI27" s="667"/>
      <c r="AJ27" s="667"/>
      <c r="AK27" s="667"/>
      <c r="AL27" s="667"/>
      <c r="AM27" s="667"/>
      <c r="AN27" s="670"/>
      <c r="AO27" s="571"/>
      <c r="AP27" s="571"/>
      <c r="AQ27" s="572"/>
      <c r="AR27" s="572"/>
      <c r="AS27" s="572"/>
      <c r="AT27" s="573"/>
      <c r="AU27" s="573"/>
      <c r="AV27" s="573"/>
      <c r="AW27" s="573"/>
      <c r="AX27" s="573"/>
      <c r="AY27" s="573"/>
      <c r="AZ27" s="573"/>
      <c r="BA27" s="573"/>
      <c r="BB27" s="573"/>
      <c r="BC27" s="573"/>
      <c r="BD27" s="573"/>
      <c r="BE27" s="573"/>
      <c r="BF27" s="573"/>
      <c r="BG27" s="573"/>
      <c r="BH27" s="573"/>
      <c r="BI27" s="572"/>
      <c r="BJ27" s="572"/>
      <c r="BK27" s="572"/>
      <c r="BL27" s="572"/>
      <c r="BM27" s="572"/>
      <c r="BN27" s="572"/>
      <c r="BO27" s="573"/>
      <c r="BP27" s="573"/>
      <c r="BQ27" s="573"/>
      <c r="BR27" s="573"/>
      <c r="BS27" s="573"/>
      <c r="BT27" s="573"/>
      <c r="BU27" s="573"/>
      <c r="BV27" s="573"/>
      <c r="BW27" s="573"/>
      <c r="BX27" s="573"/>
      <c r="BY27" s="573"/>
      <c r="BZ27" s="573"/>
      <c r="CA27" s="573"/>
      <c r="CB27" s="573"/>
      <c r="CC27" s="573"/>
      <c r="CD27" s="573"/>
      <c r="CE27" s="573"/>
      <c r="CF27" s="573"/>
      <c r="CG27" s="573"/>
      <c r="CH27" s="573"/>
      <c r="CI27" s="573"/>
      <c r="CJ27" s="573"/>
      <c r="CK27" s="573"/>
      <c r="CL27" s="573"/>
      <c r="CM27" s="573"/>
      <c r="CN27" s="573"/>
      <c r="CO27" s="573"/>
      <c r="CP27" s="573"/>
      <c r="CQ27" s="573"/>
      <c r="CR27" s="573"/>
      <c r="CS27" s="573"/>
      <c r="CT27" s="573"/>
    </row>
    <row r="28" spans="2:98" s="78" customFormat="1" ht="12" customHeight="1" x14ac:dyDescent="0.2">
      <c r="B28" s="408"/>
      <c r="C28" s="408"/>
      <c r="D28" s="1109"/>
      <c r="E28" s="1462" t="s">
        <v>1516</v>
      </c>
      <c r="F28" s="1463"/>
      <c r="G28" s="641" t="s">
        <v>833</v>
      </c>
      <c r="H28" s="1069"/>
      <c r="I28" s="1105"/>
      <c r="J28" s="1105"/>
      <c r="K28" s="1105"/>
      <c r="L28" s="1105"/>
      <c r="M28" s="1105"/>
      <c r="N28" s="1105"/>
      <c r="O28" s="1105"/>
      <c r="P28" s="1105"/>
      <c r="Q28" s="1105"/>
      <c r="R28" s="1105"/>
      <c r="S28" s="1105"/>
      <c r="T28" s="1105"/>
      <c r="U28" s="1105"/>
      <c r="V28" s="615" t="s">
        <v>1513</v>
      </c>
      <c r="W28" s="616" t="s">
        <v>1514</v>
      </c>
      <c r="X28" s="1104"/>
      <c r="Y28" s="583"/>
      <c r="Z28" s="583"/>
      <c r="AA28" s="583"/>
      <c r="AB28" s="659"/>
      <c r="AC28" s="660"/>
      <c r="AD28" s="646"/>
      <c r="AE28" s="303"/>
      <c r="AF28" s="667"/>
      <c r="AG28" s="667"/>
      <c r="AH28" s="667"/>
      <c r="AI28" s="667"/>
      <c r="AJ28" s="667"/>
      <c r="AK28" s="667"/>
      <c r="AL28" s="667"/>
      <c r="AM28" s="667"/>
      <c r="AN28" s="670"/>
      <c r="AO28" s="571"/>
      <c r="AP28" s="571"/>
      <c r="AQ28" s="572"/>
      <c r="AR28" s="572"/>
      <c r="AS28" s="572"/>
      <c r="AT28" s="573"/>
      <c r="AU28" s="573"/>
      <c r="AV28" s="573"/>
      <c r="AW28" s="573"/>
      <c r="AX28" s="573"/>
      <c r="AY28" s="573"/>
      <c r="AZ28" s="573"/>
      <c r="BA28" s="573"/>
      <c r="BB28" s="573"/>
      <c r="BC28" s="573"/>
      <c r="BD28" s="573"/>
      <c r="BE28" s="573"/>
      <c r="BF28" s="573"/>
      <c r="BG28" s="573"/>
      <c r="BH28" s="573"/>
      <c r="BI28" s="572"/>
      <c r="BJ28" s="572"/>
      <c r="BK28" s="572"/>
      <c r="BL28" s="572"/>
      <c r="BM28" s="572"/>
      <c r="BN28" s="572"/>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3"/>
      <c r="CM28" s="573"/>
      <c r="CN28" s="573"/>
      <c r="CO28" s="573"/>
      <c r="CP28" s="573"/>
      <c r="CQ28" s="573"/>
      <c r="CR28" s="573"/>
      <c r="CS28" s="573"/>
      <c r="CT28" s="573"/>
    </row>
    <row r="29" spans="2:98" s="78" customFormat="1" ht="12.75" customHeight="1" x14ac:dyDescent="0.2">
      <c r="B29" s="408"/>
      <c r="C29" s="408"/>
      <c r="D29" s="1109"/>
      <c r="E29" s="1103"/>
      <c r="F29" s="1103"/>
      <c r="G29" s="642"/>
      <c r="H29" s="1069"/>
      <c r="I29" s="1151" t="str">
        <f>IF(G29=0,"",IF('5'!F72=0," &lt; AÚN NO HAY UN IMPORTE DE VENTAS, SE CALCULARÁ CUANDO LO PONGAS",""))</f>
        <v/>
      </c>
      <c r="J29" s="1105"/>
      <c r="K29" s="1105"/>
      <c r="L29" s="1105"/>
      <c r="M29" s="1105"/>
      <c r="N29" s="1105"/>
      <c r="O29" s="1105"/>
      <c r="P29" s="1105"/>
      <c r="Q29" s="1105"/>
      <c r="R29" s="1105"/>
      <c r="S29" s="1105"/>
      <c r="T29" s="1105"/>
      <c r="U29" s="1105"/>
      <c r="V29" s="627"/>
      <c r="W29" s="628"/>
      <c r="X29" s="1104"/>
      <c r="Y29" s="583"/>
      <c r="Z29" s="583"/>
      <c r="AA29" s="583"/>
      <c r="AB29" s="655">
        <f>SANDBOX!T355</f>
        <v>0</v>
      </c>
      <c r="AC29" s="656">
        <f>SANDBOX!U355</f>
        <v>0</v>
      </c>
      <c r="AD29" s="646"/>
      <c r="AE29" s="303"/>
      <c r="AF29" s="570"/>
      <c r="AG29" s="570"/>
      <c r="AH29" s="570"/>
      <c r="AI29" s="570"/>
      <c r="AJ29" s="570"/>
      <c r="AK29" s="570"/>
      <c r="AL29" s="570"/>
      <c r="AM29" s="570"/>
      <c r="AN29" s="571"/>
      <c r="AO29" s="571"/>
      <c r="AP29" s="571"/>
      <c r="AQ29" s="572"/>
      <c r="AR29" s="572"/>
      <c r="AS29" s="572"/>
      <c r="AT29" s="573"/>
      <c r="AU29" s="573"/>
      <c r="AV29" s="573"/>
      <c r="AW29" s="573"/>
      <c r="AX29" s="573"/>
      <c r="AY29" s="573"/>
      <c r="AZ29" s="573"/>
      <c r="BA29" s="573"/>
      <c r="BB29" s="573"/>
      <c r="BC29" s="573"/>
      <c r="BD29" s="573"/>
      <c r="BE29" s="573"/>
      <c r="BF29" s="573"/>
      <c r="BG29" s="573"/>
      <c r="BH29" s="573"/>
      <c r="BI29" s="572"/>
      <c r="BJ29" s="572"/>
      <c r="BK29" s="572"/>
      <c r="BL29" s="572"/>
      <c r="BM29" s="572"/>
      <c r="BN29" s="572"/>
      <c r="BO29" s="573"/>
      <c r="BP29" s="573"/>
      <c r="BQ29" s="573"/>
      <c r="BR29" s="573"/>
      <c r="BS29" s="573"/>
      <c r="BT29" s="573"/>
      <c r="BU29" s="573"/>
      <c r="BV29" s="573"/>
      <c r="BW29" s="573"/>
      <c r="BX29" s="573"/>
      <c r="BY29" s="573"/>
      <c r="BZ29" s="573"/>
      <c r="CA29" s="573"/>
      <c r="CB29" s="573"/>
      <c r="CC29" s="573"/>
      <c r="CD29" s="573"/>
      <c r="CE29" s="573"/>
      <c r="CF29" s="573"/>
      <c r="CG29" s="573"/>
      <c r="CH29" s="573"/>
      <c r="CI29" s="573"/>
      <c r="CJ29" s="573"/>
      <c r="CK29" s="573"/>
      <c r="CL29" s="573"/>
      <c r="CM29" s="573"/>
      <c r="CN29" s="573"/>
      <c r="CO29" s="573"/>
      <c r="CP29" s="573"/>
      <c r="CQ29" s="573"/>
      <c r="CR29" s="573"/>
      <c r="CS29" s="573"/>
      <c r="CT29" s="573"/>
    </row>
    <row r="30" spans="2:98" s="78" customFormat="1" ht="15" customHeight="1" thickBot="1" x14ac:dyDescent="0.25">
      <c r="B30" s="408"/>
      <c r="C30" s="408"/>
      <c r="D30" s="1109"/>
      <c r="E30" s="1116"/>
      <c r="F30" s="1113"/>
      <c r="G30" s="1105"/>
      <c r="H30" s="1105"/>
      <c r="I30" s="1105"/>
      <c r="J30" s="1105"/>
      <c r="K30" s="1105"/>
      <c r="L30" s="1105"/>
      <c r="M30" s="1105"/>
      <c r="N30" s="1105"/>
      <c r="O30" s="1105"/>
      <c r="P30" s="1105"/>
      <c r="Q30" s="1105"/>
      <c r="R30" s="1105"/>
      <c r="S30" s="1105"/>
      <c r="T30" s="1105"/>
      <c r="U30" s="1105"/>
      <c r="V30" s="1105"/>
      <c r="W30" s="1105"/>
      <c r="X30" s="1104"/>
      <c r="Y30" s="583"/>
      <c r="Z30" s="583"/>
      <c r="AA30" s="583"/>
      <c r="AB30" s="659"/>
      <c r="AC30" s="660"/>
      <c r="AD30" s="646"/>
      <c r="AE30" s="303"/>
      <c r="AF30" s="570"/>
      <c r="AG30" s="570"/>
      <c r="AH30" s="570"/>
      <c r="AI30" s="570"/>
      <c r="AJ30" s="570"/>
      <c r="AK30" s="570"/>
      <c r="AL30" s="570"/>
      <c r="AM30" s="570"/>
      <c r="AN30" s="571"/>
      <c r="AO30" s="571"/>
      <c r="AP30" s="571"/>
      <c r="AQ30" s="572"/>
      <c r="AR30" s="572"/>
      <c r="AS30" s="572"/>
      <c r="AT30" s="573"/>
      <c r="AU30" s="573"/>
      <c r="AV30" s="573"/>
      <c r="AW30" s="573"/>
      <c r="AX30" s="573"/>
      <c r="AY30" s="573"/>
      <c r="AZ30" s="573"/>
      <c r="BA30" s="573"/>
      <c r="BB30" s="573"/>
      <c r="BC30" s="573"/>
      <c r="BD30" s="573"/>
      <c r="BE30" s="573"/>
      <c r="BF30" s="573"/>
      <c r="BG30" s="573"/>
      <c r="BH30" s="573"/>
      <c r="BI30" s="572"/>
      <c r="BJ30" s="572"/>
      <c r="BK30" s="572"/>
      <c r="BL30" s="572"/>
      <c r="BM30" s="572"/>
      <c r="BN30" s="572"/>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row>
    <row r="31" spans="2:98" s="78" customFormat="1" ht="15" customHeight="1" thickBot="1" x14ac:dyDescent="0.25">
      <c r="B31" s="408"/>
      <c r="C31" s="408"/>
      <c r="D31" s="1109"/>
      <c r="E31" s="1452" t="s">
        <v>668</v>
      </c>
      <c r="F31" s="1453"/>
      <c r="G31" s="1450">
        <f>INFORME!$E$102</f>
        <v>0</v>
      </c>
      <c r="H31" s="1464"/>
      <c r="I31" s="1451"/>
      <c r="J31" s="1105"/>
      <c r="K31" s="1105"/>
      <c r="L31" s="1105"/>
      <c r="M31" s="1105"/>
      <c r="N31" s="1105"/>
      <c r="O31" s="1105"/>
      <c r="P31" s="1105"/>
      <c r="Q31" s="1105"/>
      <c r="R31" s="1105"/>
      <c r="S31" s="1105"/>
      <c r="T31" s="1105"/>
      <c r="U31" s="1105"/>
      <c r="V31" s="1105"/>
      <c r="W31" s="1105"/>
      <c r="X31" s="1104"/>
      <c r="Y31" s="583"/>
      <c r="Z31" s="583"/>
      <c r="AA31" s="583"/>
      <c r="AB31" s="659"/>
      <c r="AC31" s="660"/>
      <c r="AD31" s="646"/>
      <c r="AE31" s="303"/>
      <c r="AF31" s="570"/>
      <c r="AG31" s="570"/>
      <c r="AH31" s="570"/>
      <c r="AI31" s="570"/>
      <c r="AJ31" s="570"/>
      <c r="AK31" s="570"/>
      <c r="AL31" s="570"/>
      <c r="AM31" s="570"/>
      <c r="AN31" s="571"/>
      <c r="AO31" s="571"/>
      <c r="AP31" s="571"/>
      <c r="AQ31" s="572"/>
      <c r="AR31" s="572"/>
      <c r="AS31" s="572"/>
      <c r="AT31" s="573"/>
      <c r="AU31" s="573"/>
      <c r="AV31" s="573"/>
      <c r="AW31" s="573"/>
      <c r="AX31" s="573"/>
      <c r="AY31" s="573"/>
      <c r="AZ31" s="573"/>
      <c r="BA31" s="573"/>
      <c r="BB31" s="573"/>
      <c r="BC31" s="573"/>
      <c r="BD31" s="573"/>
      <c r="BE31" s="573"/>
      <c r="BF31" s="573"/>
      <c r="BG31" s="573"/>
      <c r="BH31" s="573"/>
      <c r="BI31" s="572"/>
      <c r="BJ31" s="572"/>
      <c r="BK31" s="572"/>
      <c r="BL31" s="572"/>
      <c r="BM31" s="572"/>
      <c r="BN31" s="572"/>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row>
    <row r="32" spans="2:98" s="78" customFormat="1" ht="3" customHeight="1" thickBot="1" x14ac:dyDescent="0.25">
      <c r="B32" s="408"/>
      <c r="C32" s="408"/>
      <c r="D32" s="1109"/>
      <c r="E32" s="1152"/>
      <c r="F32" s="1152"/>
      <c r="G32" s="1153"/>
      <c r="H32" s="1153"/>
      <c r="I32" s="1153"/>
      <c r="J32" s="1105"/>
      <c r="K32" s="1105"/>
      <c r="L32" s="1105"/>
      <c r="M32" s="1105"/>
      <c r="N32" s="1105"/>
      <c r="O32" s="1105"/>
      <c r="P32" s="1105"/>
      <c r="Q32" s="1105"/>
      <c r="R32" s="1105"/>
      <c r="S32" s="1105"/>
      <c r="T32" s="1105"/>
      <c r="U32" s="1105"/>
      <c r="V32" s="1105"/>
      <c r="W32" s="1105"/>
      <c r="X32" s="1104"/>
      <c r="Y32" s="583"/>
      <c r="Z32" s="583"/>
      <c r="AA32" s="583"/>
      <c r="AB32" s="659"/>
      <c r="AC32" s="660"/>
      <c r="AD32" s="646"/>
      <c r="AE32" s="303"/>
      <c r="AF32" s="570"/>
      <c r="AG32" s="570"/>
      <c r="AH32" s="570"/>
      <c r="AI32" s="570"/>
      <c r="AJ32" s="570"/>
      <c r="AK32" s="570"/>
      <c r="AL32" s="570"/>
      <c r="AM32" s="570"/>
      <c r="AN32" s="571"/>
      <c r="AO32" s="571"/>
      <c r="AP32" s="571"/>
      <c r="AQ32" s="572"/>
      <c r="AR32" s="572"/>
      <c r="AS32" s="572"/>
      <c r="AT32" s="573"/>
      <c r="AU32" s="573"/>
      <c r="AV32" s="573"/>
      <c r="AW32" s="573"/>
      <c r="AX32" s="573"/>
      <c r="AY32" s="573"/>
      <c r="AZ32" s="573"/>
      <c r="BA32" s="573"/>
      <c r="BB32" s="573"/>
      <c r="BC32" s="573"/>
      <c r="BD32" s="573"/>
      <c r="BE32" s="573"/>
      <c r="BF32" s="573"/>
      <c r="BG32" s="573"/>
      <c r="BH32" s="573"/>
      <c r="BI32" s="572"/>
      <c r="BJ32" s="572"/>
      <c r="BK32" s="572"/>
      <c r="BL32" s="572"/>
      <c r="BM32" s="572"/>
      <c r="BN32" s="572"/>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row>
    <row r="33" spans="2:98" s="78" customFormat="1" ht="15" customHeight="1" thickBot="1" x14ac:dyDescent="0.25">
      <c r="B33" s="408"/>
      <c r="C33" s="408"/>
      <c r="D33" s="1109"/>
      <c r="E33" s="1452" t="s">
        <v>670</v>
      </c>
      <c r="F33" s="1453"/>
      <c r="G33" s="1450">
        <f>'3'!G42+'4'!G31</f>
        <v>0</v>
      </c>
      <c r="H33" s="1464"/>
      <c r="I33" s="1451"/>
      <c r="J33" s="1105"/>
      <c r="K33" s="1105"/>
      <c r="L33" s="1105"/>
      <c r="M33" s="1105"/>
      <c r="N33" s="1105"/>
      <c r="O33" s="1105"/>
      <c r="P33" s="1105"/>
      <c r="Q33" s="1105"/>
      <c r="R33" s="1105"/>
      <c r="S33" s="1105"/>
      <c r="T33" s="1105"/>
      <c r="U33" s="1105"/>
      <c r="V33" s="1105"/>
      <c r="W33" s="1105"/>
      <c r="X33" s="1104"/>
      <c r="Y33" s="583"/>
      <c r="Z33" s="583"/>
      <c r="AA33" s="583"/>
      <c r="AB33" s="659"/>
      <c r="AC33" s="660"/>
      <c r="AD33" s="646"/>
      <c r="AE33" s="303"/>
      <c r="AF33" s="570"/>
      <c r="AG33" s="570"/>
      <c r="AH33" s="570"/>
      <c r="AI33" s="570"/>
      <c r="AJ33" s="570"/>
      <c r="AK33" s="570"/>
      <c r="AL33" s="570"/>
      <c r="AM33" s="570"/>
      <c r="AN33" s="571"/>
      <c r="AO33" s="571"/>
      <c r="AP33" s="571"/>
      <c r="AQ33" s="572"/>
      <c r="AR33" s="572"/>
      <c r="AS33" s="572"/>
      <c r="AT33" s="573"/>
      <c r="AU33" s="573"/>
      <c r="AV33" s="573"/>
      <c r="AW33" s="573"/>
      <c r="AX33" s="573"/>
      <c r="AY33" s="573"/>
      <c r="AZ33" s="573"/>
      <c r="BA33" s="573"/>
      <c r="BB33" s="573"/>
      <c r="BC33" s="573"/>
      <c r="BD33" s="573"/>
      <c r="BE33" s="573"/>
      <c r="BF33" s="573"/>
      <c r="BG33" s="573"/>
      <c r="BH33" s="573"/>
      <c r="BI33" s="572"/>
      <c r="BJ33" s="572"/>
      <c r="BK33" s="572"/>
      <c r="BL33" s="572"/>
      <c r="BM33" s="572"/>
      <c r="BN33" s="572"/>
      <c r="BO33" s="573"/>
      <c r="BP33" s="573"/>
      <c r="BQ33" s="573"/>
      <c r="BR33" s="573"/>
      <c r="BS33" s="573"/>
      <c r="BT33" s="573"/>
      <c r="BU33" s="573"/>
      <c r="BV33" s="573"/>
      <c r="BW33" s="573"/>
      <c r="BX33" s="573"/>
      <c r="BY33" s="573"/>
      <c r="BZ33" s="573"/>
      <c r="CA33" s="573"/>
      <c r="CB33" s="573"/>
      <c r="CC33" s="573"/>
      <c r="CD33" s="573"/>
      <c r="CE33" s="573"/>
      <c r="CF33" s="573"/>
      <c r="CG33" s="573"/>
      <c r="CH33" s="573"/>
      <c r="CI33" s="573"/>
      <c r="CJ33" s="573"/>
      <c r="CK33" s="573"/>
      <c r="CL33" s="573"/>
      <c r="CM33" s="573"/>
      <c r="CN33" s="573"/>
      <c r="CO33" s="573"/>
      <c r="CP33" s="573"/>
      <c r="CQ33" s="573"/>
      <c r="CR33" s="573"/>
      <c r="CS33" s="573"/>
      <c r="CT33" s="573"/>
    </row>
    <row r="34" spans="2:98" s="78" customFormat="1" ht="12" customHeight="1" x14ac:dyDescent="0.2">
      <c r="B34" s="408"/>
      <c r="C34" s="408"/>
      <c r="D34" s="1109"/>
      <c r="E34" s="1116"/>
      <c r="F34" s="1113"/>
      <c r="G34" s="1105"/>
      <c r="H34" s="1105"/>
      <c r="I34" s="1105"/>
      <c r="J34" s="1105"/>
      <c r="K34" s="1105"/>
      <c r="L34" s="1105"/>
      <c r="M34" s="1105"/>
      <c r="N34" s="1105"/>
      <c r="O34" s="1105"/>
      <c r="P34" s="1105"/>
      <c r="Q34" s="1105"/>
      <c r="R34" s="1105"/>
      <c r="S34" s="1105"/>
      <c r="T34" s="1105"/>
      <c r="U34" s="1105"/>
      <c r="V34" s="1105"/>
      <c r="W34" s="1105"/>
      <c r="X34" s="1104"/>
      <c r="Y34" s="583"/>
      <c r="Z34" s="583"/>
      <c r="AA34" s="583"/>
      <c r="AB34" s="661"/>
      <c r="AC34" s="662"/>
      <c r="AD34" s="646"/>
      <c r="AE34" s="303"/>
      <c r="AF34" s="570"/>
      <c r="AG34" s="570"/>
      <c r="AH34" s="570"/>
      <c r="AI34" s="570"/>
      <c r="AJ34" s="570"/>
      <c r="AK34" s="570"/>
      <c r="AL34" s="570"/>
      <c r="AM34" s="570"/>
      <c r="AN34" s="571"/>
      <c r="AO34" s="571"/>
      <c r="AP34" s="571"/>
      <c r="AQ34" s="572"/>
      <c r="AR34" s="572"/>
      <c r="AS34" s="572"/>
      <c r="AT34" s="573"/>
      <c r="AU34" s="573"/>
      <c r="AV34" s="573"/>
      <c r="AW34" s="573"/>
      <c r="AX34" s="573"/>
      <c r="AY34" s="573"/>
      <c r="AZ34" s="573"/>
      <c r="BA34" s="573"/>
      <c r="BB34" s="573"/>
      <c r="BC34" s="573"/>
      <c r="BD34" s="573"/>
      <c r="BE34" s="573"/>
      <c r="BF34" s="573"/>
      <c r="BG34" s="573"/>
      <c r="BH34" s="573"/>
      <c r="BI34" s="572"/>
      <c r="BJ34" s="572"/>
      <c r="BK34" s="572"/>
      <c r="BL34" s="572"/>
      <c r="BM34" s="572"/>
      <c r="BN34" s="572"/>
      <c r="BO34" s="573"/>
      <c r="BP34" s="573"/>
      <c r="BQ34" s="573"/>
      <c r="BR34" s="573"/>
      <c r="BS34" s="573"/>
      <c r="BT34" s="573"/>
      <c r="BU34" s="573"/>
      <c r="BV34" s="573"/>
      <c r="BW34" s="573"/>
      <c r="BX34" s="573"/>
      <c r="BY34" s="573"/>
      <c r="BZ34" s="573"/>
      <c r="CA34" s="573"/>
      <c r="CB34" s="573"/>
      <c r="CC34" s="573"/>
      <c r="CD34" s="573"/>
      <c r="CE34" s="573"/>
      <c r="CF34" s="573"/>
      <c r="CG34" s="573"/>
      <c r="CH34" s="573"/>
      <c r="CI34" s="573"/>
      <c r="CJ34" s="573"/>
      <c r="CK34" s="573"/>
      <c r="CL34" s="573"/>
      <c r="CM34" s="573"/>
      <c r="CN34" s="573"/>
      <c r="CO34" s="573"/>
      <c r="CP34" s="573"/>
      <c r="CQ34" s="573"/>
      <c r="CR34" s="573"/>
      <c r="CS34" s="573"/>
      <c r="CT34" s="573"/>
    </row>
    <row r="35" spans="2:98" s="46" customFormat="1" ht="3" customHeight="1" x14ac:dyDescent="0.2">
      <c r="B35" s="402"/>
      <c r="C35" s="402"/>
      <c r="D35" s="1150"/>
      <c r="E35" s="1107"/>
      <c r="F35" s="1107"/>
      <c r="G35" s="1107"/>
      <c r="H35" s="1107"/>
      <c r="I35" s="1107"/>
      <c r="J35" s="1107"/>
      <c r="K35" s="1107"/>
      <c r="L35" s="1107"/>
      <c r="M35" s="1107"/>
      <c r="N35" s="1107"/>
      <c r="O35" s="1107"/>
      <c r="P35" s="1107"/>
      <c r="Q35" s="1107"/>
      <c r="R35" s="1107"/>
      <c r="S35" s="1107"/>
      <c r="T35" s="1107"/>
      <c r="U35" s="1107"/>
      <c r="V35" s="1107"/>
      <c r="W35" s="1107"/>
      <c r="X35" s="1108"/>
      <c r="Y35" s="426"/>
      <c r="Z35" s="426"/>
      <c r="AA35" s="426"/>
      <c r="AB35" s="426"/>
      <c r="AC35" s="426"/>
      <c r="AD35" s="647"/>
      <c r="AE35" s="299"/>
      <c r="AF35" s="565"/>
      <c r="AG35" s="565"/>
      <c r="AH35" s="565"/>
      <c r="AI35" s="565"/>
      <c r="AJ35" s="565"/>
      <c r="AK35" s="565"/>
      <c r="AL35" s="565"/>
      <c r="AM35" s="565"/>
      <c r="AN35" s="565"/>
      <c r="AO35" s="565"/>
      <c r="AP35" s="565"/>
      <c r="AQ35" s="566"/>
      <c r="AR35" s="566"/>
      <c r="AS35" s="566"/>
      <c r="AT35" s="561"/>
      <c r="AU35" s="561"/>
      <c r="AV35" s="561"/>
      <c r="AW35" s="561"/>
      <c r="AX35" s="561"/>
      <c r="AY35" s="561"/>
      <c r="AZ35" s="561"/>
      <c r="BA35" s="561"/>
      <c r="BB35" s="561"/>
      <c r="BC35" s="561"/>
      <c r="BD35" s="561"/>
      <c r="BE35" s="561"/>
      <c r="BF35" s="561"/>
      <c r="BG35" s="561"/>
      <c r="BH35" s="561"/>
      <c r="BI35" s="566"/>
      <c r="BJ35" s="566"/>
      <c r="BK35" s="566"/>
      <c r="BL35" s="566"/>
      <c r="BM35" s="566"/>
      <c r="BN35" s="566"/>
      <c r="BO35" s="561"/>
      <c r="BP35" s="561"/>
      <c r="BQ35" s="561"/>
      <c r="BR35" s="561"/>
      <c r="BS35" s="561"/>
      <c r="BT35" s="561"/>
      <c r="BU35" s="561"/>
      <c r="BV35" s="561"/>
      <c r="BW35" s="561"/>
      <c r="BX35" s="561"/>
      <c r="BY35" s="561"/>
      <c r="BZ35" s="561"/>
      <c r="CA35" s="561"/>
      <c r="CB35" s="561"/>
      <c r="CC35" s="561"/>
      <c r="CD35" s="561"/>
      <c r="CE35" s="561"/>
      <c r="CF35" s="561"/>
      <c r="CG35" s="561"/>
      <c r="CH35" s="561"/>
      <c r="CI35" s="561"/>
      <c r="CJ35" s="561"/>
      <c r="CK35" s="561"/>
      <c r="CL35" s="561"/>
      <c r="CM35" s="561"/>
      <c r="CN35" s="561"/>
      <c r="CO35" s="561"/>
      <c r="CP35" s="561"/>
      <c r="CQ35" s="561"/>
      <c r="CR35" s="561"/>
      <c r="CS35" s="561"/>
      <c r="CT35" s="561"/>
    </row>
    <row r="36" spans="2:98" s="39" customFormat="1" ht="11.25" x14ac:dyDescent="0.2">
      <c r="B36" s="410"/>
      <c r="C36" s="410"/>
      <c r="D36" s="410"/>
      <c r="E36" s="410"/>
      <c r="F36" s="410"/>
      <c r="G36" s="410"/>
      <c r="H36" s="410"/>
      <c r="I36" s="410"/>
      <c r="J36" s="410"/>
      <c r="K36" s="410"/>
      <c r="L36" s="410"/>
      <c r="M36" s="410"/>
      <c r="N36" s="410"/>
      <c r="O36" s="410"/>
      <c r="P36" s="410"/>
      <c r="Q36" s="410"/>
      <c r="R36" s="410"/>
      <c r="S36" s="410"/>
      <c r="T36" s="410"/>
      <c r="U36" s="410"/>
      <c r="V36" s="410"/>
      <c r="W36" s="410"/>
      <c r="X36" s="410"/>
      <c r="Y36" s="643"/>
      <c r="Z36" s="643"/>
      <c r="AA36" s="643"/>
      <c r="AB36" s="643"/>
      <c r="AC36" s="643"/>
      <c r="AD36" s="643"/>
      <c r="AE36" s="643"/>
      <c r="AF36" s="648"/>
      <c r="AG36" s="574"/>
      <c r="AH36" s="574"/>
      <c r="AI36" s="565"/>
      <c r="AJ36" s="565"/>
      <c r="AK36" s="565"/>
      <c r="AL36" s="565"/>
      <c r="AM36" s="565"/>
      <c r="AN36" s="565"/>
      <c r="AO36" s="565"/>
      <c r="AP36" s="565"/>
      <c r="AQ36" s="566"/>
      <c r="AR36" s="566"/>
      <c r="AS36" s="566"/>
      <c r="AT36" s="561"/>
      <c r="AU36" s="561"/>
      <c r="AV36" s="561"/>
      <c r="AW36" s="561"/>
      <c r="AX36" s="561"/>
      <c r="AY36" s="561"/>
      <c r="AZ36" s="561"/>
      <c r="BA36" s="561"/>
      <c r="BB36" s="561"/>
      <c r="BC36" s="561"/>
      <c r="BD36" s="561"/>
      <c r="BE36" s="561"/>
      <c r="BF36" s="561"/>
      <c r="BG36" s="561"/>
      <c r="BH36" s="561"/>
      <c r="BI36" s="566"/>
      <c r="BJ36" s="566"/>
      <c r="BK36" s="566"/>
      <c r="BL36" s="566"/>
      <c r="BM36" s="566"/>
      <c r="BN36" s="566"/>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row>
    <row r="37" spans="2:98" s="39" customFormat="1" ht="11.25" x14ac:dyDescent="0.2">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643"/>
      <c r="Z37" s="643"/>
      <c r="AA37" s="643"/>
      <c r="AB37" s="410"/>
      <c r="AC37" s="410"/>
      <c r="AD37" s="410"/>
      <c r="AE37" s="410"/>
      <c r="AF37" s="574"/>
      <c r="AG37" s="574"/>
      <c r="AH37" s="565"/>
      <c r="AI37" s="565"/>
      <c r="AJ37" s="565"/>
      <c r="AK37" s="565"/>
      <c r="AL37" s="565"/>
      <c r="AM37" s="565"/>
      <c r="AN37" s="565"/>
      <c r="AO37" s="565"/>
      <c r="AP37" s="565"/>
      <c r="AQ37" s="566"/>
      <c r="AR37" s="566"/>
      <c r="AS37" s="566"/>
      <c r="AT37" s="561"/>
      <c r="AU37" s="561"/>
      <c r="AV37" s="561"/>
      <c r="AW37" s="561"/>
      <c r="AX37" s="561"/>
      <c r="AY37" s="561"/>
      <c r="AZ37" s="561"/>
      <c r="BA37" s="561"/>
      <c r="BB37" s="561"/>
      <c r="BC37" s="561"/>
      <c r="BD37" s="561"/>
      <c r="BE37" s="561"/>
      <c r="BF37" s="561"/>
      <c r="BG37" s="561"/>
      <c r="BH37" s="561"/>
      <c r="BI37" s="566"/>
      <c r="BJ37" s="566"/>
      <c r="BK37" s="566"/>
      <c r="BL37" s="566"/>
      <c r="BM37" s="566"/>
      <c r="BN37" s="566"/>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row>
    <row r="38" spans="2:98" s="447" customFormat="1" x14ac:dyDescent="0.2">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574"/>
      <c r="AG38" s="574"/>
      <c r="AH38" s="575"/>
      <c r="AI38" s="575"/>
      <c r="AJ38" s="575"/>
      <c r="AK38" s="575"/>
      <c r="AL38" s="575"/>
      <c r="AM38" s="575"/>
      <c r="AN38" s="575"/>
      <c r="AO38" s="575"/>
      <c r="AP38" s="575"/>
      <c r="AQ38" s="576"/>
      <c r="AR38" s="576"/>
      <c r="AS38" s="576"/>
      <c r="AT38" s="577"/>
      <c r="AU38" s="577"/>
      <c r="AV38" s="577"/>
      <c r="AW38" s="577"/>
      <c r="AX38" s="577"/>
      <c r="AY38" s="577"/>
      <c r="AZ38" s="577"/>
      <c r="BA38" s="577"/>
      <c r="BB38" s="577"/>
      <c r="BC38" s="577"/>
      <c r="BD38" s="577"/>
      <c r="BE38" s="577"/>
      <c r="BF38" s="577"/>
      <c r="BG38" s="577"/>
      <c r="BH38" s="577"/>
      <c r="BI38" s="576"/>
      <c r="BJ38" s="576"/>
      <c r="BK38" s="576"/>
      <c r="BL38" s="576"/>
      <c r="BM38" s="576"/>
      <c r="BN38" s="576"/>
      <c r="BO38" s="577"/>
      <c r="BP38" s="577"/>
      <c r="BQ38" s="577"/>
      <c r="BR38" s="577"/>
      <c r="BS38" s="577"/>
      <c r="BT38" s="577"/>
      <c r="BU38" s="577"/>
      <c r="BV38" s="577"/>
      <c r="BW38" s="577"/>
      <c r="BX38" s="577"/>
      <c r="BY38" s="577"/>
      <c r="BZ38" s="577"/>
      <c r="CA38" s="577"/>
      <c r="CB38" s="577"/>
      <c r="CC38" s="577"/>
      <c r="CD38" s="577"/>
      <c r="CE38" s="577"/>
      <c r="CF38" s="577"/>
      <c r="CG38" s="577"/>
      <c r="CH38" s="577"/>
      <c r="CI38" s="577"/>
      <c r="CJ38" s="577"/>
      <c r="CK38" s="577"/>
      <c r="CL38" s="577"/>
      <c r="CM38" s="577"/>
      <c r="CN38" s="577"/>
      <c r="CO38" s="577"/>
      <c r="CP38" s="577"/>
      <c r="CQ38" s="577"/>
      <c r="CR38" s="577"/>
      <c r="CS38" s="577"/>
      <c r="CT38" s="577"/>
    </row>
    <row r="39" spans="2:98" s="15" customFormat="1" x14ac:dyDescent="0.2">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563"/>
      <c r="AG39" s="559"/>
      <c r="AH39" s="559"/>
      <c r="AI39" s="559"/>
      <c r="AJ39" s="559"/>
      <c r="AK39" s="559"/>
      <c r="AL39" s="559"/>
      <c r="AM39" s="559"/>
      <c r="AN39" s="559"/>
      <c r="AO39" s="559"/>
      <c r="AP39" s="559"/>
      <c r="AQ39" s="560"/>
      <c r="AR39" s="560"/>
      <c r="AS39" s="564"/>
      <c r="AT39" s="564"/>
      <c r="AU39" s="576"/>
      <c r="AV39" s="576"/>
      <c r="AW39" s="576"/>
      <c r="AX39" s="576"/>
      <c r="AY39" s="576"/>
      <c r="AZ39" s="576"/>
      <c r="BA39" s="576"/>
      <c r="BB39" s="576"/>
      <c r="BC39" s="576"/>
      <c r="BD39" s="576"/>
      <c r="BE39" s="576"/>
      <c r="BF39" s="576"/>
      <c r="BG39" s="576"/>
      <c r="BH39" s="576"/>
      <c r="BI39" s="576"/>
      <c r="BJ39" s="576"/>
      <c r="BK39" s="576"/>
      <c r="BL39" s="576"/>
      <c r="BM39" s="576"/>
      <c r="BN39" s="576"/>
      <c r="BO39" s="577"/>
      <c r="BP39" s="577"/>
      <c r="BQ39" s="577"/>
      <c r="BR39" s="577"/>
      <c r="BS39" s="577"/>
      <c r="BT39" s="577"/>
      <c r="BU39" s="577"/>
      <c r="BV39" s="577"/>
      <c r="BW39" s="577"/>
      <c r="BX39" s="577"/>
      <c r="BY39" s="577"/>
      <c r="BZ39" s="577"/>
      <c r="CA39" s="577"/>
      <c r="CB39" s="577"/>
      <c r="CC39" s="577"/>
      <c r="CD39" s="577"/>
      <c r="CE39" s="577"/>
      <c r="CF39" s="577"/>
      <c r="CG39" s="577"/>
      <c r="CH39" s="577"/>
      <c r="CI39" s="577"/>
      <c r="CJ39" s="577"/>
      <c r="CK39" s="577"/>
      <c r="CL39" s="577"/>
      <c r="CM39" s="577"/>
      <c r="CN39" s="577"/>
      <c r="CO39" s="577"/>
      <c r="CP39" s="577"/>
      <c r="CQ39" s="577"/>
      <c r="CR39" s="577"/>
      <c r="CS39" s="577"/>
      <c r="CT39" s="577"/>
    </row>
    <row r="40" spans="2:98" s="15" customFormat="1" x14ac:dyDescent="0.2">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411"/>
      <c r="AE40" s="411"/>
      <c r="AF40" s="563"/>
      <c r="AG40" s="559"/>
      <c r="AH40" s="559"/>
      <c r="AI40" s="559"/>
      <c r="AJ40" s="559"/>
      <c r="AK40" s="559"/>
      <c r="AL40" s="559"/>
      <c r="AM40" s="559"/>
      <c r="AN40" s="559"/>
      <c r="AO40" s="559"/>
      <c r="AP40" s="559"/>
      <c r="AQ40" s="560"/>
      <c r="AR40" s="560"/>
      <c r="AS40" s="564"/>
      <c r="AT40" s="564"/>
      <c r="AU40" s="576"/>
      <c r="AV40" s="576"/>
      <c r="AW40" s="576"/>
      <c r="AX40" s="576"/>
      <c r="AY40" s="576"/>
      <c r="AZ40" s="576"/>
      <c r="BA40" s="576"/>
      <c r="BB40" s="576"/>
      <c r="BC40" s="576"/>
      <c r="BD40" s="576"/>
      <c r="BE40" s="576"/>
      <c r="BF40" s="576"/>
      <c r="BG40" s="576"/>
      <c r="BH40" s="576"/>
      <c r="BI40" s="576"/>
      <c r="BJ40" s="576"/>
      <c r="BK40" s="576"/>
      <c r="BL40" s="576"/>
      <c r="BM40" s="576"/>
      <c r="BN40" s="576"/>
      <c r="BO40" s="577"/>
      <c r="BP40" s="577"/>
      <c r="BQ40" s="577"/>
      <c r="BR40" s="577"/>
      <c r="BS40" s="577"/>
      <c r="BT40" s="577"/>
      <c r="BU40" s="577"/>
      <c r="BV40" s="577"/>
      <c r="BW40" s="577"/>
      <c r="BX40" s="577"/>
      <c r="BY40" s="577"/>
      <c r="BZ40" s="577"/>
      <c r="CA40" s="577"/>
      <c r="CB40" s="577"/>
      <c r="CC40" s="577"/>
      <c r="CD40" s="577"/>
      <c r="CE40" s="577"/>
      <c r="CF40" s="577"/>
      <c r="CG40" s="577"/>
      <c r="CH40" s="577"/>
      <c r="CI40" s="577"/>
      <c r="CJ40" s="577"/>
      <c r="CK40" s="577"/>
      <c r="CL40" s="577"/>
      <c r="CM40" s="577"/>
      <c r="CN40" s="577"/>
      <c r="CO40" s="577"/>
      <c r="CP40" s="577"/>
      <c r="CQ40" s="577"/>
      <c r="CR40" s="577"/>
      <c r="CS40" s="577"/>
      <c r="CT40" s="577"/>
    </row>
    <row r="41" spans="2:98" s="15" customFormat="1" x14ac:dyDescent="0.2">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563"/>
      <c r="AG41" s="559"/>
      <c r="AH41" s="559"/>
      <c r="AI41" s="559"/>
      <c r="AJ41" s="559"/>
      <c r="AK41" s="559"/>
      <c r="AL41" s="559"/>
      <c r="AM41" s="559"/>
      <c r="AN41" s="559"/>
      <c r="AO41" s="559"/>
      <c r="AP41" s="559"/>
      <c r="AQ41" s="560"/>
      <c r="AR41" s="560"/>
      <c r="AS41" s="564"/>
      <c r="AT41" s="564"/>
      <c r="AU41" s="576"/>
      <c r="AV41" s="576"/>
      <c r="AW41" s="576"/>
      <c r="AX41" s="576"/>
      <c r="AY41" s="576"/>
      <c r="AZ41" s="576"/>
      <c r="BA41" s="576"/>
      <c r="BB41" s="576"/>
      <c r="BC41" s="576"/>
      <c r="BD41" s="576"/>
      <c r="BE41" s="576"/>
      <c r="BF41" s="576"/>
      <c r="BG41" s="576"/>
      <c r="BH41" s="576"/>
      <c r="BI41" s="576"/>
      <c r="BJ41" s="576"/>
      <c r="BK41" s="576"/>
      <c r="BL41" s="576"/>
      <c r="BM41" s="576"/>
      <c r="BN41" s="576"/>
      <c r="BO41" s="577"/>
      <c r="BP41" s="577"/>
      <c r="BQ41" s="577"/>
      <c r="BR41" s="577"/>
      <c r="BS41" s="577"/>
      <c r="BT41" s="577"/>
      <c r="BU41" s="577"/>
      <c r="BV41" s="577"/>
      <c r="BW41" s="577"/>
      <c r="BX41" s="577"/>
      <c r="BY41" s="577"/>
      <c r="BZ41" s="577"/>
      <c r="CA41" s="577"/>
      <c r="CB41" s="577"/>
      <c r="CC41" s="577"/>
      <c r="CD41" s="577"/>
      <c r="CE41" s="577"/>
      <c r="CF41" s="577"/>
      <c r="CG41" s="577"/>
      <c r="CH41" s="577"/>
      <c r="CI41" s="577"/>
      <c r="CJ41" s="577"/>
      <c r="CK41" s="577"/>
      <c r="CL41" s="577"/>
      <c r="CM41" s="577"/>
      <c r="CN41" s="577"/>
      <c r="CO41" s="577"/>
      <c r="CP41" s="577"/>
      <c r="CQ41" s="577"/>
      <c r="CR41" s="577"/>
      <c r="CS41" s="577"/>
      <c r="CT41" s="577"/>
    </row>
    <row r="42" spans="2:98" s="15" customFormat="1" x14ac:dyDescent="0.2">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563"/>
      <c r="AG42" s="559"/>
      <c r="AH42" s="559"/>
      <c r="AI42" s="559"/>
      <c r="AJ42" s="559"/>
      <c r="AK42" s="559"/>
      <c r="AL42" s="559"/>
      <c r="AM42" s="559"/>
      <c r="AN42" s="559"/>
      <c r="AO42" s="559"/>
      <c r="AP42" s="559"/>
      <c r="AQ42" s="560"/>
      <c r="AR42" s="560"/>
      <c r="AS42" s="564"/>
      <c r="AT42" s="564"/>
      <c r="AU42" s="576"/>
      <c r="AV42" s="576"/>
      <c r="AW42" s="576"/>
      <c r="AX42" s="576"/>
      <c r="AY42" s="576"/>
      <c r="AZ42" s="576"/>
      <c r="BA42" s="576"/>
      <c r="BB42" s="576"/>
      <c r="BC42" s="576"/>
      <c r="BD42" s="576"/>
      <c r="BE42" s="576"/>
      <c r="BF42" s="576"/>
      <c r="BG42" s="576"/>
      <c r="BH42" s="576"/>
      <c r="BI42" s="576"/>
      <c r="BJ42" s="576"/>
      <c r="BK42" s="576"/>
      <c r="BL42" s="576"/>
      <c r="BM42" s="576"/>
      <c r="BN42" s="576"/>
      <c r="BO42" s="577"/>
      <c r="BP42" s="577"/>
      <c r="BQ42" s="577"/>
      <c r="BR42" s="577"/>
      <c r="BS42" s="577"/>
      <c r="BT42" s="577"/>
      <c r="BU42" s="577"/>
      <c r="BV42" s="577"/>
      <c r="BW42" s="577"/>
      <c r="BX42" s="577"/>
      <c r="BY42" s="577"/>
      <c r="BZ42" s="577"/>
      <c r="CA42" s="577"/>
      <c r="CB42" s="577"/>
      <c r="CC42" s="577"/>
      <c r="CD42" s="577"/>
      <c r="CE42" s="577"/>
      <c r="CF42" s="577"/>
      <c r="CG42" s="577"/>
      <c r="CH42" s="577"/>
      <c r="CI42" s="577"/>
      <c r="CJ42" s="577"/>
      <c r="CK42" s="577"/>
      <c r="CL42" s="577"/>
      <c r="CM42" s="577"/>
      <c r="CN42" s="577"/>
      <c r="CO42" s="577"/>
      <c r="CP42" s="577"/>
      <c r="CQ42" s="577"/>
      <c r="CR42" s="577"/>
      <c r="CS42" s="577"/>
      <c r="CT42" s="577"/>
    </row>
    <row r="43" spans="2:98" s="15" customFormat="1" x14ac:dyDescent="0.2">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c r="AD43" s="411"/>
      <c r="AE43" s="411"/>
      <c r="AF43" s="563"/>
      <c r="AG43" s="559"/>
      <c r="AH43" s="559"/>
      <c r="AI43" s="559"/>
      <c r="AJ43" s="559"/>
      <c r="AK43" s="559"/>
      <c r="AL43" s="559"/>
      <c r="AM43" s="559"/>
      <c r="AN43" s="559"/>
      <c r="AO43" s="559"/>
      <c r="AP43" s="559"/>
      <c r="AQ43" s="560"/>
      <c r="AR43" s="560"/>
      <c r="AS43" s="564"/>
      <c r="AT43" s="564"/>
      <c r="AU43" s="576"/>
      <c r="AV43" s="576"/>
      <c r="AW43" s="576"/>
      <c r="AX43" s="576"/>
      <c r="AY43" s="576"/>
      <c r="AZ43" s="576"/>
      <c r="BA43" s="576"/>
      <c r="BB43" s="576"/>
      <c r="BC43" s="576"/>
      <c r="BD43" s="576"/>
      <c r="BE43" s="576"/>
      <c r="BF43" s="576"/>
      <c r="BG43" s="576"/>
      <c r="BH43" s="576"/>
      <c r="BI43" s="576"/>
      <c r="BJ43" s="576"/>
      <c r="BK43" s="576"/>
      <c r="BL43" s="576"/>
      <c r="BM43" s="576"/>
      <c r="BN43" s="576"/>
      <c r="BO43" s="577"/>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77"/>
      <c r="CL43" s="577"/>
      <c r="CM43" s="577"/>
      <c r="CN43" s="577"/>
      <c r="CO43" s="577"/>
      <c r="CP43" s="577"/>
      <c r="CQ43" s="577"/>
      <c r="CR43" s="577"/>
      <c r="CS43" s="577"/>
      <c r="CT43" s="577"/>
    </row>
    <row r="44" spans="2:98" s="15" customFormat="1" x14ac:dyDescent="0.2">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563"/>
      <c r="AG44" s="559"/>
      <c r="AH44" s="559"/>
      <c r="AI44" s="559"/>
      <c r="AJ44" s="559"/>
      <c r="AK44" s="559"/>
      <c r="AL44" s="559"/>
      <c r="AM44" s="559"/>
      <c r="AN44" s="559"/>
      <c r="AO44" s="559"/>
      <c r="AP44" s="559"/>
      <c r="AQ44" s="560"/>
      <c r="AR44" s="560"/>
      <c r="AS44" s="564"/>
      <c r="AT44" s="564"/>
      <c r="AU44" s="576"/>
      <c r="AV44" s="576"/>
      <c r="AW44" s="576"/>
      <c r="AX44" s="576"/>
      <c r="AY44" s="576"/>
      <c r="AZ44" s="576"/>
      <c r="BA44" s="576"/>
      <c r="BB44" s="576"/>
      <c r="BC44" s="576"/>
      <c r="BD44" s="576"/>
      <c r="BE44" s="576"/>
      <c r="BF44" s="576"/>
      <c r="BG44" s="576"/>
      <c r="BH44" s="576"/>
      <c r="BI44" s="576"/>
      <c r="BJ44" s="576"/>
      <c r="BK44" s="576"/>
      <c r="BL44" s="576"/>
      <c r="BM44" s="576"/>
      <c r="BN44" s="576"/>
      <c r="BO44" s="577"/>
      <c r="BP44" s="577"/>
      <c r="BQ44" s="577"/>
      <c r="BR44" s="577"/>
      <c r="BS44" s="577"/>
      <c r="BT44" s="577"/>
      <c r="BU44" s="577"/>
      <c r="BV44" s="577"/>
      <c r="BW44" s="577"/>
      <c r="BX44" s="577"/>
      <c r="BY44" s="577"/>
      <c r="BZ44" s="577"/>
      <c r="CA44" s="577"/>
      <c r="CB44" s="577"/>
      <c r="CC44" s="577"/>
      <c r="CD44" s="577"/>
      <c r="CE44" s="577"/>
      <c r="CF44" s="577"/>
      <c r="CG44" s="577"/>
      <c r="CH44" s="577"/>
      <c r="CI44" s="577"/>
      <c r="CJ44" s="577"/>
      <c r="CK44" s="577"/>
      <c r="CL44" s="577"/>
      <c r="CM44" s="577"/>
      <c r="CN44" s="577"/>
      <c r="CO44" s="577"/>
      <c r="CP44" s="577"/>
      <c r="CQ44" s="577"/>
      <c r="CR44" s="577"/>
      <c r="CS44" s="577"/>
      <c r="CT44" s="577"/>
    </row>
    <row r="45" spans="2:98" s="15" customFormat="1" x14ac:dyDescent="0.2">
      <c r="B45" s="411"/>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563"/>
      <c r="AG45" s="559"/>
      <c r="AH45" s="559"/>
      <c r="AI45" s="559"/>
      <c r="AJ45" s="559"/>
      <c r="AK45" s="559"/>
      <c r="AL45" s="559"/>
      <c r="AM45" s="559"/>
      <c r="AN45" s="559"/>
      <c r="AO45" s="559"/>
      <c r="AP45" s="559"/>
      <c r="AQ45" s="560"/>
      <c r="AR45" s="560"/>
      <c r="AS45" s="564"/>
      <c r="AT45" s="564"/>
      <c r="AU45" s="576"/>
      <c r="AV45" s="576"/>
      <c r="AW45" s="576"/>
      <c r="AX45" s="576"/>
      <c r="AY45" s="576"/>
      <c r="AZ45" s="576"/>
      <c r="BA45" s="576"/>
      <c r="BB45" s="576"/>
      <c r="BC45" s="576"/>
      <c r="BD45" s="576"/>
      <c r="BE45" s="576"/>
      <c r="BF45" s="576"/>
      <c r="BG45" s="576"/>
      <c r="BH45" s="576"/>
      <c r="BI45" s="576"/>
      <c r="BJ45" s="576"/>
      <c r="BK45" s="576"/>
      <c r="BL45" s="576"/>
      <c r="BM45" s="576"/>
      <c r="BN45" s="576"/>
      <c r="BO45" s="577"/>
      <c r="BP45" s="577"/>
      <c r="BQ45" s="577"/>
      <c r="BR45" s="577"/>
      <c r="BS45" s="577"/>
      <c r="BT45" s="577"/>
      <c r="BU45" s="577"/>
      <c r="BV45" s="577"/>
      <c r="BW45" s="577"/>
      <c r="BX45" s="577"/>
      <c r="BY45" s="577"/>
      <c r="BZ45" s="577"/>
      <c r="CA45" s="577"/>
      <c r="CB45" s="577"/>
      <c r="CC45" s="577"/>
      <c r="CD45" s="577"/>
      <c r="CE45" s="577"/>
      <c r="CF45" s="577"/>
      <c r="CG45" s="577"/>
      <c r="CH45" s="577"/>
      <c r="CI45" s="577"/>
      <c r="CJ45" s="577"/>
      <c r="CK45" s="577"/>
      <c r="CL45" s="577"/>
      <c r="CM45" s="577"/>
      <c r="CN45" s="577"/>
      <c r="CO45" s="577"/>
      <c r="CP45" s="577"/>
      <c r="CQ45" s="577"/>
      <c r="CR45" s="577"/>
      <c r="CS45" s="577"/>
      <c r="CT45" s="577"/>
    </row>
    <row r="46" spans="2:98" s="15" customFormat="1" x14ac:dyDescent="0.2">
      <c r="B46" s="41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563"/>
      <c r="AG46" s="559"/>
      <c r="AH46" s="559"/>
      <c r="AI46" s="559"/>
      <c r="AJ46" s="559"/>
      <c r="AK46" s="559"/>
      <c r="AL46" s="559"/>
      <c r="AM46" s="559"/>
      <c r="AN46" s="559"/>
      <c r="AO46" s="559"/>
      <c r="AP46" s="559"/>
      <c r="AQ46" s="560"/>
      <c r="AR46" s="560"/>
      <c r="AS46" s="564"/>
      <c r="AT46" s="564"/>
      <c r="AU46" s="576"/>
      <c r="AV46" s="576"/>
      <c r="AW46" s="576"/>
      <c r="AX46" s="576"/>
      <c r="AY46" s="576"/>
      <c r="AZ46" s="576"/>
      <c r="BA46" s="576"/>
      <c r="BB46" s="576"/>
      <c r="BC46" s="576"/>
      <c r="BD46" s="576"/>
      <c r="BE46" s="576"/>
      <c r="BF46" s="576"/>
      <c r="BG46" s="576"/>
      <c r="BH46" s="576"/>
      <c r="BI46" s="576"/>
      <c r="BJ46" s="576"/>
      <c r="BK46" s="576"/>
      <c r="BL46" s="576"/>
      <c r="BM46" s="576"/>
      <c r="BN46" s="576"/>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row>
    <row r="47" spans="2:98" s="15" customFormat="1" x14ac:dyDescent="0.2">
      <c r="B47" s="411"/>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563"/>
      <c r="AG47" s="559"/>
      <c r="AH47" s="559"/>
      <c r="AI47" s="559"/>
      <c r="AJ47" s="559"/>
      <c r="AK47" s="559"/>
      <c r="AL47" s="559"/>
      <c r="AM47" s="559"/>
      <c r="AN47" s="559"/>
      <c r="AO47" s="559"/>
      <c r="AP47" s="559"/>
      <c r="AQ47" s="560"/>
      <c r="AR47" s="560"/>
      <c r="AS47" s="564"/>
      <c r="AT47" s="564"/>
      <c r="AU47" s="576"/>
      <c r="AV47" s="576"/>
      <c r="AW47" s="576"/>
      <c r="AX47" s="576"/>
      <c r="AY47" s="576"/>
      <c r="AZ47" s="576"/>
      <c r="BA47" s="576"/>
      <c r="BB47" s="576"/>
      <c r="BC47" s="576"/>
      <c r="BD47" s="576"/>
      <c r="BE47" s="576"/>
      <c r="BF47" s="576"/>
      <c r="BG47" s="576"/>
      <c r="BH47" s="576"/>
      <c r="BI47" s="576"/>
      <c r="BJ47" s="576"/>
      <c r="BK47" s="576"/>
      <c r="BL47" s="576"/>
      <c r="BM47" s="576"/>
      <c r="BN47" s="576"/>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row>
    <row r="48" spans="2:98" s="15" customFormat="1" x14ac:dyDescent="0.2">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563"/>
      <c r="AG48" s="559"/>
      <c r="AH48" s="559"/>
      <c r="AI48" s="559"/>
      <c r="AJ48" s="559"/>
      <c r="AK48" s="559"/>
      <c r="AL48" s="559"/>
      <c r="AM48" s="559"/>
      <c r="AN48" s="559"/>
      <c r="AO48" s="559"/>
      <c r="AP48" s="559"/>
      <c r="AQ48" s="560"/>
      <c r="AR48" s="560"/>
      <c r="AS48" s="564"/>
      <c r="AT48" s="564"/>
      <c r="AU48" s="576"/>
      <c r="AV48" s="576"/>
      <c r="AW48" s="576"/>
      <c r="AX48" s="576"/>
      <c r="AY48" s="576"/>
      <c r="AZ48" s="576"/>
      <c r="BA48" s="576"/>
      <c r="BB48" s="576"/>
      <c r="BC48" s="576"/>
      <c r="BD48" s="576"/>
      <c r="BE48" s="576"/>
      <c r="BF48" s="576"/>
      <c r="BG48" s="576"/>
      <c r="BH48" s="576"/>
      <c r="BI48" s="576"/>
      <c r="BJ48" s="576"/>
      <c r="BK48" s="576"/>
      <c r="BL48" s="576"/>
      <c r="BM48" s="576"/>
      <c r="BN48" s="576"/>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row>
    <row r="49" spans="2:98" s="15" customFormat="1" x14ac:dyDescent="0.2">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563"/>
      <c r="AG49" s="559"/>
      <c r="AH49" s="559"/>
      <c r="AI49" s="559"/>
      <c r="AJ49" s="559"/>
      <c r="AK49" s="559"/>
      <c r="AL49" s="559"/>
      <c r="AM49" s="559"/>
      <c r="AN49" s="559"/>
      <c r="AO49" s="559"/>
      <c r="AP49" s="559"/>
      <c r="AQ49" s="560"/>
      <c r="AR49" s="560"/>
      <c r="AS49" s="564"/>
      <c r="AT49" s="564"/>
      <c r="AU49" s="576"/>
      <c r="AV49" s="576"/>
      <c r="AW49" s="576"/>
      <c r="AX49" s="576"/>
      <c r="AY49" s="576"/>
      <c r="AZ49" s="576"/>
      <c r="BA49" s="576"/>
      <c r="BB49" s="576"/>
      <c r="BC49" s="576"/>
      <c r="BD49" s="576"/>
      <c r="BE49" s="576"/>
      <c r="BF49" s="576"/>
      <c r="BG49" s="576"/>
      <c r="BH49" s="576"/>
      <c r="BI49" s="576"/>
      <c r="BJ49" s="576"/>
      <c r="BK49" s="576"/>
      <c r="BL49" s="576"/>
      <c r="BM49" s="576"/>
      <c r="BN49" s="576"/>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row>
    <row r="50" spans="2:98" s="15" customFormat="1" x14ac:dyDescent="0.2">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563"/>
      <c r="AG50" s="559"/>
      <c r="AH50" s="559"/>
      <c r="AI50" s="559"/>
      <c r="AJ50" s="559"/>
      <c r="AK50" s="559"/>
      <c r="AL50" s="559"/>
      <c r="AM50" s="559"/>
      <c r="AN50" s="559"/>
      <c r="AO50" s="559"/>
      <c r="AP50" s="559"/>
      <c r="AQ50" s="560"/>
      <c r="AR50" s="560"/>
      <c r="AS50" s="564"/>
      <c r="AT50" s="564"/>
      <c r="AU50" s="576"/>
      <c r="AV50" s="576"/>
      <c r="AW50" s="576"/>
      <c r="AX50" s="576"/>
      <c r="AY50" s="576"/>
      <c r="AZ50" s="576"/>
      <c r="BA50" s="576"/>
      <c r="BB50" s="576"/>
      <c r="BC50" s="576"/>
      <c r="BD50" s="576"/>
      <c r="BE50" s="576"/>
      <c r="BF50" s="576"/>
      <c r="BG50" s="576"/>
      <c r="BH50" s="576"/>
      <c r="BI50" s="576"/>
      <c r="BJ50" s="576"/>
      <c r="BK50" s="576"/>
      <c r="BL50" s="576"/>
      <c r="BM50" s="576"/>
      <c r="BN50" s="576"/>
      <c r="BO50" s="577"/>
      <c r="BP50" s="577"/>
      <c r="BQ50" s="577"/>
      <c r="BR50" s="577"/>
      <c r="BS50" s="577"/>
      <c r="BT50" s="577"/>
      <c r="BU50" s="577"/>
      <c r="BV50" s="577"/>
      <c r="BW50" s="577"/>
      <c r="BX50" s="577"/>
      <c r="BY50" s="577"/>
      <c r="BZ50" s="577"/>
      <c r="CA50" s="577"/>
      <c r="CB50" s="577"/>
      <c r="CC50" s="577"/>
      <c r="CD50" s="577"/>
      <c r="CE50" s="577"/>
      <c r="CF50" s="577"/>
      <c r="CG50" s="577"/>
      <c r="CH50" s="577"/>
      <c r="CI50" s="577"/>
      <c r="CJ50" s="577"/>
      <c r="CK50" s="577"/>
      <c r="CL50" s="577"/>
      <c r="CM50" s="577"/>
      <c r="CN50" s="577"/>
      <c r="CO50" s="577"/>
      <c r="CP50" s="577"/>
      <c r="CQ50" s="577"/>
      <c r="CR50" s="577"/>
      <c r="CS50" s="577"/>
      <c r="CT50" s="577"/>
    </row>
    <row r="51" spans="2:98" s="15" customFormat="1" x14ac:dyDescent="0.2">
      <c r="B51" s="411"/>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563"/>
      <c r="AG51" s="559"/>
      <c r="AH51" s="559"/>
      <c r="AI51" s="559"/>
      <c r="AJ51" s="559"/>
      <c r="AK51" s="559"/>
      <c r="AL51" s="559"/>
      <c r="AM51" s="559"/>
      <c r="AN51" s="559"/>
      <c r="AO51" s="559"/>
      <c r="AP51" s="559"/>
      <c r="AQ51" s="560"/>
      <c r="AR51" s="560"/>
      <c r="AS51" s="564"/>
      <c r="AT51" s="564"/>
      <c r="AU51" s="576"/>
      <c r="AV51" s="576"/>
      <c r="AW51" s="576"/>
      <c r="AX51" s="576"/>
      <c r="AY51" s="576"/>
      <c r="AZ51" s="576"/>
      <c r="BA51" s="576"/>
      <c r="BB51" s="576"/>
      <c r="BC51" s="576"/>
      <c r="BD51" s="576"/>
      <c r="BE51" s="576"/>
      <c r="BF51" s="576"/>
      <c r="BG51" s="576"/>
      <c r="BH51" s="576"/>
      <c r="BI51" s="576"/>
      <c r="BJ51" s="576"/>
      <c r="BK51" s="576"/>
      <c r="BL51" s="576"/>
      <c r="BM51" s="576"/>
      <c r="BN51" s="576"/>
      <c r="BO51" s="577"/>
      <c r="BP51" s="577"/>
      <c r="BQ51" s="577"/>
      <c r="BR51" s="577"/>
      <c r="BS51" s="577"/>
      <c r="BT51" s="577"/>
      <c r="BU51" s="577"/>
      <c r="BV51" s="577"/>
      <c r="BW51" s="577"/>
      <c r="BX51" s="577"/>
      <c r="BY51" s="577"/>
      <c r="BZ51" s="577"/>
      <c r="CA51" s="577"/>
      <c r="CB51" s="577"/>
      <c r="CC51" s="577"/>
      <c r="CD51" s="577"/>
      <c r="CE51" s="577"/>
      <c r="CF51" s="577"/>
      <c r="CG51" s="577"/>
      <c r="CH51" s="577"/>
      <c r="CI51" s="577"/>
      <c r="CJ51" s="577"/>
      <c r="CK51" s="577"/>
      <c r="CL51" s="577"/>
      <c r="CM51" s="577"/>
      <c r="CN51" s="577"/>
      <c r="CO51" s="577"/>
      <c r="CP51" s="577"/>
      <c r="CQ51" s="577"/>
      <c r="CR51" s="577"/>
      <c r="CS51" s="577"/>
      <c r="CT51" s="577"/>
    </row>
    <row r="52" spans="2:98" s="15" customFormat="1" x14ac:dyDescent="0.2">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563"/>
      <c r="AG52" s="559"/>
      <c r="AH52" s="559"/>
      <c r="AI52" s="559"/>
      <c r="AJ52" s="559"/>
      <c r="AK52" s="559"/>
      <c r="AL52" s="559"/>
      <c r="AM52" s="559"/>
      <c r="AN52" s="559"/>
      <c r="AO52" s="559"/>
      <c r="AP52" s="559"/>
      <c r="AQ52" s="560"/>
      <c r="AR52" s="560"/>
      <c r="AS52" s="564"/>
      <c r="AT52" s="564"/>
      <c r="AU52" s="576"/>
      <c r="AV52" s="576"/>
      <c r="AW52" s="576"/>
      <c r="AX52" s="576"/>
      <c r="AY52" s="576"/>
      <c r="AZ52" s="576"/>
      <c r="BA52" s="576"/>
      <c r="BB52" s="576"/>
      <c r="BC52" s="576"/>
      <c r="BD52" s="576"/>
      <c r="BE52" s="576"/>
      <c r="BF52" s="576"/>
      <c r="BG52" s="576"/>
      <c r="BH52" s="576"/>
      <c r="BI52" s="576"/>
      <c r="BJ52" s="576"/>
      <c r="BK52" s="576"/>
      <c r="BL52" s="576"/>
      <c r="BM52" s="576"/>
      <c r="BN52" s="576"/>
      <c r="BO52" s="577"/>
      <c r="BP52" s="577"/>
      <c r="BQ52" s="577"/>
      <c r="BR52" s="577"/>
      <c r="BS52" s="577"/>
      <c r="BT52" s="577"/>
      <c r="BU52" s="577"/>
      <c r="BV52" s="577"/>
      <c r="BW52" s="577"/>
      <c r="BX52" s="577"/>
      <c r="BY52" s="577"/>
      <c r="BZ52" s="577"/>
      <c r="CA52" s="577"/>
      <c r="CB52" s="577"/>
      <c r="CC52" s="577"/>
      <c r="CD52" s="577"/>
      <c r="CE52" s="577"/>
      <c r="CF52" s="577"/>
      <c r="CG52" s="577"/>
      <c r="CH52" s="577"/>
      <c r="CI52" s="577"/>
      <c r="CJ52" s="577"/>
      <c r="CK52" s="577"/>
      <c r="CL52" s="577"/>
      <c r="CM52" s="577"/>
      <c r="CN52" s="577"/>
      <c r="CO52" s="577"/>
      <c r="CP52" s="577"/>
      <c r="CQ52" s="577"/>
      <c r="CR52" s="577"/>
      <c r="CS52" s="577"/>
      <c r="CT52" s="577"/>
    </row>
    <row r="53" spans="2:98" s="15" customFormat="1" x14ac:dyDescent="0.2">
      <c r="B53" s="411"/>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1"/>
      <c r="AF53" s="563"/>
      <c r="AG53" s="559"/>
      <c r="AH53" s="559"/>
      <c r="AI53" s="559"/>
      <c r="AJ53" s="559"/>
      <c r="AK53" s="559"/>
      <c r="AL53" s="559"/>
      <c r="AM53" s="559"/>
      <c r="AN53" s="559"/>
      <c r="AO53" s="559"/>
      <c r="AP53" s="559"/>
      <c r="AQ53" s="560"/>
      <c r="AR53" s="560"/>
      <c r="AS53" s="564"/>
      <c r="AT53" s="564"/>
      <c r="AU53" s="576"/>
      <c r="AV53" s="576"/>
      <c r="AW53" s="576"/>
      <c r="AX53" s="576"/>
      <c r="AY53" s="576"/>
      <c r="AZ53" s="576"/>
      <c r="BA53" s="576"/>
      <c r="BB53" s="576"/>
      <c r="BC53" s="576"/>
      <c r="BD53" s="576"/>
      <c r="BE53" s="576"/>
      <c r="BF53" s="576"/>
      <c r="BG53" s="576"/>
      <c r="BH53" s="576"/>
      <c r="BI53" s="576"/>
      <c r="BJ53" s="576"/>
      <c r="BK53" s="576"/>
      <c r="BL53" s="576"/>
      <c r="BM53" s="576"/>
      <c r="BN53" s="576"/>
      <c r="BO53" s="577"/>
      <c r="BP53" s="577"/>
      <c r="BQ53" s="577"/>
      <c r="BR53" s="577"/>
      <c r="BS53" s="577"/>
      <c r="BT53" s="577"/>
      <c r="BU53" s="577"/>
      <c r="BV53" s="577"/>
      <c r="BW53" s="577"/>
      <c r="BX53" s="577"/>
      <c r="BY53" s="577"/>
      <c r="BZ53" s="577"/>
      <c r="CA53" s="577"/>
      <c r="CB53" s="577"/>
      <c r="CC53" s="577"/>
      <c r="CD53" s="577"/>
      <c r="CE53" s="577"/>
      <c r="CF53" s="577"/>
      <c r="CG53" s="577"/>
      <c r="CH53" s="577"/>
      <c r="CI53" s="577"/>
      <c r="CJ53" s="577"/>
      <c r="CK53" s="577"/>
      <c r="CL53" s="577"/>
      <c r="CM53" s="577"/>
      <c r="CN53" s="577"/>
      <c r="CO53" s="577"/>
      <c r="CP53" s="577"/>
      <c r="CQ53" s="577"/>
      <c r="CR53" s="577"/>
      <c r="CS53" s="577"/>
      <c r="CT53" s="577"/>
    </row>
    <row r="54" spans="2:98" s="15" customFormat="1" x14ac:dyDescent="0.2">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563"/>
      <c r="AG54" s="559"/>
      <c r="AH54" s="559"/>
      <c r="AI54" s="559"/>
      <c r="AJ54" s="559"/>
      <c r="AK54" s="559"/>
      <c r="AL54" s="559"/>
      <c r="AM54" s="559"/>
      <c r="AN54" s="559"/>
      <c r="AO54" s="559"/>
      <c r="AP54" s="559"/>
      <c r="AQ54" s="560"/>
      <c r="AR54" s="560"/>
      <c r="AS54" s="564"/>
      <c r="AT54" s="564"/>
      <c r="AU54" s="576"/>
      <c r="AV54" s="576"/>
      <c r="AW54" s="576"/>
      <c r="AX54" s="576"/>
      <c r="AY54" s="576"/>
      <c r="AZ54" s="576"/>
      <c r="BA54" s="576"/>
      <c r="BB54" s="576"/>
      <c r="BC54" s="576"/>
      <c r="BD54" s="576"/>
      <c r="BE54" s="576"/>
      <c r="BF54" s="576"/>
      <c r="BG54" s="576"/>
      <c r="BH54" s="576"/>
      <c r="BI54" s="576"/>
      <c r="BJ54" s="576"/>
      <c r="BK54" s="576"/>
      <c r="BL54" s="576"/>
      <c r="BM54" s="576"/>
      <c r="BN54" s="576"/>
      <c r="BO54" s="577"/>
      <c r="BP54" s="577"/>
      <c r="BQ54" s="577"/>
      <c r="BR54" s="577"/>
      <c r="BS54" s="577"/>
      <c r="BT54" s="577"/>
      <c r="BU54" s="577"/>
      <c r="BV54" s="577"/>
      <c r="BW54" s="577"/>
      <c r="BX54" s="577"/>
      <c r="BY54" s="577"/>
      <c r="BZ54" s="577"/>
      <c r="CA54" s="577"/>
      <c r="CB54" s="577"/>
      <c r="CC54" s="577"/>
      <c r="CD54" s="577"/>
      <c r="CE54" s="577"/>
      <c r="CF54" s="577"/>
      <c r="CG54" s="577"/>
      <c r="CH54" s="577"/>
      <c r="CI54" s="577"/>
      <c r="CJ54" s="577"/>
      <c r="CK54" s="577"/>
      <c r="CL54" s="577"/>
      <c r="CM54" s="577"/>
      <c r="CN54" s="577"/>
      <c r="CO54" s="577"/>
      <c r="CP54" s="577"/>
      <c r="CQ54" s="577"/>
      <c r="CR54" s="577"/>
      <c r="CS54" s="577"/>
      <c r="CT54" s="577"/>
    </row>
    <row r="55" spans="2:98" s="15" customFormat="1" x14ac:dyDescent="0.2">
      <c r="B55" s="411"/>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563"/>
      <c r="AG55" s="559"/>
      <c r="AH55" s="559"/>
      <c r="AI55" s="559"/>
      <c r="AJ55" s="559"/>
      <c r="AK55" s="559"/>
      <c r="AL55" s="559"/>
      <c r="AM55" s="559"/>
      <c r="AN55" s="559"/>
      <c r="AO55" s="559"/>
      <c r="AP55" s="559"/>
      <c r="AQ55" s="560"/>
      <c r="AR55" s="560"/>
      <c r="AS55" s="564"/>
      <c r="AT55" s="564"/>
      <c r="AU55" s="576"/>
      <c r="AV55" s="576"/>
      <c r="AW55" s="576"/>
      <c r="AX55" s="576"/>
      <c r="AY55" s="576"/>
      <c r="AZ55" s="576"/>
      <c r="BA55" s="576"/>
      <c r="BB55" s="576"/>
      <c r="BC55" s="576"/>
      <c r="BD55" s="576"/>
      <c r="BE55" s="576"/>
      <c r="BF55" s="576"/>
      <c r="BG55" s="576"/>
      <c r="BH55" s="576"/>
      <c r="BI55" s="576"/>
      <c r="BJ55" s="576"/>
      <c r="BK55" s="576"/>
      <c r="BL55" s="576"/>
      <c r="BM55" s="576"/>
      <c r="BN55" s="576"/>
      <c r="BO55" s="577"/>
      <c r="BP55" s="577"/>
      <c r="BQ55" s="577"/>
      <c r="BR55" s="577"/>
      <c r="BS55" s="577"/>
      <c r="BT55" s="577"/>
      <c r="BU55" s="577"/>
      <c r="BV55" s="577"/>
      <c r="BW55" s="577"/>
      <c r="BX55" s="577"/>
      <c r="BY55" s="577"/>
      <c r="BZ55" s="577"/>
      <c r="CA55" s="577"/>
      <c r="CB55" s="577"/>
      <c r="CC55" s="577"/>
      <c r="CD55" s="577"/>
      <c r="CE55" s="577"/>
      <c r="CF55" s="577"/>
      <c r="CG55" s="577"/>
      <c r="CH55" s="577"/>
      <c r="CI55" s="577"/>
      <c r="CJ55" s="577"/>
      <c r="CK55" s="577"/>
      <c r="CL55" s="577"/>
      <c r="CM55" s="577"/>
      <c r="CN55" s="577"/>
      <c r="CO55" s="577"/>
      <c r="CP55" s="577"/>
      <c r="CQ55" s="577"/>
      <c r="CR55" s="577"/>
      <c r="CS55" s="577"/>
      <c r="CT55" s="577"/>
    </row>
    <row r="56" spans="2:98" s="15" customFormat="1" x14ac:dyDescent="0.2">
      <c r="B56" s="411"/>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563"/>
      <c r="AG56" s="559"/>
      <c r="AH56" s="559"/>
      <c r="AI56" s="559"/>
      <c r="AJ56" s="559"/>
      <c r="AK56" s="559"/>
      <c r="AL56" s="559"/>
      <c r="AM56" s="559"/>
      <c r="AN56" s="559"/>
      <c r="AO56" s="559"/>
      <c r="AP56" s="559"/>
      <c r="AQ56" s="560"/>
      <c r="AR56" s="560"/>
      <c r="AS56" s="564"/>
      <c r="AT56" s="564"/>
      <c r="AU56" s="576"/>
      <c r="AV56" s="576"/>
      <c r="AW56" s="576"/>
      <c r="AX56" s="576"/>
      <c r="AY56" s="576"/>
      <c r="AZ56" s="576"/>
      <c r="BA56" s="576"/>
      <c r="BB56" s="576"/>
      <c r="BC56" s="576"/>
      <c r="BD56" s="576"/>
      <c r="BE56" s="576"/>
      <c r="BF56" s="576"/>
      <c r="BG56" s="576"/>
      <c r="BH56" s="576"/>
      <c r="BI56" s="576"/>
      <c r="BJ56" s="576"/>
      <c r="BK56" s="576"/>
      <c r="BL56" s="576"/>
      <c r="BM56" s="576"/>
      <c r="BN56" s="576"/>
      <c r="BO56" s="577"/>
      <c r="BP56" s="577"/>
      <c r="BQ56" s="577"/>
      <c r="BR56" s="577"/>
      <c r="BS56" s="577"/>
      <c r="BT56" s="577"/>
      <c r="BU56" s="577"/>
      <c r="BV56" s="577"/>
      <c r="BW56" s="577"/>
      <c r="BX56" s="577"/>
      <c r="BY56" s="577"/>
      <c r="BZ56" s="577"/>
      <c r="CA56" s="577"/>
      <c r="CB56" s="577"/>
      <c r="CC56" s="577"/>
      <c r="CD56" s="577"/>
      <c r="CE56" s="577"/>
      <c r="CF56" s="577"/>
      <c r="CG56" s="577"/>
      <c r="CH56" s="577"/>
      <c r="CI56" s="577"/>
      <c r="CJ56" s="577"/>
      <c r="CK56" s="577"/>
      <c r="CL56" s="577"/>
      <c r="CM56" s="577"/>
      <c r="CN56" s="577"/>
      <c r="CO56" s="577"/>
      <c r="CP56" s="577"/>
      <c r="CQ56" s="577"/>
      <c r="CR56" s="577"/>
      <c r="CS56" s="577"/>
      <c r="CT56" s="577"/>
    </row>
    <row r="57" spans="2:98" s="15" customFormat="1" x14ac:dyDescent="0.2">
      <c r="B57" s="411"/>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563"/>
      <c r="AG57" s="559"/>
      <c r="AH57" s="559"/>
      <c r="AI57" s="559"/>
      <c r="AJ57" s="559"/>
      <c r="AK57" s="559"/>
      <c r="AL57" s="559"/>
      <c r="AM57" s="559"/>
      <c r="AN57" s="559"/>
      <c r="AO57" s="559"/>
      <c r="AP57" s="559"/>
      <c r="AQ57" s="560"/>
      <c r="AR57" s="560"/>
      <c r="AS57" s="564"/>
      <c r="AT57" s="564"/>
      <c r="AU57" s="576"/>
      <c r="AV57" s="576"/>
      <c r="AW57" s="576"/>
      <c r="AX57" s="576"/>
      <c r="AY57" s="576"/>
      <c r="AZ57" s="576"/>
      <c r="BA57" s="576"/>
      <c r="BB57" s="576"/>
      <c r="BC57" s="576"/>
      <c r="BD57" s="576"/>
      <c r="BE57" s="576"/>
      <c r="BF57" s="576"/>
      <c r="BG57" s="576"/>
      <c r="BH57" s="576"/>
      <c r="BI57" s="576"/>
      <c r="BJ57" s="576"/>
      <c r="BK57" s="576"/>
      <c r="BL57" s="576"/>
      <c r="BM57" s="576"/>
      <c r="BN57" s="576"/>
      <c r="BO57" s="577"/>
      <c r="BP57" s="577"/>
      <c r="BQ57" s="577"/>
      <c r="BR57" s="577"/>
      <c r="BS57" s="577"/>
      <c r="BT57" s="577"/>
      <c r="BU57" s="577"/>
      <c r="BV57" s="577"/>
      <c r="BW57" s="577"/>
      <c r="BX57" s="577"/>
      <c r="BY57" s="577"/>
      <c r="BZ57" s="577"/>
      <c r="CA57" s="577"/>
      <c r="CB57" s="577"/>
      <c r="CC57" s="577"/>
      <c r="CD57" s="577"/>
      <c r="CE57" s="577"/>
      <c r="CF57" s="577"/>
      <c r="CG57" s="577"/>
      <c r="CH57" s="577"/>
      <c r="CI57" s="577"/>
      <c r="CJ57" s="577"/>
      <c r="CK57" s="577"/>
      <c r="CL57" s="577"/>
      <c r="CM57" s="577"/>
      <c r="CN57" s="577"/>
      <c r="CO57" s="577"/>
      <c r="CP57" s="577"/>
      <c r="CQ57" s="577"/>
      <c r="CR57" s="577"/>
      <c r="CS57" s="577"/>
      <c r="CT57" s="577"/>
    </row>
    <row r="58" spans="2:98" s="15" customFormat="1" x14ac:dyDescent="0.2">
      <c r="B58" s="411"/>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c r="AD58" s="411"/>
      <c r="AE58" s="411"/>
      <c r="AF58" s="563"/>
      <c r="AG58" s="559"/>
      <c r="AH58" s="559"/>
      <c r="AI58" s="559"/>
      <c r="AJ58" s="559"/>
      <c r="AK58" s="559"/>
      <c r="AL58" s="559"/>
      <c r="AM58" s="559"/>
      <c r="AN58" s="559"/>
      <c r="AO58" s="559"/>
      <c r="AP58" s="559"/>
      <c r="AQ58" s="560"/>
      <c r="AR58" s="560"/>
      <c r="AS58" s="564"/>
      <c r="AT58" s="564"/>
      <c r="AU58" s="576"/>
      <c r="AV58" s="576"/>
      <c r="AW58" s="576"/>
      <c r="AX58" s="576"/>
      <c r="AY58" s="576"/>
      <c r="AZ58" s="576"/>
      <c r="BA58" s="576"/>
      <c r="BB58" s="576"/>
      <c r="BC58" s="576"/>
      <c r="BD58" s="576"/>
      <c r="BE58" s="576"/>
      <c r="BF58" s="576"/>
      <c r="BG58" s="576"/>
      <c r="BH58" s="576"/>
      <c r="BI58" s="576"/>
      <c r="BJ58" s="576"/>
      <c r="BK58" s="576"/>
      <c r="BL58" s="576"/>
      <c r="BM58" s="576"/>
      <c r="BN58" s="576"/>
      <c r="BO58" s="577"/>
      <c r="BP58" s="577"/>
      <c r="BQ58" s="577"/>
      <c r="BR58" s="577"/>
      <c r="BS58" s="577"/>
      <c r="BT58" s="577"/>
      <c r="BU58" s="577"/>
      <c r="BV58" s="577"/>
      <c r="BW58" s="577"/>
      <c r="BX58" s="577"/>
      <c r="BY58" s="577"/>
      <c r="BZ58" s="577"/>
      <c r="CA58" s="577"/>
      <c r="CB58" s="577"/>
      <c r="CC58" s="577"/>
      <c r="CD58" s="577"/>
      <c r="CE58" s="577"/>
      <c r="CF58" s="577"/>
      <c r="CG58" s="577"/>
      <c r="CH58" s="577"/>
      <c r="CI58" s="577"/>
      <c r="CJ58" s="577"/>
      <c r="CK58" s="577"/>
      <c r="CL58" s="577"/>
      <c r="CM58" s="577"/>
      <c r="CN58" s="577"/>
      <c r="CO58" s="577"/>
      <c r="CP58" s="577"/>
      <c r="CQ58" s="577"/>
      <c r="CR58" s="577"/>
      <c r="CS58" s="577"/>
      <c r="CT58" s="577"/>
    </row>
    <row r="59" spans="2:98" s="15" customFormat="1" x14ac:dyDescent="0.2">
      <c r="B59" s="411"/>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c r="AD59" s="411"/>
      <c r="AE59" s="411"/>
      <c r="AF59" s="563"/>
      <c r="AG59" s="559"/>
      <c r="AH59" s="559"/>
      <c r="AI59" s="559"/>
      <c r="AJ59" s="559"/>
      <c r="AK59" s="559"/>
      <c r="AL59" s="559"/>
      <c r="AM59" s="559"/>
      <c r="AN59" s="559"/>
      <c r="AO59" s="559"/>
      <c r="AP59" s="559"/>
      <c r="AQ59" s="560"/>
      <c r="AR59" s="560"/>
      <c r="AS59" s="564"/>
      <c r="AT59" s="564"/>
      <c r="AU59" s="576"/>
      <c r="AV59" s="576"/>
      <c r="AW59" s="576"/>
      <c r="AX59" s="576"/>
      <c r="AY59" s="576"/>
      <c r="AZ59" s="576"/>
      <c r="BA59" s="576"/>
      <c r="BB59" s="576"/>
      <c r="BC59" s="576"/>
      <c r="BD59" s="576"/>
      <c r="BE59" s="576"/>
      <c r="BF59" s="576"/>
      <c r="BG59" s="576"/>
      <c r="BH59" s="576"/>
      <c r="BI59" s="576"/>
      <c r="BJ59" s="576"/>
      <c r="BK59" s="576"/>
      <c r="BL59" s="576"/>
      <c r="BM59" s="576"/>
      <c r="BN59" s="576"/>
      <c r="BO59" s="577"/>
      <c r="BP59" s="577"/>
      <c r="BQ59" s="577"/>
      <c r="BR59" s="577"/>
      <c r="BS59" s="577"/>
      <c r="BT59" s="577"/>
      <c r="BU59" s="577"/>
      <c r="BV59" s="577"/>
      <c r="BW59" s="577"/>
      <c r="BX59" s="577"/>
      <c r="BY59" s="577"/>
      <c r="BZ59" s="577"/>
      <c r="CA59" s="577"/>
      <c r="CB59" s="577"/>
      <c r="CC59" s="577"/>
      <c r="CD59" s="577"/>
      <c r="CE59" s="577"/>
      <c r="CF59" s="577"/>
      <c r="CG59" s="577"/>
      <c r="CH59" s="577"/>
      <c r="CI59" s="577"/>
      <c r="CJ59" s="577"/>
      <c r="CK59" s="577"/>
      <c r="CL59" s="577"/>
      <c r="CM59" s="577"/>
      <c r="CN59" s="577"/>
      <c r="CO59" s="577"/>
      <c r="CP59" s="577"/>
      <c r="CQ59" s="577"/>
      <c r="CR59" s="577"/>
      <c r="CS59" s="577"/>
      <c r="CT59" s="577"/>
    </row>
    <row r="60" spans="2:98" s="15" customFormat="1" x14ac:dyDescent="0.2">
      <c r="B60" s="411"/>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c r="AD60" s="411"/>
      <c r="AE60" s="411"/>
      <c r="AF60" s="563"/>
      <c r="AG60" s="559"/>
      <c r="AH60" s="559"/>
      <c r="AI60" s="559"/>
      <c r="AJ60" s="559"/>
      <c r="AK60" s="559"/>
      <c r="AL60" s="559"/>
      <c r="AM60" s="559"/>
      <c r="AN60" s="559"/>
      <c r="AO60" s="559"/>
      <c r="AP60" s="559"/>
      <c r="AQ60" s="560"/>
      <c r="AR60" s="560"/>
      <c r="AS60" s="564"/>
      <c r="AT60" s="564"/>
      <c r="AU60" s="576"/>
      <c r="AV60" s="576"/>
      <c r="AW60" s="576"/>
      <c r="AX60" s="576"/>
      <c r="AY60" s="576"/>
      <c r="AZ60" s="576"/>
      <c r="BA60" s="576"/>
      <c r="BB60" s="576"/>
      <c r="BC60" s="576"/>
      <c r="BD60" s="576"/>
      <c r="BE60" s="576"/>
      <c r="BF60" s="576"/>
      <c r="BG60" s="576"/>
      <c r="BH60" s="576"/>
      <c r="BI60" s="576"/>
      <c r="BJ60" s="576"/>
      <c r="BK60" s="576"/>
      <c r="BL60" s="576"/>
      <c r="BM60" s="576"/>
      <c r="BN60" s="576"/>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row>
    <row r="61" spans="2:98" s="15" customFormat="1" x14ac:dyDescent="0.2">
      <c r="B61" s="411"/>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c r="AD61" s="411"/>
      <c r="AE61" s="411"/>
      <c r="AF61" s="563"/>
      <c r="AG61" s="559"/>
      <c r="AH61" s="559"/>
      <c r="AI61" s="559"/>
      <c r="AJ61" s="559"/>
      <c r="AK61" s="559"/>
      <c r="AL61" s="559"/>
      <c r="AM61" s="559"/>
      <c r="AN61" s="559"/>
      <c r="AO61" s="559"/>
      <c r="AP61" s="559"/>
      <c r="AQ61" s="560"/>
      <c r="AR61" s="560"/>
      <c r="AS61" s="564"/>
      <c r="AT61" s="564"/>
      <c r="AU61" s="576"/>
      <c r="AV61" s="576"/>
      <c r="AW61" s="576"/>
      <c r="AX61" s="576"/>
      <c r="AY61" s="576"/>
      <c r="AZ61" s="576"/>
      <c r="BA61" s="576"/>
      <c r="BB61" s="576"/>
      <c r="BC61" s="576"/>
      <c r="BD61" s="576"/>
      <c r="BE61" s="576"/>
      <c r="BF61" s="576"/>
      <c r="BG61" s="576"/>
      <c r="BH61" s="576"/>
      <c r="BI61" s="576"/>
      <c r="BJ61" s="576"/>
      <c r="BK61" s="576"/>
      <c r="BL61" s="576"/>
      <c r="BM61" s="576"/>
      <c r="BN61" s="576"/>
      <c r="BO61" s="577"/>
      <c r="BP61" s="577"/>
      <c r="BQ61" s="577"/>
      <c r="BR61" s="577"/>
      <c r="BS61" s="577"/>
      <c r="BT61" s="577"/>
      <c r="BU61" s="577"/>
      <c r="BV61" s="577"/>
      <c r="BW61" s="577"/>
      <c r="BX61" s="577"/>
      <c r="BY61" s="577"/>
      <c r="BZ61" s="577"/>
      <c r="CA61" s="577"/>
      <c r="CB61" s="577"/>
      <c r="CC61" s="577"/>
      <c r="CD61" s="577"/>
      <c r="CE61" s="577"/>
      <c r="CF61" s="577"/>
      <c r="CG61" s="577"/>
      <c r="CH61" s="577"/>
      <c r="CI61" s="577"/>
      <c r="CJ61" s="577"/>
      <c r="CK61" s="577"/>
      <c r="CL61" s="577"/>
      <c r="CM61" s="577"/>
      <c r="CN61" s="577"/>
      <c r="CO61" s="577"/>
      <c r="CP61" s="577"/>
      <c r="CQ61" s="577"/>
      <c r="CR61" s="577"/>
      <c r="CS61" s="577"/>
      <c r="CT61" s="577"/>
    </row>
    <row r="62" spans="2:98" s="15" customFormat="1" x14ac:dyDescent="0.2">
      <c r="B62" s="411"/>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c r="AD62" s="411"/>
      <c r="AE62" s="411"/>
      <c r="AF62" s="563"/>
      <c r="AG62" s="559"/>
      <c r="AH62" s="559"/>
      <c r="AI62" s="559"/>
      <c r="AJ62" s="559"/>
      <c r="AK62" s="559"/>
      <c r="AL62" s="559"/>
      <c r="AM62" s="559"/>
      <c r="AN62" s="559"/>
      <c r="AO62" s="559"/>
      <c r="AP62" s="559"/>
      <c r="AQ62" s="560"/>
      <c r="AR62" s="560"/>
      <c r="AS62" s="564"/>
      <c r="AT62" s="564"/>
      <c r="AU62" s="576"/>
      <c r="AV62" s="576"/>
      <c r="AW62" s="576"/>
      <c r="AX62" s="576"/>
      <c r="AY62" s="576"/>
      <c r="AZ62" s="576"/>
      <c r="BA62" s="576"/>
      <c r="BB62" s="576"/>
      <c r="BC62" s="576"/>
      <c r="BD62" s="576"/>
      <c r="BE62" s="576"/>
      <c r="BF62" s="576"/>
      <c r="BG62" s="576"/>
      <c r="BH62" s="576"/>
      <c r="BI62" s="576"/>
      <c r="BJ62" s="576"/>
      <c r="BK62" s="576"/>
      <c r="BL62" s="576"/>
      <c r="BM62" s="576"/>
      <c r="BN62" s="576"/>
      <c r="BO62" s="577"/>
      <c r="BP62" s="577"/>
      <c r="BQ62" s="577"/>
      <c r="BR62" s="577"/>
      <c r="BS62" s="577"/>
      <c r="BT62" s="577"/>
      <c r="BU62" s="577"/>
      <c r="BV62" s="577"/>
      <c r="BW62" s="577"/>
      <c r="BX62" s="577"/>
      <c r="BY62" s="577"/>
      <c r="BZ62" s="577"/>
      <c r="CA62" s="577"/>
      <c r="CB62" s="577"/>
      <c r="CC62" s="577"/>
      <c r="CD62" s="577"/>
      <c r="CE62" s="577"/>
      <c r="CF62" s="577"/>
      <c r="CG62" s="577"/>
      <c r="CH62" s="577"/>
      <c r="CI62" s="577"/>
      <c r="CJ62" s="577"/>
      <c r="CK62" s="577"/>
      <c r="CL62" s="577"/>
      <c r="CM62" s="577"/>
      <c r="CN62" s="577"/>
      <c r="CO62" s="577"/>
      <c r="CP62" s="577"/>
      <c r="CQ62" s="577"/>
      <c r="CR62" s="577"/>
      <c r="CS62" s="577"/>
      <c r="CT62" s="577"/>
    </row>
    <row r="63" spans="2:98" s="15" customFormat="1" x14ac:dyDescent="0.2">
      <c r="B63" s="411"/>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c r="AD63" s="411"/>
      <c r="AE63" s="411"/>
      <c r="AF63" s="563"/>
      <c r="AG63" s="559"/>
      <c r="AH63" s="559"/>
      <c r="AI63" s="559"/>
      <c r="AJ63" s="559"/>
      <c r="AK63" s="559"/>
      <c r="AL63" s="559"/>
      <c r="AM63" s="559"/>
      <c r="AN63" s="559"/>
      <c r="AO63" s="559"/>
      <c r="AP63" s="559"/>
      <c r="AQ63" s="560"/>
      <c r="AR63" s="560"/>
      <c r="AS63" s="564"/>
      <c r="AT63" s="564"/>
      <c r="AU63" s="576"/>
      <c r="AV63" s="576"/>
      <c r="AW63" s="576"/>
      <c r="AX63" s="576"/>
      <c r="AY63" s="576"/>
      <c r="AZ63" s="576"/>
      <c r="BA63" s="576"/>
      <c r="BB63" s="576"/>
      <c r="BC63" s="576"/>
      <c r="BD63" s="576"/>
      <c r="BE63" s="576"/>
      <c r="BF63" s="576"/>
      <c r="BG63" s="576"/>
      <c r="BH63" s="576"/>
      <c r="BI63" s="576"/>
      <c r="BJ63" s="576"/>
      <c r="BK63" s="576"/>
      <c r="BL63" s="576"/>
      <c r="BM63" s="576"/>
      <c r="BN63" s="576"/>
      <c r="BO63" s="577"/>
      <c r="BP63" s="577"/>
      <c r="BQ63" s="577"/>
      <c r="BR63" s="577"/>
      <c r="BS63" s="577"/>
      <c r="BT63" s="577"/>
      <c r="BU63" s="577"/>
      <c r="BV63" s="577"/>
      <c r="BW63" s="577"/>
      <c r="BX63" s="577"/>
      <c r="BY63" s="577"/>
      <c r="BZ63" s="577"/>
      <c r="CA63" s="577"/>
      <c r="CB63" s="577"/>
      <c r="CC63" s="577"/>
      <c r="CD63" s="577"/>
      <c r="CE63" s="577"/>
      <c r="CF63" s="577"/>
      <c r="CG63" s="577"/>
      <c r="CH63" s="577"/>
      <c r="CI63" s="577"/>
      <c r="CJ63" s="577"/>
      <c r="CK63" s="577"/>
      <c r="CL63" s="577"/>
      <c r="CM63" s="577"/>
      <c r="CN63" s="577"/>
      <c r="CO63" s="577"/>
      <c r="CP63" s="577"/>
      <c r="CQ63" s="577"/>
      <c r="CR63" s="577"/>
      <c r="CS63" s="577"/>
      <c r="CT63" s="577"/>
    </row>
    <row r="64" spans="2:98" s="15" customFormat="1" x14ac:dyDescent="0.2">
      <c r="B64" s="411"/>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563"/>
      <c r="AG64" s="559"/>
      <c r="AH64" s="559"/>
      <c r="AI64" s="559"/>
      <c r="AJ64" s="559"/>
      <c r="AK64" s="559"/>
      <c r="AL64" s="559"/>
      <c r="AM64" s="559"/>
      <c r="AN64" s="559"/>
      <c r="AO64" s="559"/>
      <c r="AP64" s="559"/>
      <c r="AQ64" s="560"/>
      <c r="AR64" s="560"/>
      <c r="AS64" s="564"/>
      <c r="AT64" s="564"/>
      <c r="AU64" s="576"/>
      <c r="AV64" s="576"/>
      <c r="AW64" s="576"/>
      <c r="AX64" s="576"/>
      <c r="AY64" s="576"/>
      <c r="AZ64" s="576"/>
      <c r="BA64" s="576"/>
      <c r="BB64" s="576"/>
      <c r="BC64" s="576"/>
      <c r="BD64" s="576"/>
      <c r="BE64" s="576"/>
      <c r="BF64" s="576"/>
      <c r="BG64" s="576"/>
      <c r="BH64" s="576"/>
      <c r="BI64" s="576"/>
      <c r="BJ64" s="576"/>
      <c r="BK64" s="576"/>
      <c r="BL64" s="576"/>
      <c r="BM64" s="576"/>
      <c r="BN64" s="576"/>
      <c r="BO64" s="577"/>
      <c r="BP64" s="577"/>
      <c r="BQ64" s="577"/>
      <c r="BR64" s="577"/>
      <c r="BS64" s="577"/>
      <c r="BT64" s="577"/>
      <c r="BU64" s="577"/>
      <c r="BV64" s="577"/>
      <c r="BW64" s="577"/>
      <c r="BX64" s="577"/>
      <c r="BY64" s="577"/>
      <c r="BZ64" s="577"/>
      <c r="CA64" s="577"/>
      <c r="CB64" s="577"/>
      <c r="CC64" s="577"/>
      <c r="CD64" s="577"/>
      <c r="CE64" s="577"/>
      <c r="CF64" s="577"/>
      <c r="CG64" s="577"/>
      <c r="CH64" s="577"/>
      <c r="CI64" s="577"/>
      <c r="CJ64" s="577"/>
      <c r="CK64" s="577"/>
      <c r="CL64" s="577"/>
      <c r="CM64" s="577"/>
      <c r="CN64" s="577"/>
      <c r="CO64" s="577"/>
      <c r="CP64" s="577"/>
      <c r="CQ64" s="577"/>
      <c r="CR64" s="577"/>
      <c r="CS64" s="577"/>
      <c r="CT64" s="577"/>
    </row>
    <row r="65" spans="2:98" s="15" customFormat="1" x14ac:dyDescent="0.2">
      <c r="B65" s="411"/>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c r="AD65" s="411"/>
      <c r="AE65" s="411"/>
      <c r="AF65" s="563"/>
      <c r="AG65" s="559"/>
      <c r="AH65" s="559"/>
      <c r="AI65" s="559"/>
      <c r="AJ65" s="559"/>
      <c r="AK65" s="559"/>
      <c r="AL65" s="559"/>
      <c r="AM65" s="559"/>
      <c r="AN65" s="559"/>
      <c r="AO65" s="559"/>
      <c r="AP65" s="559"/>
      <c r="AQ65" s="560"/>
      <c r="AR65" s="560"/>
      <c r="AS65" s="564"/>
      <c r="AT65" s="564"/>
      <c r="AU65" s="576"/>
      <c r="AV65" s="576"/>
      <c r="AW65" s="576"/>
      <c r="AX65" s="576"/>
      <c r="AY65" s="576"/>
      <c r="AZ65" s="576"/>
      <c r="BA65" s="576"/>
      <c r="BB65" s="576"/>
      <c r="BC65" s="576"/>
      <c r="BD65" s="576"/>
      <c r="BE65" s="576"/>
      <c r="BF65" s="576"/>
      <c r="BG65" s="576"/>
      <c r="BH65" s="576"/>
      <c r="BI65" s="576"/>
      <c r="BJ65" s="576"/>
      <c r="BK65" s="576"/>
      <c r="BL65" s="576"/>
      <c r="BM65" s="576"/>
      <c r="BN65" s="576"/>
      <c r="BO65" s="577"/>
      <c r="BP65" s="577"/>
      <c r="BQ65" s="577"/>
      <c r="BR65" s="577"/>
      <c r="BS65" s="577"/>
      <c r="BT65" s="577"/>
      <c r="BU65" s="577"/>
      <c r="BV65" s="577"/>
      <c r="BW65" s="577"/>
      <c r="BX65" s="577"/>
      <c r="BY65" s="577"/>
      <c r="BZ65" s="577"/>
      <c r="CA65" s="577"/>
      <c r="CB65" s="577"/>
      <c r="CC65" s="577"/>
      <c r="CD65" s="577"/>
      <c r="CE65" s="577"/>
      <c r="CF65" s="577"/>
      <c r="CG65" s="577"/>
      <c r="CH65" s="577"/>
      <c r="CI65" s="577"/>
      <c r="CJ65" s="577"/>
      <c r="CK65" s="577"/>
      <c r="CL65" s="577"/>
      <c r="CM65" s="577"/>
      <c r="CN65" s="577"/>
      <c r="CO65" s="577"/>
      <c r="CP65" s="577"/>
      <c r="CQ65" s="577"/>
      <c r="CR65" s="577"/>
      <c r="CS65" s="577"/>
      <c r="CT65" s="577"/>
    </row>
    <row r="66" spans="2:98" s="15" customFormat="1" x14ac:dyDescent="0.2">
      <c r="B66" s="411"/>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c r="AD66" s="411"/>
      <c r="AE66" s="411"/>
      <c r="AF66" s="563"/>
      <c r="AG66" s="559"/>
      <c r="AH66" s="559"/>
      <c r="AI66" s="559"/>
      <c r="AJ66" s="559"/>
      <c r="AK66" s="559"/>
      <c r="AL66" s="559"/>
      <c r="AM66" s="559"/>
      <c r="AN66" s="559"/>
      <c r="AO66" s="559"/>
      <c r="AP66" s="559"/>
      <c r="AQ66" s="560"/>
      <c r="AR66" s="560"/>
      <c r="AS66" s="564"/>
      <c r="AT66" s="564"/>
      <c r="AU66" s="576"/>
      <c r="AV66" s="576"/>
      <c r="AW66" s="576"/>
      <c r="AX66" s="576"/>
      <c r="AY66" s="576"/>
      <c r="AZ66" s="576"/>
      <c r="BA66" s="576"/>
      <c r="BB66" s="576"/>
      <c r="BC66" s="576"/>
      <c r="BD66" s="576"/>
      <c r="BE66" s="576"/>
      <c r="BF66" s="576"/>
      <c r="BG66" s="576"/>
      <c r="BH66" s="576"/>
      <c r="BI66" s="576"/>
      <c r="BJ66" s="576"/>
      <c r="BK66" s="576"/>
      <c r="BL66" s="576"/>
      <c r="BM66" s="576"/>
      <c r="BN66" s="576"/>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row>
    <row r="67" spans="2:98" s="15" customFormat="1" x14ac:dyDescent="0.2">
      <c r="B67" s="411"/>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c r="AD67" s="411"/>
      <c r="AE67" s="411"/>
      <c r="AF67" s="563"/>
      <c r="AG67" s="559"/>
      <c r="AH67" s="559"/>
      <c r="AI67" s="559"/>
      <c r="AJ67" s="559"/>
      <c r="AK67" s="559"/>
      <c r="AL67" s="559"/>
      <c r="AM67" s="559"/>
      <c r="AN67" s="559"/>
      <c r="AO67" s="559"/>
      <c r="AP67" s="559"/>
      <c r="AQ67" s="560"/>
      <c r="AR67" s="560"/>
      <c r="AS67" s="564"/>
      <c r="AT67" s="564"/>
      <c r="AU67" s="576"/>
      <c r="AV67" s="576"/>
      <c r="AW67" s="576"/>
      <c r="AX67" s="576"/>
      <c r="AY67" s="576"/>
      <c r="AZ67" s="576"/>
      <c r="BA67" s="576"/>
      <c r="BB67" s="576"/>
      <c r="BC67" s="576"/>
      <c r="BD67" s="576"/>
      <c r="BE67" s="576"/>
      <c r="BF67" s="576"/>
      <c r="BG67" s="576"/>
      <c r="BH67" s="576"/>
      <c r="BI67" s="576"/>
      <c r="BJ67" s="576"/>
      <c r="BK67" s="576"/>
      <c r="BL67" s="576"/>
      <c r="BM67" s="576"/>
      <c r="BN67" s="576"/>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row>
    <row r="68" spans="2:98" s="15" customFormat="1" x14ac:dyDescent="0.2">
      <c r="B68" s="411"/>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c r="AD68" s="411"/>
      <c r="AE68" s="411"/>
      <c r="AF68" s="563"/>
      <c r="AG68" s="559"/>
      <c r="AH68" s="559"/>
      <c r="AI68" s="559"/>
      <c r="AJ68" s="559"/>
      <c r="AK68" s="559"/>
      <c r="AL68" s="559"/>
      <c r="AM68" s="559"/>
      <c r="AN68" s="559"/>
      <c r="AO68" s="559"/>
      <c r="AP68" s="559"/>
      <c r="AQ68" s="560"/>
      <c r="AR68" s="560"/>
      <c r="AS68" s="564"/>
      <c r="AT68" s="564"/>
      <c r="AU68" s="576"/>
      <c r="AV68" s="576"/>
      <c r="AW68" s="576"/>
      <c r="AX68" s="576"/>
      <c r="AY68" s="576"/>
      <c r="AZ68" s="576"/>
      <c r="BA68" s="576"/>
      <c r="BB68" s="576"/>
      <c r="BC68" s="576"/>
      <c r="BD68" s="576"/>
      <c r="BE68" s="576"/>
      <c r="BF68" s="576"/>
      <c r="BG68" s="576"/>
      <c r="BH68" s="576"/>
      <c r="BI68" s="576"/>
      <c r="BJ68" s="576"/>
      <c r="BK68" s="576"/>
      <c r="BL68" s="576"/>
      <c r="BM68" s="576"/>
      <c r="BN68" s="576"/>
      <c r="BO68" s="577"/>
      <c r="BP68" s="577"/>
      <c r="BQ68" s="577"/>
      <c r="BR68" s="577"/>
      <c r="BS68" s="577"/>
      <c r="BT68" s="577"/>
      <c r="BU68" s="577"/>
      <c r="BV68" s="577"/>
      <c r="BW68" s="577"/>
      <c r="BX68" s="577"/>
      <c r="BY68" s="577"/>
      <c r="BZ68" s="577"/>
      <c r="CA68" s="577"/>
      <c r="CB68" s="577"/>
      <c r="CC68" s="577"/>
      <c r="CD68" s="577"/>
      <c r="CE68" s="577"/>
      <c r="CF68" s="577"/>
      <c r="CG68" s="577"/>
      <c r="CH68" s="577"/>
      <c r="CI68" s="577"/>
      <c r="CJ68" s="577"/>
      <c r="CK68" s="577"/>
      <c r="CL68" s="577"/>
      <c r="CM68" s="577"/>
      <c r="CN68" s="577"/>
      <c r="CO68" s="577"/>
      <c r="CP68" s="577"/>
      <c r="CQ68" s="577"/>
      <c r="CR68" s="577"/>
      <c r="CS68" s="577"/>
      <c r="CT68" s="577"/>
    </row>
    <row r="69" spans="2:98" s="15" customFormat="1" x14ac:dyDescent="0.2">
      <c r="B69" s="411"/>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c r="AD69" s="411"/>
      <c r="AE69" s="411"/>
      <c r="AF69" s="563"/>
      <c r="AG69" s="559"/>
      <c r="AH69" s="559"/>
      <c r="AI69" s="559"/>
      <c r="AJ69" s="559"/>
      <c r="AK69" s="559"/>
      <c r="AL69" s="559"/>
      <c r="AM69" s="559"/>
      <c r="AN69" s="559"/>
      <c r="AO69" s="559"/>
      <c r="AP69" s="559"/>
      <c r="AQ69" s="560"/>
      <c r="AR69" s="560"/>
      <c r="AS69" s="564"/>
      <c r="AT69" s="564"/>
      <c r="AU69" s="576"/>
      <c r="AV69" s="576"/>
      <c r="AW69" s="576"/>
      <c r="AX69" s="576"/>
      <c r="AY69" s="576"/>
      <c r="AZ69" s="576"/>
      <c r="BA69" s="576"/>
      <c r="BB69" s="576"/>
      <c r="BC69" s="576"/>
      <c r="BD69" s="576"/>
      <c r="BE69" s="576"/>
      <c r="BF69" s="576"/>
      <c r="BG69" s="576"/>
      <c r="BH69" s="576"/>
      <c r="BI69" s="576"/>
      <c r="BJ69" s="576"/>
      <c r="BK69" s="576"/>
      <c r="BL69" s="576"/>
      <c r="BM69" s="576"/>
      <c r="BN69" s="576"/>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row>
    <row r="70" spans="2:98" s="15" customFormat="1" x14ac:dyDescent="0.2">
      <c r="B70" s="411"/>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c r="AD70" s="411"/>
      <c r="AE70" s="411"/>
      <c r="AF70" s="563"/>
      <c r="AG70" s="559"/>
      <c r="AH70" s="559"/>
      <c r="AI70" s="559"/>
      <c r="AJ70" s="559"/>
      <c r="AK70" s="559"/>
      <c r="AL70" s="559"/>
      <c r="AM70" s="559"/>
      <c r="AN70" s="559"/>
      <c r="AO70" s="559"/>
      <c r="AP70" s="559"/>
      <c r="AQ70" s="560"/>
      <c r="AR70" s="560"/>
      <c r="AS70" s="564"/>
      <c r="AT70" s="564"/>
      <c r="AU70" s="576"/>
      <c r="AV70" s="576"/>
      <c r="AW70" s="576"/>
      <c r="AX70" s="576"/>
      <c r="AY70" s="576"/>
      <c r="AZ70" s="576"/>
      <c r="BA70" s="576"/>
      <c r="BB70" s="576"/>
      <c r="BC70" s="576"/>
      <c r="BD70" s="576"/>
      <c r="BE70" s="576"/>
      <c r="BF70" s="576"/>
      <c r="BG70" s="576"/>
      <c r="BH70" s="576"/>
      <c r="BI70" s="576"/>
      <c r="BJ70" s="576"/>
      <c r="BK70" s="576"/>
      <c r="BL70" s="576"/>
      <c r="BM70" s="576"/>
      <c r="BN70" s="576"/>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577"/>
      <c r="CL70" s="577"/>
      <c r="CM70" s="577"/>
      <c r="CN70" s="577"/>
      <c r="CO70" s="577"/>
      <c r="CP70" s="577"/>
      <c r="CQ70" s="577"/>
      <c r="CR70" s="577"/>
      <c r="CS70" s="577"/>
      <c r="CT70" s="577"/>
    </row>
    <row r="71" spans="2:98" s="15" customFormat="1" x14ac:dyDescent="0.2">
      <c r="B71" s="411"/>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c r="AD71" s="411"/>
      <c r="AE71" s="411"/>
      <c r="AF71" s="563"/>
      <c r="AG71" s="559"/>
      <c r="AH71" s="559"/>
      <c r="AI71" s="559"/>
      <c r="AJ71" s="559"/>
      <c r="AK71" s="559"/>
      <c r="AL71" s="559"/>
      <c r="AM71" s="559"/>
      <c r="AN71" s="559"/>
      <c r="AO71" s="559"/>
      <c r="AP71" s="559"/>
      <c r="AQ71" s="560"/>
      <c r="AR71" s="560"/>
      <c r="AS71" s="564"/>
      <c r="AT71" s="564"/>
      <c r="AU71" s="576"/>
      <c r="AV71" s="576"/>
      <c r="AW71" s="576"/>
      <c r="AX71" s="576"/>
      <c r="AY71" s="576"/>
      <c r="AZ71" s="576"/>
      <c r="BA71" s="576"/>
      <c r="BB71" s="576"/>
      <c r="BC71" s="576"/>
      <c r="BD71" s="576"/>
      <c r="BE71" s="576"/>
      <c r="BF71" s="576"/>
      <c r="BG71" s="576"/>
      <c r="BH71" s="576"/>
      <c r="BI71" s="576"/>
      <c r="BJ71" s="576"/>
      <c r="BK71" s="576"/>
      <c r="BL71" s="576"/>
      <c r="BM71" s="576"/>
      <c r="BN71" s="576"/>
      <c r="BO71" s="577"/>
      <c r="BP71" s="577"/>
      <c r="BQ71" s="577"/>
      <c r="BR71" s="577"/>
      <c r="BS71" s="577"/>
      <c r="BT71" s="577"/>
      <c r="BU71" s="577"/>
      <c r="BV71" s="577"/>
      <c r="BW71" s="577"/>
      <c r="BX71" s="577"/>
      <c r="BY71" s="577"/>
      <c r="BZ71" s="577"/>
      <c r="CA71" s="577"/>
      <c r="CB71" s="577"/>
      <c r="CC71" s="577"/>
      <c r="CD71" s="577"/>
      <c r="CE71" s="577"/>
      <c r="CF71" s="577"/>
      <c r="CG71" s="577"/>
      <c r="CH71" s="577"/>
      <c r="CI71" s="577"/>
      <c r="CJ71" s="577"/>
      <c r="CK71" s="577"/>
      <c r="CL71" s="577"/>
      <c r="CM71" s="577"/>
      <c r="CN71" s="577"/>
      <c r="CO71" s="577"/>
      <c r="CP71" s="577"/>
      <c r="CQ71" s="577"/>
      <c r="CR71" s="577"/>
      <c r="CS71" s="577"/>
      <c r="CT71" s="577"/>
    </row>
    <row r="72" spans="2:98" s="15" customFormat="1" x14ac:dyDescent="0.2">
      <c r="B72" s="411"/>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c r="AD72" s="411"/>
      <c r="AE72" s="411"/>
      <c r="AF72" s="563"/>
      <c r="AG72" s="559"/>
      <c r="AH72" s="559"/>
      <c r="AI72" s="559"/>
      <c r="AJ72" s="559"/>
      <c r="AK72" s="559"/>
      <c r="AL72" s="559"/>
      <c r="AM72" s="559"/>
      <c r="AN72" s="559"/>
      <c r="AO72" s="559"/>
      <c r="AP72" s="559"/>
      <c r="AQ72" s="560"/>
      <c r="AR72" s="560"/>
      <c r="AS72" s="564"/>
      <c r="AT72" s="564"/>
      <c r="AU72" s="576"/>
      <c r="AV72" s="576"/>
      <c r="AW72" s="576"/>
      <c r="AX72" s="576"/>
      <c r="AY72" s="576"/>
      <c r="AZ72" s="576"/>
      <c r="BA72" s="576"/>
      <c r="BB72" s="576"/>
      <c r="BC72" s="576"/>
      <c r="BD72" s="576"/>
      <c r="BE72" s="576"/>
      <c r="BF72" s="576"/>
      <c r="BG72" s="576"/>
      <c r="BH72" s="576"/>
      <c r="BI72" s="576"/>
      <c r="BJ72" s="576"/>
      <c r="BK72" s="576"/>
      <c r="BL72" s="576"/>
      <c r="BM72" s="576"/>
      <c r="BN72" s="576"/>
      <c r="BO72" s="577"/>
      <c r="BP72" s="577"/>
      <c r="BQ72" s="577"/>
      <c r="BR72" s="577"/>
      <c r="BS72" s="577"/>
      <c r="BT72" s="577"/>
      <c r="BU72" s="577"/>
      <c r="BV72" s="577"/>
      <c r="BW72" s="577"/>
      <c r="BX72" s="577"/>
      <c r="BY72" s="577"/>
      <c r="BZ72" s="577"/>
      <c r="CA72" s="577"/>
      <c r="CB72" s="577"/>
      <c r="CC72" s="577"/>
      <c r="CD72" s="577"/>
      <c r="CE72" s="577"/>
      <c r="CF72" s="577"/>
      <c r="CG72" s="577"/>
      <c r="CH72" s="577"/>
      <c r="CI72" s="577"/>
      <c r="CJ72" s="577"/>
      <c r="CK72" s="577"/>
      <c r="CL72" s="577"/>
      <c r="CM72" s="577"/>
      <c r="CN72" s="577"/>
      <c r="CO72" s="577"/>
      <c r="CP72" s="577"/>
      <c r="CQ72" s="577"/>
      <c r="CR72" s="577"/>
      <c r="CS72" s="577"/>
      <c r="CT72" s="577"/>
    </row>
    <row r="73" spans="2:98" s="15" customFormat="1" x14ac:dyDescent="0.2">
      <c r="B73" s="411"/>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c r="AD73" s="411"/>
      <c r="AE73" s="411"/>
      <c r="AF73" s="563"/>
      <c r="AG73" s="559"/>
      <c r="AH73" s="559"/>
      <c r="AI73" s="559"/>
      <c r="AJ73" s="559"/>
      <c r="AK73" s="559"/>
      <c r="AL73" s="559"/>
      <c r="AM73" s="559"/>
      <c r="AN73" s="559"/>
      <c r="AO73" s="559"/>
      <c r="AP73" s="559"/>
      <c r="AQ73" s="560"/>
      <c r="AR73" s="560"/>
      <c r="AS73" s="564"/>
      <c r="AT73" s="564"/>
      <c r="AU73" s="576"/>
      <c r="AV73" s="576"/>
      <c r="AW73" s="576"/>
      <c r="AX73" s="576"/>
      <c r="AY73" s="576"/>
      <c r="AZ73" s="576"/>
      <c r="BA73" s="576"/>
      <c r="BB73" s="576"/>
      <c r="BC73" s="576"/>
      <c r="BD73" s="576"/>
      <c r="BE73" s="576"/>
      <c r="BF73" s="576"/>
      <c r="BG73" s="576"/>
      <c r="BH73" s="576"/>
      <c r="BI73" s="576"/>
      <c r="BJ73" s="576"/>
      <c r="BK73" s="576"/>
      <c r="BL73" s="576"/>
      <c r="BM73" s="576"/>
      <c r="BN73" s="576"/>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row>
    <row r="74" spans="2:98" s="15" customFormat="1" x14ac:dyDescent="0.2">
      <c r="B74" s="411"/>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c r="AD74" s="411"/>
      <c r="AE74" s="411"/>
      <c r="AF74" s="563"/>
      <c r="AG74" s="559"/>
      <c r="AH74" s="559"/>
      <c r="AI74" s="559"/>
      <c r="AJ74" s="559"/>
      <c r="AK74" s="559"/>
      <c r="AL74" s="559"/>
      <c r="AM74" s="559"/>
      <c r="AN74" s="559"/>
      <c r="AO74" s="559"/>
      <c r="AP74" s="559"/>
      <c r="AQ74" s="560"/>
      <c r="AR74" s="560"/>
      <c r="AS74" s="564"/>
      <c r="AT74" s="564"/>
      <c r="AU74" s="576"/>
      <c r="AV74" s="576"/>
      <c r="AW74" s="576"/>
      <c r="AX74" s="576"/>
      <c r="AY74" s="576"/>
      <c r="AZ74" s="576"/>
      <c r="BA74" s="576"/>
      <c r="BB74" s="576"/>
      <c r="BC74" s="576"/>
      <c r="BD74" s="576"/>
      <c r="BE74" s="576"/>
      <c r="BF74" s="576"/>
      <c r="BG74" s="576"/>
      <c r="BH74" s="576"/>
      <c r="BI74" s="576"/>
      <c r="BJ74" s="576"/>
      <c r="BK74" s="576"/>
      <c r="BL74" s="576"/>
      <c r="BM74" s="576"/>
      <c r="BN74" s="576"/>
      <c r="BO74" s="577"/>
      <c r="BP74" s="577"/>
      <c r="BQ74" s="577"/>
      <c r="BR74" s="577"/>
      <c r="BS74" s="577"/>
      <c r="BT74" s="577"/>
      <c r="BU74" s="577"/>
      <c r="BV74" s="577"/>
      <c r="BW74" s="577"/>
      <c r="BX74" s="577"/>
      <c r="BY74" s="577"/>
      <c r="BZ74" s="577"/>
      <c r="CA74" s="577"/>
      <c r="CB74" s="577"/>
      <c r="CC74" s="577"/>
      <c r="CD74" s="577"/>
      <c r="CE74" s="577"/>
      <c r="CF74" s="577"/>
      <c r="CG74" s="577"/>
      <c r="CH74" s="577"/>
      <c r="CI74" s="577"/>
      <c r="CJ74" s="577"/>
      <c r="CK74" s="577"/>
      <c r="CL74" s="577"/>
      <c r="CM74" s="577"/>
      <c r="CN74" s="577"/>
      <c r="CO74" s="577"/>
      <c r="CP74" s="577"/>
      <c r="CQ74" s="577"/>
      <c r="CR74" s="577"/>
      <c r="CS74" s="577"/>
      <c r="CT74" s="577"/>
    </row>
    <row r="75" spans="2:98" s="15" customFormat="1" x14ac:dyDescent="0.2">
      <c r="B75" s="411"/>
      <c r="C75" s="411"/>
      <c r="D75" s="411"/>
      <c r="E75" s="411"/>
      <c r="F75" s="411"/>
      <c r="G75" s="411"/>
      <c r="H75" s="411"/>
      <c r="I75" s="411"/>
      <c r="J75" s="411"/>
      <c r="K75" s="411"/>
      <c r="L75" s="411"/>
      <c r="M75" s="411"/>
      <c r="N75" s="411"/>
      <c r="O75" s="411"/>
      <c r="P75" s="411"/>
      <c r="Q75" s="411"/>
      <c r="R75" s="411"/>
      <c r="S75" s="411"/>
      <c r="T75" s="411"/>
      <c r="U75" s="411"/>
      <c r="V75" s="411"/>
      <c r="W75" s="411"/>
      <c r="X75" s="411"/>
      <c r="Y75" s="411"/>
      <c r="Z75" s="411"/>
      <c r="AA75" s="411"/>
      <c r="AB75" s="411"/>
      <c r="AC75" s="411"/>
      <c r="AD75" s="411"/>
      <c r="AE75" s="411"/>
      <c r="AF75" s="563"/>
      <c r="AG75" s="559"/>
      <c r="AH75" s="559"/>
      <c r="AI75" s="559"/>
      <c r="AJ75" s="559"/>
      <c r="AK75" s="559"/>
      <c r="AL75" s="559"/>
      <c r="AM75" s="559"/>
      <c r="AN75" s="559"/>
      <c r="AO75" s="559"/>
      <c r="AP75" s="559"/>
      <c r="AQ75" s="560"/>
      <c r="AR75" s="560"/>
      <c r="AS75" s="564"/>
      <c r="AT75" s="564"/>
      <c r="AU75" s="576"/>
      <c r="AV75" s="576"/>
      <c r="AW75" s="576"/>
      <c r="AX75" s="576"/>
      <c r="AY75" s="576"/>
      <c r="AZ75" s="576"/>
      <c r="BA75" s="576"/>
      <c r="BB75" s="576"/>
      <c r="BC75" s="576"/>
      <c r="BD75" s="576"/>
      <c r="BE75" s="576"/>
      <c r="BF75" s="576"/>
      <c r="BG75" s="576"/>
      <c r="BH75" s="576"/>
      <c r="BI75" s="576"/>
      <c r="BJ75" s="576"/>
      <c r="BK75" s="576"/>
      <c r="BL75" s="576"/>
      <c r="BM75" s="576"/>
      <c r="BN75" s="576"/>
      <c r="BO75" s="577"/>
      <c r="BP75" s="577"/>
      <c r="BQ75" s="577"/>
      <c r="BR75" s="577"/>
      <c r="BS75" s="577"/>
      <c r="BT75" s="577"/>
      <c r="BU75" s="577"/>
      <c r="BV75" s="577"/>
      <c r="BW75" s="577"/>
      <c r="BX75" s="577"/>
      <c r="BY75" s="577"/>
      <c r="BZ75" s="577"/>
      <c r="CA75" s="577"/>
      <c r="CB75" s="577"/>
      <c r="CC75" s="577"/>
      <c r="CD75" s="577"/>
      <c r="CE75" s="577"/>
      <c r="CF75" s="577"/>
      <c r="CG75" s="577"/>
      <c r="CH75" s="577"/>
      <c r="CI75" s="577"/>
      <c r="CJ75" s="577"/>
      <c r="CK75" s="577"/>
      <c r="CL75" s="577"/>
      <c r="CM75" s="577"/>
      <c r="CN75" s="577"/>
      <c r="CO75" s="577"/>
      <c r="CP75" s="577"/>
      <c r="CQ75" s="577"/>
      <c r="CR75" s="577"/>
      <c r="CS75" s="577"/>
      <c r="CT75" s="577"/>
    </row>
    <row r="76" spans="2:98" s="15" customFormat="1" x14ac:dyDescent="0.2">
      <c r="B76" s="411"/>
      <c r="C76" s="411"/>
      <c r="D76" s="411"/>
      <c r="E76" s="411"/>
      <c r="F76" s="411"/>
      <c r="G76" s="411"/>
      <c r="H76" s="411"/>
      <c r="I76" s="411"/>
      <c r="J76" s="411"/>
      <c r="K76" s="411"/>
      <c r="L76" s="411"/>
      <c r="M76" s="411"/>
      <c r="N76" s="411"/>
      <c r="O76" s="411"/>
      <c r="P76" s="411"/>
      <c r="Q76" s="411"/>
      <c r="R76" s="411"/>
      <c r="S76" s="411"/>
      <c r="T76" s="411"/>
      <c r="U76" s="411"/>
      <c r="V76" s="411"/>
      <c r="W76" s="411"/>
      <c r="X76" s="411"/>
      <c r="Y76" s="411"/>
      <c r="Z76" s="411"/>
      <c r="AA76" s="411"/>
      <c r="AB76" s="411"/>
      <c r="AC76" s="411"/>
      <c r="AD76" s="411"/>
      <c r="AE76" s="411"/>
      <c r="AF76" s="563"/>
      <c r="AG76" s="559"/>
      <c r="AH76" s="559"/>
      <c r="AI76" s="559"/>
      <c r="AJ76" s="559"/>
      <c r="AK76" s="559"/>
      <c r="AL76" s="559"/>
      <c r="AM76" s="559"/>
      <c r="AN76" s="559"/>
      <c r="AO76" s="559"/>
      <c r="AP76" s="559"/>
      <c r="AQ76" s="560"/>
      <c r="AR76" s="560"/>
      <c r="AS76" s="564"/>
      <c r="AT76" s="564"/>
      <c r="AU76" s="576"/>
      <c r="AV76" s="576"/>
      <c r="AW76" s="576"/>
      <c r="AX76" s="576"/>
      <c r="AY76" s="576"/>
      <c r="AZ76" s="576"/>
      <c r="BA76" s="576"/>
      <c r="BB76" s="576"/>
      <c r="BC76" s="576"/>
      <c r="BD76" s="576"/>
      <c r="BE76" s="576"/>
      <c r="BF76" s="576"/>
      <c r="BG76" s="576"/>
      <c r="BH76" s="576"/>
      <c r="BI76" s="576"/>
      <c r="BJ76" s="576"/>
      <c r="BK76" s="576"/>
      <c r="BL76" s="576"/>
      <c r="BM76" s="576"/>
      <c r="BN76" s="576"/>
      <c r="BO76" s="577"/>
      <c r="BP76" s="577"/>
      <c r="BQ76" s="577"/>
      <c r="BR76" s="577"/>
      <c r="BS76" s="577"/>
      <c r="BT76" s="577"/>
      <c r="BU76" s="577"/>
      <c r="BV76" s="577"/>
      <c r="BW76" s="577"/>
      <c r="BX76" s="577"/>
      <c r="BY76" s="577"/>
      <c r="BZ76" s="577"/>
      <c r="CA76" s="577"/>
      <c r="CB76" s="577"/>
      <c r="CC76" s="577"/>
      <c r="CD76" s="577"/>
      <c r="CE76" s="577"/>
      <c r="CF76" s="577"/>
      <c r="CG76" s="577"/>
      <c r="CH76" s="577"/>
      <c r="CI76" s="577"/>
      <c r="CJ76" s="577"/>
      <c r="CK76" s="577"/>
      <c r="CL76" s="577"/>
      <c r="CM76" s="577"/>
      <c r="CN76" s="577"/>
      <c r="CO76" s="577"/>
      <c r="CP76" s="577"/>
      <c r="CQ76" s="577"/>
      <c r="CR76" s="577"/>
      <c r="CS76" s="577"/>
      <c r="CT76" s="577"/>
    </row>
    <row r="77" spans="2:98" s="15" customFormat="1" x14ac:dyDescent="0.2">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563"/>
      <c r="AG77" s="559"/>
      <c r="AH77" s="559"/>
      <c r="AI77" s="559"/>
      <c r="AJ77" s="559"/>
      <c r="AK77" s="559"/>
      <c r="AL77" s="559"/>
      <c r="AM77" s="559"/>
      <c r="AN77" s="559"/>
      <c r="AO77" s="559"/>
      <c r="AP77" s="559"/>
      <c r="AQ77" s="560"/>
      <c r="AR77" s="560"/>
      <c r="AS77" s="564"/>
      <c r="AT77" s="564"/>
      <c r="AU77" s="576"/>
      <c r="AV77" s="576"/>
      <c r="AW77" s="576"/>
      <c r="AX77" s="576"/>
      <c r="AY77" s="576"/>
      <c r="AZ77" s="576"/>
      <c r="BA77" s="576"/>
      <c r="BB77" s="576"/>
      <c r="BC77" s="576"/>
      <c r="BD77" s="576"/>
      <c r="BE77" s="576"/>
      <c r="BF77" s="576"/>
      <c r="BG77" s="576"/>
      <c r="BH77" s="576"/>
      <c r="BI77" s="576"/>
      <c r="BJ77" s="576"/>
      <c r="BK77" s="576"/>
      <c r="BL77" s="576"/>
      <c r="BM77" s="576"/>
      <c r="BN77" s="576"/>
      <c r="BO77" s="577"/>
      <c r="BP77" s="577"/>
      <c r="BQ77" s="577"/>
      <c r="BR77" s="577"/>
      <c r="BS77" s="577"/>
      <c r="BT77" s="577"/>
      <c r="BU77" s="577"/>
      <c r="BV77" s="577"/>
      <c r="BW77" s="577"/>
      <c r="BX77" s="577"/>
      <c r="BY77" s="577"/>
      <c r="BZ77" s="577"/>
      <c r="CA77" s="577"/>
      <c r="CB77" s="577"/>
      <c r="CC77" s="577"/>
      <c r="CD77" s="577"/>
      <c r="CE77" s="577"/>
      <c r="CF77" s="577"/>
      <c r="CG77" s="577"/>
      <c r="CH77" s="577"/>
      <c r="CI77" s="577"/>
      <c r="CJ77" s="577"/>
      <c r="CK77" s="577"/>
      <c r="CL77" s="577"/>
      <c r="CM77" s="577"/>
      <c r="CN77" s="577"/>
      <c r="CO77" s="577"/>
      <c r="CP77" s="577"/>
      <c r="CQ77" s="577"/>
      <c r="CR77" s="577"/>
      <c r="CS77" s="577"/>
      <c r="CT77" s="577"/>
    </row>
    <row r="78" spans="2:98" s="15" customFormat="1" x14ac:dyDescent="0.2">
      <c r="B78" s="411"/>
      <c r="C78" s="411"/>
      <c r="D78" s="411"/>
      <c r="E78" s="411"/>
      <c r="F78" s="411"/>
      <c r="G78" s="411"/>
      <c r="H78" s="411"/>
      <c r="I78" s="411"/>
      <c r="J78" s="411"/>
      <c r="K78" s="411"/>
      <c r="L78" s="411"/>
      <c r="M78" s="411"/>
      <c r="N78" s="411"/>
      <c r="O78" s="411"/>
      <c r="P78" s="411"/>
      <c r="Q78" s="411"/>
      <c r="R78" s="411"/>
      <c r="S78" s="411"/>
      <c r="T78" s="411"/>
      <c r="U78" s="411"/>
      <c r="V78" s="411"/>
      <c r="W78" s="411"/>
      <c r="X78" s="411"/>
      <c r="Y78" s="411"/>
      <c r="Z78" s="411"/>
      <c r="AA78" s="411"/>
      <c r="AB78" s="411"/>
      <c r="AC78" s="411"/>
      <c r="AD78" s="411"/>
      <c r="AE78" s="411"/>
      <c r="AF78" s="563"/>
      <c r="AG78" s="559"/>
      <c r="AH78" s="559"/>
      <c r="AI78" s="559"/>
      <c r="AJ78" s="559"/>
      <c r="AK78" s="559"/>
      <c r="AL78" s="559"/>
      <c r="AM78" s="559"/>
      <c r="AN78" s="559"/>
      <c r="AO78" s="559"/>
      <c r="AP78" s="559"/>
      <c r="AQ78" s="560"/>
      <c r="AR78" s="560"/>
      <c r="AS78" s="564"/>
      <c r="AT78" s="564"/>
      <c r="AU78" s="576"/>
      <c r="AV78" s="576"/>
      <c r="AW78" s="576"/>
      <c r="AX78" s="576"/>
      <c r="AY78" s="576"/>
      <c r="AZ78" s="576"/>
      <c r="BA78" s="576"/>
      <c r="BB78" s="576"/>
      <c r="BC78" s="576"/>
      <c r="BD78" s="576"/>
      <c r="BE78" s="576"/>
      <c r="BF78" s="576"/>
      <c r="BG78" s="576"/>
      <c r="BH78" s="576"/>
      <c r="BI78" s="576"/>
      <c r="BJ78" s="576"/>
      <c r="BK78" s="576"/>
      <c r="BL78" s="576"/>
      <c r="BM78" s="576"/>
      <c r="BN78" s="576"/>
      <c r="BO78" s="577"/>
      <c r="BP78" s="577"/>
      <c r="BQ78" s="577"/>
      <c r="BR78" s="577"/>
      <c r="BS78" s="577"/>
      <c r="BT78" s="577"/>
      <c r="BU78" s="577"/>
      <c r="BV78" s="577"/>
      <c r="BW78" s="577"/>
      <c r="BX78" s="577"/>
      <c r="BY78" s="577"/>
      <c r="BZ78" s="577"/>
      <c r="CA78" s="577"/>
      <c r="CB78" s="577"/>
      <c r="CC78" s="577"/>
      <c r="CD78" s="577"/>
      <c r="CE78" s="577"/>
      <c r="CF78" s="577"/>
      <c r="CG78" s="577"/>
      <c r="CH78" s="577"/>
      <c r="CI78" s="577"/>
      <c r="CJ78" s="577"/>
      <c r="CK78" s="577"/>
      <c r="CL78" s="577"/>
      <c r="CM78" s="577"/>
      <c r="CN78" s="577"/>
      <c r="CO78" s="577"/>
      <c r="CP78" s="577"/>
      <c r="CQ78" s="577"/>
      <c r="CR78" s="577"/>
      <c r="CS78" s="577"/>
      <c r="CT78" s="577"/>
    </row>
    <row r="79" spans="2:98" s="15" customFormat="1" x14ac:dyDescent="0.2">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411"/>
      <c r="AE79" s="411"/>
      <c r="AF79" s="563"/>
      <c r="AG79" s="559"/>
      <c r="AH79" s="559"/>
      <c r="AI79" s="559"/>
      <c r="AJ79" s="559"/>
      <c r="AK79" s="559"/>
      <c r="AL79" s="559"/>
      <c r="AM79" s="559"/>
      <c r="AN79" s="559"/>
      <c r="AO79" s="559"/>
      <c r="AP79" s="559"/>
      <c r="AQ79" s="560"/>
      <c r="AR79" s="560"/>
      <c r="AS79" s="564"/>
      <c r="AT79" s="564"/>
      <c r="AU79" s="576"/>
      <c r="AV79" s="576"/>
      <c r="AW79" s="576"/>
      <c r="AX79" s="576"/>
      <c r="AY79" s="576"/>
      <c r="AZ79" s="576"/>
      <c r="BA79" s="576"/>
      <c r="BB79" s="576"/>
      <c r="BC79" s="576"/>
      <c r="BD79" s="576"/>
      <c r="BE79" s="576"/>
      <c r="BF79" s="576"/>
      <c r="BG79" s="576"/>
      <c r="BH79" s="576"/>
      <c r="BI79" s="576"/>
      <c r="BJ79" s="576"/>
      <c r="BK79" s="576"/>
      <c r="BL79" s="576"/>
      <c r="BM79" s="576"/>
      <c r="BN79" s="576"/>
      <c r="BO79" s="577"/>
      <c r="BP79" s="577"/>
      <c r="BQ79" s="577"/>
      <c r="BR79" s="577"/>
      <c r="BS79" s="577"/>
      <c r="BT79" s="577"/>
      <c r="BU79" s="577"/>
      <c r="BV79" s="577"/>
      <c r="BW79" s="577"/>
      <c r="BX79" s="577"/>
      <c r="BY79" s="577"/>
      <c r="BZ79" s="577"/>
      <c r="CA79" s="577"/>
      <c r="CB79" s="577"/>
      <c r="CC79" s="577"/>
      <c r="CD79" s="577"/>
      <c r="CE79" s="577"/>
      <c r="CF79" s="577"/>
      <c r="CG79" s="577"/>
      <c r="CH79" s="577"/>
      <c r="CI79" s="577"/>
      <c r="CJ79" s="577"/>
      <c r="CK79" s="577"/>
      <c r="CL79" s="577"/>
      <c r="CM79" s="577"/>
      <c r="CN79" s="577"/>
      <c r="CO79" s="577"/>
      <c r="CP79" s="577"/>
      <c r="CQ79" s="577"/>
      <c r="CR79" s="577"/>
      <c r="CS79" s="577"/>
      <c r="CT79" s="577"/>
    </row>
    <row r="80" spans="2:98" s="15" customFormat="1" x14ac:dyDescent="0.2">
      <c r="B80" s="411"/>
      <c r="C80" s="411"/>
      <c r="D80" s="411"/>
      <c r="E80" s="411"/>
      <c r="F80" s="411"/>
      <c r="G80" s="411"/>
      <c r="H80" s="411"/>
      <c r="I80" s="411"/>
      <c r="J80" s="411"/>
      <c r="K80" s="411"/>
      <c r="L80" s="411"/>
      <c r="M80" s="411"/>
      <c r="N80" s="411"/>
      <c r="O80" s="411"/>
      <c r="P80" s="411"/>
      <c r="Q80" s="411"/>
      <c r="R80" s="411"/>
      <c r="S80" s="411"/>
      <c r="T80" s="411"/>
      <c r="U80" s="411"/>
      <c r="V80" s="411"/>
      <c r="W80" s="411"/>
      <c r="X80" s="411"/>
      <c r="Y80" s="411"/>
      <c r="Z80" s="411"/>
      <c r="AA80" s="411"/>
      <c r="AB80" s="411"/>
      <c r="AC80" s="411"/>
      <c r="AD80" s="411"/>
      <c r="AE80" s="411"/>
      <c r="AF80" s="563"/>
      <c r="AG80" s="559"/>
      <c r="AH80" s="559"/>
      <c r="AI80" s="559"/>
      <c r="AJ80" s="559"/>
      <c r="AK80" s="559"/>
      <c r="AL80" s="559"/>
      <c r="AM80" s="559"/>
      <c r="AN80" s="559"/>
      <c r="AO80" s="559"/>
      <c r="AP80" s="559"/>
      <c r="AQ80" s="560"/>
      <c r="AR80" s="560"/>
      <c r="AS80" s="564"/>
      <c r="AT80" s="564"/>
      <c r="AU80" s="576"/>
      <c r="AV80" s="576"/>
      <c r="AW80" s="576"/>
      <c r="AX80" s="576"/>
      <c r="AY80" s="576"/>
      <c r="AZ80" s="576"/>
      <c r="BA80" s="576"/>
      <c r="BB80" s="576"/>
      <c r="BC80" s="576"/>
      <c r="BD80" s="576"/>
      <c r="BE80" s="576"/>
      <c r="BF80" s="576"/>
      <c r="BG80" s="576"/>
      <c r="BH80" s="576"/>
      <c r="BI80" s="576"/>
      <c r="BJ80" s="576"/>
      <c r="BK80" s="576"/>
      <c r="BL80" s="576"/>
      <c r="BM80" s="576"/>
      <c r="BN80" s="576"/>
      <c r="BO80" s="577"/>
      <c r="BP80" s="577"/>
      <c r="BQ80" s="577"/>
      <c r="BR80" s="577"/>
      <c r="BS80" s="577"/>
      <c r="BT80" s="577"/>
      <c r="BU80" s="577"/>
      <c r="BV80" s="577"/>
      <c r="BW80" s="577"/>
      <c r="BX80" s="577"/>
      <c r="BY80" s="577"/>
      <c r="BZ80" s="577"/>
      <c r="CA80" s="577"/>
      <c r="CB80" s="577"/>
      <c r="CC80" s="577"/>
      <c r="CD80" s="577"/>
      <c r="CE80" s="577"/>
      <c r="CF80" s="577"/>
      <c r="CG80" s="577"/>
      <c r="CH80" s="577"/>
      <c r="CI80" s="577"/>
      <c r="CJ80" s="577"/>
      <c r="CK80" s="577"/>
      <c r="CL80" s="577"/>
      <c r="CM80" s="577"/>
      <c r="CN80" s="577"/>
      <c r="CO80" s="577"/>
      <c r="CP80" s="577"/>
      <c r="CQ80" s="577"/>
      <c r="CR80" s="577"/>
      <c r="CS80" s="577"/>
      <c r="CT80" s="577"/>
    </row>
    <row r="81" spans="2:98" s="15" customFormat="1" x14ac:dyDescent="0.2">
      <c r="B81" s="411"/>
      <c r="C81" s="411"/>
      <c r="D81" s="411"/>
      <c r="E81" s="411"/>
      <c r="F81" s="411"/>
      <c r="G81" s="411"/>
      <c r="H81" s="411"/>
      <c r="I81" s="411"/>
      <c r="J81" s="411"/>
      <c r="K81" s="411"/>
      <c r="L81" s="411"/>
      <c r="M81" s="411"/>
      <c r="N81" s="411"/>
      <c r="O81" s="411"/>
      <c r="P81" s="411"/>
      <c r="Q81" s="411"/>
      <c r="R81" s="411"/>
      <c r="S81" s="411"/>
      <c r="T81" s="411"/>
      <c r="U81" s="411"/>
      <c r="V81" s="411"/>
      <c r="W81" s="411"/>
      <c r="X81" s="411"/>
      <c r="Y81" s="411"/>
      <c r="Z81" s="411"/>
      <c r="AA81" s="411"/>
      <c r="AB81" s="411"/>
      <c r="AC81" s="411"/>
      <c r="AD81" s="411"/>
      <c r="AE81" s="411"/>
      <c r="AF81" s="563"/>
      <c r="AG81" s="559"/>
      <c r="AH81" s="559"/>
      <c r="AI81" s="559"/>
      <c r="AJ81" s="559"/>
      <c r="AK81" s="559"/>
      <c r="AL81" s="559"/>
      <c r="AM81" s="559"/>
      <c r="AN81" s="559"/>
      <c r="AO81" s="559"/>
      <c r="AP81" s="559"/>
      <c r="AQ81" s="560"/>
      <c r="AR81" s="560"/>
      <c r="AS81" s="564"/>
      <c r="AT81" s="564"/>
      <c r="AU81" s="576"/>
      <c r="AV81" s="576"/>
      <c r="AW81" s="576"/>
      <c r="AX81" s="576"/>
      <c r="AY81" s="576"/>
      <c r="AZ81" s="576"/>
      <c r="BA81" s="576"/>
      <c r="BB81" s="576"/>
      <c r="BC81" s="576"/>
      <c r="BD81" s="576"/>
      <c r="BE81" s="576"/>
      <c r="BF81" s="576"/>
      <c r="BG81" s="576"/>
      <c r="BH81" s="576"/>
      <c r="BI81" s="576"/>
      <c r="BJ81" s="576"/>
      <c r="BK81" s="576"/>
      <c r="BL81" s="576"/>
      <c r="BM81" s="576"/>
      <c r="BN81" s="576"/>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row>
    <row r="82" spans="2:98" s="15" customFormat="1" x14ac:dyDescent="0.2">
      <c r="B82" s="411"/>
      <c r="C82" s="411"/>
      <c r="D82" s="411"/>
      <c r="E82" s="411"/>
      <c r="F82" s="411"/>
      <c r="G82" s="411"/>
      <c r="H82" s="411"/>
      <c r="I82" s="411"/>
      <c r="J82" s="411"/>
      <c r="K82" s="411"/>
      <c r="L82" s="411"/>
      <c r="M82" s="411"/>
      <c r="N82" s="411"/>
      <c r="O82" s="411"/>
      <c r="P82" s="411"/>
      <c r="Q82" s="411"/>
      <c r="R82" s="411"/>
      <c r="S82" s="411"/>
      <c r="T82" s="411"/>
      <c r="U82" s="411"/>
      <c r="V82" s="411"/>
      <c r="W82" s="411"/>
      <c r="X82" s="411"/>
      <c r="Y82" s="411"/>
      <c r="Z82" s="411"/>
      <c r="AA82" s="411"/>
      <c r="AB82" s="411"/>
      <c r="AC82" s="411"/>
      <c r="AD82" s="411"/>
      <c r="AE82" s="411"/>
      <c r="AF82" s="563"/>
      <c r="AG82" s="559"/>
      <c r="AH82" s="559"/>
      <c r="AI82" s="559"/>
      <c r="AJ82" s="559"/>
      <c r="AK82" s="559"/>
      <c r="AL82" s="559"/>
      <c r="AM82" s="559"/>
      <c r="AN82" s="559"/>
      <c r="AO82" s="559"/>
      <c r="AP82" s="559"/>
      <c r="AQ82" s="560"/>
      <c r="AR82" s="560"/>
      <c r="AS82" s="564"/>
      <c r="AT82" s="564"/>
      <c r="AU82" s="576"/>
      <c r="AV82" s="576"/>
      <c r="AW82" s="576"/>
      <c r="AX82" s="576"/>
      <c r="AY82" s="576"/>
      <c r="AZ82" s="576"/>
      <c r="BA82" s="576"/>
      <c r="BB82" s="576"/>
      <c r="BC82" s="576"/>
      <c r="BD82" s="576"/>
      <c r="BE82" s="576"/>
      <c r="BF82" s="576"/>
      <c r="BG82" s="576"/>
      <c r="BH82" s="576"/>
      <c r="BI82" s="576"/>
      <c r="BJ82" s="576"/>
      <c r="BK82" s="576"/>
      <c r="BL82" s="576"/>
      <c r="BM82" s="576"/>
      <c r="BN82" s="576"/>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7"/>
      <c r="CP82" s="577"/>
      <c r="CQ82" s="577"/>
      <c r="CR82" s="577"/>
      <c r="CS82" s="577"/>
      <c r="CT82" s="577"/>
    </row>
    <row r="83" spans="2:98" s="15" customFormat="1" x14ac:dyDescent="0.2">
      <c r="B83" s="411"/>
      <c r="C83" s="411"/>
      <c r="D83" s="411"/>
      <c r="E83" s="411"/>
      <c r="F83" s="411"/>
      <c r="G83" s="411"/>
      <c r="H83" s="411"/>
      <c r="I83" s="411"/>
      <c r="J83" s="411"/>
      <c r="K83" s="411"/>
      <c r="L83" s="411"/>
      <c r="M83" s="411"/>
      <c r="N83" s="411"/>
      <c r="O83" s="411"/>
      <c r="P83" s="411"/>
      <c r="Q83" s="411"/>
      <c r="R83" s="411"/>
      <c r="S83" s="411"/>
      <c r="T83" s="411"/>
      <c r="U83" s="411"/>
      <c r="V83" s="411"/>
      <c r="W83" s="411"/>
      <c r="X83" s="411"/>
      <c r="Y83" s="411"/>
      <c r="Z83" s="411"/>
      <c r="AA83" s="411"/>
      <c r="AB83" s="411"/>
      <c r="AC83" s="411"/>
      <c r="AD83" s="411"/>
      <c r="AE83" s="411"/>
      <c r="AF83" s="563"/>
      <c r="AG83" s="559"/>
      <c r="AH83" s="559"/>
      <c r="AI83" s="559"/>
      <c r="AJ83" s="559"/>
      <c r="AK83" s="559"/>
      <c r="AL83" s="559"/>
      <c r="AM83" s="559"/>
      <c r="AN83" s="559"/>
      <c r="AO83" s="559"/>
      <c r="AP83" s="559"/>
      <c r="AQ83" s="560"/>
      <c r="AR83" s="560"/>
      <c r="AS83" s="564"/>
      <c r="AT83" s="564"/>
      <c r="AU83" s="576"/>
      <c r="AV83" s="576"/>
      <c r="AW83" s="576"/>
      <c r="AX83" s="576"/>
      <c r="AY83" s="576"/>
      <c r="AZ83" s="576"/>
      <c r="BA83" s="576"/>
      <c r="BB83" s="576"/>
      <c r="BC83" s="576"/>
      <c r="BD83" s="576"/>
      <c r="BE83" s="576"/>
      <c r="BF83" s="576"/>
      <c r="BG83" s="576"/>
      <c r="BH83" s="576"/>
      <c r="BI83" s="576"/>
      <c r="BJ83" s="576"/>
      <c r="BK83" s="576"/>
      <c r="BL83" s="576"/>
      <c r="BM83" s="576"/>
      <c r="BN83" s="576"/>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7"/>
      <c r="CP83" s="577"/>
      <c r="CQ83" s="577"/>
      <c r="CR83" s="577"/>
      <c r="CS83" s="577"/>
      <c r="CT83" s="577"/>
    </row>
    <row r="84" spans="2:98" s="15" customFormat="1" x14ac:dyDescent="0.2">
      <c r="B84" s="411"/>
      <c r="C84" s="411"/>
      <c r="D84" s="411"/>
      <c r="E84" s="411"/>
      <c r="F84" s="411"/>
      <c r="G84" s="411"/>
      <c r="H84" s="411"/>
      <c r="I84" s="411"/>
      <c r="J84" s="411"/>
      <c r="K84" s="411"/>
      <c r="L84" s="411"/>
      <c r="M84" s="411"/>
      <c r="N84" s="411"/>
      <c r="O84" s="411"/>
      <c r="P84" s="411"/>
      <c r="Q84" s="411"/>
      <c r="R84" s="411"/>
      <c r="S84" s="411"/>
      <c r="T84" s="411"/>
      <c r="U84" s="411"/>
      <c r="V84" s="411"/>
      <c r="W84" s="411"/>
      <c r="X84" s="411"/>
      <c r="Y84" s="411"/>
      <c r="Z84" s="411"/>
      <c r="AA84" s="411"/>
      <c r="AB84" s="411"/>
      <c r="AC84" s="411"/>
      <c r="AD84" s="411"/>
      <c r="AE84" s="411"/>
      <c r="AF84" s="563"/>
      <c r="AG84" s="559"/>
      <c r="AH84" s="559"/>
      <c r="AI84" s="559"/>
      <c r="AJ84" s="559"/>
      <c r="AK84" s="559"/>
      <c r="AL84" s="559"/>
      <c r="AM84" s="559"/>
      <c r="AN84" s="559"/>
      <c r="AO84" s="559"/>
      <c r="AP84" s="559"/>
      <c r="AQ84" s="560"/>
      <c r="AR84" s="560"/>
      <c r="AS84" s="564"/>
      <c r="AT84" s="564"/>
      <c r="AU84" s="576"/>
      <c r="AV84" s="576"/>
      <c r="AW84" s="576"/>
      <c r="AX84" s="576"/>
      <c r="AY84" s="576"/>
      <c r="AZ84" s="576"/>
      <c r="BA84" s="576"/>
      <c r="BB84" s="576"/>
      <c r="BC84" s="576"/>
      <c r="BD84" s="576"/>
      <c r="BE84" s="576"/>
      <c r="BF84" s="576"/>
      <c r="BG84" s="576"/>
      <c r="BH84" s="576"/>
      <c r="BI84" s="576"/>
      <c r="BJ84" s="576"/>
      <c r="BK84" s="576"/>
      <c r="BL84" s="576"/>
      <c r="BM84" s="576"/>
      <c r="BN84" s="576"/>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7"/>
      <c r="CP84" s="577"/>
      <c r="CQ84" s="577"/>
      <c r="CR84" s="577"/>
      <c r="CS84" s="577"/>
      <c r="CT84" s="577"/>
    </row>
    <row r="85" spans="2:98" s="15" customFormat="1" x14ac:dyDescent="0.2">
      <c r="B85" s="411"/>
      <c r="C85" s="411"/>
      <c r="D85" s="411"/>
      <c r="E85" s="411"/>
      <c r="F85" s="411"/>
      <c r="G85" s="411"/>
      <c r="H85" s="411"/>
      <c r="I85" s="411"/>
      <c r="J85" s="411"/>
      <c r="K85" s="411"/>
      <c r="L85" s="411"/>
      <c r="M85" s="411"/>
      <c r="N85" s="411"/>
      <c r="O85" s="411"/>
      <c r="P85" s="411"/>
      <c r="Q85" s="411"/>
      <c r="R85" s="411"/>
      <c r="S85" s="411"/>
      <c r="T85" s="411"/>
      <c r="U85" s="411"/>
      <c r="V85" s="411"/>
      <c r="W85" s="411"/>
      <c r="X85" s="411"/>
      <c r="Y85" s="411"/>
      <c r="Z85" s="411"/>
      <c r="AA85" s="411"/>
      <c r="AB85" s="411"/>
      <c r="AC85" s="411"/>
      <c r="AD85" s="411"/>
      <c r="AE85" s="411"/>
      <c r="AF85" s="563"/>
      <c r="AG85" s="559"/>
      <c r="AH85" s="559"/>
      <c r="AI85" s="559"/>
      <c r="AJ85" s="559"/>
      <c r="AK85" s="559"/>
      <c r="AL85" s="559"/>
      <c r="AM85" s="559"/>
      <c r="AN85" s="559"/>
      <c r="AO85" s="559"/>
      <c r="AP85" s="559"/>
      <c r="AQ85" s="560"/>
      <c r="AR85" s="560"/>
      <c r="AS85" s="564"/>
      <c r="AT85" s="564"/>
      <c r="AU85" s="576"/>
      <c r="AV85" s="576"/>
      <c r="AW85" s="576"/>
      <c r="AX85" s="576"/>
      <c r="AY85" s="576"/>
      <c r="AZ85" s="576"/>
      <c r="BA85" s="576"/>
      <c r="BB85" s="576"/>
      <c r="BC85" s="576"/>
      <c r="BD85" s="576"/>
      <c r="BE85" s="576"/>
      <c r="BF85" s="576"/>
      <c r="BG85" s="576"/>
      <c r="BH85" s="576"/>
      <c r="BI85" s="576"/>
      <c r="BJ85" s="576"/>
      <c r="BK85" s="576"/>
      <c r="BL85" s="576"/>
      <c r="BM85" s="576"/>
      <c r="BN85" s="576"/>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7"/>
      <c r="CP85" s="577"/>
      <c r="CQ85" s="577"/>
      <c r="CR85" s="577"/>
      <c r="CS85" s="577"/>
      <c r="CT85" s="577"/>
    </row>
    <row r="86" spans="2:98" s="15" customFormat="1" x14ac:dyDescent="0.2">
      <c r="B86" s="411"/>
      <c r="C86" s="411"/>
      <c r="D86" s="411"/>
      <c r="E86" s="411"/>
      <c r="F86" s="411"/>
      <c r="G86" s="411"/>
      <c r="H86" s="411"/>
      <c r="I86" s="411"/>
      <c r="J86" s="411"/>
      <c r="K86" s="411"/>
      <c r="L86" s="411"/>
      <c r="M86" s="411"/>
      <c r="N86" s="411"/>
      <c r="O86" s="411"/>
      <c r="P86" s="411"/>
      <c r="Q86" s="411"/>
      <c r="R86" s="411"/>
      <c r="S86" s="411"/>
      <c r="T86" s="411"/>
      <c r="U86" s="411"/>
      <c r="V86" s="411"/>
      <c r="W86" s="411"/>
      <c r="X86" s="411"/>
      <c r="Y86" s="411"/>
      <c r="Z86" s="411"/>
      <c r="AA86" s="411"/>
      <c r="AB86" s="411"/>
      <c r="AC86" s="411"/>
      <c r="AD86" s="411"/>
      <c r="AE86" s="411"/>
      <c r="AF86" s="563"/>
      <c r="AG86" s="559"/>
      <c r="AH86" s="559"/>
      <c r="AI86" s="559"/>
      <c r="AJ86" s="559"/>
      <c r="AK86" s="559"/>
      <c r="AL86" s="559"/>
      <c r="AM86" s="559"/>
      <c r="AN86" s="559"/>
      <c r="AO86" s="559"/>
      <c r="AP86" s="559"/>
      <c r="AQ86" s="560"/>
      <c r="AR86" s="560"/>
      <c r="AS86" s="564"/>
      <c r="AT86" s="564"/>
      <c r="AU86" s="576"/>
      <c r="AV86" s="576"/>
      <c r="AW86" s="576"/>
      <c r="AX86" s="576"/>
      <c r="AY86" s="576"/>
      <c r="AZ86" s="576"/>
      <c r="BA86" s="576"/>
      <c r="BB86" s="576"/>
      <c r="BC86" s="576"/>
      <c r="BD86" s="576"/>
      <c r="BE86" s="576"/>
      <c r="BF86" s="576"/>
      <c r="BG86" s="576"/>
      <c r="BH86" s="576"/>
      <c r="BI86" s="576"/>
      <c r="BJ86" s="576"/>
      <c r="BK86" s="576"/>
      <c r="BL86" s="576"/>
      <c r="BM86" s="576"/>
      <c r="BN86" s="576"/>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7"/>
      <c r="CP86" s="577"/>
      <c r="CQ86" s="577"/>
      <c r="CR86" s="577"/>
      <c r="CS86" s="577"/>
      <c r="CT86" s="577"/>
    </row>
    <row r="87" spans="2:98" s="15" customFormat="1" x14ac:dyDescent="0.2">
      <c r="B87" s="411"/>
      <c r="C87" s="411"/>
      <c r="D87" s="411"/>
      <c r="E87" s="411"/>
      <c r="F87" s="411"/>
      <c r="G87" s="411"/>
      <c r="H87" s="411"/>
      <c r="I87" s="411"/>
      <c r="J87" s="411"/>
      <c r="K87" s="411"/>
      <c r="L87" s="411"/>
      <c r="M87" s="411"/>
      <c r="N87" s="411"/>
      <c r="O87" s="411"/>
      <c r="P87" s="411"/>
      <c r="Q87" s="411"/>
      <c r="R87" s="411"/>
      <c r="S87" s="411"/>
      <c r="T87" s="411"/>
      <c r="U87" s="411"/>
      <c r="V87" s="411"/>
      <c r="W87" s="411"/>
      <c r="X87" s="411"/>
      <c r="Y87" s="411"/>
      <c r="Z87" s="411"/>
      <c r="AA87" s="411"/>
      <c r="AB87" s="411"/>
      <c r="AC87" s="411"/>
      <c r="AD87" s="411"/>
      <c r="AE87" s="411"/>
      <c r="AF87" s="563"/>
      <c r="AG87" s="559"/>
      <c r="AH87" s="559"/>
      <c r="AI87" s="559"/>
      <c r="AJ87" s="559"/>
      <c r="AK87" s="559"/>
      <c r="AL87" s="559"/>
      <c r="AM87" s="559"/>
      <c r="AN87" s="559"/>
      <c r="AO87" s="559"/>
      <c r="AP87" s="559"/>
      <c r="AQ87" s="560"/>
      <c r="AR87" s="560"/>
      <c r="AS87" s="564"/>
      <c r="AT87" s="564"/>
      <c r="AU87" s="576"/>
      <c r="AV87" s="576"/>
      <c r="AW87" s="576"/>
      <c r="AX87" s="576"/>
      <c r="AY87" s="576"/>
      <c r="AZ87" s="576"/>
      <c r="BA87" s="576"/>
      <c r="BB87" s="576"/>
      <c r="BC87" s="576"/>
      <c r="BD87" s="576"/>
      <c r="BE87" s="576"/>
      <c r="BF87" s="576"/>
      <c r="BG87" s="576"/>
      <c r="BH87" s="576"/>
      <c r="BI87" s="576"/>
      <c r="BJ87" s="576"/>
      <c r="BK87" s="576"/>
      <c r="BL87" s="576"/>
      <c r="BM87" s="576"/>
      <c r="BN87" s="576"/>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7"/>
      <c r="CP87" s="577"/>
      <c r="CQ87" s="577"/>
      <c r="CR87" s="577"/>
      <c r="CS87" s="577"/>
      <c r="CT87" s="577"/>
    </row>
    <row r="88" spans="2:98" s="15" customFormat="1" x14ac:dyDescent="0.2">
      <c r="B88" s="411"/>
      <c r="C88" s="411"/>
      <c r="D88" s="411"/>
      <c r="E88" s="411"/>
      <c r="F88" s="411"/>
      <c r="G88" s="411"/>
      <c r="H88" s="411"/>
      <c r="I88" s="411"/>
      <c r="J88" s="411"/>
      <c r="K88" s="411"/>
      <c r="L88" s="411"/>
      <c r="M88" s="411"/>
      <c r="N88" s="411"/>
      <c r="O88" s="411"/>
      <c r="P88" s="411"/>
      <c r="Q88" s="411"/>
      <c r="R88" s="411"/>
      <c r="S88" s="411"/>
      <c r="T88" s="411"/>
      <c r="U88" s="411"/>
      <c r="V88" s="411"/>
      <c r="W88" s="411"/>
      <c r="X88" s="411"/>
      <c r="Y88" s="411"/>
      <c r="Z88" s="411"/>
      <c r="AA88" s="411"/>
      <c r="AB88" s="411"/>
      <c r="AC88" s="411"/>
      <c r="AD88" s="411"/>
      <c r="AE88" s="411"/>
      <c r="AF88" s="563"/>
      <c r="AG88" s="559"/>
      <c r="AH88" s="559"/>
      <c r="AI88" s="559"/>
      <c r="AJ88" s="559"/>
      <c r="AK88" s="559"/>
      <c r="AL88" s="559"/>
      <c r="AM88" s="559"/>
      <c r="AN88" s="559"/>
      <c r="AO88" s="559"/>
      <c r="AP88" s="559"/>
      <c r="AQ88" s="560"/>
      <c r="AR88" s="560"/>
      <c r="AS88" s="564"/>
      <c r="AT88" s="564"/>
      <c r="AU88" s="576"/>
      <c r="AV88" s="576"/>
      <c r="AW88" s="576"/>
      <c r="AX88" s="576"/>
      <c r="AY88" s="576"/>
      <c r="AZ88" s="576"/>
      <c r="BA88" s="576"/>
      <c r="BB88" s="576"/>
      <c r="BC88" s="576"/>
      <c r="BD88" s="576"/>
      <c r="BE88" s="576"/>
      <c r="BF88" s="576"/>
      <c r="BG88" s="576"/>
      <c r="BH88" s="576"/>
      <c r="BI88" s="576"/>
      <c r="BJ88" s="576"/>
      <c r="BK88" s="576"/>
      <c r="BL88" s="576"/>
      <c r="BM88" s="576"/>
      <c r="BN88" s="576"/>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7"/>
      <c r="CP88" s="577"/>
      <c r="CQ88" s="577"/>
      <c r="CR88" s="577"/>
      <c r="CS88" s="577"/>
      <c r="CT88" s="577"/>
    </row>
    <row r="89" spans="2:98" s="15" customFormat="1" x14ac:dyDescent="0.2">
      <c r="B89" s="411"/>
      <c r="C89" s="411"/>
      <c r="D89" s="411"/>
      <c r="E89" s="411"/>
      <c r="F89" s="411"/>
      <c r="G89" s="411"/>
      <c r="H89" s="411"/>
      <c r="I89" s="411"/>
      <c r="J89" s="411"/>
      <c r="K89" s="411"/>
      <c r="L89" s="411"/>
      <c r="M89" s="411"/>
      <c r="N89" s="411"/>
      <c r="O89" s="411"/>
      <c r="P89" s="411"/>
      <c r="Q89" s="411"/>
      <c r="R89" s="411"/>
      <c r="S89" s="411"/>
      <c r="T89" s="411"/>
      <c r="U89" s="411"/>
      <c r="V89" s="411"/>
      <c r="W89" s="411"/>
      <c r="X89" s="411"/>
      <c r="Y89" s="411"/>
      <c r="Z89" s="411"/>
      <c r="AA89" s="411"/>
      <c r="AB89" s="411"/>
      <c r="AC89" s="411"/>
      <c r="AD89" s="411"/>
      <c r="AE89" s="411"/>
      <c r="AF89" s="563"/>
      <c r="AG89" s="559"/>
      <c r="AH89" s="559"/>
      <c r="AI89" s="559"/>
      <c r="AJ89" s="559"/>
      <c r="AK89" s="559"/>
      <c r="AL89" s="559"/>
      <c r="AM89" s="559"/>
      <c r="AN89" s="559"/>
      <c r="AO89" s="559"/>
      <c r="AP89" s="559"/>
      <c r="AQ89" s="560"/>
      <c r="AR89" s="560"/>
      <c r="AS89" s="564"/>
      <c r="AT89" s="564"/>
      <c r="AU89" s="576"/>
      <c r="AV89" s="576"/>
      <c r="AW89" s="576"/>
      <c r="AX89" s="576"/>
      <c r="AY89" s="576"/>
      <c r="AZ89" s="576"/>
      <c r="BA89" s="576"/>
      <c r="BB89" s="576"/>
      <c r="BC89" s="576"/>
      <c r="BD89" s="576"/>
      <c r="BE89" s="576"/>
      <c r="BF89" s="576"/>
      <c r="BG89" s="576"/>
      <c r="BH89" s="576"/>
      <c r="BI89" s="576"/>
      <c r="BJ89" s="576"/>
      <c r="BK89" s="576"/>
      <c r="BL89" s="576"/>
      <c r="BM89" s="576"/>
      <c r="BN89" s="576"/>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7"/>
      <c r="CP89" s="577"/>
      <c r="CQ89" s="577"/>
      <c r="CR89" s="577"/>
      <c r="CS89" s="577"/>
      <c r="CT89" s="577"/>
    </row>
    <row r="90" spans="2:98" s="15" customFormat="1" x14ac:dyDescent="0.2">
      <c r="B90" s="411"/>
      <c r="C90" s="411"/>
      <c r="D90" s="411"/>
      <c r="E90" s="411"/>
      <c r="F90" s="411"/>
      <c r="G90" s="411"/>
      <c r="H90" s="411"/>
      <c r="I90" s="411"/>
      <c r="J90" s="411"/>
      <c r="K90" s="411"/>
      <c r="L90" s="411"/>
      <c r="M90" s="411"/>
      <c r="N90" s="411"/>
      <c r="O90" s="411"/>
      <c r="P90" s="411"/>
      <c r="Q90" s="411"/>
      <c r="R90" s="411"/>
      <c r="S90" s="411"/>
      <c r="T90" s="411"/>
      <c r="U90" s="411"/>
      <c r="V90" s="411"/>
      <c r="W90" s="411"/>
      <c r="X90" s="411"/>
      <c r="Y90" s="411"/>
      <c r="Z90" s="411"/>
      <c r="AA90" s="411"/>
      <c r="AB90" s="411"/>
      <c r="AC90" s="411"/>
      <c r="AD90" s="411"/>
      <c r="AE90" s="411"/>
      <c r="AF90" s="563"/>
      <c r="AG90" s="559"/>
      <c r="AH90" s="559"/>
      <c r="AI90" s="559"/>
      <c r="AJ90" s="559"/>
      <c r="AK90" s="559"/>
      <c r="AL90" s="559"/>
      <c r="AM90" s="559"/>
      <c r="AN90" s="559"/>
      <c r="AO90" s="559"/>
      <c r="AP90" s="559"/>
      <c r="AQ90" s="560"/>
      <c r="AR90" s="560"/>
      <c r="AS90" s="564"/>
      <c r="AT90" s="564"/>
      <c r="AU90" s="576"/>
      <c r="AV90" s="576"/>
      <c r="AW90" s="576"/>
      <c r="AX90" s="576"/>
      <c r="AY90" s="576"/>
      <c r="AZ90" s="576"/>
      <c r="BA90" s="576"/>
      <c r="BB90" s="576"/>
      <c r="BC90" s="576"/>
      <c r="BD90" s="576"/>
      <c r="BE90" s="576"/>
      <c r="BF90" s="576"/>
      <c r="BG90" s="576"/>
      <c r="BH90" s="576"/>
      <c r="BI90" s="576"/>
      <c r="BJ90" s="576"/>
      <c r="BK90" s="576"/>
      <c r="BL90" s="576"/>
      <c r="BM90" s="576"/>
      <c r="BN90" s="576"/>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7"/>
      <c r="CP90" s="577"/>
      <c r="CQ90" s="577"/>
      <c r="CR90" s="577"/>
      <c r="CS90" s="577"/>
      <c r="CT90" s="577"/>
    </row>
    <row r="91" spans="2:98" s="15" customFormat="1" x14ac:dyDescent="0.2">
      <c r="B91" s="411"/>
      <c r="C91" s="411"/>
      <c r="D91" s="411"/>
      <c r="E91" s="411"/>
      <c r="F91" s="411"/>
      <c r="G91" s="411"/>
      <c r="H91" s="411"/>
      <c r="I91" s="411"/>
      <c r="J91" s="411"/>
      <c r="K91" s="411"/>
      <c r="L91" s="411"/>
      <c r="M91" s="411"/>
      <c r="N91" s="411"/>
      <c r="O91" s="411"/>
      <c r="P91" s="411"/>
      <c r="Q91" s="411"/>
      <c r="R91" s="411"/>
      <c r="S91" s="411"/>
      <c r="T91" s="411"/>
      <c r="U91" s="411"/>
      <c r="V91" s="411"/>
      <c r="W91" s="411"/>
      <c r="X91" s="411"/>
      <c r="Y91" s="411"/>
      <c r="Z91" s="411"/>
      <c r="AA91" s="411"/>
      <c r="AB91" s="411"/>
      <c r="AC91" s="411"/>
      <c r="AD91" s="411"/>
      <c r="AE91" s="411"/>
      <c r="AF91" s="563"/>
      <c r="AG91" s="559"/>
      <c r="AH91" s="559"/>
      <c r="AI91" s="559"/>
      <c r="AJ91" s="559"/>
      <c r="AK91" s="559"/>
      <c r="AL91" s="559"/>
      <c r="AM91" s="559"/>
      <c r="AN91" s="559"/>
      <c r="AO91" s="559"/>
      <c r="AP91" s="559"/>
      <c r="AQ91" s="560"/>
      <c r="AR91" s="560"/>
      <c r="AS91" s="564"/>
      <c r="AT91" s="564"/>
      <c r="AU91" s="576"/>
      <c r="AV91" s="576"/>
      <c r="AW91" s="576"/>
      <c r="AX91" s="576"/>
      <c r="AY91" s="576"/>
      <c r="AZ91" s="576"/>
      <c r="BA91" s="576"/>
      <c r="BB91" s="576"/>
      <c r="BC91" s="576"/>
      <c r="BD91" s="576"/>
      <c r="BE91" s="576"/>
      <c r="BF91" s="576"/>
      <c r="BG91" s="576"/>
      <c r="BH91" s="576"/>
      <c r="BI91" s="576"/>
      <c r="BJ91" s="576"/>
      <c r="BK91" s="576"/>
      <c r="BL91" s="576"/>
      <c r="BM91" s="576"/>
      <c r="BN91" s="576"/>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7"/>
      <c r="CP91" s="577"/>
      <c r="CQ91" s="577"/>
      <c r="CR91" s="577"/>
      <c r="CS91" s="577"/>
      <c r="CT91" s="577"/>
    </row>
    <row r="92" spans="2:98" s="15" customFormat="1" x14ac:dyDescent="0.2">
      <c r="B92" s="411"/>
      <c r="C92" s="411"/>
      <c r="D92" s="411"/>
      <c r="E92" s="411"/>
      <c r="F92" s="411"/>
      <c r="G92" s="411"/>
      <c r="H92" s="411"/>
      <c r="I92" s="411"/>
      <c r="J92" s="411"/>
      <c r="K92" s="411"/>
      <c r="L92" s="411"/>
      <c r="M92" s="411"/>
      <c r="N92" s="411"/>
      <c r="O92" s="411"/>
      <c r="P92" s="411"/>
      <c r="Q92" s="411"/>
      <c r="R92" s="411"/>
      <c r="S92" s="411"/>
      <c r="T92" s="411"/>
      <c r="U92" s="411"/>
      <c r="V92" s="411"/>
      <c r="W92" s="411"/>
      <c r="X92" s="411"/>
      <c r="Y92" s="411"/>
      <c r="Z92" s="411"/>
      <c r="AA92" s="411"/>
      <c r="AB92" s="411"/>
      <c r="AC92" s="411"/>
      <c r="AD92" s="411"/>
      <c r="AE92" s="411"/>
      <c r="AF92" s="563"/>
      <c r="AG92" s="559"/>
      <c r="AH92" s="559"/>
      <c r="AI92" s="559"/>
      <c r="AJ92" s="559"/>
      <c r="AK92" s="559"/>
      <c r="AL92" s="559"/>
      <c r="AM92" s="559"/>
      <c r="AN92" s="559"/>
      <c r="AO92" s="559"/>
      <c r="AP92" s="559"/>
      <c r="AQ92" s="560"/>
      <c r="AR92" s="560"/>
      <c r="AS92" s="564"/>
      <c r="AT92" s="564"/>
      <c r="AU92" s="576"/>
      <c r="AV92" s="576"/>
      <c r="AW92" s="576"/>
      <c r="AX92" s="576"/>
      <c r="AY92" s="576"/>
      <c r="AZ92" s="576"/>
      <c r="BA92" s="576"/>
      <c r="BB92" s="576"/>
      <c r="BC92" s="576"/>
      <c r="BD92" s="576"/>
      <c r="BE92" s="576"/>
      <c r="BF92" s="576"/>
      <c r="BG92" s="576"/>
      <c r="BH92" s="576"/>
      <c r="BI92" s="576"/>
      <c r="BJ92" s="576"/>
      <c r="BK92" s="576"/>
      <c r="BL92" s="576"/>
      <c r="BM92" s="576"/>
      <c r="BN92" s="576"/>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7"/>
      <c r="CP92" s="577"/>
      <c r="CQ92" s="577"/>
      <c r="CR92" s="577"/>
      <c r="CS92" s="577"/>
      <c r="CT92" s="577"/>
    </row>
    <row r="93" spans="2:98" s="15" customFormat="1" x14ac:dyDescent="0.2">
      <c r="B93" s="411"/>
      <c r="C93" s="411"/>
      <c r="D93" s="411"/>
      <c r="E93" s="411"/>
      <c r="F93" s="411"/>
      <c r="G93" s="411"/>
      <c r="H93" s="411"/>
      <c r="I93" s="411"/>
      <c r="J93" s="411"/>
      <c r="K93" s="411"/>
      <c r="L93" s="411"/>
      <c r="M93" s="411"/>
      <c r="N93" s="411"/>
      <c r="O93" s="411"/>
      <c r="P93" s="411"/>
      <c r="Q93" s="411"/>
      <c r="R93" s="411"/>
      <c r="S93" s="411"/>
      <c r="T93" s="411"/>
      <c r="U93" s="411"/>
      <c r="V93" s="411"/>
      <c r="W93" s="411"/>
      <c r="X93" s="411"/>
      <c r="Y93" s="411"/>
      <c r="Z93" s="411"/>
      <c r="AA93" s="411"/>
      <c r="AB93" s="411"/>
      <c r="AC93" s="411"/>
      <c r="AD93" s="411"/>
      <c r="AE93" s="411"/>
      <c r="AF93" s="563"/>
      <c r="AG93" s="559"/>
      <c r="AH93" s="559"/>
      <c r="AI93" s="559"/>
      <c r="AJ93" s="559"/>
      <c r="AK93" s="559"/>
      <c r="AL93" s="559"/>
      <c r="AM93" s="559"/>
      <c r="AN93" s="559"/>
      <c r="AO93" s="559"/>
      <c r="AP93" s="559"/>
      <c r="AQ93" s="560"/>
      <c r="AR93" s="560"/>
      <c r="AS93" s="564"/>
      <c r="AT93" s="564"/>
      <c r="AU93" s="576"/>
      <c r="AV93" s="576"/>
      <c r="AW93" s="576"/>
      <c r="AX93" s="576"/>
      <c r="AY93" s="576"/>
      <c r="AZ93" s="576"/>
      <c r="BA93" s="576"/>
      <c r="BB93" s="576"/>
      <c r="BC93" s="576"/>
      <c r="BD93" s="576"/>
      <c r="BE93" s="576"/>
      <c r="BF93" s="576"/>
      <c r="BG93" s="576"/>
      <c r="BH93" s="576"/>
      <c r="BI93" s="576"/>
      <c r="BJ93" s="576"/>
      <c r="BK93" s="576"/>
      <c r="BL93" s="576"/>
      <c r="BM93" s="576"/>
      <c r="BN93" s="576"/>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7"/>
      <c r="CP93" s="577"/>
      <c r="CQ93" s="577"/>
      <c r="CR93" s="577"/>
      <c r="CS93" s="577"/>
      <c r="CT93" s="577"/>
    </row>
    <row r="94" spans="2:98" s="15" customFormat="1" x14ac:dyDescent="0.2">
      <c r="B94" s="411"/>
      <c r="C94" s="411"/>
      <c r="D94" s="411"/>
      <c r="E94" s="411"/>
      <c r="F94" s="411"/>
      <c r="G94" s="411"/>
      <c r="H94" s="411"/>
      <c r="I94" s="411"/>
      <c r="J94" s="411"/>
      <c r="K94" s="411"/>
      <c r="L94" s="411"/>
      <c r="M94" s="411"/>
      <c r="N94" s="411"/>
      <c r="O94" s="411"/>
      <c r="P94" s="411"/>
      <c r="Q94" s="411"/>
      <c r="R94" s="411"/>
      <c r="S94" s="411"/>
      <c r="T94" s="411"/>
      <c r="U94" s="411"/>
      <c r="V94" s="411"/>
      <c r="W94" s="411"/>
      <c r="X94" s="411"/>
      <c r="Y94" s="411"/>
      <c r="Z94" s="411"/>
      <c r="AA94" s="411"/>
      <c r="AB94" s="411"/>
      <c r="AC94" s="411"/>
      <c r="AD94" s="411"/>
      <c r="AE94" s="411"/>
      <c r="AF94" s="563"/>
      <c r="AG94" s="559"/>
      <c r="AH94" s="559"/>
      <c r="AI94" s="559"/>
      <c r="AJ94" s="559"/>
      <c r="AK94" s="559"/>
      <c r="AL94" s="559"/>
      <c r="AM94" s="559"/>
      <c r="AN94" s="559"/>
      <c r="AO94" s="559"/>
      <c r="AP94" s="559"/>
      <c r="AQ94" s="560"/>
      <c r="AR94" s="560"/>
      <c r="AS94" s="564"/>
      <c r="AT94" s="564"/>
      <c r="AU94" s="576"/>
      <c r="AV94" s="576"/>
      <c r="AW94" s="576"/>
      <c r="AX94" s="576"/>
      <c r="AY94" s="576"/>
      <c r="AZ94" s="576"/>
      <c r="BA94" s="576"/>
      <c r="BB94" s="576"/>
      <c r="BC94" s="576"/>
      <c r="BD94" s="576"/>
      <c r="BE94" s="576"/>
      <c r="BF94" s="576"/>
      <c r="BG94" s="576"/>
      <c r="BH94" s="576"/>
      <c r="BI94" s="576"/>
      <c r="BJ94" s="576"/>
      <c r="BK94" s="576"/>
      <c r="BL94" s="576"/>
      <c r="BM94" s="576"/>
      <c r="BN94" s="576"/>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7"/>
      <c r="CP94" s="577"/>
      <c r="CQ94" s="577"/>
      <c r="CR94" s="577"/>
      <c r="CS94" s="577"/>
      <c r="CT94" s="577"/>
    </row>
    <row r="95" spans="2:98" s="15" customFormat="1" x14ac:dyDescent="0.2">
      <c r="B95" s="411"/>
      <c r="C95" s="411"/>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563"/>
      <c r="AG95" s="559"/>
      <c r="AH95" s="559"/>
      <c r="AI95" s="559"/>
      <c r="AJ95" s="559"/>
      <c r="AK95" s="559"/>
      <c r="AL95" s="559"/>
      <c r="AM95" s="559"/>
      <c r="AN95" s="559"/>
      <c r="AO95" s="559"/>
      <c r="AP95" s="559"/>
      <c r="AQ95" s="560"/>
      <c r="AR95" s="560"/>
      <c r="AS95" s="564"/>
      <c r="AT95" s="564"/>
      <c r="AU95" s="576"/>
      <c r="AV95" s="576"/>
      <c r="AW95" s="576"/>
      <c r="AX95" s="576"/>
      <c r="AY95" s="576"/>
      <c r="AZ95" s="576"/>
      <c r="BA95" s="576"/>
      <c r="BB95" s="576"/>
      <c r="BC95" s="576"/>
      <c r="BD95" s="576"/>
      <c r="BE95" s="576"/>
      <c r="BF95" s="576"/>
      <c r="BG95" s="576"/>
      <c r="BH95" s="576"/>
      <c r="BI95" s="576"/>
      <c r="BJ95" s="576"/>
      <c r="BK95" s="576"/>
      <c r="BL95" s="576"/>
      <c r="BM95" s="576"/>
      <c r="BN95" s="576"/>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7"/>
      <c r="CP95" s="577"/>
      <c r="CQ95" s="577"/>
      <c r="CR95" s="577"/>
      <c r="CS95" s="577"/>
      <c r="CT95" s="577"/>
    </row>
    <row r="96" spans="2:98" s="15" customFormat="1" x14ac:dyDescent="0.2">
      <c r="B96" s="411"/>
      <c r="C96" s="411"/>
      <c r="D96" s="411"/>
      <c r="E96" s="411"/>
      <c r="F96" s="411"/>
      <c r="G96" s="411"/>
      <c r="H96" s="411"/>
      <c r="I96" s="411"/>
      <c r="J96" s="411"/>
      <c r="K96" s="411"/>
      <c r="L96" s="411"/>
      <c r="M96" s="411"/>
      <c r="N96" s="411"/>
      <c r="O96" s="411"/>
      <c r="P96" s="411"/>
      <c r="Q96" s="411"/>
      <c r="R96" s="411"/>
      <c r="S96" s="411"/>
      <c r="T96" s="411"/>
      <c r="U96" s="411"/>
      <c r="V96" s="411"/>
      <c r="W96" s="411"/>
      <c r="X96" s="411"/>
      <c r="Y96" s="411"/>
      <c r="Z96" s="411"/>
      <c r="AA96" s="411"/>
      <c r="AB96" s="411"/>
      <c r="AC96" s="411"/>
      <c r="AD96" s="411"/>
      <c r="AE96" s="411"/>
      <c r="AF96" s="563"/>
      <c r="AG96" s="559"/>
      <c r="AH96" s="559"/>
      <c r="AI96" s="559"/>
      <c r="AJ96" s="559"/>
      <c r="AK96" s="559"/>
      <c r="AL96" s="559"/>
      <c r="AM96" s="559"/>
      <c r="AN96" s="559"/>
      <c r="AO96" s="559"/>
      <c r="AP96" s="559"/>
      <c r="AQ96" s="560"/>
      <c r="AR96" s="560"/>
      <c r="AS96" s="564"/>
      <c r="AT96" s="564"/>
      <c r="AU96" s="576"/>
      <c r="AV96" s="576"/>
      <c r="AW96" s="576"/>
      <c r="AX96" s="576"/>
      <c r="AY96" s="576"/>
      <c r="AZ96" s="576"/>
      <c r="BA96" s="576"/>
      <c r="BB96" s="576"/>
      <c r="BC96" s="576"/>
      <c r="BD96" s="576"/>
      <c r="BE96" s="576"/>
      <c r="BF96" s="576"/>
      <c r="BG96" s="576"/>
      <c r="BH96" s="576"/>
      <c r="BI96" s="576"/>
      <c r="BJ96" s="576"/>
      <c r="BK96" s="576"/>
      <c r="BL96" s="576"/>
      <c r="BM96" s="576"/>
      <c r="BN96" s="576"/>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7"/>
      <c r="CP96" s="577"/>
      <c r="CQ96" s="577"/>
      <c r="CR96" s="577"/>
      <c r="CS96" s="577"/>
      <c r="CT96" s="577"/>
    </row>
    <row r="97" spans="2:98" s="15" customFormat="1" x14ac:dyDescent="0.2">
      <c r="B97" s="411"/>
      <c r="C97" s="411"/>
      <c r="D97" s="411"/>
      <c r="E97" s="411"/>
      <c r="F97" s="411"/>
      <c r="G97" s="411"/>
      <c r="H97" s="411"/>
      <c r="I97" s="411"/>
      <c r="J97" s="411"/>
      <c r="K97" s="411"/>
      <c r="L97" s="411"/>
      <c r="M97" s="411"/>
      <c r="N97" s="411"/>
      <c r="O97" s="411"/>
      <c r="P97" s="411"/>
      <c r="Q97" s="411"/>
      <c r="R97" s="411"/>
      <c r="S97" s="411"/>
      <c r="T97" s="411"/>
      <c r="U97" s="411"/>
      <c r="V97" s="411"/>
      <c r="W97" s="411"/>
      <c r="X97" s="411"/>
      <c r="Y97" s="411"/>
      <c r="Z97" s="411"/>
      <c r="AA97" s="411"/>
      <c r="AB97" s="411"/>
      <c r="AC97" s="411"/>
      <c r="AD97" s="411"/>
      <c r="AE97" s="411"/>
      <c r="AF97" s="563"/>
      <c r="AG97" s="559"/>
      <c r="AH97" s="559"/>
      <c r="AI97" s="559"/>
      <c r="AJ97" s="559"/>
      <c r="AK97" s="559"/>
      <c r="AL97" s="559"/>
      <c r="AM97" s="559"/>
      <c r="AN97" s="559"/>
      <c r="AO97" s="559"/>
      <c r="AP97" s="559"/>
      <c r="AQ97" s="560"/>
      <c r="AR97" s="560"/>
      <c r="AS97" s="564"/>
      <c r="AT97" s="564"/>
      <c r="AU97" s="576"/>
      <c r="AV97" s="576"/>
      <c r="AW97" s="576"/>
      <c r="AX97" s="576"/>
      <c r="AY97" s="576"/>
      <c r="AZ97" s="576"/>
      <c r="BA97" s="576"/>
      <c r="BB97" s="576"/>
      <c r="BC97" s="576"/>
      <c r="BD97" s="576"/>
      <c r="BE97" s="576"/>
      <c r="BF97" s="576"/>
      <c r="BG97" s="576"/>
      <c r="BH97" s="576"/>
      <c r="BI97" s="576"/>
      <c r="BJ97" s="576"/>
      <c r="BK97" s="576"/>
      <c r="BL97" s="576"/>
      <c r="BM97" s="576"/>
      <c r="BN97" s="576"/>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row>
    <row r="98" spans="2:98" s="15" customFormat="1" x14ac:dyDescent="0.2">
      <c r="B98" s="411"/>
      <c r="C98" s="411"/>
      <c r="D98" s="411"/>
      <c r="E98" s="411"/>
      <c r="F98" s="411"/>
      <c r="G98" s="411"/>
      <c r="H98" s="411"/>
      <c r="I98" s="411"/>
      <c r="J98" s="411"/>
      <c r="K98" s="411"/>
      <c r="L98" s="411"/>
      <c r="M98" s="411"/>
      <c r="N98" s="411"/>
      <c r="O98" s="411"/>
      <c r="P98" s="411"/>
      <c r="Q98" s="411"/>
      <c r="R98" s="411"/>
      <c r="S98" s="411"/>
      <c r="T98" s="411"/>
      <c r="U98" s="411"/>
      <c r="V98" s="411"/>
      <c r="W98" s="411"/>
      <c r="X98" s="411"/>
      <c r="Y98" s="411"/>
      <c r="Z98" s="411"/>
      <c r="AA98" s="411"/>
      <c r="AB98" s="411"/>
      <c r="AC98" s="411"/>
      <c r="AD98" s="411"/>
      <c r="AE98" s="411"/>
      <c r="AF98" s="563"/>
      <c r="AG98" s="559"/>
      <c r="AH98" s="559"/>
      <c r="AI98" s="559"/>
      <c r="AJ98" s="559"/>
      <c r="AK98" s="559"/>
      <c r="AL98" s="559"/>
      <c r="AM98" s="559"/>
      <c r="AN98" s="559"/>
      <c r="AO98" s="559"/>
      <c r="AP98" s="559"/>
      <c r="AQ98" s="560"/>
      <c r="AR98" s="560"/>
      <c r="AS98" s="564"/>
      <c r="AT98" s="564"/>
      <c r="AU98" s="576"/>
      <c r="AV98" s="576"/>
      <c r="AW98" s="576"/>
      <c r="AX98" s="576"/>
      <c r="AY98" s="576"/>
      <c r="AZ98" s="576"/>
      <c r="BA98" s="576"/>
      <c r="BB98" s="576"/>
      <c r="BC98" s="576"/>
      <c r="BD98" s="576"/>
      <c r="BE98" s="576"/>
      <c r="BF98" s="576"/>
      <c r="BG98" s="576"/>
      <c r="BH98" s="576"/>
      <c r="BI98" s="576"/>
      <c r="BJ98" s="576"/>
      <c r="BK98" s="576"/>
      <c r="BL98" s="576"/>
      <c r="BM98" s="576"/>
      <c r="BN98" s="576"/>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row>
    <row r="99" spans="2:98" s="15" customFormat="1" x14ac:dyDescent="0.2">
      <c r="B99" s="411"/>
      <c r="C99" s="411"/>
      <c r="D99" s="411"/>
      <c r="E99" s="411"/>
      <c r="F99" s="411"/>
      <c r="G99" s="411"/>
      <c r="H99" s="411"/>
      <c r="I99" s="411"/>
      <c r="J99" s="411"/>
      <c r="K99" s="411"/>
      <c r="L99" s="411"/>
      <c r="M99" s="411"/>
      <c r="N99" s="411"/>
      <c r="O99" s="411"/>
      <c r="P99" s="411"/>
      <c r="Q99" s="411"/>
      <c r="R99" s="411"/>
      <c r="S99" s="411"/>
      <c r="T99" s="411"/>
      <c r="U99" s="411"/>
      <c r="V99" s="411"/>
      <c r="W99" s="411"/>
      <c r="X99" s="411"/>
      <c r="Y99" s="411"/>
      <c r="Z99" s="411"/>
      <c r="AA99" s="411"/>
      <c r="AB99" s="411"/>
      <c r="AC99" s="411"/>
      <c r="AD99" s="411"/>
      <c r="AE99" s="411"/>
      <c r="AF99" s="563"/>
      <c r="AG99" s="559"/>
      <c r="AH99" s="559"/>
      <c r="AI99" s="559"/>
      <c r="AJ99" s="559"/>
      <c r="AK99" s="559"/>
      <c r="AL99" s="559"/>
      <c r="AM99" s="559"/>
      <c r="AN99" s="559"/>
      <c r="AO99" s="559"/>
      <c r="AP99" s="559"/>
      <c r="AQ99" s="560"/>
      <c r="AR99" s="560"/>
      <c r="AS99" s="564"/>
      <c r="AT99" s="564"/>
      <c r="AU99" s="576"/>
      <c r="AV99" s="576"/>
      <c r="AW99" s="576"/>
      <c r="AX99" s="576"/>
      <c r="AY99" s="576"/>
      <c r="AZ99" s="576"/>
      <c r="BA99" s="576"/>
      <c r="BB99" s="576"/>
      <c r="BC99" s="576"/>
      <c r="BD99" s="576"/>
      <c r="BE99" s="576"/>
      <c r="BF99" s="576"/>
      <c r="BG99" s="576"/>
      <c r="BH99" s="576"/>
      <c r="BI99" s="576"/>
      <c r="BJ99" s="576"/>
      <c r="BK99" s="576"/>
      <c r="BL99" s="576"/>
      <c r="BM99" s="576"/>
      <c r="BN99" s="576"/>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row>
    <row r="100" spans="2:98" s="15" customFormat="1" x14ac:dyDescent="0.2">
      <c r="B100" s="411"/>
      <c r="C100" s="411"/>
      <c r="D100" s="411"/>
      <c r="E100" s="411"/>
      <c r="F100" s="411"/>
      <c r="G100" s="411"/>
      <c r="H100" s="411"/>
      <c r="I100" s="411"/>
      <c r="J100" s="411"/>
      <c r="K100" s="411"/>
      <c r="L100" s="411"/>
      <c r="M100" s="411"/>
      <c r="N100" s="411"/>
      <c r="O100" s="411"/>
      <c r="P100" s="411"/>
      <c r="Q100" s="411"/>
      <c r="R100" s="411"/>
      <c r="S100" s="411"/>
      <c r="T100" s="411"/>
      <c r="U100" s="411"/>
      <c r="V100" s="411"/>
      <c r="W100" s="411"/>
      <c r="X100" s="411"/>
      <c r="Y100" s="411"/>
      <c r="Z100" s="411"/>
      <c r="AA100" s="411"/>
      <c r="AB100" s="411"/>
      <c r="AC100" s="411"/>
      <c r="AD100" s="411"/>
      <c r="AE100" s="411"/>
      <c r="AF100" s="563"/>
      <c r="AG100" s="559"/>
      <c r="AH100" s="559"/>
      <c r="AI100" s="559"/>
      <c r="AJ100" s="559"/>
      <c r="AK100" s="559"/>
      <c r="AL100" s="559"/>
      <c r="AM100" s="559"/>
      <c r="AN100" s="559"/>
      <c r="AO100" s="559"/>
      <c r="AP100" s="559"/>
      <c r="AQ100" s="560"/>
      <c r="AR100" s="560"/>
      <c r="AS100" s="564"/>
      <c r="AT100" s="564"/>
      <c r="AU100" s="576"/>
      <c r="AV100" s="576"/>
      <c r="AW100" s="576"/>
      <c r="AX100" s="576"/>
      <c r="AY100" s="576"/>
      <c r="AZ100" s="576"/>
      <c r="BA100" s="576"/>
      <c r="BB100" s="576"/>
      <c r="BC100" s="576"/>
      <c r="BD100" s="576"/>
      <c r="BE100" s="576"/>
      <c r="BF100" s="576"/>
      <c r="BG100" s="576"/>
      <c r="BH100" s="576"/>
      <c r="BI100" s="576"/>
      <c r="BJ100" s="576"/>
      <c r="BK100" s="576"/>
      <c r="BL100" s="576"/>
      <c r="BM100" s="576"/>
      <c r="BN100" s="576"/>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row>
    <row r="101" spans="2:98" s="15" customFormat="1" x14ac:dyDescent="0.2">
      <c r="B101" s="411"/>
      <c r="C101" s="411"/>
      <c r="D101" s="411"/>
      <c r="E101" s="411"/>
      <c r="F101" s="411"/>
      <c r="G101" s="411"/>
      <c r="H101" s="411"/>
      <c r="I101" s="411"/>
      <c r="J101" s="411"/>
      <c r="K101" s="411"/>
      <c r="L101" s="411"/>
      <c r="M101" s="411"/>
      <c r="N101" s="411"/>
      <c r="O101" s="411"/>
      <c r="P101" s="411"/>
      <c r="Q101" s="411"/>
      <c r="R101" s="411"/>
      <c r="S101" s="411"/>
      <c r="T101" s="411"/>
      <c r="U101" s="411"/>
      <c r="V101" s="411"/>
      <c r="W101" s="411"/>
      <c r="X101" s="411"/>
      <c r="Y101" s="411"/>
      <c r="Z101" s="411"/>
      <c r="AA101" s="411"/>
      <c r="AB101" s="411"/>
      <c r="AC101" s="411"/>
      <c r="AD101" s="411"/>
      <c r="AE101" s="411"/>
      <c r="AF101" s="563"/>
      <c r="AG101" s="559"/>
      <c r="AH101" s="559"/>
      <c r="AI101" s="559"/>
      <c r="AJ101" s="559"/>
      <c r="AK101" s="559"/>
      <c r="AL101" s="559"/>
      <c r="AM101" s="559"/>
      <c r="AN101" s="559"/>
      <c r="AO101" s="559"/>
      <c r="AP101" s="559"/>
      <c r="AQ101" s="560"/>
      <c r="AR101" s="560"/>
      <c r="AS101" s="564"/>
      <c r="AT101" s="564"/>
      <c r="AU101" s="576"/>
      <c r="AV101" s="576"/>
      <c r="AW101" s="576"/>
      <c r="AX101" s="576"/>
      <c r="AY101" s="576"/>
      <c r="AZ101" s="576"/>
      <c r="BA101" s="576"/>
      <c r="BB101" s="576"/>
      <c r="BC101" s="576"/>
      <c r="BD101" s="576"/>
      <c r="BE101" s="576"/>
      <c r="BF101" s="576"/>
      <c r="BG101" s="576"/>
      <c r="BH101" s="576"/>
      <c r="BI101" s="576"/>
      <c r="BJ101" s="576"/>
      <c r="BK101" s="576"/>
      <c r="BL101" s="576"/>
      <c r="BM101" s="576"/>
      <c r="BN101" s="576"/>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row>
    <row r="102" spans="2:98" s="15" customFormat="1" x14ac:dyDescent="0.2">
      <c r="B102" s="411"/>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c r="AA102" s="411"/>
      <c r="AB102" s="411"/>
      <c r="AC102" s="411"/>
      <c r="AD102" s="411"/>
      <c r="AE102" s="411"/>
      <c r="AF102" s="563"/>
      <c r="AG102" s="559"/>
      <c r="AH102" s="559"/>
      <c r="AI102" s="559"/>
      <c r="AJ102" s="559"/>
      <c r="AK102" s="559"/>
      <c r="AL102" s="559"/>
      <c r="AM102" s="559"/>
      <c r="AN102" s="559"/>
      <c r="AO102" s="559"/>
      <c r="AP102" s="559"/>
      <c r="AQ102" s="560"/>
      <c r="AR102" s="560"/>
      <c r="AS102" s="564"/>
      <c r="AT102" s="564"/>
      <c r="AU102" s="576"/>
      <c r="AV102" s="576"/>
      <c r="AW102" s="576"/>
      <c r="AX102" s="576"/>
      <c r="AY102" s="576"/>
      <c r="AZ102" s="576"/>
      <c r="BA102" s="576"/>
      <c r="BB102" s="576"/>
      <c r="BC102" s="576"/>
      <c r="BD102" s="576"/>
      <c r="BE102" s="576"/>
      <c r="BF102" s="576"/>
      <c r="BG102" s="576"/>
      <c r="BH102" s="576"/>
      <c r="BI102" s="576"/>
      <c r="BJ102" s="576"/>
      <c r="BK102" s="576"/>
      <c r="BL102" s="576"/>
      <c r="BM102" s="576"/>
      <c r="BN102" s="576"/>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row>
    <row r="103" spans="2:98" s="15" customFormat="1" x14ac:dyDescent="0.2">
      <c r="B103" s="411"/>
      <c r="C103" s="411"/>
      <c r="D103" s="411"/>
      <c r="E103" s="411"/>
      <c r="F103" s="411"/>
      <c r="G103" s="411"/>
      <c r="H103" s="411"/>
      <c r="I103" s="411"/>
      <c r="J103" s="411"/>
      <c r="K103" s="411"/>
      <c r="L103" s="411"/>
      <c r="M103" s="411"/>
      <c r="N103" s="411"/>
      <c r="O103" s="411"/>
      <c r="P103" s="411"/>
      <c r="Q103" s="411"/>
      <c r="R103" s="411"/>
      <c r="S103" s="411"/>
      <c r="T103" s="411"/>
      <c r="U103" s="411"/>
      <c r="V103" s="411"/>
      <c r="W103" s="411"/>
      <c r="X103" s="411"/>
      <c r="Y103" s="411"/>
      <c r="Z103" s="411"/>
      <c r="AA103" s="411"/>
      <c r="AB103" s="411"/>
      <c r="AC103" s="411"/>
      <c r="AD103" s="411"/>
      <c r="AE103" s="411"/>
      <c r="AF103" s="563"/>
      <c r="AG103" s="559"/>
      <c r="AH103" s="559"/>
      <c r="AI103" s="559"/>
      <c r="AJ103" s="559"/>
      <c r="AK103" s="559"/>
      <c r="AL103" s="559"/>
      <c r="AM103" s="559"/>
      <c r="AN103" s="559"/>
      <c r="AO103" s="559"/>
      <c r="AP103" s="559"/>
      <c r="AQ103" s="560"/>
      <c r="AR103" s="560"/>
      <c r="AS103" s="564"/>
      <c r="AT103" s="564"/>
      <c r="AU103" s="576"/>
      <c r="AV103" s="576"/>
      <c r="AW103" s="576"/>
      <c r="AX103" s="576"/>
      <c r="AY103" s="576"/>
      <c r="AZ103" s="576"/>
      <c r="BA103" s="576"/>
      <c r="BB103" s="576"/>
      <c r="BC103" s="576"/>
      <c r="BD103" s="576"/>
      <c r="BE103" s="576"/>
      <c r="BF103" s="576"/>
      <c r="BG103" s="576"/>
      <c r="BH103" s="576"/>
      <c r="BI103" s="576"/>
      <c r="BJ103" s="576"/>
      <c r="BK103" s="576"/>
      <c r="BL103" s="576"/>
      <c r="BM103" s="576"/>
      <c r="BN103" s="576"/>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row>
    <row r="104" spans="2:98" s="15" customFormat="1" x14ac:dyDescent="0.2">
      <c r="B104" s="411"/>
      <c r="C104" s="411"/>
      <c r="D104" s="411"/>
      <c r="E104" s="411"/>
      <c r="F104" s="411"/>
      <c r="G104" s="411"/>
      <c r="H104" s="411"/>
      <c r="I104" s="411"/>
      <c r="J104" s="411"/>
      <c r="K104" s="411"/>
      <c r="L104" s="411"/>
      <c r="M104" s="411"/>
      <c r="N104" s="411"/>
      <c r="O104" s="411"/>
      <c r="P104" s="411"/>
      <c r="Q104" s="411"/>
      <c r="R104" s="411"/>
      <c r="S104" s="411"/>
      <c r="T104" s="411"/>
      <c r="U104" s="411"/>
      <c r="V104" s="411"/>
      <c r="W104" s="411"/>
      <c r="X104" s="411"/>
      <c r="Y104" s="411"/>
      <c r="Z104" s="411"/>
      <c r="AA104" s="411"/>
      <c r="AB104" s="411"/>
      <c r="AC104" s="411"/>
      <c r="AD104" s="411"/>
      <c r="AE104" s="411"/>
      <c r="AF104" s="563"/>
      <c r="AG104" s="559"/>
      <c r="AH104" s="559"/>
      <c r="AI104" s="559"/>
      <c r="AJ104" s="559"/>
      <c r="AK104" s="559"/>
      <c r="AL104" s="559"/>
      <c r="AM104" s="559"/>
      <c r="AN104" s="559"/>
      <c r="AO104" s="559"/>
      <c r="AP104" s="559"/>
      <c r="AQ104" s="560"/>
      <c r="AR104" s="560"/>
      <c r="AS104" s="564"/>
      <c r="AT104" s="564"/>
      <c r="AU104" s="576"/>
      <c r="AV104" s="576"/>
      <c r="AW104" s="576"/>
      <c r="AX104" s="576"/>
      <c r="AY104" s="576"/>
      <c r="AZ104" s="576"/>
      <c r="BA104" s="576"/>
      <c r="BB104" s="576"/>
      <c r="BC104" s="576"/>
      <c r="BD104" s="576"/>
      <c r="BE104" s="576"/>
      <c r="BF104" s="576"/>
      <c r="BG104" s="576"/>
      <c r="BH104" s="576"/>
      <c r="BI104" s="576"/>
      <c r="BJ104" s="576"/>
      <c r="BK104" s="576"/>
      <c r="BL104" s="576"/>
      <c r="BM104" s="576"/>
      <c r="BN104" s="576"/>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row>
    <row r="105" spans="2:98" s="15" customFormat="1" x14ac:dyDescent="0.2">
      <c r="B105" s="411"/>
      <c r="C105" s="411"/>
      <c r="D105" s="411"/>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c r="AA105" s="411"/>
      <c r="AB105" s="411"/>
      <c r="AC105" s="411"/>
      <c r="AD105" s="411"/>
      <c r="AE105" s="411"/>
      <c r="AF105" s="563"/>
      <c r="AG105" s="559"/>
      <c r="AH105" s="559"/>
      <c r="AI105" s="559"/>
      <c r="AJ105" s="559"/>
      <c r="AK105" s="559"/>
      <c r="AL105" s="559"/>
      <c r="AM105" s="559"/>
      <c r="AN105" s="559"/>
      <c r="AO105" s="559"/>
      <c r="AP105" s="559"/>
      <c r="AQ105" s="560"/>
      <c r="AR105" s="560"/>
      <c r="AS105" s="564"/>
      <c r="AT105" s="564"/>
      <c r="AU105" s="576"/>
      <c r="AV105" s="576"/>
      <c r="AW105" s="576"/>
      <c r="AX105" s="576"/>
      <c r="AY105" s="576"/>
      <c r="AZ105" s="576"/>
      <c r="BA105" s="576"/>
      <c r="BB105" s="576"/>
      <c r="BC105" s="576"/>
      <c r="BD105" s="576"/>
      <c r="BE105" s="576"/>
      <c r="BF105" s="576"/>
      <c r="BG105" s="576"/>
      <c r="BH105" s="576"/>
      <c r="BI105" s="576"/>
      <c r="BJ105" s="576"/>
      <c r="BK105" s="576"/>
      <c r="BL105" s="576"/>
      <c r="BM105" s="576"/>
      <c r="BN105" s="576"/>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row>
    <row r="106" spans="2:98" s="15" customFormat="1" x14ac:dyDescent="0.2">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411"/>
      <c r="Y106" s="411"/>
      <c r="Z106" s="411"/>
      <c r="AA106" s="411"/>
      <c r="AB106" s="411"/>
      <c r="AC106" s="411"/>
      <c r="AD106" s="411"/>
      <c r="AE106" s="411"/>
      <c r="AF106" s="563"/>
      <c r="AG106" s="559"/>
      <c r="AH106" s="559"/>
      <c r="AI106" s="559"/>
      <c r="AJ106" s="559"/>
      <c r="AK106" s="559"/>
      <c r="AL106" s="559"/>
      <c r="AM106" s="559"/>
      <c r="AN106" s="559"/>
      <c r="AO106" s="559"/>
      <c r="AP106" s="559"/>
      <c r="AQ106" s="560"/>
      <c r="AR106" s="560"/>
      <c r="AS106" s="564"/>
      <c r="AT106" s="564"/>
      <c r="AU106" s="576"/>
      <c r="AV106" s="576"/>
      <c r="AW106" s="576"/>
      <c r="AX106" s="576"/>
      <c r="AY106" s="576"/>
      <c r="AZ106" s="576"/>
      <c r="BA106" s="576"/>
      <c r="BB106" s="576"/>
      <c r="BC106" s="576"/>
      <c r="BD106" s="576"/>
      <c r="BE106" s="576"/>
      <c r="BF106" s="576"/>
      <c r="BG106" s="576"/>
      <c r="BH106" s="576"/>
      <c r="BI106" s="576"/>
      <c r="BJ106" s="576"/>
      <c r="BK106" s="576"/>
      <c r="BL106" s="576"/>
      <c r="BM106" s="576"/>
      <c r="BN106" s="576"/>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row>
    <row r="107" spans="2:98" s="15" customFormat="1" x14ac:dyDescent="0.2">
      <c r="B107" s="411"/>
      <c r="C107" s="411"/>
      <c r="D107" s="411"/>
      <c r="E107" s="411"/>
      <c r="F107" s="411"/>
      <c r="G107" s="411"/>
      <c r="H107" s="411"/>
      <c r="I107" s="411"/>
      <c r="J107" s="411"/>
      <c r="K107" s="411"/>
      <c r="L107" s="411"/>
      <c r="M107" s="411"/>
      <c r="N107" s="411"/>
      <c r="O107" s="411"/>
      <c r="P107" s="411"/>
      <c r="Q107" s="411"/>
      <c r="R107" s="411"/>
      <c r="S107" s="411"/>
      <c r="T107" s="411"/>
      <c r="U107" s="411"/>
      <c r="V107" s="411"/>
      <c r="W107" s="411"/>
      <c r="X107" s="411"/>
      <c r="Y107" s="411"/>
      <c r="Z107" s="411"/>
      <c r="AA107" s="411"/>
      <c r="AB107" s="411"/>
      <c r="AC107" s="411"/>
      <c r="AD107" s="411"/>
      <c r="AE107" s="411"/>
      <c r="AF107" s="563"/>
      <c r="AG107" s="559"/>
      <c r="AH107" s="559"/>
      <c r="AI107" s="559"/>
      <c r="AJ107" s="559"/>
      <c r="AK107" s="559"/>
      <c r="AL107" s="559"/>
      <c r="AM107" s="559"/>
      <c r="AN107" s="559"/>
      <c r="AO107" s="559"/>
      <c r="AP107" s="559"/>
      <c r="AQ107" s="560"/>
      <c r="AR107" s="560"/>
      <c r="AS107" s="564"/>
      <c r="AT107" s="564"/>
      <c r="AU107" s="576"/>
      <c r="AV107" s="576"/>
      <c r="AW107" s="576"/>
      <c r="AX107" s="576"/>
      <c r="AY107" s="576"/>
      <c r="AZ107" s="576"/>
      <c r="BA107" s="576"/>
      <c r="BB107" s="576"/>
      <c r="BC107" s="576"/>
      <c r="BD107" s="576"/>
      <c r="BE107" s="576"/>
      <c r="BF107" s="576"/>
      <c r="BG107" s="576"/>
      <c r="BH107" s="576"/>
      <c r="BI107" s="576"/>
      <c r="BJ107" s="576"/>
      <c r="BK107" s="576"/>
      <c r="BL107" s="576"/>
      <c r="BM107" s="576"/>
      <c r="BN107" s="576"/>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row>
    <row r="108" spans="2:98" s="15" customFormat="1" x14ac:dyDescent="0.2">
      <c r="B108" s="411"/>
      <c r="C108" s="411"/>
      <c r="D108" s="411"/>
      <c r="E108" s="411"/>
      <c r="F108" s="411"/>
      <c r="G108" s="411"/>
      <c r="H108" s="411"/>
      <c r="I108" s="411"/>
      <c r="J108" s="411"/>
      <c r="K108" s="411"/>
      <c r="L108" s="411"/>
      <c r="M108" s="411"/>
      <c r="N108" s="411"/>
      <c r="O108" s="411"/>
      <c r="P108" s="411"/>
      <c r="Q108" s="411"/>
      <c r="R108" s="411"/>
      <c r="S108" s="411"/>
      <c r="T108" s="411"/>
      <c r="U108" s="411"/>
      <c r="V108" s="411"/>
      <c r="W108" s="411"/>
      <c r="X108" s="411"/>
      <c r="Y108" s="411"/>
      <c r="Z108" s="411"/>
      <c r="AA108" s="411"/>
      <c r="AB108" s="411"/>
      <c r="AC108" s="411"/>
      <c r="AD108" s="411"/>
      <c r="AE108" s="411"/>
      <c r="AF108" s="563"/>
      <c r="AG108" s="559"/>
      <c r="AH108" s="559"/>
      <c r="AI108" s="559"/>
      <c r="AJ108" s="559"/>
      <c r="AK108" s="559"/>
      <c r="AL108" s="559"/>
      <c r="AM108" s="559"/>
      <c r="AN108" s="559"/>
      <c r="AO108" s="559"/>
      <c r="AP108" s="559"/>
      <c r="AQ108" s="560"/>
      <c r="AR108" s="560"/>
      <c r="AS108" s="564"/>
      <c r="AT108" s="564"/>
      <c r="AU108" s="576"/>
      <c r="AV108" s="576"/>
      <c r="AW108" s="576"/>
      <c r="AX108" s="576"/>
      <c r="AY108" s="576"/>
      <c r="AZ108" s="576"/>
      <c r="BA108" s="576"/>
      <c r="BB108" s="576"/>
      <c r="BC108" s="576"/>
      <c r="BD108" s="576"/>
      <c r="BE108" s="576"/>
      <c r="BF108" s="576"/>
      <c r="BG108" s="576"/>
      <c r="BH108" s="576"/>
      <c r="BI108" s="576"/>
      <c r="BJ108" s="576"/>
      <c r="BK108" s="576"/>
      <c r="BL108" s="576"/>
      <c r="BM108" s="576"/>
      <c r="BN108" s="576"/>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row>
    <row r="109" spans="2:98" s="15" customFormat="1" x14ac:dyDescent="0.2">
      <c r="B109" s="411"/>
      <c r="C109" s="411"/>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1"/>
      <c r="Z109" s="411"/>
      <c r="AA109" s="411"/>
      <c r="AB109" s="411"/>
      <c r="AC109" s="411"/>
      <c r="AD109" s="411"/>
      <c r="AE109" s="411"/>
      <c r="AF109" s="563"/>
      <c r="AG109" s="559"/>
      <c r="AH109" s="559"/>
      <c r="AI109" s="559"/>
      <c r="AJ109" s="559"/>
      <c r="AK109" s="559"/>
      <c r="AL109" s="559"/>
      <c r="AM109" s="559"/>
      <c r="AN109" s="559"/>
      <c r="AO109" s="559"/>
      <c r="AP109" s="559"/>
      <c r="AQ109" s="560"/>
      <c r="AR109" s="560"/>
      <c r="AS109" s="564"/>
      <c r="AT109" s="564"/>
      <c r="AU109" s="576"/>
      <c r="AV109" s="576"/>
      <c r="AW109" s="576"/>
      <c r="AX109" s="576"/>
      <c r="AY109" s="576"/>
      <c r="AZ109" s="576"/>
      <c r="BA109" s="576"/>
      <c r="BB109" s="576"/>
      <c r="BC109" s="576"/>
      <c r="BD109" s="576"/>
      <c r="BE109" s="576"/>
      <c r="BF109" s="576"/>
      <c r="BG109" s="576"/>
      <c r="BH109" s="576"/>
      <c r="BI109" s="576"/>
      <c r="BJ109" s="576"/>
      <c r="BK109" s="576"/>
      <c r="BL109" s="576"/>
      <c r="BM109" s="576"/>
      <c r="BN109" s="576"/>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row>
    <row r="110" spans="2:98" s="15" customFormat="1" x14ac:dyDescent="0.2">
      <c r="B110" s="411"/>
      <c r="C110" s="411"/>
      <c r="D110" s="411"/>
      <c r="E110" s="411"/>
      <c r="F110" s="411"/>
      <c r="G110" s="411"/>
      <c r="H110" s="411"/>
      <c r="I110" s="411"/>
      <c r="J110" s="411"/>
      <c r="K110" s="411"/>
      <c r="L110" s="411"/>
      <c r="M110" s="411"/>
      <c r="N110" s="411"/>
      <c r="O110" s="411"/>
      <c r="P110" s="411"/>
      <c r="Q110" s="411"/>
      <c r="R110" s="411"/>
      <c r="S110" s="411"/>
      <c r="T110" s="411"/>
      <c r="U110" s="411"/>
      <c r="V110" s="411"/>
      <c r="W110" s="411"/>
      <c r="X110" s="411"/>
      <c r="Y110" s="411"/>
      <c r="Z110" s="411"/>
      <c r="AA110" s="411"/>
      <c r="AB110" s="411"/>
      <c r="AC110" s="411"/>
      <c r="AD110" s="411"/>
      <c r="AE110" s="411"/>
      <c r="AF110" s="563"/>
      <c r="AG110" s="559"/>
      <c r="AH110" s="559"/>
      <c r="AI110" s="559"/>
      <c r="AJ110" s="559"/>
      <c r="AK110" s="559"/>
      <c r="AL110" s="559"/>
      <c r="AM110" s="559"/>
      <c r="AN110" s="559"/>
      <c r="AO110" s="559"/>
      <c r="AP110" s="559"/>
      <c r="AQ110" s="560"/>
      <c r="AR110" s="560"/>
      <c r="AS110" s="564"/>
      <c r="AT110" s="564"/>
      <c r="AU110" s="576"/>
      <c r="AV110" s="576"/>
      <c r="AW110" s="576"/>
      <c r="AX110" s="576"/>
      <c r="AY110" s="576"/>
      <c r="AZ110" s="576"/>
      <c r="BA110" s="576"/>
      <c r="BB110" s="576"/>
      <c r="BC110" s="576"/>
      <c r="BD110" s="576"/>
      <c r="BE110" s="576"/>
      <c r="BF110" s="576"/>
      <c r="BG110" s="576"/>
      <c r="BH110" s="576"/>
      <c r="BI110" s="576"/>
      <c r="BJ110" s="576"/>
      <c r="BK110" s="576"/>
      <c r="BL110" s="576"/>
      <c r="BM110" s="576"/>
      <c r="BN110" s="576"/>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7"/>
      <c r="CP110" s="577"/>
      <c r="CQ110" s="577"/>
      <c r="CR110" s="577"/>
      <c r="CS110" s="577"/>
      <c r="CT110" s="577"/>
    </row>
    <row r="111" spans="2:98" s="15" customFormat="1" x14ac:dyDescent="0.2">
      <c r="B111" s="411"/>
      <c r="C111" s="411"/>
      <c r="D111" s="411"/>
      <c r="E111" s="411"/>
      <c r="F111" s="411"/>
      <c r="G111" s="411"/>
      <c r="H111" s="411"/>
      <c r="I111" s="411"/>
      <c r="J111" s="411"/>
      <c r="K111" s="411"/>
      <c r="L111" s="411"/>
      <c r="M111" s="411"/>
      <c r="N111" s="411"/>
      <c r="O111" s="411"/>
      <c r="P111" s="411"/>
      <c r="Q111" s="411"/>
      <c r="R111" s="411"/>
      <c r="S111" s="411"/>
      <c r="T111" s="411"/>
      <c r="U111" s="411"/>
      <c r="V111" s="411"/>
      <c r="W111" s="411"/>
      <c r="X111" s="411"/>
      <c r="Y111" s="411"/>
      <c r="Z111" s="411"/>
      <c r="AA111" s="411"/>
      <c r="AB111" s="411"/>
      <c r="AC111" s="411"/>
      <c r="AD111" s="411"/>
      <c r="AE111" s="411"/>
      <c r="AF111" s="563"/>
      <c r="AG111" s="559"/>
      <c r="AH111" s="559"/>
      <c r="AI111" s="559"/>
      <c r="AJ111" s="559"/>
      <c r="AK111" s="559"/>
      <c r="AL111" s="559"/>
      <c r="AM111" s="559"/>
      <c r="AN111" s="559"/>
      <c r="AO111" s="559"/>
      <c r="AP111" s="559"/>
      <c r="AQ111" s="560"/>
      <c r="AR111" s="560"/>
      <c r="AS111" s="564"/>
      <c r="AT111" s="564"/>
      <c r="AU111" s="576"/>
      <c r="AV111" s="576"/>
      <c r="AW111" s="576"/>
      <c r="AX111" s="576"/>
      <c r="AY111" s="576"/>
      <c r="AZ111" s="576"/>
      <c r="BA111" s="576"/>
      <c r="BB111" s="576"/>
      <c r="BC111" s="576"/>
      <c r="BD111" s="576"/>
      <c r="BE111" s="576"/>
      <c r="BF111" s="576"/>
      <c r="BG111" s="576"/>
      <c r="BH111" s="576"/>
      <c r="BI111" s="576"/>
      <c r="BJ111" s="576"/>
      <c r="BK111" s="576"/>
      <c r="BL111" s="576"/>
      <c r="BM111" s="576"/>
      <c r="BN111" s="576"/>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7"/>
      <c r="CP111" s="577"/>
      <c r="CQ111" s="577"/>
      <c r="CR111" s="577"/>
      <c r="CS111" s="577"/>
      <c r="CT111" s="577"/>
    </row>
    <row r="112" spans="2:98" s="15" customFormat="1" x14ac:dyDescent="0.2">
      <c r="B112" s="411"/>
      <c r="C112" s="411"/>
      <c r="D112" s="411"/>
      <c r="E112" s="411"/>
      <c r="F112" s="411"/>
      <c r="G112" s="411"/>
      <c r="H112" s="411"/>
      <c r="I112" s="411"/>
      <c r="J112" s="411"/>
      <c r="K112" s="411"/>
      <c r="L112" s="411"/>
      <c r="M112" s="411"/>
      <c r="N112" s="411"/>
      <c r="O112" s="411"/>
      <c r="P112" s="411"/>
      <c r="Q112" s="411"/>
      <c r="R112" s="411"/>
      <c r="S112" s="411"/>
      <c r="T112" s="411"/>
      <c r="U112" s="411"/>
      <c r="V112" s="411"/>
      <c r="W112" s="411"/>
      <c r="X112" s="411"/>
      <c r="Y112" s="411"/>
      <c r="Z112" s="411"/>
      <c r="AA112" s="411"/>
      <c r="AB112" s="411"/>
      <c r="AC112" s="411"/>
      <c r="AD112" s="411"/>
      <c r="AE112" s="411"/>
      <c r="AF112" s="563"/>
      <c r="AG112" s="559"/>
      <c r="AH112" s="559"/>
      <c r="AI112" s="559"/>
      <c r="AJ112" s="559"/>
      <c r="AK112" s="559"/>
      <c r="AL112" s="559"/>
      <c r="AM112" s="559"/>
      <c r="AN112" s="559"/>
      <c r="AO112" s="559"/>
      <c r="AP112" s="559"/>
      <c r="AQ112" s="560"/>
      <c r="AR112" s="560"/>
      <c r="AS112" s="564"/>
      <c r="AT112" s="564"/>
      <c r="AU112" s="576"/>
      <c r="AV112" s="576"/>
      <c r="AW112" s="576"/>
      <c r="AX112" s="576"/>
      <c r="AY112" s="576"/>
      <c r="AZ112" s="576"/>
      <c r="BA112" s="576"/>
      <c r="BB112" s="576"/>
      <c r="BC112" s="576"/>
      <c r="BD112" s="576"/>
      <c r="BE112" s="576"/>
      <c r="BF112" s="576"/>
      <c r="BG112" s="576"/>
      <c r="BH112" s="576"/>
      <c r="BI112" s="576"/>
      <c r="BJ112" s="576"/>
      <c r="BK112" s="576"/>
      <c r="BL112" s="576"/>
      <c r="BM112" s="576"/>
      <c r="BN112" s="576"/>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row>
    <row r="113" spans="2:98" s="15" customFormat="1" x14ac:dyDescent="0.2">
      <c r="B113" s="411"/>
      <c r="C113" s="411"/>
      <c r="D113" s="411"/>
      <c r="E113" s="411"/>
      <c r="F113" s="411"/>
      <c r="G113" s="411"/>
      <c r="H113" s="411"/>
      <c r="I113" s="411"/>
      <c r="J113" s="411"/>
      <c r="K113" s="411"/>
      <c r="L113" s="411"/>
      <c r="M113" s="411"/>
      <c r="N113" s="411"/>
      <c r="O113" s="411"/>
      <c r="P113" s="411"/>
      <c r="Q113" s="411"/>
      <c r="R113" s="411"/>
      <c r="S113" s="411"/>
      <c r="T113" s="411"/>
      <c r="U113" s="411"/>
      <c r="V113" s="411"/>
      <c r="W113" s="411"/>
      <c r="X113" s="411"/>
      <c r="Y113" s="411"/>
      <c r="Z113" s="411"/>
      <c r="AA113" s="411"/>
      <c r="AB113" s="411"/>
      <c r="AC113" s="411"/>
      <c r="AD113" s="411"/>
      <c r="AE113" s="411"/>
      <c r="AF113" s="563"/>
      <c r="AG113" s="559"/>
      <c r="AH113" s="559"/>
      <c r="AI113" s="559"/>
      <c r="AJ113" s="559"/>
      <c r="AK113" s="559"/>
      <c r="AL113" s="559"/>
      <c r="AM113" s="559"/>
      <c r="AN113" s="559"/>
      <c r="AO113" s="559"/>
      <c r="AP113" s="559"/>
      <c r="AQ113" s="560"/>
      <c r="AR113" s="560"/>
      <c r="AS113" s="564"/>
      <c r="AT113" s="564"/>
      <c r="AU113" s="576"/>
      <c r="AV113" s="576"/>
      <c r="AW113" s="576"/>
      <c r="AX113" s="576"/>
      <c r="AY113" s="576"/>
      <c r="AZ113" s="576"/>
      <c r="BA113" s="576"/>
      <c r="BB113" s="576"/>
      <c r="BC113" s="576"/>
      <c r="BD113" s="576"/>
      <c r="BE113" s="576"/>
      <c r="BF113" s="576"/>
      <c r="BG113" s="576"/>
      <c r="BH113" s="576"/>
      <c r="BI113" s="576"/>
      <c r="BJ113" s="576"/>
      <c r="BK113" s="576"/>
      <c r="BL113" s="576"/>
      <c r="BM113" s="576"/>
      <c r="BN113" s="576"/>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7"/>
      <c r="CP113" s="577"/>
      <c r="CQ113" s="577"/>
      <c r="CR113" s="577"/>
      <c r="CS113" s="577"/>
      <c r="CT113" s="577"/>
    </row>
    <row r="114" spans="2:98" s="15" customFormat="1" x14ac:dyDescent="0.2">
      <c r="B114" s="411"/>
      <c r="C114" s="411"/>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1"/>
      <c r="Z114" s="411"/>
      <c r="AA114" s="411"/>
      <c r="AB114" s="411"/>
      <c r="AC114" s="411"/>
      <c r="AD114" s="411"/>
      <c r="AE114" s="411"/>
      <c r="AF114" s="563"/>
      <c r="AG114" s="559"/>
      <c r="AH114" s="559"/>
      <c r="AI114" s="559"/>
      <c r="AJ114" s="559"/>
      <c r="AK114" s="559"/>
      <c r="AL114" s="559"/>
      <c r="AM114" s="559"/>
      <c r="AN114" s="559"/>
      <c r="AO114" s="559"/>
      <c r="AP114" s="559"/>
      <c r="AQ114" s="560"/>
      <c r="AR114" s="560"/>
      <c r="AS114" s="564"/>
      <c r="AT114" s="564"/>
      <c r="AU114" s="576"/>
      <c r="AV114" s="576"/>
      <c r="AW114" s="576"/>
      <c r="AX114" s="576"/>
      <c r="AY114" s="576"/>
      <c r="AZ114" s="576"/>
      <c r="BA114" s="576"/>
      <c r="BB114" s="576"/>
      <c r="BC114" s="576"/>
      <c r="BD114" s="576"/>
      <c r="BE114" s="576"/>
      <c r="BF114" s="576"/>
      <c r="BG114" s="576"/>
      <c r="BH114" s="576"/>
      <c r="BI114" s="576"/>
      <c r="BJ114" s="576"/>
      <c r="BK114" s="576"/>
      <c r="BL114" s="576"/>
      <c r="BM114" s="576"/>
      <c r="BN114" s="576"/>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row>
    <row r="115" spans="2:98" s="15" customFormat="1" x14ac:dyDescent="0.2">
      <c r="B115" s="411"/>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1"/>
      <c r="Z115" s="411"/>
      <c r="AA115" s="411"/>
      <c r="AB115" s="411"/>
      <c r="AC115" s="411"/>
      <c r="AD115" s="411"/>
      <c r="AE115" s="411"/>
      <c r="AF115" s="563"/>
      <c r="AG115" s="559"/>
      <c r="AH115" s="559"/>
      <c r="AI115" s="559"/>
      <c r="AJ115" s="559"/>
      <c r="AK115" s="559"/>
      <c r="AL115" s="559"/>
      <c r="AM115" s="559"/>
      <c r="AN115" s="559"/>
      <c r="AO115" s="559"/>
      <c r="AP115" s="559"/>
      <c r="AQ115" s="560"/>
      <c r="AR115" s="560"/>
      <c r="AS115" s="564"/>
      <c r="AT115" s="564"/>
      <c r="AU115" s="576"/>
      <c r="AV115" s="576"/>
      <c r="AW115" s="576"/>
      <c r="AX115" s="576"/>
      <c r="AY115" s="576"/>
      <c r="AZ115" s="576"/>
      <c r="BA115" s="576"/>
      <c r="BB115" s="576"/>
      <c r="BC115" s="576"/>
      <c r="BD115" s="576"/>
      <c r="BE115" s="576"/>
      <c r="BF115" s="576"/>
      <c r="BG115" s="576"/>
      <c r="BH115" s="576"/>
      <c r="BI115" s="576"/>
      <c r="BJ115" s="576"/>
      <c r="BK115" s="576"/>
      <c r="BL115" s="576"/>
      <c r="BM115" s="576"/>
      <c r="BN115" s="576"/>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row>
    <row r="116" spans="2:98" s="15" customFormat="1" x14ac:dyDescent="0.2">
      <c r="B116" s="411"/>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1"/>
      <c r="Z116" s="411"/>
      <c r="AA116" s="411"/>
      <c r="AB116" s="411"/>
      <c r="AC116" s="411"/>
      <c r="AD116" s="411"/>
      <c r="AE116" s="411"/>
      <c r="AF116" s="563"/>
      <c r="AG116" s="559"/>
      <c r="AH116" s="559"/>
      <c r="AI116" s="559"/>
      <c r="AJ116" s="559"/>
      <c r="AK116" s="559"/>
      <c r="AL116" s="559"/>
      <c r="AM116" s="559"/>
      <c r="AN116" s="559"/>
      <c r="AO116" s="559"/>
      <c r="AP116" s="559"/>
      <c r="AQ116" s="560"/>
      <c r="AR116" s="560"/>
      <c r="AS116" s="564"/>
      <c r="AT116" s="564"/>
      <c r="AU116" s="576"/>
      <c r="AV116" s="576"/>
      <c r="AW116" s="576"/>
      <c r="AX116" s="576"/>
      <c r="AY116" s="576"/>
      <c r="AZ116" s="576"/>
      <c r="BA116" s="576"/>
      <c r="BB116" s="576"/>
      <c r="BC116" s="576"/>
      <c r="BD116" s="576"/>
      <c r="BE116" s="576"/>
      <c r="BF116" s="576"/>
      <c r="BG116" s="576"/>
      <c r="BH116" s="576"/>
      <c r="BI116" s="576"/>
      <c r="BJ116" s="576"/>
      <c r="BK116" s="576"/>
      <c r="BL116" s="576"/>
      <c r="BM116" s="576"/>
      <c r="BN116" s="576"/>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row>
    <row r="117" spans="2:98" s="15" customFormat="1" x14ac:dyDescent="0.2">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1"/>
      <c r="Z117" s="411"/>
      <c r="AA117" s="411"/>
      <c r="AB117" s="411"/>
      <c r="AC117" s="411"/>
      <c r="AD117" s="411"/>
      <c r="AE117" s="411"/>
      <c r="AF117" s="563"/>
      <c r="AG117" s="559"/>
      <c r="AH117" s="559"/>
      <c r="AI117" s="559"/>
      <c r="AJ117" s="559"/>
      <c r="AK117" s="559"/>
      <c r="AL117" s="559"/>
      <c r="AM117" s="559"/>
      <c r="AN117" s="559"/>
      <c r="AO117" s="559"/>
      <c r="AP117" s="559"/>
      <c r="AQ117" s="560"/>
      <c r="AR117" s="560"/>
      <c r="AS117" s="564"/>
      <c r="AT117" s="564"/>
      <c r="AU117" s="576"/>
      <c r="AV117" s="576"/>
      <c r="AW117" s="576"/>
      <c r="AX117" s="576"/>
      <c r="AY117" s="576"/>
      <c r="AZ117" s="576"/>
      <c r="BA117" s="576"/>
      <c r="BB117" s="576"/>
      <c r="BC117" s="576"/>
      <c r="BD117" s="576"/>
      <c r="BE117" s="576"/>
      <c r="BF117" s="576"/>
      <c r="BG117" s="576"/>
      <c r="BH117" s="576"/>
      <c r="BI117" s="576"/>
      <c r="BJ117" s="576"/>
      <c r="BK117" s="576"/>
      <c r="BL117" s="576"/>
      <c r="BM117" s="576"/>
      <c r="BN117" s="576"/>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7"/>
      <c r="CP117" s="577"/>
      <c r="CQ117" s="577"/>
      <c r="CR117" s="577"/>
      <c r="CS117" s="577"/>
      <c r="CT117" s="577"/>
    </row>
    <row r="118" spans="2:98" s="15" customFormat="1" x14ac:dyDescent="0.2">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1"/>
      <c r="Z118" s="411"/>
      <c r="AA118" s="411"/>
      <c r="AB118" s="411"/>
      <c r="AC118" s="411"/>
      <c r="AD118" s="411"/>
      <c r="AE118" s="411"/>
      <c r="AF118" s="563"/>
      <c r="AG118" s="559"/>
      <c r="AH118" s="559"/>
      <c r="AI118" s="559"/>
      <c r="AJ118" s="559"/>
      <c r="AK118" s="559"/>
      <c r="AL118" s="559"/>
      <c r="AM118" s="559"/>
      <c r="AN118" s="559"/>
      <c r="AO118" s="559"/>
      <c r="AP118" s="559"/>
      <c r="AQ118" s="560"/>
      <c r="AR118" s="560"/>
      <c r="AS118" s="564"/>
      <c r="AT118" s="564"/>
      <c r="AU118" s="576"/>
      <c r="AV118" s="576"/>
      <c r="AW118" s="576"/>
      <c r="AX118" s="576"/>
      <c r="AY118" s="576"/>
      <c r="AZ118" s="576"/>
      <c r="BA118" s="576"/>
      <c r="BB118" s="576"/>
      <c r="BC118" s="576"/>
      <c r="BD118" s="576"/>
      <c r="BE118" s="576"/>
      <c r="BF118" s="576"/>
      <c r="BG118" s="576"/>
      <c r="BH118" s="576"/>
      <c r="BI118" s="576"/>
      <c r="BJ118" s="576"/>
      <c r="BK118" s="576"/>
      <c r="BL118" s="576"/>
      <c r="BM118" s="576"/>
      <c r="BN118" s="576"/>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7"/>
      <c r="CP118" s="577"/>
      <c r="CQ118" s="577"/>
      <c r="CR118" s="577"/>
      <c r="CS118" s="577"/>
      <c r="CT118" s="577"/>
    </row>
    <row r="119" spans="2:98" s="15" customFormat="1" x14ac:dyDescent="0.2">
      <c r="B119" s="411"/>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1"/>
      <c r="Z119" s="411"/>
      <c r="AA119" s="411"/>
      <c r="AB119" s="411"/>
      <c r="AC119" s="411"/>
      <c r="AD119" s="411"/>
      <c r="AE119" s="411"/>
      <c r="AF119" s="563"/>
      <c r="AG119" s="559"/>
      <c r="AH119" s="559"/>
      <c r="AI119" s="559"/>
      <c r="AJ119" s="559"/>
      <c r="AK119" s="559"/>
      <c r="AL119" s="559"/>
      <c r="AM119" s="559"/>
      <c r="AN119" s="559"/>
      <c r="AO119" s="559"/>
      <c r="AP119" s="559"/>
      <c r="AQ119" s="560"/>
      <c r="AR119" s="560"/>
      <c r="AS119" s="564"/>
      <c r="AT119" s="564"/>
      <c r="AU119" s="576"/>
      <c r="AV119" s="576"/>
      <c r="AW119" s="576"/>
      <c r="AX119" s="576"/>
      <c r="AY119" s="576"/>
      <c r="AZ119" s="576"/>
      <c r="BA119" s="576"/>
      <c r="BB119" s="576"/>
      <c r="BC119" s="576"/>
      <c r="BD119" s="576"/>
      <c r="BE119" s="576"/>
      <c r="BF119" s="576"/>
      <c r="BG119" s="576"/>
      <c r="BH119" s="576"/>
      <c r="BI119" s="576"/>
      <c r="BJ119" s="576"/>
      <c r="BK119" s="576"/>
      <c r="BL119" s="576"/>
      <c r="BM119" s="576"/>
      <c r="BN119" s="576"/>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row>
    <row r="120" spans="2:98" s="15" customFormat="1" x14ac:dyDescent="0.2">
      <c r="B120" s="411"/>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1"/>
      <c r="Z120" s="411"/>
      <c r="AA120" s="411"/>
      <c r="AB120" s="411"/>
      <c r="AC120" s="411"/>
      <c r="AD120" s="411"/>
      <c r="AE120" s="411"/>
      <c r="AF120" s="563"/>
      <c r="AG120" s="559"/>
      <c r="AH120" s="559"/>
      <c r="AI120" s="559"/>
      <c r="AJ120" s="559"/>
      <c r="AK120" s="559"/>
      <c r="AL120" s="559"/>
      <c r="AM120" s="559"/>
      <c r="AN120" s="559"/>
      <c r="AO120" s="559"/>
      <c r="AP120" s="559"/>
      <c r="AQ120" s="560"/>
      <c r="AR120" s="560"/>
      <c r="AS120" s="564"/>
      <c r="AT120" s="564"/>
      <c r="AU120" s="576"/>
      <c r="AV120" s="576"/>
      <c r="AW120" s="576"/>
      <c r="AX120" s="576"/>
      <c r="AY120" s="576"/>
      <c r="AZ120" s="576"/>
      <c r="BA120" s="576"/>
      <c r="BB120" s="576"/>
      <c r="BC120" s="576"/>
      <c r="BD120" s="576"/>
      <c r="BE120" s="576"/>
      <c r="BF120" s="576"/>
      <c r="BG120" s="576"/>
      <c r="BH120" s="576"/>
      <c r="BI120" s="576"/>
      <c r="BJ120" s="576"/>
      <c r="BK120" s="576"/>
      <c r="BL120" s="576"/>
      <c r="BM120" s="576"/>
      <c r="BN120" s="576"/>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row>
    <row r="121" spans="2:98" s="15" customFormat="1" x14ac:dyDescent="0.2">
      <c r="B121" s="411"/>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1"/>
      <c r="Z121" s="411"/>
      <c r="AA121" s="411"/>
      <c r="AB121" s="411"/>
      <c r="AC121" s="411"/>
      <c r="AD121" s="411"/>
      <c r="AE121" s="411"/>
      <c r="AF121" s="563"/>
      <c r="AG121" s="559"/>
      <c r="AH121" s="559"/>
      <c r="AI121" s="559"/>
      <c r="AJ121" s="559"/>
      <c r="AK121" s="559"/>
      <c r="AL121" s="559"/>
      <c r="AM121" s="559"/>
      <c r="AN121" s="559"/>
      <c r="AO121" s="559"/>
      <c r="AP121" s="559"/>
      <c r="AQ121" s="560"/>
      <c r="AR121" s="560"/>
      <c r="AS121" s="564"/>
      <c r="AT121" s="564"/>
      <c r="AU121" s="576"/>
      <c r="AV121" s="576"/>
      <c r="AW121" s="576"/>
      <c r="AX121" s="576"/>
      <c r="AY121" s="576"/>
      <c r="AZ121" s="576"/>
      <c r="BA121" s="576"/>
      <c r="BB121" s="576"/>
      <c r="BC121" s="576"/>
      <c r="BD121" s="576"/>
      <c r="BE121" s="576"/>
      <c r="BF121" s="576"/>
      <c r="BG121" s="576"/>
      <c r="BH121" s="576"/>
      <c r="BI121" s="576"/>
      <c r="BJ121" s="576"/>
      <c r="BK121" s="576"/>
      <c r="BL121" s="576"/>
      <c r="BM121" s="576"/>
      <c r="BN121" s="576"/>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row>
    <row r="122" spans="2:98" s="15" customFormat="1" x14ac:dyDescent="0.2">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1"/>
      <c r="Z122" s="411"/>
      <c r="AA122" s="411"/>
      <c r="AB122" s="411"/>
      <c r="AC122" s="411"/>
      <c r="AD122" s="411"/>
      <c r="AE122" s="411"/>
      <c r="AF122" s="563"/>
      <c r="AG122" s="559"/>
      <c r="AH122" s="559"/>
      <c r="AI122" s="559"/>
      <c r="AJ122" s="559"/>
      <c r="AK122" s="559"/>
      <c r="AL122" s="559"/>
      <c r="AM122" s="559"/>
      <c r="AN122" s="559"/>
      <c r="AO122" s="559"/>
      <c r="AP122" s="559"/>
      <c r="AQ122" s="560"/>
      <c r="AR122" s="560"/>
      <c r="AS122" s="564"/>
      <c r="AT122" s="564"/>
      <c r="AU122" s="576"/>
      <c r="AV122" s="576"/>
      <c r="AW122" s="576"/>
      <c r="AX122" s="576"/>
      <c r="AY122" s="576"/>
      <c r="AZ122" s="576"/>
      <c r="BA122" s="576"/>
      <c r="BB122" s="576"/>
      <c r="BC122" s="576"/>
      <c r="BD122" s="576"/>
      <c r="BE122" s="576"/>
      <c r="BF122" s="576"/>
      <c r="BG122" s="576"/>
      <c r="BH122" s="576"/>
      <c r="BI122" s="576"/>
      <c r="BJ122" s="576"/>
      <c r="BK122" s="576"/>
      <c r="BL122" s="576"/>
      <c r="BM122" s="576"/>
      <c r="BN122" s="576"/>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row>
    <row r="123" spans="2:98" s="15" customFormat="1" x14ac:dyDescent="0.2">
      <c r="B123" s="411"/>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563"/>
      <c r="AG123" s="559"/>
      <c r="AH123" s="559"/>
      <c r="AI123" s="559"/>
      <c r="AJ123" s="559"/>
      <c r="AK123" s="559"/>
      <c r="AL123" s="559"/>
      <c r="AM123" s="559"/>
      <c r="AN123" s="559"/>
      <c r="AO123" s="559"/>
      <c r="AP123" s="559"/>
      <c r="AQ123" s="560"/>
      <c r="AR123" s="560"/>
      <c r="AS123" s="564"/>
      <c r="AT123" s="564"/>
      <c r="AU123" s="576"/>
      <c r="AV123" s="576"/>
      <c r="AW123" s="576"/>
      <c r="AX123" s="576"/>
      <c r="AY123" s="576"/>
      <c r="AZ123" s="576"/>
      <c r="BA123" s="576"/>
      <c r="BB123" s="576"/>
      <c r="BC123" s="576"/>
      <c r="BD123" s="576"/>
      <c r="BE123" s="576"/>
      <c r="BF123" s="576"/>
      <c r="BG123" s="576"/>
      <c r="BH123" s="576"/>
      <c r="BI123" s="576"/>
      <c r="BJ123" s="576"/>
      <c r="BK123" s="576"/>
      <c r="BL123" s="576"/>
      <c r="BM123" s="576"/>
      <c r="BN123" s="576"/>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row>
    <row r="124" spans="2:98" s="15" customFormat="1" x14ac:dyDescent="0.2">
      <c r="B124" s="411"/>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1"/>
      <c r="Z124" s="411"/>
      <c r="AA124" s="411"/>
      <c r="AB124" s="411"/>
      <c r="AC124" s="411"/>
      <c r="AD124" s="411"/>
      <c r="AE124" s="411"/>
      <c r="AF124" s="563"/>
      <c r="AG124" s="559"/>
      <c r="AH124" s="559"/>
      <c r="AI124" s="559"/>
      <c r="AJ124" s="559"/>
      <c r="AK124" s="559"/>
      <c r="AL124" s="559"/>
      <c r="AM124" s="559"/>
      <c r="AN124" s="559"/>
      <c r="AO124" s="559"/>
      <c r="AP124" s="559"/>
      <c r="AQ124" s="560"/>
      <c r="AR124" s="560"/>
      <c r="AS124" s="564"/>
      <c r="AT124" s="564"/>
      <c r="AU124" s="576"/>
      <c r="AV124" s="576"/>
      <c r="AW124" s="576"/>
      <c r="AX124" s="576"/>
      <c r="AY124" s="576"/>
      <c r="AZ124" s="576"/>
      <c r="BA124" s="576"/>
      <c r="BB124" s="576"/>
      <c r="BC124" s="576"/>
      <c r="BD124" s="576"/>
      <c r="BE124" s="576"/>
      <c r="BF124" s="576"/>
      <c r="BG124" s="576"/>
      <c r="BH124" s="576"/>
      <c r="BI124" s="576"/>
      <c r="BJ124" s="576"/>
      <c r="BK124" s="576"/>
      <c r="BL124" s="576"/>
      <c r="BM124" s="576"/>
      <c r="BN124" s="576"/>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row>
    <row r="125" spans="2:98" s="15" customFormat="1" x14ac:dyDescent="0.2">
      <c r="B125" s="411"/>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1"/>
      <c r="Z125" s="411"/>
      <c r="AA125" s="411"/>
      <c r="AB125" s="411"/>
      <c r="AC125" s="411"/>
      <c r="AD125" s="411"/>
      <c r="AE125" s="411"/>
      <c r="AF125" s="563"/>
      <c r="AG125" s="559"/>
      <c r="AH125" s="559"/>
      <c r="AI125" s="559"/>
      <c r="AJ125" s="559"/>
      <c r="AK125" s="559"/>
      <c r="AL125" s="559"/>
      <c r="AM125" s="559"/>
      <c r="AN125" s="559"/>
      <c r="AO125" s="559"/>
      <c r="AP125" s="559"/>
      <c r="AQ125" s="560"/>
      <c r="AR125" s="560"/>
      <c r="AS125" s="564"/>
      <c r="AT125" s="564"/>
      <c r="AU125" s="576"/>
      <c r="AV125" s="576"/>
      <c r="AW125" s="576"/>
      <c r="AX125" s="576"/>
      <c r="AY125" s="576"/>
      <c r="AZ125" s="576"/>
      <c r="BA125" s="576"/>
      <c r="BB125" s="576"/>
      <c r="BC125" s="576"/>
      <c r="BD125" s="576"/>
      <c r="BE125" s="576"/>
      <c r="BF125" s="576"/>
      <c r="BG125" s="576"/>
      <c r="BH125" s="576"/>
      <c r="BI125" s="576"/>
      <c r="BJ125" s="576"/>
      <c r="BK125" s="576"/>
      <c r="BL125" s="576"/>
      <c r="BM125" s="576"/>
      <c r="BN125" s="576"/>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row>
    <row r="126" spans="2:98" s="15" customFormat="1" x14ac:dyDescent="0.2">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1"/>
      <c r="Z126" s="411"/>
      <c r="AA126" s="411"/>
      <c r="AB126" s="411"/>
      <c r="AC126" s="411"/>
      <c r="AD126" s="411"/>
      <c r="AE126" s="411"/>
      <c r="AF126" s="563"/>
      <c r="AG126" s="559"/>
      <c r="AH126" s="559"/>
      <c r="AI126" s="559"/>
      <c r="AJ126" s="559"/>
      <c r="AK126" s="559"/>
      <c r="AL126" s="559"/>
      <c r="AM126" s="559"/>
      <c r="AN126" s="559"/>
      <c r="AO126" s="559"/>
      <c r="AP126" s="559"/>
      <c r="AQ126" s="560"/>
      <c r="AR126" s="560"/>
      <c r="AS126" s="564"/>
      <c r="AT126" s="564"/>
      <c r="AU126" s="576"/>
      <c r="AV126" s="576"/>
      <c r="AW126" s="576"/>
      <c r="AX126" s="576"/>
      <c r="AY126" s="576"/>
      <c r="AZ126" s="576"/>
      <c r="BA126" s="576"/>
      <c r="BB126" s="576"/>
      <c r="BC126" s="576"/>
      <c r="BD126" s="576"/>
      <c r="BE126" s="576"/>
      <c r="BF126" s="576"/>
      <c r="BG126" s="576"/>
      <c r="BH126" s="576"/>
      <c r="BI126" s="576"/>
      <c r="BJ126" s="576"/>
      <c r="BK126" s="576"/>
      <c r="BL126" s="576"/>
      <c r="BM126" s="576"/>
      <c r="BN126" s="576"/>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row>
    <row r="127" spans="2:98" s="15" customFormat="1" x14ac:dyDescent="0.2">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c r="AA127" s="411"/>
      <c r="AB127" s="411"/>
      <c r="AC127" s="411"/>
      <c r="AD127" s="411"/>
      <c r="AE127" s="411"/>
      <c r="AF127" s="563"/>
      <c r="AG127" s="559"/>
      <c r="AH127" s="559"/>
      <c r="AI127" s="559"/>
      <c r="AJ127" s="559"/>
      <c r="AK127" s="559"/>
      <c r="AL127" s="559"/>
      <c r="AM127" s="559"/>
      <c r="AN127" s="559"/>
      <c r="AO127" s="559"/>
      <c r="AP127" s="559"/>
      <c r="AQ127" s="560"/>
      <c r="AR127" s="560"/>
      <c r="AS127" s="564"/>
      <c r="AT127" s="564"/>
      <c r="AU127" s="576"/>
      <c r="AV127" s="576"/>
      <c r="AW127" s="576"/>
      <c r="AX127" s="576"/>
      <c r="AY127" s="576"/>
      <c r="AZ127" s="576"/>
      <c r="BA127" s="576"/>
      <c r="BB127" s="576"/>
      <c r="BC127" s="576"/>
      <c r="BD127" s="576"/>
      <c r="BE127" s="576"/>
      <c r="BF127" s="576"/>
      <c r="BG127" s="576"/>
      <c r="BH127" s="576"/>
      <c r="BI127" s="576"/>
      <c r="BJ127" s="576"/>
      <c r="BK127" s="576"/>
      <c r="BL127" s="576"/>
      <c r="BM127" s="576"/>
      <c r="BN127" s="576"/>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row>
    <row r="128" spans="2:98" s="15" customFormat="1" x14ac:dyDescent="0.2">
      <c r="B128" s="411"/>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1"/>
      <c r="Z128" s="411"/>
      <c r="AA128" s="411"/>
      <c r="AB128" s="411"/>
      <c r="AC128" s="411"/>
      <c r="AD128" s="411"/>
      <c r="AE128" s="411"/>
      <c r="AF128" s="563"/>
      <c r="AG128" s="559"/>
      <c r="AH128" s="559"/>
      <c r="AI128" s="559"/>
      <c r="AJ128" s="559"/>
      <c r="AK128" s="559"/>
      <c r="AL128" s="559"/>
      <c r="AM128" s="559"/>
      <c r="AN128" s="559"/>
      <c r="AO128" s="559"/>
      <c r="AP128" s="559"/>
      <c r="AQ128" s="560"/>
      <c r="AR128" s="560"/>
      <c r="AS128" s="564"/>
      <c r="AT128" s="564"/>
      <c r="AU128" s="576"/>
      <c r="AV128" s="576"/>
      <c r="AW128" s="576"/>
      <c r="AX128" s="576"/>
      <c r="AY128" s="576"/>
      <c r="AZ128" s="576"/>
      <c r="BA128" s="576"/>
      <c r="BB128" s="576"/>
      <c r="BC128" s="576"/>
      <c r="BD128" s="576"/>
      <c r="BE128" s="576"/>
      <c r="BF128" s="576"/>
      <c r="BG128" s="576"/>
      <c r="BH128" s="576"/>
      <c r="BI128" s="576"/>
      <c r="BJ128" s="576"/>
      <c r="BK128" s="576"/>
      <c r="BL128" s="576"/>
      <c r="BM128" s="576"/>
      <c r="BN128" s="576"/>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row>
    <row r="129" spans="2:98" s="15" customFormat="1" x14ac:dyDescent="0.2">
      <c r="B129" s="411"/>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1"/>
      <c r="Z129" s="411"/>
      <c r="AA129" s="411"/>
      <c r="AB129" s="411"/>
      <c r="AC129" s="411"/>
      <c r="AD129" s="411"/>
      <c r="AE129" s="411"/>
      <c r="AF129" s="563"/>
      <c r="AG129" s="559"/>
      <c r="AH129" s="559"/>
      <c r="AI129" s="559"/>
      <c r="AJ129" s="559"/>
      <c r="AK129" s="559"/>
      <c r="AL129" s="559"/>
      <c r="AM129" s="559"/>
      <c r="AN129" s="559"/>
      <c r="AO129" s="559"/>
      <c r="AP129" s="559"/>
      <c r="AQ129" s="560"/>
      <c r="AR129" s="560"/>
      <c r="AS129" s="564"/>
      <c r="AT129" s="564"/>
      <c r="AU129" s="576"/>
      <c r="AV129" s="576"/>
      <c r="AW129" s="576"/>
      <c r="AX129" s="576"/>
      <c r="AY129" s="576"/>
      <c r="AZ129" s="576"/>
      <c r="BA129" s="576"/>
      <c r="BB129" s="576"/>
      <c r="BC129" s="576"/>
      <c r="BD129" s="576"/>
      <c r="BE129" s="576"/>
      <c r="BF129" s="576"/>
      <c r="BG129" s="576"/>
      <c r="BH129" s="576"/>
      <c r="BI129" s="576"/>
      <c r="BJ129" s="576"/>
      <c r="BK129" s="576"/>
      <c r="BL129" s="576"/>
      <c r="BM129" s="576"/>
      <c r="BN129" s="576"/>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row>
    <row r="130" spans="2:98" s="15" customFormat="1" x14ac:dyDescent="0.2">
      <c r="B130" s="411"/>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c r="AA130" s="411"/>
      <c r="AB130" s="411"/>
      <c r="AC130" s="411"/>
      <c r="AD130" s="411"/>
      <c r="AE130" s="411"/>
      <c r="AF130" s="563"/>
      <c r="AG130" s="559"/>
      <c r="AH130" s="559"/>
      <c r="AI130" s="559"/>
      <c r="AJ130" s="559"/>
      <c r="AK130" s="559"/>
      <c r="AL130" s="559"/>
      <c r="AM130" s="559"/>
      <c r="AN130" s="559"/>
      <c r="AO130" s="559"/>
      <c r="AP130" s="559"/>
      <c r="AQ130" s="560"/>
      <c r="AR130" s="560"/>
      <c r="AS130" s="564"/>
      <c r="AT130" s="564"/>
      <c r="AU130" s="576"/>
      <c r="AV130" s="576"/>
      <c r="AW130" s="576"/>
      <c r="AX130" s="576"/>
      <c r="AY130" s="576"/>
      <c r="AZ130" s="576"/>
      <c r="BA130" s="576"/>
      <c r="BB130" s="576"/>
      <c r="BC130" s="576"/>
      <c r="BD130" s="576"/>
      <c r="BE130" s="576"/>
      <c r="BF130" s="576"/>
      <c r="BG130" s="576"/>
      <c r="BH130" s="576"/>
      <c r="BI130" s="576"/>
      <c r="BJ130" s="576"/>
      <c r="BK130" s="576"/>
      <c r="BL130" s="576"/>
      <c r="BM130" s="576"/>
      <c r="BN130" s="576"/>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row>
    <row r="131" spans="2:98" s="15" customFormat="1" x14ac:dyDescent="0.2">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c r="AA131" s="411"/>
      <c r="AB131" s="411"/>
      <c r="AC131" s="411"/>
      <c r="AD131" s="411"/>
      <c r="AE131" s="411"/>
      <c r="AF131" s="563"/>
      <c r="AG131" s="559"/>
      <c r="AH131" s="559"/>
      <c r="AI131" s="559"/>
      <c r="AJ131" s="559"/>
      <c r="AK131" s="559"/>
      <c r="AL131" s="559"/>
      <c r="AM131" s="559"/>
      <c r="AN131" s="559"/>
      <c r="AO131" s="559"/>
      <c r="AP131" s="559"/>
      <c r="AQ131" s="560"/>
      <c r="AR131" s="560"/>
      <c r="AS131" s="564"/>
      <c r="AT131" s="564"/>
      <c r="AU131" s="576"/>
      <c r="AV131" s="576"/>
      <c r="AW131" s="576"/>
      <c r="AX131" s="576"/>
      <c r="AY131" s="576"/>
      <c r="AZ131" s="576"/>
      <c r="BA131" s="576"/>
      <c r="BB131" s="576"/>
      <c r="BC131" s="576"/>
      <c r="BD131" s="576"/>
      <c r="BE131" s="576"/>
      <c r="BF131" s="576"/>
      <c r="BG131" s="576"/>
      <c r="BH131" s="576"/>
      <c r="BI131" s="576"/>
      <c r="BJ131" s="576"/>
      <c r="BK131" s="576"/>
      <c r="BL131" s="576"/>
      <c r="BM131" s="576"/>
      <c r="BN131" s="576"/>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7"/>
      <c r="CP131" s="577"/>
      <c r="CQ131" s="577"/>
      <c r="CR131" s="577"/>
      <c r="CS131" s="577"/>
      <c r="CT131" s="577"/>
    </row>
    <row r="132" spans="2:98" s="15" customFormat="1" x14ac:dyDescent="0.2">
      <c r="B132" s="411"/>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1"/>
      <c r="Z132" s="411"/>
      <c r="AA132" s="411"/>
      <c r="AB132" s="411"/>
      <c r="AC132" s="411"/>
      <c r="AD132" s="411"/>
      <c r="AE132" s="411"/>
      <c r="AF132" s="563"/>
      <c r="AG132" s="559"/>
      <c r="AH132" s="559"/>
      <c r="AI132" s="559"/>
      <c r="AJ132" s="559"/>
      <c r="AK132" s="559"/>
      <c r="AL132" s="559"/>
      <c r="AM132" s="559"/>
      <c r="AN132" s="559"/>
      <c r="AO132" s="559"/>
      <c r="AP132" s="559"/>
      <c r="AQ132" s="560"/>
      <c r="AR132" s="560"/>
      <c r="AS132" s="564"/>
      <c r="AT132" s="564"/>
      <c r="AU132" s="576"/>
      <c r="AV132" s="576"/>
      <c r="AW132" s="576"/>
      <c r="AX132" s="576"/>
      <c r="AY132" s="576"/>
      <c r="AZ132" s="576"/>
      <c r="BA132" s="576"/>
      <c r="BB132" s="576"/>
      <c r="BC132" s="576"/>
      <c r="BD132" s="576"/>
      <c r="BE132" s="576"/>
      <c r="BF132" s="576"/>
      <c r="BG132" s="576"/>
      <c r="BH132" s="576"/>
      <c r="BI132" s="576"/>
      <c r="BJ132" s="576"/>
      <c r="BK132" s="576"/>
      <c r="BL132" s="576"/>
      <c r="BM132" s="576"/>
      <c r="BN132" s="576"/>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7"/>
      <c r="CP132" s="577"/>
      <c r="CQ132" s="577"/>
      <c r="CR132" s="577"/>
      <c r="CS132" s="577"/>
      <c r="CT132" s="577"/>
    </row>
    <row r="133" spans="2:98" s="15" customFormat="1" x14ac:dyDescent="0.2">
      <c r="B133" s="411"/>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1"/>
      <c r="Z133" s="411"/>
      <c r="AA133" s="411"/>
      <c r="AB133" s="411"/>
      <c r="AC133" s="411"/>
      <c r="AD133" s="411"/>
      <c r="AE133" s="411"/>
      <c r="AF133" s="563"/>
      <c r="AG133" s="559"/>
      <c r="AH133" s="559"/>
      <c r="AI133" s="559"/>
      <c r="AJ133" s="559"/>
      <c r="AK133" s="559"/>
      <c r="AL133" s="559"/>
      <c r="AM133" s="559"/>
      <c r="AN133" s="559"/>
      <c r="AO133" s="559"/>
      <c r="AP133" s="559"/>
      <c r="AQ133" s="560"/>
      <c r="AR133" s="560"/>
      <c r="AS133" s="564"/>
      <c r="AT133" s="564"/>
      <c r="AU133" s="576"/>
      <c r="AV133" s="576"/>
      <c r="AW133" s="576"/>
      <c r="AX133" s="576"/>
      <c r="AY133" s="576"/>
      <c r="AZ133" s="576"/>
      <c r="BA133" s="576"/>
      <c r="BB133" s="576"/>
      <c r="BC133" s="576"/>
      <c r="BD133" s="576"/>
      <c r="BE133" s="576"/>
      <c r="BF133" s="576"/>
      <c r="BG133" s="576"/>
      <c r="BH133" s="576"/>
      <c r="BI133" s="576"/>
      <c r="BJ133" s="576"/>
      <c r="BK133" s="576"/>
      <c r="BL133" s="576"/>
      <c r="BM133" s="576"/>
      <c r="BN133" s="576"/>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7"/>
      <c r="CP133" s="577"/>
      <c r="CQ133" s="577"/>
      <c r="CR133" s="577"/>
      <c r="CS133" s="577"/>
      <c r="CT133" s="577"/>
    </row>
    <row r="134" spans="2:98" s="15" customFormat="1" x14ac:dyDescent="0.2">
      <c r="B134" s="411"/>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1"/>
      <c r="Z134" s="411"/>
      <c r="AA134" s="411"/>
      <c r="AB134" s="411"/>
      <c r="AC134" s="411"/>
      <c r="AD134" s="411"/>
      <c r="AE134" s="411"/>
      <c r="AF134" s="563"/>
      <c r="AG134" s="559"/>
      <c r="AH134" s="559"/>
      <c r="AI134" s="559"/>
      <c r="AJ134" s="559"/>
      <c r="AK134" s="559"/>
      <c r="AL134" s="559"/>
      <c r="AM134" s="559"/>
      <c r="AN134" s="559"/>
      <c r="AO134" s="559"/>
      <c r="AP134" s="559"/>
      <c r="AQ134" s="560"/>
      <c r="AR134" s="560"/>
      <c r="AS134" s="564"/>
      <c r="AT134" s="564"/>
      <c r="AU134" s="576"/>
      <c r="AV134" s="576"/>
      <c r="AW134" s="576"/>
      <c r="AX134" s="576"/>
      <c r="AY134" s="576"/>
      <c r="AZ134" s="576"/>
      <c r="BA134" s="576"/>
      <c r="BB134" s="576"/>
      <c r="BC134" s="576"/>
      <c r="BD134" s="576"/>
      <c r="BE134" s="576"/>
      <c r="BF134" s="576"/>
      <c r="BG134" s="576"/>
      <c r="BH134" s="576"/>
      <c r="BI134" s="576"/>
      <c r="BJ134" s="576"/>
      <c r="BK134" s="576"/>
      <c r="BL134" s="576"/>
      <c r="BM134" s="576"/>
      <c r="BN134" s="576"/>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row>
    <row r="135" spans="2:98" s="15" customFormat="1" x14ac:dyDescent="0.2">
      <c r="B135" s="411"/>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1"/>
      <c r="Z135" s="411"/>
      <c r="AA135" s="411"/>
      <c r="AB135" s="411"/>
      <c r="AC135" s="411"/>
      <c r="AD135" s="411"/>
      <c r="AE135" s="411"/>
      <c r="AF135" s="563"/>
      <c r="AG135" s="559"/>
      <c r="AH135" s="559"/>
      <c r="AI135" s="559"/>
      <c r="AJ135" s="559"/>
      <c r="AK135" s="559"/>
      <c r="AL135" s="559"/>
      <c r="AM135" s="559"/>
      <c r="AN135" s="559"/>
      <c r="AO135" s="559"/>
      <c r="AP135" s="559"/>
      <c r="AQ135" s="560"/>
      <c r="AR135" s="560"/>
      <c r="AS135" s="564"/>
      <c r="AT135" s="564"/>
      <c r="AU135" s="576"/>
      <c r="AV135" s="576"/>
      <c r="AW135" s="576"/>
      <c r="AX135" s="576"/>
      <c r="AY135" s="576"/>
      <c r="AZ135" s="576"/>
      <c r="BA135" s="576"/>
      <c r="BB135" s="576"/>
      <c r="BC135" s="576"/>
      <c r="BD135" s="576"/>
      <c r="BE135" s="576"/>
      <c r="BF135" s="576"/>
      <c r="BG135" s="576"/>
      <c r="BH135" s="576"/>
      <c r="BI135" s="576"/>
      <c r="BJ135" s="576"/>
      <c r="BK135" s="576"/>
      <c r="BL135" s="576"/>
      <c r="BM135" s="576"/>
      <c r="BN135" s="576"/>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row>
    <row r="136" spans="2:98" s="15" customFormat="1" x14ac:dyDescent="0.2">
      <c r="B136" s="411"/>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1"/>
      <c r="Z136" s="411"/>
      <c r="AA136" s="411"/>
      <c r="AB136" s="411"/>
      <c r="AC136" s="411"/>
      <c r="AD136" s="411"/>
      <c r="AE136" s="411"/>
      <c r="AF136" s="563"/>
      <c r="AG136" s="559"/>
      <c r="AH136" s="559"/>
      <c r="AI136" s="559"/>
      <c r="AJ136" s="559"/>
      <c r="AK136" s="559"/>
      <c r="AL136" s="559"/>
      <c r="AM136" s="559"/>
      <c r="AN136" s="559"/>
      <c r="AO136" s="559"/>
      <c r="AP136" s="559"/>
      <c r="AQ136" s="560"/>
      <c r="AR136" s="560"/>
      <c r="AS136" s="564"/>
      <c r="AT136" s="564"/>
      <c r="AU136" s="576"/>
      <c r="AV136" s="576"/>
      <c r="AW136" s="576"/>
      <c r="AX136" s="576"/>
      <c r="AY136" s="576"/>
      <c r="AZ136" s="576"/>
      <c r="BA136" s="576"/>
      <c r="BB136" s="576"/>
      <c r="BC136" s="576"/>
      <c r="BD136" s="576"/>
      <c r="BE136" s="576"/>
      <c r="BF136" s="576"/>
      <c r="BG136" s="576"/>
      <c r="BH136" s="576"/>
      <c r="BI136" s="576"/>
      <c r="BJ136" s="576"/>
      <c r="BK136" s="576"/>
      <c r="BL136" s="576"/>
      <c r="BM136" s="576"/>
      <c r="BN136" s="576"/>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7"/>
      <c r="CP136" s="577"/>
      <c r="CQ136" s="577"/>
      <c r="CR136" s="577"/>
      <c r="CS136" s="577"/>
      <c r="CT136" s="577"/>
    </row>
    <row r="137" spans="2:98" s="15" customFormat="1" x14ac:dyDescent="0.2">
      <c r="B137" s="411"/>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1"/>
      <c r="Z137" s="411"/>
      <c r="AA137" s="411"/>
      <c r="AB137" s="411"/>
      <c r="AC137" s="411"/>
      <c r="AD137" s="411"/>
      <c r="AE137" s="411"/>
      <c r="AF137" s="563"/>
      <c r="AG137" s="559"/>
      <c r="AH137" s="559"/>
      <c r="AI137" s="559"/>
      <c r="AJ137" s="559"/>
      <c r="AK137" s="559"/>
      <c r="AL137" s="559"/>
      <c r="AM137" s="559"/>
      <c r="AN137" s="559"/>
      <c r="AO137" s="559"/>
      <c r="AP137" s="559"/>
      <c r="AQ137" s="560"/>
      <c r="AR137" s="560"/>
      <c r="AS137" s="564"/>
      <c r="AT137" s="564"/>
      <c r="AU137" s="576"/>
      <c r="AV137" s="576"/>
      <c r="AW137" s="576"/>
      <c r="AX137" s="576"/>
      <c r="AY137" s="576"/>
      <c r="AZ137" s="576"/>
      <c r="BA137" s="576"/>
      <c r="BB137" s="576"/>
      <c r="BC137" s="576"/>
      <c r="BD137" s="576"/>
      <c r="BE137" s="576"/>
      <c r="BF137" s="576"/>
      <c r="BG137" s="576"/>
      <c r="BH137" s="576"/>
      <c r="BI137" s="576"/>
      <c r="BJ137" s="576"/>
      <c r="BK137" s="576"/>
      <c r="BL137" s="576"/>
      <c r="BM137" s="576"/>
      <c r="BN137" s="576"/>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7"/>
      <c r="CP137" s="577"/>
      <c r="CQ137" s="577"/>
      <c r="CR137" s="577"/>
      <c r="CS137" s="577"/>
      <c r="CT137" s="577"/>
    </row>
    <row r="138" spans="2:98" s="15" customFormat="1" x14ac:dyDescent="0.2">
      <c r="B138" s="411"/>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1"/>
      <c r="Z138" s="411"/>
      <c r="AA138" s="411"/>
      <c r="AB138" s="411"/>
      <c r="AC138" s="411"/>
      <c r="AD138" s="411"/>
      <c r="AE138" s="411"/>
      <c r="AF138" s="563"/>
      <c r="AG138" s="559"/>
      <c r="AH138" s="559"/>
      <c r="AI138" s="559"/>
      <c r="AJ138" s="559"/>
      <c r="AK138" s="559"/>
      <c r="AL138" s="559"/>
      <c r="AM138" s="559"/>
      <c r="AN138" s="559"/>
      <c r="AO138" s="559"/>
      <c r="AP138" s="559"/>
      <c r="AQ138" s="560"/>
      <c r="AR138" s="560"/>
      <c r="AS138" s="564"/>
      <c r="AT138" s="564"/>
      <c r="AU138" s="576"/>
      <c r="AV138" s="576"/>
      <c r="AW138" s="576"/>
      <c r="AX138" s="576"/>
      <c r="AY138" s="576"/>
      <c r="AZ138" s="576"/>
      <c r="BA138" s="576"/>
      <c r="BB138" s="576"/>
      <c r="BC138" s="576"/>
      <c r="BD138" s="576"/>
      <c r="BE138" s="576"/>
      <c r="BF138" s="576"/>
      <c r="BG138" s="576"/>
      <c r="BH138" s="576"/>
      <c r="BI138" s="576"/>
      <c r="BJ138" s="576"/>
      <c r="BK138" s="576"/>
      <c r="BL138" s="576"/>
      <c r="BM138" s="576"/>
      <c r="BN138" s="576"/>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row>
    <row r="139" spans="2:98" s="15" customFormat="1" x14ac:dyDescent="0.2">
      <c r="B139" s="411"/>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1"/>
      <c r="Z139" s="411"/>
      <c r="AA139" s="411"/>
      <c r="AB139" s="411"/>
      <c r="AC139" s="411"/>
      <c r="AD139" s="411"/>
      <c r="AE139" s="411"/>
      <c r="AF139" s="563"/>
      <c r="AG139" s="559"/>
      <c r="AH139" s="559"/>
      <c r="AI139" s="559"/>
      <c r="AJ139" s="559"/>
      <c r="AK139" s="559"/>
      <c r="AL139" s="559"/>
      <c r="AM139" s="559"/>
      <c r="AN139" s="559"/>
      <c r="AO139" s="559"/>
      <c r="AP139" s="559"/>
      <c r="AQ139" s="560"/>
      <c r="AR139" s="560"/>
      <c r="AS139" s="564"/>
      <c r="AT139" s="564"/>
      <c r="AU139" s="576"/>
      <c r="AV139" s="576"/>
      <c r="AW139" s="576"/>
      <c r="AX139" s="576"/>
      <c r="AY139" s="576"/>
      <c r="AZ139" s="576"/>
      <c r="BA139" s="576"/>
      <c r="BB139" s="576"/>
      <c r="BC139" s="576"/>
      <c r="BD139" s="576"/>
      <c r="BE139" s="576"/>
      <c r="BF139" s="576"/>
      <c r="BG139" s="576"/>
      <c r="BH139" s="576"/>
      <c r="BI139" s="576"/>
      <c r="BJ139" s="576"/>
      <c r="BK139" s="576"/>
      <c r="BL139" s="576"/>
      <c r="BM139" s="576"/>
      <c r="BN139" s="576"/>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row>
    <row r="140" spans="2:98" s="15" customFormat="1" x14ac:dyDescent="0.2">
      <c r="B140" s="411"/>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1"/>
      <c r="Z140" s="411"/>
      <c r="AA140" s="411"/>
      <c r="AB140" s="411"/>
      <c r="AC140" s="411"/>
      <c r="AD140" s="411"/>
      <c r="AE140" s="411"/>
      <c r="AF140" s="563"/>
      <c r="AG140" s="559"/>
      <c r="AH140" s="559"/>
      <c r="AI140" s="559"/>
      <c r="AJ140" s="559"/>
      <c r="AK140" s="559"/>
      <c r="AL140" s="559"/>
      <c r="AM140" s="559"/>
      <c r="AN140" s="559"/>
      <c r="AO140" s="559"/>
      <c r="AP140" s="559"/>
      <c r="AQ140" s="560"/>
      <c r="AR140" s="560"/>
      <c r="AS140" s="564"/>
      <c r="AT140" s="564"/>
      <c r="AU140" s="576"/>
      <c r="AV140" s="576"/>
      <c r="AW140" s="576"/>
      <c r="AX140" s="576"/>
      <c r="AY140" s="576"/>
      <c r="AZ140" s="576"/>
      <c r="BA140" s="576"/>
      <c r="BB140" s="576"/>
      <c r="BC140" s="576"/>
      <c r="BD140" s="576"/>
      <c r="BE140" s="576"/>
      <c r="BF140" s="576"/>
      <c r="BG140" s="576"/>
      <c r="BH140" s="576"/>
      <c r="BI140" s="576"/>
      <c r="BJ140" s="576"/>
      <c r="BK140" s="576"/>
      <c r="BL140" s="576"/>
      <c r="BM140" s="576"/>
      <c r="BN140" s="576"/>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row>
    <row r="141" spans="2:98" s="15" customFormat="1" x14ac:dyDescent="0.2">
      <c r="B141" s="411"/>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1"/>
      <c r="Z141" s="411"/>
      <c r="AA141" s="411"/>
      <c r="AB141" s="411"/>
      <c r="AC141" s="411"/>
      <c r="AD141" s="411"/>
      <c r="AE141" s="411"/>
      <c r="AF141" s="563"/>
      <c r="AG141" s="559"/>
      <c r="AH141" s="559"/>
      <c r="AI141" s="559"/>
      <c r="AJ141" s="559"/>
      <c r="AK141" s="559"/>
      <c r="AL141" s="559"/>
      <c r="AM141" s="559"/>
      <c r="AN141" s="559"/>
      <c r="AO141" s="559"/>
      <c r="AP141" s="559"/>
      <c r="AQ141" s="560"/>
      <c r="AR141" s="560"/>
      <c r="AS141" s="564"/>
      <c r="AT141" s="564"/>
      <c r="AU141" s="576"/>
      <c r="AV141" s="576"/>
      <c r="AW141" s="576"/>
      <c r="AX141" s="576"/>
      <c r="AY141" s="576"/>
      <c r="AZ141" s="576"/>
      <c r="BA141" s="576"/>
      <c r="BB141" s="576"/>
      <c r="BC141" s="576"/>
      <c r="BD141" s="576"/>
      <c r="BE141" s="576"/>
      <c r="BF141" s="576"/>
      <c r="BG141" s="576"/>
      <c r="BH141" s="576"/>
      <c r="BI141" s="576"/>
      <c r="BJ141" s="576"/>
      <c r="BK141" s="576"/>
      <c r="BL141" s="576"/>
      <c r="BM141" s="576"/>
      <c r="BN141" s="576"/>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row>
    <row r="142" spans="2:98" s="15" customFormat="1" x14ac:dyDescent="0.2">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1"/>
      <c r="Z142" s="411"/>
      <c r="AA142" s="411"/>
      <c r="AB142" s="411"/>
      <c r="AC142" s="411"/>
      <c r="AD142" s="411"/>
      <c r="AE142" s="411"/>
      <c r="AF142" s="563"/>
      <c r="AG142" s="559"/>
      <c r="AH142" s="559"/>
      <c r="AI142" s="559"/>
      <c r="AJ142" s="559"/>
      <c r="AK142" s="559"/>
      <c r="AL142" s="559"/>
      <c r="AM142" s="559"/>
      <c r="AN142" s="559"/>
      <c r="AO142" s="559"/>
      <c r="AP142" s="559"/>
      <c r="AQ142" s="560"/>
      <c r="AR142" s="560"/>
      <c r="AS142" s="564"/>
      <c r="AT142" s="564"/>
      <c r="AU142" s="576"/>
      <c r="AV142" s="576"/>
      <c r="AW142" s="576"/>
      <c r="AX142" s="576"/>
      <c r="AY142" s="576"/>
      <c r="AZ142" s="576"/>
      <c r="BA142" s="576"/>
      <c r="BB142" s="576"/>
      <c r="BC142" s="576"/>
      <c r="BD142" s="576"/>
      <c r="BE142" s="576"/>
      <c r="BF142" s="576"/>
      <c r="BG142" s="576"/>
      <c r="BH142" s="576"/>
      <c r="BI142" s="576"/>
      <c r="BJ142" s="576"/>
      <c r="BK142" s="576"/>
      <c r="BL142" s="576"/>
      <c r="BM142" s="576"/>
      <c r="BN142" s="576"/>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row>
    <row r="143" spans="2:98" s="15" customFormat="1" x14ac:dyDescent="0.2">
      <c r="B143" s="411"/>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1"/>
      <c r="Z143" s="411"/>
      <c r="AA143" s="411"/>
      <c r="AB143" s="411"/>
      <c r="AC143" s="411"/>
      <c r="AD143" s="411"/>
      <c r="AE143" s="411"/>
      <c r="AF143" s="563"/>
      <c r="AG143" s="559"/>
      <c r="AH143" s="559"/>
      <c r="AI143" s="559"/>
      <c r="AJ143" s="559"/>
      <c r="AK143" s="559"/>
      <c r="AL143" s="559"/>
      <c r="AM143" s="559"/>
      <c r="AN143" s="559"/>
      <c r="AO143" s="559"/>
      <c r="AP143" s="559"/>
      <c r="AQ143" s="560"/>
      <c r="AR143" s="560"/>
      <c r="AS143" s="564"/>
      <c r="AT143" s="564"/>
      <c r="AU143" s="576"/>
      <c r="AV143" s="576"/>
      <c r="AW143" s="576"/>
      <c r="AX143" s="576"/>
      <c r="AY143" s="576"/>
      <c r="AZ143" s="576"/>
      <c r="BA143" s="576"/>
      <c r="BB143" s="576"/>
      <c r="BC143" s="576"/>
      <c r="BD143" s="576"/>
      <c r="BE143" s="576"/>
      <c r="BF143" s="576"/>
      <c r="BG143" s="576"/>
      <c r="BH143" s="576"/>
      <c r="BI143" s="576"/>
      <c r="BJ143" s="576"/>
      <c r="BK143" s="576"/>
      <c r="BL143" s="576"/>
      <c r="BM143" s="576"/>
      <c r="BN143" s="576"/>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row>
    <row r="144" spans="2:98" s="15" customFormat="1" x14ac:dyDescent="0.2">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575"/>
      <c r="AG144" s="575"/>
      <c r="AH144" s="575"/>
      <c r="AI144" s="575"/>
      <c r="AJ144" s="575"/>
      <c r="AK144" s="575"/>
      <c r="AL144" s="575"/>
      <c r="AM144" s="575"/>
      <c r="AN144" s="575"/>
      <c r="AO144" s="575"/>
      <c r="AP144" s="575"/>
      <c r="AQ144" s="576"/>
      <c r="AR144" s="576"/>
      <c r="AS144" s="576"/>
      <c r="AT144" s="576"/>
      <c r="AU144" s="576"/>
      <c r="AV144" s="576"/>
      <c r="AW144" s="576"/>
      <c r="AX144" s="576"/>
      <c r="AY144" s="576"/>
      <c r="AZ144" s="576"/>
      <c r="BA144" s="576"/>
      <c r="BB144" s="576"/>
      <c r="BC144" s="576"/>
      <c r="BD144" s="576"/>
      <c r="BE144" s="576"/>
      <c r="BF144" s="576"/>
      <c r="BG144" s="576"/>
      <c r="BH144" s="576"/>
      <c r="BI144" s="576"/>
      <c r="BJ144" s="576"/>
      <c r="BK144" s="576"/>
      <c r="BL144" s="576"/>
      <c r="BM144" s="576"/>
      <c r="BN144" s="576"/>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7"/>
      <c r="CP144" s="577"/>
      <c r="CQ144" s="577"/>
      <c r="CR144" s="577"/>
      <c r="CS144" s="577"/>
      <c r="CT144" s="577"/>
    </row>
    <row r="145" spans="2:98" s="15" customFormat="1" x14ac:dyDescent="0.2">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575"/>
      <c r="AG145" s="575"/>
      <c r="AH145" s="575"/>
      <c r="AI145" s="575"/>
      <c r="AJ145" s="575"/>
      <c r="AK145" s="575"/>
      <c r="AL145" s="575"/>
      <c r="AM145" s="575"/>
      <c r="AN145" s="575"/>
      <c r="AO145" s="575"/>
      <c r="AP145" s="575"/>
      <c r="AQ145" s="576"/>
      <c r="AR145" s="576"/>
      <c r="AS145" s="576"/>
      <c r="AT145" s="576"/>
      <c r="AU145" s="576"/>
      <c r="AV145" s="576"/>
      <c r="AW145" s="576"/>
      <c r="AX145" s="576"/>
      <c r="AY145" s="576"/>
      <c r="AZ145" s="576"/>
      <c r="BA145" s="576"/>
      <c r="BB145" s="576"/>
      <c r="BC145" s="576"/>
      <c r="BD145" s="576"/>
      <c r="BE145" s="576"/>
      <c r="BF145" s="576"/>
      <c r="BG145" s="576"/>
      <c r="BH145" s="576"/>
      <c r="BI145" s="576"/>
      <c r="BJ145" s="576"/>
      <c r="BK145" s="576"/>
      <c r="BL145" s="576"/>
      <c r="BM145" s="576"/>
      <c r="BN145" s="576"/>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row>
    <row r="146" spans="2:98" s="15" customFormat="1" x14ac:dyDescent="0.2">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575"/>
      <c r="AG146" s="575"/>
      <c r="AH146" s="575"/>
      <c r="AI146" s="575"/>
      <c r="AJ146" s="575"/>
      <c r="AK146" s="575"/>
      <c r="AL146" s="575"/>
      <c r="AM146" s="575"/>
      <c r="AN146" s="575"/>
      <c r="AO146" s="575"/>
      <c r="AP146" s="575"/>
      <c r="AQ146" s="576"/>
      <c r="AR146" s="576"/>
      <c r="AS146" s="576"/>
      <c r="AT146" s="576"/>
      <c r="AU146" s="576"/>
      <c r="AV146" s="576"/>
      <c r="AW146" s="576"/>
      <c r="AX146" s="576"/>
      <c r="AY146" s="576"/>
      <c r="AZ146" s="576"/>
      <c r="BA146" s="576"/>
      <c r="BB146" s="576"/>
      <c r="BC146" s="576"/>
      <c r="BD146" s="576"/>
      <c r="BE146" s="576"/>
      <c r="BF146" s="576"/>
      <c r="BG146" s="576"/>
      <c r="BH146" s="576"/>
      <c r="BI146" s="576"/>
      <c r="BJ146" s="576"/>
      <c r="BK146" s="576"/>
      <c r="BL146" s="576"/>
      <c r="BM146" s="576"/>
      <c r="BN146" s="576"/>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7"/>
      <c r="CP146" s="577"/>
      <c r="CQ146" s="577"/>
      <c r="CR146" s="577"/>
      <c r="CS146" s="577"/>
      <c r="CT146" s="577"/>
    </row>
    <row r="147" spans="2:98" s="15" customFormat="1" x14ac:dyDescent="0.2">
      <c r="B147" s="412"/>
      <c r="C147" s="412"/>
      <c r="D147" s="412"/>
      <c r="E147" s="412"/>
      <c r="F147" s="412"/>
      <c r="G147" s="412"/>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575"/>
      <c r="AG147" s="575"/>
      <c r="AH147" s="575"/>
      <c r="AI147" s="575"/>
      <c r="AJ147" s="575"/>
      <c r="AK147" s="575"/>
      <c r="AL147" s="575"/>
      <c r="AM147" s="575"/>
      <c r="AN147" s="575"/>
      <c r="AO147" s="575"/>
      <c r="AP147" s="575"/>
      <c r="AQ147" s="576"/>
      <c r="AR147" s="576"/>
      <c r="AS147" s="576"/>
      <c r="AT147" s="576"/>
      <c r="AU147" s="576"/>
      <c r="AV147" s="576"/>
      <c r="AW147" s="576"/>
      <c r="AX147" s="576"/>
      <c r="AY147" s="576"/>
      <c r="AZ147" s="576"/>
      <c r="BA147" s="576"/>
      <c r="BB147" s="576"/>
      <c r="BC147" s="576"/>
      <c r="BD147" s="576"/>
      <c r="BE147" s="576"/>
      <c r="BF147" s="576"/>
      <c r="BG147" s="576"/>
      <c r="BH147" s="576"/>
      <c r="BI147" s="576"/>
      <c r="BJ147" s="576"/>
      <c r="BK147" s="576"/>
      <c r="BL147" s="576"/>
      <c r="BM147" s="576"/>
      <c r="BN147" s="576"/>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row>
    <row r="148" spans="2:98" s="15" customFormat="1" x14ac:dyDescent="0.2">
      <c r="B148" s="412"/>
      <c r="C148" s="412"/>
      <c r="D148" s="412"/>
      <c r="E148" s="412"/>
      <c r="F148" s="412"/>
      <c r="G148" s="412"/>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575"/>
      <c r="AG148" s="575"/>
      <c r="AH148" s="575"/>
      <c r="AI148" s="575"/>
      <c r="AJ148" s="575"/>
      <c r="AK148" s="575"/>
      <c r="AL148" s="575"/>
      <c r="AM148" s="575"/>
      <c r="AN148" s="575"/>
      <c r="AO148" s="575"/>
      <c r="AP148" s="575"/>
      <c r="AQ148" s="576"/>
      <c r="AR148" s="576"/>
      <c r="AS148" s="576"/>
      <c r="AT148" s="576"/>
      <c r="AU148" s="576"/>
      <c r="AV148" s="576"/>
      <c r="AW148" s="576"/>
      <c r="AX148" s="576"/>
      <c r="AY148" s="576"/>
      <c r="AZ148" s="576"/>
      <c r="BA148" s="576"/>
      <c r="BB148" s="576"/>
      <c r="BC148" s="576"/>
      <c r="BD148" s="576"/>
      <c r="BE148" s="576"/>
      <c r="BF148" s="576"/>
      <c r="BG148" s="576"/>
      <c r="BH148" s="576"/>
      <c r="BI148" s="576"/>
      <c r="BJ148" s="576"/>
      <c r="BK148" s="576"/>
      <c r="BL148" s="576"/>
      <c r="BM148" s="576"/>
      <c r="BN148" s="576"/>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row>
    <row r="149" spans="2:98" s="15" customFormat="1" x14ac:dyDescent="0.2">
      <c r="B149" s="412"/>
      <c r="C149" s="412"/>
      <c r="D149" s="412"/>
      <c r="E149" s="412"/>
      <c r="F149" s="412"/>
      <c r="G149" s="412"/>
      <c r="H149" s="412"/>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575"/>
      <c r="AG149" s="575"/>
      <c r="AH149" s="575"/>
      <c r="AI149" s="575"/>
      <c r="AJ149" s="575"/>
      <c r="AK149" s="575"/>
      <c r="AL149" s="575"/>
      <c r="AM149" s="575"/>
      <c r="AN149" s="575"/>
      <c r="AO149" s="575"/>
      <c r="AP149" s="575"/>
      <c r="AQ149" s="576"/>
      <c r="AR149" s="576"/>
      <c r="AS149" s="576"/>
      <c r="AT149" s="576"/>
      <c r="AU149" s="576"/>
      <c r="AV149" s="576"/>
      <c r="AW149" s="576"/>
      <c r="AX149" s="576"/>
      <c r="AY149" s="576"/>
      <c r="AZ149" s="576"/>
      <c r="BA149" s="576"/>
      <c r="BB149" s="576"/>
      <c r="BC149" s="576"/>
      <c r="BD149" s="576"/>
      <c r="BE149" s="576"/>
      <c r="BF149" s="576"/>
      <c r="BG149" s="576"/>
      <c r="BH149" s="576"/>
      <c r="BI149" s="576"/>
      <c r="BJ149" s="576"/>
      <c r="BK149" s="576"/>
      <c r="BL149" s="576"/>
      <c r="BM149" s="576"/>
      <c r="BN149" s="576"/>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7"/>
      <c r="CP149" s="577"/>
      <c r="CQ149" s="577"/>
      <c r="CR149" s="577"/>
      <c r="CS149" s="577"/>
      <c r="CT149" s="577"/>
    </row>
    <row r="150" spans="2:98" s="15" customFormat="1" x14ac:dyDescent="0.2">
      <c r="B150" s="412"/>
      <c r="C150" s="412"/>
      <c r="D150" s="412"/>
      <c r="E150" s="412"/>
      <c r="F150" s="412"/>
      <c r="G150" s="412"/>
      <c r="H150" s="412"/>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575"/>
      <c r="AG150" s="575"/>
      <c r="AH150" s="575"/>
      <c r="AI150" s="575"/>
      <c r="AJ150" s="575"/>
      <c r="AK150" s="575"/>
      <c r="AL150" s="575"/>
      <c r="AM150" s="575"/>
      <c r="AN150" s="575"/>
      <c r="AO150" s="575"/>
      <c r="AP150" s="575"/>
      <c r="AQ150" s="576"/>
      <c r="AR150" s="576"/>
      <c r="AS150" s="576"/>
      <c r="AT150" s="576"/>
      <c r="AU150" s="576"/>
      <c r="AV150" s="576"/>
      <c r="AW150" s="576"/>
      <c r="AX150" s="576"/>
      <c r="AY150" s="576"/>
      <c r="AZ150" s="576"/>
      <c r="BA150" s="576"/>
      <c r="BB150" s="576"/>
      <c r="BC150" s="576"/>
      <c r="BD150" s="576"/>
      <c r="BE150" s="576"/>
      <c r="BF150" s="576"/>
      <c r="BG150" s="576"/>
      <c r="BH150" s="576"/>
      <c r="BI150" s="576"/>
      <c r="BJ150" s="576"/>
      <c r="BK150" s="576"/>
      <c r="BL150" s="576"/>
      <c r="BM150" s="576"/>
      <c r="BN150" s="576"/>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7"/>
      <c r="CP150" s="577"/>
      <c r="CQ150" s="577"/>
      <c r="CR150" s="577"/>
      <c r="CS150" s="577"/>
      <c r="CT150" s="577"/>
    </row>
    <row r="151" spans="2:98" s="15" customFormat="1" x14ac:dyDescent="0.2">
      <c r="B151" s="412"/>
      <c r="C151" s="412"/>
      <c r="D151" s="412"/>
      <c r="E151" s="412"/>
      <c r="F151" s="412"/>
      <c r="G151" s="412"/>
      <c r="H151" s="412"/>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575"/>
      <c r="AG151" s="575"/>
      <c r="AH151" s="575"/>
      <c r="AI151" s="575"/>
      <c r="AJ151" s="575"/>
      <c r="AK151" s="575"/>
      <c r="AL151" s="575"/>
      <c r="AM151" s="575"/>
      <c r="AN151" s="575"/>
      <c r="AO151" s="575"/>
      <c r="AP151" s="575"/>
      <c r="AQ151" s="576"/>
      <c r="AR151" s="576"/>
      <c r="AS151" s="576"/>
      <c r="AT151" s="576"/>
      <c r="AU151" s="576"/>
      <c r="AV151" s="576"/>
      <c r="AW151" s="576"/>
      <c r="AX151" s="576"/>
      <c r="AY151" s="576"/>
      <c r="AZ151" s="576"/>
      <c r="BA151" s="576"/>
      <c r="BB151" s="576"/>
      <c r="BC151" s="576"/>
      <c r="BD151" s="576"/>
      <c r="BE151" s="576"/>
      <c r="BF151" s="576"/>
      <c r="BG151" s="576"/>
      <c r="BH151" s="576"/>
      <c r="BI151" s="576"/>
      <c r="BJ151" s="576"/>
      <c r="BK151" s="576"/>
      <c r="BL151" s="576"/>
      <c r="BM151" s="576"/>
      <c r="BN151" s="576"/>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row>
    <row r="152" spans="2:98" s="15" customFormat="1" x14ac:dyDescent="0.2">
      <c r="B152" s="412"/>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575"/>
      <c r="AG152" s="575"/>
      <c r="AH152" s="575"/>
      <c r="AI152" s="575"/>
      <c r="AJ152" s="575"/>
      <c r="AK152" s="575"/>
      <c r="AL152" s="575"/>
      <c r="AM152" s="575"/>
      <c r="AN152" s="575"/>
      <c r="AO152" s="575"/>
      <c r="AP152" s="575"/>
      <c r="AQ152" s="576"/>
      <c r="AR152" s="576"/>
      <c r="AS152" s="576"/>
      <c r="AT152" s="576"/>
      <c r="AU152" s="576"/>
      <c r="AV152" s="576"/>
      <c r="AW152" s="576"/>
      <c r="AX152" s="576"/>
      <c r="AY152" s="576"/>
      <c r="AZ152" s="576"/>
      <c r="BA152" s="576"/>
      <c r="BB152" s="576"/>
      <c r="BC152" s="576"/>
      <c r="BD152" s="576"/>
      <c r="BE152" s="576"/>
      <c r="BF152" s="576"/>
      <c r="BG152" s="576"/>
      <c r="BH152" s="576"/>
      <c r="BI152" s="576"/>
      <c r="BJ152" s="576"/>
      <c r="BK152" s="576"/>
      <c r="BL152" s="576"/>
      <c r="BM152" s="576"/>
      <c r="BN152" s="576"/>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row>
    <row r="153" spans="2:98" s="15" customFormat="1" x14ac:dyDescent="0.2">
      <c r="B153" s="412"/>
      <c r="C153" s="412"/>
      <c r="D153" s="412"/>
      <c r="E153" s="412"/>
      <c r="F153" s="412"/>
      <c r="G153" s="412"/>
      <c r="H153" s="412"/>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575"/>
      <c r="AG153" s="575"/>
      <c r="AH153" s="575"/>
      <c r="AI153" s="575"/>
      <c r="AJ153" s="575"/>
      <c r="AK153" s="575"/>
      <c r="AL153" s="575"/>
      <c r="AM153" s="575"/>
      <c r="AN153" s="575"/>
      <c r="AO153" s="575"/>
      <c r="AP153" s="575"/>
      <c r="AQ153" s="576"/>
      <c r="AR153" s="576"/>
      <c r="AS153" s="576"/>
      <c r="AT153" s="576"/>
      <c r="AU153" s="576"/>
      <c r="AV153" s="576"/>
      <c r="AW153" s="576"/>
      <c r="AX153" s="576"/>
      <c r="AY153" s="576"/>
      <c r="AZ153" s="576"/>
      <c r="BA153" s="576"/>
      <c r="BB153" s="576"/>
      <c r="BC153" s="576"/>
      <c r="BD153" s="576"/>
      <c r="BE153" s="576"/>
      <c r="BF153" s="576"/>
      <c r="BG153" s="576"/>
      <c r="BH153" s="576"/>
      <c r="BI153" s="576"/>
      <c r="BJ153" s="576"/>
      <c r="BK153" s="576"/>
      <c r="BL153" s="576"/>
      <c r="BM153" s="576"/>
      <c r="BN153" s="576"/>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row>
    <row r="154" spans="2:98" s="15" customFormat="1" x14ac:dyDescent="0.2">
      <c r="B154" s="412"/>
      <c r="C154" s="412"/>
      <c r="D154" s="412"/>
      <c r="E154" s="412"/>
      <c r="F154" s="412"/>
      <c r="G154" s="412"/>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575"/>
      <c r="AG154" s="575"/>
      <c r="AH154" s="575"/>
      <c r="AI154" s="575"/>
      <c r="AJ154" s="575"/>
      <c r="AK154" s="575"/>
      <c r="AL154" s="575"/>
      <c r="AM154" s="575"/>
      <c r="AN154" s="575"/>
      <c r="AO154" s="575"/>
      <c r="AP154" s="575"/>
      <c r="AQ154" s="576"/>
      <c r="AR154" s="576"/>
      <c r="AS154" s="576"/>
      <c r="AT154" s="576"/>
      <c r="AU154" s="576"/>
      <c r="AV154" s="576"/>
      <c r="AW154" s="576"/>
      <c r="AX154" s="576"/>
      <c r="AY154" s="576"/>
      <c r="AZ154" s="576"/>
      <c r="BA154" s="576"/>
      <c r="BB154" s="576"/>
      <c r="BC154" s="576"/>
      <c r="BD154" s="576"/>
      <c r="BE154" s="576"/>
      <c r="BF154" s="576"/>
      <c r="BG154" s="576"/>
      <c r="BH154" s="576"/>
      <c r="BI154" s="576"/>
      <c r="BJ154" s="576"/>
      <c r="BK154" s="576"/>
      <c r="BL154" s="576"/>
      <c r="BM154" s="576"/>
      <c r="BN154" s="576"/>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7"/>
      <c r="CP154" s="577"/>
      <c r="CQ154" s="577"/>
      <c r="CR154" s="577"/>
      <c r="CS154" s="577"/>
      <c r="CT154" s="577"/>
    </row>
    <row r="155" spans="2:98" s="15" customFormat="1" x14ac:dyDescent="0.2">
      <c r="B155" s="412"/>
      <c r="C155" s="412"/>
      <c r="D155" s="412"/>
      <c r="E155" s="412"/>
      <c r="F155" s="412"/>
      <c r="G155" s="412"/>
      <c r="H155" s="412"/>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575"/>
      <c r="AG155" s="575"/>
      <c r="AH155" s="575"/>
      <c r="AI155" s="575"/>
      <c r="AJ155" s="575"/>
      <c r="AK155" s="575"/>
      <c r="AL155" s="575"/>
      <c r="AM155" s="575"/>
      <c r="AN155" s="575"/>
      <c r="AO155" s="575"/>
      <c r="AP155" s="575"/>
      <c r="AQ155" s="576"/>
      <c r="AR155" s="576"/>
      <c r="AS155" s="576"/>
      <c r="AT155" s="576"/>
      <c r="AU155" s="576"/>
      <c r="AV155" s="576"/>
      <c r="AW155" s="576"/>
      <c r="AX155" s="576"/>
      <c r="AY155" s="576"/>
      <c r="AZ155" s="576"/>
      <c r="BA155" s="576"/>
      <c r="BB155" s="576"/>
      <c r="BC155" s="576"/>
      <c r="BD155" s="576"/>
      <c r="BE155" s="576"/>
      <c r="BF155" s="576"/>
      <c r="BG155" s="576"/>
      <c r="BH155" s="576"/>
      <c r="BI155" s="576"/>
      <c r="BJ155" s="576"/>
      <c r="BK155" s="576"/>
      <c r="BL155" s="576"/>
      <c r="BM155" s="576"/>
      <c r="BN155" s="576"/>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7"/>
      <c r="CP155" s="577"/>
      <c r="CQ155" s="577"/>
      <c r="CR155" s="577"/>
      <c r="CS155" s="577"/>
      <c r="CT155" s="577"/>
    </row>
    <row r="156" spans="2:98" s="15" customFormat="1" x14ac:dyDescent="0.2">
      <c r="B156" s="412"/>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575"/>
      <c r="AG156" s="575"/>
      <c r="AH156" s="575"/>
      <c r="AI156" s="575"/>
      <c r="AJ156" s="575"/>
      <c r="AK156" s="575"/>
      <c r="AL156" s="575"/>
      <c r="AM156" s="575"/>
      <c r="AN156" s="575"/>
      <c r="AO156" s="575"/>
      <c r="AP156" s="575"/>
      <c r="AQ156" s="576"/>
      <c r="AR156" s="576"/>
      <c r="AS156" s="576"/>
      <c r="AT156" s="576"/>
      <c r="AU156" s="576"/>
      <c r="AV156" s="576"/>
      <c r="AW156" s="576"/>
      <c r="AX156" s="576"/>
      <c r="AY156" s="576"/>
      <c r="AZ156" s="576"/>
      <c r="BA156" s="576"/>
      <c r="BB156" s="576"/>
      <c r="BC156" s="576"/>
      <c r="BD156" s="576"/>
      <c r="BE156" s="576"/>
      <c r="BF156" s="576"/>
      <c r="BG156" s="576"/>
      <c r="BH156" s="576"/>
      <c r="BI156" s="576"/>
      <c r="BJ156" s="576"/>
      <c r="BK156" s="576"/>
      <c r="BL156" s="576"/>
      <c r="BM156" s="576"/>
      <c r="BN156" s="576"/>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row>
    <row r="157" spans="2:98" s="15" customFormat="1" x14ac:dyDescent="0.2">
      <c r="B157" s="412"/>
      <c r="C157" s="412"/>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575"/>
      <c r="AG157" s="575"/>
      <c r="AH157" s="575"/>
      <c r="AI157" s="575"/>
      <c r="AJ157" s="575"/>
      <c r="AK157" s="575"/>
      <c r="AL157" s="575"/>
      <c r="AM157" s="575"/>
      <c r="AN157" s="575"/>
      <c r="AO157" s="575"/>
      <c r="AP157" s="575"/>
      <c r="AQ157" s="576"/>
      <c r="AR157" s="576"/>
      <c r="AS157" s="576"/>
      <c r="AT157" s="576"/>
      <c r="AU157" s="576"/>
      <c r="AV157" s="576"/>
      <c r="AW157" s="576"/>
      <c r="AX157" s="576"/>
      <c r="AY157" s="576"/>
      <c r="AZ157" s="576"/>
      <c r="BA157" s="576"/>
      <c r="BB157" s="576"/>
      <c r="BC157" s="576"/>
      <c r="BD157" s="576"/>
      <c r="BE157" s="576"/>
      <c r="BF157" s="576"/>
      <c r="BG157" s="576"/>
      <c r="BH157" s="576"/>
      <c r="BI157" s="576"/>
      <c r="BJ157" s="576"/>
      <c r="BK157" s="576"/>
      <c r="BL157" s="576"/>
      <c r="BM157" s="576"/>
      <c r="BN157" s="576"/>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row>
    <row r="158" spans="2:98" s="15" customFormat="1" x14ac:dyDescent="0.2">
      <c r="B158" s="412"/>
      <c r="C158" s="412"/>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575"/>
      <c r="AG158" s="575"/>
      <c r="AH158" s="575"/>
      <c r="AI158" s="575"/>
      <c r="AJ158" s="575"/>
      <c r="AK158" s="575"/>
      <c r="AL158" s="575"/>
      <c r="AM158" s="575"/>
      <c r="AN158" s="575"/>
      <c r="AO158" s="575"/>
      <c r="AP158" s="575"/>
      <c r="AQ158" s="576"/>
      <c r="AR158" s="576"/>
      <c r="AS158" s="576"/>
      <c r="AT158" s="576"/>
      <c r="AU158" s="576"/>
      <c r="AV158" s="576"/>
      <c r="AW158" s="576"/>
      <c r="AX158" s="576"/>
      <c r="AY158" s="576"/>
      <c r="AZ158" s="576"/>
      <c r="BA158" s="576"/>
      <c r="BB158" s="576"/>
      <c r="BC158" s="576"/>
      <c r="BD158" s="576"/>
      <c r="BE158" s="576"/>
      <c r="BF158" s="576"/>
      <c r="BG158" s="576"/>
      <c r="BH158" s="576"/>
      <c r="BI158" s="576"/>
      <c r="BJ158" s="576"/>
      <c r="BK158" s="576"/>
      <c r="BL158" s="576"/>
      <c r="BM158" s="576"/>
      <c r="BN158" s="576"/>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row>
    <row r="159" spans="2:98" s="15" customFormat="1" x14ac:dyDescent="0.2">
      <c r="B159" s="412"/>
      <c r="C159" s="412"/>
      <c r="D159" s="412"/>
      <c r="E159" s="412"/>
      <c r="F159" s="412"/>
      <c r="G159" s="412"/>
      <c r="H159" s="412"/>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575"/>
      <c r="AG159" s="575"/>
      <c r="AH159" s="575"/>
      <c r="AI159" s="575"/>
      <c r="AJ159" s="575"/>
      <c r="AK159" s="575"/>
      <c r="AL159" s="575"/>
      <c r="AM159" s="575"/>
      <c r="AN159" s="575"/>
      <c r="AO159" s="575"/>
      <c r="AP159" s="575"/>
      <c r="AQ159" s="576"/>
      <c r="AR159" s="576"/>
      <c r="AS159" s="576"/>
      <c r="AT159" s="576"/>
      <c r="AU159" s="576"/>
      <c r="AV159" s="576"/>
      <c r="AW159" s="576"/>
      <c r="AX159" s="576"/>
      <c r="AY159" s="576"/>
      <c r="AZ159" s="576"/>
      <c r="BA159" s="576"/>
      <c r="BB159" s="576"/>
      <c r="BC159" s="576"/>
      <c r="BD159" s="576"/>
      <c r="BE159" s="576"/>
      <c r="BF159" s="576"/>
      <c r="BG159" s="576"/>
      <c r="BH159" s="576"/>
      <c r="BI159" s="576"/>
      <c r="BJ159" s="576"/>
      <c r="BK159" s="576"/>
      <c r="BL159" s="576"/>
      <c r="BM159" s="576"/>
      <c r="BN159" s="576"/>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7"/>
      <c r="CP159" s="577"/>
      <c r="CQ159" s="577"/>
      <c r="CR159" s="577"/>
      <c r="CS159" s="577"/>
      <c r="CT159" s="577"/>
    </row>
    <row r="160" spans="2:98" s="15" customFormat="1" x14ac:dyDescent="0.2">
      <c r="B160" s="412"/>
      <c r="C160" s="412"/>
      <c r="D160" s="412"/>
      <c r="E160" s="412"/>
      <c r="F160" s="412"/>
      <c r="G160" s="412"/>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575"/>
      <c r="AG160" s="575"/>
      <c r="AH160" s="575"/>
      <c r="AI160" s="575"/>
      <c r="AJ160" s="575"/>
      <c r="AK160" s="575"/>
      <c r="AL160" s="575"/>
      <c r="AM160" s="575"/>
      <c r="AN160" s="575"/>
      <c r="AO160" s="575"/>
      <c r="AP160" s="575"/>
      <c r="AQ160" s="576"/>
      <c r="AR160" s="576"/>
      <c r="AS160" s="576"/>
      <c r="AT160" s="576"/>
      <c r="AU160" s="576"/>
      <c r="AV160" s="576"/>
      <c r="AW160" s="576"/>
      <c r="AX160" s="576"/>
      <c r="AY160" s="576"/>
      <c r="AZ160" s="576"/>
      <c r="BA160" s="576"/>
      <c r="BB160" s="576"/>
      <c r="BC160" s="576"/>
      <c r="BD160" s="576"/>
      <c r="BE160" s="576"/>
      <c r="BF160" s="576"/>
      <c r="BG160" s="576"/>
      <c r="BH160" s="576"/>
      <c r="BI160" s="576"/>
      <c r="BJ160" s="576"/>
      <c r="BK160" s="576"/>
      <c r="BL160" s="576"/>
      <c r="BM160" s="576"/>
      <c r="BN160" s="576"/>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row>
    <row r="161" spans="2:98" s="15" customFormat="1" x14ac:dyDescent="0.2">
      <c r="B161" s="412"/>
      <c r="C161" s="412"/>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575"/>
      <c r="AG161" s="575"/>
      <c r="AH161" s="575"/>
      <c r="AI161" s="575"/>
      <c r="AJ161" s="575"/>
      <c r="AK161" s="575"/>
      <c r="AL161" s="575"/>
      <c r="AM161" s="575"/>
      <c r="AN161" s="575"/>
      <c r="AO161" s="575"/>
      <c r="AP161" s="575"/>
      <c r="AQ161" s="576"/>
      <c r="AR161" s="576"/>
      <c r="AS161" s="576"/>
      <c r="AT161" s="576"/>
      <c r="AU161" s="576"/>
      <c r="AV161" s="576"/>
      <c r="AW161" s="576"/>
      <c r="AX161" s="576"/>
      <c r="AY161" s="576"/>
      <c r="AZ161" s="576"/>
      <c r="BA161" s="576"/>
      <c r="BB161" s="576"/>
      <c r="BC161" s="576"/>
      <c r="BD161" s="576"/>
      <c r="BE161" s="576"/>
      <c r="BF161" s="576"/>
      <c r="BG161" s="576"/>
      <c r="BH161" s="576"/>
      <c r="BI161" s="576"/>
      <c r="BJ161" s="576"/>
      <c r="BK161" s="576"/>
      <c r="BL161" s="576"/>
      <c r="BM161" s="576"/>
      <c r="BN161" s="576"/>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row>
    <row r="162" spans="2:98" s="15" customFormat="1" x14ac:dyDescent="0.2">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575"/>
      <c r="AG162" s="575"/>
      <c r="AH162" s="575"/>
      <c r="AI162" s="575"/>
      <c r="AJ162" s="575"/>
      <c r="AK162" s="575"/>
      <c r="AL162" s="575"/>
      <c r="AM162" s="575"/>
      <c r="AN162" s="575"/>
      <c r="AO162" s="575"/>
      <c r="AP162" s="575"/>
      <c r="AQ162" s="576"/>
      <c r="AR162" s="576"/>
      <c r="AS162" s="576"/>
      <c r="AT162" s="576"/>
      <c r="AU162" s="576"/>
      <c r="AV162" s="576"/>
      <c r="AW162" s="576"/>
      <c r="AX162" s="576"/>
      <c r="AY162" s="576"/>
      <c r="AZ162" s="576"/>
      <c r="BA162" s="576"/>
      <c r="BB162" s="576"/>
      <c r="BC162" s="576"/>
      <c r="BD162" s="576"/>
      <c r="BE162" s="576"/>
      <c r="BF162" s="576"/>
      <c r="BG162" s="576"/>
      <c r="BH162" s="576"/>
      <c r="BI162" s="576"/>
      <c r="BJ162" s="576"/>
      <c r="BK162" s="576"/>
      <c r="BL162" s="576"/>
      <c r="BM162" s="576"/>
      <c r="BN162" s="576"/>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row>
    <row r="163" spans="2:98" s="15" customFormat="1" x14ac:dyDescent="0.2">
      <c r="B163" s="412"/>
      <c r="C163" s="412"/>
      <c r="D163" s="412"/>
      <c r="E163" s="412"/>
      <c r="F163" s="412"/>
      <c r="G163" s="412"/>
      <c r="H163" s="412"/>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575"/>
      <c r="AG163" s="575"/>
      <c r="AH163" s="575"/>
      <c r="AI163" s="575"/>
      <c r="AJ163" s="575"/>
      <c r="AK163" s="575"/>
      <c r="AL163" s="575"/>
      <c r="AM163" s="575"/>
      <c r="AN163" s="575"/>
      <c r="AO163" s="575"/>
      <c r="AP163" s="575"/>
      <c r="AQ163" s="576"/>
      <c r="AR163" s="576"/>
      <c r="AS163" s="576"/>
      <c r="AT163" s="576"/>
      <c r="AU163" s="576"/>
      <c r="AV163" s="576"/>
      <c r="AW163" s="576"/>
      <c r="AX163" s="576"/>
      <c r="AY163" s="576"/>
      <c r="AZ163" s="576"/>
      <c r="BA163" s="576"/>
      <c r="BB163" s="576"/>
      <c r="BC163" s="576"/>
      <c r="BD163" s="576"/>
      <c r="BE163" s="576"/>
      <c r="BF163" s="576"/>
      <c r="BG163" s="576"/>
      <c r="BH163" s="576"/>
      <c r="BI163" s="576"/>
      <c r="BJ163" s="576"/>
      <c r="BK163" s="576"/>
      <c r="BL163" s="576"/>
      <c r="BM163" s="576"/>
      <c r="BN163" s="576"/>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row>
    <row r="164" spans="2:98" s="15" customFormat="1" x14ac:dyDescent="0.2">
      <c r="B164" s="412"/>
      <c r="C164" s="412"/>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575"/>
      <c r="AG164" s="575"/>
      <c r="AH164" s="575"/>
      <c r="AI164" s="575"/>
      <c r="AJ164" s="575"/>
      <c r="AK164" s="575"/>
      <c r="AL164" s="575"/>
      <c r="AM164" s="575"/>
      <c r="AN164" s="575"/>
      <c r="AO164" s="575"/>
      <c r="AP164" s="575"/>
      <c r="AQ164" s="576"/>
      <c r="AR164" s="576"/>
      <c r="AS164" s="576"/>
      <c r="AT164" s="576"/>
      <c r="AU164" s="576"/>
      <c r="AV164" s="576"/>
      <c r="AW164" s="576"/>
      <c r="AX164" s="576"/>
      <c r="AY164" s="576"/>
      <c r="AZ164" s="576"/>
      <c r="BA164" s="576"/>
      <c r="BB164" s="576"/>
      <c r="BC164" s="576"/>
      <c r="BD164" s="576"/>
      <c r="BE164" s="576"/>
      <c r="BF164" s="576"/>
      <c r="BG164" s="576"/>
      <c r="BH164" s="576"/>
      <c r="BI164" s="576"/>
      <c r="BJ164" s="576"/>
      <c r="BK164" s="576"/>
      <c r="BL164" s="576"/>
      <c r="BM164" s="576"/>
      <c r="BN164" s="576"/>
      <c r="BO164" s="577"/>
      <c r="BP164" s="577"/>
      <c r="BQ164" s="577"/>
      <c r="BR164" s="577"/>
      <c r="BS164" s="577"/>
      <c r="BT164" s="577"/>
      <c r="BU164" s="577"/>
      <c r="BV164" s="577"/>
      <c r="BW164" s="577"/>
      <c r="BX164" s="577"/>
      <c r="BY164" s="577"/>
      <c r="BZ164" s="577"/>
      <c r="CA164" s="577"/>
      <c r="CB164" s="577"/>
      <c r="CC164" s="577"/>
      <c r="CD164" s="577"/>
      <c r="CE164" s="577"/>
      <c r="CF164" s="577"/>
      <c r="CG164" s="577"/>
      <c r="CH164" s="577"/>
      <c r="CI164" s="577"/>
      <c r="CJ164" s="577"/>
      <c r="CK164" s="577"/>
      <c r="CL164" s="577"/>
      <c r="CM164" s="577"/>
      <c r="CN164" s="577"/>
      <c r="CO164" s="577"/>
      <c r="CP164" s="577"/>
      <c r="CQ164" s="577"/>
      <c r="CR164" s="577"/>
      <c r="CS164" s="577"/>
      <c r="CT164" s="577"/>
    </row>
    <row r="165" spans="2:98" s="15" customFormat="1" x14ac:dyDescent="0.2">
      <c r="B165" s="412"/>
      <c r="C165" s="412"/>
      <c r="D165" s="412"/>
      <c r="E165" s="412"/>
      <c r="F165" s="412"/>
      <c r="G165" s="412"/>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575"/>
      <c r="AG165" s="575"/>
      <c r="AH165" s="575"/>
      <c r="AI165" s="575"/>
      <c r="AJ165" s="575"/>
      <c r="AK165" s="575"/>
      <c r="AL165" s="575"/>
      <c r="AM165" s="575"/>
      <c r="AN165" s="575"/>
      <c r="AO165" s="575"/>
      <c r="AP165" s="575"/>
      <c r="AQ165" s="576"/>
      <c r="AR165" s="576"/>
      <c r="AS165" s="576"/>
      <c r="AT165" s="576"/>
      <c r="AU165" s="576"/>
      <c r="AV165" s="576"/>
      <c r="AW165" s="576"/>
      <c r="AX165" s="576"/>
      <c r="AY165" s="576"/>
      <c r="AZ165" s="576"/>
      <c r="BA165" s="576"/>
      <c r="BB165" s="576"/>
      <c r="BC165" s="576"/>
      <c r="BD165" s="576"/>
      <c r="BE165" s="576"/>
      <c r="BF165" s="576"/>
      <c r="BG165" s="576"/>
      <c r="BH165" s="576"/>
      <c r="BI165" s="576"/>
      <c r="BJ165" s="576"/>
      <c r="BK165" s="576"/>
      <c r="BL165" s="576"/>
      <c r="BM165" s="576"/>
      <c r="BN165" s="576"/>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row>
    <row r="166" spans="2:98" s="15" customFormat="1" x14ac:dyDescent="0.2">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575"/>
      <c r="AG166" s="575"/>
      <c r="AH166" s="575"/>
      <c r="AI166" s="575"/>
      <c r="AJ166" s="575"/>
      <c r="AK166" s="575"/>
      <c r="AL166" s="575"/>
      <c r="AM166" s="575"/>
      <c r="AN166" s="575"/>
      <c r="AO166" s="575"/>
      <c r="AP166" s="575"/>
      <c r="AQ166" s="576"/>
      <c r="AR166" s="576"/>
      <c r="AS166" s="576"/>
      <c r="AT166" s="576"/>
      <c r="AU166" s="576"/>
      <c r="AV166" s="576"/>
      <c r="AW166" s="576"/>
      <c r="AX166" s="576"/>
      <c r="AY166" s="576"/>
      <c r="AZ166" s="576"/>
      <c r="BA166" s="576"/>
      <c r="BB166" s="576"/>
      <c r="BC166" s="576"/>
      <c r="BD166" s="576"/>
      <c r="BE166" s="576"/>
      <c r="BF166" s="576"/>
      <c r="BG166" s="576"/>
      <c r="BH166" s="576"/>
      <c r="BI166" s="576"/>
      <c r="BJ166" s="576"/>
      <c r="BK166" s="576"/>
      <c r="BL166" s="576"/>
      <c r="BM166" s="576"/>
      <c r="BN166" s="576"/>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row>
    <row r="167" spans="2:98" s="15" customFormat="1" x14ac:dyDescent="0.2">
      <c r="B167" s="412"/>
      <c r="C167" s="412"/>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575"/>
      <c r="AG167" s="575"/>
      <c r="AH167" s="575"/>
      <c r="AI167" s="575"/>
      <c r="AJ167" s="575"/>
      <c r="AK167" s="575"/>
      <c r="AL167" s="575"/>
      <c r="AM167" s="575"/>
      <c r="AN167" s="575"/>
      <c r="AO167" s="575"/>
      <c r="AP167" s="575"/>
      <c r="AQ167" s="576"/>
      <c r="AR167" s="576"/>
      <c r="AS167" s="576"/>
      <c r="AT167" s="576"/>
      <c r="AU167" s="576"/>
      <c r="AV167" s="576"/>
      <c r="AW167" s="576"/>
      <c r="AX167" s="576"/>
      <c r="AY167" s="576"/>
      <c r="AZ167" s="576"/>
      <c r="BA167" s="576"/>
      <c r="BB167" s="576"/>
      <c r="BC167" s="576"/>
      <c r="BD167" s="576"/>
      <c r="BE167" s="576"/>
      <c r="BF167" s="576"/>
      <c r="BG167" s="576"/>
      <c r="BH167" s="576"/>
      <c r="BI167" s="576"/>
      <c r="BJ167" s="576"/>
      <c r="BK167" s="576"/>
      <c r="BL167" s="576"/>
      <c r="BM167" s="576"/>
      <c r="BN167" s="576"/>
      <c r="BO167" s="577"/>
      <c r="BP167" s="577"/>
      <c r="BQ167" s="577"/>
      <c r="BR167" s="577"/>
      <c r="BS167" s="577"/>
      <c r="BT167" s="577"/>
      <c r="BU167" s="577"/>
      <c r="BV167" s="577"/>
      <c r="BW167" s="577"/>
      <c r="BX167" s="577"/>
      <c r="BY167" s="577"/>
      <c r="BZ167" s="577"/>
      <c r="CA167" s="577"/>
      <c r="CB167" s="577"/>
      <c r="CC167" s="577"/>
      <c r="CD167" s="577"/>
      <c r="CE167" s="577"/>
      <c r="CF167" s="577"/>
      <c r="CG167" s="577"/>
      <c r="CH167" s="577"/>
      <c r="CI167" s="577"/>
      <c r="CJ167" s="577"/>
      <c r="CK167" s="577"/>
      <c r="CL167" s="577"/>
      <c r="CM167" s="577"/>
      <c r="CN167" s="577"/>
      <c r="CO167" s="577"/>
      <c r="CP167" s="577"/>
      <c r="CQ167" s="577"/>
      <c r="CR167" s="577"/>
      <c r="CS167" s="577"/>
      <c r="CT167" s="577"/>
    </row>
    <row r="168" spans="2:98" s="15" customFormat="1" x14ac:dyDescent="0.2">
      <c r="B168" s="412"/>
      <c r="C168" s="412"/>
      <c r="D168" s="412"/>
      <c r="E168" s="412"/>
      <c r="F168" s="412"/>
      <c r="G168" s="412"/>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575"/>
      <c r="AG168" s="575"/>
      <c r="AH168" s="575"/>
      <c r="AI168" s="575"/>
      <c r="AJ168" s="575"/>
      <c r="AK168" s="575"/>
      <c r="AL168" s="575"/>
      <c r="AM168" s="575"/>
      <c r="AN168" s="575"/>
      <c r="AO168" s="575"/>
      <c r="AP168" s="575"/>
      <c r="AQ168" s="576"/>
      <c r="AR168" s="576"/>
      <c r="AS168" s="576"/>
      <c r="AT168" s="576"/>
      <c r="AU168" s="576"/>
      <c r="AV168" s="576"/>
      <c r="AW168" s="576"/>
      <c r="AX168" s="576"/>
      <c r="AY168" s="576"/>
      <c r="AZ168" s="576"/>
      <c r="BA168" s="576"/>
      <c r="BB168" s="576"/>
      <c r="BC168" s="576"/>
      <c r="BD168" s="576"/>
      <c r="BE168" s="576"/>
      <c r="BF168" s="576"/>
      <c r="BG168" s="576"/>
      <c r="BH168" s="576"/>
      <c r="BI168" s="576"/>
      <c r="BJ168" s="576"/>
      <c r="BK168" s="576"/>
      <c r="BL168" s="576"/>
      <c r="BM168" s="576"/>
      <c r="BN168" s="576"/>
      <c r="BO168" s="577"/>
      <c r="BP168" s="577"/>
      <c r="BQ168" s="577"/>
      <c r="BR168" s="577"/>
      <c r="BS168" s="577"/>
      <c r="BT168" s="577"/>
      <c r="BU168" s="577"/>
      <c r="BV168" s="577"/>
      <c r="BW168" s="577"/>
      <c r="BX168" s="577"/>
      <c r="BY168" s="577"/>
      <c r="BZ168" s="577"/>
      <c r="CA168" s="577"/>
      <c r="CB168" s="577"/>
      <c r="CC168" s="577"/>
      <c r="CD168" s="577"/>
      <c r="CE168" s="577"/>
      <c r="CF168" s="577"/>
      <c r="CG168" s="577"/>
      <c r="CH168" s="577"/>
      <c r="CI168" s="577"/>
      <c r="CJ168" s="577"/>
      <c r="CK168" s="577"/>
      <c r="CL168" s="577"/>
      <c r="CM168" s="577"/>
      <c r="CN168" s="577"/>
      <c r="CO168" s="577"/>
      <c r="CP168" s="577"/>
      <c r="CQ168" s="577"/>
      <c r="CR168" s="577"/>
      <c r="CS168" s="577"/>
      <c r="CT168" s="577"/>
    </row>
    <row r="169" spans="2:98" s="15" customFormat="1" x14ac:dyDescent="0.2">
      <c r="B169" s="412"/>
      <c r="C169" s="412"/>
      <c r="D169" s="412"/>
      <c r="E169" s="412"/>
      <c r="F169" s="412"/>
      <c r="G169" s="412"/>
      <c r="H169" s="412"/>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575"/>
      <c r="AG169" s="575"/>
      <c r="AH169" s="575"/>
      <c r="AI169" s="575"/>
      <c r="AJ169" s="575"/>
      <c r="AK169" s="575"/>
      <c r="AL169" s="575"/>
      <c r="AM169" s="575"/>
      <c r="AN169" s="575"/>
      <c r="AO169" s="575"/>
      <c r="AP169" s="575"/>
      <c r="AQ169" s="576"/>
      <c r="AR169" s="576"/>
      <c r="AS169" s="576"/>
      <c r="AT169" s="576"/>
      <c r="AU169" s="576"/>
      <c r="AV169" s="576"/>
      <c r="AW169" s="576"/>
      <c r="AX169" s="576"/>
      <c r="AY169" s="576"/>
      <c r="AZ169" s="576"/>
      <c r="BA169" s="576"/>
      <c r="BB169" s="576"/>
      <c r="BC169" s="576"/>
      <c r="BD169" s="576"/>
      <c r="BE169" s="576"/>
      <c r="BF169" s="576"/>
      <c r="BG169" s="576"/>
      <c r="BH169" s="576"/>
      <c r="BI169" s="576"/>
      <c r="BJ169" s="576"/>
      <c r="BK169" s="576"/>
      <c r="BL169" s="576"/>
      <c r="BM169" s="576"/>
      <c r="BN169" s="576"/>
      <c r="BO169" s="577"/>
      <c r="BP169" s="577"/>
      <c r="BQ169" s="577"/>
      <c r="BR169" s="577"/>
      <c r="BS169" s="577"/>
      <c r="BT169" s="577"/>
      <c r="BU169" s="577"/>
      <c r="BV169" s="577"/>
      <c r="BW169" s="577"/>
      <c r="BX169" s="577"/>
      <c r="BY169" s="577"/>
      <c r="BZ169" s="577"/>
      <c r="CA169" s="577"/>
      <c r="CB169" s="577"/>
      <c r="CC169" s="577"/>
      <c r="CD169" s="577"/>
      <c r="CE169" s="577"/>
      <c r="CF169" s="577"/>
      <c r="CG169" s="577"/>
      <c r="CH169" s="577"/>
      <c r="CI169" s="577"/>
      <c r="CJ169" s="577"/>
      <c r="CK169" s="577"/>
      <c r="CL169" s="577"/>
      <c r="CM169" s="577"/>
      <c r="CN169" s="577"/>
      <c r="CO169" s="577"/>
      <c r="CP169" s="577"/>
      <c r="CQ169" s="577"/>
      <c r="CR169" s="577"/>
      <c r="CS169" s="577"/>
      <c r="CT169" s="577"/>
    </row>
    <row r="170" spans="2:98" s="15" customFormat="1" x14ac:dyDescent="0.2">
      <c r="B170" s="412"/>
      <c r="C170" s="412"/>
      <c r="D170" s="412"/>
      <c r="E170" s="412"/>
      <c r="F170" s="412"/>
      <c r="G170" s="412"/>
      <c r="H170" s="412"/>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575"/>
      <c r="AG170" s="575"/>
      <c r="AH170" s="575"/>
      <c r="AI170" s="575"/>
      <c r="AJ170" s="575"/>
      <c r="AK170" s="575"/>
      <c r="AL170" s="575"/>
      <c r="AM170" s="575"/>
      <c r="AN170" s="575"/>
      <c r="AO170" s="575"/>
      <c r="AP170" s="575"/>
      <c r="AQ170" s="576"/>
      <c r="AR170" s="576"/>
      <c r="AS170" s="576"/>
      <c r="AT170" s="576"/>
      <c r="AU170" s="576"/>
      <c r="AV170" s="576"/>
      <c r="AW170" s="576"/>
      <c r="AX170" s="576"/>
      <c r="AY170" s="576"/>
      <c r="AZ170" s="576"/>
      <c r="BA170" s="576"/>
      <c r="BB170" s="576"/>
      <c r="BC170" s="576"/>
      <c r="BD170" s="576"/>
      <c r="BE170" s="576"/>
      <c r="BF170" s="576"/>
      <c r="BG170" s="576"/>
      <c r="BH170" s="576"/>
      <c r="BI170" s="576"/>
      <c r="BJ170" s="576"/>
      <c r="BK170" s="576"/>
      <c r="BL170" s="576"/>
      <c r="BM170" s="576"/>
      <c r="BN170" s="576"/>
      <c r="BO170" s="577"/>
      <c r="BP170" s="577"/>
      <c r="BQ170" s="577"/>
      <c r="BR170" s="577"/>
      <c r="BS170" s="577"/>
      <c r="BT170" s="577"/>
      <c r="BU170" s="577"/>
      <c r="BV170" s="577"/>
      <c r="BW170" s="577"/>
      <c r="BX170" s="577"/>
      <c r="BY170" s="577"/>
      <c r="BZ170" s="577"/>
      <c r="CA170" s="577"/>
      <c r="CB170" s="577"/>
      <c r="CC170" s="577"/>
      <c r="CD170" s="577"/>
      <c r="CE170" s="577"/>
      <c r="CF170" s="577"/>
      <c r="CG170" s="577"/>
      <c r="CH170" s="577"/>
      <c r="CI170" s="577"/>
      <c r="CJ170" s="577"/>
      <c r="CK170" s="577"/>
      <c r="CL170" s="577"/>
      <c r="CM170" s="577"/>
      <c r="CN170" s="577"/>
      <c r="CO170" s="577"/>
      <c r="CP170" s="577"/>
      <c r="CQ170" s="577"/>
      <c r="CR170" s="577"/>
      <c r="CS170" s="577"/>
      <c r="CT170" s="577"/>
    </row>
    <row r="171" spans="2:98" s="15" customFormat="1" x14ac:dyDescent="0.2">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575"/>
      <c r="AG171" s="575"/>
      <c r="AH171" s="575"/>
      <c r="AI171" s="575"/>
      <c r="AJ171" s="575"/>
      <c r="AK171" s="575"/>
      <c r="AL171" s="575"/>
      <c r="AM171" s="575"/>
      <c r="AN171" s="575"/>
      <c r="AO171" s="575"/>
      <c r="AP171" s="575"/>
      <c r="AQ171" s="576"/>
      <c r="AR171" s="576"/>
      <c r="AS171" s="576"/>
      <c r="AT171" s="576"/>
      <c r="AU171" s="576"/>
      <c r="AV171" s="576"/>
      <c r="AW171" s="576"/>
      <c r="AX171" s="576"/>
      <c r="AY171" s="576"/>
      <c r="AZ171" s="576"/>
      <c r="BA171" s="576"/>
      <c r="BB171" s="576"/>
      <c r="BC171" s="576"/>
      <c r="BD171" s="576"/>
      <c r="BE171" s="576"/>
      <c r="BF171" s="576"/>
      <c r="BG171" s="576"/>
      <c r="BH171" s="576"/>
      <c r="BI171" s="576"/>
      <c r="BJ171" s="576"/>
      <c r="BK171" s="576"/>
      <c r="BL171" s="576"/>
      <c r="BM171" s="576"/>
      <c r="BN171" s="576"/>
      <c r="BO171" s="577"/>
      <c r="BP171" s="577"/>
      <c r="BQ171" s="577"/>
      <c r="BR171" s="577"/>
      <c r="BS171" s="577"/>
      <c r="BT171" s="577"/>
      <c r="BU171" s="577"/>
      <c r="BV171" s="577"/>
      <c r="BW171" s="577"/>
      <c r="BX171" s="577"/>
      <c r="BY171" s="577"/>
      <c r="BZ171" s="577"/>
      <c r="CA171" s="577"/>
      <c r="CB171" s="577"/>
      <c r="CC171" s="577"/>
      <c r="CD171" s="577"/>
      <c r="CE171" s="577"/>
      <c r="CF171" s="577"/>
      <c r="CG171" s="577"/>
      <c r="CH171" s="577"/>
      <c r="CI171" s="577"/>
      <c r="CJ171" s="577"/>
      <c r="CK171" s="577"/>
      <c r="CL171" s="577"/>
      <c r="CM171" s="577"/>
      <c r="CN171" s="577"/>
      <c r="CO171" s="577"/>
      <c r="CP171" s="577"/>
      <c r="CQ171" s="577"/>
      <c r="CR171" s="577"/>
      <c r="CS171" s="577"/>
      <c r="CT171" s="577"/>
    </row>
    <row r="172" spans="2:98" s="15" customFormat="1" x14ac:dyDescent="0.2">
      <c r="B172" s="412"/>
      <c r="C172" s="412"/>
      <c r="D172" s="412"/>
      <c r="E172" s="412"/>
      <c r="F172" s="412"/>
      <c r="G172" s="412"/>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575"/>
      <c r="AG172" s="575"/>
      <c r="AH172" s="575"/>
      <c r="AI172" s="575"/>
      <c r="AJ172" s="575"/>
      <c r="AK172" s="575"/>
      <c r="AL172" s="575"/>
      <c r="AM172" s="575"/>
      <c r="AN172" s="575"/>
      <c r="AO172" s="575"/>
      <c r="AP172" s="575"/>
      <c r="AQ172" s="576"/>
      <c r="AR172" s="576"/>
      <c r="AS172" s="576"/>
      <c r="AT172" s="576"/>
      <c r="AU172" s="576"/>
      <c r="AV172" s="576"/>
      <c r="AW172" s="576"/>
      <c r="AX172" s="576"/>
      <c r="AY172" s="576"/>
      <c r="AZ172" s="576"/>
      <c r="BA172" s="576"/>
      <c r="BB172" s="576"/>
      <c r="BC172" s="576"/>
      <c r="BD172" s="576"/>
      <c r="BE172" s="576"/>
      <c r="BF172" s="576"/>
      <c r="BG172" s="576"/>
      <c r="BH172" s="576"/>
      <c r="BI172" s="576"/>
      <c r="BJ172" s="576"/>
      <c r="BK172" s="576"/>
      <c r="BL172" s="576"/>
      <c r="BM172" s="576"/>
      <c r="BN172" s="576"/>
      <c r="BO172" s="577"/>
      <c r="BP172" s="577"/>
      <c r="BQ172" s="577"/>
      <c r="BR172" s="577"/>
      <c r="BS172" s="577"/>
      <c r="BT172" s="577"/>
      <c r="BU172" s="577"/>
      <c r="BV172" s="577"/>
      <c r="BW172" s="577"/>
      <c r="BX172" s="577"/>
      <c r="BY172" s="577"/>
      <c r="BZ172" s="577"/>
      <c r="CA172" s="577"/>
      <c r="CB172" s="577"/>
      <c r="CC172" s="577"/>
      <c r="CD172" s="577"/>
      <c r="CE172" s="577"/>
      <c r="CF172" s="577"/>
      <c r="CG172" s="577"/>
      <c r="CH172" s="577"/>
      <c r="CI172" s="577"/>
      <c r="CJ172" s="577"/>
      <c r="CK172" s="577"/>
      <c r="CL172" s="577"/>
      <c r="CM172" s="577"/>
      <c r="CN172" s="577"/>
      <c r="CO172" s="577"/>
      <c r="CP172" s="577"/>
      <c r="CQ172" s="577"/>
      <c r="CR172" s="577"/>
      <c r="CS172" s="577"/>
      <c r="CT172" s="577"/>
    </row>
    <row r="173" spans="2:98" s="15" customFormat="1" x14ac:dyDescent="0.2">
      <c r="B173" s="412"/>
      <c r="C173" s="412"/>
      <c r="D173" s="412"/>
      <c r="E173" s="412"/>
      <c r="F173" s="412"/>
      <c r="G173" s="412"/>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575"/>
      <c r="AG173" s="575"/>
      <c r="AH173" s="575"/>
      <c r="AI173" s="575"/>
      <c r="AJ173" s="575"/>
      <c r="AK173" s="575"/>
      <c r="AL173" s="575"/>
      <c r="AM173" s="575"/>
      <c r="AN173" s="575"/>
      <c r="AO173" s="575"/>
      <c r="AP173" s="575"/>
      <c r="AQ173" s="576"/>
      <c r="AR173" s="576"/>
      <c r="AS173" s="576"/>
      <c r="AT173" s="576"/>
      <c r="AU173" s="576"/>
      <c r="AV173" s="576"/>
      <c r="AW173" s="576"/>
      <c r="AX173" s="576"/>
      <c r="AY173" s="576"/>
      <c r="AZ173" s="576"/>
      <c r="BA173" s="576"/>
      <c r="BB173" s="576"/>
      <c r="BC173" s="576"/>
      <c r="BD173" s="576"/>
      <c r="BE173" s="576"/>
      <c r="BF173" s="576"/>
      <c r="BG173" s="576"/>
      <c r="BH173" s="576"/>
      <c r="BI173" s="576"/>
      <c r="BJ173" s="576"/>
      <c r="BK173" s="576"/>
      <c r="BL173" s="576"/>
      <c r="BM173" s="576"/>
      <c r="BN173" s="576"/>
      <c r="BO173" s="577"/>
      <c r="BP173" s="577"/>
      <c r="BQ173" s="577"/>
      <c r="BR173" s="577"/>
      <c r="BS173" s="577"/>
      <c r="BT173" s="577"/>
      <c r="BU173" s="577"/>
      <c r="BV173" s="577"/>
      <c r="BW173" s="577"/>
      <c r="BX173" s="577"/>
      <c r="BY173" s="577"/>
      <c r="BZ173" s="577"/>
      <c r="CA173" s="577"/>
      <c r="CB173" s="577"/>
      <c r="CC173" s="577"/>
      <c r="CD173" s="577"/>
      <c r="CE173" s="577"/>
      <c r="CF173" s="577"/>
      <c r="CG173" s="577"/>
      <c r="CH173" s="577"/>
      <c r="CI173" s="577"/>
      <c r="CJ173" s="577"/>
      <c r="CK173" s="577"/>
      <c r="CL173" s="577"/>
      <c r="CM173" s="577"/>
      <c r="CN173" s="577"/>
      <c r="CO173" s="577"/>
      <c r="CP173" s="577"/>
      <c r="CQ173" s="577"/>
      <c r="CR173" s="577"/>
      <c r="CS173" s="577"/>
      <c r="CT173" s="577"/>
    </row>
    <row r="174" spans="2:98" s="15" customFormat="1" x14ac:dyDescent="0.2">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575"/>
      <c r="AG174" s="575"/>
      <c r="AH174" s="575"/>
      <c r="AI174" s="575"/>
      <c r="AJ174" s="575"/>
      <c r="AK174" s="575"/>
      <c r="AL174" s="575"/>
      <c r="AM174" s="575"/>
      <c r="AN174" s="575"/>
      <c r="AO174" s="575"/>
      <c r="AP174" s="575"/>
      <c r="AQ174" s="576"/>
      <c r="AR174" s="576"/>
      <c r="AS174" s="576"/>
      <c r="AT174" s="576"/>
      <c r="AU174" s="576"/>
      <c r="AV174" s="576"/>
      <c r="AW174" s="576"/>
      <c r="AX174" s="576"/>
      <c r="AY174" s="576"/>
      <c r="AZ174" s="576"/>
      <c r="BA174" s="576"/>
      <c r="BB174" s="576"/>
      <c r="BC174" s="576"/>
      <c r="BD174" s="576"/>
      <c r="BE174" s="576"/>
      <c r="BF174" s="576"/>
      <c r="BG174" s="576"/>
      <c r="BH174" s="576"/>
      <c r="BI174" s="576"/>
      <c r="BJ174" s="576"/>
      <c r="BK174" s="576"/>
      <c r="BL174" s="576"/>
      <c r="BM174" s="576"/>
      <c r="BN174" s="576"/>
      <c r="BO174" s="577"/>
      <c r="BP174" s="577"/>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row>
    <row r="175" spans="2:98" s="15" customFormat="1" x14ac:dyDescent="0.2">
      <c r="B175" s="412"/>
      <c r="C175" s="412"/>
      <c r="D175" s="412"/>
      <c r="E175" s="412"/>
      <c r="F175" s="412"/>
      <c r="G175" s="412"/>
      <c r="H175" s="412"/>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575"/>
      <c r="AG175" s="575"/>
      <c r="AH175" s="575"/>
      <c r="AI175" s="575"/>
      <c r="AJ175" s="575"/>
      <c r="AK175" s="575"/>
      <c r="AL175" s="575"/>
      <c r="AM175" s="575"/>
      <c r="AN175" s="575"/>
      <c r="AO175" s="575"/>
      <c r="AP175" s="575"/>
      <c r="AQ175" s="576"/>
      <c r="AR175" s="576"/>
      <c r="AS175" s="576"/>
      <c r="AT175" s="576"/>
      <c r="AU175" s="576"/>
      <c r="AV175" s="576"/>
      <c r="AW175" s="576"/>
      <c r="AX175" s="576"/>
      <c r="AY175" s="576"/>
      <c r="AZ175" s="576"/>
      <c r="BA175" s="576"/>
      <c r="BB175" s="576"/>
      <c r="BC175" s="576"/>
      <c r="BD175" s="576"/>
      <c r="BE175" s="576"/>
      <c r="BF175" s="576"/>
      <c r="BG175" s="576"/>
      <c r="BH175" s="576"/>
      <c r="BI175" s="576"/>
      <c r="BJ175" s="576"/>
      <c r="BK175" s="576"/>
      <c r="BL175" s="576"/>
      <c r="BM175" s="576"/>
      <c r="BN175" s="576"/>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7"/>
      <c r="CP175" s="577"/>
      <c r="CQ175" s="577"/>
      <c r="CR175" s="577"/>
      <c r="CS175" s="577"/>
      <c r="CT175" s="577"/>
    </row>
    <row r="176" spans="2:98" s="15" customFormat="1" x14ac:dyDescent="0.2">
      <c r="B176" s="412"/>
      <c r="C176" s="412"/>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575"/>
      <c r="AG176" s="575"/>
      <c r="AH176" s="575"/>
      <c r="AI176" s="575"/>
      <c r="AJ176" s="575"/>
      <c r="AK176" s="575"/>
      <c r="AL176" s="575"/>
      <c r="AM176" s="575"/>
      <c r="AN176" s="575"/>
      <c r="AO176" s="575"/>
      <c r="AP176" s="575"/>
      <c r="AQ176" s="576"/>
      <c r="AR176" s="576"/>
      <c r="AS176" s="576"/>
      <c r="AT176" s="576"/>
      <c r="AU176" s="576"/>
      <c r="AV176" s="576"/>
      <c r="AW176" s="576"/>
      <c r="AX176" s="576"/>
      <c r="AY176" s="576"/>
      <c r="AZ176" s="576"/>
      <c r="BA176" s="576"/>
      <c r="BB176" s="576"/>
      <c r="BC176" s="576"/>
      <c r="BD176" s="576"/>
      <c r="BE176" s="576"/>
      <c r="BF176" s="576"/>
      <c r="BG176" s="576"/>
      <c r="BH176" s="576"/>
      <c r="BI176" s="576"/>
      <c r="BJ176" s="576"/>
      <c r="BK176" s="576"/>
      <c r="BL176" s="576"/>
      <c r="BM176" s="576"/>
      <c r="BN176" s="576"/>
      <c r="BO176" s="577"/>
      <c r="BP176" s="577"/>
      <c r="BQ176" s="577"/>
      <c r="BR176" s="577"/>
      <c r="BS176" s="577"/>
      <c r="BT176" s="577"/>
      <c r="BU176" s="577"/>
      <c r="BV176" s="577"/>
      <c r="BW176" s="577"/>
      <c r="BX176" s="577"/>
      <c r="BY176" s="577"/>
      <c r="BZ176" s="577"/>
      <c r="CA176" s="577"/>
      <c r="CB176" s="577"/>
      <c r="CC176" s="577"/>
      <c r="CD176" s="577"/>
      <c r="CE176" s="577"/>
      <c r="CF176" s="577"/>
      <c r="CG176" s="577"/>
      <c r="CH176" s="577"/>
      <c r="CI176" s="577"/>
      <c r="CJ176" s="577"/>
      <c r="CK176" s="577"/>
      <c r="CL176" s="577"/>
      <c r="CM176" s="577"/>
      <c r="CN176" s="577"/>
      <c r="CO176" s="577"/>
      <c r="CP176" s="577"/>
      <c r="CQ176" s="577"/>
      <c r="CR176" s="577"/>
      <c r="CS176" s="577"/>
      <c r="CT176" s="577"/>
    </row>
    <row r="177" spans="2:98" s="15" customFormat="1" x14ac:dyDescent="0.2">
      <c r="B177" s="412"/>
      <c r="C177" s="412"/>
      <c r="D177" s="412"/>
      <c r="E177" s="412"/>
      <c r="F177" s="412"/>
      <c r="G177" s="412"/>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575"/>
      <c r="AG177" s="575"/>
      <c r="AH177" s="575"/>
      <c r="AI177" s="575"/>
      <c r="AJ177" s="575"/>
      <c r="AK177" s="575"/>
      <c r="AL177" s="575"/>
      <c r="AM177" s="575"/>
      <c r="AN177" s="575"/>
      <c r="AO177" s="575"/>
      <c r="AP177" s="575"/>
      <c r="AQ177" s="576"/>
      <c r="AR177" s="576"/>
      <c r="AS177" s="576"/>
      <c r="AT177" s="576"/>
      <c r="AU177" s="576"/>
      <c r="AV177" s="576"/>
      <c r="AW177" s="576"/>
      <c r="AX177" s="576"/>
      <c r="AY177" s="576"/>
      <c r="AZ177" s="576"/>
      <c r="BA177" s="576"/>
      <c r="BB177" s="576"/>
      <c r="BC177" s="576"/>
      <c r="BD177" s="576"/>
      <c r="BE177" s="576"/>
      <c r="BF177" s="576"/>
      <c r="BG177" s="576"/>
      <c r="BH177" s="576"/>
      <c r="BI177" s="576"/>
      <c r="BJ177" s="576"/>
      <c r="BK177" s="576"/>
      <c r="BL177" s="576"/>
      <c r="BM177" s="576"/>
      <c r="BN177" s="576"/>
      <c r="BO177" s="577"/>
      <c r="BP177" s="577"/>
      <c r="BQ177" s="577"/>
      <c r="BR177" s="577"/>
      <c r="BS177" s="577"/>
      <c r="BT177" s="577"/>
      <c r="BU177" s="577"/>
      <c r="BV177" s="577"/>
      <c r="BW177" s="577"/>
      <c r="BX177" s="577"/>
      <c r="BY177" s="577"/>
      <c r="BZ177" s="577"/>
      <c r="CA177" s="577"/>
      <c r="CB177" s="577"/>
      <c r="CC177" s="577"/>
      <c r="CD177" s="577"/>
      <c r="CE177" s="577"/>
      <c r="CF177" s="577"/>
      <c r="CG177" s="577"/>
      <c r="CH177" s="577"/>
      <c r="CI177" s="577"/>
      <c r="CJ177" s="577"/>
      <c r="CK177" s="577"/>
      <c r="CL177" s="577"/>
      <c r="CM177" s="577"/>
      <c r="CN177" s="577"/>
      <c r="CO177" s="577"/>
      <c r="CP177" s="577"/>
      <c r="CQ177" s="577"/>
      <c r="CR177" s="577"/>
      <c r="CS177" s="577"/>
      <c r="CT177" s="577"/>
    </row>
    <row r="178" spans="2:98" s="15" customFormat="1" x14ac:dyDescent="0.2">
      <c r="B178" s="412"/>
      <c r="C178" s="412"/>
      <c r="D178" s="412"/>
      <c r="E178" s="412"/>
      <c r="F178" s="412"/>
      <c r="G178" s="412"/>
      <c r="H178" s="412"/>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575"/>
      <c r="AG178" s="575"/>
      <c r="AH178" s="575"/>
      <c r="AI178" s="575"/>
      <c r="AJ178" s="575"/>
      <c r="AK178" s="575"/>
      <c r="AL178" s="575"/>
      <c r="AM178" s="575"/>
      <c r="AN178" s="575"/>
      <c r="AO178" s="575"/>
      <c r="AP178" s="575"/>
      <c r="AQ178" s="576"/>
      <c r="AR178" s="576"/>
      <c r="AS178" s="576"/>
      <c r="AT178" s="576"/>
      <c r="AU178" s="576"/>
      <c r="AV178" s="576"/>
      <c r="AW178" s="576"/>
      <c r="AX178" s="576"/>
      <c r="AY178" s="576"/>
      <c r="AZ178" s="576"/>
      <c r="BA178" s="576"/>
      <c r="BB178" s="576"/>
      <c r="BC178" s="576"/>
      <c r="BD178" s="576"/>
      <c r="BE178" s="576"/>
      <c r="BF178" s="576"/>
      <c r="BG178" s="576"/>
      <c r="BH178" s="576"/>
      <c r="BI178" s="576"/>
      <c r="BJ178" s="576"/>
      <c r="BK178" s="576"/>
      <c r="BL178" s="576"/>
      <c r="BM178" s="576"/>
      <c r="BN178" s="576"/>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577"/>
      <c r="CL178" s="577"/>
      <c r="CM178" s="577"/>
      <c r="CN178" s="577"/>
      <c r="CO178" s="577"/>
      <c r="CP178" s="577"/>
      <c r="CQ178" s="577"/>
      <c r="CR178" s="577"/>
      <c r="CS178" s="577"/>
      <c r="CT178" s="577"/>
    </row>
    <row r="179" spans="2:98" s="15" customFormat="1" x14ac:dyDescent="0.2">
      <c r="B179" s="412"/>
      <c r="C179" s="412"/>
      <c r="D179" s="412"/>
      <c r="E179" s="412"/>
      <c r="F179" s="412"/>
      <c r="G179" s="412"/>
      <c r="H179" s="412"/>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575"/>
      <c r="AG179" s="575"/>
      <c r="AH179" s="575"/>
      <c r="AI179" s="575"/>
      <c r="AJ179" s="575"/>
      <c r="AK179" s="575"/>
      <c r="AL179" s="575"/>
      <c r="AM179" s="575"/>
      <c r="AN179" s="575"/>
      <c r="AO179" s="575"/>
      <c r="AP179" s="575"/>
      <c r="AQ179" s="576"/>
      <c r="AR179" s="576"/>
      <c r="AS179" s="576"/>
      <c r="AT179" s="576"/>
      <c r="AU179" s="576"/>
      <c r="AV179" s="576"/>
      <c r="AW179" s="576"/>
      <c r="AX179" s="576"/>
      <c r="AY179" s="576"/>
      <c r="AZ179" s="576"/>
      <c r="BA179" s="576"/>
      <c r="BB179" s="576"/>
      <c r="BC179" s="576"/>
      <c r="BD179" s="576"/>
      <c r="BE179" s="576"/>
      <c r="BF179" s="576"/>
      <c r="BG179" s="576"/>
      <c r="BH179" s="576"/>
      <c r="BI179" s="576"/>
      <c r="BJ179" s="576"/>
      <c r="BK179" s="576"/>
      <c r="BL179" s="576"/>
      <c r="BM179" s="576"/>
      <c r="BN179" s="576"/>
      <c r="BO179" s="577"/>
      <c r="BP179" s="577"/>
      <c r="BQ179" s="577"/>
      <c r="BR179" s="577"/>
      <c r="BS179" s="577"/>
      <c r="BT179" s="577"/>
      <c r="BU179" s="577"/>
      <c r="BV179" s="577"/>
      <c r="BW179" s="577"/>
      <c r="BX179" s="577"/>
      <c r="BY179" s="577"/>
      <c r="BZ179" s="577"/>
      <c r="CA179" s="577"/>
      <c r="CB179" s="577"/>
      <c r="CC179" s="577"/>
      <c r="CD179" s="577"/>
      <c r="CE179" s="577"/>
      <c r="CF179" s="577"/>
      <c r="CG179" s="577"/>
      <c r="CH179" s="577"/>
      <c r="CI179" s="577"/>
      <c r="CJ179" s="577"/>
      <c r="CK179" s="577"/>
      <c r="CL179" s="577"/>
      <c r="CM179" s="577"/>
      <c r="CN179" s="577"/>
      <c r="CO179" s="577"/>
      <c r="CP179" s="577"/>
      <c r="CQ179" s="577"/>
      <c r="CR179" s="577"/>
      <c r="CS179" s="577"/>
      <c r="CT179" s="577"/>
    </row>
    <row r="180" spans="2:98" s="15" customFormat="1" x14ac:dyDescent="0.2">
      <c r="B180" s="412"/>
      <c r="C180" s="412"/>
      <c r="D180" s="412"/>
      <c r="E180" s="412"/>
      <c r="F180" s="412"/>
      <c r="G180" s="412"/>
      <c r="H180" s="412"/>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575"/>
      <c r="AG180" s="575"/>
      <c r="AH180" s="575"/>
      <c r="AI180" s="575"/>
      <c r="AJ180" s="575"/>
      <c r="AK180" s="575"/>
      <c r="AL180" s="575"/>
      <c r="AM180" s="575"/>
      <c r="AN180" s="575"/>
      <c r="AO180" s="575"/>
      <c r="AP180" s="575"/>
      <c r="AQ180" s="576"/>
      <c r="AR180" s="576"/>
      <c r="AS180" s="576"/>
      <c r="AT180" s="576"/>
      <c r="AU180" s="576"/>
      <c r="AV180" s="576"/>
      <c r="AW180" s="576"/>
      <c r="AX180" s="576"/>
      <c r="AY180" s="576"/>
      <c r="AZ180" s="576"/>
      <c r="BA180" s="576"/>
      <c r="BB180" s="576"/>
      <c r="BC180" s="576"/>
      <c r="BD180" s="576"/>
      <c r="BE180" s="576"/>
      <c r="BF180" s="576"/>
      <c r="BG180" s="576"/>
      <c r="BH180" s="576"/>
      <c r="BI180" s="576"/>
      <c r="BJ180" s="576"/>
      <c r="BK180" s="576"/>
      <c r="BL180" s="576"/>
      <c r="BM180" s="576"/>
      <c r="BN180" s="576"/>
      <c r="BO180" s="577"/>
      <c r="BP180" s="577"/>
      <c r="BQ180" s="577"/>
      <c r="BR180" s="577"/>
      <c r="BS180" s="577"/>
      <c r="BT180" s="577"/>
      <c r="BU180" s="577"/>
      <c r="BV180" s="577"/>
      <c r="BW180" s="577"/>
      <c r="BX180" s="577"/>
      <c r="BY180" s="577"/>
      <c r="BZ180" s="577"/>
      <c r="CA180" s="577"/>
      <c r="CB180" s="577"/>
      <c r="CC180" s="577"/>
      <c r="CD180" s="577"/>
      <c r="CE180" s="577"/>
      <c r="CF180" s="577"/>
      <c r="CG180" s="577"/>
      <c r="CH180" s="577"/>
      <c r="CI180" s="577"/>
      <c r="CJ180" s="577"/>
      <c r="CK180" s="577"/>
      <c r="CL180" s="577"/>
      <c r="CM180" s="577"/>
      <c r="CN180" s="577"/>
      <c r="CO180" s="577"/>
      <c r="CP180" s="577"/>
      <c r="CQ180" s="577"/>
      <c r="CR180" s="577"/>
      <c r="CS180" s="577"/>
      <c r="CT180" s="577"/>
    </row>
    <row r="181" spans="2:98" s="15" customFormat="1" x14ac:dyDescent="0.2">
      <c r="B181" s="412"/>
      <c r="C181" s="412"/>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575"/>
      <c r="AG181" s="575"/>
      <c r="AH181" s="575"/>
      <c r="AI181" s="575"/>
      <c r="AJ181" s="575"/>
      <c r="AK181" s="575"/>
      <c r="AL181" s="575"/>
      <c r="AM181" s="575"/>
      <c r="AN181" s="575"/>
      <c r="AO181" s="575"/>
      <c r="AP181" s="575"/>
      <c r="AQ181" s="576"/>
      <c r="AR181" s="576"/>
      <c r="AS181" s="576"/>
      <c r="AT181" s="576"/>
      <c r="AU181" s="576"/>
      <c r="AV181" s="576"/>
      <c r="AW181" s="576"/>
      <c r="AX181" s="576"/>
      <c r="AY181" s="576"/>
      <c r="AZ181" s="576"/>
      <c r="BA181" s="576"/>
      <c r="BB181" s="576"/>
      <c r="BC181" s="576"/>
      <c r="BD181" s="576"/>
      <c r="BE181" s="576"/>
      <c r="BF181" s="576"/>
      <c r="BG181" s="576"/>
      <c r="BH181" s="576"/>
      <c r="BI181" s="576"/>
      <c r="BJ181" s="576"/>
      <c r="BK181" s="576"/>
      <c r="BL181" s="576"/>
      <c r="BM181" s="576"/>
      <c r="BN181" s="576"/>
      <c r="BO181" s="577"/>
      <c r="BP181" s="577"/>
      <c r="BQ181" s="577"/>
      <c r="BR181" s="577"/>
      <c r="BS181" s="577"/>
      <c r="BT181" s="577"/>
      <c r="BU181" s="577"/>
      <c r="BV181" s="577"/>
      <c r="BW181" s="577"/>
      <c r="BX181" s="577"/>
      <c r="BY181" s="577"/>
      <c r="BZ181" s="577"/>
      <c r="CA181" s="577"/>
      <c r="CB181" s="577"/>
      <c r="CC181" s="577"/>
      <c r="CD181" s="577"/>
      <c r="CE181" s="577"/>
      <c r="CF181" s="577"/>
      <c r="CG181" s="577"/>
      <c r="CH181" s="577"/>
      <c r="CI181" s="577"/>
      <c r="CJ181" s="577"/>
      <c r="CK181" s="577"/>
      <c r="CL181" s="577"/>
      <c r="CM181" s="577"/>
      <c r="CN181" s="577"/>
      <c r="CO181" s="577"/>
      <c r="CP181" s="577"/>
      <c r="CQ181" s="577"/>
      <c r="CR181" s="577"/>
      <c r="CS181" s="577"/>
      <c r="CT181" s="577"/>
    </row>
    <row r="182" spans="2:98" s="15" customFormat="1" x14ac:dyDescent="0.2">
      <c r="B182" s="412"/>
      <c r="C182" s="412"/>
      <c r="D182" s="412"/>
      <c r="E182" s="412"/>
      <c r="F182" s="412"/>
      <c r="G182" s="412"/>
      <c r="H182" s="412"/>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575"/>
      <c r="AG182" s="575"/>
      <c r="AH182" s="575"/>
      <c r="AI182" s="575"/>
      <c r="AJ182" s="575"/>
      <c r="AK182" s="575"/>
      <c r="AL182" s="575"/>
      <c r="AM182" s="575"/>
      <c r="AN182" s="575"/>
      <c r="AO182" s="575"/>
      <c r="AP182" s="575"/>
      <c r="AQ182" s="576"/>
      <c r="AR182" s="576"/>
      <c r="AS182" s="576"/>
      <c r="AT182" s="576"/>
      <c r="AU182" s="576"/>
      <c r="AV182" s="576"/>
      <c r="AW182" s="576"/>
      <c r="AX182" s="576"/>
      <c r="AY182" s="576"/>
      <c r="AZ182" s="576"/>
      <c r="BA182" s="576"/>
      <c r="BB182" s="576"/>
      <c r="BC182" s="576"/>
      <c r="BD182" s="576"/>
      <c r="BE182" s="576"/>
      <c r="BF182" s="576"/>
      <c r="BG182" s="576"/>
      <c r="BH182" s="576"/>
      <c r="BI182" s="576"/>
      <c r="BJ182" s="576"/>
      <c r="BK182" s="576"/>
      <c r="BL182" s="576"/>
      <c r="BM182" s="576"/>
      <c r="BN182" s="576"/>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c r="CS182" s="577"/>
      <c r="CT182" s="577"/>
    </row>
    <row r="183" spans="2:98" s="15" customFormat="1" x14ac:dyDescent="0.2">
      <c r="B183" s="412"/>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575"/>
      <c r="AG183" s="575"/>
      <c r="AH183" s="575"/>
      <c r="AI183" s="575"/>
      <c r="AJ183" s="575"/>
      <c r="AK183" s="575"/>
      <c r="AL183" s="575"/>
      <c r="AM183" s="575"/>
      <c r="AN183" s="575"/>
      <c r="AO183" s="575"/>
      <c r="AP183" s="575"/>
      <c r="AQ183" s="576"/>
      <c r="AR183" s="576"/>
      <c r="AS183" s="576"/>
      <c r="AT183" s="576"/>
      <c r="AU183" s="576"/>
      <c r="AV183" s="576"/>
      <c r="AW183" s="576"/>
      <c r="AX183" s="576"/>
      <c r="AY183" s="576"/>
      <c r="AZ183" s="576"/>
      <c r="BA183" s="576"/>
      <c r="BB183" s="576"/>
      <c r="BC183" s="576"/>
      <c r="BD183" s="576"/>
      <c r="BE183" s="576"/>
      <c r="BF183" s="576"/>
      <c r="BG183" s="576"/>
      <c r="BH183" s="576"/>
      <c r="BI183" s="576"/>
      <c r="BJ183" s="576"/>
      <c r="BK183" s="576"/>
      <c r="BL183" s="576"/>
      <c r="BM183" s="576"/>
      <c r="BN183" s="576"/>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c r="CS183" s="577"/>
      <c r="CT183" s="577"/>
    </row>
    <row r="184" spans="2:98" s="15" customFormat="1" x14ac:dyDescent="0.2">
      <c r="B184" s="412"/>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575"/>
      <c r="AG184" s="575"/>
      <c r="AH184" s="575"/>
      <c r="AI184" s="575"/>
      <c r="AJ184" s="575"/>
      <c r="AK184" s="575"/>
      <c r="AL184" s="575"/>
      <c r="AM184" s="575"/>
      <c r="AN184" s="575"/>
      <c r="AO184" s="575"/>
      <c r="AP184" s="575"/>
      <c r="AQ184" s="576"/>
      <c r="AR184" s="576"/>
      <c r="AS184" s="576"/>
      <c r="AT184" s="576"/>
      <c r="AU184" s="576"/>
      <c r="AV184" s="576"/>
      <c r="AW184" s="576"/>
      <c r="AX184" s="576"/>
      <c r="AY184" s="576"/>
      <c r="AZ184" s="576"/>
      <c r="BA184" s="576"/>
      <c r="BB184" s="576"/>
      <c r="BC184" s="576"/>
      <c r="BD184" s="576"/>
      <c r="BE184" s="576"/>
      <c r="BF184" s="576"/>
      <c r="BG184" s="576"/>
      <c r="BH184" s="576"/>
      <c r="BI184" s="576"/>
      <c r="BJ184" s="576"/>
      <c r="BK184" s="576"/>
      <c r="BL184" s="576"/>
      <c r="BM184" s="576"/>
      <c r="BN184" s="576"/>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c r="CS184" s="577"/>
      <c r="CT184" s="577"/>
    </row>
    <row r="185" spans="2:98" s="15" customFormat="1" x14ac:dyDescent="0.2">
      <c r="B185" s="412"/>
      <c r="C185" s="412"/>
      <c r="D185" s="412"/>
      <c r="E185" s="412"/>
      <c r="F185" s="412"/>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575"/>
      <c r="AG185" s="575"/>
      <c r="AH185" s="575"/>
      <c r="AI185" s="575"/>
      <c r="AJ185" s="575"/>
      <c r="AK185" s="575"/>
      <c r="AL185" s="575"/>
      <c r="AM185" s="575"/>
      <c r="AN185" s="575"/>
      <c r="AO185" s="575"/>
      <c r="AP185" s="575"/>
      <c r="AQ185" s="576"/>
      <c r="AR185" s="576"/>
      <c r="AS185" s="576"/>
      <c r="AT185" s="576"/>
      <c r="AU185" s="576"/>
      <c r="AV185" s="576"/>
      <c r="AW185" s="576"/>
      <c r="AX185" s="576"/>
      <c r="AY185" s="576"/>
      <c r="AZ185" s="576"/>
      <c r="BA185" s="576"/>
      <c r="BB185" s="576"/>
      <c r="BC185" s="576"/>
      <c r="BD185" s="576"/>
      <c r="BE185" s="576"/>
      <c r="BF185" s="576"/>
      <c r="BG185" s="576"/>
      <c r="BH185" s="576"/>
      <c r="BI185" s="576"/>
      <c r="BJ185" s="576"/>
      <c r="BK185" s="576"/>
      <c r="BL185" s="576"/>
      <c r="BM185" s="576"/>
      <c r="BN185" s="576"/>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c r="CS185" s="577"/>
      <c r="CT185" s="577"/>
    </row>
    <row r="186" spans="2:98" s="15" customFormat="1" x14ac:dyDescent="0.2">
      <c r="B186" s="412"/>
      <c r="C186" s="412"/>
      <c r="D186" s="412"/>
      <c r="E186" s="412"/>
      <c r="F186" s="412"/>
      <c r="G186" s="412"/>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575"/>
      <c r="AG186" s="575"/>
      <c r="AH186" s="575"/>
      <c r="AI186" s="575"/>
      <c r="AJ186" s="575"/>
      <c r="AK186" s="575"/>
      <c r="AL186" s="575"/>
      <c r="AM186" s="575"/>
      <c r="AN186" s="575"/>
      <c r="AO186" s="575"/>
      <c r="AP186" s="575"/>
      <c r="AQ186" s="576"/>
      <c r="AR186" s="576"/>
      <c r="AS186" s="576"/>
      <c r="AT186" s="576"/>
      <c r="AU186" s="576"/>
      <c r="AV186" s="576"/>
      <c r="AW186" s="576"/>
      <c r="AX186" s="576"/>
      <c r="AY186" s="576"/>
      <c r="AZ186" s="576"/>
      <c r="BA186" s="576"/>
      <c r="BB186" s="576"/>
      <c r="BC186" s="576"/>
      <c r="BD186" s="576"/>
      <c r="BE186" s="576"/>
      <c r="BF186" s="576"/>
      <c r="BG186" s="576"/>
      <c r="BH186" s="576"/>
      <c r="BI186" s="576"/>
      <c r="BJ186" s="576"/>
      <c r="BK186" s="576"/>
      <c r="BL186" s="576"/>
      <c r="BM186" s="576"/>
      <c r="BN186" s="576"/>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c r="CS186" s="577"/>
      <c r="CT186" s="577"/>
    </row>
    <row r="187" spans="2:98" s="15" customFormat="1" x14ac:dyDescent="0.2">
      <c r="B187" s="412"/>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575"/>
      <c r="AG187" s="575"/>
      <c r="AH187" s="575"/>
      <c r="AI187" s="575"/>
      <c r="AJ187" s="575"/>
      <c r="AK187" s="575"/>
      <c r="AL187" s="575"/>
      <c r="AM187" s="575"/>
      <c r="AN187" s="575"/>
      <c r="AO187" s="575"/>
      <c r="AP187" s="575"/>
      <c r="AQ187" s="576"/>
      <c r="AR187" s="576"/>
      <c r="AS187" s="576"/>
      <c r="AT187" s="576"/>
      <c r="AU187" s="576"/>
      <c r="AV187" s="576"/>
      <c r="AW187" s="576"/>
      <c r="AX187" s="576"/>
      <c r="AY187" s="576"/>
      <c r="AZ187" s="576"/>
      <c r="BA187" s="576"/>
      <c r="BB187" s="576"/>
      <c r="BC187" s="576"/>
      <c r="BD187" s="576"/>
      <c r="BE187" s="576"/>
      <c r="BF187" s="576"/>
      <c r="BG187" s="576"/>
      <c r="BH187" s="576"/>
      <c r="BI187" s="576"/>
      <c r="BJ187" s="576"/>
      <c r="BK187" s="576"/>
      <c r="BL187" s="576"/>
      <c r="BM187" s="576"/>
      <c r="BN187" s="576"/>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c r="CS187" s="577"/>
      <c r="CT187" s="577"/>
    </row>
    <row r="188" spans="2:98" s="15" customFormat="1" x14ac:dyDescent="0.2">
      <c r="B188" s="412"/>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575"/>
      <c r="AG188" s="575"/>
      <c r="AH188" s="575"/>
      <c r="AI188" s="575"/>
      <c r="AJ188" s="575"/>
      <c r="AK188" s="575"/>
      <c r="AL188" s="575"/>
      <c r="AM188" s="575"/>
      <c r="AN188" s="575"/>
      <c r="AO188" s="575"/>
      <c r="AP188" s="575"/>
      <c r="AQ188" s="576"/>
      <c r="AR188" s="576"/>
      <c r="AS188" s="576"/>
      <c r="AT188" s="576"/>
      <c r="AU188" s="576"/>
      <c r="AV188" s="576"/>
      <c r="AW188" s="576"/>
      <c r="AX188" s="576"/>
      <c r="AY188" s="576"/>
      <c r="AZ188" s="576"/>
      <c r="BA188" s="576"/>
      <c r="BB188" s="576"/>
      <c r="BC188" s="576"/>
      <c r="BD188" s="576"/>
      <c r="BE188" s="576"/>
      <c r="BF188" s="576"/>
      <c r="BG188" s="576"/>
      <c r="BH188" s="576"/>
      <c r="BI188" s="576"/>
      <c r="BJ188" s="576"/>
      <c r="BK188" s="576"/>
      <c r="BL188" s="576"/>
      <c r="BM188" s="576"/>
      <c r="BN188" s="576"/>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c r="CS188" s="577"/>
      <c r="CT188" s="577"/>
    </row>
    <row r="189" spans="2:98" s="15" customFormat="1" x14ac:dyDescent="0.2">
      <c r="B189" s="412"/>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575"/>
      <c r="AG189" s="575"/>
      <c r="AH189" s="575"/>
      <c r="AI189" s="575"/>
      <c r="AJ189" s="575"/>
      <c r="AK189" s="575"/>
      <c r="AL189" s="575"/>
      <c r="AM189" s="575"/>
      <c r="AN189" s="575"/>
      <c r="AO189" s="575"/>
      <c r="AP189" s="575"/>
      <c r="AQ189" s="576"/>
      <c r="AR189" s="576"/>
      <c r="AS189" s="576"/>
      <c r="AT189" s="576"/>
      <c r="AU189" s="576"/>
      <c r="AV189" s="576"/>
      <c r="AW189" s="576"/>
      <c r="AX189" s="576"/>
      <c r="AY189" s="576"/>
      <c r="AZ189" s="576"/>
      <c r="BA189" s="576"/>
      <c r="BB189" s="576"/>
      <c r="BC189" s="576"/>
      <c r="BD189" s="576"/>
      <c r="BE189" s="576"/>
      <c r="BF189" s="576"/>
      <c r="BG189" s="576"/>
      <c r="BH189" s="576"/>
      <c r="BI189" s="576"/>
      <c r="BJ189" s="576"/>
      <c r="BK189" s="576"/>
      <c r="BL189" s="576"/>
      <c r="BM189" s="576"/>
      <c r="BN189" s="576"/>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7"/>
      <c r="CP189" s="577"/>
      <c r="CQ189" s="577"/>
      <c r="CR189" s="577"/>
      <c r="CS189" s="577"/>
      <c r="CT189" s="577"/>
    </row>
    <row r="190" spans="2:98" s="15" customFormat="1" x14ac:dyDescent="0.2">
      <c r="B190" s="412"/>
      <c r="C190" s="412"/>
      <c r="D190" s="412"/>
      <c r="E190" s="412"/>
      <c r="F190" s="412"/>
      <c r="G190" s="412"/>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575"/>
      <c r="AG190" s="575"/>
      <c r="AH190" s="575"/>
      <c r="AI190" s="575"/>
      <c r="AJ190" s="575"/>
      <c r="AK190" s="575"/>
      <c r="AL190" s="575"/>
      <c r="AM190" s="575"/>
      <c r="AN190" s="575"/>
      <c r="AO190" s="575"/>
      <c r="AP190" s="575"/>
      <c r="AQ190" s="576"/>
      <c r="AR190" s="576"/>
      <c r="AS190" s="576"/>
      <c r="AT190" s="576"/>
      <c r="AU190" s="576"/>
      <c r="AV190" s="576"/>
      <c r="AW190" s="576"/>
      <c r="AX190" s="576"/>
      <c r="AY190" s="576"/>
      <c r="AZ190" s="576"/>
      <c r="BA190" s="576"/>
      <c r="BB190" s="576"/>
      <c r="BC190" s="576"/>
      <c r="BD190" s="576"/>
      <c r="BE190" s="576"/>
      <c r="BF190" s="576"/>
      <c r="BG190" s="576"/>
      <c r="BH190" s="576"/>
      <c r="BI190" s="576"/>
      <c r="BJ190" s="576"/>
      <c r="BK190" s="576"/>
      <c r="BL190" s="576"/>
      <c r="BM190" s="576"/>
      <c r="BN190" s="576"/>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7"/>
      <c r="CP190" s="577"/>
      <c r="CQ190" s="577"/>
      <c r="CR190" s="577"/>
      <c r="CS190" s="577"/>
      <c r="CT190" s="577"/>
    </row>
    <row r="191" spans="2:98" s="15" customFormat="1" x14ac:dyDescent="0.2">
      <c r="B191" s="412"/>
      <c r="C191" s="412"/>
      <c r="D191" s="412"/>
      <c r="E191" s="412"/>
      <c r="F191" s="412"/>
      <c r="G191" s="412"/>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575"/>
      <c r="AG191" s="575"/>
      <c r="AH191" s="575"/>
      <c r="AI191" s="575"/>
      <c r="AJ191" s="575"/>
      <c r="AK191" s="575"/>
      <c r="AL191" s="575"/>
      <c r="AM191" s="575"/>
      <c r="AN191" s="575"/>
      <c r="AO191" s="575"/>
      <c r="AP191" s="575"/>
      <c r="AQ191" s="576"/>
      <c r="AR191" s="576"/>
      <c r="AS191" s="576"/>
      <c r="AT191" s="576"/>
      <c r="AU191" s="576"/>
      <c r="AV191" s="576"/>
      <c r="AW191" s="576"/>
      <c r="AX191" s="576"/>
      <c r="AY191" s="576"/>
      <c r="AZ191" s="576"/>
      <c r="BA191" s="576"/>
      <c r="BB191" s="576"/>
      <c r="BC191" s="576"/>
      <c r="BD191" s="576"/>
      <c r="BE191" s="576"/>
      <c r="BF191" s="576"/>
      <c r="BG191" s="576"/>
      <c r="BH191" s="576"/>
      <c r="BI191" s="576"/>
      <c r="BJ191" s="576"/>
      <c r="BK191" s="576"/>
      <c r="BL191" s="576"/>
      <c r="BM191" s="576"/>
      <c r="BN191" s="576"/>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7"/>
      <c r="CP191" s="577"/>
      <c r="CQ191" s="577"/>
      <c r="CR191" s="577"/>
      <c r="CS191" s="577"/>
      <c r="CT191" s="577"/>
    </row>
    <row r="192" spans="2:98" s="15" customFormat="1" x14ac:dyDescent="0.2">
      <c r="B192" s="412"/>
      <c r="C192" s="412"/>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575"/>
      <c r="AG192" s="575"/>
      <c r="AH192" s="575"/>
      <c r="AI192" s="575"/>
      <c r="AJ192" s="575"/>
      <c r="AK192" s="575"/>
      <c r="AL192" s="575"/>
      <c r="AM192" s="575"/>
      <c r="AN192" s="575"/>
      <c r="AO192" s="575"/>
      <c r="AP192" s="575"/>
      <c r="AQ192" s="576"/>
      <c r="AR192" s="576"/>
      <c r="AS192" s="576"/>
      <c r="AT192" s="576"/>
      <c r="AU192" s="576"/>
      <c r="AV192" s="576"/>
      <c r="AW192" s="576"/>
      <c r="AX192" s="576"/>
      <c r="AY192" s="576"/>
      <c r="AZ192" s="576"/>
      <c r="BA192" s="576"/>
      <c r="BB192" s="576"/>
      <c r="BC192" s="576"/>
      <c r="BD192" s="576"/>
      <c r="BE192" s="576"/>
      <c r="BF192" s="576"/>
      <c r="BG192" s="576"/>
      <c r="BH192" s="576"/>
      <c r="BI192" s="576"/>
      <c r="BJ192" s="576"/>
      <c r="BK192" s="576"/>
      <c r="BL192" s="576"/>
      <c r="BM192" s="576"/>
      <c r="BN192" s="576"/>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c r="CS192" s="577"/>
      <c r="CT192" s="577"/>
    </row>
    <row r="193" spans="2:98" s="15" customFormat="1" x14ac:dyDescent="0.2">
      <c r="B193" s="412"/>
      <c r="C193" s="412"/>
      <c r="D193" s="412"/>
      <c r="E193" s="412"/>
      <c r="F193" s="412"/>
      <c r="G193" s="412"/>
      <c r="H193" s="412"/>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575"/>
      <c r="AG193" s="575"/>
      <c r="AH193" s="575"/>
      <c r="AI193" s="575"/>
      <c r="AJ193" s="575"/>
      <c r="AK193" s="575"/>
      <c r="AL193" s="575"/>
      <c r="AM193" s="575"/>
      <c r="AN193" s="575"/>
      <c r="AO193" s="575"/>
      <c r="AP193" s="575"/>
      <c r="AQ193" s="576"/>
      <c r="AR193" s="576"/>
      <c r="AS193" s="576"/>
      <c r="AT193" s="576"/>
      <c r="AU193" s="576"/>
      <c r="AV193" s="576"/>
      <c r="AW193" s="576"/>
      <c r="AX193" s="576"/>
      <c r="AY193" s="576"/>
      <c r="AZ193" s="576"/>
      <c r="BA193" s="576"/>
      <c r="BB193" s="576"/>
      <c r="BC193" s="576"/>
      <c r="BD193" s="576"/>
      <c r="BE193" s="576"/>
      <c r="BF193" s="576"/>
      <c r="BG193" s="576"/>
      <c r="BH193" s="576"/>
      <c r="BI193" s="576"/>
      <c r="BJ193" s="576"/>
      <c r="BK193" s="576"/>
      <c r="BL193" s="576"/>
      <c r="BM193" s="576"/>
      <c r="BN193" s="576"/>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c r="CS193" s="577"/>
      <c r="CT193" s="577"/>
    </row>
    <row r="194" spans="2:98" s="15" customFormat="1" x14ac:dyDescent="0.2">
      <c r="B194" s="412"/>
      <c r="C194" s="412"/>
      <c r="D194" s="412"/>
      <c r="E194" s="412"/>
      <c r="F194" s="412"/>
      <c r="G194" s="412"/>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575"/>
      <c r="AG194" s="575"/>
      <c r="AH194" s="575"/>
      <c r="AI194" s="575"/>
      <c r="AJ194" s="575"/>
      <c r="AK194" s="575"/>
      <c r="AL194" s="575"/>
      <c r="AM194" s="575"/>
      <c r="AN194" s="575"/>
      <c r="AO194" s="575"/>
      <c r="AP194" s="575"/>
      <c r="AQ194" s="576"/>
      <c r="AR194" s="576"/>
      <c r="AS194" s="576"/>
      <c r="AT194" s="576"/>
      <c r="AU194" s="576"/>
      <c r="AV194" s="576"/>
      <c r="AW194" s="576"/>
      <c r="AX194" s="576"/>
      <c r="AY194" s="576"/>
      <c r="AZ194" s="576"/>
      <c r="BA194" s="576"/>
      <c r="BB194" s="576"/>
      <c r="BC194" s="576"/>
      <c r="BD194" s="576"/>
      <c r="BE194" s="576"/>
      <c r="BF194" s="576"/>
      <c r="BG194" s="576"/>
      <c r="BH194" s="576"/>
      <c r="BI194" s="576"/>
      <c r="BJ194" s="576"/>
      <c r="BK194" s="576"/>
      <c r="BL194" s="576"/>
      <c r="BM194" s="576"/>
      <c r="BN194" s="576"/>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c r="CS194" s="577"/>
      <c r="CT194" s="577"/>
    </row>
    <row r="195" spans="2:98" s="15" customFormat="1" x14ac:dyDescent="0.2">
      <c r="B195" s="412"/>
      <c r="C195" s="412"/>
      <c r="D195" s="412"/>
      <c r="E195" s="412"/>
      <c r="F195" s="412"/>
      <c r="G195" s="412"/>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575"/>
      <c r="AG195" s="575"/>
      <c r="AH195" s="575"/>
      <c r="AI195" s="575"/>
      <c r="AJ195" s="575"/>
      <c r="AK195" s="575"/>
      <c r="AL195" s="575"/>
      <c r="AM195" s="575"/>
      <c r="AN195" s="575"/>
      <c r="AO195" s="575"/>
      <c r="AP195" s="575"/>
      <c r="AQ195" s="576"/>
      <c r="AR195" s="576"/>
      <c r="AS195" s="576"/>
      <c r="AT195" s="576"/>
      <c r="AU195" s="576"/>
      <c r="AV195" s="576"/>
      <c r="AW195" s="576"/>
      <c r="AX195" s="576"/>
      <c r="AY195" s="576"/>
      <c r="AZ195" s="576"/>
      <c r="BA195" s="576"/>
      <c r="BB195" s="576"/>
      <c r="BC195" s="576"/>
      <c r="BD195" s="576"/>
      <c r="BE195" s="576"/>
      <c r="BF195" s="576"/>
      <c r="BG195" s="576"/>
      <c r="BH195" s="576"/>
      <c r="BI195" s="576"/>
      <c r="BJ195" s="576"/>
      <c r="BK195" s="576"/>
      <c r="BL195" s="576"/>
      <c r="BM195" s="576"/>
      <c r="BN195" s="576"/>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c r="CS195" s="577"/>
      <c r="CT195" s="577"/>
    </row>
    <row r="196" spans="2:98" s="15" customFormat="1" x14ac:dyDescent="0.2">
      <c r="B196" s="412"/>
      <c r="C196" s="412"/>
      <c r="D196" s="412"/>
      <c r="E196" s="412"/>
      <c r="F196" s="412"/>
      <c r="G196" s="412"/>
      <c r="H196" s="412"/>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575"/>
      <c r="AG196" s="575"/>
      <c r="AH196" s="575"/>
      <c r="AI196" s="575"/>
      <c r="AJ196" s="575"/>
      <c r="AK196" s="575"/>
      <c r="AL196" s="575"/>
      <c r="AM196" s="575"/>
      <c r="AN196" s="575"/>
      <c r="AO196" s="575"/>
      <c r="AP196" s="575"/>
      <c r="AQ196" s="576"/>
      <c r="AR196" s="576"/>
      <c r="AS196" s="576"/>
      <c r="AT196" s="576"/>
      <c r="AU196" s="576"/>
      <c r="AV196" s="576"/>
      <c r="AW196" s="576"/>
      <c r="AX196" s="576"/>
      <c r="AY196" s="576"/>
      <c r="AZ196" s="576"/>
      <c r="BA196" s="576"/>
      <c r="BB196" s="576"/>
      <c r="BC196" s="576"/>
      <c r="BD196" s="576"/>
      <c r="BE196" s="576"/>
      <c r="BF196" s="576"/>
      <c r="BG196" s="576"/>
      <c r="BH196" s="576"/>
      <c r="BI196" s="576"/>
      <c r="BJ196" s="576"/>
      <c r="BK196" s="576"/>
      <c r="BL196" s="576"/>
      <c r="BM196" s="576"/>
      <c r="BN196" s="576"/>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c r="CS196" s="577"/>
      <c r="CT196" s="577"/>
    </row>
    <row r="197" spans="2:98" s="15" customFormat="1" x14ac:dyDescent="0.2">
      <c r="B197" s="412"/>
      <c r="C197" s="412"/>
      <c r="D197" s="412"/>
      <c r="E197" s="412"/>
      <c r="F197" s="412"/>
      <c r="G197" s="412"/>
      <c r="H197" s="412"/>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575"/>
      <c r="AG197" s="575"/>
      <c r="AH197" s="575"/>
      <c r="AI197" s="575"/>
      <c r="AJ197" s="575"/>
      <c r="AK197" s="575"/>
      <c r="AL197" s="575"/>
      <c r="AM197" s="575"/>
      <c r="AN197" s="575"/>
      <c r="AO197" s="575"/>
      <c r="AP197" s="575"/>
      <c r="AQ197" s="576"/>
      <c r="AR197" s="576"/>
      <c r="AS197" s="576"/>
      <c r="AT197" s="576"/>
      <c r="AU197" s="576"/>
      <c r="AV197" s="576"/>
      <c r="AW197" s="576"/>
      <c r="AX197" s="576"/>
      <c r="AY197" s="576"/>
      <c r="AZ197" s="576"/>
      <c r="BA197" s="576"/>
      <c r="BB197" s="576"/>
      <c r="BC197" s="576"/>
      <c r="BD197" s="576"/>
      <c r="BE197" s="576"/>
      <c r="BF197" s="576"/>
      <c r="BG197" s="576"/>
      <c r="BH197" s="576"/>
      <c r="BI197" s="576"/>
      <c r="BJ197" s="576"/>
      <c r="BK197" s="576"/>
      <c r="BL197" s="576"/>
      <c r="BM197" s="576"/>
      <c r="BN197" s="576"/>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c r="CS197" s="577"/>
      <c r="CT197" s="577"/>
    </row>
    <row r="198" spans="2:98" s="15" customFormat="1" x14ac:dyDescent="0.2">
      <c r="B198" s="412"/>
      <c r="C198" s="412"/>
      <c r="D198" s="412"/>
      <c r="E198" s="412"/>
      <c r="F198" s="412"/>
      <c r="G198" s="412"/>
      <c r="H198" s="412"/>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575"/>
      <c r="AG198" s="575"/>
      <c r="AH198" s="575"/>
      <c r="AI198" s="575"/>
      <c r="AJ198" s="575"/>
      <c r="AK198" s="575"/>
      <c r="AL198" s="575"/>
      <c r="AM198" s="575"/>
      <c r="AN198" s="575"/>
      <c r="AO198" s="575"/>
      <c r="AP198" s="575"/>
      <c r="AQ198" s="576"/>
      <c r="AR198" s="576"/>
      <c r="AS198" s="576"/>
      <c r="AT198" s="576"/>
      <c r="AU198" s="576"/>
      <c r="AV198" s="576"/>
      <c r="AW198" s="576"/>
      <c r="AX198" s="576"/>
      <c r="AY198" s="576"/>
      <c r="AZ198" s="576"/>
      <c r="BA198" s="576"/>
      <c r="BB198" s="576"/>
      <c r="BC198" s="576"/>
      <c r="BD198" s="576"/>
      <c r="BE198" s="576"/>
      <c r="BF198" s="576"/>
      <c r="BG198" s="576"/>
      <c r="BH198" s="576"/>
      <c r="BI198" s="576"/>
      <c r="BJ198" s="576"/>
      <c r="BK198" s="576"/>
      <c r="BL198" s="576"/>
      <c r="BM198" s="576"/>
      <c r="BN198" s="576"/>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c r="CS198" s="577"/>
      <c r="CT198" s="577"/>
    </row>
    <row r="199" spans="2:98" s="15" customFormat="1" x14ac:dyDescent="0.2">
      <c r="B199" s="412"/>
      <c r="C199" s="412"/>
      <c r="D199" s="412"/>
      <c r="E199" s="412"/>
      <c r="F199" s="412"/>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575"/>
      <c r="AG199" s="575"/>
      <c r="AH199" s="575"/>
      <c r="AI199" s="575"/>
      <c r="AJ199" s="575"/>
      <c r="AK199" s="575"/>
      <c r="AL199" s="575"/>
      <c r="AM199" s="575"/>
      <c r="AN199" s="575"/>
      <c r="AO199" s="575"/>
      <c r="AP199" s="575"/>
      <c r="AQ199" s="576"/>
      <c r="AR199" s="576"/>
      <c r="AS199" s="576"/>
      <c r="AT199" s="576"/>
      <c r="AU199" s="576"/>
      <c r="AV199" s="576"/>
      <c r="AW199" s="576"/>
      <c r="AX199" s="576"/>
      <c r="AY199" s="576"/>
      <c r="AZ199" s="576"/>
      <c r="BA199" s="576"/>
      <c r="BB199" s="576"/>
      <c r="BC199" s="576"/>
      <c r="BD199" s="576"/>
      <c r="BE199" s="576"/>
      <c r="BF199" s="576"/>
      <c r="BG199" s="576"/>
      <c r="BH199" s="576"/>
      <c r="BI199" s="576"/>
      <c r="BJ199" s="576"/>
      <c r="BK199" s="576"/>
      <c r="BL199" s="576"/>
      <c r="BM199" s="576"/>
      <c r="BN199" s="576"/>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c r="CS199" s="577"/>
      <c r="CT199" s="577"/>
    </row>
    <row r="200" spans="2:98" s="15" customFormat="1" x14ac:dyDescent="0.2">
      <c r="B200" s="412"/>
      <c r="C200" s="412"/>
      <c r="D200" s="412"/>
      <c r="E200" s="412"/>
      <c r="F200" s="412"/>
      <c r="G200" s="412"/>
      <c r="H200" s="412"/>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575"/>
      <c r="AG200" s="575"/>
      <c r="AH200" s="575"/>
      <c r="AI200" s="575"/>
      <c r="AJ200" s="575"/>
      <c r="AK200" s="575"/>
      <c r="AL200" s="575"/>
      <c r="AM200" s="575"/>
      <c r="AN200" s="575"/>
      <c r="AO200" s="575"/>
      <c r="AP200" s="575"/>
      <c r="AQ200" s="576"/>
      <c r="AR200" s="576"/>
      <c r="AS200" s="576"/>
      <c r="AT200" s="576"/>
      <c r="AU200" s="576"/>
      <c r="AV200" s="576"/>
      <c r="AW200" s="576"/>
      <c r="AX200" s="576"/>
      <c r="AY200" s="576"/>
      <c r="AZ200" s="576"/>
      <c r="BA200" s="576"/>
      <c r="BB200" s="576"/>
      <c r="BC200" s="576"/>
      <c r="BD200" s="576"/>
      <c r="BE200" s="576"/>
      <c r="BF200" s="576"/>
      <c r="BG200" s="576"/>
      <c r="BH200" s="576"/>
      <c r="BI200" s="576"/>
      <c r="BJ200" s="576"/>
      <c r="BK200" s="576"/>
      <c r="BL200" s="576"/>
      <c r="BM200" s="576"/>
      <c r="BN200" s="576"/>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c r="CS200" s="577"/>
      <c r="CT200" s="577"/>
    </row>
    <row r="201" spans="2:98" s="15" customFormat="1" x14ac:dyDescent="0.2">
      <c r="B201" s="412"/>
      <c r="C201" s="412"/>
      <c r="D201" s="412"/>
      <c r="E201" s="412"/>
      <c r="F201" s="412"/>
      <c r="G201" s="412"/>
      <c r="H201" s="412"/>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575"/>
      <c r="AG201" s="575"/>
      <c r="AH201" s="575"/>
      <c r="AI201" s="575"/>
      <c r="AJ201" s="575"/>
      <c r="AK201" s="575"/>
      <c r="AL201" s="575"/>
      <c r="AM201" s="575"/>
      <c r="AN201" s="575"/>
      <c r="AO201" s="575"/>
      <c r="AP201" s="575"/>
      <c r="AQ201" s="576"/>
      <c r="AR201" s="576"/>
      <c r="AS201" s="576"/>
      <c r="AT201" s="576"/>
      <c r="AU201" s="576"/>
      <c r="AV201" s="576"/>
      <c r="AW201" s="576"/>
      <c r="AX201" s="576"/>
      <c r="AY201" s="576"/>
      <c r="AZ201" s="576"/>
      <c r="BA201" s="576"/>
      <c r="BB201" s="576"/>
      <c r="BC201" s="576"/>
      <c r="BD201" s="576"/>
      <c r="BE201" s="576"/>
      <c r="BF201" s="576"/>
      <c r="BG201" s="576"/>
      <c r="BH201" s="576"/>
      <c r="BI201" s="576"/>
      <c r="BJ201" s="576"/>
      <c r="BK201" s="576"/>
      <c r="BL201" s="576"/>
      <c r="BM201" s="576"/>
      <c r="BN201" s="576"/>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c r="CS201" s="577"/>
      <c r="CT201" s="577"/>
    </row>
    <row r="202" spans="2:98" s="15" customFormat="1" x14ac:dyDescent="0.2">
      <c r="B202" s="412"/>
      <c r="C202" s="412"/>
      <c r="D202" s="412"/>
      <c r="E202" s="412"/>
      <c r="F202" s="412"/>
      <c r="G202" s="412"/>
      <c r="H202" s="412"/>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575"/>
      <c r="AG202" s="575"/>
      <c r="AH202" s="575"/>
      <c r="AI202" s="575"/>
      <c r="AJ202" s="575"/>
      <c r="AK202" s="575"/>
      <c r="AL202" s="575"/>
      <c r="AM202" s="575"/>
      <c r="AN202" s="575"/>
      <c r="AO202" s="575"/>
      <c r="AP202" s="575"/>
      <c r="AQ202" s="576"/>
      <c r="AR202" s="576"/>
      <c r="AS202" s="576"/>
      <c r="AT202" s="576"/>
      <c r="AU202" s="576"/>
      <c r="AV202" s="576"/>
      <c r="AW202" s="576"/>
      <c r="AX202" s="576"/>
      <c r="AY202" s="576"/>
      <c r="AZ202" s="576"/>
      <c r="BA202" s="576"/>
      <c r="BB202" s="576"/>
      <c r="BC202" s="576"/>
      <c r="BD202" s="576"/>
      <c r="BE202" s="576"/>
      <c r="BF202" s="576"/>
      <c r="BG202" s="576"/>
      <c r="BH202" s="576"/>
      <c r="BI202" s="576"/>
      <c r="BJ202" s="576"/>
      <c r="BK202" s="576"/>
      <c r="BL202" s="576"/>
      <c r="BM202" s="576"/>
      <c r="BN202" s="576"/>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c r="CS202" s="577"/>
      <c r="CT202" s="577"/>
    </row>
    <row r="203" spans="2:98" s="15" customFormat="1" x14ac:dyDescent="0.2">
      <c r="B203" s="412"/>
      <c r="C203" s="412"/>
      <c r="D203" s="412"/>
      <c r="E203" s="412"/>
      <c r="F203" s="412"/>
      <c r="G203" s="412"/>
      <c r="H203" s="412"/>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575"/>
      <c r="AG203" s="575"/>
      <c r="AH203" s="575"/>
      <c r="AI203" s="575"/>
      <c r="AJ203" s="575"/>
      <c r="AK203" s="575"/>
      <c r="AL203" s="575"/>
      <c r="AM203" s="575"/>
      <c r="AN203" s="575"/>
      <c r="AO203" s="575"/>
      <c r="AP203" s="575"/>
      <c r="AQ203" s="576"/>
      <c r="AR203" s="576"/>
      <c r="AS203" s="576"/>
      <c r="AT203" s="576"/>
      <c r="AU203" s="576"/>
      <c r="AV203" s="576"/>
      <c r="AW203" s="576"/>
      <c r="AX203" s="576"/>
      <c r="AY203" s="576"/>
      <c r="AZ203" s="576"/>
      <c r="BA203" s="576"/>
      <c r="BB203" s="576"/>
      <c r="BC203" s="576"/>
      <c r="BD203" s="576"/>
      <c r="BE203" s="576"/>
      <c r="BF203" s="576"/>
      <c r="BG203" s="576"/>
      <c r="BH203" s="576"/>
      <c r="BI203" s="576"/>
      <c r="BJ203" s="576"/>
      <c r="BK203" s="576"/>
      <c r="BL203" s="576"/>
      <c r="BM203" s="576"/>
      <c r="BN203" s="576"/>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c r="CS203" s="577"/>
      <c r="CT203" s="577"/>
    </row>
    <row r="204" spans="2:98" s="15" customFormat="1" x14ac:dyDescent="0.2">
      <c r="B204" s="412"/>
      <c r="C204" s="412"/>
      <c r="D204" s="412"/>
      <c r="E204" s="412"/>
      <c r="F204" s="412"/>
      <c r="G204" s="412"/>
      <c r="H204" s="412"/>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575"/>
      <c r="AG204" s="575"/>
      <c r="AH204" s="575"/>
      <c r="AI204" s="575"/>
      <c r="AJ204" s="575"/>
      <c r="AK204" s="575"/>
      <c r="AL204" s="575"/>
      <c r="AM204" s="575"/>
      <c r="AN204" s="575"/>
      <c r="AO204" s="575"/>
      <c r="AP204" s="575"/>
      <c r="AQ204" s="576"/>
      <c r="AR204" s="576"/>
      <c r="AS204" s="576"/>
      <c r="AT204" s="576"/>
      <c r="AU204" s="576"/>
      <c r="AV204" s="576"/>
      <c r="AW204" s="576"/>
      <c r="AX204" s="576"/>
      <c r="AY204" s="576"/>
      <c r="AZ204" s="576"/>
      <c r="BA204" s="576"/>
      <c r="BB204" s="576"/>
      <c r="BC204" s="576"/>
      <c r="BD204" s="576"/>
      <c r="BE204" s="576"/>
      <c r="BF204" s="576"/>
      <c r="BG204" s="576"/>
      <c r="BH204" s="576"/>
      <c r="BI204" s="576"/>
      <c r="BJ204" s="576"/>
      <c r="BK204" s="576"/>
      <c r="BL204" s="576"/>
      <c r="BM204" s="576"/>
      <c r="BN204" s="576"/>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c r="CS204" s="577"/>
      <c r="CT204" s="577"/>
    </row>
    <row r="205" spans="2:98" s="15" customFormat="1" x14ac:dyDescent="0.2">
      <c r="B205" s="412"/>
      <c r="C205" s="412"/>
      <c r="D205" s="412"/>
      <c r="E205" s="412"/>
      <c r="F205" s="412"/>
      <c r="G205" s="412"/>
      <c r="H205" s="412"/>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575"/>
      <c r="AG205" s="575"/>
      <c r="AH205" s="575"/>
      <c r="AI205" s="575"/>
      <c r="AJ205" s="575"/>
      <c r="AK205" s="575"/>
      <c r="AL205" s="575"/>
      <c r="AM205" s="575"/>
      <c r="AN205" s="575"/>
      <c r="AO205" s="575"/>
      <c r="AP205" s="575"/>
      <c r="AQ205" s="576"/>
      <c r="AR205" s="576"/>
      <c r="AS205" s="576"/>
      <c r="AT205" s="576"/>
      <c r="AU205" s="576"/>
      <c r="AV205" s="576"/>
      <c r="AW205" s="576"/>
      <c r="AX205" s="576"/>
      <c r="AY205" s="576"/>
      <c r="AZ205" s="576"/>
      <c r="BA205" s="576"/>
      <c r="BB205" s="576"/>
      <c r="BC205" s="576"/>
      <c r="BD205" s="576"/>
      <c r="BE205" s="576"/>
      <c r="BF205" s="576"/>
      <c r="BG205" s="576"/>
      <c r="BH205" s="576"/>
      <c r="BI205" s="576"/>
      <c r="BJ205" s="576"/>
      <c r="BK205" s="576"/>
      <c r="BL205" s="576"/>
      <c r="BM205" s="576"/>
      <c r="BN205" s="576"/>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c r="CS205" s="577"/>
      <c r="CT205" s="577"/>
    </row>
    <row r="206" spans="2:98" s="15" customFormat="1" x14ac:dyDescent="0.2">
      <c r="B206" s="412"/>
      <c r="C206" s="412"/>
      <c r="D206" s="412"/>
      <c r="E206" s="412"/>
      <c r="F206" s="412"/>
      <c r="G206" s="412"/>
      <c r="H206" s="412"/>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575"/>
      <c r="AG206" s="575"/>
      <c r="AH206" s="575"/>
      <c r="AI206" s="575"/>
      <c r="AJ206" s="575"/>
      <c r="AK206" s="575"/>
      <c r="AL206" s="575"/>
      <c r="AM206" s="575"/>
      <c r="AN206" s="575"/>
      <c r="AO206" s="575"/>
      <c r="AP206" s="575"/>
      <c r="AQ206" s="576"/>
      <c r="AR206" s="576"/>
      <c r="AS206" s="576"/>
      <c r="AT206" s="576"/>
      <c r="AU206" s="576"/>
      <c r="AV206" s="576"/>
      <c r="AW206" s="576"/>
      <c r="AX206" s="576"/>
      <c r="AY206" s="576"/>
      <c r="AZ206" s="576"/>
      <c r="BA206" s="576"/>
      <c r="BB206" s="576"/>
      <c r="BC206" s="576"/>
      <c r="BD206" s="576"/>
      <c r="BE206" s="576"/>
      <c r="BF206" s="576"/>
      <c r="BG206" s="576"/>
      <c r="BH206" s="576"/>
      <c r="BI206" s="576"/>
      <c r="BJ206" s="576"/>
      <c r="BK206" s="576"/>
      <c r="BL206" s="576"/>
      <c r="BM206" s="576"/>
      <c r="BN206" s="576"/>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c r="CS206" s="577"/>
      <c r="CT206" s="577"/>
    </row>
    <row r="207" spans="2:98" s="15" customFormat="1" x14ac:dyDescent="0.2">
      <c r="B207" s="412"/>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575"/>
      <c r="AG207" s="575"/>
      <c r="AH207" s="575"/>
      <c r="AI207" s="575"/>
      <c r="AJ207" s="575"/>
      <c r="AK207" s="575"/>
      <c r="AL207" s="575"/>
      <c r="AM207" s="575"/>
      <c r="AN207" s="575"/>
      <c r="AO207" s="575"/>
      <c r="AP207" s="575"/>
      <c r="AQ207" s="576"/>
      <c r="AR207" s="576"/>
      <c r="AS207" s="576"/>
      <c r="AT207" s="576"/>
      <c r="AU207" s="576"/>
      <c r="AV207" s="576"/>
      <c r="AW207" s="576"/>
      <c r="AX207" s="576"/>
      <c r="AY207" s="576"/>
      <c r="AZ207" s="576"/>
      <c r="BA207" s="576"/>
      <c r="BB207" s="576"/>
      <c r="BC207" s="576"/>
      <c r="BD207" s="576"/>
      <c r="BE207" s="576"/>
      <c r="BF207" s="576"/>
      <c r="BG207" s="576"/>
      <c r="BH207" s="576"/>
      <c r="BI207" s="576"/>
      <c r="BJ207" s="576"/>
      <c r="BK207" s="576"/>
      <c r="BL207" s="576"/>
      <c r="BM207" s="576"/>
      <c r="BN207" s="576"/>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c r="CS207" s="577"/>
      <c r="CT207" s="577"/>
    </row>
    <row r="208" spans="2:98" s="15" customFormat="1" x14ac:dyDescent="0.2">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578"/>
      <c r="AG208" s="578"/>
      <c r="AH208" s="578"/>
      <c r="AI208" s="578"/>
      <c r="AJ208" s="578"/>
      <c r="AK208" s="578"/>
      <c r="AL208" s="578"/>
      <c r="AM208" s="578"/>
      <c r="AN208" s="578"/>
      <c r="AO208" s="578"/>
      <c r="AP208" s="578"/>
      <c r="AQ208" s="579"/>
      <c r="AR208" s="579"/>
      <c r="AS208" s="579"/>
      <c r="AT208" s="579"/>
      <c r="AU208" s="579"/>
      <c r="AV208" s="579"/>
      <c r="AW208" s="579"/>
      <c r="AX208" s="579"/>
      <c r="AY208" s="579"/>
      <c r="AZ208" s="579"/>
      <c r="BA208" s="579"/>
      <c r="BB208" s="579"/>
      <c r="BC208" s="579"/>
      <c r="BD208" s="579"/>
      <c r="BE208" s="579"/>
      <c r="BF208" s="579"/>
      <c r="BG208" s="579"/>
      <c r="BH208" s="579"/>
      <c r="BI208" s="576"/>
      <c r="BJ208" s="576"/>
      <c r="BK208" s="576"/>
      <c r="BL208" s="576"/>
      <c r="BM208" s="576"/>
      <c r="BN208" s="576"/>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7"/>
      <c r="CP208" s="577"/>
      <c r="CQ208" s="577"/>
      <c r="CR208" s="577"/>
      <c r="CS208" s="577"/>
      <c r="CT208" s="577"/>
    </row>
    <row r="209" spans="32:98" s="15" customFormat="1" x14ac:dyDescent="0.2">
      <c r="AF209" s="580"/>
      <c r="AG209" s="580"/>
      <c r="AH209" s="580"/>
      <c r="AI209" s="580"/>
      <c r="AJ209" s="580"/>
      <c r="AK209" s="580"/>
      <c r="AL209" s="580"/>
      <c r="AM209" s="580"/>
      <c r="AN209" s="580"/>
      <c r="AO209" s="580"/>
      <c r="AP209" s="580"/>
      <c r="AQ209" s="577"/>
      <c r="AR209" s="577"/>
      <c r="AS209" s="577"/>
      <c r="AT209" s="577"/>
      <c r="AU209" s="577"/>
      <c r="AV209" s="577"/>
      <c r="AW209" s="577"/>
      <c r="AX209" s="577"/>
      <c r="AY209" s="577"/>
      <c r="AZ209" s="577"/>
      <c r="BA209" s="577"/>
      <c r="BB209" s="577"/>
      <c r="BC209" s="577"/>
      <c r="BD209" s="577"/>
      <c r="BE209" s="577"/>
      <c r="BF209" s="577"/>
      <c r="BG209" s="577"/>
      <c r="BH209" s="577"/>
      <c r="BI209" s="576"/>
      <c r="BJ209" s="576"/>
      <c r="BK209" s="576"/>
      <c r="BL209" s="576"/>
      <c r="BM209" s="576"/>
      <c r="BN209" s="576"/>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7"/>
      <c r="CP209" s="577"/>
      <c r="CQ209" s="577"/>
      <c r="CR209" s="577"/>
      <c r="CS209" s="577"/>
      <c r="CT209" s="577"/>
    </row>
    <row r="210" spans="32:98" x14ac:dyDescent="0.2">
      <c r="BI210" s="576"/>
      <c r="BJ210" s="576"/>
      <c r="BK210" s="576"/>
      <c r="BL210" s="576"/>
      <c r="BM210" s="576"/>
      <c r="BN210" s="576"/>
    </row>
    <row r="211" spans="32:98" x14ac:dyDescent="0.2">
      <c r="BI211" s="576"/>
      <c r="BJ211" s="576"/>
      <c r="BK211" s="576"/>
      <c r="BL211" s="576"/>
      <c r="BM211" s="576"/>
      <c r="BN211" s="576"/>
    </row>
    <row r="212" spans="32:98" x14ac:dyDescent="0.2">
      <c r="BI212" s="576"/>
      <c r="BJ212" s="576"/>
      <c r="BK212" s="576"/>
      <c r="BL212" s="576"/>
      <c r="BM212" s="576"/>
      <c r="BN212" s="576"/>
    </row>
    <row r="213" spans="32:98" x14ac:dyDescent="0.2">
      <c r="BI213" s="576"/>
      <c r="BJ213" s="576"/>
      <c r="BK213" s="576"/>
      <c r="BL213" s="576"/>
      <c r="BM213" s="576"/>
      <c r="BN213" s="576"/>
    </row>
    <row r="214" spans="32:98" x14ac:dyDescent="0.2">
      <c r="BI214" s="576"/>
      <c r="BJ214" s="576"/>
      <c r="BK214" s="576"/>
      <c r="BL214" s="576"/>
      <c r="BM214" s="576"/>
      <c r="BN214" s="576"/>
    </row>
    <row r="215" spans="32:98" x14ac:dyDescent="0.2">
      <c r="BI215" s="576"/>
      <c r="BJ215" s="576"/>
      <c r="BK215" s="576"/>
      <c r="BL215" s="576"/>
      <c r="BM215" s="576"/>
      <c r="BN215" s="576"/>
    </row>
    <row r="216" spans="32:98" x14ac:dyDescent="0.2">
      <c r="BI216" s="576"/>
      <c r="BJ216" s="576"/>
      <c r="BK216" s="576"/>
      <c r="BL216" s="576"/>
      <c r="BM216" s="576"/>
      <c r="BN216" s="576"/>
    </row>
    <row r="217" spans="32:98" x14ac:dyDescent="0.2">
      <c r="BI217" s="576"/>
      <c r="BJ217" s="576"/>
      <c r="BK217" s="576"/>
      <c r="BL217" s="576"/>
      <c r="BM217" s="576"/>
      <c r="BN217" s="576"/>
    </row>
    <row r="218" spans="32:98" x14ac:dyDescent="0.2">
      <c r="BI218" s="576"/>
      <c r="BJ218" s="576"/>
      <c r="BK218" s="576"/>
      <c r="BL218" s="576"/>
      <c r="BM218" s="576"/>
      <c r="BN218" s="576"/>
    </row>
    <row r="219" spans="32:98" x14ac:dyDescent="0.2">
      <c r="BI219" s="576"/>
      <c r="BJ219" s="576"/>
      <c r="BK219" s="576"/>
      <c r="BL219" s="576"/>
      <c r="BM219" s="576"/>
      <c r="BN219" s="576"/>
    </row>
    <row r="220" spans="32:98" x14ac:dyDescent="0.2">
      <c r="BI220" s="576"/>
      <c r="BJ220" s="576"/>
      <c r="BK220" s="576"/>
      <c r="BL220" s="576"/>
      <c r="BM220" s="576"/>
      <c r="BN220" s="576"/>
    </row>
    <row r="221" spans="32:98" x14ac:dyDescent="0.2">
      <c r="BI221" s="576"/>
      <c r="BJ221" s="576"/>
      <c r="BK221" s="576"/>
      <c r="BL221" s="576"/>
      <c r="BM221" s="576"/>
      <c r="BN221" s="576"/>
    </row>
    <row r="222" spans="32:98" x14ac:dyDescent="0.2">
      <c r="BI222" s="576"/>
      <c r="BJ222" s="576"/>
      <c r="BK222" s="576"/>
      <c r="BL222" s="576"/>
      <c r="BM222" s="576"/>
      <c r="BN222" s="576"/>
    </row>
    <row r="223" spans="32:98" x14ac:dyDescent="0.2">
      <c r="BI223" s="576"/>
      <c r="BJ223" s="576"/>
      <c r="BK223" s="576"/>
      <c r="BL223" s="576"/>
      <c r="BM223" s="576"/>
      <c r="BN223" s="576"/>
    </row>
    <row r="224" spans="32:98" x14ac:dyDescent="0.2">
      <c r="BI224" s="576"/>
      <c r="BJ224" s="576"/>
      <c r="BK224" s="576"/>
      <c r="BL224" s="576"/>
      <c r="BM224" s="576"/>
      <c r="BN224" s="576"/>
    </row>
    <row r="225" spans="61:66" x14ac:dyDescent="0.2">
      <c r="BI225" s="576"/>
      <c r="BJ225" s="576"/>
      <c r="BK225" s="576"/>
      <c r="BL225" s="576"/>
      <c r="BM225" s="576"/>
      <c r="BN225" s="576"/>
    </row>
    <row r="226" spans="61:66" x14ac:dyDescent="0.2">
      <c r="BI226" s="576"/>
      <c r="BJ226" s="576"/>
      <c r="BK226" s="576"/>
      <c r="BL226" s="576"/>
      <c r="BM226" s="576"/>
      <c r="BN226" s="576"/>
    </row>
    <row r="227" spans="61:66" x14ac:dyDescent="0.2">
      <c r="BI227" s="576"/>
      <c r="BJ227" s="576"/>
      <c r="BK227" s="576"/>
      <c r="BL227" s="576"/>
      <c r="BM227" s="576"/>
      <c r="BN227" s="576"/>
    </row>
    <row r="228" spans="61:66" x14ac:dyDescent="0.2">
      <c r="BI228" s="576"/>
      <c r="BJ228" s="576"/>
      <c r="BK228" s="576"/>
      <c r="BL228" s="576"/>
      <c r="BM228" s="576"/>
      <c r="BN228" s="576"/>
    </row>
    <row r="229" spans="61:66" x14ac:dyDescent="0.2">
      <c r="BI229" s="576"/>
      <c r="BJ229" s="576"/>
      <c r="BK229" s="576"/>
      <c r="BL229" s="576"/>
      <c r="BM229" s="576"/>
      <c r="BN229" s="576"/>
    </row>
    <row r="230" spans="61:66" x14ac:dyDescent="0.2">
      <c r="BI230" s="576"/>
      <c r="BJ230" s="576"/>
      <c r="BK230" s="576"/>
      <c r="BL230" s="576"/>
      <c r="BM230" s="576"/>
      <c r="BN230" s="576"/>
    </row>
    <row r="231" spans="61:66" x14ac:dyDescent="0.2">
      <c r="BI231" s="576"/>
      <c r="BJ231" s="576"/>
      <c r="BK231" s="576"/>
      <c r="BL231" s="576"/>
      <c r="BM231" s="576"/>
      <c r="BN231" s="576"/>
    </row>
    <row r="232" spans="61:66" x14ac:dyDescent="0.2">
      <c r="BI232" s="576"/>
      <c r="BJ232" s="576"/>
      <c r="BK232" s="576"/>
      <c r="BL232" s="576"/>
      <c r="BM232" s="576"/>
      <c r="BN232" s="576"/>
    </row>
    <row r="233" spans="61:66" x14ac:dyDescent="0.2">
      <c r="BI233" s="576"/>
      <c r="BJ233" s="576"/>
      <c r="BK233" s="576"/>
      <c r="BL233" s="576"/>
      <c r="BM233" s="576"/>
      <c r="BN233" s="576"/>
    </row>
    <row r="234" spans="61:66" x14ac:dyDescent="0.2">
      <c r="BI234" s="576"/>
      <c r="BJ234" s="576"/>
      <c r="BK234" s="576"/>
      <c r="BL234" s="576"/>
      <c r="BM234" s="576"/>
      <c r="BN234" s="576"/>
    </row>
    <row r="235" spans="61:66" x14ac:dyDescent="0.2">
      <c r="BI235" s="576"/>
      <c r="BJ235" s="576"/>
      <c r="BK235" s="576"/>
      <c r="BL235" s="576"/>
      <c r="BM235" s="576"/>
      <c r="BN235" s="576"/>
    </row>
    <row r="236" spans="61:66" x14ac:dyDescent="0.2">
      <c r="BI236" s="576"/>
      <c r="BJ236" s="576"/>
      <c r="BK236" s="576"/>
      <c r="BL236" s="576"/>
      <c r="BM236" s="576"/>
      <c r="BN236" s="576"/>
    </row>
    <row r="237" spans="61:66" x14ac:dyDescent="0.2">
      <c r="BI237" s="576"/>
      <c r="BJ237" s="576"/>
      <c r="BK237" s="576"/>
      <c r="BL237" s="576"/>
      <c r="BM237" s="576"/>
      <c r="BN237" s="576"/>
    </row>
    <row r="238" spans="61:66" x14ac:dyDescent="0.2">
      <c r="BI238" s="576"/>
      <c r="BJ238" s="576"/>
      <c r="BK238" s="576"/>
      <c r="BL238" s="576"/>
      <c r="BM238" s="576"/>
      <c r="BN238" s="576"/>
    </row>
    <row r="239" spans="61:66" x14ac:dyDescent="0.2">
      <c r="BI239" s="576"/>
      <c r="BJ239" s="576"/>
      <c r="BK239" s="576"/>
      <c r="BL239" s="576"/>
      <c r="BM239" s="576"/>
      <c r="BN239" s="576"/>
    </row>
    <row r="240" spans="61:66" x14ac:dyDescent="0.2">
      <c r="BI240" s="576"/>
      <c r="BJ240" s="576"/>
      <c r="BK240" s="576"/>
      <c r="BL240" s="576"/>
      <c r="BM240" s="576"/>
      <c r="BN240" s="576"/>
    </row>
    <row r="241" spans="61:66" x14ac:dyDescent="0.2">
      <c r="BI241" s="576"/>
      <c r="BJ241" s="576"/>
      <c r="BK241" s="576"/>
      <c r="BL241" s="576"/>
      <c r="BM241" s="576"/>
      <c r="BN241" s="576"/>
    </row>
    <row r="242" spans="61:66" x14ac:dyDescent="0.2">
      <c r="BI242" s="576"/>
      <c r="BJ242" s="576"/>
      <c r="BK242" s="576"/>
      <c r="BL242" s="576"/>
      <c r="BM242" s="576"/>
      <c r="BN242" s="576"/>
    </row>
    <row r="243" spans="61:66" x14ac:dyDescent="0.2">
      <c r="BI243" s="576"/>
      <c r="BJ243" s="576"/>
      <c r="BK243" s="576"/>
      <c r="BL243" s="576"/>
      <c r="BM243" s="576"/>
      <c r="BN243" s="576"/>
    </row>
    <row r="244" spans="61:66" x14ac:dyDescent="0.2">
      <c r="BI244" s="576"/>
      <c r="BJ244" s="576"/>
      <c r="BK244" s="576"/>
      <c r="BL244" s="576"/>
      <c r="BM244" s="576"/>
      <c r="BN244" s="576"/>
    </row>
    <row r="245" spans="61:66" x14ac:dyDescent="0.2">
      <c r="BI245" s="576"/>
      <c r="BJ245" s="576"/>
      <c r="BK245" s="576"/>
      <c r="BL245" s="576"/>
      <c r="BM245" s="576"/>
      <c r="BN245" s="576"/>
    </row>
    <row r="246" spans="61:66" x14ac:dyDescent="0.2">
      <c r="BI246" s="576"/>
      <c r="BJ246" s="576"/>
      <c r="BK246" s="576"/>
      <c r="BL246" s="576"/>
      <c r="BM246" s="576"/>
      <c r="BN246" s="576"/>
    </row>
    <row r="247" spans="61:66" x14ac:dyDescent="0.2">
      <c r="BI247" s="576"/>
      <c r="BJ247" s="576"/>
      <c r="BK247" s="576"/>
      <c r="BL247" s="576"/>
      <c r="BM247" s="576"/>
      <c r="BN247" s="576"/>
    </row>
    <row r="248" spans="61:66" x14ac:dyDescent="0.2">
      <c r="BI248" s="576"/>
      <c r="BJ248" s="576"/>
      <c r="BK248" s="576"/>
      <c r="BL248" s="576"/>
      <c r="BM248" s="576"/>
      <c r="BN248" s="576"/>
    </row>
    <row r="249" spans="61:66" x14ac:dyDescent="0.2">
      <c r="BI249" s="576"/>
      <c r="BJ249" s="576"/>
      <c r="BK249" s="576"/>
      <c r="BL249" s="576"/>
      <c r="BM249" s="576"/>
      <c r="BN249" s="576"/>
    </row>
    <row r="250" spans="61:66" x14ac:dyDescent="0.2">
      <c r="BI250" s="576"/>
      <c r="BJ250" s="576"/>
      <c r="BK250" s="576"/>
      <c r="BL250" s="576"/>
      <c r="BM250" s="576"/>
      <c r="BN250" s="576"/>
    </row>
    <row r="251" spans="61:66" x14ac:dyDescent="0.2">
      <c r="BI251" s="576"/>
      <c r="BJ251" s="576"/>
      <c r="BK251" s="576"/>
      <c r="BL251" s="576"/>
      <c r="BM251" s="576"/>
      <c r="BN251" s="576"/>
    </row>
    <row r="252" spans="61:66" x14ac:dyDescent="0.2">
      <c r="BI252" s="576"/>
      <c r="BJ252" s="576"/>
      <c r="BK252" s="576"/>
      <c r="BL252" s="576"/>
      <c r="BM252" s="576"/>
      <c r="BN252" s="576"/>
    </row>
    <row r="253" spans="61:66" x14ac:dyDescent="0.2">
      <c r="BI253" s="576"/>
      <c r="BJ253" s="576"/>
      <c r="BK253" s="576"/>
      <c r="BL253" s="576"/>
      <c r="BM253" s="576"/>
      <c r="BN253" s="576"/>
    </row>
    <row r="254" spans="61:66" x14ac:dyDescent="0.2">
      <c r="BI254" s="576"/>
      <c r="BJ254" s="576"/>
      <c r="BK254" s="576"/>
      <c r="BL254" s="576"/>
      <c r="BM254" s="576"/>
      <c r="BN254" s="576"/>
    </row>
    <row r="255" spans="61:66" x14ac:dyDescent="0.2">
      <c r="BI255" s="576"/>
      <c r="BJ255" s="576"/>
      <c r="BK255" s="576"/>
      <c r="BL255" s="576"/>
      <c r="BM255" s="576"/>
      <c r="BN255" s="576"/>
    </row>
    <row r="256" spans="61:66" x14ac:dyDescent="0.2">
      <c r="BI256" s="576"/>
      <c r="BJ256" s="576"/>
      <c r="BK256" s="576"/>
      <c r="BL256" s="576"/>
      <c r="BM256" s="576"/>
      <c r="BN256" s="576"/>
    </row>
    <row r="257" spans="61:66" x14ac:dyDescent="0.2">
      <c r="BI257" s="576"/>
      <c r="BJ257" s="576"/>
      <c r="BK257" s="576"/>
      <c r="BL257" s="576"/>
      <c r="BM257" s="576"/>
      <c r="BN257" s="576"/>
    </row>
    <row r="258" spans="61:66" x14ac:dyDescent="0.2">
      <c r="BI258" s="576"/>
      <c r="BJ258" s="576"/>
      <c r="BK258" s="576"/>
      <c r="BL258" s="576"/>
      <c r="BM258" s="576"/>
      <c r="BN258" s="576"/>
    </row>
    <row r="259" spans="61:66" x14ac:dyDescent="0.2">
      <c r="BI259" s="576"/>
      <c r="BJ259" s="576"/>
      <c r="BK259" s="576"/>
      <c r="BL259" s="576"/>
      <c r="BM259" s="576"/>
      <c r="BN259" s="576"/>
    </row>
    <row r="260" spans="61:66" x14ac:dyDescent="0.2">
      <c r="BI260" s="576"/>
      <c r="BJ260" s="576"/>
      <c r="BK260" s="576"/>
      <c r="BL260" s="576"/>
      <c r="BM260" s="576"/>
      <c r="BN260" s="576"/>
    </row>
    <row r="261" spans="61:66" x14ac:dyDescent="0.2">
      <c r="BI261" s="576"/>
      <c r="BJ261" s="576"/>
      <c r="BK261" s="576"/>
      <c r="BL261" s="576"/>
      <c r="BM261" s="576"/>
      <c r="BN261" s="576"/>
    </row>
    <row r="262" spans="61:66" x14ac:dyDescent="0.2">
      <c r="BI262" s="576"/>
      <c r="BJ262" s="576"/>
      <c r="BK262" s="576"/>
      <c r="BL262" s="576"/>
      <c r="BM262" s="576"/>
      <c r="BN262" s="576"/>
    </row>
    <row r="263" spans="61:66" x14ac:dyDescent="0.2">
      <c r="BI263" s="576"/>
      <c r="BJ263" s="576"/>
      <c r="BK263" s="576"/>
      <c r="BL263" s="576"/>
      <c r="BM263" s="576"/>
      <c r="BN263" s="576"/>
    </row>
    <row r="264" spans="61:66" x14ac:dyDescent="0.2">
      <c r="BI264" s="576"/>
      <c r="BJ264" s="576"/>
      <c r="BK264" s="576"/>
      <c r="BL264" s="576"/>
      <c r="BM264" s="576"/>
      <c r="BN264" s="576"/>
    </row>
    <row r="265" spans="61:66" x14ac:dyDescent="0.2">
      <c r="BI265" s="576"/>
      <c r="BJ265" s="576"/>
      <c r="BK265" s="576"/>
      <c r="BL265" s="576"/>
      <c r="BM265" s="576"/>
      <c r="BN265" s="576"/>
    </row>
    <row r="266" spans="61:66" x14ac:dyDescent="0.2">
      <c r="BI266" s="576"/>
      <c r="BJ266" s="576"/>
      <c r="BK266" s="576"/>
      <c r="BL266" s="576"/>
      <c r="BM266" s="576"/>
      <c r="BN266" s="576"/>
    </row>
    <row r="267" spans="61:66" x14ac:dyDescent="0.2">
      <c r="BI267" s="576"/>
      <c r="BJ267" s="576"/>
      <c r="BK267" s="576"/>
      <c r="BL267" s="576"/>
      <c r="BM267" s="576"/>
      <c r="BN267" s="576"/>
    </row>
    <row r="268" spans="61:66" x14ac:dyDescent="0.2">
      <c r="BI268" s="576"/>
      <c r="BJ268" s="576"/>
      <c r="BK268" s="576"/>
      <c r="BL268" s="576"/>
      <c r="BM268" s="576"/>
      <c r="BN268" s="576"/>
    </row>
    <row r="269" spans="61:66" x14ac:dyDescent="0.2">
      <c r="BI269" s="576"/>
      <c r="BJ269" s="576"/>
      <c r="BK269" s="576"/>
      <c r="BL269" s="576"/>
      <c r="BM269" s="576"/>
      <c r="BN269" s="576"/>
    </row>
    <row r="270" spans="61:66" x14ac:dyDescent="0.2">
      <c r="BI270" s="576"/>
      <c r="BJ270" s="576"/>
      <c r="BK270" s="576"/>
      <c r="BL270" s="576"/>
      <c r="BM270" s="576"/>
      <c r="BN270" s="576"/>
    </row>
    <row r="271" spans="61:66" x14ac:dyDescent="0.2">
      <c r="BI271" s="576"/>
      <c r="BJ271" s="576"/>
      <c r="BK271" s="576"/>
      <c r="BL271" s="576"/>
      <c r="BM271" s="576"/>
      <c r="BN271" s="576"/>
    </row>
    <row r="272" spans="61:66" x14ac:dyDescent="0.2">
      <c r="BI272" s="576"/>
      <c r="BJ272" s="576"/>
      <c r="BK272" s="576"/>
      <c r="BL272" s="576"/>
      <c r="BM272" s="576"/>
      <c r="BN272" s="576"/>
    </row>
    <row r="273" spans="61:66" x14ac:dyDescent="0.2">
      <c r="BI273" s="576"/>
      <c r="BJ273" s="576"/>
      <c r="BK273" s="576"/>
      <c r="BL273" s="576"/>
      <c r="BM273" s="576"/>
      <c r="BN273" s="576"/>
    </row>
    <row r="274" spans="61:66" x14ac:dyDescent="0.2">
      <c r="BI274" s="576"/>
      <c r="BJ274" s="576"/>
      <c r="BK274" s="576"/>
      <c r="BL274" s="576"/>
      <c r="BM274" s="576"/>
      <c r="BN274" s="576"/>
    </row>
    <row r="275" spans="61:66" x14ac:dyDescent="0.2">
      <c r="BI275" s="576"/>
      <c r="BJ275" s="576"/>
      <c r="BK275" s="576"/>
      <c r="BL275" s="576"/>
      <c r="BM275" s="576"/>
      <c r="BN275" s="576"/>
    </row>
    <row r="276" spans="61:66" x14ac:dyDescent="0.2">
      <c r="BI276" s="576"/>
      <c r="BJ276" s="576"/>
      <c r="BK276" s="576"/>
      <c r="BL276" s="576"/>
      <c r="BM276" s="576"/>
      <c r="BN276" s="576"/>
    </row>
    <row r="277" spans="61:66" x14ac:dyDescent="0.2">
      <c r="BI277" s="576"/>
      <c r="BJ277" s="576"/>
      <c r="BK277" s="576"/>
      <c r="BL277" s="576"/>
      <c r="BM277" s="576"/>
      <c r="BN277" s="576"/>
    </row>
    <row r="278" spans="61:66" x14ac:dyDescent="0.2">
      <c r="BI278" s="576"/>
      <c r="BJ278" s="576"/>
      <c r="BK278" s="576"/>
      <c r="BL278" s="576"/>
      <c r="BM278" s="576"/>
      <c r="BN278" s="576"/>
    </row>
    <row r="279" spans="61:66" x14ac:dyDescent="0.2">
      <c r="BI279" s="576"/>
      <c r="BJ279" s="576"/>
      <c r="BK279" s="576"/>
      <c r="BL279" s="576"/>
      <c r="BM279" s="576"/>
      <c r="BN279" s="576"/>
    </row>
    <row r="280" spans="61:66" x14ac:dyDescent="0.2">
      <c r="BI280" s="576"/>
      <c r="BJ280" s="576"/>
      <c r="BK280" s="576"/>
      <c r="BL280" s="576"/>
      <c r="BM280" s="576"/>
      <c r="BN280" s="576"/>
    </row>
    <row r="281" spans="61:66" x14ac:dyDescent="0.2">
      <c r="BI281" s="576"/>
      <c r="BJ281" s="576"/>
      <c r="BK281" s="576"/>
      <c r="BL281" s="576"/>
      <c r="BM281" s="576"/>
      <c r="BN281" s="576"/>
    </row>
    <row r="282" spans="61:66" x14ac:dyDescent="0.2">
      <c r="BI282" s="576"/>
      <c r="BJ282" s="576"/>
      <c r="BK282" s="576"/>
      <c r="BL282" s="576"/>
      <c r="BM282" s="576"/>
      <c r="BN282" s="576"/>
    </row>
    <row r="283" spans="61:66" x14ac:dyDescent="0.2">
      <c r="BI283" s="576"/>
      <c r="BJ283" s="576"/>
      <c r="BK283" s="576"/>
      <c r="BL283" s="576"/>
      <c r="BM283" s="576"/>
      <c r="BN283" s="576"/>
    </row>
    <row r="284" spans="61:66" x14ac:dyDescent="0.2">
      <c r="BI284" s="576"/>
      <c r="BJ284" s="576"/>
      <c r="BK284" s="576"/>
      <c r="BL284" s="576"/>
      <c r="BM284" s="576"/>
      <c r="BN284" s="576"/>
    </row>
    <row r="285" spans="61:66" x14ac:dyDescent="0.2">
      <c r="BI285" s="576"/>
      <c r="BJ285" s="576"/>
      <c r="BK285" s="576"/>
      <c r="BL285" s="576"/>
      <c r="BM285" s="576"/>
      <c r="BN285" s="576"/>
    </row>
    <row r="286" spans="61:66" x14ac:dyDescent="0.2">
      <c r="BI286" s="576"/>
      <c r="BJ286" s="576"/>
      <c r="BK286" s="576"/>
      <c r="BL286" s="576"/>
      <c r="BM286" s="576"/>
      <c r="BN286" s="576"/>
    </row>
    <row r="287" spans="61:66" x14ac:dyDescent="0.2">
      <c r="BI287" s="576"/>
      <c r="BJ287" s="576"/>
      <c r="BK287" s="576"/>
      <c r="BL287" s="576"/>
      <c r="BM287" s="576"/>
      <c r="BN287" s="576"/>
    </row>
    <row r="288" spans="61:66" x14ac:dyDescent="0.2">
      <c r="BI288" s="576"/>
      <c r="BJ288" s="576"/>
      <c r="BK288" s="576"/>
      <c r="BL288" s="576"/>
      <c r="BM288" s="576"/>
      <c r="BN288" s="576"/>
    </row>
    <row r="289" spans="61:66" x14ac:dyDescent="0.2">
      <c r="BI289" s="576"/>
      <c r="BJ289" s="576"/>
      <c r="BK289" s="576"/>
      <c r="BL289" s="576"/>
      <c r="BM289" s="576"/>
      <c r="BN289" s="576"/>
    </row>
    <row r="290" spans="61:66" x14ac:dyDescent="0.2">
      <c r="BI290" s="576"/>
      <c r="BJ290" s="576"/>
      <c r="BK290" s="576"/>
      <c r="BL290" s="576"/>
      <c r="BM290" s="576"/>
      <c r="BN290" s="576"/>
    </row>
    <row r="291" spans="61:66" x14ac:dyDescent="0.2">
      <c r="BI291" s="576"/>
      <c r="BJ291" s="576"/>
      <c r="BK291" s="576"/>
      <c r="BL291" s="576"/>
      <c r="BM291" s="576"/>
      <c r="BN291" s="576"/>
    </row>
    <row r="292" spans="61:66" x14ac:dyDescent="0.2">
      <c r="BI292" s="576"/>
      <c r="BJ292" s="576"/>
      <c r="BK292" s="576"/>
      <c r="BL292" s="576"/>
      <c r="BM292" s="576"/>
      <c r="BN292" s="576"/>
    </row>
    <row r="293" spans="61:66" x14ac:dyDescent="0.2">
      <c r="BI293" s="576"/>
      <c r="BJ293" s="576"/>
      <c r="BK293" s="576"/>
      <c r="BL293" s="576"/>
      <c r="BM293" s="576"/>
      <c r="BN293" s="576"/>
    </row>
    <row r="294" spans="61:66" x14ac:dyDescent="0.2">
      <c r="BI294" s="576"/>
      <c r="BJ294" s="576"/>
      <c r="BK294" s="576"/>
      <c r="BL294" s="576"/>
      <c r="BM294" s="576"/>
      <c r="BN294" s="576"/>
    </row>
    <row r="295" spans="61:66" x14ac:dyDescent="0.2">
      <c r="BI295" s="576"/>
      <c r="BJ295" s="576"/>
      <c r="BK295" s="576"/>
      <c r="BL295" s="576"/>
      <c r="BM295" s="576"/>
      <c r="BN295" s="576"/>
    </row>
    <row r="296" spans="61:66" x14ac:dyDescent="0.2">
      <c r="BI296" s="576"/>
      <c r="BJ296" s="576"/>
      <c r="BK296" s="576"/>
      <c r="BL296" s="576"/>
      <c r="BM296" s="576"/>
      <c r="BN296" s="576"/>
    </row>
    <row r="297" spans="61:66" x14ac:dyDescent="0.2">
      <c r="BI297" s="576"/>
      <c r="BJ297" s="576"/>
      <c r="BK297" s="576"/>
      <c r="BL297" s="576"/>
      <c r="BM297" s="576"/>
      <c r="BN297" s="576"/>
    </row>
    <row r="298" spans="61:66" x14ac:dyDescent="0.2">
      <c r="BI298" s="576"/>
      <c r="BJ298" s="576"/>
      <c r="BK298" s="576"/>
      <c r="BL298" s="576"/>
      <c r="BM298" s="576"/>
      <c r="BN298" s="576"/>
    </row>
    <row r="299" spans="61:66" x14ac:dyDescent="0.2">
      <c r="BI299" s="576"/>
      <c r="BJ299" s="576"/>
      <c r="BK299" s="576"/>
      <c r="BL299" s="576"/>
      <c r="BM299" s="576"/>
      <c r="BN299" s="576"/>
    </row>
    <row r="300" spans="61:66" x14ac:dyDescent="0.2">
      <c r="BI300" s="576"/>
      <c r="BJ300" s="576"/>
      <c r="BK300" s="576"/>
      <c r="BL300" s="576"/>
      <c r="BM300" s="576"/>
      <c r="BN300" s="576"/>
    </row>
    <row r="301" spans="61:66" x14ac:dyDescent="0.2">
      <c r="BI301" s="576"/>
      <c r="BJ301" s="576"/>
      <c r="BK301" s="576"/>
      <c r="BL301" s="576"/>
      <c r="BM301" s="576"/>
      <c r="BN301" s="576"/>
    </row>
    <row r="302" spans="61:66" x14ac:dyDescent="0.2">
      <c r="BI302" s="576"/>
      <c r="BJ302" s="576"/>
      <c r="BK302" s="576"/>
      <c r="BL302" s="576"/>
      <c r="BM302" s="576"/>
      <c r="BN302" s="576"/>
    </row>
  </sheetData>
  <sheetProtection sheet="1" objects="1" scenarios="1"/>
  <mergeCells count="10">
    <mergeCell ref="E33:F33"/>
    <mergeCell ref="G33:I33"/>
    <mergeCell ref="E28:F28"/>
    <mergeCell ref="I4:T4"/>
    <mergeCell ref="E4:G4"/>
    <mergeCell ref="D2:X2"/>
    <mergeCell ref="V4:W4"/>
    <mergeCell ref="E23:F23"/>
    <mergeCell ref="E31:F31"/>
    <mergeCell ref="G31:I31"/>
  </mergeCells>
  <phoneticPr fontId="2" type="noConversion"/>
  <dataValidations count="1">
    <dataValidation type="list" allowBlank="1" showInputMessage="1" showErrorMessage="1" sqref="F24:F26 F12:F21 F6:F9">
      <formula1>departamento</formula1>
    </dataValidation>
  </dataValidations>
  <printOptions horizontalCentered="1" verticalCentered="1"/>
  <pageMargins left="0.78740157480314965" right="0.78740157480314965" top="0.98425196850393704" bottom="0.98425196850393704" header="0" footer="0"/>
  <pageSetup paperSize="9" scale="95" orientation="landscape" horizontalDpi="4294967292"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C1:BR376"/>
  <sheetViews>
    <sheetView showGridLines="0" showRowColHeaders="0" showOutlineSymbols="0" zoomScaleNormal="100" workbookViewId="0">
      <pane xSplit="87" ySplit="152" topLeftCell="CJ153" activePane="bottomRight" state="frozen"/>
      <selection pane="topRight" activeCell="CI1" sqref="CI1"/>
      <selection pane="bottomLeft" activeCell="A154" sqref="A154"/>
      <selection pane="bottomRight"/>
    </sheetView>
  </sheetViews>
  <sheetFormatPr baseColWidth="10" defaultRowHeight="12.75" x14ac:dyDescent="0.2"/>
  <cols>
    <col min="1" max="1" width="0" hidden="1" customWidth="1"/>
    <col min="2" max="2" width="4.28515625" customWidth="1"/>
    <col min="3" max="3" width="4.140625" style="15" customWidth="1"/>
    <col min="4" max="4" width="0.85546875" customWidth="1"/>
    <col min="5" max="5" width="15.7109375" customWidth="1"/>
    <col min="6" max="6" width="10.28515625" customWidth="1"/>
    <col min="7" max="18" width="8" customWidth="1"/>
    <col min="19" max="19" width="0.85546875" customWidth="1"/>
    <col min="20" max="20" width="1.42578125" style="79" customWidth="1"/>
    <col min="21" max="30" width="4.7109375" style="79" customWidth="1"/>
    <col min="31" max="50" width="4.7109375" style="15" customWidth="1"/>
    <col min="51" max="51" width="20.7109375" style="15" customWidth="1"/>
    <col min="52" max="70" width="11.42578125" style="15"/>
  </cols>
  <sheetData>
    <row r="1" spans="3:70" s="39" customFormat="1" ht="9.9499999999999993" customHeight="1" thickBot="1" x14ac:dyDescent="0.25">
      <c r="C1" s="296"/>
      <c r="D1" s="296"/>
      <c r="E1" s="296"/>
      <c r="F1" s="296"/>
      <c r="G1" s="296"/>
      <c r="H1" s="296"/>
      <c r="I1" s="296"/>
      <c r="J1" s="296"/>
      <c r="K1" s="296"/>
      <c r="L1" s="296"/>
      <c r="M1" s="296"/>
      <c r="N1" s="296"/>
      <c r="O1" s="296"/>
      <c r="P1" s="296"/>
      <c r="Q1" s="296"/>
      <c r="R1" s="296"/>
      <c r="S1" s="296"/>
      <c r="T1" s="402"/>
      <c r="U1" s="402"/>
      <c r="V1" s="402"/>
      <c r="W1" s="402"/>
      <c r="X1" s="402"/>
      <c r="Y1" s="402"/>
      <c r="Z1" s="402"/>
      <c r="AA1" s="402"/>
      <c r="AB1" s="402"/>
      <c r="AC1" s="402"/>
      <c r="AD1" s="402"/>
      <c r="AE1" s="296"/>
      <c r="AF1" s="296"/>
      <c r="AG1" s="296"/>
      <c r="AH1" s="296"/>
      <c r="AI1" s="296"/>
      <c r="AJ1" s="296"/>
      <c r="AK1" s="296"/>
      <c r="AL1" s="296"/>
      <c r="AM1" s="296"/>
      <c r="AN1" s="296"/>
      <c r="AO1" s="296"/>
      <c r="AP1" s="296"/>
      <c r="AQ1" s="296"/>
      <c r="AR1" s="296"/>
      <c r="AS1" s="296"/>
      <c r="AT1" s="296"/>
      <c r="AU1" s="296"/>
      <c r="AV1" s="296"/>
      <c r="AW1" s="296"/>
      <c r="AX1" s="296"/>
      <c r="AY1" s="297"/>
    </row>
    <row r="2" spans="3:70" s="46" customFormat="1" ht="30" customHeight="1" thickBot="1" x14ac:dyDescent="0.25">
      <c r="C2" s="296"/>
      <c r="D2" s="1437" t="s">
        <v>1603</v>
      </c>
      <c r="E2" s="1367"/>
      <c r="F2" s="1367"/>
      <c r="G2" s="1367"/>
      <c r="H2" s="1367"/>
      <c r="I2" s="1367"/>
      <c r="J2" s="1367"/>
      <c r="K2" s="1367"/>
      <c r="L2" s="1367"/>
      <c r="M2" s="1367"/>
      <c r="N2" s="1367"/>
      <c r="O2" s="1367"/>
      <c r="P2" s="1367"/>
      <c r="Q2" s="1367"/>
      <c r="R2" s="1367"/>
      <c r="S2" s="1456"/>
      <c r="T2" s="298"/>
      <c r="U2" s="298"/>
      <c r="V2" s="298"/>
      <c r="W2" s="298"/>
      <c r="X2" s="298"/>
      <c r="Y2" s="298"/>
      <c r="Z2" s="298"/>
      <c r="AA2" s="298"/>
      <c r="AB2" s="298"/>
      <c r="AC2" s="298"/>
      <c r="AD2" s="298"/>
      <c r="AE2" s="411"/>
      <c r="AF2" s="411"/>
      <c r="AG2" s="411"/>
      <c r="AH2" s="296"/>
      <c r="AI2" s="296"/>
      <c r="AJ2" s="296"/>
      <c r="AK2" s="296"/>
      <c r="AL2" s="296"/>
      <c r="AM2" s="296"/>
      <c r="AN2" s="296"/>
      <c r="AO2" s="296"/>
      <c r="AP2" s="296"/>
      <c r="AQ2" s="296"/>
      <c r="AR2" s="296"/>
      <c r="AS2" s="296"/>
      <c r="AT2" s="296"/>
      <c r="AU2" s="296"/>
      <c r="AV2" s="296"/>
      <c r="AW2" s="296"/>
      <c r="AX2" s="296"/>
      <c r="AY2" s="297"/>
      <c r="AZ2" s="39"/>
      <c r="BA2" s="39"/>
      <c r="BB2" s="39"/>
      <c r="BC2" s="39"/>
      <c r="BD2" s="39"/>
      <c r="BE2" s="39"/>
      <c r="BF2" s="39"/>
      <c r="BG2" s="39"/>
      <c r="BH2" s="39"/>
      <c r="BI2" s="39"/>
      <c r="BJ2" s="39"/>
      <c r="BK2" s="39"/>
      <c r="BL2" s="39"/>
      <c r="BM2" s="39"/>
      <c r="BN2" s="39"/>
      <c r="BO2" s="39"/>
      <c r="BP2" s="39"/>
      <c r="BQ2" s="39"/>
      <c r="BR2" s="39"/>
    </row>
    <row r="3" spans="3:70" s="46" customFormat="1" ht="15" customHeight="1" thickBot="1" x14ac:dyDescent="0.25">
      <c r="C3" s="402"/>
      <c r="D3" s="1099"/>
      <c r="E3" s="1130"/>
      <c r="F3" s="1130"/>
      <c r="G3" s="1130"/>
      <c r="H3" s="1130"/>
      <c r="I3" s="1130"/>
      <c r="J3" s="1130"/>
      <c r="K3" s="1130"/>
      <c r="L3" s="1130"/>
      <c r="M3" s="1130"/>
      <c r="N3" s="1130"/>
      <c r="O3" s="1130"/>
      <c r="P3" s="1130"/>
      <c r="Q3" s="1130"/>
      <c r="R3" s="1130"/>
      <c r="S3" s="1106"/>
      <c r="T3" s="299"/>
      <c r="U3" s="299"/>
      <c r="V3" s="299"/>
      <c r="W3" s="299"/>
      <c r="X3" s="299"/>
      <c r="Y3" s="299"/>
      <c r="Z3" s="299"/>
      <c r="AA3" s="299"/>
      <c r="AB3" s="299"/>
      <c r="AC3" s="299"/>
      <c r="AD3" s="299"/>
      <c r="AE3" s="7"/>
      <c r="AF3" s="7"/>
      <c r="AG3" s="7"/>
      <c r="AH3" s="39"/>
      <c r="AI3" s="39"/>
      <c r="AJ3" s="39"/>
      <c r="AK3" s="39"/>
      <c r="AL3" s="39"/>
      <c r="AM3" s="39"/>
      <c r="AN3" s="39"/>
      <c r="AO3" s="39"/>
      <c r="AP3" s="39"/>
      <c r="AQ3" s="39"/>
      <c r="AR3" s="39"/>
      <c r="AS3" s="39"/>
      <c r="AT3" s="39"/>
      <c r="AU3" s="39"/>
      <c r="AV3" s="39"/>
      <c r="AW3" s="39"/>
      <c r="AX3" s="39"/>
      <c r="AY3" s="297"/>
      <c r="AZ3" s="39"/>
      <c r="BA3" s="39"/>
      <c r="BB3" s="39"/>
      <c r="BC3" s="39"/>
      <c r="BD3" s="39"/>
      <c r="BE3" s="39"/>
      <c r="BF3" s="39"/>
      <c r="BG3" s="39"/>
      <c r="BH3" s="39"/>
      <c r="BI3" s="39"/>
      <c r="BJ3" s="39"/>
      <c r="BK3" s="39"/>
      <c r="BL3" s="39"/>
      <c r="BM3" s="39"/>
      <c r="BN3" s="39"/>
      <c r="BO3" s="39"/>
      <c r="BP3" s="39"/>
      <c r="BQ3" s="39"/>
      <c r="BR3" s="39"/>
    </row>
    <row r="4" spans="3:70" s="46" customFormat="1" ht="15" customHeight="1" thickBot="1" x14ac:dyDescent="0.25">
      <c r="C4" s="402"/>
      <c r="D4" s="1099"/>
      <c r="E4" s="1510" t="s">
        <v>1604</v>
      </c>
      <c r="F4" s="1511"/>
      <c r="G4" s="1512"/>
      <c r="H4" s="1513" t="s">
        <v>1605</v>
      </c>
      <c r="I4" s="1514"/>
      <c r="J4" s="1514"/>
      <c r="K4" s="1515"/>
      <c r="L4" s="1215"/>
      <c r="M4" s="1512"/>
      <c r="N4" s="1512"/>
      <c r="O4" s="1512"/>
      <c r="P4" s="1512"/>
      <c r="Q4" s="1512"/>
      <c r="R4" s="1512"/>
      <c r="S4" s="1106"/>
      <c r="T4" s="299"/>
      <c r="U4" s="299"/>
      <c r="V4" s="299"/>
      <c r="W4" s="299"/>
      <c r="X4" s="299"/>
      <c r="Y4" s="299"/>
      <c r="Z4" s="299"/>
      <c r="AA4" s="299"/>
      <c r="AB4" s="299"/>
      <c r="AC4" s="299"/>
      <c r="AD4" s="299"/>
      <c r="AE4" s="7"/>
      <c r="AF4" s="7"/>
      <c r="AG4" s="7"/>
      <c r="AH4" s="39"/>
      <c r="AI4" s="39"/>
      <c r="AJ4" s="39"/>
      <c r="AK4" s="39"/>
      <c r="AL4" s="39"/>
      <c r="AM4" s="39"/>
      <c r="AN4" s="39"/>
      <c r="AO4" s="39"/>
      <c r="AP4" s="39"/>
      <c r="AQ4" s="39"/>
      <c r="AR4" s="39"/>
      <c r="AS4" s="39"/>
      <c r="AT4" s="39"/>
      <c r="AU4" s="39"/>
      <c r="AV4" s="39"/>
      <c r="AW4" s="39"/>
      <c r="AX4" s="39"/>
      <c r="AY4" s="297"/>
      <c r="AZ4" s="39"/>
      <c r="BA4" s="39"/>
      <c r="BB4" s="39"/>
      <c r="BC4" s="39"/>
      <c r="BD4" s="39"/>
      <c r="BE4" s="39"/>
      <c r="BF4" s="39"/>
      <c r="BG4" s="39"/>
      <c r="BH4" s="39"/>
      <c r="BI4" s="39"/>
      <c r="BJ4" s="39"/>
      <c r="BK4" s="39"/>
      <c r="BL4" s="39"/>
      <c r="BM4" s="39"/>
      <c r="BN4" s="39"/>
      <c r="BO4" s="39"/>
      <c r="BP4" s="39"/>
      <c r="BQ4" s="39"/>
      <c r="BR4" s="39"/>
    </row>
    <row r="5" spans="3:70" s="46" customFormat="1" ht="5.0999999999999996" customHeight="1" x14ac:dyDescent="0.2">
      <c r="C5" s="402"/>
      <c r="D5" s="1099"/>
      <c r="E5" s="1512"/>
      <c r="F5" s="1512"/>
      <c r="G5" s="1512"/>
      <c r="H5" s="1512"/>
      <c r="I5" s="1512"/>
      <c r="J5" s="1512"/>
      <c r="K5" s="1512"/>
      <c r="L5" s="1512"/>
      <c r="M5" s="1512"/>
      <c r="N5" s="1512"/>
      <c r="O5" s="1512"/>
      <c r="P5" s="1512"/>
      <c r="Q5" s="1512"/>
      <c r="R5" s="1512"/>
      <c r="S5" s="1106"/>
      <c r="T5" s="299"/>
      <c r="U5" s="299"/>
      <c r="V5" s="299"/>
      <c r="W5" s="299"/>
      <c r="X5" s="299"/>
      <c r="Y5" s="299"/>
      <c r="Z5" s="299"/>
      <c r="AA5" s="299"/>
      <c r="AB5" s="299"/>
      <c r="AC5" s="299"/>
      <c r="AD5" s="299"/>
      <c r="AE5" s="7"/>
      <c r="AF5" s="7"/>
      <c r="AG5" s="7"/>
      <c r="AH5" s="39"/>
      <c r="AI5" s="39"/>
      <c r="AJ5" s="39"/>
      <c r="AK5" s="39"/>
      <c r="AL5" s="39"/>
      <c r="AM5" s="39"/>
      <c r="AN5" s="39"/>
      <c r="AO5" s="39"/>
      <c r="AP5" s="39"/>
      <c r="AQ5" s="39"/>
      <c r="AR5" s="39"/>
      <c r="AS5" s="39"/>
      <c r="AT5" s="39"/>
      <c r="AU5" s="39"/>
      <c r="AV5" s="39"/>
      <c r="AW5" s="39"/>
      <c r="AX5" s="39"/>
      <c r="AY5" s="297"/>
      <c r="AZ5" s="39"/>
      <c r="BA5" s="39"/>
      <c r="BB5" s="39"/>
      <c r="BC5" s="39"/>
      <c r="BD5" s="39"/>
      <c r="BE5" s="39"/>
      <c r="BF5" s="39"/>
      <c r="BG5" s="39"/>
      <c r="BH5" s="39"/>
      <c r="BI5" s="39"/>
      <c r="BJ5" s="39"/>
      <c r="BK5" s="39"/>
      <c r="BL5" s="39"/>
      <c r="BM5" s="39"/>
      <c r="BN5" s="39"/>
      <c r="BO5" s="39"/>
      <c r="BP5" s="39"/>
      <c r="BQ5" s="39"/>
      <c r="BR5" s="39"/>
    </row>
    <row r="6" spans="3:70" s="46" customFormat="1" ht="11.25" x14ac:dyDescent="0.2">
      <c r="C6" s="402"/>
      <c r="D6" s="1099"/>
      <c r="E6" s="1516" t="s">
        <v>1606</v>
      </c>
      <c r="F6" s="1517" t="str">
        <f t="shared" ref="F6:R6" si="0">F12</f>
        <v>Total</v>
      </c>
      <c r="G6" s="1518" t="str">
        <f t="shared" si="0"/>
        <v>Enero</v>
      </c>
      <c r="H6" s="1519" t="str">
        <f t="shared" si="0"/>
        <v>Febrero</v>
      </c>
      <c r="I6" s="1519" t="str">
        <f t="shared" si="0"/>
        <v>Marzo</v>
      </c>
      <c r="J6" s="1519" t="str">
        <f t="shared" si="0"/>
        <v>Abril</v>
      </c>
      <c r="K6" s="1519" t="str">
        <f t="shared" si="0"/>
        <v xml:space="preserve">Mayo </v>
      </c>
      <c r="L6" s="1519" t="str">
        <f t="shared" si="0"/>
        <v>Junio</v>
      </c>
      <c r="M6" s="1519" t="str">
        <f t="shared" si="0"/>
        <v>Julio</v>
      </c>
      <c r="N6" s="1519" t="str">
        <f t="shared" si="0"/>
        <v>Agosto</v>
      </c>
      <c r="O6" s="1519" t="str">
        <f t="shared" si="0"/>
        <v>Septiembre</v>
      </c>
      <c r="P6" s="1519" t="str">
        <f t="shared" si="0"/>
        <v>Octubre</v>
      </c>
      <c r="Q6" s="1519" t="str">
        <f t="shared" si="0"/>
        <v>Noviembre</v>
      </c>
      <c r="R6" s="1520" t="str">
        <f t="shared" si="0"/>
        <v>Diciembre</v>
      </c>
      <c r="S6" s="1106"/>
      <c r="T6" s="299"/>
      <c r="U6" s="299"/>
      <c r="V6" s="299"/>
      <c r="W6" s="299"/>
      <c r="X6" s="299"/>
      <c r="Y6" s="299"/>
      <c r="Z6" s="299"/>
      <c r="AA6" s="299"/>
      <c r="AB6" s="299"/>
      <c r="AC6" s="299"/>
      <c r="AD6" s="299"/>
      <c r="AE6" s="7"/>
      <c r="AF6" s="7"/>
      <c r="AG6" s="7"/>
      <c r="AH6" s="39"/>
      <c r="AI6" s="39"/>
      <c r="AJ6" s="39"/>
      <c r="AK6" s="39"/>
      <c r="AL6" s="39"/>
      <c r="AM6" s="39"/>
      <c r="AN6" s="39"/>
      <c r="AO6" s="39"/>
      <c r="AP6" s="39"/>
      <c r="AQ6" s="39"/>
      <c r="AR6" s="39"/>
      <c r="AS6" s="39"/>
      <c r="AT6" s="39"/>
      <c r="AU6" s="39"/>
      <c r="AV6" s="39"/>
      <c r="AW6" s="39"/>
      <c r="AX6" s="39"/>
      <c r="AY6" s="297"/>
      <c r="AZ6" s="39"/>
      <c r="BA6" s="39"/>
      <c r="BB6" s="39"/>
      <c r="BC6" s="39"/>
      <c r="BD6" s="39"/>
      <c r="BE6" s="39"/>
      <c r="BF6" s="39"/>
      <c r="BG6" s="39"/>
      <c r="BH6" s="39"/>
      <c r="BI6" s="39"/>
      <c r="BJ6" s="39"/>
      <c r="BK6" s="39"/>
      <c r="BL6" s="39"/>
      <c r="BM6" s="39"/>
      <c r="BN6" s="39"/>
      <c r="BO6" s="39"/>
      <c r="BP6" s="39"/>
      <c r="BQ6" s="39"/>
      <c r="BR6" s="39"/>
    </row>
    <row r="7" spans="3:70" s="46" customFormat="1" ht="11.25" x14ac:dyDescent="0.2">
      <c r="C7" s="402"/>
      <c r="D7" s="1099"/>
      <c r="E7" s="1521" t="s">
        <v>611</v>
      </c>
      <c r="F7" s="1522">
        <f t="shared" ref="F7:R7" si="1">F77</f>
        <v>0</v>
      </c>
      <c r="G7" s="1523">
        <f t="shared" si="1"/>
        <v>0</v>
      </c>
      <c r="H7" s="1524">
        <f t="shared" si="1"/>
        <v>0</v>
      </c>
      <c r="I7" s="1524">
        <f t="shared" si="1"/>
        <v>0</v>
      </c>
      <c r="J7" s="1524">
        <f t="shared" si="1"/>
        <v>0</v>
      </c>
      <c r="K7" s="1524">
        <f t="shared" si="1"/>
        <v>0</v>
      </c>
      <c r="L7" s="1524">
        <f t="shared" si="1"/>
        <v>0</v>
      </c>
      <c r="M7" s="1524">
        <f t="shared" si="1"/>
        <v>0</v>
      </c>
      <c r="N7" s="1524">
        <f t="shared" si="1"/>
        <v>0</v>
      </c>
      <c r="O7" s="1524">
        <f t="shared" si="1"/>
        <v>0</v>
      </c>
      <c r="P7" s="1524">
        <f t="shared" si="1"/>
        <v>0</v>
      </c>
      <c r="Q7" s="1524">
        <f t="shared" si="1"/>
        <v>0</v>
      </c>
      <c r="R7" s="1525">
        <f t="shared" si="1"/>
        <v>0</v>
      </c>
      <c r="S7" s="1104">
        <f>R77</f>
        <v>0</v>
      </c>
      <c r="T7" s="299"/>
      <c r="U7" s="299"/>
      <c r="V7" s="299"/>
      <c r="W7" s="299"/>
      <c r="X7" s="299"/>
      <c r="Y7" s="299"/>
      <c r="Z7" s="299"/>
      <c r="AA7" s="299"/>
      <c r="AB7" s="299"/>
      <c r="AC7" s="299"/>
      <c r="AD7" s="299"/>
      <c r="AE7" s="7"/>
      <c r="AF7" s="7"/>
      <c r="AG7" s="7"/>
      <c r="AH7" s="39"/>
      <c r="AI7" s="39"/>
      <c r="AJ7" s="39"/>
      <c r="AK7" s="39"/>
      <c r="AL7" s="39"/>
      <c r="AM7" s="39"/>
      <c r="AN7" s="39"/>
      <c r="AO7" s="39"/>
      <c r="AP7" s="39"/>
      <c r="AQ7" s="39"/>
      <c r="AR7" s="39"/>
      <c r="AS7" s="39"/>
      <c r="AT7" s="39"/>
      <c r="AU7" s="39"/>
      <c r="AV7" s="39"/>
      <c r="AW7" s="39"/>
      <c r="AX7" s="39"/>
      <c r="AY7" s="297"/>
      <c r="AZ7" s="39"/>
      <c r="BA7" s="39"/>
      <c r="BB7" s="39"/>
      <c r="BC7" s="39"/>
      <c r="BD7" s="39"/>
      <c r="BE7" s="39"/>
      <c r="BF7" s="39"/>
      <c r="BG7" s="39"/>
      <c r="BH7" s="39"/>
      <c r="BI7" s="39"/>
      <c r="BJ7" s="39"/>
      <c r="BK7" s="39"/>
      <c r="BL7" s="39"/>
      <c r="BM7" s="39"/>
      <c r="BN7" s="39"/>
      <c r="BO7" s="39"/>
      <c r="BP7" s="39"/>
      <c r="BQ7" s="39"/>
      <c r="BR7" s="39"/>
    </row>
    <row r="8" spans="3:70" s="46" customFormat="1" ht="15" customHeight="1" x14ac:dyDescent="0.2">
      <c r="C8" s="402"/>
      <c r="D8" s="1099"/>
      <c r="E8" s="1512"/>
      <c r="F8" s="1526" t="s">
        <v>1052</v>
      </c>
      <c r="G8" s="1512"/>
      <c r="H8" s="1512"/>
      <c r="I8" s="1512"/>
      <c r="J8" s="1512"/>
      <c r="K8" s="1512"/>
      <c r="L8" s="1512"/>
      <c r="M8" s="1512"/>
      <c r="N8" s="1512"/>
      <c r="O8" s="1512"/>
      <c r="P8" s="1512"/>
      <c r="Q8" s="1512"/>
      <c r="R8" s="1512"/>
      <c r="S8" s="1106"/>
      <c r="T8" s="299"/>
      <c r="U8" s="299"/>
      <c r="V8" s="299"/>
      <c r="W8" s="299"/>
      <c r="X8" s="299"/>
      <c r="Y8" s="299"/>
      <c r="Z8" s="299"/>
      <c r="AA8" s="299"/>
      <c r="AB8" s="299"/>
      <c r="AC8" s="299"/>
      <c r="AD8" s="299"/>
      <c r="AE8" s="7"/>
      <c r="AF8" s="7"/>
      <c r="AG8" s="7"/>
      <c r="AH8" s="39"/>
      <c r="AI8" s="39"/>
      <c r="AJ8" s="39"/>
      <c r="AK8" s="39"/>
      <c r="AL8" s="39"/>
      <c r="AM8" s="39"/>
      <c r="AN8" s="39"/>
      <c r="AO8" s="39"/>
      <c r="AP8" s="39"/>
      <c r="AQ8" s="39"/>
      <c r="AR8" s="39"/>
      <c r="AS8" s="39"/>
      <c r="AT8" s="39"/>
      <c r="AU8" s="39"/>
      <c r="AV8" s="39"/>
      <c r="AW8" s="39"/>
      <c r="AX8" s="39"/>
      <c r="AY8" s="297"/>
      <c r="AZ8" s="39"/>
      <c r="BA8" s="39"/>
      <c r="BB8" s="39"/>
      <c r="BC8" s="39"/>
      <c r="BD8" s="39"/>
      <c r="BE8" s="39"/>
      <c r="BF8" s="39"/>
      <c r="BG8" s="39"/>
      <c r="BH8" s="39"/>
      <c r="BI8" s="39"/>
      <c r="BJ8" s="39"/>
      <c r="BK8" s="39"/>
      <c r="BL8" s="39"/>
      <c r="BM8" s="39"/>
      <c r="BN8" s="39"/>
      <c r="BO8" s="39"/>
      <c r="BP8" s="39"/>
      <c r="BQ8" s="39"/>
      <c r="BR8" s="39"/>
    </row>
    <row r="9" spans="3:70" s="46" customFormat="1" ht="15" customHeight="1" thickBot="1" x14ac:dyDescent="0.25">
      <c r="C9" s="402"/>
      <c r="D9" s="1099"/>
      <c r="E9" s="1512"/>
      <c r="F9" s="1512"/>
      <c r="G9" s="1512"/>
      <c r="H9" s="1512"/>
      <c r="I9" s="1512"/>
      <c r="J9" s="1512"/>
      <c r="K9" s="1512"/>
      <c r="L9" s="1512"/>
      <c r="M9" s="1512"/>
      <c r="N9" s="1512"/>
      <c r="O9" s="1512"/>
      <c r="P9" s="1512"/>
      <c r="Q9" s="1512"/>
      <c r="R9" s="1512"/>
      <c r="S9" s="1106"/>
      <c r="T9" s="299"/>
      <c r="U9" s="299"/>
      <c r="V9" s="299"/>
      <c r="W9" s="299"/>
      <c r="X9" s="299"/>
      <c r="Y9" s="299"/>
      <c r="Z9" s="299"/>
      <c r="AA9" s="299"/>
      <c r="AB9" s="299"/>
      <c r="AC9" s="299"/>
      <c r="AD9" s="299"/>
      <c r="AE9" s="7"/>
      <c r="AF9" s="7"/>
      <c r="AG9" s="7"/>
      <c r="AH9" s="39"/>
      <c r="AI9" s="39"/>
      <c r="AJ9" s="39"/>
      <c r="AK9" s="39"/>
      <c r="AL9" s="39"/>
      <c r="AM9" s="39"/>
      <c r="AN9" s="39"/>
      <c r="AO9" s="39"/>
      <c r="AP9" s="39"/>
      <c r="AQ9" s="39"/>
      <c r="AR9" s="39"/>
      <c r="AS9" s="39"/>
      <c r="AT9" s="39"/>
      <c r="AU9" s="39"/>
      <c r="AV9" s="39"/>
      <c r="AW9" s="39"/>
      <c r="AX9" s="39"/>
      <c r="AY9" s="297"/>
      <c r="AZ9" s="39"/>
      <c r="BA9" s="39"/>
      <c r="BB9" s="39"/>
      <c r="BC9" s="39"/>
      <c r="BD9" s="39"/>
      <c r="BE9" s="39"/>
      <c r="BF9" s="39"/>
      <c r="BG9" s="39"/>
      <c r="BH9" s="39"/>
      <c r="BI9" s="39"/>
      <c r="BJ9" s="39"/>
      <c r="BK9" s="39"/>
      <c r="BL9" s="39"/>
      <c r="BM9" s="39"/>
      <c r="BN9" s="39"/>
      <c r="BO9" s="39"/>
      <c r="BP9" s="39"/>
      <c r="BQ9" s="39"/>
      <c r="BR9" s="39"/>
    </row>
    <row r="10" spans="3:70" s="46" customFormat="1" ht="15" customHeight="1" thickBot="1" x14ac:dyDescent="0.25">
      <c r="C10" s="402"/>
      <c r="D10" s="1099"/>
      <c r="E10" s="1510" t="s">
        <v>1607</v>
      </c>
      <c r="F10" s="1511"/>
      <c r="G10" s="1512"/>
      <c r="H10" s="1512"/>
      <c r="I10" s="1512"/>
      <c r="J10" s="1512"/>
      <c r="K10" s="1512"/>
      <c r="L10" s="1512"/>
      <c r="M10" s="1512"/>
      <c r="N10" s="1512"/>
      <c r="O10" s="1512"/>
      <c r="P10" s="1512"/>
      <c r="Q10" s="1512"/>
      <c r="R10" s="1512"/>
      <c r="S10" s="1106"/>
      <c r="T10" s="299"/>
      <c r="U10" s="299"/>
      <c r="V10" s="299"/>
      <c r="W10" s="299"/>
      <c r="X10" s="299"/>
      <c r="Y10" s="299"/>
      <c r="Z10" s="299"/>
      <c r="AA10" s="299"/>
      <c r="AB10" s="299"/>
      <c r="AC10" s="299"/>
      <c r="AD10" s="299"/>
      <c r="AE10" s="7"/>
      <c r="AF10" s="7"/>
      <c r="AG10" s="7"/>
      <c r="AH10" s="39"/>
      <c r="AI10" s="39"/>
      <c r="AJ10" s="39"/>
      <c r="AK10" s="39"/>
      <c r="AL10" s="39"/>
      <c r="AM10" s="39"/>
      <c r="AN10" s="39"/>
      <c r="AO10" s="39"/>
      <c r="AP10" s="39"/>
      <c r="AQ10" s="39"/>
      <c r="AR10" s="39"/>
      <c r="AS10" s="39"/>
      <c r="AT10" s="39"/>
      <c r="AU10" s="39"/>
      <c r="AV10" s="39"/>
      <c r="AW10" s="39"/>
      <c r="AX10" s="39"/>
      <c r="AY10" s="297"/>
      <c r="AZ10" s="39"/>
      <c r="BA10" s="39"/>
      <c r="BB10" s="39"/>
      <c r="BC10" s="39"/>
      <c r="BD10" s="39"/>
      <c r="BE10" s="39"/>
      <c r="BF10" s="39"/>
      <c r="BG10" s="39"/>
      <c r="BH10" s="39"/>
      <c r="BI10" s="39"/>
      <c r="BJ10" s="39"/>
      <c r="BK10" s="39"/>
      <c r="BL10" s="39"/>
      <c r="BM10" s="39"/>
      <c r="BN10" s="39"/>
      <c r="BO10" s="39"/>
      <c r="BP10" s="39"/>
      <c r="BQ10" s="39"/>
      <c r="BR10" s="39"/>
    </row>
    <row r="11" spans="3:70" s="46" customFormat="1" ht="5.0999999999999996" customHeight="1" x14ac:dyDescent="0.2">
      <c r="C11" s="402"/>
      <c r="D11" s="1099"/>
      <c r="E11" s="1512"/>
      <c r="F11" s="1512"/>
      <c r="G11" s="1512"/>
      <c r="H11" s="1512"/>
      <c r="I11" s="1512"/>
      <c r="J11" s="1512"/>
      <c r="K11" s="1512"/>
      <c r="L11" s="1512"/>
      <c r="M11" s="1512"/>
      <c r="N11" s="1512"/>
      <c r="O11" s="1512"/>
      <c r="P11" s="1512"/>
      <c r="Q11" s="1512"/>
      <c r="R11" s="1512"/>
      <c r="S11" s="1106"/>
      <c r="T11" s="299"/>
      <c r="U11" s="299"/>
      <c r="V11" s="1369"/>
      <c r="W11" s="1369"/>
      <c r="X11" s="1369"/>
      <c r="Y11" s="299"/>
      <c r="Z11" s="299"/>
      <c r="AA11" s="299"/>
      <c r="AB11" s="299"/>
      <c r="AC11" s="299"/>
      <c r="AD11" s="299"/>
      <c r="AE11" s="7"/>
      <c r="AF11" s="7"/>
      <c r="AG11" s="7"/>
      <c r="AH11" s="39"/>
      <c r="AI11" s="39"/>
      <c r="AJ11" s="39"/>
      <c r="AK11" s="39"/>
      <c r="AL11" s="39"/>
      <c r="AM11" s="39"/>
      <c r="AN11" s="39"/>
      <c r="AO11" s="39"/>
      <c r="AP11" s="39"/>
      <c r="AQ11" s="39"/>
      <c r="AR11" s="39"/>
      <c r="AS11" s="39"/>
      <c r="AT11" s="39"/>
      <c r="AU11" s="39"/>
      <c r="AV11" s="39"/>
      <c r="AW11" s="39"/>
      <c r="AX11" s="39"/>
      <c r="AY11" s="297"/>
      <c r="AZ11" s="39"/>
      <c r="BA11" s="39"/>
      <c r="BB11" s="39"/>
      <c r="BC11" s="39"/>
      <c r="BD11" s="39"/>
      <c r="BE11" s="39"/>
      <c r="BF11" s="39"/>
      <c r="BG11" s="39"/>
      <c r="BH11" s="39"/>
      <c r="BI11" s="39"/>
      <c r="BJ11" s="39"/>
      <c r="BK11" s="39"/>
      <c r="BL11" s="39"/>
      <c r="BM11" s="39"/>
      <c r="BN11" s="39"/>
      <c r="BO11" s="39"/>
      <c r="BP11" s="39"/>
      <c r="BQ11" s="39"/>
      <c r="BR11" s="39"/>
    </row>
    <row r="12" spans="3:70" s="77" customFormat="1" ht="11.25" x14ac:dyDescent="0.15">
      <c r="C12" s="406"/>
      <c r="D12" s="1099"/>
      <c r="E12" s="1527" t="s">
        <v>1391</v>
      </c>
      <c r="F12" s="1528" t="s">
        <v>786</v>
      </c>
      <c r="G12" s="1518" t="str">
        <f>SANDBOX!F15</f>
        <v>Enero</v>
      </c>
      <c r="H12" s="1519" t="str">
        <f>SANDBOX!G15</f>
        <v>Febrero</v>
      </c>
      <c r="I12" s="1519" t="str">
        <f>SANDBOX!H15</f>
        <v>Marzo</v>
      </c>
      <c r="J12" s="1519" t="str">
        <f>SANDBOX!I15</f>
        <v>Abril</v>
      </c>
      <c r="K12" s="1519" t="str">
        <f>SANDBOX!J15</f>
        <v xml:space="preserve">Mayo </v>
      </c>
      <c r="L12" s="1519" t="str">
        <f>SANDBOX!K15</f>
        <v>Junio</v>
      </c>
      <c r="M12" s="1519" t="str">
        <f>SANDBOX!L15</f>
        <v>Julio</v>
      </c>
      <c r="N12" s="1519" t="str">
        <f>SANDBOX!M15</f>
        <v>Agosto</v>
      </c>
      <c r="O12" s="1519" t="str">
        <f>SANDBOX!N15</f>
        <v>Septiembre</v>
      </c>
      <c r="P12" s="1519" t="str">
        <f>SANDBOX!O15</f>
        <v>Octubre</v>
      </c>
      <c r="Q12" s="1519" t="str">
        <f>SANDBOX!P15</f>
        <v>Noviembre</v>
      </c>
      <c r="R12" s="1520" t="str">
        <f>SANDBOX!Q15</f>
        <v>Diciembre</v>
      </c>
      <c r="S12" s="1102"/>
      <c r="T12" s="300"/>
      <c r="U12" s="300"/>
      <c r="V12" s="300"/>
      <c r="W12" s="300"/>
      <c r="X12" s="300"/>
      <c r="Y12" s="300"/>
      <c r="Z12" s="300"/>
      <c r="AA12" s="300"/>
      <c r="AB12" s="300"/>
      <c r="AC12" s="300"/>
      <c r="AD12" s="300"/>
      <c r="AE12" s="430"/>
      <c r="AF12" s="430"/>
      <c r="AG12" s="430"/>
      <c r="AH12" s="301"/>
      <c r="AI12" s="301"/>
      <c r="AJ12" s="301"/>
      <c r="AK12" s="301"/>
      <c r="AL12" s="301"/>
      <c r="AM12" s="301"/>
      <c r="AN12" s="301"/>
      <c r="AO12" s="301"/>
      <c r="AP12" s="301"/>
      <c r="AQ12" s="301"/>
      <c r="AR12" s="301"/>
      <c r="AS12" s="301"/>
      <c r="AT12" s="301"/>
      <c r="AU12" s="301"/>
      <c r="AV12" s="301"/>
      <c r="AW12" s="301"/>
      <c r="AX12" s="301"/>
      <c r="AY12" s="302"/>
      <c r="AZ12" s="301"/>
      <c r="BA12" s="301"/>
      <c r="BB12" s="301"/>
      <c r="BC12" s="301"/>
      <c r="BD12" s="301"/>
      <c r="BE12" s="301"/>
      <c r="BF12" s="301"/>
      <c r="BG12" s="301"/>
      <c r="BH12" s="301"/>
      <c r="BI12" s="301"/>
      <c r="BJ12" s="301"/>
      <c r="BK12" s="301"/>
      <c r="BL12" s="301"/>
      <c r="BM12" s="301"/>
      <c r="BN12" s="301"/>
      <c r="BO12" s="301"/>
      <c r="BP12" s="301"/>
      <c r="BQ12" s="301"/>
      <c r="BR12" s="301"/>
    </row>
    <row r="13" spans="3:70" s="78" customFormat="1" ht="11.25" x14ac:dyDescent="0.2">
      <c r="C13" s="408"/>
      <c r="D13" s="1109"/>
      <c r="E13" s="696" t="s">
        <v>1608</v>
      </c>
      <c r="F13" s="1529">
        <f>SUM(G13:R13)</f>
        <v>0</v>
      </c>
      <c r="G13" s="695"/>
      <c r="H13" s="694"/>
      <c r="I13" s="694"/>
      <c r="J13" s="694"/>
      <c r="K13" s="694"/>
      <c r="L13" s="694"/>
      <c r="M13" s="694"/>
      <c r="N13" s="694"/>
      <c r="O13" s="694"/>
      <c r="P13" s="694"/>
      <c r="Q13" s="694"/>
      <c r="R13" s="697"/>
      <c r="S13" s="1104"/>
      <c r="T13" s="303"/>
      <c r="U13" s="303"/>
      <c r="V13" s="303"/>
      <c r="W13" s="303"/>
      <c r="X13" s="303"/>
      <c r="Y13" s="303"/>
      <c r="Z13" s="303"/>
      <c r="AA13" s="303"/>
      <c r="AB13" s="303"/>
      <c r="AC13" s="303"/>
      <c r="AD13" s="303"/>
      <c r="AE13" s="434"/>
      <c r="AF13" s="434"/>
      <c r="AG13" s="434"/>
      <c r="AH13" s="304"/>
      <c r="AI13" s="304"/>
      <c r="AJ13" s="304"/>
      <c r="AK13" s="304"/>
      <c r="AL13" s="304"/>
      <c r="AM13" s="304"/>
      <c r="AN13" s="304"/>
      <c r="AO13" s="304"/>
      <c r="AP13" s="304"/>
      <c r="AQ13" s="304"/>
      <c r="AR13" s="304"/>
      <c r="AS13" s="304"/>
      <c r="AT13" s="304"/>
      <c r="AU13" s="304"/>
      <c r="AV13" s="304"/>
      <c r="AW13" s="304"/>
      <c r="AX13" s="304"/>
      <c r="AY13" s="305"/>
      <c r="AZ13" s="304"/>
      <c r="BA13" s="304"/>
      <c r="BB13" s="304"/>
      <c r="BC13" s="304"/>
      <c r="BD13" s="304"/>
      <c r="BE13" s="304"/>
      <c r="BF13" s="304"/>
      <c r="BG13" s="304"/>
      <c r="BH13" s="304"/>
      <c r="BI13" s="304"/>
      <c r="BJ13" s="304"/>
      <c r="BK13" s="304"/>
      <c r="BL13" s="304"/>
      <c r="BM13" s="304"/>
      <c r="BN13" s="304"/>
      <c r="BO13" s="304"/>
      <c r="BP13" s="304"/>
      <c r="BQ13" s="304"/>
      <c r="BR13" s="304"/>
    </row>
    <row r="14" spans="3:70" s="78" customFormat="1" ht="11.25" x14ac:dyDescent="0.2">
      <c r="C14" s="408"/>
      <c r="D14" s="1109"/>
      <c r="E14" s="698" t="s">
        <v>611</v>
      </c>
      <c r="F14" s="1530">
        <f>SUM(G14:R14)</f>
        <v>0</v>
      </c>
      <c r="G14" s="699"/>
      <c r="H14" s="528"/>
      <c r="I14" s="528"/>
      <c r="J14" s="528"/>
      <c r="K14" s="528"/>
      <c r="L14" s="528"/>
      <c r="M14" s="528"/>
      <c r="N14" s="528"/>
      <c r="O14" s="528"/>
      <c r="P14" s="528"/>
      <c r="Q14" s="528"/>
      <c r="R14" s="529"/>
      <c r="S14" s="1104">
        <v>28672.727272727268</v>
      </c>
      <c r="T14" s="303"/>
      <c r="U14" s="303"/>
      <c r="V14" s="303"/>
      <c r="W14" s="303"/>
      <c r="X14" s="303"/>
      <c r="Y14" s="303"/>
      <c r="Z14" s="303"/>
      <c r="AA14" s="303"/>
      <c r="AB14" s="303"/>
      <c r="AC14" s="303"/>
      <c r="AD14" s="303"/>
      <c r="AE14" s="434"/>
      <c r="AF14" s="434"/>
      <c r="AG14" s="434"/>
      <c r="AH14" s="304"/>
      <c r="AI14" s="304"/>
      <c r="AJ14" s="304"/>
      <c r="AK14" s="304"/>
      <c r="AL14" s="304"/>
      <c r="AM14" s="304"/>
      <c r="AN14" s="304"/>
      <c r="AO14" s="304"/>
      <c r="AP14" s="304"/>
      <c r="AQ14" s="304"/>
      <c r="AR14" s="304"/>
      <c r="AS14" s="304"/>
      <c r="AT14" s="304"/>
      <c r="AU14" s="304"/>
      <c r="AV14" s="304"/>
      <c r="AW14" s="304"/>
      <c r="AX14" s="304"/>
      <c r="AY14" s="305"/>
      <c r="AZ14" s="304"/>
      <c r="BA14" s="304"/>
      <c r="BB14" s="304"/>
      <c r="BC14" s="304"/>
      <c r="BD14" s="304"/>
      <c r="BE14" s="304"/>
      <c r="BF14" s="304"/>
      <c r="BG14" s="304"/>
      <c r="BH14" s="304"/>
      <c r="BI14" s="304"/>
      <c r="BJ14" s="304"/>
      <c r="BK14" s="304"/>
      <c r="BL14" s="304"/>
      <c r="BM14" s="304"/>
      <c r="BN14" s="304"/>
      <c r="BO14" s="304"/>
      <c r="BP14" s="304"/>
      <c r="BQ14" s="304"/>
      <c r="BR14" s="304"/>
    </row>
    <row r="15" spans="3:70" s="78" customFormat="1" ht="3" customHeight="1" x14ac:dyDescent="0.2">
      <c r="C15" s="408"/>
      <c r="D15" s="1109"/>
      <c r="E15" s="1158"/>
      <c r="F15" s="1531"/>
      <c r="G15" s="1159"/>
      <c r="H15" s="1159"/>
      <c r="I15" s="1159"/>
      <c r="J15" s="1159"/>
      <c r="K15" s="1159"/>
      <c r="L15" s="1159"/>
      <c r="M15" s="1159"/>
      <c r="N15" s="1159"/>
      <c r="O15" s="1159"/>
      <c r="P15" s="1159"/>
      <c r="Q15" s="1159"/>
      <c r="R15" s="1159"/>
      <c r="S15" s="1104"/>
      <c r="T15" s="303"/>
      <c r="U15" s="303"/>
      <c r="V15" s="303"/>
      <c r="W15" s="303"/>
      <c r="X15" s="303"/>
      <c r="Y15" s="303"/>
      <c r="Z15" s="303"/>
      <c r="AA15" s="303"/>
      <c r="AB15" s="303"/>
      <c r="AC15" s="303"/>
      <c r="AD15" s="303"/>
      <c r="AE15" s="434"/>
      <c r="AF15" s="434"/>
      <c r="AG15" s="434"/>
      <c r="AH15" s="304"/>
      <c r="AI15" s="304"/>
      <c r="AJ15" s="304"/>
      <c r="AK15" s="304"/>
      <c r="AL15" s="304"/>
      <c r="AM15" s="304"/>
      <c r="AN15" s="304"/>
      <c r="AO15" s="304"/>
      <c r="AP15" s="304"/>
      <c r="AQ15" s="304"/>
      <c r="AR15" s="304"/>
      <c r="AS15" s="304"/>
      <c r="AT15" s="304"/>
      <c r="AU15" s="304"/>
      <c r="AV15" s="304"/>
      <c r="AW15" s="304"/>
      <c r="AX15" s="304"/>
      <c r="AY15" s="305"/>
      <c r="AZ15" s="304"/>
      <c r="BA15" s="304"/>
      <c r="BB15" s="304"/>
      <c r="BC15" s="304"/>
      <c r="BD15" s="304"/>
      <c r="BE15" s="304"/>
      <c r="BF15" s="304"/>
      <c r="BG15" s="304"/>
      <c r="BH15" s="304"/>
      <c r="BI15" s="304"/>
      <c r="BJ15" s="304"/>
      <c r="BK15" s="304"/>
      <c r="BL15" s="304"/>
      <c r="BM15" s="304"/>
      <c r="BN15" s="304"/>
      <c r="BO15" s="304"/>
      <c r="BP15" s="304"/>
      <c r="BQ15" s="304"/>
      <c r="BR15" s="304"/>
    </row>
    <row r="16" spans="3:70" s="78" customFormat="1" ht="11.25" x14ac:dyDescent="0.2">
      <c r="C16" s="408"/>
      <c r="D16" s="1109"/>
      <c r="E16" s="700" t="s">
        <v>147</v>
      </c>
      <c r="F16" s="1532">
        <f>SUM(G16:R16)</f>
        <v>0</v>
      </c>
      <c r="G16" s="524"/>
      <c r="H16" s="525"/>
      <c r="I16" s="525"/>
      <c r="J16" s="525"/>
      <c r="K16" s="525"/>
      <c r="L16" s="525"/>
      <c r="M16" s="525"/>
      <c r="N16" s="525"/>
      <c r="O16" s="525"/>
      <c r="P16" s="525"/>
      <c r="Q16" s="525"/>
      <c r="R16" s="526"/>
      <c r="S16" s="1104"/>
      <c r="T16" s="303"/>
      <c r="U16" s="303"/>
      <c r="V16" s="303"/>
      <c r="W16" s="303"/>
      <c r="X16" s="303"/>
      <c r="Y16" s="303"/>
      <c r="Z16" s="303"/>
      <c r="AA16" s="303"/>
      <c r="AB16" s="303"/>
      <c r="AC16" s="303"/>
      <c r="AD16" s="303"/>
      <c r="AE16" s="434"/>
      <c r="AF16" s="434"/>
      <c r="AG16" s="434"/>
      <c r="AH16" s="304"/>
      <c r="AI16" s="304"/>
      <c r="AJ16" s="304"/>
      <c r="AK16" s="304"/>
      <c r="AL16" s="304"/>
      <c r="AM16" s="304"/>
      <c r="AN16" s="304"/>
      <c r="AO16" s="304"/>
      <c r="AP16" s="304"/>
      <c r="AQ16" s="304"/>
      <c r="AR16" s="304"/>
      <c r="AS16" s="304"/>
      <c r="AT16" s="304"/>
      <c r="AU16" s="304"/>
      <c r="AV16" s="304"/>
      <c r="AW16" s="304"/>
      <c r="AX16" s="304"/>
      <c r="AY16" s="305"/>
      <c r="AZ16" s="304"/>
      <c r="BA16" s="304"/>
      <c r="BB16" s="304"/>
      <c r="BC16" s="304"/>
      <c r="BD16" s="304"/>
      <c r="BE16" s="304"/>
      <c r="BF16" s="304"/>
      <c r="BG16" s="304"/>
      <c r="BH16" s="304"/>
      <c r="BI16" s="304"/>
      <c r="BJ16" s="304"/>
      <c r="BK16" s="304"/>
      <c r="BL16" s="304"/>
      <c r="BM16" s="304"/>
      <c r="BN16" s="304"/>
      <c r="BO16" s="304"/>
      <c r="BP16" s="304"/>
      <c r="BQ16" s="304"/>
      <c r="BR16" s="304"/>
    </row>
    <row r="17" spans="3:70" s="78" customFormat="1" ht="3" customHeight="1" x14ac:dyDescent="0.2">
      <c r="C17" s="408"/>
      <c r="D17" s="1109"/>
      <c r="E17" s="1533"/>
      <c r="F17" s="1534"/>
      <c r="G17" s="1535"/>
      <c r="H17" s="1535"/>
      <c r="I17" s="1535"/>
      <c r="J17" s="1535"/>
      <c r="K17" s="1535"/>
      <c r="L17" s="1535"/>
      <c r="M17" s="1535"/>
      <c r="N17" s="1535"/>
      <c r="O17" s="1535"/>
      <c r="P17" s="1535"/>
      <c r="Q17" s="1535"/>
      <c r="R17" s="1535"/>
      <c r="S17" s="1104"/>
      <c r="T17" s="303"/>
      <c r="U17" s="303"/>
      <c r="V17" s="303"/>
      <c r="W17" s="303"/>
      <c r="X17" s="303"/>
      <c r="Y17" s="303"/>
      <c r="Z17" s="303"/>
      <c r="AA17" s="303"/>
      <c r="AB17" s="303"/>
      <c r="AC17" s="303"/>
      <c r="AD17" s="303"/>
      <c r="AE17" s="434"/>
      <c r="AF17" s="434"/>
      <c r="AG17" s="434"/>
      <c r="AH17" s="304"/>
      <c r="AI17" s="304"/>
      <c r="AJ17" s="304"/>
      <c r="AK17" s="304"/>
      <c r="AL17" s="304"/>
      <c r="AM17" s="304"/>
      <c r="AN17" s="304"/>
      <c r="AO17" s="304"/>
      <c r="AP17" s="304"/>
      <c r="AQ17" s="304"/>
      <c r="AR17" s="304"/>
      <c r="AS17" s="304"/>
      <c r="AT17" s="304"/>
      <c r="AU17" s="304"/>
      <c r="AV17" s="304"/>
      <c r="AW17" s="304"/>
      <c r="AX17" s="304"/>
      <c r="AY17" s="305"/>
      <c r="AZ17" s="304"/>
      <c r="BA17" s="304"/>
      <c r="BB17" s="304"/>
      <c r="BC17" s="304"/>
      <c r="BD17" s="304"/>
      <c r="BE17" s="304"/>
      <c r="BF17" s="304"/>
      <c r="BG17" s="304"/>
      <c r="BH17" s="304"/>
      <c r="BI17" s="304"/>
      <c r="BJ17" s="304"/>
      <c r="BK17" s="304"/>
      <c r="BL17" s="304"/>
      <c r="BM17" s="304"/>
      <c r="BN17" s="304"/>
      <c r="BO17" s="304"/>
      <c r="BP17" s="304"/>
      <c r="BQ17" s="304"/>
      <c r="BR17" s="304"/>
    </row>
    <row r="18" spans="3:70" s="78" customFormat="1" ht="11.25" x14ac:dyDescent="0.2">
      <c r="C18" s="408"/>
      <c r="D18" s="1109"/>
      <c r="E18" s="1536" t="s">
        <v>605</v>
      </c>
      <c r="F18" s="1532">
        <f>SUM(G18:R18)</f>
        <v>0</v>
      </c>
      <c r="G18" s="1537">
        <f>G14+G16</f>
        <v>0</v>
      </c>
      <c r="H18" s="1538">
        <f t="shared" ref="H18:R18" si="2">H14+H16</f>
        <v>0</v>
      </c>
      <c r="I18" s="1538">
        <f t="shared" si="2"/>
        <v>0</v>
      </c>
      <c r="J18" s="1538">
        <f t="shared" si="2"/>
        <v>0</v>
      </c>
      <c r="K18" s="1538">
        <f t="shared" si="2"/>
        <v>0</v>
      </c>
      <c r="L18" s="1538">
        <f t="shared" si="2"/>
        <v>0</v>
      </c>
      <c r="M18" s="1538">
        <f t="shared" si="2"/>
        <v>0</v>
      </c>
      <c r="N18" s="1538">
        <f t="shared" si="2"/>
        <v>0</v>
      </c>
      <c r="O18" s="1538">
        <f t="shared" si="2"/>
        <v>0</v>
      </c>
      <c r="P18" s="1538">
        <f t="shared" si="2"/>
        <v>0</v>
      </c>
      <c r="Q18" s="1538">
        <f t="shared" si="2"/>
        <v>0</v>
      </c>
      <c r="R18" s="1539">
        <f t="shared" si="2"/>
        <v>0</v>
      </c>
      <c r="S18" s="1104"/>
      <c r="T18" s="303"/>
      <c r="U18" s="303"/>
      <c r="V18" s="303"/>
      <c r="W18" s="303"/>
      <c r="X18" s="303"/>
      <c r="Y18" s="303"/>
      <c r="Z18" s="303"/>
      <c r="AA18" s="303"/>
      <c r="AB18" s="303"/>
      <c r="AC18" s="303"/>
      <c r="AD18" s="303"/>
      <c r="AE18" s="434"/>
      <c r="AF18" s="434"/>
      <c r="AG18" s="434"/>
      <c r="AH18" s="304"/>
      <c r="AI18" s="304"/>
      <c r="AJ18" s="304"/>
      <c r="AK18" s="304"/>
      <c r="AL18" s="304"/>
      <c r="AM18" s="304"/>
      <c r="AN18" s="304"/>
      <c r="AO18" s="304"/>
      <c r="AP18" s="304"/>
      <c r="AQ18" s="304"/>
      <c r="AR18" s="304"/>
      <c r="AS18" s="304"/>
      <c r="AT18" s="304"/>
      <c r="AU18" s="304"/>
      <c r="AV18" s="304"/>
      <c r="AW18" s="304"/>
      <c r="AX18" s="304"/>
      <c r="AY18" s="305"/>
      <c r="AZ18" s="304"/>
      <c r="BA18" s="304"/>
      <c r="BB18" s="304"/>
      <c r="BC18" s="304"/>
      <c r="BD18" s="304"/>
      <c r="BE18" s="304"/>
      <c r="BF18" s="304"/>
      <c r="BG18" s="304"/>
      <c r="BH18" s="304"/>
      <c r="BI18" s="304"/>
      <c r="BJ18" s="304"/>
      <c r="BK18" s="304"/>
      <c r="BL18" s="304"/>
      <c r="BM18" s="304"/>
      <c r="BN18" s="304"/>
      <c r="BO18" s="304"/>
      <c r="BP18" s="304"/>
      <c r="BQ18" s="304"/>
      <c r="BR18" s="304"/>
    </row>
    <row r="19" spans="3:70" s="78" customFormat="1" ht="12" x14ac:dyDescent="0.2">
      <c r="C19" s="408"/>
      <c r="D19" s="1109"/>
      <c r="E19" s="1155"/>
      <c r="F19" s="1156"/>
      <c r="G19" s="1157"/>
      <c r="H19" s="1157"/>
      <c r="I19" s="1157"/>
      <c r="J19" s="1157"/>
      <c r="K19" s="1157"/>
      <c r="L19" s="1157"/>
      <c r="M19" s="1157"/>
      <c r="N19" s="1157"/>
      <c r="O19" s="1157"/>
      <c r="P19" s="1157"/>
      <c r="Q19" s="1157"/>
      <c r="R19" s="1157"/>
      <c r="S19" s="1104"/>
      <c r="T19" s="303"/>
      <c r="U19" s="303"/>
      <c r="V19" s="303"/>
      <c r="W19" s="303"/>
      <c r="X19" s="303"/>
      <c r="Y19" s="303"/>
      <c r="Z19" s="303"/>
      <c r="AA19" s="303"/>
      <c r="AB19" s="303"/>
      <c r="AC19" s="303"/>
      <c r="AD19" s="303"/>
      <c r="AE19" s="434"/>
      <c r="AF19" s="434"/>
      <c r="AG19" s="434"/>
      <c r="AH19" s="304"/>
      <c r="AI19" s="304"/>
      <c r="AJ19" s="304"/>
      <c r="AK19" s="304"/>
      <c r="AL19" s="304"/>
      <c r="AM19" s="304"/>
      <c r="AN19" s="304"/>
      <c r="AO19" s="304"/>
      <c r="AP19" s="304"/>
      <c r="AQ19" s="304"/>
      <c r="AR19" s="304"/>
      <c r="AS19" s="304"/>
      <c r="AT19" s="304"/>
      <c r="AU19" s="304"/>
      <c r="AV19" s="304"/>
      <c r="AW19" s="304"/>
      <c r="AX19" s="304"/>
      <c r="AY19" s="305"/>
      <c r="AZ19" s="304"/>
      <c r="BA19" s="304"/>
      <c r="BB19" s="304"/>
      <c r="BC19" s="304"/>
      <c r="BD19" s="304"/>
      <c r="BE19" s="304"/>
      <c r="BF19" s="304"/>
      <c r="BG19" s="304"/>
      <c r="BH19" s="304"/>
      <c r="BI19" s="304"/>
      <c r="BJ19" s="304"/>
      <c r="BK19" s="304"/>
      <c r="BL19" s="304"/>
      <c r="BM19" s="304"/>
      <c r="BN19" s="304"/>
      <c r="BO19" s="304"/>
      <c r="BP19" s="304"/>
      <c r="BQ19" s="304"/>
      <c r="BR19" s="304"/>
    </row>
    <row r="20" spans="3:70" s="78" customFormat="1" ht="24.95" customHeight="1" x14ac:dyDescent="0.2">
      <c r="C20" s="408"/>
      <c r="D20" s="1109"/>
      <c r="E20" s="1155"/>
      <c r="F20" s="1156"/>
      <c r="G20" s="1157"/>
      <c r="H20" s="1157"/>
      <c r="I20" s="1157"/>
      <c r="J20" s="1157"/>
      <c r="K20" s="1157"/>
      <c r="L20" s="1157"/>
      <c r="M20" s="1157"/>
      <c r="N20" s="1157"/>
      <c r="O20" s="1157"/>
      <c r="P20" s="1157"/>
      <c r="Q20" s="1157"/>
      <c r="R20" s="1157"/>
      <c r="S20" s="1104"/>
      <c r="T20" s="303"/>
      <c r="U20" s="303"/>
      <c r="V20" s="303"/>
      <c r="W20" s="303"/>
      <c r="X20" s="303"/>
      <c r="Y20" s="303"/>
      <c r="Z20" s="303"/>
      <c r="AA20" s="303"/>
      <c r="AB20" s="303"/>
      <c r="AC20" s="303"/>
      <c r="AD20" s="303"/>
      <c r="AE20" s="434"/>
      <c r="AF20" s="434"/>
      <c r="AG20" s="434"/>
      <c r="AH20" s="304"/>
      <c r="AI20" s="304"/>
      <c r="AJ20" s="304"/>
      <c r="AK20" s="304"/>
      <c r="AL20" s="304"/>
      <c r="AM20" s="304"/>
      <c r="AN20" s="304"/>
      <c r="AO20" s="304"/>
      <c r="AP20" s="304"/>
      <c r="AQ20" s="304"/>
      <c r="AR20" s="304"/>
      <c r="AS20" s="304"/>
      <c r="AT20" s="304"/>
      <c r="AU20" s="304"/>
      <c r="AV20" s="304"/>
      <c r="AW20" s="304"/>
      <c r="AX20" s="304"/>
      <c r="AY20" s="305"/>
      <c r="AZ20" s="304"/>
      <c r="BA20" s="304"/>
      <c r="BB20" s="304"/>
      <c r="BC20" s="304"/>
      <c r="BD20" s="304"/>
      <c r="BE20" s="304"/>
      <c r="BF20" s="304"/>
      <c r="BG20" s="304"/>
      <c r="BH20" s="304"/>
      <c r="BI20" s="304"/>
      <c r="BJ20" s="304"/>
      <c r="BK20" s="304"/>
      <c r="BL20" s="304"/>
      <c r="BM20" s="304"/>
      <c r="BN20" s="304"/>
      <c r="BO20" s="304"/>
      <c r="BP20" s="304"/>
      <c r="BQ20" s="304"/>
      <c r="BR20" s="304"/>
    </row>
    <row r="21" spans="3:70" s="78" customFormat="1" ht="8.1" customHeight="1" x14ac:dyDescent="0.2">
      <c r="C21" s="408"/>
      <c r="D21" s="680"/>
      <c r="E21" s="681"/>
      <c r="F21" s="682"/>
      <c r="G21" s="1471" t="s">
        <v>1609</v>
      </c>
      <c r="H21" s="1471"/>
      <c r="I21" s="1471"/>
      <c r="J21" s="1471"/>
      <c r="K21" s="1471"/>
      <c r="L21" s="1473">
        <f>D!$N$6</f>
        <v>2013</v>
      </c>
      <c r="M21" s="1473"/>
      <c r="N21" s="1475" t="s">
        <v>1049</v>
      </c>
      <c r="O21" s="1475"/>
      <c r="P21" s="1477" t="str">
        <f>IF(F34&gt;0,F34/F24,"NB")</f>
        <v>NB</v>
      </c>
      <c r="Q21" s="1477"/>
      <c r="R21" s="683"/>
      <c r="S21" s="684"/>
      <c r="T21" s="303"/>
      <c r="U21" s="303"/>
      <c r="V21" s="303"/>
      <c r="W21" s="303"/>
      <c r="X21" s="303"/>
      <c r="Y21" s="303"/>
      <c r="Z21" s="303"/>
      <c r="AA21" s="303"/>
      <c r="AB21" s="303"/>
      <c r="AC21" s="303"/>
      <c r="AD21" s="303"/>
      <c r="AE21" s="434"/>
      <c r="AF21" s="434"/>
      <c r="AG21" s="434"/>
      <c r="AH21" s="304"/>
      <c r="AI21" s="304"/>
      <c r="AJ21" s="304"/>
      <c r="AK21" s="304"/>
      <c r="AL21" s="304"/>
      <c r="AM21" s="304"/>
      <c r="AN21" s="304"/>
      <c r="AO21" s="304"/>
      <c r="AP21" s="304"/>
      <c r="AQ21" s="304"/>
      <c r="AR21" s="304"/>
      <c r="AS21" s="304"/>
      <c r="AT21" s="304"/>
      <c r="AU21" s="304"/>
      <c r="AV21" s="304"/>
      <c r="AW21" s="304"/>
      <c r="AX21" s="304"/>
      <c r="AY21" s="305"/>
      <c r="AZ21" s="304"/>
      <c r="BA21" s="304"/>
      <c r="BB21" s="304"/>
      <c r="BC21" s="304"/>
      <c r="BD21" s="304"/>
      <c r="BE21" s="304"/>
      <c r="BF21" s="304"/>
      <c r="BG21" s="304"/>
      <c r="BH21" s="304"/>
      <c r="BI21" s="304"/>
      <c r="BJ21" s="304"/>
      <c r="BK21" s="304"/>
      <c r="BL21" s="304"/>
      <c r="BM21" s="304"/>
      <c r="BN21" s="304"/>
      <c r="BO21" s="304"/>
      <c r="BP21" s="304"/>
      <c r="BQ21" s="304"/>
      <c r="BR21" s="304"/>
    </row>
    <row r="22" spans="3:70" s="78" customFormat="1" ht="14.25" customHeight="1" x14ac:dyDescent="0.2">
      <c r="C22" s="408"/>
      <c r="D22" s="685"/>
      <c r="E22" s="686"/>
      <c r="F22" s="686"/>
      <c r="G22" s="1472"/>
      <c r="H22" s="1472"/>
      <c r="I22" s="1472"/>
      <c r="J22" s="1472"/>
      <c r="K22" s="1472"/>
      <c r="L22" s="1474"/>
      <c r="M22" s="1474"/>
      <c r="N22" s="1476"/>
      <c r="O22" s="1476"/>
      <c r="P22" s="1478"/>
      <c r="Q22" s="1478"/>
      <c r="R22" s="686"/>
      <c r="S22" s="687"/>
      <c r="T22" s="303"/>
      <c r="U22" s="303"/>
      <c r="V22" s="303"/>
      <c r="W22" s="303"/>
      <c r="X22" s="303"/>
      <c r="Y22" s="303"/>
      <c r="Z22" s="303"/>
      <c r="AA22" s="303"/>
      <c r="AB22" s="303"/>
      <c r="AC22" s="303"/>
      <c r="AD22" s="303"/>
      <c r="AE22" s="434"/>
      <c r="AF22" s="434"/>
      <c r="AG22" s="434"/>
      <c r="AH22" s="304"/>
      <c r="AI22" s="304"/>
      <c r="AJ22" s="304"/>
      <c r="AK22" s="304"/>
      <c r="AL22" s="304"/>
      <c r="AM22" s="304"/>
      <c r="AN22" s="304"/>
      <c r="AO22" s="304"/>
      <c r="AP22" s="304"/>
      <c r="AQ22" s="304"/>
      <c r="AR22" s="304"/>
      <c r="AS22" s="304"/>
      <c r="AT22" s="304"/>
      <c r="AU22" s="304"/>
      <c r="AV22" s="304"/>
      <c r="AW22" s="304"/>
      <c r="AX22" s="304"/>
      <c r="AY22" s="305"/>
      <c r="AZ22" s="304"/>
      <c r="BA22" s="304"/>
      <c r="BB22" s="304"/>
      <c r="BC22" s="304"/>
      <c r="BD22" s="304"/>
      <c r="BE22" s="304"/>
      <c r="BF22" s="304"/>
      <c r="BG22" s="304"/>
      <c r="BH22" s="304"/>
      <c r="BI22" s="304"/>
      <c r="BJ22" s="304"/>
      <c r="BK22" s="304"/>
      <c r="BL22" s="304"/>
      <c r="BM22" s="304"/>
      <c r="BN22" s="304"/>
      <c r="BO22" s="304"/>
      <c r="BP22" s="304"/>
      <c r="BQ22" s="304"/>
      <c r="BR22" s="304"/>
    </row>
    <row r="23" spans="3:70" s="39" customFormat="1" ht="12" customHeight="1" x14ac:dyDescent="0.2">
      <c r="C23" s="410"/>
      <c r="D23" s="688"/>
      <c r="E23" s="759" t="s">
        <v>1367</v>
      </c>
      <c r="F23" s="760" t="str">
        <f t="shared" ref="F23:R23" si="3">F12</f>
        <v>Total</v>
      </c>
      <c r="G23" s="761" t="str">
        <f t="shared" si="3"/>
        <v>Enero</v>
      </c>
      <c r="H23" s="762" t="str">
        <f t="shared" si="3"/>
        <v>Febrero</v>
      </c>
      <c r="I23" s="762" t="str">
        <f t="shared" si="3"/>
        <v>Marzo</v>
      </c>
      <c r="J23" s="762" t="str">
        <f t="shared" si="3"/>
        <v>Abril</v>
      </c>
      <c r="K23" s="762" t="str">
        <f t="shared" si="3"/>
        <v xml:space="preserve">Mayo </v>
      </c>
      <c r="L23" s="762" t="str">
        <f t="shared" si="3"/>
        <v>Junio</v>
      </c>
      <c r="M23" s="762" t="str">
        <f t="shared" si="3"/>
        <v>Julio</v>
      </c>
      <c r="N23" s="762" t="str">
        <f t="shared" si="3"/>
        <v>Agosto</v>
      </c>
      <c r="O23" s="762" t="str">
        <f t="shared" si="3"/>
        <v>Septiembre</v>
      </c>
      <c r="P23" s="762" t="str">
        <f t="shared" si="3"/>
        <v>Octubre</v>
      </c>
      <c r="Q23" s="762" t="str">
        <f t="shared" si="3"/>
        <v>Noviembre</v>
      </c>
      <c r="R23" s="763" t="str">
        <f t="shared" si="3"/>
        <v>Diciembre</v>
      </c>
      <c r="S23" s="689"/>
      <c r="V23" s="410"/>
      <c r="W23" s="299"/>
      <c r="X23" s="299"/>
      <c r="Y23" s="299"/>
      <c r="Z23" s="299"/>
      <c r="AA23" s="299"/>
      <c r="AB23" s="299"/>
      <c r="AC23" s="299"/>
      <c r="AD23" s="299"/>
      <c r="AE23" s="7"/>
      <c r="AF23" s="7"/>
      <c r="AG23" s="7"/>
      <c r="AY23" s="297"/>
    </row>
    <row r="24" spans="3:70" s="39" customFormat="1" ht="14.1" customHeight="1" x14ac:dyDescent="0.2">
      <c r="C24" s="410"/>
      <c r="D24" s="688"/>
      <c r="E24" s="764" t="str">
        <f>INFORME!D189</f>
        <v>Total Ingresos</v>
      </c>
      <c r="F24" s="765">
        <f>INFORME!E189</f>
        <v>0</v>
      </c>
      <c r="G24" s="766">
        <f>INFORME!G189</f>
        <v>0</v>
      </c>
      <c r="H24" s="767">
        <f>INFORME!H189</f>
        <v>0</v>
      </c>
      <c r="I24" s="767">
        <f>INFORME!I189</f>
        <v>0</v>
      </c>
      <c r="J24" s="767">
        <f>INFORME!J189</f>
        <v>0</v>
      </c>
      <c r="K24" s="767">
        <f>INFORME!K189</f>
        <v>0</v>
      </c>
      <c r="L24" s="767">
        <f>INFORME!L189</f>
        <v>0</v>
      </c>
      <c r="M24" s="767">
        <f>INFORME!M189</f>
        <v>0</v>
      </c>
      <c r="N24" s="767">
        <f>INFORME!N189</f>
        <v>0</v>
      </c>
      <c r="O24" s="767">
        <f>INFORME!O189</f>
        <v>0</v>
      </c>
      <c r="P24" s="767">
        <f>INFORME!P189</f>
        <v>0</v>
      </c>
      <c r="Q24" s="767">
        <f>INFORME!Q189</f>
        <v>0</v>
      </c>
      <c r="R24" s="768">
        <f>INFORME!R189</f>
        <v>0</v>
      </c>
      <c r="S24" s="690"/>
      <c r="T24" s="410"/>
      <c r="U24" s="410"/>
      <c r="V24" s="299"/>
      <c r="W24" s="299"/>
      <c r="X24" s="299"/>
      <c r="Y24" s="299"/>
      <c r="Z24" s="299"/>
      <c r="AA24" s="299"/>
      <c r="AB24" s="299"/>
      <c r="AC24" s="299"/>
      <c r="AD24" s="299"/>
      <c r="AE24" s="7"/>
      <c r="AF24" s="7"/>
      <c r="AG24" s="7"/>
      <c r="AY24" s="297"/>
    </row>
    <row r="25" spans="3:70" s="39" customFormat="1" ht="12" customHeight="1" x14ac:dyDescent="0.2">
      <c r="C25" s="410"/>
      <c r="D25" s="688"/>
      <c r="E25" s="769" t="s">
        <v>1392</v>
      </c>
      <c r="F25" s="760" t="str">
        <f t="shared" ref="F25:R25" si="4">F23</f>
        <v>Total</v>
      </c>
      <c r="G25" s="761" t="str">
        <f t="shared" si="4"/>
        <v>Enero</v>
      </c>
      <c r="H25" s="762" t="str">
        <f t="shared" si="4"/>
        <v>Febrero</v>
      </c>
      <c r="I25" s="762" t="str">
        <f t="shared" si="4"/>
        <v>Marzo</v>
      </c>
      <c r="J25" s="762" t="str">
        <f t="shared" si="4"/>
        <v>Abril</v>
      </c>
      <c r="K25" s="762" t="str">
        <f t="shared" si="4"/>
        <v xml:space="preserve">Mayo </v>
      </c>
      <c r="L25" s="762" t="str">
        <f t="shared" si="4"/>
        <v>Junio</v>
      </c>
      <c r="M25" s="762" t="str">
        <f t="shared" si="4"/>
        <v>Julio</v>
      </c>
      <c r="N25" s="762" t="str">
        <f t="shared" si="4"/>
        <v>Agosto</v>
      </c>
      <c r="O25" s="762" t="str">
        <f t="shared" si="4"/>
        <v>Septiembre</v>
      </c>
      <c r="P25" s="762" t="str">
        <f t="shared" si="4"/>
        <v>Octubre</v>
      </c>
      <c r="Q25" s="762" t="str">
        <f t="shared" si="4"/>
        <v>Noviembre</v>
      </c>
      <c r="R25" s="763" t="str">
        <f t="shared" si="4"/>
        <v>Diciembre</v>
      </c>
      <c r="S25" s="690"/>
      <c r="T25" s="410"/>
      <c r="U25" s="410"/>
      <c r="V25" s="299"/>
      <c r="W25" s="299"/>
      <c r="X25" s="299"/>
      <c r="Y25" s="299"/>
      <c r="Z25" s="299"/>
      <c r="AA25" s="299"/>
      <c r="AB25" s="299"/>
      <c r="AC25" s="299"/>
      <c r="AD25" s="299"/>
      <c r="AE25" s="7"/>
      <c r="AF25" s="7"/>
      <c r="AG25" s="7"/>
      <c r="AY25" s="297"/>
    </row>
    <row r="26" spans="3:70" s="447" customFormat="1" ht="14.1" customHeight="1" x14ac:dyDescent="0.2">
      <c r="C26" s="410"/>
      <c r="D26" s="688"/>
      <c r="E26" s="770" t="s">
        <v>659</v>
      </c>
      <c r="F26" s="771">
        <f>SUM(G26:R26)</f>
        <v>0</v>
      </c>
      <c r="G26" s="772">
        <f>INFORME!G197</f>
        <v>0</v>
      </c>
      <c r="H26" s="773">
        <f>INFORME!H197</f>
        <v>0</v>
      </c>
      <c r="I26" s="773">
        <f>INFORME!I197</f>
        <v>0</v>
      </c>
      <c r="J26" s="773">
        <f>INFORME!J197</f>
        <v>0</v>
      </c>
      <c r="K26" s="773">
        <f>INFORME!K197</f>
        <v>0</v>
      </c>
      <c r="L26" s="773">
        <f>INFORME!L197</f>
        <v>0</v>
      </c>
      <c r="M26" s="773">
        <f>INFORME!M197</f>
        <v>0</v>
      </c>
      <c r="N26" s="773">
        <f>INFORME!N197</f>
        <v>0</v>
      </c>
      <c r="O26" s="773">
        <f>INFORME!O197</f>
        <v>0</v>
      </c>
      <c r="P26" s="773">
        <f>INFORME!P197</f>
        <v>0</v>
      </c>
      <c r="Q26" s="773">
        <f>INFORME!Q197</f>
        <v>0</v>
      </c>
      <c r="R26" s="774">
        <f>INFORME!R197</f>
        <v>0</v>
      </c>
      <c r="S26" s="690"/>
      <c r="T26" s="410"/>
      <c r="U26" s="410"/>
      <c r="V26" s="445"/>
      <c r="W26" s="445"/>
      <c r="X26" s="445"/>
      <c r="Y26" s="445"/>
      <c r="Z26" s="445"/>
      <c r="AA26" s="445"/>
      <c r="AB26" s="445"/>
      <c r="AC26" s="445"/>
      <c r="AD26" s="445"/>
      <c r="AE26" s="446"/>
      <c r="AF26" s="446"/>
      <c r="AG26" s="446"/>
      <c r="AY26" s="448"/>
    </row>
    <row r="27" spans="3:70" s="447" customFormat="1" ht="14.1" customHeight="1" x14ac:dyDescent="0.2">
      <c r="C27" s="410"/>
      <c r="D27" s="688"/>
      <c r="E27" s="775" t="s">
        <v>1384</v>
      </c>
      <c r="F27" s="776">
        <f>INFORME!E199</f>
        <v>0</v>
      </c>
      <c r="G27" s="777">
        <f>INFORME!G199</f>
        <v>0</v>
      </c>
      <c r="H27" s="778">
        <f>INFORME!H199</f>
        <v>0</v>
      </c>
      <c r="I27" s="778">
        <f>INFORME!I199</f>
        <v>0</v>
      </c>
      <c r="J27" s="778">
        <f>INFORME!J199</f>
        <v>0</v>
      </c>
      <c r="K27" s="778">
        <f>INFORME!K199</f>
        <v>0</v>
      </c>
      <c r="L27" s="778">
        <f>INFORME!L199</f>
        <v>0</v>
      </c>
      <c r="M27" s="778">
        <f>INFORME!M199</f>
        <v>0</v>
      </c>
      <c r="N27" s="778">
        <f>INFORME!N199</f>
        <v>0</v>
      </c>
      <c r="O27" s="778">
        <f>INFORME!O199</f>
        <v>0</v>
      </c>
      <c r="P27" s="778">
        <f>INFORME!P199</f>
        <v>0</v>
      </c>
      <c r="Q27" s="778">
        <f>INFORME!Q199</f>
        <v>0</v>
      </c>
      <c r="R27" s="779">
        <f>INFORME!R199</f>
        <v>0</v>
      </c>
      <c r="S27" s="690"/>
      <c r="T27" s="410"/>
      <c r="U27" s="410"/>
      <c r="V27" s="445"/>
      <c r="W27" s="445"/>
      <c r="X27" s="445"/>
      <c r="Y27" s="445"/>
      <c r="Z27" s="445"/>
      <c r="AA27" s="445"/>
      <c r="AB27" s="445"/>
      <c r="AC27" s="445"/>
      <c r="AD27" s="445"/>
      <c r="AE27" s="446"/>
      <c r="AF27" s="446"/>
      <c r="AG27" s="446"/>
      <c r="AY27" s="448"/>
    </row>
    <row r="28" spans="3:70" s="15" customFormat="1" ht="14.1" customHeight="1" x14ac:dyDescent="0.2">
      <c r="C28" s="411"/>
      <c r="D28" s="688"/>
      <c r="E28" s="780" t="s">
        <v>1611</v>
      </c>
      <c r="F28" s="781">
        <f>INFORME!$E$208</f>
        <v>0</v>
      </c>
      <c r="G28" s="782">
        <f>INFORME!G208</f>
        <v>0</v>
      </c>
      <c r="H28" s="783">
        <f>INFORME!H208</f>
        <v>0</v>
      </c>
      <c r="I28" s="783">
        <f>INFORME!I208</f>
        <v>0</v>
      </c>
      <c r="J28" s="783">
        <f>INFORME!J208</f>
        <v>0</v>
      </c>
      <c r="K28" s="783">
        <f>INFORME!K208</f>
        <v>0</v>
      </c>
      <c r="L28" s="783">
        <f>INFORME!L208</f>
        <v>0</v>
      </c>
      <c r="M28" s="783">
        <f>INFORME!M208</f>
        <v>0</v>
      </c>
      <c r="N28" s="783">
        <f>INFORME!N208</f>
        <v>0</v>
      </c>
      <c r="O28" s="783">
        <f>INFORME!O208</f>
        <v>0</v>
      </c>
      <c r="P28" s="783">
        <f>INFORME!P208</f>
        <v>0</v>
      </c>
      <c r="Q28" s="783">
        <f>INFORME!Q208</f>
        <v>0</v>
      </c>
      <c r="R28" s="784">
        <f>INFORME!R208</f>
        <v>0</v>
      </c>
      <c r="S28" s="690"/>
      <c r="T28" s="298"/>
      <c r="U28" s="402"/>
      <c r="V28" s="402"/>
      <c r="W28" s="402"/>
      <c r="X28" s="402"/>
      <c r="Y28" s="402"/>
      <c r="Z28" s="402"/>
      <c r="AA28" s="402"/>
      <c r="AB28" s="402"/>
      <c r="AC28" s="402"/>
      <c r="AD28" s="402"/>
      <c r="AE28" s="296"/>
      <c r="AF28" s="296"/>
      <c r="AG28" s="411"/>
      <c r="AH28" s="411"/>
      <c r="AI28" s="412"/>
      <c r="AJ28" s="412"/>
      <c r="AK28" s="412"/>
      <c r="AL28" s="412"/>
      <c r="AM28" s="412"/>
      <c r="AN28" s="412"/>
      <c r="AO28" s="412"/>
      <c r="AP28" s="412"/>
      <c r="AQ28" s="412"/>
      <c r="AR28" s="412"/>
      <c r="AS28" s="412"/>
      <c r="AT28" s="412"/>
      <c r="AU28" s="412"/>
      <c r="AV28" s="412"/>
      <c r="AW28" s="412"/>
      <c r="AX28" s="412"/>
      <c r="AY28" s="449"/>
    </row>
    <row r="29" spans="3:70" s="15" customFormat="1" ht="14.1" customHeight="1" x14ac:dyDescent="0.2">
      <c r="C29" s="411"/>
      <c r="D29" s="688"/>
      <c r="E29" s="785" t="s">
        <v>1610</v>
      </c>
      <c r="F29" s="786">
        <f>INFORME!$E$218</f>
        <v>0</v>
      </c>
      <c r="G29" s="787">
        <f>INFORME!G218</f>
        <v>0</v>
      </c>
      <c r="H29" s="788">
        <f>INFORME!H218</f>
        <v>0</v>
      </c>
      <c r="I29" s="788">
        <f>INFORME!I218</f>
        <v>0</v>
      </c>
      <c r="J29" s="788">
        <f>INFORME!J218</f>
        <v>0</v>
      </c>
      <c r="K29" s="788">
        <f>INFORME!K218</f>
        <v>0</v>
      </c>
      <c r="L29" s="788">
        <f>INFORME!L218</f>
        <v>0</v>
      </c>
      <c r="M29" s="788">
        <f>INFORME!M218</f>
        <v>0</v>
      </c>
      <c r="N29" s="788">
        <f>INFORME!N218</f>
        <v>0</v>
      </c>
      <c r="O29" s="788">
        <f>INFORME!O218</f>
        <v>0</v>
      </c>
      <c r="P29" s="788">
        <f>INFORME!P218</f>
        <v>0</v>
      </c>
      <c r="Q29" s="788">
        <f>INFORME!Q218</f>
        <v>0</v>
      </c>
      <c r="R29" s="789">
        <f>INFORME!R218</f>
        <v>0</v>
      </c>
      <c r="S29" s="690"/>
      <c r="T29" s="298"/>
      <c r="U29" s="402"/>
      <c r="V29" s="402"/>
      <c r="W29" s="402"/>
      <c r="X29" s="402"/>
      <c r="Y29" s="402"/>
      <c r="Z29" s="402"/>
      <c r="AA29" s="402"/>
      <c r="AB29" s="402"/>
      <c r="AC29" s="402"/>
      <c r="AD29" s="402"/>
      <c r="AE29" s="296"/>
      <c r="AF29" s="296"/>
      <c r="AG29" s="411"/>
      <c r="AH29" s="411"/>
      <c r="AI29" s="412"/>
      <c r="AJ29" s="412"/>
      <c r="AK29" s="412"/>
      <c r="AL29" s="412"/>
      <c r="AM29" s="412"/>
      <c r="AN29" s="412"/>
      <c r="AO29" s="412"/>
      <c r="AP29" s="412"/>
      <c r="AQ29" s="412"/>
      <c r="AR29" s="412"/>
      <c r="AS29" s="412"/>
      <c r="AT29" s="412"/>
      <c r="AU29" s="412"/>
      <c r="AV29" s="412"/>
      <c r="AW29" s="412"/>
      <c r="AX29" s="412"/>
      <c r="AY29" s="449"/>
    </row>
    <row r="30" spans="3:70" s="15" customFormat="1" ht="14.1" customHeight="1" x14ac:dyDescent="0.2">
      <c r="C30" s="411"/>
      <c r="D30" s="688"/>
      <c r="E30" s="775" t="str">
        <f>INFORME!D220</f>
        <v>E.B.I.T.D.A.</v>
      </c>
      <c r="F30" s="776">
        <f>INFORME!E220</f>
        <v>0</v>
      </c>
      <c r="G30" s="777">
        <f>INFORME!G220</f>
        <v>0</v>
      </c>
      <c r="H30" s="778">
        <f>INFORME!H220</f>
        <v>0</v>
      </c>
      <c r="I30" s="778">
        <f>INFORME!I220</f>
        <v>0</v>
      </c>
      <c r="J30" s="778">
        <f>INFORME!J220</f>
        <v>0</v>
      </c>
      <c r="K30" s="778">
        <f>INFORME!K220</f>
        <v>0</v>
      </c>
      <c r="L30" s="778">
        <f>INFORME!L220</f>
        <v>0</v>
      </c>
      <c r="M30" s="778">
        <f>INFORME!M220</f>
        <v>0</v>
      </c>
      <c r="N30" s="778">
        <f>INFORME!N220</f>
        <v>0</v>
      </c>
      <c r="O30" s="778">
        <f>INFORME!O220</f>
        <v>0</v>
      </c>
      <c r="P30" s="778">
        <f>INFORME!P220</f>
        <v>0</v>
      </c>
      <c r="Q30" s="778">
        <f>INFORME!Q220</f>
        <v>0</v>
      </c>
      <c r="R30" s="779">
        <f>INFORME!R220</f>
        <v>0</v>
      </c>
      <c r="S30" s="690"/>
      <c r="T30" s="298"/>
      <c r="U30" s="402"/>
      <c r="V30" s="402"/>
      <c r="W30" s="402"/>
      <c r="X30" s="402"/>
      <c r="Y30" s="402"/>
      <c r="Z30" s="402"/>
      <c r="AA30" s="402"/>
      <c r="AB30" s="402"/>
      <c r="AC30" s="402"/>
      <c r="AD30" s="402"/>
      <c r="AE30" s="296"/>
      <c r="AF30" s="296"/>
      <c r="AG30" s="411"/>
      <c r="AH30" s="411"/>
      <c r="AI30" s="412"/>
      <c r="AJ30" s="412"/>
      <c r="AK30" s="412"/>
      <c r="AL30" s="412"/>
      <c r="AM30" s="412"/>
      <c r="AN30" s="412"/>
      <c r="AO30" s="412"/>
      <c r="AP30" s="412"/>
      <c r="AQ30" s="412"/>
      <c r="AR30" s="412"/>
      <c r="AS30" s="412"/>
      <c r="AT30" s="412"/>
      <c r="AU30" s="412"/>
      <c r="AV30" s="412"/>
      <c r="AW30" s="412"/>
      <c r="AX30" s="412"/>
      <c r="AY30" s="449"/>
    </row>
    <row r="31" spans="3:70" s="15" customFormat="1" ht="14.1" customHeight="1" x14ac:dyDescent="0.2">
      <c r="C31" s="411"/>
      <c r="D31" s="688"/>
      <c r="E31" s="790" t="str">
        <f>INFORME!D222</f>
        <v>Amortizaciones</v>
      </c>
      <c r="F31" s="791">
        <f>INFORME!E222</f>
        <v>0</v>
      </c>
      <c r="G31" s="792">
        <f>INFORME!G222</f>
        <v>0</v>
      </c>
      <c r="H31" s="793">
        <f>INFORME!H222</f>
        <v>0</v>
      </c>
      <c r="I31" s="793">
        <f>INFORME!I222</f>
        <v>0</v>
      </c>
      <c r="J31" s="793">
        <f>INFORME!J222</f>
        <v>0</v>
      </c>
      <c r="K31" s="793">
        <f>INFORME!K222</f>
        <v>0</v>
      </c>
      <c r="L31" s="793">
        <f>INFORME!L222</f>
        <v>0</v>
      </c>
      <c r="M31" s="793">
        <f>INFORME!M222</f>
        <v>0</v>
      </c>
      <c r="N31" s="793">
        <f>INFORME!N222</f>
        <v>0</v>
      </c>
      <c r="O31" s="793">
        <f>INFORME!O222</f>
        <v>0</v>
      </c>
      <c r="P31" s="793">
        <f>INFORME!P222</f>
        <v>0</v>
      </c>
      <c r="Q31" s="793">
        <f>INFORME!Q222</f>
        <v>0</v>
      </c>
      <c r="R31" s="794">
        <f>INFORME!R222</f>
        <v>0</v>
      </c>
      <c r="S31" s="690"/>
      <c r="T31" s="298"/>
      <c r="U31" s="402"/>
      <c r="V31" s="402"/>
      <c r="W31" s="402"/>
      <c r="X31" s="402"/>
      <c r="Y31" s="402"/>
      <c r="Z31" s="402"/>
      <c r="AA31" s="402"/>
      <c r="AB31" s="402"/>
      <c r="AC31" s="402"/>
      <c r="AD31" s="402"/>
      <c r="AE31" s="296"/>
      <c r="AF31" s="296"/>
      <c r="AG31" s="411"/>
      <c r="AH31" s="411"/>
      <c r="AI31" s="412"/>
      <c r="AJ31" s="412"/>
      <c r="AK31" s="412"/>
      <c r="AL31" s="412"/>
      <c r="AM31" s="412"/>
      <c r="AN31" s="412"/>
      <c r="AO31" s="412"/>
      <c r="AP31" s="412"/>
      <c r="AQ31" s="412"/>
      <c r="AR31" s="412"/>
      <c r="AS31" s="412"/>
      <c r="AT31" s="412"/>
      <c r="AU31" s="412"/>
      <c r="AV31" s="412"/>
      <c r="AW31" s="412"/>
      <c r="AX31" s="412"/>
      <c r="AY31" s="449"/>
    </row>
    <row r="32" spans="3:70" s="15" customFormat="1" ht="14.1" customHeight="1" x14ac:dyDescent="0.2">
      <c r="C32" s="411"/>
      <c r="D32" s="688"/>
      <c r="E32" s="795" t="str">
        <f>INFORME!D223</f>
        <v>Financieros</v>
      </c>
      <c r="F32" s="796">
        <f>INFORME!E223</f>
        <v>0</v>
      </c>
      <c r="G32" s="797">
        <f>INFORME!G223</f>
        <v>0</v>
      </c>
      <c r="H32" s="798">
        <f>INFORME!H223</f>
        <v>0</v>
      </c>
      <c r="I32" s="798">
        <f>INFORME!I223</f>
        <v>0</v>
      </c>
      <c r="J32" s="798">
        <f>INFORME!J223</f>
        <v>0</v>
      </c>
      <c r="K32" s="798">
        <f>INFORME!K223</f>
        <v>0</v>
      </c>
      <c r="L32" s="798">
        <f>INFORME!L223</f>
        <v>0</v>
      </c>
      <c r="M32" s="798">
        <f>INFORME!M223</f>
        <v>0</v>
      </c>
      <c r="N32" s="798">
        <f>INFORME!N223</f>
        <v>0</v>
      </c>
      <c r="O32" s="798">
        <f>INFORME!O223</f>
        <v>0</v>
      </c>
      <c r="P32" s="798">
        <f>INFORME!P223</f>
        <v>0</v>
      </c>
      <c r="Q32" s="798">
        <f>INFORME!Q223</f>
        <v>0</v>
      </c>
      <c r="R32" s="799">
        <f>INFORME!R223</f>
        <v>0</v>
      </c>
      <c r="S32" s="690"/>
      <c r="T32" s="298"/>
      <c r="U32" s="402"/>
      <c r="V32" s="402"/>
      <c r="W32" s="402"/>
      <c r="X32" s="402"/>
      <c r="Y32" s="402"/>
      <c r="Z32" s="402"/>
      <c r="AA32" s="402"/>
      <c r="AB32" s="402"/>
      <c r="AC32" s="402"/>
      <c r="AD32" s="402"/>
      <c r="AE32" s="296"/>
      <c r="AF32" s="296"/>
      <c r="AG32" s="411"/>
      <c r="AH32" s="411"/>
      <c r="AI32" s="412"/>
      <c r="AJ32" s="412"/>
      <c r="AK32" s="412"/>
      <c r="AL32" s="412"/>
      <c r="AM32" s="412"/>
      <c r="AN32" s="412"/>
      <c r="AO32" s="412"/>
      <c r="AP32" s="412"/>
      <c r="AQ32" s="412"/>
      <c r="AR32" s="412"/>
      <c r="AS32" s="412"/>
      <c r="AT32" s="412"/>
      <c r="AU32" s="412"/>
      <c r="AV32" s="412"/>
      <c r="AW32" s="412"/>
      <c r="AX32" s="412"/>
      <c r="AY32" s="449"/>
    </row>
    <row r="33" spans="3:51" s="15" customFormat="1" ht="12" customHeight="1" thickBot="1" x14ac:dyDescent="0.25">
      <c r="C33" s="411"/>
      <c r="D33" s="688"/>
      <c r="E33" s="800" t="s">
        <v>313</v>
      </c>
      <c r="F33" s="801">
        <f>F32+F31+F29+F28+F26</f>
        <v>0</v>
      </c>
      <c r="G33" s="802">
        <f t="shared" ref="G33:R33" si="5">G32+G31+G29+G28+G26</f>
        <v>0</v>
      </c>
      <c r="H33" s="803">
        <f t="shared" si="5"/>
        <v>0</v>
      </c>
      <c r="I33" s="803">
        <f t="shared" si="5"/>
        <v>0</v>
      </c>
      <c r="J33" s="803">
        <f t="shared" si="5"/>
        <v>0</v>
      </c>
      <c r="K33" s="803">
        <f t="shared" si="5"/>
        <v>0</v>
      </c>
      <c r="L33" s="803">
        <f t="shared" si="5"/>
        <v>0</v>
      </c>
      <c r="M33" s="803">
        <f t="shared" si="5"/>
        <v>0</v>
      </c>
      <c r="N33" s="803">
        <f t="shared" si="5"/>
        <v>0</v>
      </c>
      <c r="O33" s="803">
        <f t="shared" si="5"/>
        <v>0</v>
      </c>
      <c r="P33" s="803">
        <f t="shared" si="5"/>
        <v>0</v>
      </c>
      <c r="Q33" s="803">
        <f t="shared" si="5"/>
        <v>0</v>
      </c>
      <c r="R33" s="804">
        <f t="shared" si="5"/>
        <v>0</v>
      </c>
      <c r="S33" s="690"/>
      <c r="T33" s="298"/>
      <c r="U33" s="402"/>
      <c r="V33" s="402"/>
      <c r="W33" s="402"/>
      <c r="X33" s="402"/>
      <c r="Y33" s="402"/>
      <c r="Z33" s="402"/>
      <c r="AA33" s="402"/>
      <c r="AB33" s="402"/>
      <c r="AC33" s="402"/>
      <c r="AD33" s="402"/>
      <c r="AE33" s="296"/>
      <c r="AF33" s="296"/>
      <c r="AG33" s="411"/>
      <c r="AH33" s="411"/>
      <c r="AI33" s="412"/>
      <c r="AJ33" s="412"/>
      <c r="AK33" s="412"/>
      <c r="AL33" s="412"/>
      <c r="AM33" s="412"/>
      <c r="AN33" s="412"/>
      <c r="AO33" s="412"/>
      <c r="AP33" s="412"/>
      <c r="AQ33" s="412"/>
      <c r="AR33" s="412"/>
      <c r="AS33" s="412"/>
      <c r="AT33" s="412"/>
      <c r="AU33" s="412"/>
      <c r="AV33" s="412"/>
      <c r="AW33" s="412"/>
      <c r="AX33" s="412"/>
      <c r="AY33" s="449"/>
    </row>
    <row r="34" spans="3:51" s="15" customFormat="1" ht="14.1" customHeight="1" thickBot="1" x14ac:dyDescent="0.25">
      <c r="C34" s="411"/>
      <c r="D34" s="688"/>
      <c r="E34" s="917" t="str">
        <f>INFORME!D225</f>
        <v>BENEFICIO BRUTO</v>
      </c>
      <c r="F34" s="805">
        <f>INFORME!E225</f>
        <v>0</v>
      </c>
      <c r="G34" s="806">
        <f>INFORME!G225</f>
        <v>0</v>
      </c>
      <c r="H34" s="807">
        <f>INFORME!H225</f>
        <v>0</v>
      </c>
      <c r="I34" s="807">
        <f>INFORME!I225</f>
        <v>0</v>
      </c>
      <c r="J34" s="807">
        <f>INFORME!J225</f>
        <v>0</v>
      </c>
      <c r="K34" s="807">
        <f>INFORME!K225</f>
        <v>0</v>
      </c>
      <c r="L34" s="807">
        <f>INFORME!L225</f>
        <v>0</v>
      </c>
      <c r="M34" s="807">
        <f>INFORME!M225</f>
        <v>0</v>
      </c>
      <c r="N34" s="807">
        <f>INFORME!N225</f>
        <v>0</v>
      </c>
      <c r="O34" s="807">
        <f>INFORME!O225</f>
        <v>0</v>
      </c>
      <c r="P34" s="807">
        <f>INFORME!P225</f>
        <v>0</v>
      </c>
      <c r="Q34" s="807">
        <f>INFORME!Q225</f>
        <v>0</v>
      </c>
      <c r="R34" s="808">
        <f>INFORME!R225</f>
        <v>0</v>
      </c>
      <c r="S34" s="690"/>
      <c r="T34" s="298"/>
      <c r="U34" s="402"/>
      <c r="V34" s="402"/>
      <c r="W34" s="402"/>
      <c r="X34" s="402"/>
      <c r="Y34" s="402"/>
      <c r="Z34" s="402"/>
      <c r="AA34" s="402"/>
      <c r="AB34" s="402"/>
      <c r="AC34" s="402"/>
      <c r="AD34" s="402"/>
      <c r="AE34" s="296"/>
      <c r="AF34" s="296"/>
      <c r="AG34" s="411"/>
      <c r="AH34" s="411"/>
      <c r="AI34" s="412"/>
      <c r="AJ34" s="412"/>
      <c r="AK34" s="412"/>
      <c r="AL34" s="412"/>
      <c r="AM34" s="412"/>
      <c r="AN34" s="412"/>
      <c r="AO34" s="412"/>
      <c r="AP34" s="412"/>
      <c r="AQ34" s="412"/>
      <c r="AR34" s="412"/>
      <c r="AS34" s="412"/>
      <c r="AT34" s="412"/>
      <c r="AU34" s="412"/>
      <c r="AV34" s="412"/>
      <c r="AW34" s="412"/>
      <c r="AX34" s="412"/>
      <c r="AY34" s="449"/>
    </row>
    <row r="35" spans="3:51" s="15" customFormat="1" ht="6.75" customHeight="1" x14ac:dyDescent="0.2">
      <c r="C35" s="411"/>
      <c r="D35" s="691"/>
      <c r="E35" s="692"/>
      <c r="F35" s="692"/>
      <c r="G35" s="692"/>
      <c r="H35" s="692"/>
      <c r="I35" s="692"/>
      <c r="J35" s="692"/>
      <c r="K35" s="692"/>
      <c r="L35" s="692"/>
      <c r="M35" s="692"/>
      <c r="N35" s="692"/>
      <c r="O35" s="692"/>
      <c r="P35" s="692"/>
      <c r="Q35" s="692"/>
      <c r="R35" s="692"/>
      <c r="S35" s="693"/>
      <c r="T35" s="298"/>
      <c r="U35" s="402"/>
      <c r="V35" s="402"/>
      <c r="W35" s="402"/>
      <c r="X35" s="402"/>
      <c r="Y35" s="402"/>
      <c r="Z35" s="402"/>
      <c r="AA35" s="402"/>
      <c r="AB35" s="402"/>
      <c r="AC35" s="402"/>
      <c r="AD35" s="402"/>
      <c r="AE35" s="296"/>
      <c r="AF35" s="296"/>
      <c r="AG35" s="411"/>
      <c r="AH35" s="411"/>
      <c r="AI35" s="412"/>
      <c r="AJ35" s="412"/>
      <c r="AK35" s="412"/>
      <c r="AL35" s="412"/>
      <c r="AM35" s="412"/>
      <c r="AN35" s="412"/>
      <c r="AO35" s="412"/>
      <c r="AP35" s="412"/>
      <c r="AQ35" s="412"/>
      <c r="AR35" s="412"/>
      <c r="AS35" s="412"/>
      <c r="AT35" s="412"/>
      <c r="AU35" s="412"/>
      <c r="AV35" s="412"/>
      <c r="AW35" s="412"/>
      <c r="AX35" s="412"/>
      <c r="AY35" s="449"/>
    </row>
    <row r="36" spans="3:51" s="15" customFormat="1" x14ac:dyDescent="0.2">
      <c r="C36" s="411"/>
      <c r="D36" s="411"/>
      <c r="E36" s="411"/>
      <c r="F36" s="411"/>
      <c r="G36" s="411"/>
      <c r="H36" s="411"/>
      <c r="I36" s="411"/>
      <c r="J36" s="411"/>
      <c r="K36" s="411"/>
      <c r="L36" s="411"/>
      <c r="M36" s="411"/>
      <c r="N36" s="411"/>
      <c r="O36" s="411"/>
      <c r="P36" s="411"/>
      <c r="Q36" s="411"/>
      <c r="R36" s="411"/>
      <c r="S36" s="411"/>
      <c r="T36" s="298"/>
      <c r="U36" s="402"/>
      <c r="V36" s="402"/>
      <c r="W36" s="402"/>
      <c r="X36" s="402"/>
      <c r="Y36" s="402"/>
      <c r="Z36" s="402"/>
      <c r="AA36" s="402"/>
      <c r="AB36" s="402"/>
      <c r="AC36" s="402"/>
      <c r="AD36" s="402"/>
      <c r="AE36" s="296"/>
      <c r="AF36" s="296"/>
      <c r="AG36" s="411"/>
      <c r="AH36" s="411"/>
      <c r="AI36" s="412"/>
      <c r="AJ36" s="412"/>
      <c r="AK36" s="412"/>
      <c r="AL36" s="412"/>
      <c r="AM36" s="412"/>
      <c r="AN36" s="412"/>
      <c r="AO36" s="412"/>
      <c r="AP36" s="412"/>
      <c r="AQ36" s="412"/>
      <c r="AR36" s="412"/>
      <c r="AS36" s="412"/>
      <c r="AT36" s="412"/>
      <c r="AU36" s="412"/>
      <c r="AV36" s="412"/>
      <c r="AW36" s="412"/>
      <c r="AX36" s="412"/>
      <c r="AY36" s="449"/>
    </row>
    <row r="37" spans="3:51" s="15" customFormat="1" x14ac:dyDescent="0.2">
      <c r="C37" s="411"/>
      <c r="D37" s="411"/>
      <c r="E37" s="411"/>
      <c r="F37" s="411"/>
      <c r="G37" s="411"/>
      <c r="H37" s="411"/>
      <c r="I37" s="411"/>
      <c r="J37" s="411"/>
      <c r="K37" s="411"/>
      <c r="L37" s="411"/>
      <c r="M37" s="411"/>
      <c r="N37" s="411"/>
      <c r="O37" s="411"/>
      <c r="P37" s="411"/>
      <c r="Q37" s="411"/>
      <c r="R37" s="411"/>
      <c r="S37" s="411"/>
      <c r="T37" s="298"/>
      <c r="U37" s="402"/>
      <c r="V37" s="402"/>
      <c r="W37" s="402"/>
      <c r="X37" s="402"/>
      <c r="Y37" s="402"/>
      <c r="Z37" s="402"/>
      <c r="AA37" s="402"/>
      <c r="AB37" s="402"/>
      <c r="AC37" s="402"/>
      <c r="AD37" s="402"/>
      <c r="AE37" s="296"/>
      <c r="AF37" s="296"/>
      <c r="AG37" s="411"/>
      <c r="AH37" s="411"/>
      <c r="AI37" s="412"/>
      <c r="AJ37" s="412"/>
      <c r="AK37" s="412"/>
      <c r="AL37" s="412"/>
      <c r="AM37" s="412"/>
      <c r="AN37" s="412"/>
      <c r="AO37" s="412"/>
      <c r="AP37" s="412"/>
      <c r="AQ37" s="412"/>
      <c r="AR37" s="412"/>
      <c r="AS37" s="412"/>
      <c r="AT37" s="412"/>
      <c r="AU37" s="412"/>
      <c r="AV37" s="412"/>
      <c r="AW37" s="412"/>
      <c r="AX37" s="412"/>
      <c r="AY37" s="449"/>
    </row>
    <row r="38" spans="3:51" s="15" customFormat="1" x14ac:dyDescent="0.2">
      <c r="C38" s="411"/>
      <c r="D38" s="411"/>
      <c r="E38" s="411"/>
      <c r="F38" s="704"/>
      <c r="G38" s="411"/>
      <c r="H38" s="411"/>
      <c r="I38" s="411"/>
      <c r="J38" s="411"/>
      <c r="K38" s="411"/>
      <c r="L38" s="411"/>
      <c r="M38" s="411"/>
      <c r="N38" s="411"/>
      <c r="O38" s="411"/>
      <c r="P38" s="411"/>
      <c r="Q38" s="411"/>
      <c r="R38" s="411"/>
      <c r="S38" s="411"/>
      <c r="T38" s="298"/>
      <c r="U38" s="402"/>
      <c r="V38" s="402"/>
      <c r="W38" s="402"/>
      <c r="X38" s="402"/>
      <c r="Y38" s="402"/>
      <c r="Z38" s="402"/>
      <c r="AA38" s="402"/>
      <c r="AB38" s="402"/>
      <c r="AC38" s="402"/>
      <c r="AD38" s="402"/>
      <c r="AE38" s="296"/>
      <c r="AF38" s="296"/>
      <c r="AG38" s="411"/>
      <c r="AH38" s="411"/>
      <c r="AI38" s="412"/>
      <c r="AJ38" s="412"/>
      <c r="AK38" s="412"/>
      <c r="AL38" s="412"/>
      <c r="AM38" s="412"/>
      <c r="AN38" s="412"/>
      <c r="AO38" s="412"/>
      <c r="AP38" s="412"/>
      <c r="AQ38" s="412"/>
      <c r="AR38" s="412"/>
      <c r="AS38" s="412"/>
      <c r="AT38" s="412"/>
      <c r="AU38" s="412"/>
      <c r="AV38" s="412"/>
      <c r="AW38" s="412"/>
      <c r="AX38" s="412"/>
      <c r="AY38" s="449"/>
    </row>
    <row r="39" spans="3:51" s="15" customFormat="1" x14ac:dyDescent="0.2">
      <c r="C39" s="411"/>
      <c r="D39" s="411"/>
      <c r="E39" s="411"/>
      <c r="F39" s="704"/>
      <c r="G39" s="411"/>
      <c r="H39" s="411"/>
      <c r="I39" s="411"/>
      <c r="J39" s="411"/>
      <c r="K39" s="411"/>
      <c r="L39" s="411"/>
      <c r="M39" s="411"/>
      <c r="N39" s="411"/>
      <c r="O39" s="411"/>
      <c r="P39" s="411"/>
      <c r="Q39" s="411"/>
      <c r="R39" s="411"/>
      <c r="S39" s="411"/>
      <c r="T39" s="298"/>
      <c r="U39" s="402"/>
      <c r="V39" s="402"/>
      <c r="W39" s="402"/>
      <c r="X39" s="402"/>
      <c r="Y39" s="402"/>
      <c r="Z39" s="402"/>
      <c r="AA39" s="402"/>
      <c r="AB39" s="402"/>
      <c r="AC39" s="402"/>
      <c r="AD39" s="402"/>
      <c r="AE39" s="296"/>
      <c r="AF39" s="296"/>
      <c r="AG39" s="411"/>
      <c r="AH39" s="411"/>
      <c r="AI39" s="412"/>
      <c r="AJ39" s="412"/>
      <c r="AK39" s="412"/>
      <c r="AL39" s="412"/>
      <c r="AM39" s="412"/>
      <c r="AN39" s="412"/>
      <c r="AO39" s="412"/>
      <c r="AP39" s="412"/>
      <c r="AQ39" s="412"/>
      <c r="AR39" s="412"/>
      <c r="AS39" s="412"/>
      <c r="AT39" s="412"/>
      <c r="AU39" s="412"/>
      <c r="AV39" s="412"/>
      <c r="AW39" s="412"/>
      <c r="AX39" s="412"/>
      <c r="AY39" s="449"/>
    </row>
    <row r="40" spans="3:51" s="15" customFormat="1" x14ac:dyDescent="0.2">
      <c r="C40" s="411"/>
      <c r="D40" s="411"/>
      <c r="E40" s="411"/>
      <c r="F40" s="704"/>
      <c r="G40" s="411"/>
      <c r="H40" s="411"/>
      <c r="I40" s="411"/>
      <c r="J40" s="411"/>
      <c r="K40" s="411"/>
      <c r="L40" s="411"/>
      <c r="M40" s="411"/>
      <c r="N40" s="411"/>
      <c r="O40" s="411"/>
      <c r="P40" s="411"/>
      <c r="Q40" s="411"/>
      <c r="R40" s="411"/>
      <c r="S40" s="411"/>
      <c r="T40" s="298"/>
      <c r="U40" s="402"/>
      <c r="V40" s="402"/>
      <c r="W40" s="402"/>
      <c r="X40" s="402"/>
      <c r="Y40" s="402"/>
      <c r="Z40" s="402"/>
      <c r="AA40" s="402"/>
      <c r="AB40" s="402"/>
      <c r="AC40" s="402"/>
      <c r="AD40" s="402"/>
      <c r="AE40" s="296"/>
      <c r="AF40" s="296"/>
      <c r="AG40" s="411"/>
      <c r="AH40" s="411"/>
      <c r="AI40" s="412"/>
      <c r="AJ40" s="412"/>
      <c r="AK40" s="412"/>
      <c r="AL40" s="412"/>
      <c r="AM40" s="412"/>
      <c r="AN40" s="412"/>
      <c r="AO40" s="412"/>
      <c r="AP40" s="412"/>
      <c r="AQ40" s="412"/>
      <c r="AR40" s="412"/>
      <c r="AS40" s="412"/>
      <c r="AT40" s="412"/>
      <c r="AU40" s="412"/>
      <c r="AV40" s="412"/>
      <c r="AW40" s="412"/>
      <c r="AX40" s="412"/>
      <c r="AY40" s="449"/>
    </row>
    <row r="41" spans="3:51" s="15" customFormat="1" x14ac:dyDescent="0.2">
      <c r="C41" s="411"/>
      <c r="D41" s="411"/>
      <c r="E41" s="411"/>
      <c r="F41" s="704"/>
      <c r="G41" s="411"/>
      <c r="H41" s="411"/>
      <c r="I41" s="411"/>
      <c r="J41" s="411"/>
      <c r="K41" s="411"/>
      <c r="L41" s="411"/>
      <c r="M41" s="411"/>
      <c r="N41" s="411"/>
      <c r="O41" s="411"/>
      <c r="P41" s="411"/>
      <c r="Q41" s="411"/>
      <c r="R41" s="411"/>
      <c r="S41" s="411"/>
      <c r="T41" s="298"/>
      <c r="U41" s="402"/>
      <c r="V41" s="402"/>
      <c r="W41" s="402"/>
      <c r="X41" s="402"/>
      <c r="Y41" s="402"/>
      <c r="Z41" s="402"/>
      <c r="AA41" s="402"/>
      <c r="AB41" s="402"/>
      <c r="AC41" s="402"/>
      <c r="AD41" s="402"/>
      <c r="AE41" s="296"/>
      <c r="AF41" s="296"/>
      <c r="AG41" s="411"/>
      <c r="AH41" s="411"/>
      <c r="AI41" s="412"/>
      <c r="AJ41" s="412"/>
      <c r="AK41" s="412"/>
      <c r="AL41" s="412"/>
      <c r="AM41" s="412"/>
      <c r="AN41" s="412"/>
      <c r="AO41" s="412"/>
      <c r="AP41" s="412"/>
      <c r="AQ41" s="412"/>
      <c r="AR41" s="412"/>
      <c r="AS41" s="412"/>
      <c r="AT41" s="412"/>
      <c r="AU41" s="412"/>
      <c r="AV41" s="412"/>
      <c r="AW41" s="412"/>
      <c r="AX41" s="412"/>
      <c r="AY41" s="449"/>
    </row>
    <row r="42" spans="3:51" s="15" customFormat="1" x14ac:dyDescent="0.2">
      <c r="C42" s="411"/>
      <c r="D42" s="411"/>
      <c r="E42" s="411"/>
      <c r="F42" s="704"/>
      <c r="G42" s="411"/>
      <c r="H42" s="411"/>
      <c r="I42" s="411"/>
      <c r="J42" s="411"/>
      <c r="K42" s="411"/>
      <c r="L42" s="411"/>
      <c r="M42" s="411"/>
      <c r="N42" s="411"/>
      <c r="O42" s="411"/>
      <c r="P42" s="411"/>
      <c r="Q42" s="411"/>
      <c r="R42" s="411"/>
      <c r="S42" s="411"/>
      <c r="T42" s="298"/>
      <c r="U42" s="402"/>
      <c r="V42" s="402"/>
      <c r="W42" s="402"/>
      <c r="X42" s="402"/>
      <c r="Y42" s="402"/>
      <c r="Z42" s="402"/>
      <c r="AA42" s="402"/>
      <c r="AB42" s="402"/>
      <c r="AC42" s="402"/>
      <c r="AD42" s="402"/>
      <c r="AE42" s="296"/>
      <c r="AF42" s="296"/>
      <c r="AG42" s="411"/>
      <c r="AH42" s="411"/>
      <c r="AI42" s="412"/>
      <c r="AJ42" s="412"/>
      <c r="AK42" s="412"/>
      <c r="AL42" s="412"/>
      <c r="AM42" s="412"/>
      <c r="AN42" s="412"/>
      <c r="AO42" s="412"/>
      <c r="AP42" s="412"/>
      <c r="AQ42" s="412"/>
      <c r="AR42" s="412"/>
      <c r="AS42" s="412"/>
      <c r="AT42" s="412"/>
      <c r="AU42" s="412"/>
      <c r="AV42" s="412"/>
      <c r="AW42" s="412"/>
      <c r="AX42" s="412"/>
      <c r="AY42" s="449"/>
    </row>
    <row r="43" spans="3:51" s="15" customFormat="1" x14ac:dyDescent="0.2">
      <c r="C43" s="411"/>
      <c r="D43" s="411"/>
      <c r="E43" s="411"/>
      <c r="F43" s="704"/>
      <c r="G43" s="411"/>
      <c r="H43" s="411"/>
      <c r="I43" s="411"/>
      <c r="J43" s="411"/>
      <c r="K43" s="411"/>
      <c r="L43" s="411"/>
      <c r="M43" s="411"/>
      <c r="N43" s="411"/>
      <c r="O43" s="411"/>
      <c r="P43" s="411"/>
      <c r="Q43" s="411"/>
      <c r="R43" s="411"/>
      <c r="S43" s="411"/>
      <c r="T43" s="298"/>
      <c r="U43" s="402"/>
      <c r="V43" s="402"/>
      <c r="W43" s="402"/>
      <c r="X43" s="402"/>
      <c r="Y43" s="402"/>
      <c r="Z43" s="402"/>
      <c r="AA43" s="402"/>
      <c r="AB43" s="402"/>
      <c r="AC43" s="402"/>
      <c r="AD43" s="402"/>
      <c r="AE43" s="296"/>
      <c r="AF43" s="296"/>
      <c r="AG43" s="411"/>
      <c r="AH43" s="411"/>
      <c r="AI43" s="412"/>
      <c r="AJ43" s="412"/>
      <c r="AK43" s="412"/>
      <c r="AL43" s="412"/>
      <c r="AM43" s="412"/>
      <c r="AN43" s="412"/>
      <c r="AO43" s="412"/>
      <c r="AP43" s="412"/>
      <c r="AQ43" s="412"/>
      <c r="AR43" s="412"/>
      <c r="AS43" s="412"/>
      <c r="AT43" s="412"/>
      <c r="AU43" s="412"/>
      <c r="AV43" s="412"/>
      <c r="AW43" s="412"/>
      <c r="AX43" s="412"/>
      <c r="AY43" s="449"/>
    </row>
    <row r="44" spans="3:51" s="15" customFormat="1" x14ac:dyDescent="0.2">
      <c r="C44" s="411"/>
      <c r="D44" s="411"/>
      <c r="E44" s="411"/>
      <c r="F44" s="704"/>
      <c r="G44" s="411"/>
      <c r="H44" s="411"/>
      <c r="I44" s="411"/>
      <c r="J44" s="411"/>
      <c r="K44" s="411"/>
      <c r="L44" s="411"/>
      <c r="M44" s="411"/>
      <c r="N44" s="411"/>
      <c r="O44" s="411"/>
      <c r="P44" s="411"/>
      <c r="Q44" s="411"/>
      <c r="R44" s="411"/>
      <c r="S44" s="411"/>
      <c r="T44" s="298"/>
      <c r="U44" s="402"/>
      <c r="V44" s="402"/>
      <c r="W44" s="402"/>
      <c r="X44" s="402"/>
      <c r="Y44" s="402"/>
      <c r="Z44" s="402"/>
      <c r="AA44" s="402"/>
      <c r="AB44" s="402"/>
      <c r="AC44" s="402"/>
      <c r="AD44" s="402"/>
      <c r="AE44" s="296"/>
      <c r="AF44" s="296"/>
      <c r="AG44" s="411"/>
      <c r="AH44" s="411"/>
      <c r="AI44" s="412"/>
      <c r="AJ44" s="412"/>
      <c r="AK44" s="412"/>
      <c r="AL44" s="412"/>
      <c r="AM44" s="412"/>
      <c r="AN44" s="412"/>
      <c r="AO44" s="412"/>
      <c r="AP44" s="412"/>
      <c r="AQ44" s="412"/>
      <c r="AR44" s="412"/>
      <c r="AS44" s="412"/>
      <c r="AT44" s="412"/>
      <c r="AU44" s="412"/>
      <c r="AV44" s="412"/>
      <c r="AW44" s="412"/>
      <c r="AX44" s="412"/>
      <c r="AY44" s="449"/>
    </row>
    <row r="45" spans="3:51" s="15" customFormat="1" x14ac:dyDescent="0.2">
      <c r="C45" s="411"/>
      <c r="D45" s="411"/>
      <c r="E45" s="411"/>
      <c r="F45" s="704"/>
      <c r="G45" s="411"/>
      <c r="H45" s="411"/>
      <c r="I45" s="411"/>
      <c r="J45" s="411"/>
      <c r="K45" s="411"/>
      <c r="L45" s="411"/>
      <c r="M45" s="411"/>
      <c r="N45" s="411"/>
      <c r="O45" s="411"/>
      <c r="P45" s="411"/>
      <c r="Q45" s="411"/>
      <c r="R45" s="411"/>
      <c r="S45" s="411"/>
      <c r="T45" s="298"/>
      <c r="U45" s="402"/>
      <c r="V45" s="402"/>
      <c r="W45" s="402"/>
      <c r="X45" s="402"/>
      <c r="Y45" s="402"/>
      <c r="Z45" s="402"/>
      <c r="AA45" s="402"/>
      <c r="AB45" s="402"/>
      <c r="AC45" s="402"/>
      <c r="AD45" s="402"/>
      <c r="AE45" s="296"/>
      <c r="AF45" s="296"/>
      <c r="AG45" s="411"/>
      <c r="AH45" s="411"/>
      <c r="AI45" s="412"/>
      <c r="AJ45" s="412"/>
      <c r="AK45" s="412"/>
      <c r="AL45" s="412"/>
      <c r="AM45" s="412"/>
      <c r="AN45" s="412"/>
      <c r="AO45" s="412"/>
      <c r="AP45" s="412"/>
      <c r="AQ45" s="412"/>
      <c r="AR45" s="412"/>
      <c r="AS45" s="412"/>
      <c r="AT45" s="412"/>
      <c r="AU45" s="412"/>
      <c r="AV45" s="412"/>
      <c r="AW45" s="412"/>
      <c r="AX45" s="412"/>
      <c r="AY45" s="449"/>
    </row>
    <row r="46" spans="3:51" s="15" customFormat="1" x14ac:dyDescent="0.2">
      <c r="C46" s="411"/>
      <c r="D46" s="411"/>
      <c r="E46" s="411"/>
      <c r="F46" s="704"/>
      <c r="G46" s="411"/>
      <c r="H46" s="411"/>
      <c r="I46" s="411"/>
      <c r="J46" s="411"/>
      <c r="K46" s="411"/>
      <c r="L46" s="411"/>
      <c r="M46" s="411"/>
      <c r="N46" s="411"/>
      <c r="O46" s="411"/>
      <c r="P46" s="411"/>
      <c r="Q46" s="411"/>
      <c r="R46" s="411"/>
      <c r="S46" s="411"/>
      <c r="T46" s="298"/>
      <c r="U46" s="402"/>
      <c r="V46" s="402"/>
      <c r="W46" s="402"/>
      <c r="X46" s="402"/>
      <c r="Y46" s="402"/>
      <c r="Z46" s="402"/>
      <c r="AA46" s="402"/>
      <c r="AB46" s="402"/>
      <c r="AC46" s="402"/>
      <c r="AD46" s="402"/>
      <c r="AE46" s="296"/>
      <c r="AF46" s="296"/>
      <c r="AG46" s="411"/>
      <c r="AH46" s="411"/>
      <c r="AI46" s="412"/>
      <c r="AJ46" s="412"/>
      <c r="AK46" s="412"/>
      <c r="AL46" s="412"/>
      <c r="AM46" s="412"/>
      <c r="AN46" s="412"/>
      <c r="AO46" s="412"/>
      <c r="AP46" s="412"/>
      <c r="AQ46" s="412"/>
      <c r="AR46" s="412"/>
      <c r="AS46" s="412"/>
      <c r="AT46" s="412"/>
      <c r="AU46" s="412"/>
      <c r="AV46" s="412"/>
      <c r="AW46" s="412"/>
      <c r="AX46" s="412"/>
      <c r="AY46" s="449"/>
    </row>
    <row r="47" spans="3:51" s="15" customFormat="1" x14ac:dyDescent="0.2">
      <c r="C47" s="411"/>
      <c r="D47" s="411"/>
      <c r="E47" s="411"/>
      <c r="F47" s="704"/>
      <c r="G47" s="411"/>
      <c r="H47" s="411"/>
      <c r="I47" s="411"/>
      <c r="J47" s="411"/>
      <c r="K47" s="411"/>
      <c r="L47" s="411"/>
      <c r="M47" s="411"/>
      <c r="N47" s="411"/>
      <c r="O47" s="411"/>
      <c r="P47" s="411"/>
      <c r="Q47" s="411"/>
      <c r="R47" s="411"/>
      <c r="S47" s="411"/>
      <c r="T47" s="298"/>
      <c r="U47" s="402"/>
      <c r="V47" s="402"/>
      <c r="W47" s="402"/>
      <c r="X47" s="402"/>
      <c r="Y47" s="402"/>
      <c r="Z47" s="402"/>
      <c r="AA47" s="402"/>
      <c r="AB47" s="402"/>
      <c r="AC47" s="402"/>
      <c r="AD47" s="402"/>
      <c r="AE47" s="296"/>
      <c r="AF47" s="296"/>
      <c r="AG47" s="411"/>
      <c r="AH47" s="411"/>
      <c r="AI47" s="412"/>
      <c r="AJ47" s="412"/>
      <c r="AK47" s="412"/>
      <c r="AL47" s="412"/>
      <c r="AM47" s="412"/>
      <c r="AN47" s="412"/>
      <c r="AO47" s="412"/>
      <c r="AP47" s="412"/>
      <c r="AQ47" s="412"/>
      <c r="AR47" s="412"/>
      <c r="AS47" s="412"/>
      <c r="AT47" s="412"/>
      <c r="AU47" s="412"/>
      <c r="AV47" s="412"/>
      <c r="AW47" s="412"/>
      <c r="AX47" s="412"/>
      <c r="AY47" s="449"/>
    </row>
    <row r="48" spans="3:51" s="15" customFormat="1" x14ac:dyDescent="0.2">
      <c r="C48" s="411"/>
      <c r="D48" s="411"/>
      <c r="E48" s="411"/>
      <c r="F48" s="704"/>
      <c r="G48" s="411"/>
      <c r="H48" s="411"/>
      <c r="I48" s="411"/>
      <c r="J48" s="411"/>
      <c r="K48" s="411"/>
      <c r="L48" s="411"/>
      <c r="M48" s="411"/>
      <c r="N48" s="411"/>
      <c r="O48" s="411"/>
      <c r="P48" s="411"/>
      <c r="Q48" s="411"/>
      <c r="R48" s="411"/>
      <c r="S48" s="411"/>
      <c r="T48" s="298"/>
      <c r="U48" s="402"/>
      <c r="V48" s="402"/>
      <c r="W48" s="402"/>
      <c r="X48" s="402"/>
      <c r="Y48" s="402"/>
      <c r="Z48" s="402"/>
      <c r="AA48" s="402"/>
      <c r="AB48" s="402"/>
      <c r="AC48" s="402"/>
      <c r="AD48" s="402"/>
      <c r="AE48" s="296"/>
      <c r="AF48" s="296"/>
      <c r="AG48" s="411"/>
      <c r="AH48" s="411"/>
      <c r="AI48" s="412"/>
      <c r="AJ48" s="412"/>
      <c r="AK48" s="412"/>
      <c r="AL48" s="412"/>
      <c r="AM48" s="412"/>
      <c r="AN48" s="412"/>
      <c r="AO48" s="412"/>
      <c r="AP48" s="412"/>
      <c r="AQ48" s="412"/>
      <c r="AR48" s="412"/>
      <c r="AS48" s="412"/>
      <c r="AT48" s="412"/>
      <c r="AU48" s="412"/>
      <c r="AV48" s="412"/>
      <c r="AW48" s="412"/>
      <c r="AX48" s="412"/>
      <c r="AY48" s="449"/>
    </row>
    <row r="49" spans="3:51" s="15" customFormat="1" x14ac:dyDescent="0.2">
      <c r="C49" s="411"/>
      <c r="D49" s="411"/>
      <c r="E49" s="411"/>
      <c r="F49" s="704"/>
      <c r="G49" s="411"/>
      <c r="H49" s="411"/>
      <c r="I49" s="411"/>
      <c r="J49" s="411"/>
      <c r="K49" s="411"/>
      <c r="L49" s="411"/>
      <c r="M49" s="411"/>
      <c r="N49" s="411"/>
      <c r="O49" s="411"/>
      <c r="P49" s="411"/>
      <c r="Q49" s="411"/>
      <c r="R49" s="411"/>
      <c r="S49" s="411"/>
      <c r="T49" s="298"/>
      <c r="U49" s="402"/>
      <c r="V49" s="402"/>
      <c r="W49" s="402"/>
      <c r="X49" s="402"/>
      <c r="Y49" s="402"/>
      <c r="Z49" s="402"/>
      <c r="AA49" s="402"/>
      <c r="AB49" s="402"/>
      <c r="AC49" s="402"/>
      <c r="AD49" s="402"/>
      <c r="AE49" s="296"/>
      <c r="AF49" s="296"/>
      <c r="AG49" s="411"/>
      <c r="AH49" s="411"/>
      <c r="AI49" s="412"/>
      <c r="AJ49" s="412"/>
      <c r="AK49" s="412"/>
      <c r="AL49" s="412"/>
      <c r="AM49" s="412"/>
      <c r="AN49" s="412"/>
      <c r="AO49" s="412"/>
      <c r="AP49" s="412"/>
      <c r="AQ49" s="412"/>
      <c r="AR49" s="412"/>
      <c r="AS49" s="412"/>
      <c r="AT49" s="412"/>
      <c r="AU49" s="412"/>
      <c r="AV49" s="412"/>
      <c r="AW49" s="412"/>
      <c r="AX49" s="412"/>
      <c r="AY49" s="449"/>
    </row>
    <row r="50" spans="3:51" s="15" customFormat="1" x14ac:dyDescent="0.2">
      <c r="C50" s="411"/>
      <c r="D50" s="411"/>
      <c r="E50" s="411"/>
      <c r="F50" s="704"/>
      <c r="G50" s="411"/>
      <c r="H50" s="411"/>
      <c r="I50" s="411"/>
      <c r="J50" s="411"/>
      <c r="K50" s="411"/>
      <c r="L50" s="411"/>
      <c r="M50" s="411"/>
      <c r="N50" s="411"/>
      <c r="O50" s="411"/>
      <c r="P50" s="411"/>
      <c r="Q50" s="411"/>
      <c r="R50" s="411"/>
      <c r="S50" s="411"/>
      <c r="T50" s="298"/>
      <c r="U50" s="402"/>
      <c r="V50" s="402"/>
      <c r="W50" s="402"/>
      <c r="X50" s="402"/>
      <c r="Y50" s="402"/>
      <c r="Z50" s="402"/>
      <c r="AA50" s="402"/>
      <c r="AB50" s="402"/>
      <c r="AC50" s="402"/>
      <c r="AD50" s="402"/>
      <c r="AE50" s="296"/>
      <c r="AF50" s="296"/>
      <c r="AG50" s="411"/>
      <c r="AH50" s="411"/>
      <c r="AI50" s="412"/>
      <c r="AJ50" s="412"/>
      <c r="AK50" s="412"/>
      <c r="AL50" s="412"/>
      <c r="AM50" s="412"/>
      <c r="AN50" s="412"/>
      <c r="AO50" s="412"/>
      <c r="AP50" s="412"/>
      <c r="AQ50" s="412"/>
      <c r="AR50" s="412"/>
      <c r="AS50" s="412"/>
      <c r="AT50" s="412"/>
      <c r="AU50" s="412"/>
      <c r="AV50" s="412"/>
      <c r="AW50" s="412"/>
      <c r="AX50" s="412"/>
      <c r="AY50" s="449"/>
    </row>
    <row r="51" spans="3:51" s="15" customFormat="1" x14ac:dyDescent="0.2">
      <c r="C51" s="411"/>
      <c r="D51" s="411"/>
      <c r="E51" s="411"/>
      <c r="F51" s="704"/>
      <c r="G51" s="411"/>
      <c r="H51" s="411"/>
      <c r="I51" s="411"/>
      <c r="J51" s="411"/>
      <c r="K51" s="411"/>
      <c r="L51" s="411"/>
      <c r="M51" s="411"/>
      <c r="N51" s="411"/>
      <c r="O51" s="411"/>
      <c r="P51" s="411"/>
      <c r="Q51" s="411"/>
      <c r="R51" s="411"/>
      <c r="S51" s="411"/>
      <c r="T51" s="298"/>
      <c r="U51" s="402"/>
      <c r="V51" s="402"/>
      <c r="W51" s="402"/>
      <c r="X51" s="402"/>
      <c r="Y51" s="402"/>
      <c r="Z51" s="402"/>
      <c r="AA51" s="402"/>
      <c r="AB51" s="402"/>
      <c r="AC51" s="402"/>
      <c r="AD51" s="402"/>
      <c r="AE51" s="296"/>
      <c r="AF51" s="296"/>
      <c r="AG51" s="411"/>
      <c r="AH51" s="411"/>
      <c r="AI51" s="412"/>
      <c r="AJ51" s="412"/>
      <c r="AK51" s="412"/>
      <c r="AL51" s="412"/>
      <c r="AM51" s="412"/>
      <c r="AN51" s="412"/>
      <c r="AO51" s="412"/>
      <c r="AP51" s="412"/>
      <c r="AQ51" s="412"/>
      <c r="AR51" s="412"/>
      <c r="AS51" s="412"/>
      <c r="AT51" s="412"/>
      <c r="AU51" s="412"/>
      <c r="AV51" s="412"/>
      <c r="AW51" s="412"/>
      <c r="AX51" s="412"/>
      <c r="AY51" s="449"/>
    </row>
    <row r="52" spans="3:51" s="15" customFormat="1" x14ac:dyDescent="0.2">
      <c r="C52" s="411"/>
      <c r="D52" s="411"/>
      <c r="E52" s="411"/>
      <c r="F52" s="704"/>
      <c r="G52" s="411"/>
      <c r="H52" s="411"/>
      <c r="I52" s="411"/>
      <c r="J52" s="411"/>
      <c r="K52" s="411"/>
      <c r="L52" s="411"/>
      <c r="M52" s="411"/>
      <c r="N52" s="411"/>
      <c r="O52" s="411"/>
      <c r="P52" s="411"/>
      <c r="Q52" s="411"/>
      <c r="R52" s="411"/>
      <c r="S52" s="411"/>
      <c r="T52" s="298"/>
      <c r="U52" s="402"/>
      <c r="V52" s="402"/>
      <c r="W52" s="402"/>
      <c r="X52" s="402"/>
      <c r="Y52" s="402"/>
      <c r="Z52" s="402"/>
      <c r="AA52" s="402"/>
      <c r="AB52" s="402"/>
      <c r="AC52" s="402"/>
      <c r="AD52" s="402"/>
      <c r="AE52" s="296"/>
      <c r="AF52" s="296"/>
      <c r="AG52" s="411"/>
      <c r="AH52" s="411"/>
      <c r="AI52" s="412"/>
      <c r="AJ52" s="412"/>
      <c r="AK52" s="412"/>
      <c r="AL52" s="412"/>
      <c r="AM52" s="412"/>
      <c r="AN52" s="412"/>
      <c r="AO52" s="412"/>
      <c r="AP52" s="412"/>
      <c r="AQ52" s="412"/>
      <c r="AR52" s="412"/>
      <c r="AS52" s="412"/>
      <c r="AT52" s="412"/>
      <c r="AU52" s="412"/>
      <c r="AV52" s="412"/>
      <c r="AW52" s="412"/>
      <c r="AX52" s="412"/>
      <c r="AY52" s="449"/>
    </row>
    <row r="53" spans="3:51" s="15" customFormat="1" x14ac:dyDescent="0.2">
      <c r="C53" s="411"/>
      <c r="D53" s="411"/>
      <c r="E53" s="411"/>
      <c r="F53" s="704"/>
      <c r="G53" s="411"/>
      <c r="H53" s="411"/>
      <c r="I53" s="411"/>
      <c r="J53" s="411"/>
      <c r="K53" s="411"/>
      <c r="L53" s="411"/>
      <c r="M53" s="411"/>
      <c r="N53" s="411"/>
      <c r="O53" s="411"/>
      <c r="P53" s="411"/>
      <c r="Q53" s="411"/>
      <c r="R53" s="411"/>
      <c r="S53" s="411"/>
      <c r="T53" s="298"/>
      <c r="U53" s="402"/>
      <c r="V53" s="402"/>
      <c r="W53" s="402"/>
      <c r="X53" s="402"/>
      <c r="Y53" s="402"/>
      <c r="Z53" s="402"/>
      <c r="AA53" s="402"/>
      <c r="AB53" s="402"/>
      <c r="AC53" s="402"/>
      <c r="AD53" s="402"/>
      <c r="AE53" s="296"/>
      <c r="AF53" s="296"/>
      <c r="AG53" s="411"/>
      <c r="AH53" s="411"/>
      <c r="AI53" s="412"/>
      <c r="AJ53" s="412"/>
      <c r="AK53" s="412"/>
      <c r="AL53" s="412"/>
      <c r="AM53" s="412"/>
      <c r="AN53" s="412"/>
      <c r="AO53" s="412"/>
      <c r="AP53" s="412"/>
      <c r="AQ53" s="412"/>
      <c r="AR53" s="412"/>
      <c r="AS53" s="412"/>
      <c r="AT53" s="412"/>
      <c r="AU53" s="412"/>
      <c r="AV53" s="412"/>
      <c r="AW53" s="412"/>
      <c r="AX53" s="412"/>
      <c r="AY53" s="449"/>
    </row>
    <row r="54" spans="3:51" s="15" customFormat="1" x14ac:dyDescent="0.2">
      <c r="C54" s="411"/>
      <c r="D54" s="411"/>
      <c r="E54" s="411"/>
      <c r="F54" s="704"/>
      <c r="G54" s="411"/>
      <c r="H54" s="411"/>
      <c r="I54" s="411"/>
      <c r="J54" s="411"/>
      <c r="K54" s="411"/>
      <c r="L54" s="411"/>
      <c r="M54" s="411"/>
      <c r="N54" s="411"/>
      <c r="O54" s="411"/>
      <c r="P54" s="411"/>
      <c r="Q54" s="411"/>
      <c r="R54" s="411"/>
      <c r="S54" s="411"/>
      <c r="T54" s="298"/>
      <c r="U54" s="402"/>
      <c r="V54" s="402"/>
      <c r="W54" s="402"/>
      <c r="X54" s="402"/>
      <c r="Y54" s="402"/>
      <c r="Z54" s="402"/>
      <c r="AA54" s="402"/>
      <c r="AB54" s="402"/>
      <c r="AC54" s="402"/>
      <c r="AD54" s="402"/>
      <c r="AE54" s="296"/>
      <c r="AF54" s="296"/>
      <c r="AG54" s="411"/>
      <c r="AH54" s="411"/>
      <c r="AI54" s="412"/>
      <c r="AJ54" s="412"/>
      <c r="AK54" s="412"/>
      <c r="AL54" s="412"/>
      <c r="AM54" s="412"/>
      <c r="AN54" s="412"/>
      <c r="AO54" s="412"/>
      <c r="AP54" s="412"/>
      <c r="AQ54" s="412"/>
      <c r="AR54" s="412"/>
      <c r="AS54" s="412"/>
      <c r="AT54" s="412"/>
      <c r="AU54" s="412"/>
      <c r="AV54" s="412"/>
      <c r="AW54" s="412"/>
      <c r="AX54" s="412"/>
      <c r="AY54" s="449"/>
    </row>
    <row r="55" spans="3:51" s="15" customFormat="1" x14ac:dyDescent="0.2">
      <c r="C55" s="411"/>
      <c r="D55" s="411"/>
      <c r="E55" s="411"/>
      <c r="F55" s="704"/>
      <c r="G55" s="411"/>
      <c r="H55" s="411"/>
      <c r="I55" s="411"/>
      <c r="J55" s="411"/>
      <c r="K55" s="411"/>
      <c r="L55" s="411"/>
      <c r="M55" s="411"/>
      <c r="N55" s="411"/>
      <c r="O55" s="411"/>
      <c r="P55" s="411"/>
      <c r="Q55" s="411"/>
      <c r="R55" s="411"/>
      <c r="S55" s="411"/>
      <c r="T55" s="298"/>
      <c r="U55" s="402"/>
      <c r="V55" s="402"/>
      <c r="W55" s="402"/>
      <c r="X55" s="402"/>
      <c r="Y55" s="402"/>
      <c r="Z55" s="402"/>
      <c r="AA55" s="402"/>
      <c r="AB55" s="402"/>
      <c r="AC55" s="402"/>
      <c r="AD55" s="402"/>
      <c r="AE55" s="296"/>
      <c r="AF55" s="296"/>
      <c r="AG55" s="411"/>
      <c r="AH55" s="411"/>
      <c r="AI55" s="412"/>
      <c r="AJ55" s="412"/>
      <c r="AK55" s="412"/>
      <c r="AL55" s="412"/>
      <c r="AM55" s="412"/>
      <c r="AN55" s="412"/>
      <c r="AO55" s="412"/>
      <c r="AP55" s="412"/>
      <c r="AQ55" s="412"/>
      <c r="AR55" s="412"/>
      <c r="AS55" s="412"/>
      <c r="AT55" s="412"/>
      <c r="AU55" s="412"/>
      <c r="AV55" s="412"/>
      <c r="AW55" s="412"/>
      <c r="AX55" s="412"/>
      <c r="AY55" s="449"/>
    </row>
    <row r="56" spans="3:51" s="15" customFormat="1" x14ac:dyDescent="0.2">
      <c r="C56" s="411"/>
      <c r="D56" s="411"/>
      <c r="E56" s="411"/>
      <c r="F56" s="704"/>
      <c r="G56" s="411"/>
      <c r="H56" s="411"/>
      <c r="I56" s="411"/>
      <c r="J56" s="411"/>
      <c r="K56" s="411"/>
      <c r="L56" s="411"/>
      <c r="M56" s="411"/>
      <c r="N56" s="411"/>
      <c r="O56" s="411"/>
      <c r="P56" s="411"/>
      <c r="Q56" s="411"/>
      <c r="R56" s="411"/>
      <c r="S56" s="411"/>
      <c r="T56" s="298"/>
      <c r="U56" s="402"/>
      <c r="V56" s="402"/>
      <c r="W56" s="402"/>
      <c r="X56" s="402"/>
      <c r="Y56" s="402"/>
      <c r="Z56" s="402"/>
      <c r="AA56" s="402"/>
      <c r="AB56" s="402"/>
      <c r="AC56" s="402"/>
      <c r="AD56" s="402"/>
      <c r="AE56" s="296"/>
      <c r="AF56" s="296"/>
      <c r="AG56" s="411"/>
      <c r="AH56" s="411"/>
      <c r="AI56" s="412"/>
      <c r="AJ56" s="412"/>
      <c r="AK56" s="412"/>
      <c r="AL56" s="412"/>
      <c r="AM56" s="412"/>
      <c r="AN56" s="412"/>
      <c r="AO56" s="412"/>
      <c r="AP56" s="412"/>
      <c r="AQ56" s="412"/>
      <c r="AR56" s="412"/>
      <c r="AS56" s="412"/>
      <c r="AT56" s="412"/>
      <c r="AU56" s="412"/>
      <c r="AV56" s="412"/>
      <c r="AW56" s="412"/>
      <c r="AX56" s="412"/>
      <c r="AY56" s="449"/>
    </row>
    <row r="57" spans="3:51" s="15" customFormat="1" x14ac:dyDescent="0.2">
      <c r="C57" s="411"/>
      <c r="D57" s="411"/>
      <c r="E57" s="411"/>
      <c r="F57" s="704"/>
      <c r="G57" s="411"/>
      <c r="H57" s="411"/>
      <c r="I57" s="411"/>
      <c r="J57" s="411"/>
      <c r="K57" s="411"/>
      <c r="L57" s="411"/>
      <c r="M57" s="411"/>
      <c r="N57" s="411"/>
      <c r="O57" s="411"/>
      <c r="P57" s="411"/>
      <c r="Q57" s="411"/>
      <c r="R57" s="411"/>
      <c r="S57" s="411"/>
      <c r="T57" s="298"/>
      <c r="U57" s="402"/>
      <c r="V57" s="402"/>
      <c r="W57" s="402"/>
      <c r="X57" s="402"/>
      <c r="Y57" s="402"/>
      <c r="Z57" s="402"/>
      <c r="AA57" s="402"/>
      <c r="AB57" s="402"/>
      <c r="AC57" s="402"/>
      <c r="AD57" s="402"/>
      <c r="AE57" s="296"/>
      <c r="AF57" s="296"/>
      <c r="AG57" s="411"/>
      <c r="AH57" s="411"/>
      <c r="AI57" s="412"/>
      <c r="AJ57" s="412"/>
      <c r="AK57" s="412"/>
      <c r="AL57" s="412"/>
      <c r="AM57" s="412"/>
      <c r="AN57" s="412"/>
      <c r="AO57" s="412"/>
      <c r="AP57" s="412"/>
      <c r="AQ57" s="412"/>
      <c r="AR57" s="412"/>
      <c r="AS57" s="412"/>
      <c r="AT57" s="412"/>
      <c r="AU57" s="412"/>
      <c r="AV57" s="412"/>
      <c r="AW57" s="412"/>
      <c r="AX57" s="412"/>
      <c r="AY57" s="449"/>
    </row>
    <row r="58" spans="3:51" s="15" customFormat="1" x14ac:dyDescent="0.2">
      <c r="C58" s="411"/>
      <c r="D58" s="411"/>
      <c r="E58" s="411"/>
      <c r="F58" s="704"/>
      <c r="G58" s="411"/>
      <c r="H58" s="411"/>
      <c r="I58" s="411"/>
      <c r="J58" s="411"/>
      <c r="K58" s="411"/>
      <c r="L58" s="411"/>
      <c r="M58" s="411"/>
      <c r="N58" s="411"/>
      <c r="O58" s="411"/>
      <c r="P58" s="411"/>
      <c r="Q58" s="411"/>
      <c r="R58" s="411"/>
      <c r="S58" s="411"/>
      <c r="T58" s="298"/>
      <c r="U58" s="402"/>
      <c r="V58" s="402"/>
      <c r="W58" s="402"/>
      <c r="X58" s="402"/>
      <c r="Y58" s="402"/>
      <c r="Z58" s="402"/>
      <c r="AA58" s="402"/>
      <c r="AB58" s="402"/>
      <c r="AC58" s="402"/>
      <c r="AD58" s="402"/>
      <c r="AE58" s="296"/>
      <c r="AF58" s="296"/>
      <c r="AG58" s="411"/>
      <c r="AH58" s="411"/>
      <c r="AI58" s="412"/>
      <c r="AJ58" s="412"/>
      <c r="AK58" s="412"/>
      <c r="AL58" s="412"/>
      <c r="AM58" s="412"/>
      <c r="AN58" s="412"/>
      <c r="AO58" s="412"/>
      <c r="AP58" s="412"/>
      <c r="AQ58" s="412"/>
      <c r="AR58" s="412"/>
      <c r="AS58" s="412"/>
      <c r="AT58" s="412"/>
      <c r="AU58" s="412"/>
      <c r="AV58" s="412"/>
      <c r="AW58" s="412"/>
      <c r="AX58" s="412"/>
      <c r="AY58" s="449"/>
    </row>
    <row r="59" spans="3:51" s="15" customFormat="1" x14ac:dyDescent="0.2">
      <c r="C59" s="411"/>
      <c r="D59" s="411"/>
      <c r="E59" s="411"/>
      <c r="F59" s="704"/>
      <c r="G59" s="411"/>
      <c r="H59" s="411"/>
      <c r="I59" s="411"/>
      <c r="J59" s="411"/>
      <c r="K59" s="411"/>
      <c r="L59" s="411"/>
      <c r="M59" s="411"/>
      <c r="N59" s="411"/>
      <c r="O59" s="411"/>
      <c r="P59" s="411"/>
      <c r="Q59" s="411"/>
      <c r="R59" s="411"/>
      <c r="S59" s="411"/>
      <c r="T59" s="298"/>
      <c r="U59" s="402"/>
      <c r="V59" s="402"/>
      <c r="W59" s="402"/>
      <c r="X59" s="402"/>
      <c r="Y59" s="402"/>
      <c r="Z59" s="402"/>
      <c r="AA59" s="402"/>
      <c r="AB59" s="402"/>
      <c r="AC59" s="402"/>
      <c r="AD59" s="402"/>
      <c r="AE59" s="296"/>
      <c r="AF59" s="296"/>
      <c r="AG59" s="411"/>
      <c r="AH59" s="411"/>
      <c r="AI59" s="412"/>
      <c r="AJ59" s="412"/>
      <c r="AK59" s="412"/>
      <c r="AL59" s="412"/>
      <c r="AM59" s="412"/>
      <c r="AN59" s="412"/>
      <c r="AO59" s="412"/>
      <c r="AP59" s="412"/>
      <c r="AQ59" s="412"/>
      <c r="AR59" s="412"/>
      <c r="AS59" s="412"/>
      <c r="AT59" s="412"/>
      <c r="AU59" s="412"/>
      <c r="AV59" s="412"/>
      <c r="AW59" s="412"/>
      <c r="AX59" s="412"/>
      <c r="AY59" s="449"/>
    </row>
    <row r="60" spans="3:51" s="15" customFormat="1" x14ac:dyDescent="0.2">
      <c r="C60" s="411"/>
      <c r="D60" s="411"/>
      <c r="E60" s="411"/>
      <c r="F60" s="704"/>
      <c r="G60" s="411"/>
      <c r="H60" s="411"/>
      <c r="I60" s="411"/>
      <c r="J60" s="411"/>
      <c r="K60" s="411"/>
      <c r="L60" s="411"/>
      <c r="M60" s="411"/>
      <c r="N60" s="411"/>
      <c r="O60" s="411"/>
      <c r="P60" s="411"/>
      <c r="Q60" s="411"/>
      <c r="R60" s="411"/>
      <c r="S60" s="411"/>
      <c r="T60" s="298"/>
      <c r="U60" s="402"/>
      <c r="V60" s="402"/>
      <c r="W60" s="402"/>
      <c r="X60" s="402"/>
      <c r="Y60" s="402"/>
      <c r="Z60" s="402"/>
      <c r="AA60" s="402"/>
      <c r="AB60" s="402"/>
      <c r="AC60" s="402"/>
      <c r="AD60" s="402"/>
      <c r="AE60" s="296"/>
      <c r="AF60" s="296"/>
      <c r="AG60" s="411"/>
      <c r="AH60" s="411"/>
      <c r="AI60" s="412"/>
      <c r="AJ60" s="412"/>
      <c r="AK60" s="412"/>
      <c r="AL60" s="412"/>
      <c r="AM60" s="412"/>
      <c r="AN60" s="412"/>
      <c r="AO60" s="412"/>
      <c r="AP60" s="412"/>
      <c r="AQ60" s="412"/>
      <c r="AR60" s="412"/>
      <c r="AS60" s="412"/>
      <c r="AT60" s="412"/>
      <c r="AU60" s="412"/>
      <c r="AV60" s="412"/>
      <c r="AW60" s="412"/>
      <c r="AX60" s="412"/>
      <c r="AY60" s="449"/>
    </row>
    <row r="61" spans="3:51" s="15" customFormat="1" x14ac:dyDescent="0.2">
      <c r="C61" s="411"/>
      <c r="D61" s="411"/>
      <c r="E61" s="411"/>
      <c r="F61" s="704"/>
      <c r="G61" s="411"/>
      <c r="H61" s="411"/>
      <c r="I61" s="411"/>
      <c r="J61" s="411"/>
      <c r="K61" s="411"/>
      <c r="L61" s="411"/>
      <c r="M61" s="411"/>
      <c r="N61" s="411"/>
      <c r="O61" s="411"/>
      <c r="P61" s="411"/>
      <c r="Q61" s="411"/>
      <c r="R61" s="411"/>
      <c r="S61" s="411"/>
      <c r="T61" s="298"/>
      <c r="U61" s="402"/>
      <c r="V61" s="402"/>
      <c r="W61" s="402"/>
      <c r="X61" s="402"/>
      <c r="Y61" s="402"/>
      <c r="Z61" s="402"/>
      <c r="AA61" s="402"/>
      <c r="AB61" s="402"/>
      <c r="AC61" s="402"/>
      <c r="AD61" s="402"/>
      <c r="AE61" s="296"/>
      <c r="AF61" s="296"/>
      <c r="AG61" s="411"/>
      <c r="AH61" s="411"/>
      <c r="AI61" s="412"/>
      <c r="AJ61" s="412"/>
      <c r="AK61" s="412"/>
      <c r="AL61" s="412"/>
      <c r="AM61" s="412"/>
      <c r="AN61" s="412"/>
      <c r="AO61" s="412"/>
      <c r="AP61" s="412"/>
      <c r="AQ61" s="412"/>
      <c r="AR61" s="412"/>
      <c r="AS61" s="412"/>
      <c r="AT61" s="412"/>
      <c r="AU61" s="412"/>
      <c r="AV61" s="412"/>
      <c r="AW61" s="412"/>
      <c r="AX61" s="412"/>
      <c r="AY61" s="449"/>
    </row>
    <row r="62" spans="3:51" s="15" customFormat="1" x14ac:dyDescent="0.2">
      <c r="C62" s="411"/>
      <c r="D62" s="411"/>
      <c r="E62" s="411"/>
      <c r="F62" s="704"/>
      <c r="G62" s="411"/>
      <c r="H62" s="411"/>
      <c r="I62" s="411"/>
      <c r="J62" s="411"/>
      <c r="K62" s="411"/>
      <c r="L62" s="411"/>
      <c r="M62" s="411"/>
      <c r="N62" s="411"/>
      <c r="O62" s="411"/>
      <c r="P62" s="411"/>
      <c r="Q62" s="411"/>
      <c r="R62" s="411"/>
      <c r="S62" s="411"/>
      <c r="T62" s="298"/>
      <c r="U62" s="402"/>
      <c r="V62" s="402"/>
      <c r="W62" s="402"/>
      <c r="X62" s="402"/>
      <c r="Y62" s="402"/>
      <c r="Z62" s="402"/>
      <c r="AA62" s="402"/>
      <c r="AB62" s="402"/>
      <c r="AC62" s="402"/>
      <c r="AD62" s="402"/>
      <c r="AE62" s="296"/>
      <c r="AF62" s="296"/>
      <c r="AG62" s="411"/>
      <c r="AH62" s="411"/>
      <c r="AI62" s="412"/>
      <c r="AJ62" s="412"/>
      <c r="AK62" s="412"/>
      <c r="AL62" s="412"/>
      <c r="AM62" s="412"/>
      <c r="AN62" s="412"/>
      <c r="AO62" s="412"/>
      <c r="AP62" s="412"/>
      <c r="AQ62" s="412"/>
      <c r="AR62" s="412"/>
      <c r="AS62" s="412"/>
      <c r="AT62" s="412"/>
      <c r="AU62" s="412"/>
      <c r="AV62" s="412"/>
      <c r="AW62" s="412"/>
      <c r="AX62" s="412"/>
      <c r="AY62" s="449"/>
    </row>
    <row r="63" spans="3:51" s="15" customFormat="1" x14ac:dyDescent="0.2">
      <c r="C63" s="411"/>
      <c r="D63" s="411"/>
      <c r="E63" s="411"/>
      <c r="F63" s="704"/>
      <c r="G63" s="411"/>
      <c r="H63" s="411"/>
      <c r="I63" s="411"/>
      <c r="J63" s="411"/>
      <c r="K63" s="411"/>
      <c r="L63" s="411"/>
      <c r="M63" s="411"/>
      <c r="N63" s="411"/>
      <c r="O63" s="411"/>
      <c r="P63" s="411"/>
      <c r="Q63" s="411"/>
      <c r="R63" s="411"/>
      <c r="S63" s="411"/>
      <c r="T63" s="298"/>
      <c r="U63" s="402"/>
      <c r="V63" s="402"/>
      <c r="W63" s="402"/>
      <c r="X63" s="402"/>
      <c r="Y63" s="402"/>
      <c r="Z63" s="402"/>
      <c r="AA63" s="402"/>
      <c r="AB63" s="402"/>
      <c r="AC63" s="402"/>
      <c r="AD63" s="402"/>
      <c r="AE63" s="296"/>
      <c r="AF63" s="296"/>
      <c r="AG63" s="411"/>
      <c r="AH63" s="411"/>
      <c r="AI63" s="412"/>
      <c r="AJ63" s="412"/>
      <c r="AK63" s="412"/>
      <c r="AL63" s="412"/>
      <c r="AM63" s="412"/>
      <c r="AN63" s="412"/>
      <c r="AO63" s="412"/>
      <c r="AP63" s="412"/>
      <c r="AQ63" s="412"/>
      <c r="AR63" s="412"/>
      <c r="AS63" s="412"/>
      <c r="AT63" s="412"/>
      <c r="AU63" s="412"/>
      <c r="AV63" s="412"/>
      <c r="AW63" s="412"/>
      <c r="AX63" s="412"/>
      <c r="AY63" s="449"/>
    </row>
    <row r="64" spans="3:51" s="15" customFormat="1" x14ac:dyDescent="0.2">
      <c r="C64" s="411"/>
      <c r="D64" s="411"/>
      <c r="E64" s="411"/>
      <c r="F64" s="704"/>
      <c r="G64" s="411"/>
      <c r="H64" s="411"/>
      <c r="I64" s="411"/>
      <c r="J64" s="411"/>
      <c r="K64" s="411"/>
      <c r="L64" s="411"/>
      <c r="M64" s="411"/>
      <c r="N64" s="411"/>
      <c r="O64" s="411"/>
      <c r="P64" s="411"/>
      <c r="Q64" s="411"/>
      <c r="R64" s="411"/>
      <c r="S64" s="411"/>
      <c r="T64" s="298"/>
      <c r="U64" s="402"/>
      <c r="V64" s="402"/>
      <c r="W64" s="402"/>
      <c r="X64" s="402"/>
      <c r="Y64" s="402"/>
      <c r="Z64" s="402"/>
      <c r="AA64" s="402"/>
      <c r="AB64" s="402"/>
      <c r="AC64" s="402"/>
      <c r="AD64" s="402"/>
      <c r="AE64" s="296"/>
      <c r="AF64" s="296"/>
      <c r="AG64" s="411"/>
      <c r="AH64" s="411"/>
      <c r="AI64" s="412"/>
      <c r="AJ64" s="412"/>
      <c r="AK64" s="412"/>
      <c r="AL64" s="412"/>
      <c r="AM64" s="412"/>
      <c r="AN64" s="412"/>
      <c r="AO64" s="412"/>
      <c r="AP64" s="412"/>
      <c r="AQ64" s="412"/>
      <c r="AR64" s="412"/>
      <c r="AS64" s="412"/>
      <c r="AT64" s="412"/>
      <c r="AU64" s="412"/>
      <c r="AV64" s="412"/>
      <c r="AW64" s="412"/>
      <c r="AX64" s="412"/>
      <c r="AY64" s="449"/>
    </row>
    <row r="65" spans="3:51" s="15" customFormat="1" x14ac:dyDescent="0.2">
      <c r="C65" s="411"/>
      <c r="D65" s="411"/>
      <c r="E65" s="411"/>
      <c r="F65" s="704"/>
      <c r="G65" s="411"/>
      <c r="H65" s="411"/>
      <c r="I65" s="411"/>
      <c r="J65" s="411"/>
      <c r="K65" s="411"/>
      <c r="L65" s="411"/>
      <c r="M65" s="411"/>
      <c r="N65" s="411"/>
      <c r="O65" s="411"/>
      <c r="P65" s="411"/>
      <c r="Q65" s="411"/>
      <c r="R65" s="411"/>
      <c r="S65" s="411"/>
      <c r="T65" s="298"/>
      <c r="U65" s="402"/>
      <c r="V65" s="402"/>
      <c r="W65" s="402"/>
      <c r="X65" s="402"/>
      <c r="Y65" s="402"/>
      <c r="Z65" s="402"/>
      <c r="AA65" s="402"/>
      <c r="AB65" s="402"/>
      <c r="AC65" s="402"/>
      <c r="AD65" s="402"/>
      <c r="AE65" s="296"/>
      <c r="AF65" s="296"/>
      <c r="AG65" s="411"/>
      <c r="AH65" s="411"/>
      <c r="AI65" s="412"/>
      <c r="AJ65" s="412"/>
      <c r="AK65" s="412"/>
      <c r="AL65" s="412"/>
      <c r="AM65" s="412"/>
      <c r="AN65" s="412"/>
      <c r="AO65" s="412"/>
      <c r="AP65" s="412"/>
      <c r="AQ65" s="412"/>
      <c r="AR65" s="412"/>
      <c r="AS65" s="412"/>
      <c r="AT65" s="412"/>
      <c r="AU65" s="412"/>
      <c r="AV65" s="412"/>
      <c r="AW65" s="412"/>
      <c r="AX65" s="412"/>
      <c r="AY65" s="449"/>
    </row>
    <row r="66" spans="3:51" s="15" customFormat="1" x14ac:dyDescent="0.2">
      <c r="C66" s="411"/>
      <c r="D66" s="411"/>
      <c r="E66" s="411"/>
      <c r="F66" s="704"/>
      <c r="G66" s="411"/>
      <c r="H66" s="411"/>
      <c r="I66" s="411"/>
      <c r="J66" s="411"/>
      <c r="K66" s="411"/>
      <c r="L66" s="411"/>
      <c r="M66" s="411"/>
      <c r="N66" s="411"/>
      <c r="O66" s="411"/>
      <c r="P66" s="411"/>
      <c r="Q66" s="411"/>
      <c r="R66" s="411"/>
      <c r="S66" s="411"/>
      <c r="T66" s="298"/>
      <c r="U66" s="402"/>
      <c r="V66" s="402"/>
      <c r="W66" s="402"/>
      <c r="X66" s="402"/>
      <c r="Y66" s="402"/>
      <c r="Z66" s="402"/>
      <c r="AA66" s="402"/>
      <c r="AB66" s="402"/>
      <c r="AC66" s="402"/>
      <c r="AD66" s="402"/>
      <c r="AE66" s="296"/>
      <c r="AF66" s="296"/>
      <c r="AG66" s="411"/>
      <c r="AH66" s="411"/>
      <c r="AI66" s="412"/>
      <c r="AJ66" s="412"/>
      <c r="AK66" s="412"/>
      <c r="AL66" s="412"/>
      <c r="AM66" s="412"/>
      <c r="AN66" s="412"/>
      <c r="AO66" s="412"/>
      <c r="AP66" s="412"/>
      <c r="AQ66" s="412"/>
      <c r="AR66" s="412"/>
      <c r="AS66" s="412"/>
      <c r="AT66" s="412"/>
      <c r="AU66" s="412"/>
      <c r="AV66" s="412"/>
      <c r="AW66" s="412"/>
      <c r="AX66" s="412"/>
      <c r="AY66" s="449"/>
    </row>
    <row r="67" spans="3:51" s="15" customFormat="1" x14ac:dyDescent="0.2">
      <c r="C67" s="411"/>
      <c r="D67" s="411"/>
      <c r="E67" s="411"/>
      <c r="F67" s="704"/>
      <c r="G67" s="411"/>
      <c r="H67" s="411"/>
      <c r="I67" s="411"/>
      <c r="J67" s="411"/>
      <c r="K67" s="411"/>
      <c r="L67" s="411"/>
      <c r="M67" s="411"/>
      <c r="N67" s="411"/>
      <c r="O67" s="411"/>
      <c r="P67" s="411"/>
      <c r="Q67" s="411"/>
      <c r="R67" s="411"/>
      <c r="S67" s="411"/>
      <c r="T67" s="298"/>
      <c r="U67" s="402"/>
      <c r="V67" s="402"/>
      <c r="W67" s="402"/>
      <c r="X67" s="402"/>
      <c r="Y67" s="402"/>
      <c r="Z67" s="402"/>
      <c r="AA67" s="402"/>
      <c r="AB67" s="402"/>
      <c r="AC67" s="402"/>
      <c r="AD67" s="402"/>
      <c r="AE67" s="296"/>
      <c r="AF67" s="296"/>
      <c r="AG67" s="411"/>
      <c r="AH67" s="411"/>
      <c r="AI67" s="412"/>
      <c r="AJ67" s="412"/>
      <c r="AK67" s="412"/>
      <c r="AL67" s="412"/>
      <c r="AM67" s="412"/>
      <c r="AN67" s="412"/>
      <c r="AO67" s="412"/>
      <c r="AP67" s="412"/>
      <c r="AQ67" s="412"/>
      <c r="AR67" s="412"/>
      <c r="AS67" s="412"/>
      <c r="AT67" s="412"/>
      <c r="AU67" s="412"/>
      <c r="AV67" s="412"/>
      <c r="AW67" s="412"/>
      <c r="AX67" s="412"/>
      <c r="AY67" s="449"/>
    </row>
    <row r="68" spans="3:51" s="15" customFormat="1" x14ac:dyDescent="0.2">
      <c r="C68" s="411"/>
      <c r="D68" s="411"/>
      <c r="E68" s="411"/>
      <c r="F68" s="704"/>
      <c r="G68" s="411"/>
      <c r="H68" s="411"/>
      <c r="I68" s="411"/>
      <c r="J68" s="411"/>
      <c r="K68" s="411"/>
      <c r="L68" s="411"/>
      <c r="M68" s="411"/>
      <c r="N68" s="411"/>
      <c r="O68" s="411"/>
      <c r="P68" s="411"/>
      <c r="Q68" s="411"/>
      <c r="R68" s="411"/>
      <c r="S68" s="411"/>
      <c r="T68" s="298"/>
      <c r="U68" s="402"/>
      <c r="V68" s="402"/>
      <c r="W68" s="402"/>
      <c r="X68" s="402"/>
      <c r="Y68" s="402"/>
      <c r="Z68" s="402"/>
      <c r="AA68" s="402"/>
      <c r="AB68" s="402"/>
      <c r="AC68" s="402"/>
      <c r="AD68" s="402"/>
      <c r="AE68" s="296"/>
      <c r="AF68" s="296"/>
      <c r="AG68" s="411"/>
      <c r="AH68" s="411"/>
      <c r="AI68" s="412"/>
      <c r="AJ68" s="412"/>
      <c r="AK68" s="412"/>
      <c r="AL68" s="412"/>
      <c r="AM68" s="412"/>
      <c r="AN68" s="412"/>
      <c r="AO68" s="412"/>
      <c r="AP68" s="412"/>
      <c r="AQ68" s="412"/>
      <c r="AR68" s="412"/>
      <c r="AS68" s="412"/>
      <c r="AT68" s="412"/>
      <c r="AU68" s="412"/>
      <c r="AV68" s="412"/>
      <c r="AW68" s="412"/>
      <c r="AX68" s="412"/>
      <c r="AY68" s="449"/>
    </row>
    <row r="69" spans="3:51" s="15" customFormat="1" x14ac:dyDescent="0.2">
      <c r="C69" s="411"/>
      <c r="D69" s="411"/>
      <c r="E69" s="411"/>
      <c r="F69" s="715"/>
      <c r="G69" s="411"/>
      <c r="H69" s="411"/>
      <c r="I69" s="411"/>
      <c r="J69" s="411"/>
      <c r="K69" s="411"/>
      <c r="L69" s="411"/>
      <c r="M69" s="411"/>
      <c r="N69" s="411"/>
      <c r="O69" s="411"/>
      <c r="P69" s="411"/>
      <c r="Q69" s="411"/>
      <c r="R69" s="411"/>
      <c r="S69" s="411"/>
      <c r="T69" s="298"/>
      <c r="U69" s="402"/>
      <c r="V69" s="402"/>
      <c r="W69" s="402"/>
      <c r="X69" s="402"/>
      <c r="Y69" s="402"/>
      <c r="Z69" s="402"/>
      <c r="AA69" s="402"/>
      <c r="AB69" s="402"/>
      <c r="AC69" s="402"/>
      <c r="AD69" s="402"/>
      <c r="AE69" s="296"/>
      <c r="AF69" s="296"/>
      <c r="AG69" s="411"/>
      <c r="AH69" s="411"/>
      <c r="AI69" s="412"/>
      <c r="AJ69" s="412"/>
      <c r="AK69" s="412"/>
      <c r="AL69" s="412"/>
      <c r="AM69" s="412"/>
      <c r="AN69" s="412"/>
      <c r="AO69" s="412"/>
      <c r="AP69" s="412"/>
      <c r="AQ69" s="412"/>
      <c r="AR69" s="412"/>
      <c r="AS69" s="412"/>
      <c r="AT69" s="412"/>
      <c r="AU69" s="412"/>
      <c r="AV69" s="412"/>
      <c r="AW69" s="412"/>
      <c r="AX69" s="412"/>
      <c r="AY69" s="449"/>
    </row>
    <row r="70" spans="3:51" s="15" customFormat="1" x14ac:dyDescent="0.2">
      <c r="C70" s="411"/>
      <c r="D70" s="411"/>
      <c r="E70" s="411"/>
      <c r="F70" s="411"/>
      <c r="G70" s="411"/>
      <c r="H70" s="411"/>
      <c r="I70" s="411"/>
      <c r="J70" s="411"/>
      <c r="K70" s="411"/>
      <c r="L70" s="411"/>
      <c r="M70" s="411"/>
      <c r="N70" s="411"/>
      <c r="O70" s="411"/>
      <c r="P70" s="411"/>
      <c r="Q70" s="411"/>
      <c r="R70" s="411"/>
      <c r="S70" s="411"/>
      <c r="T70" s="298"/>
      <c r="U70" s="402"/>
      <c r="V70" s="402"/>
      <c r="W70" s="402"/>
      <c r="X70" s="402"/>
      <c r="Y70" s="402"/>
      <c r="Z70" s="402"/>
      <c r="AA70" s="402"/>
      <c r="AB70" s="402"/>
      <c r="AC70" s="402"/>
      <c r="AD70" s="402"/>
      <c r="AE70" s="296"/>
      <c r="AF70" s="296"/>
      <c r="AG70" s="411"/>
      <c r="AH70" s="411"/>
      <c r="AI70" s="412"/>
      <c r="AJ70" s="412"/>
      <c r="AK70" s="412"/>
      <c r="AL70" s="412"/>
      <c r="AM70" s="412"/>
      <c r="AN70" s="412"/>
      <c r="AO70" s="412"/>
      <c r="AP70" s="412"/>
      <c r="AQ70" s="412"/>
      <c r="AR70" s="412"/>
      <c r="AS70" s="412"/>
      <c r="AT70" s="412"/>
      <c r="AU70" s="412"/>
      <c r="AV70" s="412"/>
      <c r="AW70" s="412"/>
      <c r="AX70" s="412"/>
      <c r="AY70" s="449"/>
    </row>
    <row r="71" spans="3:51" s="15" customFormat="1" x14ac:dyDescent="0.2">
      <c r="C71" s="411"/>
      <c r="D71" s="716"/>
      <c r="E71" s="722" t="s">
        <v>661</v>
      </c>
      <c r="F71" s="722"/>
      <c r="G71" s="722"/>
      <c r="H71" s="722"/>
      <c r="I71" s="722"/>
      <c r="J71" s="722"/>
      <c r="K71" s="722"/>
      <c r="L71" s="722"/>
      <c r="M71" s="722"/>
      <c r="N71" s="722"/>
      <c r="O71" s="722"/>
      <c r="P71" s="722"/>
      <c r="Q71" s="722"/>
      <c r="R71" s="723"/>
      <c r="S71" s="717"/>
      <c r="T71" s="298"/>
      <c r="U71" s="402"/>
      <c r="V71" s="402"/>
      <c r="W71" s="402"/>
      <c r="X71" s="402"/>
      <c r="Y71" s="402"/>
      <c r="Z71" s="402"/>
      <c r="AA71" s="402"/>
      <c r="AB71" s="402"/>
      <c r="AC71" s="402"/>
      <c r="AD71" s="402"/>
      <c r="AE71" s="296"/>
      <c r="AF71" s="296"/>
      <c r="AG71" s="411"/>
      <c r="AH71" s="411"/>
      <c r="AI71" s="412"/>
      <c r="AJ71" s="412"/>
      <c r="AK71" s="412"/>
      <c r="AL71" s="412"/>
      <c r="AM71" s="412"/>
      <c r="AN71" s="412"/>
      <c r="AO71" s="412"/>
      <c r="AP71" s="412"/>
      <c r="AQ71" s="412"/>
      <c r="AR71" s="412"/>
      <c r="AS71" s="412"/>
      <c r="AT71" s="412"/>
      <c r="AU71" s="412"/>
      <c r="AV71" s="412"/>
      <c r="AW71" s="412"/>
      <c r="AX71" s="412"/>
      <c r="AY71" s="449"/>
    </row>
    <row r="72" spans="3:51" s="15" customFormat="1" hidden="1" x14ac:dyDescent="0.2">
      <c r="C72" s="411"/>
      <c r="D72" s="718"/>
      <c r="E72" s="671" t="s">
        <v>611</v>
      </c>
      <c r="F72" s="712">
        <f t="shared" ref="F72:R72" si="6">F14</f>
        <v>0</v>
      </c>
      <c r="G72" s="672">
        <f t="shared" si="6"/>
        <v>0</v>
      </c>
      <c r="H72" s="672">
        <f t="shared" si="6"/>
        <v>0</v>
      </c>
      <c r="I72" s="672">
        <f t="shared" si="6"/>
        <v>0</v>
      </c>
      <c r="J72" s="672">
        <f t="shared" si="6"/>
        <v>0</v>
      </c>
      <c r="K72" s="672">
        <f t="shared" si="6"/>
        <v>0</v>
      </c>
      <c r="L72" s="672">
        <f t="shared" si="6"/>
        <v>0</v>
      </c>
      <c r="M72" s="672">
        <f t="shared" si="6"/>
        <v>0</v>
      </c>
      <c r="N72" s="672">
        <f t="shared" si="6"/>
        <v>0</v>
      </c>
      <c r="O72" s="672">
        <f t="shared" si="6"/>
        <v>0</v>
      </c>
      <c r="P72" s="672">
        <f t="shared" si="6"/>
        <v>0</v>
      </c>
      <c r="Q72" s="672">
        <f t="shared" si="6"/>
        <v>0</v>
      </c>
      <c r="R72" s="673">
        <f t="shared" si="6"/>
        <v>0</v>
      </c>
      <c r="S72" s="706"/>
      <c r="T72" s="298"/>
      <c r="U72" s="402"/>
      <c r="V72" s="402"/>
      <c r="W72" s="402"/>
      <c r="X72" s="402"/>
      <c r="Y72" s="402"/>
      <c r="Z72" s="402"/>
      <c r="AA72" s="402"/>
      <c r="AB72" s="402"/>
      <c r="AC72" s="402"/>
      <c r="AD72" s="402"/>
      <c r="AE72" s="296"/>
      <c r="AF72" s="296"/>
      <c r="AG72" s="411"/>
      <c r="AH72" s="411"/>
      <c r="AI72" s="412"/>
      <c r="AJ72" s="412"/>
      <c r="AK72" s="412"/>
      <c r="AL72" s="412"/>
      <c r="AM72" s="412"/>
      <c r="AN72" s="412"/>
      <c r="AO72" s="412"/>
      <c r="AP72" s="412"/>
      <c r="AQ72" s="412"/>
      <c r="AR72" s="412"/>
      <c r="AS72" s="412"/>
      <c r="AT72" s="412"/>
      <c r="AU72" s="412"/>
      <c r="AV72" s="412"/>
      <c r="AW72" s="412"/>
      <c r="AX72" s="412"/>
      <c r="AY72" s="449"/>
    </row>
    <row r="73" spans="3:51" s="15" customFormat="1" hidden="1" x14ac:dyDescent="0.2">
      <c r="C73" s="411"/>
      <c r="D73" s="718"/>
      <c r="E73" s="671" t="s">
        <v>147</v>
      </c>
      <c r="F73" s="712">
        <f t="shared" ref="F73:R73" si="7">F16</f>
        <v>0</v>
      </c>
      <c r="G73" s="672">
        <f t="shared" si="7"/>
        <v>0</v>
      </c>
      <c r="H73" s="672">
        <f t="shared" si="7"/>
        <v>0</v>
      </c>
      <c r="I73" s="672">
        <f t="shared" si="7"/>
        <v>0</v>
      </c>
      <c r="J73" s="672">
        <f t="shared" si="7"/>
        <v>0</v>
      </c>
      <c r="K73" s="672">
        <f t="shared" si="7"/>
        <v>0</v>
      </c>
      <c r="L73" s="672">
        <f t="shared" si="7"/>
        <v>0</v>
      </c>
      <c r="M73" s="672">
        <f t="shared" si="7"/>
        <v>0</v>
      </c>
      <c r="N73" s="672">
        <f t="shared" si="7"/>
        <v>0</v>
      </c>
      <c r="O73" s="672">
        <f t="shared" si="7"/>
        <v>0</v>
      </c>
      <c r="P73" s="672">
        <f t="shared" si="7"/>
        <v>0</v>
      </c>
      <c r="Q73" s="672">
        <f t="shared" si="7"/>
        <v>0</v>
      </c>
      <c r="R73" s="673">
        <f t="shared" si="7"/>
        <v>0</v>
      </c>
      <c r="S73" s="706"/>
      <c r="T73" s="298"/>
      <c r="U73" s="402"/>
      <c r="V73" s="402"/>
      <c r="W73" s="402"/>
      <c r="X73" s="402"/>
      <c r="Y73" s="402"/>
      <c r="Z73" s="402"/>
      <c r="AA73" s="402"/>
      <c r="AB73" s="402"/>
      <c r="AC73" s="402"/>
      <c r="AD73" s="402"/>
      <c r="AE73" s="296"/>
      <c r="AF73" s="296"/>
      <c r="AG73" s="411"/>
      <c r="AH73" s="411"/>
      <c r="AI73" s="412"/>
      <c r="AJ73" s="412"/>
      <c r="AK73" s="412"/>
      <c r="AL73" s="412"/>
      <c r="AM73" s="412"/>
      <c r="AN73" s="412"/>
      <c r="AO73" s="412"/>
      <c r="AP73" s="412"/>
      <c r="AQ73" s="412"/>
      <c r="AR73" s="412"/>
      <c r="AS73" s="412"/>
      <c r="AT73" s="412"/>
      <c r="AU73" s="412"/>
      <c r="AV73" s="412"/>
      <c r="AW73" s="412"/>
      <c r="AX73" s="412"/>
      <c r="AY73" s="449"/>
    </row>
    <row r="74" spans="3:51" s="15" customFormat="1" hidden="1" x14ac:dyDescent="0.2">
      <c r="C74" s="411"/>
      <c r="D74" s="718"/>
      <c r="E74" s="674" t="s">
        <v>605</v>
      </c>
      <c r="F74" s="713">
        <f>SUM(G74:R74)</f>
        <v>0</v>
      </c>
      <c r="G74" s="675">
        <f t="shared" ref="G74:R74" si="8">G72+G73</f>
        <v>0</v>
      </c>
      <c r="H74" s="675">
        <f t="shared" si="8"/>
        <v>0</v>
      </c>
      <c r="I74" s="675">
        <f t="shared" si="8"/>
        <v>0</v>
      </c>
      <c r="J74" s="675">
        <f t="shared" si="8"/>
        <v>0</v>
      </c>
      <c r="K74" s="675">
        <f t="shared" si="8"/>
        <v>0</v>
      </c>
      <c r="L74" s="675">
        <f t="shared" si="8"/>
        <v>0</v>
      </c>
      <c r="M74" s="675">
        <f t="shared" si="8"/>
        <v>0</v>
      </c>
      <c r="N74" s="675">
        <f t="shared" si="8"/>
        <v>0</v>
      </c>
      <c r="O74" s="675">
        <f t="shared" si="8"/>
        <v>0</v>
      </c>
      <c r="P74" s="675">
        <f t="shared" si="8"/>
        <v>0</v>
      </c>
      <c r="Q74" s="675">
        <f t="shared" si="8"/>
        <v>0</v>
      </c>
      <c r="R74" s="676">
        <f t="shared" si="8"/>
        <v>0</v>
      </c>
      <c r="S74" s="706"/>
      <c r="T74" s="298"/>
      <c r="U74" s="402"/>
      <c r="V74" s="402"/>
      <c r="W74" s="402"/>
      <c r="X74" s="402"/>
      <c r="Y74" s="402"/>
      <c r="Z74" s="402"/>
      <c r="AA74" s="402"/>
      <c r="AB74" s="402"/>
      <c r="AC74" s="402"/>
      <c r="AD74" s="402"/>
      <c r="AE74" s="296"/>
      <c r="AF74" s="296"/>
      <c r="AG74" s="411"/>
      <c r="AH74" s="411"/>
      <c r="AI74" s="412"/>
      <c r="AJ74" s="412"/>
      <c r="AK74" s="412"/>
      <c r="AL74" s="412"/>
      <c r="AM74" s="412"/>
      <c r="AN74" s="412"/>
      <c r="AO74" s="412"/>
      <c r="AP74" s="412"/>
      <c r="AQ74" s="412"/>
      <c r="AR74" s="412"/>
      <c r="AS74" s="412"/>
      <c r="AT74" s="412"/>
      <c r="AU74" s="412"/>
      <c r="AV74" s="412"/>
      <c r="AW74" s="412"/>
      <c r="AX74" s="412"/>
      <c r="AY74" s="449"/>
    </row>
    <row r="75" spans="3:51" s="15" customFormat="1" hidden="1" x14ac:dyDescent="0.2">
      <c r="C75" s="411"/>
      <c r="D75" s="718"/>
      <c r="E75" s="709">
        <f>IF(L4=0,0,$L$4+'3'!F7+'3'!F20+'3'!F40+'4'!G29)</f>
        <v>0</v>
      </c>
      <c r="F75" s="703"/>
      <c r="G75" s="411"/>
      <c r="H75" s="411"/>
      <c r="I75" s="411"/>
      <c r="J75" s="411"/>
      <c r="K75" s="411"/>
      <c r="L75" s="411"/>
      <c r="M75" s="411"/>
      <c r="N75" s="411"/>
      <c r="O75" s="411"/>
      <c r="P75" s="411"/>
      <c r="Q75" s="411"/>
      <c r="R75" s="706"/>
      <c r="S75" s="706"/>
      <c r="T75" s="298"/>
      <c r="U75" s="402"/>
      <c r="V75" s="402"/>
      <c r="W75" s="402"/>
      <c r="X75" s="402"/>
      <c r="Y75" s="402"/>
      <c r="Z75" s="402"/>
      <c r="AA75" s="402"/>
      <c r="AB75" s="402"/>
      <c r="AC75" s="402"/>
      <c r="AD75" s="402"/>
      <c r="AE75" s="296"/>
      <c r="AF75" s="296"/>
      <c r="AG75" s="411"/>
      <c r="AH75" s="411"/>
      <c r="AI75" s="412"/>
      <c r="AJ75" s="412"/>
      <c r="AK75" s="412"/>
      <c r="AL75" s="412"/>
      <c r="AM75" s="412"/>
      <c r="AN75" s="412"/>
      <c r="AO75" s="412"/>
      <c r="AP75" s="412"/>
      <c r="AQ75" s="412"/>
      <c r="AR75" s="412"/>
      <c r="AS75" s="412"/>
      <c r="AT75" s="412"/>
      <c r="AU75" s="412"/>
      <c r="AV75" s="412"/>
      <c r="AW75" s="412"/>
      <c r="AX75" s="412"/>
      <c r="AY75" s="449"/>
    </row>
    <row r="76" spans="3:51" s="15" customFormat="1" hidden="1" x14ac:dyDescent="0.2">
      <c r="C76" s="411"/>
      <c r="D76" s="718"/>
      <c r="E76" s="710">
        <f>+E75/(1-E75)</f>
        <v>0</v>
      </c>
      <c r="F76" s="703"/>
      <c r="G76" s="411"/>
      <c r="H76" s="411"/>
      <c r="I76" s="411"/>
      <c r="J76" s="411"/>
      <c r="K76" s="411"/>
      <c r="L76" s="411"/>
      <c r="M76" s="411"/>
      <c r="N76" s="411"/>
      <c r="O76" s="411"/>
      <c r="P76" s="411"/>
      <c r="Q76" s="411"/>
      <c r="R76" s="706"/>
      <c r="S76" s="706"/>
      <c r="T76" s="298"/>
      <c r="U76" s="402"/>
      <c r="V76" s="402"/>
      <c r="W76" s="402"/>
      <c r="X76" s="402"/>
      <c r="Y76" s="402"/>
      <c r="Z76" s="402"/>
      <c r="AA76" s="402"/>
      <c r="AB76" s="402"/>
      <c r="AC76" s="402"/>
      <c r="AD76" s="402"/>
      <c r="AE76" s="296"/>
      <c r="AF76" s="296"/>
      <c r="AG76" s="411"/>
      <c r="AH76" s="411"/>
      <c r="AI76" s="412"/>
      <c r="AJ76" s="412"/>
      <c r="AK76" s="412"/>
      <c r="AL76" s="412"/>
      <c r="AM76" s="412"/>
      <c r="AN76" s="412"/>
      <c r="AO76" s="412"/>
      <c r="AP76" s="412"/>
      <c r="AQ76" s="412"/>
      <c r="AR76" s="412"/>
      <c r="AS76" s="412"/>
      <c r="AT76" s="412"/>
      <c r="AU76" s="412"/>
      <c r="AV76" s="412"/>
      <c r="AW76" s="412"/>
      <c r="AX76" s="412"/>
      <c r="AY76" s="449"/>
    </row>
    <row r="77" spans="3:51" s="15" customFormat="1" hidden="1" x14ac:dyDescent="0.2">
      <c r="C77" s="411"/>
      <c r="D77" s="718"/>
      <c r="E77" s="711">
        <f>+E76+1</f>
        <v>1</v>
      </c>
      <c r="F77" s="714">
        <f>(F33-F78)*$E$77</f>
        <v>0</v>
      </c>
      <c r="G77" s="707">
        <f>(G33-G78)*$E$77</f>
        <v>0</v>
      </c>
      <c r="H77" s="707">
        <f t="shared" ref="H77:R77" si="9">(H33-H78)*$E$77</f>
        <v>0</v>
      </c>
      <c r="I77" s="707">
        <f t="shared" si="9"/>
        <v>0</v>
      </c>
      <c r="J77" s="707">
        <f t="shared" si="9"/>
        <v>0</v>
      </c>
      <c r="K77" s="707">
        <f t="shared" si="9"/>
        <v>0</v>
      </c>
      <c r="L77" s="707">
        <f t="shared" si="9"/>
        <v>0</v>
      </c>
      <c r="M77" s="707">
        <f t="shared" si="9"/>
        <v>0</v>
      </c>
      <c r="N77" s="707">
        <f t="shared" si="9"/>
        <v>0</v>
      </c>
      <c r="O77" s="707">
        <f t="shared" si="9"/>
        <v>0</v>
      </c>
      <c r="P77" s="707">
        <f t="shared" si="9"/>
        <v>0</v>
      </c>
      <c r="Q77" s="707">
        <f t="shared" si="9"/>
        <v>0</v>
      </c>
      <c r="R77" s="708">
        <f t="shared" si="9"/>
        <v>0</v>
      </c>
      <c r="S77" s="706"/>
      <c r="T77" s="298"/>
      <c r="U77" s="402"/>
      <c r="V77" s="402"/>
      <c r="W77" s="402"/>
      <c r="X77" s="402"/>
      <c r="Y77" s="402"/>
      <c r="Z77" s="402"/>
      <c r="AA77" s="402"/>
      <c r="AB77" s="402"/>
      <c r="AC77" s="402"/>
      <c r="AD77" s="402"/>
      <c r="AE77" s="296"/>
      <c r="AF77" s="296"/>
      <c r="AG77" s="411"/>
      <c r="AH77" s="411"/>
      <c r="AI77" s="412"/>
      <c r="AJ77" s="412"/>
      <c r="AK77" s="412"/>
      <c r="AL77" s="412"/>
      <c r="AM77" s="412"/>
      <c r="AN77" s="412"/>
      <c r="AO77" s="412"/>
      <c r="AP77" s="412"/>
      <c r="AQ77" s="412"/>
      <c r="AR77" s="412"/>
      <c r="AS77" s="412"/>
      <c r="AT77" s="412"/>
      <c r="AU77" s="412"/>
      <c r="AV77" s="412"/>
      <c r="AW77" s="412"/>
      <c r="AX77" s="412"/>
      <c r="AY77" s="449"/>
    </row>
    <row r="78" spans="3:51" s="15" customFormat="1" hidden="1" x14ac:dyDescent="0.2">
      <c r="C78" s="411"/>
      <c r="D78" s="718"/>
      <c r="E78" s="711" t="s">
        <v>1051</v>
      </c>
      <c r="F78" s="714">
        <f>SUM(G78:R78)</f>
        <v>0</v>
      </c>
      <c r="G78" s="707">
        <f>INFORME!G112+INFORME!G103+INFORME!G99+SANDBOX!F98</f>
        <v>0</v>
      </c>
      <c r="H78" s="707">
        <f>INFORME!H112+INFORME!H103+INFORME!H99+SANDBOX!G98</f>
        <v>0</v>
      </c>
      <c r="I78" s="707">
        <f>INFORME!I112+INFORME!I103+INFORME!I99+SANDBOX!H98</f>
        <v>0</v>
      </c>
      <c r="J78" s="707">
        <f>INFORME!J112+INFORME!J103+INFORME!J99+SANDBOX!I98</f>
        <v>0</v>
      </c>
      <c r="K78" s="707">
        <f>INFORME!K112+INFORME!K103+INFORME!K99+SANDBOX!J98</f>
        <v>0</v>
      </c>
      <c r="L78" s="707">
        <f>INFORME!L112+INFORME!L103+INFORME!L99+SANDBOX!K98</f>
        <v>0</v>
      </c>
      <c r="M78" s="707">
        <f>INFORME!M112+INFORME!M103+INFORME!M99+SANDBOX!L98</f>
        <v>0</v>
      </c>
      <c r="N78" s="707">
        <f>INFORME!N112+INFORME!N103+INFORME!N99+SANDBOX!M98</f>
        <v>0</v>
      </c>
      <c r="O78" s="707">
        <f>INFORME!O112+INFORME!O103+INFORME!O99+SANDBOX!N98</f>
        <v>0</v>
      </c>
      <c r="P78" s="707">
        <f>INFORME!P112+INFORME!P103+INFORME!P99+SANDBOX!O98</f>
        <v>0</v>
      </c>
      <c r="Q78" s="707">
        <f>INFORME!Q112+INFORME!Q103+INFORME!Q99+SANDBOX!P98</f>
        <v>0</v>
      </c>
      <c r="R78" s="708">
        <f>INFORME!R112+INFORME!R103+INFORME!R99+SANDBOX!Q98</f>
        <v>0</v>
      </c>
      <c r="S78" s="706"/>
      <c r="T78" s="298"/>
      <c r="U78" s="402"/>
      <c r="V78" s="402"/>
      <c r="W78" s="402"/>
      <c r="X78" s="402"/>
      <c r="Y78" s="402"/>
      <c r="Z78" s="402"/>
      <c r="AA78" s="402"/>
      <c r="AB78" s="402"/>
      <c r="AC78" s="402"/>
      <c r="AD78" s="402"/>
      <c r="AE78" s="296"/>
      <c r="AF78" s="296"/>
      <c r="AG78" s="411"/>
      <c r="AH78" s="411"/>
      <c r="AI78" s="412"/>
      <c r="AJ78" s="412"/>
      <c r="AK78" s="412"/>
      <c r="AL78" s="412"/>
      <c r="AM78" s="412"/>
      <c r="AN78" s="412"/>
      <c r="AO78" s="412"/>
      <c r="AP78" s="412"/>
      <c r="AQ78" s="412"/>
      <c r="AR78" s="412"/>
      <c r="AS78" s="412"/>
      <c r="AT78" s="412"/>
      <c r="AU78" s="412"/>
      <c r="AV78" s="412"/>
      <c r="AW78" s="412"/>
      <c r="AX78" s="412"/>
      <c r="AY78" s="449"/>
    </row>
    <row r="79" spans="3:51" s="15" customFormat="1" x14ac:dyDescent="0.2">
      <c r="C79" s="411"/>
      <c r="D79" s="719"/>
      <c r="E79" s="720"/>
      <c r="F79" s="720"/>
      <c r="G79" s="720"/>
      <c r="H79" s="720"/>
      <c r="I79" s="720"/>
      <c r="J79" s="720"/>
      <c r="K79" s="720"/>
      <c r="L79" s="720"/>
      <c r="M79" s="720"/>
      <c r="N79" s="720"/>
      <c r="O79" s="720"/>
      <c r="P79" s="720"/>
      <c r="Q79" s="720"/>
      <c r="R79" s="721"/>
      <c r="S79" s="721"/>
      <c r="T79" s="298"/>
      <c r="U79" s="402"/>
      <c r="V79" s="402"/>
      <c r="W79" s="402"/>
      <c r="X79" s="402"/>
      <c r="Y79" s="402"/>
      <c r="Z79" s="402"/>
      <c r="AA79" s="402"/>
      <c r="AB79" s="402"/>
      <c r="AC79" s="402"/>
      <c r="AD79" s="402"/>
      <c r="AE79" s="296"/>
      <c r="AF79" s="296"/>
      <c r="AG79" s="411"/>
      <c r="AH79" s="411"/>
      <c r="AI79" s="412"/>
      <c r="AJ79" s="412"/>
      <c r="AK79" s="412"/>
      <c r="AL79" s="412"/>
      <c r="AM79" s="412"/>
      <c r="AN79" s="412"/>
      <c r="AO79" s="412"/>
      <c r="AP79" s="412"/>
      <c r="AQ79" s="412"/>
      <c r="AR79" s="412"/>
      <c r="AS79" s="412"/>
      <c r="AT79" s="412"/>
      <c r="AU79" s="412"/>
      <c r="AV79" s="412"/>
      <c r="AW79" s="412"/>
      <c r="AX79" s="412"/>
      <c r="AY79" s="449"/>
    </row>
    <row r="80" spans="3:51" s="15" customFormat="1" x14ac:dyDescent="0.2">
      <c r="C80" s="411"/>
      <c r="D80" s="411"/>
      <c r="E80" s="411"/>
      <c r="F80" s="411"/>
      <c r="G80" s="411"/>
      <c r="H80" s="411"/>
      <c r="I80" s="411"/>
      <c r="J80" s="411"/>
      <c r="K80" s="411"/>
      <c r="L80" s="411"/>
      <c r="M80" s="411"/>
      <c r="N80" s="411"/>
      <c r="O80" s="411"/>
      <c r="P80" s="411"/>
      <c r="Q80" s="411"/>
      <c r="R80" s="411"/>
      <c r="S80" s="411"/>
      <c r="T80" s="298"/>
      <c r="U80" s="402"/>
      <c r="V80" s="402"/>
      <c r="W80" s="402"/>
      <c r="X80" s="402"/>
      <c r="Y80" s="402"/>
      <c r="Z80" s="402"/>
      <c r="AA80" s="402"/>
      <c r="AB80" s="402"/>
      <c r="AC80" s="402"/>
      <c r="AD80" s="402"/>
      <c r="AE80" s="296"/>
      <c r="AF80" s="296"/>
      <c r="AG80" s="411"/>
      <c r="AH80" s="411"/>
      <c r="AI80" s="412"/>
      <c r="AJ80" s="412"/>
      <c r="AK80" s="412"/>
      <c r="AL80" s="412"/>
      <c r="AM80" s="412"/>
      <c r="AN80" s="412"/>
      <c r="AO80" s="412"/>
      <c r="AP80" s="412"/>
      <c r="AQ80" s="412"/>
      <c r="AR80" s="412"/>
      <c r="AS80" s="412"/>
      <c r="AT80" s="412"/>
      <c r="AU80" s="412"/>
      <c r="AV80" s="412"/>
      <c r="AW80" s="412"/>
      <c r="AX80" s="412"/>
      <c r="AY80" s="449"/>
    </row>
    <row r="81" spans="3:51" s="15" customFormat="1" x14ac:dyDescent="0.2">
      <c r="C81" s="411"/>
      <c r="D81" s="411"/>
      <c r="E81" s="411"/>
      <c r="F81" s="411"/>
      <c r="G81" s="411"/>
      <c r="H81" s="411"/>
      <c r="I81" s="411"/>
      <c r="J81" s="411"/>
      <c r="K81" s="411"/>
      <c r="L81" s="411"/>
      <c r="M81" s="411"/>
      <c r="N81" s="411"/>
      <c r="O81" s="411"/>
      <c r="P81" s="411"/>
      <c r="Q81" s="411"/>
      <c r="R81" s="411"/>
      <c r="S81" s="411"/>
      <c r="T81" s="298"/>
      <c r="U81" s="402"/>
      <c r="V81" s="402"/>
      <c r="W81" s="402"/>
      <c r="X81" s="402"/>
      <c r="Y81" s="402"/>
      <c r="Z81" s="402"/>
      <c r="AA81" s="402"/>
      <c r="AB81" s="402"/>
      <c r="AC81" s="402"/>
      <c r="AD81" s="402"/>
      <c r="AE81" s="296"/>
      <c r="AF81" s="296"/>
      <c r="AG81" s="411"/>
      <c r="AH81" s="411"/>
      <c r="AI81" s="412"/>
      <c r="AJ81" s="412"/>
      <c r="AK81" s="412"/>
      <c r="AL81" s="412"/>
      <c r="AM81" s="412"/>
      <c r="AN81" s="412"/>
      <c r="AO81" s="412"/>
      <c r="AP81" s="412"/>
      <c r="AQ81" s="412"/>
      <c r="AR81" s="412"/>
      <c r="AS81" s="412"/>
      <c r="AT81" s="412"/>
      <c r="AU81" s="412"/>
      <c r="AV81" s="412"/>
      <c r="AW81" s="412"/>
      <c r="AX81" s="412"/>
      <c r="AY81" s="449"/>
    </row>
    <row r="82" spans="3:51" s="15" customFormat="1" x14ac:dyDescent="0.2">
      <c r="C82" s="411"/>
      <c r="D82" s="411"/>
      <c r="E82" s="411"/>
      <c r="F82" s="411"/>
      <c r="G82" s="411"/>
      <c r="H82" s="411"/>
      <c r="I82" s="411"/>
      <c r="J82" s="411"/>
      <c r="K82" s="411"/>
      <c r="L82" s="411"/>
      <c r="M82" s="411"/>
      <c r="N82" s="411"/>
      <c r="O82" s="411"/>
      <c r="P82" s="411"/>
      <c r="Q82" s="411"/>
      <c r="R82" s="411"/>
      <c r="S82" s="411"/>
      <c r="T82" s="298"/>
      <c r="U82" s="402"/>
      <c r="V82" s="402"/>
      <c r="W82" s="402"/>
      <c r="X82" s="402"/>
      <c r="Y82" s="402"/>
      <c r="Z82" s="402"/>
      <c r="AA82" s="402"/>
      <c r="AB82" s="402"/>
      <c r="AC82" s="402"/>
      <c r="AD82" s="402"/>
      <c r="AE82" s="296"/>
      <c r="AF82" s="296"/>
      <c r="AG82" s="411"/>
      <c r="AH82" s="411"/>
      <c r="AI82" s="412"/>
      <c r="AJ82" s="412"/>
      <c r="AK82" s="412"/>
      <c r="AL82" s="412"/>
      <c r="AM82" s="412"/>
      <c r="AN82" s="412"/>
      <c r="AO82" s="412"/>
      <c r="AP82" s="412"/>
      <c r="AQ82" s="412"/>
      <c r="AR82" s="412"/>
      <c r="AS82" s="412"/>
      <c r="AT82" s="412"/>
      <c r="AU82" s="412"/>
      <c r="AV82" s="412"/>
      <c r="AW82" s="412"/>
      <c r="AX82" s="412"/>
      <c r="AY82" s="449"/>
    </row>
    <row r="83" spans="3:51" s="15" customFormat="1" x14ac:dyDescent="0.2">
      <c r="C83" s="411"/>
      <c r="D83" s="411"/>
      <c r="E83" s="411"/>
      <c r="F83" s="411"/>
      <c r="G83" s="411"/>
      <c r="H83" s="411"/>
      <c r="I83" s="411"/>
      <c r="J83" s="411"/>
      <c r="K83" s="411"/>
      <c r="L83" s="411"/>
      <c r="M83" s="411"/>
      <c r="N83" s="411"/>
      <c r="O83" s="411"/>
      <c r="P83" s="411"/>
      <c r="Q83" s="411"/>
      <c r="R83" s="411"/>
      <c r="S83" s="411"/>
      <c r="T83" s="298"/>
      <c r="U83" s="402"/>
      <c r="V83" s="402"/>
      <c r="W83" s="402"/>
      <c r="X83" s="402"/>
      <c r="Y83" s="402"/>
      <c r="Z83" s="402"/>
      <c r="AA83" s="402"/>
      <c r="AB83" s="402"/>
      <c r="AC83" s="402"/>
      <c r="AD83" s="402"/>
      <c r="AE83" s="296"/>
      <c r="AF83" s="296"/>
      <c r="AG83" s="411"/>
      <c r="AH83" s="411"/>
      <c r="AI83" s="412"/>
      <c r="AJ83" s="412"/>
      <c r="AK83" s="412"/>
      <c r="AL83" s="412"/>
      <c r="AM83" s="412"/>
      <c r="AN83" s="412"/>
      <c r="AO83" s="412"/>
      <c r="AP83" s="412"/>
      <c r="AQ83" s="412"/>
      <c r="AR83" s="412"/>
      <c r="AS83" s="412"/>
      <c r="AT83" s="412"/>
      <c r="AU83" s="412"/>
      <c r="AV83" s="412"/>
      <c r="AW83" s="412"/>
      <c r="AX83" s="412"/>
      <c r="AY83" s="449"/>
    </row>
    <row r="84" spans="3:51" s="15" customFormat="1" x14ac:dyDescent="0.2">
      <c r="C84" s="411"/>
      <c r="D84" s="411"/>
      <c r="E84" s="411"/>
      <c r="F84" s="411"/>
      <c r="G84" s="411"/>
      <c r="H84" s="411"/>
      <c r="I84" s="411"/>
      <c r="J84" s="411"/>
      <c r="K84" s="411"/>
      <c r="L84" s="411"/>
      <c r="M84" s="411"/>
      <c r="N84" s="411"/>
      <c r="O84" s="411"/>
      <c r="P84" s="411"/>
      <c r="Q84" s="411"/>
      <c r="R84" s="411"/>
      <c r="S84" s="411"/>
      <c r="T84" s="298"/>
      <c r="U84" s="402"/>
      <c r="V84" s="402"/>
      <c r="W84" s="402"/>
      <c r="X84" s="402"/>
      <c r="Y84" s="402"/>
      <c r="Z84" s="402"/>
      <c r="AA84" s="402"/>
      <c r="AB84" s="402"/>
      <c r="AC84" s="402"/>
      <c r="AD84" s="402"/>
      <c r="AE84" s="296"/>
      <c r="AF84" s="296"/>
      <c r="AG84" s="411"/>
      <c r="AH84" s="411"/>
      <c r="AI84" s="412"/>
      <c r="AJ84" s="412"/>
      <c r="AK84" s="412"/>
      <c r="AL84" s="412"/>
      <c r="AM84" s="412"/>
      <c r="AN84" s="412"/>
      <c r="AO84" s="412"/>
      <c r="AP84" s="412"/>
      <c r="AQ84" s="412"/>
      <c r="AR84" s="412"/>
      <c r="AS84" s="412"/>
      <c r="AT84" s="412"/>
      <c r="AU84" s="412"/>
      <c r="AV84" s="412"/>
      <c r="AW84" s="412"/>
      <c r="AX84" s="412"/>
      <c r="AY84" s="449"/>
    </row>
    <row r="85" spans="3:51" s="15" customFormat="1" x14ac:dyDescent="0.2">
      <c r="C85" s="411"/>
      <c r="D85" s="411"/>
      <c r="E85" s="411"/>
      <c r="F85" s="411"/>
      <c r="G85" s="411"/>
      <c r="H85" s="411"/>
      <c r="I85" s="411"/>
      <c r="J85" s="411"/>
      <c r="K85" s="411"/>
      <c r="L85" s="411"/>
      <c r="M85" s="411"/>
      <c r="N85" s="411"/>
      <c r="O85" s="411"/>
      <c r="P85" s="411"/>
      <c r="Q85" s="411"/>
      <c r="R85" s="411"/>
      <c r="S85" s="411"/>
      <c r="T85" s="298"/>
      <c r="U85" s="402"/>
      <c r="V85" s="402"/>
      <c r="W85" s="402"/>
      <c r="X85" s="402"/>
      <c r="Y85" s="402"/>
      <c r="Z85" s="402"/>
      <c r="AA85" s="402"/>
      <c r="AB85" s="402"/>
      <c r="AC85" s="402"/>
      <c r="AD85" s="402"/>
      <c r="AE85" s="296"/>
      <c r="AF85" s="296"/>
      <c r="AG85" s="411"/>
      <c r="AH85" s="411"/>
      <c r="AI85" s="412"/>
      <c r="AJ85" s="412"/>
      <c r="AK85" s="412"/>
      <c r="AL85" s="412"/>
      <c r="AM85" s="412"/>
      <c r="AN85" s="412"/>
      <c r="AO85" s="412"/>
      <c r="AP85" s="412"/>
      <c r="AQ85" s="412"/>
      <c r="AR85" s="412"/>
      <c r="AS85" s="412"/>
      <c r="AT85" s="412"/>
      <c r="AU85" s="412"/>
      <c r="AV85" s="412"/>
      <c r="AW85" s="412"/>
      <c r="AX85" s="412"/>
      <c r="AY85" s="449"/>
    </row>
    <row r="86" spans="3:51" s="15" customFormat="1" x14ac:dyDescent="0.2">
      <c r="C86" s="411"/>
      <c r="D86" s="411"/>
      <c r="E86" s="411"/>
      <c r="F86" s="411"/>
      <c r="G86" s="411"/>
      <c r="H86" s="411"/>
      <c r="I86" s="411"/>
      <c r="J86" s="411"/>
      <c r="K86" s="411"/>
      <c r="L86" s="411"/>
      <c r="M86" s="411"/>
      <c r="N86" s="411"/>
      <c r="O86" s="411"/>
      <c r="P86" s="411"/>
      <c r="Q86" s="411"/>
      <c r="R86" s="411"/>
      <c r="S86" s="411"/>
      <c r="T86" s="298"/>
      <c r="U86" s="402"/>
      <c r="V86" s="402"/>
      <c r="W86" s="402"/>
      <c r="X86" s="402"/>
      <c r="Y86" s="402"/>
      <c r="Z86" s="402"/>
      <c r="AA86" s="402"/>
      <c r="AB86" s="402"/>
      <c r="AC86" s="402"/>
      <c r="AD86" s="402"/>
      <c r="AE86" s="296"/>
      <c r="AF86" s="296"/>
      <c r="AG86" s="411"/>
      <c r="AH86" s="411"/>
      <c r="AI86" s="412"/>
      <c r="AJ86" s="412"/>
      <c r="AK86" s="412"/>
      <c r="AL86" s="412"/>
      <c r="AM86" s="412"/>
      <c r="AN86" s="412"/>
      <c r="AO86" s="412"/>
      <c r="AP86" s="412"/>
      <c r="AQ86" s="412"/>
      <c r="AR86" s="412"/>
      <c r="AS86" s="412"/>
      <c r="AT86" s="412"/>
      <c r="AU86" s="412"/>
      <c r="AV86" s="412"/>
      <c r="AW86" s="412"/>
      <c r="AX86" s="412"/>
      <c r="AY86" s="449"/>
    </row>
    <row r="87" spans="3:51" s="15" customFormat="1" x14ac:dyDescent="0.2">
      <c r="C87" s="411"/>
      <c r="D87" s="411"/>
      <c r="E87" s="411"/>
      <c r="F87" s="411"/>
      <c r="G87" s="411"/>
      <c r="H87" s="411"/>
      <c r="I87" s="411"/>
      <c r="J87" s="411"/>
      <c r="K87" s="411"/>
      <c r="L87" s="411"/>
      <c r="M87" s="411"/>
      <c r="N87" s="411"/>
      <c r="O87" s="411"/>
      <c r="P87" s="411"/>
      <c r="Q87" s="411"/>
      <c r="R87" s="411"/>
      <c r="S87" s="411"/>
      <c r="T87" s="298"/>
      <c r="U87" s="402"/>
      <c r="V87" s="402"/>
      <c r="W87" s="402"/>
      <c r="X87" s="402"/>
      <c r="Y87" s="402"/>
      <c r="Z87" s="402"/>
      <c r="AA87" s="402"/>
      <c r="AB87" s="402"/>
      <c r="AC87" s="402"/>
      <c r="AD87" s="402"/>
      <c r="AE87" s="296"/>
      <c r="AF87" s="296"/>
      <c r="AG87" s="411"/>
      <c r="AH87" s="411"/>
      <c r="AI87" s="412"/>
      <c r="AJ87" s="412"/>
      <c r="AK87" s="412"/>
      <c r="AL87" s="412"/>
      <c r="AM87" s="412"/>
      <c r="AN87" s="412"/>
      <c r="AO87" s="412"/>
      <c r="AP87" s="412"/>
      <c r="AQ87" s="412"/>
      <c r="AR87" s="412"/>
      <c r="AS87" s="412"/>
      <c r="AT87" s="412"/>
      <c r="AU87" s="412"/>
      <c r="AV87" s="412"/>
      <c r="AW87" s="412"/>
      <c r="AX87" s="412"/>
      <c r="AY87" s="449"/>
    </row>
    <row r="88" spans="3:51" s="15" customFormat="1" x14ac:dyDescent="0.2">
      <c r="C88" s="411"/>
      <c r="D88" s="411"/>
      <c r="E88" s="411"/>
      <c r="F88" s="411"/>
      <c r="G88" s="411"/>
      <c r="H88" s="411"/>
      <c r="I88" s="411"/>
      <c r="J88" s="411"/>
      <c r="K88" s="411"/>
      <c r="L88" s="411"/>
      <c r="M88" s="411"/>
      <c r="N88" s="411"/>
      <c r="O88" s="411"/>
      <c r="P88" s="411"/>
      <c r="Q88" s="411"/>
      <c r="R88" s="411"/>
      <c r="S88" s="411"/>
      <c r="T88" s="298"/>
      <c r="U88" s="402"/>
      <c r="V88" s="402"/>
      <c r="W88" s="402"/>
      <c r="X88" s="402"/>
      <c r="Y88" s="402"/>
      <c r="Z88" s="402"/>
      <c r="AA88" s="402"/>
      <c r="AB88" s="402"/>
      <c r="AC88" s="402"/>
      <c r="AD88" s="402"/>
      <c r="AE88" s="296"/>
      <c r="AF88" s="296"/>
      <c r="AG88" s="411"/>
      <c r="AH88" s="411"/>
      <c r="AI88" s="412"/>
      <c r="AJ88" s="412"/>
      <c r="AK88" s="412"/>
      <c r="AL88" s="412"/>
      <c r="AM88" s="412"/>
      <c r="AN88" s="412"/>
      <c r="AO88" s="412"/>
      <c r="AP88" s="412"/>
      <c r="AQ88" s="412"/>
      <c r="AR88" s="412"/>
      <c r="AS88" s="412"/>
      <c r="AT88" s="412"/>
      <c r="AU88" s="412"/>
      <c r="AV88" s="412"/>
      <c r="AW88" s="412"/>
      <c r="AX88" s="412"/>
      <c r="AY88" s="449"/>
    </row>
    <row r="89" spans="3:51" s="15" customFormat="1" x14ac:dyDescent="0.2">
      <c r="C89" s="411"/>
      <c r="D89" s="411"/>
      <c r="E89" s="411"/>
      <c r="F89" s="411"/>
      <c r="G89" s="411"/>
      <c r="H89" s="411"/>
      <c r="I89" s="411"/>
      <c r="J89" s="411"/>
      <c r="K89" s="411"/>
      <c r="L89" s="411"/>
      <c r="M89" s="411"/>
      <c r="N89" s="411"/>
      <c r="O89" s="411"/>
      <c r="P89" s="411"/>
      <c r="W89" s="402"/>
      <c r="X89" s="402"/>
      <c r="Y89" s="402"/>
      <c r="Z89" s="402"/>
      <c r="AA89" s="402"/>
      <c r="AB89" s="402"/>
      <c r="AC89" s="402"/>
      <c r="AD89" s="402"/>
      <c r="AE89" s="296"/>
      <c r="AF89" s="296"/>
      <c r="AG89" s="411"/>
      <c r="AH89" s="411"/>
      <c r="AI89" s="412"/>
      <c r="AJ89" s="412"/>
      <c r="AK89" s="412"/>
      <c r="AL89" s="412"/>
      <c r="AM89" s="412"/>
      <c r="AN89" s="412"/>
      <c r="AO89" s="412"/>
      <c r="AP89" s="412"/>
      <c r="AQ89" s="412"/>
      <c r="AR89" s="412"/>
      <c r="AS89" s="412"/>
      <c r="AT89" s="412"/>
      <c r="AU89" s="412"/>
      <c r="AV89" s="412"/>
      <c r="AW89" s="412"/>
      <c r="AX89" s="412"/>
      <c r="AY89" s="449"/>
    </row>
    <row r="90" spans="3:51" s="15" customFormat="1" x14ac:dyDescent="0.2">
      <c r="C90" s="411"/>
      <c r="D90" s="411"/>
      <c r="E90" s="411"/>
      <c r="F90" s="411"/>
      <c r="G90" s="411"/>
      <c r="H90" s="411"/>
      <c r="I90" s="411"/>
      <c r="J90" s="411"/>
      <c r="K90" s="411"/>
      <c r="L90" s="411"/>
      <c r="M90" s="411"/>
      <c r="N90" s="411"/>
      <c r="O90" s="411"/>
      <c r="P90" s="411"/>
      <c r="W90" s="402"/>
      <c r="X90" s="402"/>
      <c r="Y90" s="402"/>
      <c r="Z90" s="402"/>
      <c r="AA90" s="402"/>
      <c r="AB90" s="402"/>
      <c r="AC90" s="402"/>
      <c r="AD90" s="402"/>
      <c r="AE90" s="296"/>
      <c r="AF90" s="296"/>
      <c r="AG90" s="411"/>
      <c r="AH90" s="411"/>
      <c r="AI90" s="412"/>
      <c r="AJ90" s="412"/>
      <c r="AK90" s="412"/>
      <c r="AL90" s="412"/>
      <c r="AM90" s="412"/>
      <c r="AN90" s="412"/>
      <c r="AO90" s="412"/>
      <c r="AP90" s="412"/>
      <c r="AQ90" s="412"/>
      <c r="AR90" s="412"/>
      <c r="AS90" s="412"/>
      <c r="AT90" s="412"/>
      <c r="AU90" s="412"/>
      <c r="AV90" s="412"/>
      <c r="AW90" s="412"/>
      <c r="AX90" s="412"/>
      <c r="AY90" s="449"/>
    </row>
    <row r="91" spans="3:51" s="15" customFormat="1" x14ac:dyDescent="0.2">
      <c r="C91" s="411"/>
      <c r="D91" s="411"/>
      <c r="E91" s="411"/>
      <c r="F91" s="411"/>
      <c r="G91" s="411"/>
      <c r="H91" s="411"/>
      <c r="I91" s="411"/>
      <c r="J91" s="411"/>
      <c r="K91" s="411"/>
      <c r="L91" s="411"/>
      <c r="M91" s="411"/>
      <c r="N91" s="411"/>
      <c r="O91" s="411"/>
      <c r="P91" s="411"/>
      <c r="W91" s="402"/>
      <c r="X91" s="402"/>
      <c r="Y91" s="402"/>
      <c r="Z91" s="402"/>
      <c r="AA91" s="402"/>
      <c r="AB91" s="402"/>
      <c r="AC91" s="402"/>
      <c r="AD91" s="402"/>
      <c r="AE91" s="296"/>
      <c r="AF91" s="296"/>
      <c r="AG91" s="411"/>
      <c r="AH91" s="411"/>
      <c r="AI91" s="412"/>
      <c r="AJ91" s="412"/>
      <c r="AK91" s="412"/>
      <c r="AL91" s="412"/>
      <c r="AM91" s="412"/>
      <c r="AN91" s="412"/>
      <c r="AO91" s="412"/>
      <c r="AP91" s="412"/>
      <c r="AQ91" s="412"/>
      <c r="AR91" s="412"/>
      <c r="AS91" s="412"/>
      <c r="AT91" s="412"/>
      <c r="AU91" s="412"/>
      <c r="AV91" s="412"/>
      <c r="AW91" s="412"/>
      <c r="AX91" s="412"/>
      <c r="AY91" s="449"/>
    </row>
    <row r="92" spans="3:51" s="15" customFormat="1" x14ac:dyDescent="0.2">
      <c r="C92" s="411"/>
      <c r="D92" s="411"/>
      <c r="E92" s="411"/>
      <c r="F92" s="411"/>
      <c r="G92" s="411"/>
      <c r="H92" s="411"/>
      <c r="I92" s="411"/>
      <c r="J92" s="411"/>
      <c r="K92" s="411"/>
      <c r="L92" s="411"/>
      <c r="M92" s="411"/>
      <c r="N92" s="411"/>
      <c r="O92" s="411"/>
      <c r="P92" s="411"/>
      <c r="Q92" s="411"/>
      <c r="R92" s="411"/>
      <c r="S92" s="411"/>
      <c r="T92" s="298"/>
      <c r="U92" s="402"/>
      <c r="V92" s="402"/>
      <c r="W92" s="402"/>
      <c r="X92" s="402"/>
      <c r="Y92" s="402"/>
      <c r="Z92" s="402"/>
      <c r="AA92" s="402"/>
      <c r="AB92" s="402"/>
      <c r="AC92" s="402"/>
      <c r="AD92" s="402"/>
      <c r="AE92" s="296"/>
      <c r="AF92" s="296"/>
      <c r="AG92" s="411"/>
      <c r="AH92" s="411"/>
      <c r="AI92" s="412"/>
      <c r="AJ92" s="412"/>
      <c r="AK92" s="412"/>
      <c r="AL92" s="412"/>
      <c r="AM92" s="412"/>
      <c r="AN92" s="412"/>
      <c r="AO92" s="412"/>
      <c r="AP92" s="412"/>
      <c r="AQ92" s="412"/>
      <c r="AR92" s="412"/>
      <c r="AS92" s="412"/>
      <c r="AT92" s="412"/>
      <c r="AU92" s="412"/>
      <c r="AV92" s="412"/>
      <c r="AW92" s="412"/>
      <c r="AX92" s="412"/>
      <c r="AY92" s="449"/>
    </row>
    <row r="93" spans="3:51" s="15" customFormat="1" x14ac:dyDescent="0.2">
      <c r="C93" s="411"/>
      <c r="D93" s="411"/>
      <c r="E93" s="411"/>
      <c r="F93" s="411"/>
      <c r="G93" s="411"/>
      <c r="H93" s="411"/>
      <c r="I93" s="411"/>
      <c r="J93" s="411"/>
      <c r="K93" s="411"/>
      <c r="L93" s="411"/>
      <c r="M93" s="411"/>
      <c r="N93" s="411"/>
      <c r="O93" s="411"/>
      <c r="P93" s="411"/>
      <c r="Q93" s="411"/>
      <c r="R93" s="411"/>
      <c r="S93" s="411"/>
      <c r="T93" s="298"/>
      <c r="U93" s="402"/>
      <c r="V93" s="402"/>
      <c r="W93" s="402"/>
      <c r="X93" s="402"/>
      <c r="Y93" s="402"/>
      <c r="Z93" s="402"/>
      <c r="AA93" s="402"/>
      <c r="AB93" s="402"/>
      <c r="AC93" s="402"/>
      <c r="AD93" s="402"/>
      <c r="AE93" s="296"/>
      <c r="AF93" s="296"/>
      <c r="AG93" s="411"/>
      <c r="AH93" s="411"/>
      <c r="AI93" s="412"/>
      <c r="AJ93" s="412"/>
      <c r="AK93" s="412"/>
      <c r="AL93" s="412"/>
      <c r="AM93" s="412"/>
      <c r="AN93" s="412"/>
      <c r="AO93" s="412"/>
      <c r="AP93" s="412"/>
      <c r="AQ93" s="412"/>
      <c r="AR93" s="412"/>
      <c r="AS93" s="412"/>
      <c r="AT93" s="412"/>
      <c r="AU93" s="412"/>
      <c r="AV93" s="412"/>
      <c r="AW93" s="412"/>
      <c r="AX93" s="412"/>
      <c r="AY93" s="449"/>
    </row>
    <row r="94" spans="3:51" s="15" customFormat="1" x14ac:dyDescent="0.2">
      <c r="C94" s="411"/>
      <c r="D94" s="411"/>
      <c r="E94" s="411"/>
      <c r="F94" s="411"/>
      <c r="G94" s="411"/>
      <c r="H94" s="411"/>
      <c r="I94" s="411"/>
      <c r="J94" s="411"/>
      <c r="K94" s="411"/>
      <c r="L94" s="411"/>
      <c r="M94" s="411"/>
      <c r="N94" s="411"/>
      <c r="O94" s="411"/>
      <c r="P94" s="411"/>
      <c r="Q94" s="411"/>
      <c r="R94" s="411"/>
      <c r="S94" s="411"/>
      <c r="T94" s="298"/>
      <c r="U94" s="402"/>
      <c r="V94" s="402"/>
      <c r="W94" s="402"/>
      <c r="X94" s="402"/>
      <c r="Y94" s="402"/>
      <c r="Z94" s="402"/>
      <c r="AA94" s="402"/>
      <c r="AB94" s="402"/>
      <c r="AC94" s="402"/>
      <c r="AD94" s="402"/>
      <c r="AE94" s="296"/>
      <c r="AF94" s="296"/>
      <c r="AG94" s="411"/>
      <c r="AH94" s="411"/>
      <c r="AI94" s="412"/>
      <c r="AJ94" s="412"/>
      <c r="AK94" s="412"/>
      <c r="AL94" s="412"/>
      <c r="AM94" s="412"/>
      <c r="AN94" s="412"/>
      <c r="AO94" s="412"/>
      <c r="AP94" s="412"/>
      <c r="AQ94" s="412"/>
      <c r="AR94" s="412"/>
      <c r="AS94" s="412"/>
      <c r="AT94" s="412"/>
      <c r="AU94" s="412"/>
      <c r="AV94" s="412"/>
      <c r="AW94" s="412"/>
      <c r="AX94" s="412"/>
      <c r="AY94" s="449"/>
    </row>
    <row r="95" spans="3:51" s="15" customFormat="1" x14ac:dyDescent="0.2">
      <c r="C95" s="411"/>
      <c r="D95" s="411"/>
      <c r="E95" s="411"/>
      <c r="F95" s="411"/>
      <c r="G95" s="411"/>
      <c r="H95" s="411"/>
      <c r="I95" s="411"/>
      <c r="J95" s="411"/>
      <c r="K95" s="411"/>
      <c r="L95" s="411"/>
      <c r="M95" s="411"/>
      <c r="N95" s="411"/>
      <c r="O95" s="411"/>
      <c r="P95" s="411"/>
      <c r="Q95" s="411"/>
      <c r="R95" s="411"/>
      <c r="S95" s="411"/>
      <c r="T95" s="298"/>
      <c r="U95" s="402"/>
      <c r="V95" s="402"/>
      <c r="W95" s="402"/>
      <c r="X95" s="402"/>
      <c r="Y95" s="402"/>
      <c r="Z95" s="402"/>
      <c r="AA95" s="402"/>
      <c r="AB95" s="402"/>
      <c r="AC95" s="402"/>
      <c r="AD95" s="402"/>
      <c r="AE95" s="296"/>
      <c r="AF95" s="296"/>
      <c r="AG95" s="411"/>
      <c r="AH95" s="411"/>
      <c r="AI95" s="412"/>
      <c r="AJ95" s="412"/>
      <c r="AK95" s="412"/>
      <c r="AL95" s="412"/>
      <c r="AM95" s="412"/>
      <c r="AN95" s="412"/>
      <c r="AO95" s="412"/>
      <c r="AP95" s="412"/>
      <c r="AQ95" s="412"/>
      <c r="AR95" s="412"/>
      <c r="AS95" s="412"/>
      <c r="AT95" s="412"/>
      <c r="AU95" s="412"/>
      <c r="AV95" s="412"/>
      <c r="AW95" s="412"/>
      <c r="AX95" s="412"/>
      <c r="AY95" s="449"/>
    </row>
    <row r="96" spans="3:51" s="15" customFormat="1" x14ac:dyDescent="0.2">
      <c r="C96" s="411"/>
      <c r="D96" s="411"/>
      <c r="E96" s="411"/>
      <c r="F96" s="411"/>
      <c r="G96" s="411"/>
      <c r="H96" s="411"/>
      <c r="I96" s="411"/>
      <c r="J96" s="411"/>
      <c r="K96" s="411"/>
      <c r="L96" s="411"/>
      <c r="M96" s="411"/>
      <c r="N96" s="411"/>
      <c r="O96" s="411"/>
      <c r="P96" s="411"/>
      <c r="Q96" s="411"/>
      <c r="R96" s="411"/>
      <c r="S96" s="411"/>
      <c r="T96" s="298"/>
      <c r="U96" s="402"/>
      <c r="V96" s="402"/>
      <c r="W96" s="402"/>
      <c r="X96" s="402"/>
      <c r="Y96" s="402"/>
      <c r="Z96" s="402"/>
      <c r="AA96" s="402"/>
      <c r="AB96" s="402"/>
      <c r="AC96" s="402"/>
      <c r="AD96" s="402"/>
      <c r="AE96" s="296"/>
      <c r="AF96" s="296"/>
      <c r="AG96" s="411"/>
      <c r="AH96" s="411"/>
      <c r="AI96" s="412"/>
      <c r="AJ96" s="412"/>
      <c r="AK96" s="412"/>
      <c r="AL96" s="412"/>
      <c r="AM96" s="412"/>
      <c r="AN96" s="412"/>
      <c r="AO96" s="412"/>
      <c r="AP96" s="412"/>
      <c r="AQ96" s="412"/>
      <c r="AR96" s="412"/>
      <c r="AS96" s="412"/>
      <c r="AT96" s="412"/>
      <c r="AU96" s="412"/>
      <c r="AV96" s="412"/>
      <c r="AW96" s="412"/>
      <c r="AX96" s="412"/>
      <c r="AY96" s="449"/>
    </row>
    <row r="97" spans="3:51" s="15" customFormat="1" x14ac:dyDescent="0.2">
      <c r="C97" s="411"/>
      <c r="D97" s="411"/>
      <c r="E97" s="411"/>
      <c r="F97" s="411"/>
      <c r="G97" s="411"/>
      <c r="H97" s="411"/>
      <c r="I97" s="411"/>
      <c r="J97" s="411"/>
      <c r="K97" s="411"/>
      <c r="L97" s="411"/>
      <c r="M97" s="411"/>
      <c r="N97" s="411"/>
      <c r="O97" s="411"/>
      <c r="P97" s="411"/>
      <c r="Q97" s="411"/>
      <c r="R97" s="411"/>
      <c r="S97" s="411"/>
      <c r="T97" s="298"/>
      <c r="U97" s="402"/>
      <c r="V97" s="402"/>
      <c r="W97" s="402"/>
      <c r="X97" s="402"/>
      <c r="Y97" s="402"/>
      <c r="Z97" s="402"/>
      <c r="AA97" s="402"/>
      <c r="AB97" s="402"/>
      <c r="AC97" s="402"/>
      <c r="AD97" s="402"/>
      <c r="AE97" s="296"/>
      <c r="AF97" s="296"/>
      <c r="AG97" s="411"/>
      <c r="AH97" s="411"/>
      <c r="AI97" s="412"/>
      <c r="AJ97" s="412"/>
      <c r="AK97" s="412"/>
      <c r="AL97" s="412"/>
      <c r="AM97" s="412"/>
      <c r="AN97" s="412"/>
      <c r="AO97" s="412"/>
      <c r="AP97" s="412"/>
      <c r="AQ97" s="412"/>
      <c r="AR97" s="412"/>
      <c r="AS97" s="412"/>
      <c r="AT97" s="412"/>
      <c r="AU97" s="412"/>
      <c r="AV97" s="412"/>
      <c r="AW97" s="412"/>
      <c r="AX97" s="412"/>
      <c r="AY97" s="449"/>
    </row>
    <row r="98" spans="3:51" s="15" customFormat="1" x14ac:dyDescent="0.2">
      <c r="C98" s="411"/>
      <c r="D98" s="411"/>
      <c r="E98" s="411"/>
      <c r="F98" s="411"/>
      <c r="G98" s="411"/>
      <c r="H98" s="411"/>
      <c r="I98" s="411"/>
      <c r="J98" s="411"/>
      <c r="K98" s="411"/>
      <c r="L98" s="411"/>
      <c r="M98" s="411"/>
      <c r="N98" s="411"/>
      <c r="O98" s="411"/>
      <c r="P98" s="411"/>
      <c r="Q98" s="411"/>
      <c r="R98" s="411"/>
      <c r="S98" s="411"/>
      <c r="T98" s="298"/>
      <c r="U98" s="402"/>
      <c r="V98" s="402"/>
      <c r="W98" s="402"/>
      <c r="X98" s="402"/>
      <c r="Y98" s="402"/>
      <c r="Z98" s="402"/>
      <c r="AA98" s="402"/>
      <c r="AB98" s="402"/>
      <c r="AC98" s="402"/>
      <c r="AD98" s="402"/>
      <c r="AE98" s="296"/>
      <c r="AF98" s="296"/>
      <c r="AG98" s="411"/>
      <c r="AH98" s="411"/>
      <c r="AI98" s="412"/>
      <c r="AJ98" s="412"/>
      <c r="AK98" s="412"/>
      <c r="AL98" s="412"/>
      <c r="AM98" s="412"/>
      <c r="AN98" s="412"/>
      <c r="AO98" s="412"/>
      <c r="AP98" s="412"/>
      <c r="AQ98" s="412"/>
      <c r="AR98" s="412"/>
      <c r="AS98" s="412"/>
      <c r="AT98" s="412"/>
      <c r="AU98" s="412"/>
      <c r="AV98" s="412"/>
      <c r="AW98" s="412"/>
      <c r="AX98" s="412"/>
      <c r="AY98" s="449"/>
    </row>
    <row r="99" spans="3:51" s="15" customFormat="1" x14ac:dyDescent="0.2">
      <c r="C99" s="411"/>
      <c r="D99" s="411"/>
      <c r="E99" s="411"/>
      <c r="F99" s="411"/>
      <c r="G99" s="411"/>
      <c r="H99" s="411"/>
      <c r="I99" s="411"/>
      <c r="J99" s="411"/>
      <c r="K99" s="411"/>
      <c r="L99" s="411"/>
      <c r="M99" s="411"/>
      <c r="N99" s="411"/>
      <c r="O99" s="411"/>
      <c r="P99" s="411"/>
      <c r="Q99" s="411"/>
      <c r="R99" s="411"/>
      <c r="S99" s="411"/>
      <c r="T99" s="298"/>
      <c r="U99" s="402"/>
      <c r="V99" s="402"/>
      <c r="W99" s="402"/>
      <c r="X99" s="402"/>
      <c r="Y99" s="402"/>
      <c r="Z99" s="402"/>
      <c r="AA99" s="402"/>
      <c r="AB99" s="402"/>
      <c r="AC99" s="402"/>
      <c r="AD99" s="402"/>
      <c r="AE99" s="296"/>
      <c r="AF99" s="296"/>
      <c r="AG99" s="411"/>
      <c r="AH99" s="411"/>
      <c r="AI99" s="412"/>
      <c r="AJ99" s="412"/>
      <c r="AK99" s="412"/>
      <c r="AL99" s="412"/>
      <c r="AM99" s="412"/>
      <c r="AN99" s="412"/>
      <c r="AO99" s="412"/>
      <c r="AP99" s="412"/>
      <c r="AQ99" s="412"/>
      <c r="AR99" s="412"/>
      <c r="AS99" s="412"/>
      <c r="AT99" s="412"/>
      <c r="AU99" s="412"/>
      <c r="AV99" s="412"/>
      <c r="AW99" s="412"/>
      <c r="AX99" s="412"/>
      <c r="AY99" s="449"/>
    </row>
    <row r="100" spans="3:51" s="15" customFormat="1" x14ac:dyDescent="0.2">
      <c r="C100" s="411"/>
      <c r="D100" s="411"/>
      <c r="E100" s="411"/>
      <c r="F100" s="411"/>
      <c r="G100" s="411"/>
      <c r="H100" s="411"/>
      <c r="I100" s="411"/>
      <c r="J100" s="411"/>
      <c r="K100" s="411"/>
      <c r="L100" s="411"/>
      <c r="M100" s="411"/>
      <c r="N100" s="411"/>
      <c r="O100" s="411"/>
      <c r="P100" s="411"/>
      <c r="Q100" s="411"/>
      <c r="R100" s="411"/>
      <c r="S100" s="411"/>
      <c r="T100" s="298"/>
      <c r="U100" s="402"/>
      <c r="V100" s="402"/>
      <c r="W100" s="402"/>
      <c r="X100" s="402"/>
      <c r="Y100" s="402"/>
      <c r="Z100" s="402"/>
      <c r="AA100" s="402"/>
      <c r="AB100" s="402"/>
      <c r="AC100" s="402"/>
      <c r="AD100" s="402"/>
      <c r="AE100" s="296"/>
      <c r="AF100" s="296"/>
      <c r="AG100" s="411"/>
      <c r="AH100" s="411"/>
      <c r="AI100" s="412"/>
      <c r="AJ100" s="412"/>
      <c r="AK100" s="412"/>
      <c r="AL100" s="412"/>
      <c r="AM100" s="412"/>
      <c r="AN100" s="412"/>
      <c r="AO100" s="412"/>
      <c r="AP100" s="412"/>
      <c r="AQ100" s="412"/>
      <c r="AR100" s="412"/>
      <c r="AS100" s="412"/>
      <c r="AT100" s="412"/>
      <c r="AU100" s="412"/>
      <c r="AV100" s="412"/>
      <c r="AW100" s="412"/>
      <c r="AX100" s="412"/>
      <c r="AY100" s="449"/>
    </row>
    <row r="101" spans="3:51" s="15" customFormat="1" x14ac:dyDescent="0.2">
      <c r="C101" s="411"/>
      <c r="D101" s="411"/>
      <c r="E101" s="411"/>
      <c r="F101" s="411"/>
      <c r="G101" s="411"/>
      <c r="H101" s="411"/>
      <c r="I101" s="411"/>
      <c r="J101" s="411"/>
      <c r="K101" s="411"/>
      <c r="L101" s="411"/>
      <c r="M101" s="411"/>
      <c r="N101" s="411"/>
      <c r="O101" s="411"/>
      <c r="P101" s="411"/>
      <c r="Q101" s="411"/>
      <c r="R101" s="411"/>
      <c r="S101" s="411"/>
      <c r="T101" s="298"/>
      <c r="U101" s="402"/>
      <c r="V101" s="402"/>
      <c r="W101" s="402"/>
      <c r="X101" s="402"/>
      <c r="Y101" s="402"/>
      <c r="Z101" s="402"/>
      <c r="AA101" s="402"/>
      <c r="AB101" s="402"/>
      <c r="AC101" s="402"/>
      <c r="AD101" s="402"/>
      <c r="AE101" s="296"/>
      <c r="AF101" s="296"/>
      <c r="AG101" s="411"/>
      <c r="AH101" s="411"/>
      <c r="AI101" s="412"/>
      <c r="AJ101" s="412"/>
      <c r="AK101" s="412"/>
      <c r="AL101" s="412"/>
      <c r="AM101" s="412"/>
      <c r="AN101" s="412"/>
      <c r="AO101" s="412"/>
      <c r="AP101" s="412"/>
      <c r="AQ101" s="412"/>
      <c r="AR101" s="412"/>
      <c r="AS101" s="412"/>
      <c r="AT101" s="412"/>
      <c r="AU101" s="412"/>
      <c r="AV101" s="412"/>
      <c r="AW101" s="412"/>
      <c r="AX101" s="412"/>
      <c r="AY101" s="449"/>
    </row>
    <row r="102" spans="3:51" s="15" customFormat="1" x14ac:dyDescent="0.2">
      <c r="C102" s="411"/>
      <c r="D102" s="411"/>
      <c r="E102" s="411"/>
      <c r="F102" s="411"/>
      <c r="G102" s="411"/>
      <c r="H102" s="411"/>
      <c r="I102" s="411"/>
      <c r="J102" s="411"/>
      <c r="K102" s="411"/>
      <c r="L102" s="411"/>
      <c r="M102" s="411"/>
      <c r="N102" s="411"/>
      <c r="O102" s="411"/>
      <c r="P102" s="411"/>
      <c r="Q102" s="411"/>
      <c r="R102" s="411"/>
      <c r="S102" s="411"/>
      <c r="T102" s="298"/>
      <c r="U102" s="402"/>
      <c r="V102" s="402"/>
      <c r="W102" s="402"/>
      <c r="X102" s="402"/>
      <c r="Y102" s="402"/>
      <c r="Z102" s="402"/>
      <c r="AA102" s="402"/>
      <c r="AB102" s="402"/>
      <c r="AC102" s="402"/>
      <c r="AD102" s="402"/>
      <c r="AE102" s="296"/>
      <c r="AF102" s="296"/>
      <c r="AG102" s="411"/>
      <c r="AH102" s="411"/>
      <c r="AI102" s="412"/>
      <c r="AJ102" s="412"/>
      <c r="AK102" s="412"/>
      <c r="AL102" s="412"/>
      <c r="AM102" s="412"/>
      <c r="AN102" s="412"/>
      <c r="AO102" s="412"/>
      <c r="AP102" s="412"/>
      <c r="AQ102" s="412"/>
      <c r="AR102" s="412"/>
      <c r="AS102" s="412"/>
      <c r="AT102" s="412"/>
      <c r="AU102" s="412"/>
      <c r="AV102" s="412"/>
      <c r="AW102" s="412"/>
      <c r="AX102" s="412"/>
      <c r="AY102" s="449"/>
    </row>
    <row r="103" spans="3:51" s="15" customFormat="1" x14ac:dyDescent="0.2">
      <c r="C103" s="411"/>
      <c r="D103" s="411"/>
      <c r="E103" s="411"/>
      <c r="F103" s="411"/>
      <c r="G103" s="411"/>
      <c r="H103" s="411"/>
      <c r="I103" s="411"/>
      <c r="J103" s="411"/>
      <c r="K103" s="411"/>
      <c r="L103" s="411"/>
      <c r="M103" s="411"/>
      <c r="N103" s="411"/>
      <c r="O103" s="411"/>
      <c r="P103" s="411"/>
      <c r="Q103" s="411"/>
      <c r="R103" s="411"/>
      <c r="S103" s="411"/>
      <c r="T103" s="298"/>
      <c r="U103" s="402"/>
      <c r="V103" s="402"/>
      <c r="W103" s="402"/>
      <c r="X103" s="402"/>
      <c r="Y103" s="402"/>
      <c r="Z103" s="402"/>
      <c r="AA103" s="402"/>
      <c r="AB103" s="402"/>
      <c r="AC103" s="402"/>
      <c r="AD103" s="402"/>
      <c r="AE103" s="296"/>
      <c r="AF103" s="296"/>
      <c r="AG103" s="411"/>
      <c r="AH103" s="411"/>
      <c r="AI103" s="412"/>
      <c r="AJ103" s="412"/>
      <c r="AK103" s="412"/>
      <c r="AL103" s="412"/>
      <c r="AM103" s="412"/>
      <c r="AN103" s="412"/>
      <c r="AO103" s="412"/>
      <c r="AP103" s="412"/>
      <c r="AQ103" s="412"/>
      <c r="AR103" s="412"/>
      <c r="AS103" s="412"/>
      <c r="AT103" s="412"/>
      <c r="AU103" s="412"/>
      <c r="AV103" s="412"/>
      <c r="AW103" s="412"/>
      <c r="AX103" s="412"/>
      <c r="AY103" s="449"/>
    </row>
    <row r="104" spans="3:51" s="15" customFormat="1" x14ac:dyDescent="0.2">
      <c r="C104" s="411"/>
      <c r="D104" s="411"/>
      <c r="E104" s="411"/>
      <c r="F104" s="411"/>
      <c r="G104" s="411"/>
      <c r="H104" s="411"/>
      <c r="I104" s="411"/>
      <c r="J104" s="411"/>
      <c r="K104" s="411"/>
      <c r="L104" s="411"/>
      <c r="M104" s="411"/>
      <c r="N104" s="411"/>
      <c r="O104" s="411"/>
      <c r="P104" s="411"/>
      <c r="Q104" s="411"/>
      <c r="R104" s="411"/>
      <c r="S104" s="411"/>
      <c r="T104" s="298"/>
      <c r="U104" s="402"/>
      <c r="V104" s="402"/>
      <c r="W104" s="402"/>
      <c r="X104" s="402"/>
      <c r="Y104" s="402"/>
      <c r="Z104" s="402"/>
      <c r="AA104" s="402"/>
      <c r="AB104" s="402"/>
      <c r="AC104" s="402"/>
      <c r="AD104" s="402"/>
      <c r="AE104" s="296"/>
      <c r="AF104" s="296"/>
      <c r="AG104" s="411"/>
      <c r="AH104" s="411"/>
      <c r="AI104" s="412"/>
      <c r="AJ104" s="412"/>
      <c r="AK104" s="412"/>
      <c r="AL104" s="412"/>
      <c r="AM104" s="412"/>
      <c r="AN104" s="412"/>
      <c r="AO104" s="412"/>
      <c r="AP104" s="412"/>
      <c r="AQ104" s="412"/>
      <c r="AR104" s="412"/>
      <c r="AS104" s="412"/>
      <c r="AT104" s="412"/>
      <c r="AU104" s="412"/>
      <c r="AV104" s="412"/>
      <c r="AW104" s="412"/>
      <c r="AX104" s="412"/>
      <c r="AY104" s="449"/>
    </row>
    <row r="105" spans="3:51" s="15" customFormat="1" x14ac:dyDescent="0.2">
      <c r="C105" s="411"/>
      <c r="D105" s="411"/>
      <c r="E105" s="411"/>
      <c r="F105" s="411"/>
      <c r="G105" s="411"/>
      <c r="H105" s="411"/>
      <c r="I105" s="411"/>
      <c r="J105" s="411"/>
      <c r="K105" s="411"/>
      <c r="L105" s="411"/>
      <c r="M105" s="411"/>
      <c r="N105" s="411"/>
      <c r="O105" s="411"/>
      <c r="P105" s="411"/>
      <c r="Q105" s="411"/>
      <c r="R105" s="411"/>
      <c r="S105" s="411"/>
      <c r="T105" s="298"/>
      <c r="U105" s="402"/>
      <c r="V105" s="402"/>
      <c r="W105" s="402"/>
      <c r="X105" s="402"/>
      <c r="Y105" s="402"/>
      <c r="Z105" s="402"/>
      <c r="AA105" s="402"/>
      <c r="AB105" s="402"/>
      <c r="AC105" s="402"/>
      <c r="AD105" s="402"/>
      <c r="AE105" s="296"/>
      <c r="AF105" s="296"/>
      <c r="AG105" s="411"/>
      <c r="AH105" s="411"/>
      <c r="AI105" s="412"/>
      <c r="AJ105" s="412"/>
      <c r="AK105" s="412"/>
      <c r="AL105" s="412"/>
      <c r="AM105" s="412"/>
      <c r="AN105" s="412"/>
      <c r="AO105" s="412"/>
      <c r="AP105" s="412"/>
      <c r="AQ105" s="412"/>
      <c r="AR105" s="412"/>
      <c r="AS105" s="412"/>
      <c r="AT105" s="412"/>
      <c r="AU105" s="412"/>
      <c r="AV105" s="412"/>
      <c r="AW105" s="412"/>
      <c r="AX105" s="412"/>
      <c r="AY105" s="449"/>
    </row>
    <row r="106" spans="3:51" s="15" customFormat="1" x14ac:dyDescent="0.2">
      <c r="C106" s="411"/>
      <c r="D106" s="411"/>
      <c r="E106" s="411"/>
      <c r="F106" s="411"/>
      <c r="G106" s="411"/>
      <c r="H106" s="411"/>
      <c r="I106" s="411"/>
      <c r="J106" s="411"/>
      <c r="K106" s="411"/>
      <c r="L106" s="411"/>
      <c r="M106" s="411"/>
      <c r="N106" s="411"/>
      <c r="O106" s="411"/>
      <c r="P106" s="411"/>
      <c r="Q106" s="411"/>
      <c r="R106" s="411"/>
      <c r="S106" s="411"/>
      <c r="T106" s="298"/>
      <c r="U106" s="402"/>
      <c r="V106" s="402"/>
      <c r="W106" s="402"/>
      <c r="X106" s="402"/>
      <c r="Y106" s="402"/>
      <c r="Z106" s="402"/>
      <c r="AA106" s="402"/>
      <c r="AB106" s="402"/>
      <c r="AC106" s="402"/>
      <c r="AD106" s="402"/>
      <c r="AE106" s="296"/>
      <c r="AF106" s="296"/>
      <c r="AG106" s="411"/>
      <c r="AH106" s="411"/>
      <c r="AI106" s="412"/>
      <c r="AJ106" s="412"/>
      <c r="AK106" s="412"/>
      <c r="AL106" s="412"/>
      <c r="AM106" s="412"/>
      <c r="AN106" s="412"/>
      <c r="AO106" s="412"/>
      <c r="AP106" s="412"/>
      <c r="AQ106" s="412"/>
      <c r="AR106" s="412"/>
      <c r="AS106" s="412"/>
      <c r="AT106" s="412"/>
      <c r="AU106" s="412"/>
      <c r="AV106" s="412"/>
      <c r="AW106" s="412"/>
      <c r="AX106" s="412"/>
      <c r="AY106" s="449"/>
    </row>
    <row r="107" spans="3:51" s="15" customFormat="1" x14ac:dyDescent="0.2">
      <c r="C107" s="411"/>
      <c r="D107" s="411"/>
      <c r="E107" s="411"/>
      <c r="F107" s="411"/>
      <c r="G107" s="411"/>
      <c r="H107" s="411"/>
      <c r="I107" s="411"/>
      <c r="J107" s="411"/>
      <c r="K107" s="411"/>
      <c r="L107" s="411"/>
      <c r="M107" s="411"/>
      <c r="N107" s="411"/>
      <c r="O107" s="411"/>
      <c r="P107" s="411"/>
      <c r="Q107" s="411"/>
      <c r="R107" s="411"/>
      <c r="S107" s="411"/>
      <c r="T107" s="298"/>
      <c r="U107" s="402"/>
      <c r="V107" s="402"/>
      <c r="W107" s="402"/>
      <c r="X107" s="402"/>
      <c r="Y107" s="402"/>
      <c r="Z107" s="402"/>
      <c r="AA107" s="402"/>
      <c r="AB107" s="402"/>
      <c r="AC107" s="402"/>
      <c r="AD107" s="402"/>
      <c r="AE107" s="296"/>
      <c r="AF107" s="296"/>
      <c r="AG107" s="411"/>
      <c r="AH107" s="411"/>
      <c r="AI107" s="412"/>
      <c r="AJ107" s="412"/>
      <c r="AK107" s="412"/>
      <c r="AL107" s="412"/>
      <c r="AM107" s="412"/>
      <c r="AN107" s="412"/>
      <c r="AO107" s="412"/>
      <c r="AP107" s="412"/>
      <c r="AQ107" s="412"/>
      <c r="AR107" s="412"/>
      <c r="AS107" s="412"/>
      <c r="AT107" s="412"/>
      <c r="AU107" s="412"/>
      <c r="AV107" s="412"/>
      <c r="AW107" s="412"/>
      <c r="AX107" s="412"/>
      <c r="AY107" s="449"/>
    </row>
    <row r="108" spans="3:51" s="15" customFormat="1" x14ac:dyDescent="0.2">
      <c r="C108" s="411"/>
      <c r="D108" s="411"/>
      <c r="E108" s="411"/>
      <c r="F108" s="411"/>
      <c r="G108" s="411"/>
      <c r="H108" s="411"/>
      <c r="I108" s="411"/>
      <c r="J108" s="411"/>
      <c r="K108" s="411"/>
      <c r="L108" s="411"/>
      <c r="M108" s="411"/>
      <c r="N108" s="411"/>
      <c r="O108" s="411"/>
      <c r="P108" s="411"/>
      <c r="Q108" s="411"/>
      <c r="R108" s="411"/>
      <c r="S108" s="411"/>
      <c r="T108" s="298"/>
      <c r="U108" s="402"/>
      <c r="V108" s="402"/>
      <c r="W108" s="402"/>
      <c r="X108" s="402"/>
      <c r="Y108" s="402"/>
      <c r="Z108" s="402"/>
      <c r="AA108" s="402"/>
      <c r="AB108" s="402"/>
      <c r="AC108" s="402"/>
      <c r="AD108" s="402"/>
      <c r="AE108" s="296"/>
      <c r="AF108" s="296"/>
      <c r="AG108" s="411"/>
      <c r="AH108" s="411"/>
      <c r="AI108" s="412"/>
      <c r="AJ108" s="412"/>
      <c r="AK108" s="412"/>
      <c r="AL108" s="412"/>
      <c r="AM108" s="412"/>
      <c r="AN108" s="412"/>
      <c r="AO108" s="412"/>
      <c r="AP108" s="412"/>
      <c r="AQ108" s="412"/>
      <c r="AR108" s="412"/>
      <c r="AS108" s="412"/>
      <c r="AT108" s="412"/>
      <c r="AU108" s="412"/>
      <c r="AV108" s="412"/>
      <c r="AW108" s="412"/>
      <c r="AX108" s="412"/>
      <c r="AY108" s="449"/>
    </row>
    <row r="109" spans="3:51" s="15" customFormat="1" x14ac:dyDescent="0.2">
      <c r="C109" s="411"/>
      <c r="D109" s="411"/>
      <c r="E109" s="411"/>
      <c r="F109" s="411"/>
      <c r="G109" s="411"/>
      <c r="H109" s="411"/>
      <c r="I109" s="411"/>
      <c r="J109" s="411"/>
      <c r="K109" s="411"/>
      <c r="L109" s="411"/>
      <c r="M109" s="411"/>
      <c r="N109" s="411"/>
      <c r="O109" s="411"/>
      <c r="P109" s="411"/>
      <c r="Q109" s="411"/>
      <c r="R109" s="411"/>
      <c r="S109" s="411"/>
      <c r="T109" s="298"/>
      <c r="U109" s="402"/>
      <c r="V109" s="402"/>
      <c r="W109" s="402"/>
      <c r="X109" s="402"/>
      <c r="Y109" s="402"/>
      <c r="Z109" s="402"/>
      <c r="AA109" s="402"/>
      <c r="AB109" s="402"/>
      <c r="AC109" s="402"/>
      <c r="AD109" s="402"/>
      <c r="AE109" s="296"/>
      <c r="AF109" s="296"/>
      <c r="AG109" s="411"/>
      <c r="AH109" s="411"/>
      <c r="AI109" s="412"/>
      <c r="AJ109" s="412"/>
      <c r="AK109" s="412"/>
      <c r="AL109" s="412"/>
      <c r="AM109" s="412"/>
      <c r="AN109" s="412"/>
      <c r="AO109" s="412"/>
      <c r="AP109" s="412"/>
      <c r="AQ109" s="412"/>
      <c r="AR109" s="412"/>
      <c r="AS109" s="412"/>
      <c r="AT109" s="412"/>
      <c r="AU109" s="412"/>
      <c r="AV109" s="412"/>
      <c r="AW109" s="412"/>
      <c r="AX109" s="412"/>
      <c r="AY109" s="449"/>
    </row>
    <row r="110" spans="3:51" s="15" customFormat="1" x14ac:dyDescent="0.2">
      <c r="C110" s="411"/>
      <c r="D110" s="411"/>
      <c r="E110" s="411"/>
      <c r="F110" s="411"/>
      <c r="G110" s="411"/>
      <c r="H110" s="411"/>
      <c r="I110" s="411"/>
      <c r="J110" s="411"/>
      <c r="K110" s="411"/>
      <c r="L110" s="411"/>
      <c r="M110" s="411"/>
      <c r="N110" s="411"/>
      <c r="O110" s="411"/>
      <c r="P110" s="411"/>
      <c r="Q110" s="411"/>
      <c r="R110" s="411"/>
      <c r="S110" s="411"/>
      <c r="T110" s="298"/>
      <c r="U110" s="402"/>
      <c r="V110" s="402"/>
      <c r="W110" s="402"/>
      <c r="X110" s="402"/>
      <c r="Y110" s="402"/>
      <c r="Z110" s="402"/>
      <c r="AA110" s="402"/>
      <c r="AB110" s="402"/>
      <c r="AC110" s="402"/>
      <c r="AD110" s="402"/>
      <c r="AE110" s="296"/>
      <c r="AF110" s="296"/>
      <c r="AG110" s="411"/>
      <c r="AH110" s="411"/>
      <c r="AI110" s="412"/>
      <c r="AJ110" s="412"/>
      <c r="AK110" s="412"/>
      <c r="AL110" s="412"/>
      <c r="AM110" s="412"/>
      <c r="AN110" s="412"/>
      <c r="AO110" s="412"/>
      <c r="AP110" s="412"/>
      <c r="AQ110" s="412"/>
      <c r="AR110" s="412"/>
      <c r="AS110" s="412"/>
      <c r="AT110" s="412"/>
      <c r="AU110" s="412"/>
      <c r="AV110" s="412"/>
      <c r="AW110" s="412"/>
      <c r="AX110" s="412"/>
      <c r="AY110" s="449"/>
    </row>
    <row r="111" spans="3:51" s="15" customFormat="1" x14ac:dyDescent="0.2">
      <c r="C111" s="411"/>
      <c r="D111" s="411"/>
      <c r="E111" s="411"/>
      <c r="F111" s="411"/>
      <c r="G111" s="411"/>
      <c r="H111" s="411"/>
      <c r="I111" s="411"/>
      <c r="J111" s="411"/>
      <c r="K111" s="411"/>
      <c r="L111" s="411"/>
      <c r="M111" s="411"/>
      <c r="N111" s="411"/>
      <c r="O111" s="411"/>
      <c r="P111" s="411"/>
      <c r="Q111" s="411"/>
      <c r="R111" s="411"/>
      <c r="S111" s="411"/>
      <c r="T111" s="298"/>
      <c r="U111" s="402"/>
      <c r="V111" s="402"/>
      <c r="W111" s="402"/>
      <c r="X111" s="402"/>
      <c r="Y111" s="402"/>
      <c r="Z111" s="402"/>
      <c r="AA111" s="402"/>
      <c r="AB111" s="402"/>
      <c r="AC111" s="402"/>
      <c r="AD111" s="402"/>
      <c r="AE111" s="296"/>
      <c r="AF111" s="296"/>
      <c r="AG111" s="411"/>
      <c r="AH111" s="411"/>
      <c r="AI111" s="412"/>
      <c r="AJ111" s="412"/>
      <c r="AK111" s="412"/>
      <c r="AL111" s="412"/>
      <c r="AM111" s="412"/>
      <c r="AN111" s="412"/>
      <c r="AO111" s="412"/>
      <c r="AP111" s="412"/>
      <c r="AQ111" s="412"/>
      <c r="AR111" s="412"/>
      <c r="AS111" s="412"/>
      <c r="AT111" s="412"/>
      <c r="AU111" s="412"/>
      <c r="AV111" s="412"/>
      <c r="AW111" s="412"/>
      <c r="AX111" s="412"/>
      <c r="AY111" s="449"/>
    </row>
    <row r="112" spans="3:51" s="15" customFormat="1" x14ac:dyDescent="0.2">
      <c r="C112" s="411"/>
      <c r="D112" s="411"/>
      <c r="E112" s="411"/>
      <c r="F112" s="411"/>
      <c r="G112" s="411"/>
      <c r="H112" s="411"/>
      <c r="I112" s="411"/>
      <c r="J112" s="411"/>
      <c r="K112" s="411"/>
      <c r="L112" s="411"/>
      <c r="M112" s="411"/>
      <c r="N112" s="411"/>
      <c r="O112" s="411"/>
      <c r="P112" s="411"/>
      <c r="Q112" s="411"/>
      <c r="R112" s="411"/>
      <c r="S112" s="411"/>
      <c r="T112" s="298"/>
      <c r="U112" s="402"/>
      <c r="V112" s="402"/>
      <c r="W112" s="402"/>
      <c r="X112" s="402"/>
      <c r="Y112" s="402"/>
      <c r="Z112" s="402"/>
      <c r="AA112" s="402"/>
      <c r="AB112" s="402"/>
      <c r="AC112" s="402"/>
      <c r="AD112" s="402"/>
      <c r="AE112" s="296"/>
      <c r="AF112" s="296"/>
      <c r="AG112" s="411"/>
      <c r="AH112" s="411"/>
      <c r="AI112" s="412"/>
      <c r="AJ112" s="412"/>
      <c r="AK112" s="412"/>
      <c r="AL112" s="412"/>
      <c r="AM112" s="412"/>
      <c r="AN112" s="412"/>
      <c r="AO112" s="412"/>
      <c r="AP112" s="412"/>
      <c r="AQ112" s="412"/>
      <c r="AR112" s="412"/>
      <c r="AS112" s="412"/>
      <c r="AT112" s="412"/>
      <c r="AU112" s="412"/>
      <c r="AV112" s="412"/>
      <c r="AW112" s="412"/>
      <c r="AX112" s="412"/>
      <c r="AY112" s="449"/>
    </row>
    <row r="113" spans="3:51" s="15" customFormat="1" x14ac:dyDescent="0.2">
      <c r="C113" s="411"/>
      <c r="D113" s="411"/>
      <c r="E113" s="411"/>
      <c r="F113" s="411"/>
      <c r="G113" s="411"/>
      <c r="H113" s="411"/>
      <c r="I113" s="411"/>
      <c r="J113" s="411"/>
      <c r="K113" s="411"/>
      <c r="L113" s="411"/>
      <c r="M113" s="411"/>
      <c r="N113" s="411"/>
      <c r="O113" s="411"/>
      <c r="P113" s="411"/>
      <c r="Q113" s="411"/>
      <c r="R113" s="411"/>
      <c r="S113" s="411"/>
      <c r="T113" s="298"/>
      <c r="U113" s="402"/>
      <c r="V113" s="402"/>
      <c r="W113" s="402"/>
      <c r="X113" s="402"/>
      <c r="Y113" s="402"/>
      <c r="Z113" s="402"/>
      <c r="AA113" s="402"/>
      <c r="AB113" s="402"/>
      <c r="AC113" s="402"/>
      <c r="AD113" s="402"/>
      <c r="AE113" s="296"/>
      <c r="AF113" s="296"/>
      <c r="AG113" s="411"/>
      <c r="AH113" s="411"/>
      <c r="AI113" s="412"/>
      <c r="AJ113" s="412"/>
      <c r="AK113" s="412"/>
      <c r="AL113" s="412"/>
      <c r="AM113" s="412"/>
      <c r="AN113" s="412"/>
      <c r="AO113" s="412"/>
      <c r="AP113" s="412"/>
      <c r="AQ113" s="412"/>
      <c r="AR113" s="412"/>
      <c r="AS113" s="412"/>
      <c r="AT113" s="412"/>
      <c r="AU113" s="412"/>
      <c r="AV113" s="412"/>
      <c r="AW113" s="412"/>
      <c r="AX113" s="412"/>
      <c r="AY113" s="449"/>
    </row>
    <row r="114" spans="3:51" s="15" customFormat="1" x14ac:dyDescent="0.2">
      <c r="C114" s="411"/>
      <c r="D114" s="411"/>
      <c r="E114" s="411"/>
      <c r="F114" s="411"/>
      <c r="G114" s="411"/>
      <c r="H114" s="411"/>
      <c r="I114" s="411"/>
      <c r="J114" s="411"/>
      <c r="K114" s="411"/>
      <c r="L114" s="411"/>
      <c r="M114" s="411"/>
      <c r="N114" s="411"/>
      <c r="O114" s="411"/>
      <c r="P114" s="411"/>
      <c r="Q114" s="411"/>
      <c r="R114" s="411"/>
      <c r="S114" s="411"/>
      <c r="T114" s="298"/>
      <c r="U114" s="402"/>
      <c r="V114" s="402"/>
      <c r="W114" s="402"/>
      <c r="X114" s="402"/>
      <c r="Y114" s="402"/>
      <c r="Z114" s="402"/>
      <c r="AA114" s="402"/>
      <c r="AB114" s="402"/>
      <c r="AC114" s="402"/>
      <c r="AD114" s="402"/>
      <c r="AE114" s="296"/>
      <c r="AF114" s="296"/>
      <c r="AG114" s="411"/>
      <c r="AH114" s="411"/>
      <c r="AI114" s="412"/>
      <c r="AJ114" s="412"/>
      <c r="AK114" s="412"/>
      <c r="AL114" s="412"/>
      <c r="AM114" s="412"/>
      <c r="AN114" s="412"/>
      <c r="AO114" s="412"/>
      <c r="AP114" s="412"/>
      <c r="AQ114" s="412"/>
      <c r="AR114" s="412"/>
      <c r="AS114" s="412"/>
      <c r="AT114" s="412"/>
      <c r="AU114" s="412"/>
      <c r="AV114" s="412"/>
      <c r="AW114" s="412"/>
      <c r="AX114" s="412"/>
      <c r="AY114" s="449"/>
    </row>
    <row r="115" spans="3:51" s="15" customFormat="1" x14ac:dyDescent="0.2">
      <c r="C115" s="411"/>
      <c r="D115" s="411"/>
      <c r="E115" s="411"/>
      <c r="F115" s="411"/>
      <c r="G115" s="411"/>
      <c r="H115" s="411"/>
      <c r="I115" s="411"/>
      <c r="J115" s="411"/>
      <c r="K115" s="411"/>
      <c r="L115" s="411"/>
      <c r="M115" s="411"/>
      <c r="N115" s="411"/>
      <c r="O115" s="411"/>
      <c r="P115" s="411"/>
      <c r="Q115" s="411"/>
      <c r="R115" s="411"/>
      <c r="S115" s="411"/>
      <c r="T115" s="298"/>
      <c r="U115" s="402"/>
      <c r="V115" s="402"/>
      <c r="W115" s="402"/>
      <c r="X115" s="402"/>
      <c r="Y115" s="402"/>
      <c r="Z115" s="402"/>
      <c r="AA115" s="402"/>
      <c r="AB115" s="402"/>
      <c r="AC115" s="402"/>
      <c r="AD115" s="402"/>
      <c r="AE115" s="296"/>
      <c r="AF115" s="296"/>
      <c r="AG115" s="411"/>
      <c r="AH115" s="411"/>
      <c r="AI115" s="412"/>
      <c r="AJ115" s="412"/>
      <c r="AK115" s="412"/>
      <c r="AL115" s="412"/>
      <c r="AM115" s="412"/>
      <c r="AN115" s="412"/>
      <c r="AO115" s="412"/>
      <c r="AP115" s="412"/>
      <c r="AQ115" s="412"/>
      <c r="AR115" s="412"/>
      <c r="AS115" s="412"/>
      <c r="AT115" s="412"/>
      <c r="AU115" s="412"/>
      <c r="AV115" s="412"/>
      <c r="AW115" s="412"/>
      <c r="AX115" s="412"/>
      <c r="AY115" s="449"/>
    </row>
    <row r="116" spans="3:51" s="15" customFormat="1" x14ac:dyDescent="0.2">
      <c r="C116" s="411"/>
      <c r="D116" s="411"/>
      <c r="E116" s="411"/>
      <c r="F116" s="411"/>
      <c r="G116" s="411"/>
      <c r="H116" s="411"/>
      <c r="I116" s="411"/>
      <c r="J116" s="411"/>
      <c r="K116" s="411"/>
      <c r="L116" s="411"/>
      <c r="M116" s="411"/>
      <c r="N116" s="411"/>
      <c r="O116" s="411"/>
      <c r="P116" s="411"/>
      <c r="Q116" s="411"/>
      <c r="R116" s="411"/>
      <c r="S116" s="411"/>
      <c r="T116" s="298"/>
      <c r="U116" s="402"/>
      <c r="V116" s="402"/>
      <c r="W116" s="402"/>
      <c r="X116" s="402"/>
      <c r="Y116" s="402"/>
      <c r="Z116" s="402"/>
      <c r="AA116" s="402"/>
      <c r="AB116" s="402"/>
      <c r="AC116" s="402"/>
      <c r="AD116" s="402"/>
      <c r="AE116" s="296"/>
      <c r="AF116" s="296"/>
      <c r="AG116" s="411"/>
      <c r="AH116" s="411"/>
      <c r="AI116" s="412"/>
      <c r="AJ116" s="412"/>
      <c r="AK116" s="412"/>
      <c r="AL116" s="412"/>
      <c r="AM116" s="412"/>
      <c r="AN116" s="412"/>
      <c r="AO116" s="412"/>
      <c r="AP116" s="412"/>
      <c r="AQ116" s="412"/>
      <c r="AR116" s="412"/>
      <c r="AS116" s="412"/>
      <c r="AT116" s="412"/>
      <c r="AU116" s="412"/>
      <c r="AV116" s="412"/>
      <c r="AW116" s="412"/>
      <c r="AX116" s="412"/>
      <c r="AY116" s="449"/>
    </row>
    <row r="117" spans="3:51" s="15" customFormat="1" x14ac:dyDescent="0.2">
      <c r="C117" s="411"/>
      <c r="D117" s="411"/>
      <c r="E117" s="411"/>
      <c r="F117" s="411"/>
      <c r="G117" s="411"/>
      <c r="H117" s="411"/>
      <c r="I117" s="411"/>
      <c r="J117" s="411"/>
      <c r="K117" s="411"/>
      <c r="L117" s="411"/>
      <c r="M117" s="411"/>
      <c r="N117" s="411"/>
      <c r="O117" s="411"/>
      <c r="P117" s="411"/>
      <c r="Q117" s="411"/>
      <c r="R117" s="411"/>
      <c r="S117" s="411"/>
      <c r="T117" s="298"/>
      <c r="U117" s="402"/>
      <c r="V117" s="402"/>
      <c r="W117" s="402"/>
      <c r="X117" s="402"/>
      <c r="Y117" s="402"/>
      <c r="Z117" s="402"/>
      <c r="AA117" s="402"/>
      <c r="AB117" s="402"/>
      <c r="AC117" s="402"/>
      <c r="AD117" s="402"/>
      <c r="AE117" s="296"/>
      <c r="AF117" s="296"/>
      <c r="AG117" s="411"/>
      <c r="AH117" s="411"/>
      <c r="AI117" s="412"/>
      <c r="AJ117" s="412"/>
      <c r="AK117" s="412"/>
      <c r="AL117" s="412"/>
      <c r="AM117" s="412"/>
      <c r="AN117" s="412"/>
      <c r="AO117" s="412"/>
      <c r="AP117" s="412"/>
      <c r="AQ117" s="412"/>
      <c r="AR117" s="412"/>
      <c r="AS117" s="412"/>
      <c r="AT117" s="412"/>
      <c r="AU117" s="412"/>
      <c r="AV117" s="412"/>
      <c r="AW117" s="412"/>
      <c r="AX117" s="412"/>
      <c r="AY117" s="449"/>
    </row>
    <row r="118" spans="3:51" s="15" customFormat="1" x14ac:dyDescent="0.2">
      <c r="C118" s="411"/>
      <c r="D118" s="411"/>
      <c r="E118" s="411"/>
      <c r="F118" s="411"/>
      <c r="G118" s="411"/>
      <c r="H118" s="411"/>
      <c r="I118" s="411"/>
      <c r="J118" s="411"/>
      <c r="K118" s="411"/>
      <c r="L118" s="411"/>
      <c r="M118" s="411"/>
      <c r="N118" s="411"/>
      <c r="O118" s="411"/>
      <c r="P118" s="411"/>
      <c r="Q118" s="411"/>
      <c r="R118" s="411"/>
      <c r="S118" s="411"/>
      <c r="T118" s="298"/>
      <c r="U118" s="402"/>
      <c r="V118" s="402"/>
      <c r="W118" s="402"/>
      <c r="X118" s="402"/>
      <c r="Y118" s="402"/>
      <c r="Z118" s="402"/>
      <c r="AA118" s="402"/>
      <c r="AB118" s="402"/>
      <c r="AC118" s="402"/>
      <c r="AD118" s="402"/>
      <c r="AE118" s="296"/>
      <c r="AF118" s="296"/>
      <c r="AG118" s="411"/>
      <c r="AH118" s="411"/>
      <c r="AI118" s="412"/>
      <c r="AJ118" s="412"/>
      <c r="AK118" s="412"/>
      <c r="AL118" s="412"/>
      <c r="AM118" s="412"/>
      <c r="AN118" s="412"/>
      <c r="AO118" s="412"/>
      <c r="AP118" s="412"/>
      <c r="AQ118" s="412"/>
      <c r="AR118" s="412"/>
      <c r="AS118" s="412"/>
      <c r="AT118" s="412"/>
      <c r="AU118" s="412"/>
      <c r="AV118" s="412"/>
      <c r="AW118" s="412"/>
      <c r="AX118" s="412"/>
      <c r="AY118" s="449"/>
    </row>
    <row r="119" spans="3:51" s="15" customFormat="1" x14ac:dyDescent="0.2">
      <c r="C119" s="411"/>
      <c r="D119" s="411"/>
      <c r="E119" s="411"/>
      <c r="F119" s="411"/>
      <c r="G119" s="411"/>
      <c r="H119" s="411"/>
      <c r="I119" s="411"/>
      <c r="J119" s="411"/>
      <c r="K119" s="411"/>
      <c r="L119" s="411"/>
      <c r="M119" s="411"/>
      <c r="N119" s="411"/>
      <c r="O119" s="411"/>
      <c r="P119" s="411"/>
      <c r="Q119" s="411"/>
      <c r="R119" s="411"/>
      <c r="S119" s="411"/>
      <c r="T119" s="298"/>
      <c r="U119" s="402"/>
      <c r="V119" s="402"/>
      <c r="W119" s="402"/>
      <c r="X119" s="402"/>
      <c r="Y119" s="402"/>
      <c r="Z119" s="402"/>
      <c r="AA119" s="402"/>
      <c r="AB119" s="402"/>
      <c r="AC119" s="402"/>
      <c r="AD119" s="402"/>
      <c r="AE119" s="296"/>
      <c r="AF119" s="296"/>
      <c r="AG119" s="411"/>
      <c r="AH119" s="411"/>
      <c r="AI119" s="412"/>
      <c r="AJ119" s="412"/>
      <c r="AK119" s="412"/>
      <c r="AL119" s="412"/>
      <c r="AM119" s="412"/>
      <c r="AN119" s="412"/>
      <c r="AO119" s="412"/>
      <c r="AP119" s="412"/>
      <c r="AQ119" s="412"/>
      <c r="AR119" s="412"/>
      <c r="AS119" s="412"/>
      <c r="AT119" s="412"/>
      <c r="AU119" s="412"/>
      <c r="AV119" s="412"/>
      <c r="AW119" s="412"/>
      <c r="AX119" s="412"/>
      <c r="AY119" s="449"/>
    </row>
    <row r="120" spans="3:51" s="15" customFormat="1" x14ac:dyDescent="0.2">
      <c r="C120" s="411"/>
      <c r="D120" s="411"/>
      <c r="E120" s="411"/>
      <c r="F120" s="411"/>
      <c r="G120" s="411"/>
      <c r="H120" s="411"/>
      <c r="I120" s="411"/>
      <c r="J120" s="411"/>
      <c r="K120" s="411"/>
      <c r="L120" s="411"/>
      <c r="M120" s="411"/>
      <c r="N120" s="411"/>
      <c r="O120" s="411"/>
      <c r="P120" s="411"/>
      <c r="Q120" s="411"/>
      <c r="R120" s="411"/>
      <c r="S120" s="411"/>
      <c r="T120" s="298"/>
      <c r="U120" s="402"/>
      <c r="V120" s="402"/>
      <c r="W120" s="402"/>
      <c r="X120" s="402"/>
      <c r="Y120" s="402"/>
      <c r="Z120" s="402"/>
      <c r="AA120" s="402"/>
      <c r="AB120" s="402"/>
      <c r="AC120" s="402"/>
      <c r="AD120" s="402"/>
      <c r="AE120" s="296"/>
      <c r="AF120" s="296"/>
      <c r="AG120" s="411"/>
      <c r="AH120" s="411"/>
      <c r="AI120" s="412"/>
      <c r="AJ120" s="412"/>
      <c r="AK120" s="412"/>
      <c r="AL120" s="412"/>
      <c r="AM120" s="412"/>
      <c r="AN120" s="412"/>
      <c r="AO120" s="412"/>
      <c r="AP120" s="412"/>
      <c r="AQ120" s="412"/>
      <c r="AR120" s="412"/>
      <c r="AS120" s="412"/>
      <c r="AT120" s="412"/>
      <c r="AU120" s="412"/>
      <c r="AV120" s="412"/>
      <c r="AW120" s="412"/>
      <c r="AX120" s="412"/>
      <c r="AY120" s="449"/>
    </row>
    <row r="121" spans="3:51" s="15" customFormat="1" x14ac:dyDescent="0.2">
      <c r="C121" s="411"/>
      <c r="D121" s="411"/>
      <c r="E121" s="411"/>
      <c r="F121" s="411"/>
      <c r="G121" s="411"/>
      <c r="H121" s="411"/>
      <c r="I121" s="411"/>
      <c r="J121" s="411"/>
      <c r="K121" s="411"/>
      <c r="L121" s="411"/>
      <c r="M121" s="411"/>
      <c r="N121" s="411"/>
      <c r="O121" s="411"/>
      <c r="P121" s="411"/>
      <c r="Q121" s="411"/>
      <c r="R121" s="411"/>
      <c r="S121" s="411"/>
      <c r="T121" s="298"/>
      <c r="U121" s="402"/>
      <c r="V121" s="402"/>
      <c r="W121" s="402"/>
      <c r="X121" s="402"/>
      <c r="Y121" s="402"/>
      <c r="Z121" s="402"/>
      <c r="AA121" s="402"/>
      <c r="AB121" s="402"/>
      <c r="AC121" s="402"/>
      <c r="AD121" s="402"/>
      <c r="AE121" s="296"/>
      <c r="AF121" s="296"/>
      <c r="AG121" s="411"/>
      <c r="AH121" s="411"/>
      <c r="AI121" s="412"/>
      <c r="AJ121" s="412"/>
      <c r="AK121" s="412"/>
      <c r="AL121" s="412"/>
      <c r="AM121" s="412"/>
      <c r="AN121" s="412"/>
      <c r="AO121" s="412"/>
      <c r="AP121" s="412"/>
      <c r="AQ121" s="412"/>
      <c r="AR121" s="412"/>
      <c r="AS121" s="412"/>
      <c r="AT121" s="412"/>
      <c r="AU121" s="412"/>
      <c r="AV121" s="412"/>
      <c r="AW121" s="412"/>
      <c r="AX121" s="412"/>
      <c r="AY121" s="449"/>
    </row>
    <row r="122" spans="3:51" s="15" customFormat="1" x14ac:dyDescent="0.2">
      <c r="C122" s="411"/>
      <c r="D122" s="411"/>
      <c r="E122" s="411"/>
      <c r="F122" s="411"/>
      <c r="G122" s="411"/>
      <c r="H122" s="411"/>
      <c r="I122" s="411"/>
      <c r="J122" s="411"/>
      <c r="K122" s="411"/>
      <c r="L122" s="411"/>
      <c r="M122" s="411"/>
      <c r="N122" s="411"/>
      <c r="O122" s="411"/>
      <c r="P122" s="411"/>
      <c r="Q122" s="411"/>
      <c r="R122" s="411"/>
      <c r="S122" s="411"/>
      <c r="T122" s="298"/>
      <c r="U122" s="402"/>
      <c r="V122" s="402"/>
      <c r="W122" s="402"/>
      <c r="X122" s="402"/>
      <c r="Y122" s="402"/>
      <c r="Z122" s="402"/>
      <c r="AA122" s="402"/>
      <c r="AB122" s="402"/>
      <c r="AC122" s="402"/>
      <c r="AD122" s="402"/>
      <c r="AE122" s="296"/>
      <c r="AF122" s="296"/>
      <c r="AG122" s="411"/>
      <c r="AH122" s="411"/>
      <c r="AI122" s="412"/>
      <c r="AJ122" s="412"/>
      <c r="AK122" s="412"/>
      <c r="AL122" s="412"/>
      <c r="AM122" s="412"/>
      <c r="AN122" s="412"/>
      <c r="AO122" s="412"/>
      <c r="AP122" s="412"/>
      <c r="AQ122" s="412"/>
      <c r="AR122" s="412"/>
      <c r="AS122" s="412"/>
      <c r="AT122" s="412"/>
      <c r="AU122" s="412"/>
      <c r="AV122" s="412"/>
      <c r="AW122" s="412"/>
      <c r="AX122" s="412"/>
      <c r="AY122" s="449"/>
    </row>
    <row r="123" spans="3:51" s="15" customFormat="1" x14ac:dyDescent="0.2">
      <c r="C123" s="411"/>
      <c r="D123" s="411"/>
      <c r="E123" s="411"/>
      <c r="F123" s="411"/>
      <c r="G123" s="411"/>
      <c r="H123" s="411"/>
      <c r="I123" s="411"/>
      <c r="J123" s="411"/>
      <c r="K123" s="411"/>
      <c r="L123" s="411"/>
      <c r="M123" s="411"/>
      <c r="N123" s="411"/>
      <c r="O123" s="411"/>
      <c r="P123" s="411"/>
      <c r="Q123" s="411"/>
      <c r="R123" s="411"/>
      <c r="S123" s="411"/>
      <c r="T123" s="298"/>
      <c r="U123" s="402"/>
      <c r="V123" s="402"/>
      <c r="W123" s="402"/>
      <c r="X123" s="402"/>
      <c r="Y123" s="402"/>
      <c r="Z123" s="402"/>
      <c r="AA123" s="402"/>
      <c r="AB123" s="402"/>
      <c r="AC123" s="402"/>
      <c r="AD123" s="402"/>
      <c r="AE123" s="296"/>
      <c r="AF123" s="296"/>
      <c r="AG123" s="411"/>
      <c r="AH123" s="411"/>
      <c r="AI123" s="412"/>
      <c r="AJ123" s="412"/>
      <c r="AK123" s="412"/>
      <c r="AL123" s="412"/>
      <c r="AM123" s="412"/>
      <c r="AN123" s="412"/>
      <c r="AO123" s="412"/>
      <c r="AP123" s="412"/>
      <c r="AQ123" s="412"/>
      <c r="AR123" s="412"/>
      <c r="AS123" s="412"/>
      <c r="AT123" s="412"/>
      <c r="AU123" s="412"/>
      <c r="AV123" s="412"/>
      <c r="AW123" s="412"/>
      <c r="AX123" s="412"/>
      <c r="AY123" s="449"/>
    </row>
    <row r="124" spans="3:51" s="15" customFormat="1" x14ac:dyDescent="0.2">
      <c r="C124" s="411"/>
      <c r="D124" s="411"/>
      <c r="E124" s="411"/>
      <c r="F124" s="411"/>
      <c r="G124" s="411"/>
      <c r="H124" s="411"/>
      <c r="I124" s="411"/>
      <c r="J124" s="411"/>
      <c r="K124" s="411"/>
      <c r="L124" s="411"/>
      <c r="M124" s="411"/>
      <c r="N124" s="411"/>
      <c r="O124" s="411"/>
      <c r="P124" s="411"/>
      <c r="Q124" s="411"/>
      <c r="R124" s="411"/>
      <c r="S124" s="411"/>
      <c r="T124" s="298"/>
      <c r="U124" s="402"/>
      <c r="V124" s="402"/>
      <c r="W124" s="402"/>
      <c r="X124" s="402"/>
      <c r="Y124" s="402"/>
      <c r="Z124" s="402"/>
      <c r="AA124" s="402"/>
      <c r="AB124" s="402"/>
      <c r="AC124" s="402"/>
      <c r="AD124" s="402"/>
      <c r="AE124" s="296"/>
      <c r="AF124" s="296"/>
      <c r="AG124" s="411"/>
      <c r="AH124" s="411"/>
      <c r="AI124" s="412"/>
      <c r="AJ124" s="412"/>
      <c r="AK124" s="412"/>
      <c r="AL124" s="412"/>
      <c r="AM124" s="412"/>
      <c r="AN124" s="412"/>
      <c r="AO124" s="412"/>
      <c r="AP124" s="412"/>
      <c r="AQ124" s="412"/>
      <c r="AR124" s="412"/>
      <c r="AS124" s="412"/>
      <c r="AT124" s="412"/>
      <c r="AU124" s="412"/>
      <c r="AV124" s="412"/>
      <c r="AW124" s="412"/>
      <c r="AX124" s="412"/>
      <c r="AY124" s="449"/>
    </row>
    <row r="125" spans="3:51" s="15" customFormat="1" x14ac:dyDescent="0.2">
      <c r="C125" s="411"/>
      <c r="D125" s="411"/>
      <c r="E125" s="411"/>
      <c r="F125" s="411"/>
      <c r="G125" s="411"/>
      <c r="H125" s="411"/>
      <c r="I125" s="411"/>
      <c r="J125" s="411"/>
      <c r="K125" s="411"/>
      <c r="L125" s="411"/>
      <c r="M125" s="411"/>
      <c r="N125" s="411"/>
      <c r="O125" s="411"/>
      <c r="P125" s="411"/>
      <c r="Q125" s="411"/>
      <c r="R125" s="411"/>
      <c r="S125" s="411"/>
      <c r="T125" s="298"/>
      <c r="U125" s="402"/>
      <c r="V125" s="402"/>
      <c r="W125" s="402"/>
      <c r="X125" s="402"/>
      <c r="Y125" s="402"/>
      <c r="Z125" s="402"/>
      <c r="AA125" s="402"/>
      <c r="AB125" s="402"/>
      <c r="AC125" s="402"/>
      <c r="AD125" s="402"/>
      <c r="AE125" s="296"/>
      <c r="AF125" s="296"/>
      <c r="AG125" s="411"/>
      <c r="AH125" s="411"/>
      <c r="AI125" s="412"/>
      <c r="AJ125" s="412"/>
      <c r="AK125" s="412"/>
      <c r="AL125" s="412"/>
      <c r="AM125" s="412"/>
      <c r="AN125" s="412"/>
      <c r="AO125" s="412"/>
      <c r="AP125" s="412"/>
      <c r="AQ125" s="412"/>
      <c r="AR125" s="412"/>
      <c r="AS125" s="412"/>
      <c r="AT125" s="412"/>
      <c r="AU125" s="412"/>
      <c r="AV125" s="412"/>
      <c r="AW125" s="412"/>
      <c r="AX125" s="412"/>
      <c r="AY125" s="449"/>
    </row>
    <row r="126" spans="3:51" s="15" customFormat="1" x14ac:dyDescent="0.2">
      <c r="C126" s="411"/>
      <c r="D126" s="411"/>
      <c r="E126" s="411"/>
      <c r="F126" s="411"/>
      <c r="G126" s="411"/>
      <c r="H126" s="411"/>
      <c r="I126" s="411"/>
      <c r="J126" s="411"/>
      <c r="K126" s="411"/>
      <c r="L126" s="411"/>
      <c r="M126" s="411"/>
      <c r="N126" s="411"/>
      <c r="O126" s="411"/>
      <c r="P126" s="411"/>
      <c r="Q126" s="411"/>
      <c r="R126" s="411"/>
      <c r="S126" s="411"/>
      <c r="T126" s="298"/>
      <c r="U126" s="402"/>
      <c r="V126" s="402"/>
      <c r="W126" s="402"/>
      <c r="X126" s="402"/>
      <c r="Y126" s="402"/>
      <c r="Z126" s="402"/>
      <c r="AA126" s="402"/>
      <c r="AB126" s="402"/>
      <c r="AC126" s="402"/>
      <c r="AD126" s="402"/>
      <c r="AE126" s="296"/>
      <c r="AF126" s="296"/>
      <c r="AG126" s="411"/>
      <c r="AH126" s="411"/>
      <c r="AI126" s="412"/>
      <c r="AJ126" s="412"/>
      <c r="AK126" s="412"/>
      <c r="AL126" s="412"/>
      <c r="AM126" s="412"/>
      <c r="AN126" s="412"/>
      <c r="AO126" s="412"/>
      <c r="AP126" s="412"/>
      <c r="AQ126" s="412"/>
      <c r="AR126" s="412"/>
      <c r="AS126" s="412"/>
      <c r="AT126" s="412"/>
      <c r="AU126" s="412"/>
      <c r="AV126" s="412"/>
      <c r="AW126" s="412"/>
      <c r="AX126" s="412"/>
      <c r="AY126" s="449"/>
    </row>
    <row r="127" spans="3:51" s="15" customFormat="1" x14ac:dyDescent="0.2">
      <c r="C127" s="411"/>
      <c r="D127" s="411"/>
      <c r="E127" s="411"/>
      <c r="F127" s="411"/>
      <c r="G127" s="411"/>
      <c r="H127" s="411"/>
      <c r="I127" s="411"/>
      <c r="J127" s="411"/>
      <c r="K127" s="411"/>
      <c r="L127" s="411"/>
      <c r="M127" s="411"/>
      <c r="N127" s="411"/>
      <c r="O127" s="411"/>
      <c r="P127" s="411"/>
      <c r="Q127" s="411"/>
      <c r="R127" s="411"/>
      <c r="S127" s="411"/>
      <c r="T127" s="298"/>
      <c r="U127" s="402"/>
      <c r="V127" s="402"/>
      <c r="W127" s="402"/>
      <c r="X127" s="402"/>
      <c r="Y127" s="402"/>
      <c r="Z127" s="402"/>
      <c r="AA127" s="402"/>
      <c r="AB127" s="402"/>
      <c r="AC127" s="402"/>
      <c r="AD127" s="402"/>
      <c r="AE127" s="296"/>
      <c r="AF127" s="296"/>
      <c r="AG127" s="411"/>
      <c r="AH127" s="411"/>
      <c r="AI127" s="412"/>
      <c r="AJ127" s="412"/>
      <c r="AK127" s="412"/>
      <c r="AL127" s="412"/>
      <c r="AM127" s="412"/>
      <c r="AN127" s="412"/>
      <c r="AO127" s="412"/>
      <c r="AP127" s="412"/>
      <c r="AQ127" s="412"/>
      <c r="AR127" s="412"/>
      <c r="AS127" s="412"/>
      <c r="AT127" s="412"/>
      <c r="AU127" s="412"/>
      <c r="AV127" s="412"/>
      <c r="AW127" s="412"/>
      <c r="AX127" s="412"/>
      <c r="AY127" s="449"/>
    </row>
    <row r="128" spans="3:51" s="15" customFormat="1" x14ac:dyDescent="0.2">
      <c r="C128" s="411"/>
      <c r="D128" s="411"/>
      <c r="E128" s="411"/>
      <c r="F128" s="411"/>
      <c r="G128" s="411"/>
      <c r="H128" s="411"/>
      <c r="I128" s="411"/>
      <c r="J128" s="411"/>
      <c r="K128" s="411"/>
      <c r="L128" s="411"/>
      <c r="M128" s="411"/>
      <c r="N128" s="411"/>
      <c r="O128" s="411"/>
      <c r="P128" s="411"/>
      <c r="Q128" s="411"/>
      <c r="R128" s="411"/>
      <c r="S128" s="411"/>
      <c r="T128" s="298"/>
      <c r="U128" s="402"/>
      <c r="V128" s="402"/>
      <c r="W128" s="402"/>
      <c r="X128" s="402"/>
      <c r="Y128" s="402"/>
      <c r="Z128" s="402"/>
      <c r="AA128" s="402"/>
      <c r="AB128" s="402"/>
      <c r="AC128" s="402"/>
      <c r="AD128" s="402"/>
      <c r="AE128" s="296"/>
      <c r="AF128" s="296"/>
      <c r="AG128" s="411"/>
      <c r="AH128" s="411"/>
      <c r="AI128" s="412"/>
      <c r="AJ128" s="412"/>
      <c r="AK128" s="412"/>
      <c r="AL128" s="412"/>
      <c r="AM128" s="412"/>
      <c r="AN128" s="412"/>
      <c r="AO128" s="412"/>
      <c r="AP128" s="412"/>
      <c r="AQ128" s="412"/>
      <c r="AR128" s="412"/>
      <c r="AS128" s="412"/>
      <c r="AT128" s="412"/>
      <c r="AU128" s="412"/>
      <c r="AV128" s="412"/>
      <c r="AW128" s="412"/>
      <c r="AX128" s="412"/>
      <c r="AY128" s="449"/>
    </row>
    <row r="129" spans="3:51" s="15" customFormat="1" x14ac:dyDescent="0.2">
      <c r="C129" s="411"/>
      <c r="D129" s="411"/>
      <c r="E129" s="411"/>
      <c r="F129" s="411"/>
      <c r="G129" s="411"/>
      <c r="H129" s="411"/>
      <c r="I129" s="411"/>
      <c r="J129" s="411"/>
      <c r="K129" s="411"/>
      <c r="L129" s="411"/>
      <c r="M129" s="411"/>
      <c r="N129" s="411"/>
      <c r="O129" s="411"/>
      <c r="P129" s="411"/>
      <c r="Q129" s="411"/>
      <c r="R129" s="411"/>
      <c r="S129" s="411"/>
      <c r="T129" s="298"/>
      <c r="U129" s="402"/>
      <c r="V129" s="402"/>
      <c r="W129" s="402"/>
      <c r="X129" s="402"/>
      <c r="Y129" s="402"/>
      <c r="Z129" s="402"/>
      <c r="AA129" s="402"/>
      <c r="AB129" s="402"/>
      <c r="AC129" s="402"/>
      <c r="AD129" s="402"/>
      <c r="AE129" s="296"/>
      <c r="AF129" s="296"/>
      <c r="AG129" s="411"/>
      <c r="AH129" s="411"/>
      <c r="AI129" s="412"/>
      <c r="AJ129" s="412"/>
      <c r="AK129" s="412"/>
      <c r="AL129" s="412"/>
      <c r="AM129" s="412"/>
      <c r="AN129" s="412"/>
      <c r="AO129" s="412"/>
      <c r="AP129" s="412"/>
      <c r="AQ129" s="412"/>
      <c r="AR129" s="412"/>
      <c r="AS129" s="412"/>
      <c r="AT129" s="412"/>
      <c r="AU129" s="412"/>
      <c r="AV129" s="412"/>
      <c r="AW129" s="412"/>
      <c r="AX129" s="412"/>
      <c r="AY129" s="449"/>
    </row>
    <row r="130" spans="3:51" s="15" customFormat="1" x14ac:dyDescent="0.2">
      <c r="C130" s="411"/>
      <c r="D130" s="411"/>
      <c r="E130" s="411"/>
      <c r="F130" s="411"/>
      <c r="G130" s="411"/>
      <c r="H130" s="411"/>
      <c r="I130" s="411"/>
      <c r="J130" s="411"/>
      <c r="K130" s="411"/>
      <c r="L130" s="411"/>
      <c r="M130" s="411"/>
      <c r="N130" s="411"/>
      <c r="O130" s="411"/>
      <c r="P130" s="411"/>
      <c r="Q130" s="411"/>
      <c r="R130" s="411"/>
      <c r="S130" s="411"/>
      <c r="T130" s="298"/>
      <c r="U130" s="402"/>
      <c r="V130" s="402"/>
      <c r="W130" s="402"/>
      <c r="X130" s="402"/>
      <c r="Y130" s="402"/>
      <c r="Z130" s="402"/>
      <c r="AA130" s="402"/>
      <c r="AB130" s="402"/>
      <c r="AC130" s="402"/>
      <c r="AD130" s="402"/>
      <c r="AE130" s="296"/>
      <c r="AF130" s="296"/>
      <c r="AG130" s="411"/>
      <c r="AH130" s="411"/>
      <c r="AI130" s="412"/>
      <c r="AJ130" s="412"/>
      <c r="AK130" s="412"/>
      <c r="AL130" s="412"/>
      <c r="AM130" s="412"/>
      <c r="AN130" s="412"/>
      <c r="AO130" s="412"/>
      <c r="AP130" s="412"/>
      <c r="AQ130" s="412"/>
      <c r="AR130" s="412"/>
      <c r="AS130" s="412"/>
      <c r="AT130" s="412"/>
      <c r="AU130" s="412"/>
      <c r="AV130" s="412"/>
      <c r="AW130" s="412"/>
      <c r="AX130" s="412"/>
      <c r="AY130" s="449"/>
    </row>
    <row r="131" spans="3:51" s="15" customFormat="1" x14ac:dyDescent="0.2">
      <c r="C131" s="411"/>
      <c r="D131" s="411"/>
      <c r="E131" s="411"/>
      <c r="F131" s="411"/>
      <c r="G131" s="411"/>
      <c r="H131" s="411"/>
      <c r="I131" s="411"/>
      <c r="J131" s="411"/>
      <c r="K131" s="411"/>
      <c r="L131" s="411"/>
      <c r="M131" s="411"/>
      <c r="N131" s="411"/>
      <c r="O131" s="411"/>
      <c r="P131" s="411"/>
      <c r="Q131" s="411"/>
      <c r="R131" s="411"/>
      <c r="S131" s="411"/>
      <c r="T131" s="298"/>
      <c r="U131" s="402"/>
      <c r="V131" s="402"/>
      <c r="W131" s="402"/>
      <c r="X131" s="402"/>
      <c r="Y131" s="402"/>
      <c r="Z131" s="402"/>
      <c r="AA131" s="402"/>
      <c r="AB131" s="402"/>
      <c r="AC131" s="402"/>
      <c r="AD131" s="402"/>
      <c r="AE131" s="296"/>
      <c r="AF131" s="296"/>
      <c r="AG131" s="411"/>
      <c r="AH131" s="411"/>
      <c r="AI131" s="412"/>
      <c r="AJ131" s="412"/>
      <c r="AK131" s="412"/>
      <c r="AL131" s="412"/>
      <c r="AM131" s="412"/>
      <c r="AN131" s="412"/>
      <c r="AO131" s="412"/>
      <c r="AP131" s="412"/>
      <c r="AQ131" s="412"/>
      <c r="AR131" s="412"/>
      <c r="AS131" s="412"/>
      <c r="AT131" s="412"/>
      <c r="AU131" s="412"/>
      <c r="AV131" s="412"/>
      <c r="AW131" s="412"/>
      <c r="AX131" s="412"/>
      <c r="AY131" s="449"/>
    </row>
    <row r="132" spans="3:51" s="15" customFormat="1" x14ac:dyDescent="0.2">
      <c r="C132" s="411"/>
      <c r="D132" s="411"/>
      <c r="E132" s="411"/>
      <c r="F132" s="411"/>
      <c r="G132" s="411"/>
      <c r="H132" s="411"/>
      <c r="I132" s="411"/>
      <c r="J132" s="411"/>
      <c r="K132" s="411"/>
      <c r="L132" s="411"/>
      <c r="M132" s="411"/>
      <c r="N132" s="411"/>
      <c r="O132" s="411"/>
      <c r="P132" s="411"/>
      <c r="Q132" s="411"/>
      <c r="R132" s="411"/>
      <c r="S132" s="411"/>
      <c r="T132" s="298"/>
      <c r="U132" s="402"/>
      <c r="V132" s="402"/>
      <c r="W132" s="402"/>
      <c r="X132" s="402"/>
      <c r="Y132" s="402"/>
      <c r="Z132" s="402"/>
      <c r="AA132" s="402"/>
      <c r="AB132" s="402"/>
      <c r="AC132" s="402"/>
      <c r="AD132" s="402"/>
      <c r="AE132" s="296"/>
      <c r="AF132" s="296"/>
      <c r="AG132" s="411"/>
      <c r="AH132" s="411"/>
      <c r="AI132" s="412"/>
      <c r="AJ132" s="412"/>
      <c r="AK132" s="412"/>
      <c r="AL132" s="412"/>
      <c r="AM132" s="412"/>
      <c r="AN132" s="412"/>
      <c r="AO132" s="412"/>
      <c r="AP132" s="412"/>
      <c r="AQ132" s="412"/>
      <c r="AR132" s="412"/>
      <c r="AS132" s="412"/>
      <c r="AT132" s="412"/>
      <c r="AU132" s="412"/>
      <c r="AV132" s="412"/>
      <c r="AW132" s="412"/>
      <c r="AX132" s="412"/>
      <c r="AY132" s="449"/>
    </row>
    <row r="133" spans="3:51" s="15" customFormat="1" x14ac:dyDescent="0.2">
      <c r="C133" s="411"/>
      <c r="D133" s="411"/>
      <c r="E133" s="411"/>
      <c r="F133" s="411"/>
      <c r="G133" s="411"/>
      <c r="H133" s="411"/>
      <c r="I133" s="411"/>
      <c r="J133" s="411"/>
      <c r="K133" s="411"/>
      <c r="L133" s="411"/>
      <c r="M133" s="411"/>
      <c r="N133" s="411"/>
      <c r="O133" s="411"/>
      <c r="P133" s="411"/>
      <c r="Q133" s="411"/>
      <c r="R133" s="411"/>
      <c r="S133" s="411"/>
      <c r="T133" s="298"/>
      <c r="U133" s="402"/>
      <c r="V133" s="402"/>
      <c r="W133" s="402"/>
      <c r="X133" s="402"/>
      <c r="Y133" s="402"/>
      <c r="Z133" s="402"/>
      <c r="AA133" s="402"/>
      <c r="AB133" s="402"/>
      <c r="AC133" s="402"/>
      <c r="AD133" s="402"/>
      <c r="AE133" s="296"/>
      <c r="AF133" s="296"/>
      <c r="AG133" s="411"/>
      <c r="AH133" s="411"/>
      <c r="AI133" s="412"/>
      <c r="AJ133" s="412"/>
      <c r="AK133" s="412"/>
      <c r="AL133" s="412"/>
      <c r="AM133" s="412"/>
      <c r="AN133" s="412"/>
      <c r="AO133" s="412"/>
      <c r="AP133" s="412"/>
      <c r="AQ133" s="412"/>
      <c r="AR133" s="412"/>
      <c r="AS133" s="412"/>
      <c r="AT133" s="412"/>
      <c r="AU133" s="412"/>
      <c r="AV133" s="412"/>
      <c r="AW133" s="412"/>
      <c r="AX133" s="412"/>
      <c r="AY133" s="449"/>
    </row>
    <row r="134" spans="3:51" s="15" customFormat="1" x14ac:dyDescent="0.2">
      <c r="C134" s="411"/>
      <c r="D134" s="411"/>
      <c r="E134" s="411"/>
      <c r="F134" s="411"/>
      <c r="G134" s="411"/>
      <c r="H134" s="411"/>
      <c r="I134" s="411"/>
      <c r="J134" s="411"/>
      <c r="K134" s="411"/>
      <c r="L134" s="411"/>
      <c r="M134" s="411"/>
      <c r="N134" s="411"/>
      <c r="O134" s="411"/>
      <c r="P134" s="411"/>
      <c r="Q134" s="411"/>
      <c r="R134" s="411"/>
      <c r="S134" s="411"/>
      <c r="T134" s="298"/>
      <c r="U134" s="402"/>
      <c r="V134" s="402"/>
      <c r="W134" s="402"/>
      <c r="X134" s="402"/>
      <c r="Y134" s="402"/>
      <c r="Z134" s="402"/>
      <c r="AA134" s="402"/>
      <c r="AB134" s="402"/>
      <c r="AC134" s="402"/>
      <c r="AD134" s="402"/>
      <c r="AE134" s="296"/>
      <c r="AF134" s="296"/>
      <c r="AG134" s="411"/>
      <c r="AH134" s="411"/>
      <c r="AI134" s="412"/>
      <c r="AJ134" s="412"/>
      <c r="AK134" s="412"/>
      <c r="AL134" s="412"/>
      <c r="AM134" s="412"/>
      <c r="AN134" s="412"/>
      <c r="AO134" s="412"/>
      <c r="AP134" s="412"/>
      <c r="AQ134" s="412"/>
      <c r="AR134" s="412"/>
      <c r="AS134" s="412"/>
      <c r="AT134" s="412"/>
      <c r="AU134" s="412"/>
      <c r="AV134" s="412"/>
      <c r="AW134" s="412"/>
      <c r="AX134" s="412"/>
      <c r="AY134" s="449"/>
    </row>
    <row r="135" spans="3:51" s="15" customFormat="1" x14ac:dyDescent="0.2">
      <c r="C135" s="411"/>
      <c r="D135" s="411"/>
      <c r="E135" s="411"/>
      <c r="F135" s="411"/>
      <c r="G135" s="411"/>
      <c r="H135" s="411"/>
      <c r="I135" s="411"/>
      <c r="J135" s="411"/>
      <c r="K135" s="411"/>
      <c r="L135" s="411"/>
      <c r="M135" s="411"/>
      <c r="N135" s="411"/>
      <c r="O135" s="411"/>
      <c r="P135" s="411"/>
      <c r="Q135" s="411"/>
      <c r="R135" s="411"/>
      <c r="S135" s="411"/>
      <c r="T135" s="298"/>
      <c r="U135" s="402"/>
      <c r="V135" s="402"/>
      <c r="W135" s="402"/>
      <c r="X135" s="402"/>
      <c r="Y135" s="402"/>
      <c r="Z135" s="402"/>
      <c r="AA135" s="402"/>
      <c r="AB135" s="402"/>
      <c r="AC135" s="402"/>
      <c r="AD135" s="402"/>
      <c r="AE135" s="296"/>
      <c r="AF135" s="296"/>
      <c r="AG135" s="411"/>
      <c r="AH135" s="411"/>
      <c r="AI135" s="412"/>
      <c r="AJ135" s="412"/>
      <c r="AK135" s="412"/>
      <c r="AL135" s="412"/>
      <c r="AM135" s="412"/>
      <c r="AN135" s="412"/>
      <c r="AO135" s="412"/>
      <c r="AP135" s="412"/>
      <c r="AQ135" s="412"/>
      <c r="AR135" s="412"/>
      <c r="AS135" s="412"/>
      <c r="AT135" s="412"/>
      <c r="AU135" s="412"/>
      <c r="AV135" s="412"/>
      <c r="AW135" s="412"/>
      <c r="AX135" s="412"/>
      <c r="AY135" s="449"/>
    </row>
    <row r="136" spans="3:51" s="15" customFormat="1" x14ac:dyDescent="0.2">
      <c r="C136" s="411"/>
      <c r="D136" s="411"/>
      <c r="E136" s="411"/>
      <c r="F136" s="411"/>
      <c r="G136" s="411"/>
      <c r="H136" s="411"/>
      <c r="I136" s="411"/>
      <c r="J136" s="411"/>
      <c r="K136" s="411"/>
      <c r="L136" s="411"/>
      <c r="M136" s="411"/>
      <c r="N136" s="411"/>
      <c r="O136" s="411"/>
      <c r="P136" s="411"/>
      <c r="Q136" s="411"/>
      <c r="R136" s="411"/>
      <c r="S136" s="411"/>
      <c r="T136" s="298"/>
      <c r="U136" s="402"/>
      <c r="V136" s="402"/>
      <c r="W136" s="402"/>
      <c r="X136" s="402"/>
      <c r="Y136" s="402"/>
      <c r="Z136" s="402"/>
      <c r="AA136" s="402"/>
      <c r="AB136" s="402"/>
      <c r="AC136" s="402"/>
      <c r="AD136" s="402"/>
      <c r="AE136" s="296"/>
      <c r="AF136" s="296"/>
      <c r="AG136" s="411"/>
      <c r="AH136" s="411"/>
      <c r="AI136" s="412"/>
      <c r="AJ136" s="412"/>
      <c r="AK136" s="412"/>
      <c r="AL136" s="412"/>
      <c r="AM136" s="412"/>
      <c r="AN136" s="412"/>
      <c r="AO136" s="412"/>
      <c r="AP136" s="412"/>
      <c r="AQ136" s="412"/>
      <c r="AR136" s="412"/>
      <c r="AS136" s="412"/>
      <c r="AT136" s="412"/>
      <c r="AU136" s="412"/>
      <c r="AV136" s="412"/>
      <c r="AW136" s="412"/>
      <c r="AX136" s="412"/>
      <c r="AY136" s="449"/>
    </row>
    <row r="137" spans="3:51" s="15" customFormat="1" x14ac:dyDescent="0.2">
      <c r="C137" s="411"/>
      <c r="D137" s="411"/>
      <c r="E137" s="411"/>
      <c r="F137" s="411"/>
      <c r="G137" s="411"/>
      <c r="H137" s="411"/>
      <c r="I137" s="411"/>
      <c r="J137" s="411"/>
      <c r="K137" s="411"/>
      <c r="L137" s="411"/>
      <c r="M137" s="411"/>
      <c r="N137" s="411"/>
      <c r="O137" s="411"/>
      <c r="P137" s="411"/>
      <c r="Q137" s="411"/>
      <c r="R137" s="411"/>
      <c r="S137" s="411"/>
      <c r="T137" s="298"/>
      <c r="U137" s="402"/>
      <c r="V137" s="402"/>
      <c r="W137" s="402"/>
      <c r="X137" s="402"/>
      <c r="Y137" s="402"/>
      <c r="Z137" s="402"/>
      <c r="AA137" s="402"/>
      <c r="AB137" s="402"/>
      <c r="AC137" s="402"/>
      <c r="AD137" s="402"/>
      <c r="AE137" s="296"/>
      <c r="AF137" s="296"/>
      <c r="AG137" s="411"/>
      <c r="AH137" s="411"/>
      <c r="AI137" s="412"/>
      <c r="AJ137" s="412"/>
      <c r="AK137" s="412"/>
      <c r="AL137" s="412"/>
      <c r="AM137" s="412"/>
      <c r="AN137" s="412"/>
      <c r="AO137" s="412"/>
      <c r="AP137" s="412"/>
      <c r="AQ137" s="412"/>
      <c r="AR137" s="412"/>
      <c r="AS137" s="412"/>
      <c r="AT137" s="412"/>
      <c r="AU137" s="412"/>
      <c r="AV137" s="412"/>
      <c r="AW137" s="412"/>
      <c r="AX137" s="412"/>
      <c r="AY137" s="449"/>
    </row>
    <row r="138" spans="3:51" s="15" customFormat="1" x14ac:dyDescent="0.2">
      <c r="C138" s="411"/>
      <c r="D138" s="411"/>
      <c r="E138" s="411"/>
      <c r="F138" s="411"/>
      <c r="G138" s="411"/>
      <c r="H138" s="411"/>
      <c r="I138" s="411"/>
      <c r="J138" s="411"/>
      <c r="K138" s="411"/>
      <c r="L138" s="411"/>
      <c r="M138" s="411"/>
      <c r="N138" s="411"/>
      <c r="O138" s="411"/>
      <c r="P138" s="411"/>
      <c r="Q138" s="411"/>
      <c r="R138" s="411"/>
      <c r="S138" s="411"/>
      <c r="T138" s="298"/>
      <c r="U138" s="402"/>
      <c r="V138" s="402"/>
      <c r="W138" s="402"/>
      <c r="X138" s="402"/>
      <c r="Y138" s="402"/>
      <c r="Z138" s="402"/>
      <c r="AA138" s="402"/>
      <c r="AB138" s="402"/>
      <c r="AC138" s="402"/>
      <c r="AD138" s="402"/>
      <c r="AE138" s="296"/>
      <c r="AF138" s="296"/>
      <c r="AG138" s="411"/>
      <c r="AH138" s="411"/>
      <c r="AI138" s="412"/>
      <c r="AJ138" s="412"/>
      <c r="AK138" s="412"/>
      <c r="AL138" s="412"/>
      <c r="AM138" s="412"/>
      <c r="AN138" s="412"/>
      <c r="AO138" s="412"/>
      <c r="AP138" s="412"/>
      <c r="AQ138" s="412"/>
      <c r="AR138" s="412"/>
      <c r="AS138" s="412"/>
      <c r="AT138" s="412"/>
      <c r="AU138" s="412"/>
      <c r="AV138" s="412"/>
      <c r="AW138" s="412"/>
      <c r="AX138" s="412"/>
      <c r="AY138" s="449"/>
    </row>
    <row r="139" spans="3:51" s="15" customFormat="1" x14ac:dyDescent="0.2">
      <c r="C139" s="411"/>
      <c r="D139" s="411"/>
      <c r="E139" s="411"/>
      <c r="F139" s="411"/>
      <c r="G139" s="411"/>
      <c r="H139" s="411"/>
      <c r="I139" s="411"/>
      <c r="J139" s="411"/>
      <c r="K139" s="411"/>
      <c r="L139" s="411"/>
      <c r="M139" s="411"/>
      <c r="N139" s="411"/>
      <c r="O139" s="411"/>
      <c r="P139" s="411"/>
      <c r="Q139" s="411"/>
      <c r="R139" s="411"/>
      <c r="S139" s="411"/>
      <c r="T139" s="298"/>
      <c r="U139" s="402"/>
      <c r="V139" s="402"/>
      <c r="W139" s="402"/>
      <c r="X139" s="402"/>
      <c r="Y139" s="402"/>
      <c r="Z139" s="402"/>
      <c r="AA139" s="402"/>
      <c r="AB139" s="402"/>
      <c r="AC139" s="402"/>
      <c r="AD139" s="402"/>
      <c r="AE139" s="296"/>
      <c r="AF139" s="296"/>
      <c r="AG139" s="411"/>
      <c r="AH139" s="411"/>
      <c r="AI139" s="412"/>
      <c r="AJ139" s="412"/>
      <c r="AK139" s="412"/>
      <c r="AL139" s="412"/>
      <c r="AM139" s="412"/>
      <c r="AN139" s="412"/>
      <c r="AO139" s="412"/>
      <c r="AP139" s="412"/>
      <c r="AQ139" s="412"/>
      <c r="AR139" s="412"/>
      <c r="AS139" s="412"/>
      <c r="AT139" s="412"/>
      <c r="AU139" s="412"/>
      <c r="AV139" s="412"/>
      <c r="AW139" s="412"/>
      <c r="AX139" s="412"/>
      <c r="AY139" s="449"/>
    </row>
    <row r="140" spans="3:51" s="15" customFormat="1" x14ac:dyDescent="0.2">
      <c r="C140" s="411"/>
      <c r="D140" s="411"/>
      <c r="E140" s="411"/>
      <c r="F140" s="411"/>
      <c r="G140" s="411"/>
      <c r="H140" s="411"/>
      <c r="I140" s="411"/>
      <c r="J140" s="411"/>
      <c r="K140" s="411"/>
      <c r="L140" s="411"/>
      <c r="M140" s="411"/>
      <c r="N140" s="411"/>
      <c r="O140" s="411"/>
      <c r="P140" s="411"/>
      <c r="Q140" s="411"/>
      <c r="R140" s="411"/>
      <c r="S140" s="411"/>
      <c r="T140" s="298"/>
      <c r="U140" s="402"/>
      <c r="V140" s="402"/>
      <c r="W140" s="402"/>
      <c r="X140" s="402"/>
      <c r="Y140" s="402"/>
      <c r="Z140" s="402"/>
      <c r="AA140" s="402"/>
      <c r="AB140" s="402"/>
      <c r="AC140" s="402"/>
      <c r="AD140" s="402"/>
      <c r="AE140" s="296"/>
      <c r="AF140" s="296"/>
      <c r="AG140" s="411"/>
      <c r="AH140" s="411"/>
      <c r="AI140" s="412"/>
      <c r="AJ140" s="412"/>
      <c r="AK140" s="412"/>
      <c r="AL140" s="412"/>
      <c r="AM140" s="412"/>
      <c r="AN140" s="412"/>
      <c r="AO140" s="412"/>
      <c r="AP140" s="412"/>
      <c r="AQ140" s="412"/>
      <c r="AR140" s="412"/>
      <c r="AS140" s="412"/>
      <c r="AT140" s="412"/>
      <c r="AU140" s="412"/>
      <c r="AV140" s="412"/>
      <c r="AW140" s="412"/>
      <c r="AX140" s="412"/>
      <c r="AY140" s="449"/>
    </row>
    <row r="141" spans="3:51" s="15" customFormat="1" x14ac:dyDescent="0.2">
      <c r="C141" s="411"/>
      <c r="D141" s="411"/>
      <c r="E141" s="411"/>
      <c r="F141" s="411"/>
      <c r="G141" s="411"/>
      <c r="H141" s="411"/>
      <c r="I141" s="411"/>
      <c r="J141" s="411"/>
      <c r="K141" s="411"/>
      <c r="L141" s="411"/>
      <c r="M141" s="411"/>
      <c r="N141" s="411"/>
      <c r="O141" s="411"/>
      <c r="P141" s="411"/>
      <c r="Q141" s="411"/>
      <c r="R141" s="411"/>
      <c r="S141" s="411"/>
      <c r="T141" s="298"/>
      <c r="U141" s="402"/>
      <c r="V141" s="402"/>
      <c r="W141" s="402"/>
      <c r="X141" s="402"/>
      <c r="Y141" s="402"/>
      <c r="Z141" s="402"/>
      <c r="AA141" s="402"/>
      <c r="AB141" s="402"/>
      <c r="AC141" s="402"/>
      <c r="AD141" s="402"/>
      <c r="AE141" s="296"/>
      <c r="AF141" s="296"/>
      <c r="AG141" s="411"/>
      <c r="AH141" s="411"/>
      <c r="AI141" s="412"/>
      <c r="AJ141" s="412"/>
      <c r="AK141" s="412"/>
      <c r="AL141" s="412"/>
      <c r="AM141" s="412"/>
      <c r="AN141" s="412"/>
      <c r="AO141" s="412"/>
      <c r="AP141" s="412"/>
      <c r="AQ141" s="412"/>
      <c r="AR141" s="412"/>
      <c r="AS141" s="412"/>
      <c r="AT141" s="412"/>
      <c r="AU141" s="412"/>
      <c r="AV141" s="412"/>
      <c r="AW141" s="412"/>
      <c r="AX141" s="412"/>
      <c r="AY141" s="449"/>
    </row>
    <row r="142" spans="3:51" s="15" customFormat="1" x14ac:dyDescent="0.2">
      <c r="C142" s="411"/>
      <c r="D142" s="411"/>
      <c r="E142" s="411"/>
      <c r="F142" s="411"/>
      <c r="G142" s="411"/>
      <c r="H142" s="411"/>
      <c r="I142" s="411"/>
      <c r="J142" s="411"/>
      <c r="K142" s="411"/>
      <c r="L142" s="411"/>
      <c r="M142" s="411"/>
      <c r="N142" s="411"/>
      <c r="O142" s="411"/>
      <c r="P142" s="411"/>
      <c r="Q142" s="411"/>
      <c r="R142" s="411"/>
      <c r="S142" s="411"/>
      <c r="T142" s="298"/>
      <c r="U142" s="402"/>
      <c r="V142" s="402"/>
      <c r="W142" s="402"/>
      <c r="X142" s="402"/>
      <c r="Y142" s="402"/>
      <c r="Z142" s="402"/>
      <c r="AA142" s="402"/>
      <c r="AB142" s="402"/>
      <c r="AC142" s="402"/>
      <c r="AD142" s="402"/>
      <c r="AE142" s="296"/>
      <c r="AF142" s="296"/>
      <c r="AG142" s="411"/>
      <c r="AH142" s="411"/>
      <c r="AI142" s="412"/>
      <c r="AJ142" s="412"/>
      <c r="AK142" s="412"/>
      <c r="AL142" s="412"/>
      <c r="AM142" s="412"/>
      <c r="AN142" s="412"/>
      <c r="AO142" s="412"/>
      <c r="AP142" s="412"/>
      <c r="AQ142" s="412"/>
      <c r="AR142" s="412"/>
      <c r="AS142" s="412"/>
      <c r="AT142" s="412"/>
      <c r="AU142" s="412"/>
      <c r="AV142" s="412"/>
      <c r="AW142" s="412"/>
      <c r="AX142" s="412"/>
      <c r="AY142" s="449"/>
    </row>
    <row r="143" spans="3:51" s="15" customFormat="1" x14ac:dyDescent="0.2">
      <c r="C143" s="411"/>
      <c r="D143" s="411"/>
      <c r="E143" s="411"/>
      <c r="F143" s="411"/>
      <c r="G143" s="411"/>
      <c r="H143" s="411"/>
      <c r="I143" s="411"/>
      <c r="J143" s="411"/>
      <c r="K143" s="411"/>
      <c r="L143" s="411"/>
      <c r="M143" s="411"/>
      <c r="N143" s="411"/>
      <c r="O143" s="411"/>
      <c r="P143" s="411"/>
      <c r="Q143" s="411"/>
      <c r="R143" s="411"/>
      <c r="S143" s="411"/>
      <c r="T143" s="298"/>
      <c r="U143" s="402"/>
      <c r="V143" s="402"/>
      <c r="W143" s="402"/>
      <c r="X143" s="402"/>
      <c r="Y143" s="402"/>
      <c r="Z143" s="402"/>
      <c r="AA143" s="402"/>
      <c r="AB143" s="402"/>
      <c r="AC143" s="402"/>
      <c r="AD143" s="402"/>
      <c r="AE143" s="296"/>
      <c r="AF143" s="296"/>
      <c r="AG143" s="411"/>
      <c r="AH143" s="411"/>
      <c r="AI143" s="412"/>
      <c r="AJ143" s="412"/>
      <c r="AK143" s="412"/>
      <c r="AL143" s="412"/>
      <c r="AM143" s="412"/>
      <c r="AN143" s="412"/>
      <c r="AO143" s="412"/>
      <c r="AP143" s="412"/>
      <c r="AQ143" s="412"/>
      <c r="AR143" s="412"/>
      <c r="AS143" s="412"/>
      <c r="AT143" s="412"/>
      <c r="AU143" s="412"/>
      <c r="AV143" s="412"/>
      <c r="AW143" s="412"/>
      <c r="AX143" s="412"/>
      <c r="AY143" s="449"/>
    </row>
    <row r="144" spans="3:51" s="15" customFormat="1" x14ac:dyDescent="0.2">
      <c r="C144" s="411"/>
      <c r="D144" s="411"/>
      <c r="E144" s="411"/>
      <c r="F144" s="411"/>
      <c r="G144" s="411"/>
      <c r="H144" s="411"/>
      <c r="I144" s="411"/>
      <c r="J144" s="411"/>
      <c r="K144" s="411"/>
      <c r="L144" s="411"/>
      <c r="M144" s="411"/>
      <c r="N144" s="411"/>
      <c r="O144" s="411"/>
      <c r="P144" s="411"/>
      <c r="Q144" s="411"/>
      <c r="R144" s="411"/>
      <c r="S144" s="411"/>
      <c r="T144" s="298"/>
      <c r="U144" s="402"/>
      <c r="V144" s="402"/>
      <c r="W144" s="402"/>
      <c r="X144" s="402"/>
      <c r="Y144" s="402"/>
      <c r="Z144" s="402"/>
      <c r="AA144" s="402"/>
      <c r="AB144" s="402"/>
      <c r="AC144" s="402"/>
      <c r="AD144" s="402"/>
      <c r="AE144" s="296"/>
      <c r="AF144" s="296"/>
      <c r="AG144" s="411"/>
      <c r="AH144" s="411"/>
      <c r="AI144" s="412"/>
      <c r="AJ144" s="412"/>
      <c r="AK144" s="412"/>
      <c r="AL144" s="412"/>
      <c r="AM144" s="412"/>
      <c r="AN144" s="412"/>
      <c r="AO144" s="412"/>
      <c r="AP144" s="412"/>
      <c r="AQ144" s="412"/>
      <c r="AR144" s="412"/>
      <c r="AS144" s="412"/>
      <c r="AT144" s="412"/>
      <c r="AU144" s="412"/>
      <c r="AV144" s="412"/>
      <c r="AW144" s="412"/>
      <c r="AX144" s="412"/>
      <c r="AY144" s="449"/>
    </row>
    <row r="145" spans="3:51" s="15" customFormat="1" x14ac:dyDescent="0.2">
      <c r="C145" s="411"/>
      <c r="D145" s="411"/>
      <c r="E145" s="411"/>
      <c r="F145" s="411"/>
      <c r="G145" s="411"/>
      <c r="H145" s="411"/>
      <c r="I145" s="411"/>
      <c r="J145" s="411"/>
      <c r="K145" s="411"/>
      <c r="L145" s="411"/>
      <c r="M145" s="411"/>
      <c r="N145" s="411"/>
      <c r="O145" s="411"/>
      <c r="P145" s="411"/>
      <c r="Q145" s="411"/>
      <c r="R145" s="411"/>
      <c r="S145" s="411"/>
      <c r="T145" s="298"/>
      <c r="U145" s="402"/>
      <c r="V145" s="402"/>
      <c r="W145" s="402"/>
      <c r="X145" s="402"/>
      <c r="Y145" s="402"/>
      <c r="Z145" s="402"/>
      <c r="AA145" s="402"/>
      <c r="AB145" s="402"/>
      <c r="AC145" s="402"/>
      <c r="AD145" s="402"/>
      <c r="AE145" s="296"/>
      <c r="AF145" s="296"/>
      <c r="AG145" s="411"/>
      <c r="AH145" s="411"/>
      <c r="AI145" s="412"/>
      <c r="AJ145" s="412"/>
      <c r="AK145" s="412"/>
      <c r="AL145" s="412"/>
      <c r="AM145" s="412"/>
      <c r="AN145" s="412"/>
      <c r="AO145" s="412"/>
      <c r="AP145" s="412"/>
      <c r="AQ145" s="412"/>
      <c r="AR145" s="412"/>
      <c r="AS145" s="412"/>
      <c r="AT145" s="412"/>
      <c r="AU145" s="412"/>
      <c r="AV145" s="412"/>
      <c r="AW145" s="412"/>
      <c r="AX145" s="412"/>
      <c r="AY145" s="449"/>
    </row>
    <row r="146" spans="3:51" s="15" customFormat="1" x14ac:dyDescent="0.2">
      <c r="C146" s="411"/>
      <c r="D146" s="411"/>
      <c r="E146" s="411"/>
      <c r="F146" s="411"/>
      <c r="G146" s="411"/>
      <c r="H146" s="411"/>
      <c r="I146" s="411"/>
      <c r="J146" s="411"/>
      <c r="K146" s="411"/>
      <c r="L146" s="411"/>
      <c r="M146" s="411"/>
      <c r="N146" s="411"/>
      <c r="O146" s="411"/>
      <c r="P146" s="411"/>
      <c r="Q146" s="411"/>
      <c r="R146" s="411"/>
      <c r="S146" s="411"/>
      <c r="T146" s="298"/>
      <c r="U146" s="402"/>
      <c r="V146" s="402"/>
      <c r="W146" s="402"/>
      <c r="X146" s="402"/>
      <c r="Y146" s="402"/>
      <c r="Z146" s="402"/>
      <c r="AA146" s="402"/>
      <c r="AB146" s="402"/>
      <c r="AC146" s="402"/>
      <c r="AD146" s="402"/>
      <c r="AE146" s="296"/>
      <c r="AF146" s="296"/>
      <c r="AG146" s="411"/>
      <c r="AH146" s="411"/>
      <c r="AI146" s="412"/>
      <c r="AJ146" s="412"/>
      <c r="AK146" s="412"/>
      <c r="AL146" s="412"/>
      <c r="AM146" s="412"/>
      <c r="AN146" s="412"/>
      <c r="AO146" s="412"/>
      <c r="AP146" s="412"/>
      <c r="AQ146" s="412"/>
      <c r="AR146" s="412"/>
      <c r="AS146" s="412"/>
      <c r="AT146" s="412"/>
      <c r="AU146" s="412"/>
      <c r="AV146" s="412"/>
      <c r="AW146" s="412"/>
      <c r="AX146" s="412"/>
      <c r="AY146" s="449"/>
    </row>
    <row r="147" spans="3:51" s="15" customFormat="1" x14ac:dyDescent="0.2">
      <c r="C147" s="411"/>
      <c r="D147" s="411"/>
      <c r="E147" s="411"/>
      <c r="F147" s="411"/>
      <c r="G147" s="411"/>
      <c r="H147" s="411"/>
      <c r="I147" s="411"/>
      <c r="J147" s="411"/>
      <c r="K147" s="411"/>
      <c r="L147" s="411"/>
      <c r="M147" s="411"/>
      <c r="N147" s="411"/>
      <c r="O147" s="411"/>
      <c r="P147" s="411"/>
      <c r="Q147" s="411"/>
      <c r="R147" s="411"/>
      <c r="S147" s="411"/>
      <c r="T147" s="298"/>
      <c r="U147" s="402"/>
      <c r="V147" s="402"/>
      <c r="W147" s="402"/>
      <c r="X147" s="402"/>
      <c r="Y147" s="402"/>
      <c r="Z147" s="402"/>
      <c r="AA147" s="402"/>
      <c r="AB147" s="402"/>
      <c r="AC147" s="402"/>
      <c r="AD147" s="402"/>
      <c r="AE147" s="296"/>
      <c r="AF147" s="296"/>
      <c r="AG147" s="411"/>
      <c r="AH147" s="411"/>
      <c r="AI147" s="412"/>
      <c r="AJ147" s="412"/>
      <c r="AK147" s="412"/>
      <c r="AL147" s="412"/>
      <c r="AM147" s="412"/>
      <c r="AN147" s="412"/>
      <c r="AO147" s="412"/>
      <c r="AP147" s="412"/>
      <c r="AQ147" s="412"/>
      <c r="AR147" s="412"/>
      <c r="AS147" s="412"/>
      <c r="AT147" s="412"/>
      <c r="AU147" s="412"/>
      <c r="AV147" s="412"/>
      <c r="AW147" s="412"/>
      <c r="AX147" s="412"/>
      <c r="AY147" s="449"/>
    </row>
    <row r="148" spans="3:51" s="15" customFormat="1" x14ac:dyDescent="0.2">
      <c r="C148" s="411"/>
      <c r="D148" s="411"/>
      <c r="E148" s="411"/>
      <c r="F148" s="411"/>
      <c r="G148" s="411"/>
      <c r="H148" s="411"/>
      <c r="I148" s="411"/>
      <c r="J148" s="411"/>
      <c r="K148" s="411"/>
      <c r="L148" s="411"/>
      <c r="M148" s="411"/>
      <c r="N148" s="411"/>
      <c r="O148" s="411"/>
      <c r="P148" s="411"/>
      <c r="Q148" s="411"/>
      <c r="R148" s="411"/>
      <c r="S148" s="411"/>
      <c r="T148" s="298"/>
      <c r="U148" s="402"/>
      <c r="V148" s="402"/>
      <c r="W148" s="402"/>
      <c r="X148" s="402"/>
      <c r="Y148" s="402"/>
      <c r="Z148" s="402"/>
      <c r="AA148" s="402"/>
      <c r="AB148" s="402"/>
      <c r="AC148" s="402"/>
      <c r="AD148" s="402"/>
      <c r="AE148" s="296"/>
      <c r="AF148" s="296"/>
      <c r="AG148" s="411"/>
      <c r="AH148" s="411"/>
      <c r="AI148" s="412"/>
      <c r="AJ148" s="412"/>
      <c r="AK148" s="412"/>
      <c r="AL148" s="412"/>
      <c r="AM148" s="412"/>
      <c r="AN148" s="412"/>
      <c r="AO148" s="412"/>
      <c r="AP148" s="412"/>
      <c r="AQ148" s="412"/>
      <c r="AR148" s="412"/>
      <c r="AS148" s="412"/>
      <c r="AT148" s="412"/>
      <c r="AU148" s="412"/>
      <c r="AV148" s="412"/>
      <c r="AW148" s="412"/>
      <c r="AX148" s="412"/>
      <c r="AY148" s="449"/>
    </row>
    <row r="149" spans="3:51" s="15" customFormat="1" x14ac:dyDescent="0.2">
      <c r="C149" s="411"/>
      <c r="D149" s="411"/>
      <c r="E149" s="411"/>
      <c r="F149" s="411"/>
      <c r="G149" s="411"/>
      <c r="H149" s="411"/>
      <c r="I149" s="411"/>
      <c r="J149" s="411"/>
      <c r="K149" s="411"/>
      <c r="L149" s="411"/>
      <c r="M149" s="411"/>
      <c r="N149" s="411"/>
      <c r="O149" s="411"/>
      <c r="P149" s="411"/>
      <c r="Q149" s="411"/>
      <c r="R149" s="411"/>
      <c r="S149" s="411"/>
      <c r="T149" s="298"/>
      <c r="U149" s="402"/>
      <c r="V149" s="402"/>
      <c r="W149" s="402"/>
      <c r="X149" s="402"/>
      <c r="Y149" s="402"/>
      <c r="Z149" s="402"/>
      <c r="AA149" s="402"/>
      <c r="AB149" s="402"/>
      <c r="AC149" s="402"/>
      <c r="AD149" s="402"/>
      <c r="AE149" s="296"/>
      <c r="AF149" s="296"/>
      <c r="AG149" s="411"/>
      <c r="AH149" s="411"/>
      <c r="AI149" s="412"/>
      <c r="AJ149" s="412"/>
      <c r="AK149" s="412"/>
      <c r="AL149" s="412"/>
      <c r="AM149" s="412"/>
      <c r="AN149" s="412"/>
      <c r="AO149" s="412"/>
      <c r="AP149" s="412"/>
      <c r="AQ149" s="412"/>
      <c r="AR149" s="412"/>
      <c r="AS149" s="412"/>
      <c r="AT149" s="412"/>
      <c r="AU149" s="412"/>
      <c r="AV149" s="412"/>
      <c r="AW149" s="412"/>
      <c r="AX149" s="412"/>
      <c r="AY149" s="449"/>
    </row>
    <row r="150" spans="3:51" s="15" customFormat="1" x14ac:dyDescent="0.2">
      <c r="C150" s="411"/>
      <c r="D150" s="411"/>
      <c r="E150" s="411"/>
      <c r="F150" s="411"/>
      <c r="G150" s="411"/>
      <c r="H150" s="411"/>
      <c r="I150" s="411"/>
      <c r="J150" s="411"/>
      <c r="K150" s="411"/>
      <c r="L150" s="411"/>
      <c r="M150" s="411"/>
      <c r="N150" s="411"/>
      <c r="O150" s="411"/>
      <c r="P150" s="411"/>
      <c r="Q150" s="411"/>
      <c r="R150" s="411"/>
      <c r="S150" s="411"/>
      <c r="T150" s="298"/>
      <c r="U150" s="402"/>
      <c r="V150" s="402"/>
      <c r="W150" s="402"/>
      <c r="X150" s="402"/>
      <c r="Y150" s="402"/>
      <c r="Z150" s="402"/>
      <c r="AA150" s="402"/>
      <c r="AB150" s="402"/>
      <c r="AC150" s="402"/>
      <c r="AD150" s="402"/>
      <c r="AE150" s="296"/>
      <c r="AF150" s="296"/>
      <c r="AG150" s="411"/>
      <c r="AH150" s="411"/>
      <c r="AI150" s="412"/>
      <c r="AJ150" s="412"/>
      <c r="AK150" s="412"/>
      <c r="AL150" s="412"/>
      <c r="AM150" s="412"/>
      <c r="AN150" s="412"/>
      <c r="AO150" s="412"/>
      <c r="AP150" s="412"/>
      <c r="AQ150" s="412"/>
      <c r="AR150" s="412"/>
      <c r="AS150" s="412"/>
      <c r="AT150" s="412"/>
      <c r="AU150" s="412"/>
      <c r="AV150" s="412"/>
      <c r="AW150" s="412"/>
      <c r="AX150" s="412"/>
      <c r="AY150" s="449"/>
    </row>
    <row r="151" spans="3:51" s="15" customFormat="1" x14ac:dyDescent="0.2">
      <c r="C151" s="411"/>
      <c r="D151" s="411"/>
      <c r="E151" s="411"/>
      <c r="F151" s="411"/>
      <c r="G151" s="411"/>
      <c r="H151" s="411"/>
      <c r="I151" s="411"/>
      <c r="J151" s="411"/>
      <c r="K151" s="411"/>
      <c r="L151" s="411"/>
      <c r="M151" s="411"/>
      <c r="N151" s="411"/>
      <c r="O151" s="411"/>
      <c r="P151" s="411"/>
      <c r="Q151" s="411"/>
      <c r="R151" s="411"/>
      <c r="S151" s="411"/>
      <c r="T151" s="298"/>
      <c r="U151" s="402"/>
      <c r="V151" s="402"/>
      <c r="W151" s="402"/>
      <c r="X151" s="402"/>
      <c r="Y151" s="402"/>
      <c r="Z151" s="402"/>
      <c r="AA151" s="402"/>
      <c r="AB151" s="402"/>
      <c r="AC151" s="402"/>
      <c r="AD151" s="402"/>
      <c r="AE151" s="296"/>
      <c r="AF151" s="296"/>
      <c r="AG151" s="411"/>
      <c r="AH151" s="411"/>
      <c r="AI151" s="412"/>
      <c r="AJ151" s="412"/>
      <c r="AK151" s="412"/>
      <c r="AL151" s="412"/>
      <c r="AM151" s="412"/>
      <c r="AN151" s="412"/>
      <c r="AO151" s="412"/>
      <c r="AP151" s="412"/>
      <c r="AQ151" s="412"/>
      <c r="AR151" s="412"/>
      <c r="AS151" s="412"/>
      <c r="AT151" s="412"/>
      <c r="AU151" s="412"/>
      <c r="AV151" s="412"/>
      <c r="AW151" s="412"/>
      <c r="AX151" s="412"/>
      <c r="AY151" s="449"/>
    </row>
    <row r="152" spans="3:51" s="15" customFormat="1" x14ac:dyDescent="0.2">
      <c r="C152" s="411"/>
      <c r="D152" s="411"/>
      <c r="E152" s="411"/>
      <c r="F152" s="411"/>
      <c r="G152" s="411"/>
      <c r="H152" s="411"/>
      <c r="I152" s="411"/>
      <c r="J152" s="411"/>
      <c r="K152" s="411"/>
      <c r="L152" s="411"/>
      <c r="M152" s="411"/>
      <c r="N152" s="411"/>
      <c r="O152" s="411"/>
      <c r="P152" s="411"/>
      <c r="Q152" s="411"/>
      <c r="R152" s="411"/>
      <c r="S152" s="411"/>
      <c r="T152" s="298"/>
      <c r="U152" s="402"/>
      <c r="V152" s="402"/>
      <c r="W152" s="402"/>
      <c r="X152" s="402"/>
      <c r="Y152" s="402"/>
      <c r="Z152" s="402"/>
      <c r="AA152" s="402"/>
      <c r="AB152" s="402"/>
      <c r="AC152" s="402"/>
      <c r="AD152" s="402"/>
      <c r="AE152" s="296"/>
      <c r="AF152" s="296"/>
      <c r="AG152" s="411"/>
      <c r="AH152" s="411"/>
      <c r="AI152" s="412"/>
      <c r="AJ152" s="412"/>
      <c r="AK152" s="412"/>
      <c r="AL152" s="412"/>
      <c r="AM152" s="412"/>
      <c r="AN152" s="412"/>
      <c r="AO152" s="412"/>
      <c r="AP152" s="412"/>
      <c r="AQ152" s="412"/>
      <c r="AR152" s="412"/>
      <c r="AS152" s="412"/>
      <c r="AT152" s="412"/>
      <c r="AU152" s="412"/>
      <c r="AV152" s="412"/>
      <c r="AW152" s="412"/>
      <c r="AX152" s="412"/>
      <c r="AY152" s="449"/>
    </row>
    <row r="153" spans="3:51" s="15" customFormat="1" x14ac:dyDescent="0.2">
      <c r="C153" s="411"/>
      <c r="D153" s="411"/>
      <c r="E153" s="411"/>
      <c r="F153" s="411"/>
      <c r="G153" s="411"/>
      <c r="H153" s="411"/>
      <c r="I153" s="411"/>
      <c r="J153" s="411"/>
      <c r="K153" s="411"/>
      <c r="L153" s="411"/>
      <c r="M153" s="411"/>
      <c r="N153" s="411"/>
      <c r="O153" s="411"/>
      <c r="P153" s="411"/>
      <c r="Q153" s="411"/>
      <c r="R153" s="411"/>
      <c r="S153" s="411"/>
      <c r="T153" s="298"/>
      <c r="U153" s="402"/>
      <c r="V153" s="402"/>
      <c r="W153" s="402"/>
      <c r="X153" s="402"/>
      <c r="Y153" s="402"/>
      <c r="Z153" s="402"/>
      <c r="AA153" s="402"/>
      <c r="AB153" s="402"/>
      <c r="AC153" s="402"/>
      <c r="AD153" s="402"/>
      <c r="AE153" s="296"/>
      <c r="AF153" s="296"/>
      <c r="AG153" s="411"/>
      <c r="AH153" s="411"/>
      <c r="AI153" s="412"/>
      <c r="AJ153" s="412"/>
      <c r="AK153" s="412"/>
      <c r="AL153" s="412"/>
      <c r="AM153" s="412"/>
      <c r="AN153" s="412"/>
      <c r="AO153" s="412"/>
      <c r="AP153" s="412"/>
      <c r="AQ153" s="412"/>
      <c r="AR153" s="412"/>
      <c r="AS153" s="412"/>
      <c r="AT153" s="412"/>
      <c r="AU153" s="412"/>
      <c r="AV153" s="412"/>
      <c r="AW153" s="412"/>
      <c r="AX153" s="412"/>
      <c r="AY153" s="449"/>
    </row>
    <row r="154" spans="3:51" s="15" customFormat="1" x14ac:dyDescent="0.2">
      <c r="C154" s="411"/>
      <c r="D154" s="411"/>
      <c r="E154" s="411"/>
      <c r="F154" s="411"/>
      <c r="G154" s="411"/>
      <c r="H154" s="411"/>
      <c r="I154" s="411"/>
      <c r="J154" s="411"/>
      <c r="K154" s="411"/>
      <c r="L154" s="411"/>
      <c r="M154" s="411"/>
      <c r="N154" s="411"/>
      <c r="O154" s="411"/>
      <c r="P154" s="411"/>
      <c r="Q154" s="411"/>
      <c r="R154" s="411"/>
      <c r="S154" s="411"/>
      <c r="T154" s="298"/>
      <c r="U154" s="402"/>
      <c r="V154" s="402"/>
      <c r="W154" s="402"/>
      <c r="X154" s="402"/>
      <c r="Y154" s="402"/>
      <c r="Z154" s="402"/>
      <c r="AA154" s="402"/>
      <c r="AB154" s="402"/>
      <c r="AC154" s="402"/>
      <c r="AD154" s="402"/>
      <c r="AE154" s="296"/>
      <c r="AF154" s="296"/>
      <c r="AG154" s="411"/>
      <c r="AH154" s="411"/>
      <c r="AI154" s="412"/>
      <c r="AJ154" s="412"/>
      <c r="AK154" s="412"/>
      <c r="AL154" s="412"/>
      <c r="AM154" s="412"/>
      <c r="AN154" s="412"/>
      <c r="AO154" s="412"/>
      <c r="AP154" s="412"/>
      <c r="AQ154" s="412"/>
      <c r="AR154" s="412"/>
      <c r="AS154" s="412"/>
      <c r="AT154" s="412"/>
      <c r="AU154" s="412"/>
      <c r="AV154" s="412"/>
      <c r="AW154" s="412"/>
      <c r="AX154" s="412"/>
      <c r="AY154" s="449"/>
    </row>
    <row r="155" spans="3:51" s="15" customFormat="1" x14ac:dyDescent="0.2">
      <c r="C155" s="411"/>
      <c r="D155" s="411"/>
      <c r="E155" s="411"/>
      <c r="F155" s="411"/>
      <c r="G155" s="411"/>
      <c r="H155" s="411"/>
      <c r="I155" s="411"/>
      <c r="J155" s="411"/>
      <c r="K155" s="411"/>
      <c r="L155" s="411"/>
      <c r="M155" s="411"/>
      <c r="N155" s="411"/>
      <c r="O155" s="411"/>
      <c r="P155" s="411"/>
      <c r="Q155" s="411"/>
      <c r="R155" s="411"/>
      <c r="S155" s="411"/>
      <c r="T155" s="298"/>
      <c r="U155" s="402"/>
      <c r="V155" s="402"/>
      <c r="W155" s="402"/>
      <c r="X155" s="402"/>
      <c r="Y155" s="402"/>
      <c r="Z155" s="402"/>
      <c r="AA155" s="402"/>
      <c r="AB155" s="402"/>
      <c r="AC155" s="402"/>
      <c r="AD155" s="402"/>
      <c r="AE155" s="296"/>
      <c r="AF155" s="296"/>
      <c r="AG155" s="411"/>
      <c r="AH155" s="411"/>
      <c r="AI155" s="412"/>
      <c r="AJ155" s="412"/>
      <c r="AK155" s="412"/>
      <c r="AL155" s="412"/>
      <c r="AM155" s="412"/>
      <c r="AN155" s="412"/>
      <c r="AO155" s="412"/>
      <c r="AP155" s="412"/>
      <c r="AQ155" s="412"/>
      <c r="AR155" s="412"/>
      <c r="AS155" s="412"/>
      <c r="AT155" s="412"/>
      <c r="AU155" s="412"/>
      <c r="AV155" s="412"/>
      <c r="AW155" s="412"/>
      <c r="AX155" s="412"/>
      <c r="AY155" s="449"/>
    </row>
    <row r="156" spans="3:51" s="15" customFormat="1" x14ac:dyDescent="0.2">
      <c r="C156" s="411"/>
      <c r="D156" s="411"/>
      <c r="E156" s="411"/>
      <c r="F156" s="411"/>
      <c r="G156" s="411"/>
      <c r="H156" s="411"/>
      <c r="I156" s="411"/>
      <c r="J156" s="411"/>
      <c r="K156" s="411"/>
      <c r="L156" s="411"/>
      <c r="M156" s="411"/>
      <c r="N156" s="411"/>
      <c r="O156" s="411"/>
      <c r="P156" s="411"/>
      <c r="Q156" s="411"/>
      <c r="R156" s="411"/>
      <c r="S156" s="411"/>
      <c r="T156" s="298"/>
      <c r="U156" s="402"/>
      <c r="V156" s="402"/>
      <c r="W156" s="402"/>
      <c r="X156" s="402"/>
      <c r="Y156" s="402"/>
      <c r="Z156" s="402"/>
      <c r="AA156" s="402"/>
      <c r="AB156" s="402"/>
      <c r="AC156" s="402"/>
      <c r="AD156" s="402"/>
      <c r="AE156" s="296"/>
      <c r="AF156" s="296"/>
      <c r="AG156" s="411"/>
      <c r="AH156" s="411"/>
      <c r="AI156" s="412"/>
      <c r="AJ156" s="412"/>
      <c r="AK156" s="412"/>
      <c r="AL156" s="412"/>
      <c r="AM156" s="412"/>
      <c r="AN156" s="412"/>
      <c r="AO156" s="412"/>
      <c r="AP156" s="412"/>
      <c r="AQ156" s="412"/>
      <c r="AR156" s="412"/>
      <c r="AS156" s="412"/>
      <c r="AT156" s="412"/>
      <c r="AU156" s="412"/>
      <c r="AV156" s="412"/>
      <c r="AW156" s="412"/>
      <c r="AX156" s="412"/>
      <c r="AY156" s="449"/>
    </row>
    <row r="157" spans="3:51" s="15" customFormat="1" x14ac:dyDescent="0.2">
      <c r="C157" s="411"/>
      <c r="D157" s="411"/>
      <c r="E157" s="411"/>
      <c r="F157" s="411"/>
      <c r="G157" s="411"/>
      <c r="H157" s="411"/>
      <c r="I157" s="411"/>
      <c r="J157" s="411"/>
      <c r="K157" s="411"/>
      <c r="L157" s="411"/>
      <c r="M157" s="411"/>
      <c r="N157" s="411"/>
      <c r="O157" s="411"/>
      <c r="P157" s="411"/>
      <c r="Q157" s="411"/>
      <c r="R157" s="411"/>
      <c r="S157" s="411"/>
      <c r="T157" s="298"/>
      <c r="U157" s="402"/>
      <c r="V157" s="402"/>
      <c r="W157" s="402"/>
      <c r="X157" s="402"/>
      <c r="Y157" s="402"/>
      <c r="Z157" s="402"/>
      <c r="AA157" s="402"/>
      <c r="AB157" s="402"/>
      <c r="AC157" s="402"/>
      <c r="AD157" s="402"/>
      <c r="AE157" s="296"/>
      <c r="AF157" s="296"/>
      <c r="AG157" s="411"/>
      <c r="AH157" s="411"/>
      <c r="AI157" s="412"/>
      <c r="AJ157" s="412"/>
      <c r="AK157" s="412"/>
      <c r="AL157" s="412"/>
      <c r="AM157" s="412"/>
      <c r="AN157" s="412"/>
      <c r="AO157" s="412"/>
      <c r="AP157" s="412"/>
      <c r="AQ157" s="412"/>
      <c r="AR157" s="412"/>
      <c r="AS157" s="412"/>
      <c r="AT157" s="412"/>
      <c r="AU157" s="412"/>
      <c r="AV157" s="412"/>
      <c r="AW157" s="412"/>
      <c r="AX157" s="412"/>
      <c r="AY157" s="449"/>
    </row>
    <row r="158" spans="3:51" s="15" customFormat="1" x14ac:dyDescent="0.2">
      <c r="C158" s="411"/>
      <c r="D158" s="411"/>
      <c r="E158" s="411"/>
      <c r="F158" s="411"/>
      <c r="G158" s="411"/>
      <c r="H158" s="411"/>
      <c r="I158" s="411"/>
      <c r="J158" s="411"/>
      <c r="K158" s="411"/>
      <c r="L158" s="411"/>
      <c r="M158" s="411"/>
      <c r="N158" s="411"/>
      <c r="O158" s="411"/>
      <c r="P158" s="411"/>
      <c r="Q158" s="411"/>
      <c r="R158" s="411"/>
      <c r="S158" s="411"/>
      <c r="T158" s="298"/>
      <c r="U158" s="402"/>
      <c r="V158" s="402"/>
      <c r="W158" s="402"/>
      <c r="X158" s="402"/>
      <c r="Y158" s="402"/>
      <c r="Z158" s="402"/>
      <c r="AA158" s="402"/>
      <c r="AB158" s="402"/>
      <c r="AC158" s="402"/>
      <c r="AD158" s="402"/>
      <c r="AE158" s="296"/>
      <c r="AF158" s="296"/>
      <c r="AG158" s="411"/>
      <c r="AH158" s="411"/>
      <c r="AI158" s="412"/>
      <c r="AJ158" s="412"/>
      <c r="AK158" s="412"/>
      <c r="AL158" s="412"/>
      <c r="AM158" s="412"/>
      <c r="AN158" s="412"/>
      <c r="AO158" s="412"/>
      <c r="AP158" s="412"/>
      <c r="AQ158" s="412"/>
      <c r="AR158" s="412"/>
      <c r="AS158" s="412"/>
      <c r="AT158" s="412"/>
      <c r="AU158" s="412"/>
      <c r="AV158" s="412"/>
      <c r="AW158" s="412"/>
      <c r="AX158" s="412"/>
      <c r="AY158" s="449"/>
    </row>
    <row r="159" spans="3:51" s="15" customFormat="1" x14ac:dyDescent="0.2">
      <c r="C159" s="411"/>
      <c r="D159" s="411"/>
      <c r="E159" s="411"/>
      <c r="F159" s="411"/>
      <c r="G159" s="411"/>
      <c r="H159" s="411"/>
      <c r="I159" s="411"/>
      <c r="J159" s="411"/>
      <c r="K159" s="411"/>
      <c r="L159" s="411"/>
      <c r="M159" s="411"/>
      <c r="N159" s="411"/>
      <c r="O159" s="411"/>
      <c r="P159" s="411"/>
      <c r="Q159" s="411"/>
      <c r="R159" s="411"/>
      <c r="S159" s="411"/>
      <c r="T159" s="298"/>
      <c r="U159" s="402"/>
      <c r="V159" s="402"/>
      <c r="W159" s="402"/>
      <c r="X159" s="402"/>
      <c r="Y159" s="402"/>
      <c r="Z159" s="402"/>
      <c r="AA159" s="402"/>
      <c r="AB159" s="402"/>
      <c r="AC159" s="402"/>
      <c r="AD159" s="402"/>
      <c r="AE159" s="296"/>
      <c r="AF159" s="296"/>
      <c r="AG159" s="411"/>
      <c r="AH159" s="411"/>
      <c r="AI159" s="412"/>
      <c r="AJ159" s="412"/>
      <c r="AK159" s="412"/>
      <c r="AL159" s="412"/>
      <c r="AM159" s="412"/>
      <c r="AN159" s="412"/>
      <c r="AO159" s="412"/>
      <c r="AP159" s="412"/>
      <c r="AQ159" s="412"/>
      <c r="AR159" s="412"/>
      <c r="AS159" s="412"/>
      <c r="AT159" s="412"/>
      <c r="AU159" s="412"/>
      <c r="AV159" s="412"/>
      <c r="AW159" s="412"/>
      <c r="AX159" s="412"/>
      <c r="AY159" s="449"/>
    </row>
    <row r="160" spans="3:51" s="15" customFormat="1" x14ac:dyDescent="0.2">
      <c r="C160" s="411"/>
      <c r="D160" s="411"/>
      <c r="E160" s="411"/>
      <c r="F160" s="411"/>
      <c r="G160" s="411"/>
      <c r="H160" s="411"/>
      <c r="I160" s="411"/>
      <c r="J160" s="411"/>
      <c r="K160" s="411"/>
      <c r="L160" s="411"/>
      <c r="M160" s="411"/>
      <c r="N160" s="411"/>
      <c r="O160" s="411"/>
      <c r="P160" s="411"/>
      <c r="Q160" s="411"/>
      <c r="R160" s="411"/>
      <c r="S160" s="411"/>
      <c r="T160" s="298"/>
      <c r="U160" s="402"/>
      <c r="V160" s="402"/>
      <c r="W160" s="402"/>
      <c r="X160" s="402"/>
      <c r="Y160" s="402"/>
      <c r="Z160" s="402"/>
      <c r="AA160" s="402"/>
      <c r="AB160" s="402"/>
      <c r="AC160" s="402"/>
      <c r="AD160" s="402"/>
      <c r="AE160" s="296"/>
      <c r="AF160" s="296"/>
      <c r="AG160" s="411"/>
      <c r="AH160" s="411"/>
      <c r="AI160" s="412"/>
      <c r="AJ160" s="412"/>
      <c r="AK160" s="412"/>
      <c r="AL160" s="412"/>
      <c r="AM160" s="412"/>
      <c r="AN160" s="412"/>
      <c r="AO160" s="412"/>
      <c r="AP160" s="412"/>
      <c r="AQ160" s="412"/>
      <c r="AR160" s="412"/>
      <c r="AS160" s="412"/>
      <c r="AT160" s="412"/>
      <c r="AU160" s="412"/>
      <c r="AV160" s="412"/>
      <c r="AW160" s="412"/>
      <c r="AX160" s="412"/>
      <c r="AY160" s="449"/>
    </row>
    <row r="161" spans="3:51" s="15" customFormat="1" x14ac:dyDescent="0.2">
      <c r="C161" s="411"/>
      <c r="D161" s="411"/>
      <c r="E161" s="411"/>
      <c r="F161" s="411"/>
      <c r="G161" s="411"/>
      <c r="H161" s="411"/>
      <c r="I161" s="411"/>
      <c r="J161" s="411"/>
      <c r="K161" s="411"/>
      <c r="L161" s="411"/>
      <c r="M161" s="411"/>
      <c r="N161" s="411"/>
      <c r="O161" s="411"/>
      <c r="P161" s="411"/>
      <c r="Q161" s="411"/>
      <c r="R161" s="411"/>
      <c r="S161" s="411"/>
      <c r="T161" s="298"/>
      <c r="U161" s="402"/>
      <c r="V161" s="402"/>
      <c r="W161" s="402"/>
      <c r="X161" s="402"/>
      <c r="Y161" s="402"/>
      <c r="Z161" s="402"/>
      <c r="AA161" s="402"/>
      <c r="AB161" s="402"/>
      <c r="AC161" s="402"/>
      <c r="AD161" s="402"/>
      <c r="AE161" s="296"/>
      <c r="AF161" s="296"/>
      <c r="AG161" s="411"/>
      <c r="AH161" s="411"/>
      <c r="AI161" s="412"/>
      <c r="AJ161" s="412"/>
      <c r="AK161" s="412"/>
      <c r="AL161" s="412"/>
      <c r="AM161" s="412"/>
      <c r="AN161" s="412"/>
      <c r="AO161" s="412"/>
      <c r="AP161" s="412"/>
      <c r="AQ161" s="412"/>
      <c r="AR161" s="412"/>
      <c r="AS161" s="412"/>
      <c r="AT161" s="412"/>
      <c r="AU161" s="412"/>
      <c r="AV161" s="412"/>
      <c r="AW161" s="412"/>
      <c r="AX161" s="412"/>
      <c r="AY161" s="449"/>
    </row>
    <row r="162" spans="3:51" s="15" customFormat="1" x14ac:dyDescent="0.2">
      <c r="C162" s="411"/>
      <c r="D162" s="411"/>
      <c r="E162" s="411"/>
      <c r="F162" s="411"/>
      <c r="G162" s="411"/>
      <c r="H162" s="411"/>
      <c r="I162" s="411"/>
      <c r="J162" s="411"/>
      <c r="K162" s="411"/>
      <c r="L162" s="411"/>
      <c r="M162" s="411"/>
      <c r="N162" s="411"/>
      <c r="O162" s="411"/>
      <c r="P162" s="411"/>
      <c r="Q162" s="411"/>
      <c r="R162" s="411"/>
      <c r="S162" s="411"/>
      <c r="T162" s="298"/>
      <c r="U162" s="402"/>
      <c r="V162" s="402"/>
      <c r="W162" s="402"/>
      <c r="X162" s="402"/>
      <c r="Y162" s="402"/>
      <c r="Z162" s="402"/>
      <c r="AA162" s="402"/>
      <c r="AB162" s="402"/>
      <c r="AC162" s="402"/>
      <c r="AD162" s="402"/>
      <c r="AE162" s="296"/>
      <c r="AF162" s="296"/>
      <c r="AG162" s="411"/>
      <c r="AH162" s="411"/>
      <c r="AI162" s="412"/>
      <c r="AJ162" s="412"/>
      <c r="AK162" s="412"/>
      <c r="AL162" s="412"/>
      <c r="AM162" s="412"/>
      <c r="AN162" s="412"/>
      <c r="AO162" s="412"/>
      <c r="AP162" s="412"/>
      <c r="AQ162" s="412"/>
      <c r="AR162" s="412"/>
      <c r="AS162" s="412"/>
      <c r="AT162" s="412"/>
      <c r="AU162" s="412"/>
      <c r="AV162" s="412"/>
      <c r="AW162" s="412"/>
      <c r="AX162" s="412"/>
      <c r="AY162" s="449"/>
    </row>
    <row r="163" spans="3:51" s="15" customFormat="1" x14ac:dyDescent="0.2">
      <c r="C163" s="411"/>
      <c r="D163" s="411"/>
      <c r="E163" s="411"/>
      <c r="F163" s="411"/>
      <c r="G163" s="411"/>
      <c r="H163" s="411"/>
      <c r="I163" s="411"/>
      <c r="J163" s="411"/>
      <c r="K163" s="411"/>
      <c r="L163" s="411"/>
      <c r="M163" s="411"/>
      <c r="N163" s="411"/>
      <c r="O163" s="411"/>
      <c r="P163" s="411"/>
      <c r="Q163" s="411"/>
      <c r="R163" s="411"/>
      <c r="S163" s="411"/>
      <c r="T163" s="298"/>
      <c r="U163" s="402"/>
      <c r="V163" s="402"/>
      <c r="W163" s="402"/>
      <c r="X163" s="402"/>
      <c r="Y163" s="402"/>
      <c r="Z163" s="402"/>
      <c r="AA163" s="402"/>
      <c r="AB163" s="402"/>
      <c r="AC163" s="402"/>
      <c r="AD163" s="402"/>
      <c r="AE163" s="296"/>
      <c r="AF163" s="296"/>
      <c r="AG163" s="411"/>
      <c r="AH163" s="411"/>
      <c r="AI163" s="412"/>
      <c r="AJ163" s="412"/>
      <c r="AK163" s="412"/>
      <c r="AL163" s="412"/>
      <c r="AM163" s="412"/>
      <c r="AN163" s="412"/>
      <c r="AO163" s="412"/>
      <c r="AP163" s="412"/>
      <c r="AQ163" s="412"/>
      <c r="AR163" s="412"/>
      <c r="AS163" s="412"/>
      <c r="AT163" s="412"/>
      <c r="AU163" s="412"/>
      <c r="AV163" s="412"/>
      <c r="AW163" s="412"/>
      <c r="AX163" s="412"/>
      <c r="AY163" s="449"/>
    </row>
    <row r="164" spans="3:51" s="15" customFormat="1" x14ac:dyDescent="0.2">
      <c r="C164" s="411"/>
      <c r="D164" s="411"/>
      <c r="E164" s="411"/>
      <c r="F164" s="411"/>
      <c r="G164" s="411"/>
      <c r="H164" s="411"/>
      <c r="I164" s="411"/>
      <c r="J164" s="411"/>
      <c r="K164" s="411"/>
      <c r="L164" s="411"/>
      <c r="M164" s="411"/>
      <c r="N164" s="411"/>
      <c r="O164" s="411"/>
      <c r="P164" s="411"/>
      <c r="Q164" s="411"/>
      <c r="R164" s="411"/>
      <c r="S164" s="411"/>
      <c r="T164" s="298"/>
      <c r="U164" s="402"/>
      <c r="V164" s="402"/>
      <c r="W164" s="402"/>
      <c r="X164" s="402"/>
      <c r="Y164" s="402"/>
      <c r="Z164" s="402"/>
      <c r="AA164" s="402"/>
      <c r="AB164" s="402"/>
      <c r="AC164" s="402"/>
      <c r="AD164" s="402"/>
      <c r="AE164" s="296"/>
      <c r="AF164" s="296"/>
      <c r="AG164" s="411"/>
      <c r="AH164" s="411"/>
      <c r="AI164" s="412"/>
      <c r="AJ164" s="412"/>
      <c r="AK164" s="412"/>
      <c r="AL164" s="412"/>
      <c r="AM164" s="412"/>
      <c r="AN164" s="412"/>
      <c r="AO164" s="412"/>
      <c r="AP164" s="412"/>
      <c r="AQ164" s="412"/>
      <c r="AR164" s="412"/>
      <c r="AS164" s="412"/>
      <c r="AT164" s="412"/>
      <c r="AU164" s="412"/>
      <c r="AV164" s="412"/>
      <c r="AW164" s="412"/>
      <c r="AX164" s="412"/>
      <c r="AY164" s="449"/>
    </row>
    <row r="165" spans="3:51" s="15" customFormat="1" x14ac:dyDescent="0.2">
      <c r="C165" s="411"/>
      <c r="D165" s="411"/>
      <c r="E165" s="411"/>
      <c r="F165" s="411"/>
      <c r="G165" s="411"/>
      <c r="H165" s="411"/>
      <c r="I165" s="411"/>
      <c r="J165" s="411"/>
      <c r="K165" s="411"/>
      <c r="L165" s="411"/>
      <c r="M165" s="411"/>
      <c r="N165" s="411"/>
      <c r="O165" s="411"/>
      <c r="P165" s="411"/>
      <c r="Q165" s="411"/>
      <c r="R165" s="411"/>
      <c r="S165" s="411"/>
      <c r="T165" s="298"/>
      <c r="U165" s="402"/>
      <c r="V165" s="402"/>
      <c r="W165" s="402"/>
      <c r="X165" s="402"/>
      <c r="Y165" s="402"/>
      <c r="Z165" s="402"/>
      <c r="AA165" s="402"/>
      <c r="AB165" s="402"/>
      <c r="AC165" s="402"/>
      <c r="AD165" s="402"/>
      <c r="AE165" s="296"/>
      <c r="AF165" s="296"/>
      <c r="AG165" s="411"/>
      <c r="AH165" s="411"/>
      <c r="AI165" s="412"/>
      <c r="AJ165" s="412"/>
      <c r="AK165" s="412"/>
      <c r="AL165" s="412"/>
      <c r="AM165" s="412"/>
      <c r="AN165" s="412"/>
      <c r="AO165" s="412"/>
      <c r="AP165" s="412"/>
      <c r="AQ165" s="412"/>
      <c r="AR165" s="412"/>
      <c r="AS165" s="412"/>
      <c r="AT165" s="412"/>
      <c r="AU165" s="412"/>
      <c r="AV165" s="412"/>
      <c r="AW165" s="412"/>
      <c r="AX165" s="412"/>
      <c r="AY165" s="449"/>
    </row>
    <row r="166" spans="3:51" s="15" customFormat="1" x14ac:dyDescent="0.2">
      <c r="C166" s="411"/>
      <c r="D166" s="411"/>
      <c r="E166" s="411"/>
      <c r="F166" s="411"/>
      <c r="G166" s="411"/>
      <c r="H166" s="411"/>
      <c r="I166" s="411"/>
      <c r="J166" s="411"/>
      <c r="K166" s="411"/>
      <c r="L166" s="411"/>
      <c r="M166" s="411"/>
      <c r="N166" s="411"/>
      <c r="O166" s="411"/>
      <c r="P166" s="411"/>
      <c r="Q166" s="411"/>
      <c r="R166" s="411"/>
      <c r="S166" s="411"/>
      <c r="T166" s="298"/>
      <c r="U166" s="402"/>
      <c r="V166" s="402"/>
      <c r="W166" s="402"/>
      <c r="X166" s="402"/>
      <c r="Y166" s="402"/>
      <c r="Z166" s="402"/>
      <c r="AA166" s="402"/>
      <c r="AB166" s="402"/>
      <c r="AC166" s="402"/>
      <c r="AD166" s="402"/>
      <c r="AE166" s="296"/>
      <c r="AF166" s="296"/>
      <c r="AG166" s="411"/>
      <c r="AH166" s="411"/>
      <c r="AI166" s="412"/>
      <c r="AJ166" s="412"/>
      <c r="AK166" s="412"/>
      <c r="AL166" s="412"/>
      <c r="AM166" s="412"/>
      <c r="AN166" s="412"/>
      <c r="AO166" s="412"/>
      <c r="AP166" s="412"/>
      <c r="AQ166" s="412"/>
      <c r="AR166" s="412"/>
      <c r="AS166" s="412"/>
      <c r="AT166" s="412"/>
      <c r="AU166" s="412"/>
      <c r="AV166" s="412"/>
      <c r="AW166" s="412"/>
      <c r="AX166" s="412"/>
      <c r="AY166" s="449"/>
    </row>
    <row r="167" spans="3:51" s="15" customFormat="1" x14ac:dyDescent="0.2">
      <c r="C167" s="411"/>
      <c r="D167" s="411"/>
      <c r="E167" s="411"/>
      <c r="F167" s="411"/>
      <c r="G167" s="411"/>
      <c r="H167" s="411"/>
      <c r="I167" s="411"/>
      <c r="J167" s="411"/>
      <c r="K167" s="411"/>
      <c r="L167" s="411"/>
      <c r="M167" s="411"/>
      <c r="N167" s="411"/>
      <c r="O167" s="411"/>
      <c r="P167" s="411"/>
      <c r="Q167" s="411"/>
      <c r="R167" s="411"/>
      <c r="S167" s="411"/>
      <c r="T167" s="298"/>
      <c r="U167" s="402"/>
      <c r="V167" s="402"/>
      <c r="W167" s="402"/>
      <c r="X167" s="402"/>
      <c r="Y167" s="402"/>
      <c r="Z167" s="402"/>
      <c r="AA167" s="402"/>
      <c r="AB167" s="402"/>
      <c r="AC167" s="402"/>
      <c r="AD167" s="402"/>
      <c r="AE167" s="296"/>
      <c r="AF167" s="296"/>
      <c r="AG167" s="411"/>
      <c r="AH167" s="411"/>
      <c r="AI167" s="412"/>
      <c r="AJ167" s="412"/>
      <c r="AK167" s="412"/>
      <c r="AL167" s="412"/>
      <c r="AM167" s="412"/>
      <c r="AN167" s="412"/>
      <c r="AO167" s="412"/>
      <c r="AP167" s="412"/>
      <c r="AQ167" s="412"/>
      <c r="AR167" s="412"/>
      <c r="AS167" s="412"/>
      <c r="AT167" s="412"/>
      <c r="AU167" s="412"/>
      <c r="AV167" s="412"/>
      <c r="AW167" s="412"/>
      <c r="AX167" s="412"/>
      <c r="AY167" s="449"/>
    </row>
    <row r="168" spans="3:51" s="15" customFormat="1" x14ac:dyDescent="0.2">
      <c r="C168" s="411"/>
      <c r="D168" s="411"/>
      <c r="E168" s="411"/>
      <c r="F168" s="411"/>
      <c r="G168" s="411"/>
      <c r="H168" s="411"/>
      <c r="I168" s="411"/>
      <c r="J168" s="411"/>
      <c r="K168" s="411"/>
      <c r="L168" s="411"/>
      <c r="M168" s="411"/>
      <c r="N168" s="411"/>
      <c r="O168" s="411"/>
      <c r="P168" s="411"/>
      <c r="Q168" s="411"/>
      <c r="R168" s="411"/>
      <c r="S168" s="411"/>
      <c r="T168" s="298"/>
      <c r="U168" s="402"/>
      <c r="V168" s="402"/>
      <c r="W168" s="402"/>
      <c r="X168" s="402"/>
      <c r="Y168" s="402"/>
      <c r="Z168" s="402"/>
      <c r="AA168" s="402"/>
      <c r="AB168" s="402"/>
      <c r="AC168" s="402"/>
      <c r="AD168" s="402"/>
      <c r="AE168" s="296"/>
      <c r="AF168" s="296"/>
      <c r="AG168" s="411"/>
      <c r="AH168" s="411"/>
      <c r="AI168" s="412"/>
      <c r="AJ168" s="412"/>
      <c r="AK168" s="412"/>
      <c r="AL168" s="412"/>
      <c r="AM168" s="412"/>
      <c r="AN168" s="412"/>
      <c r="AO168" s="412"/>
      <c r="AP168" s="412"/>
      <c r="AQ168" s="412"/>
      <c r="AR168" s="412"/>
      <c r="AS168" s="412"/>
      <c r="AT168" s="412"/>
      <c r="AU168" s="412"/>
      <c r="AV168" s="412"/>
      <c r="AW168" s="412"/>
      <c r="AX168" s="412"/>
      <c r="AY168" s="449"/>
    </row>
    <row r="169" spans="3:51" s="15" customFormat="1" x14ac:dyDescent="0.2">
      <c r="C169" s="411"/>
      <c r="D169" s="411"/>
      <c r="E169" s="411"/>
      <c r="F169" s="411"/>
      <c r="G169" s="411"/>
      <c r="H169" s="411"/>
      <c r="I169" s="411"/>
      <c r="J169" s="411"/>
      <c r="K169" s="411"/>
      <c r="L169" s="411"/>
      <c r="M169" s="411"/>
      <c r="N169" s="411"/>
      <c r="O169" s="411"/>
      <c r="P169" s="411"/>
      <c r="Q169" s="411"/>
      <c r="R169" s="411"/>
      <c r="S169" s="411"/>
      <c r="T169" s="298"/>
      <c r="U169" s="402"/>
      <c r="V169" s="402"/>
      <c r="W169" s="402"/>
      <c r="X169" s="402"/>
      <c r="Y169" s="402"/>
      <c r="Z169" s="402"/>
      <c r="AA169" s="402"/>
      <c r="AB169" s="402"/>
      <c r="AC169" s="402"/>
      <c r="AD169" s="402"/>
      <c r="AE169" s="296"/>
      <c r="AF169" s="296"/>
      <c r="AG169" s="411"/>
      <c r="AH169" s="411"/>
      <c r="AI169" s="412"/>
      <c r="AJ169" s="412"/>
      <c r="AK169" s="412"/>
      <c r="AL169" s="412"/>
      <c r="AM169" s="412"/>
      <c r="AN169" s="412"/>
      <c r="AO169" s="412"/>
      <c r="AP169" s="412"/>
      <c r="AQ169" s="412"/>
      <c r="AR169" s="412"/>
      <c r="AS169" s="412"/>
      <c r="AT169" s="412"/>
      <c r="AU169" s="412"/>
      <c r="AV169" s="412"/>
      <c r="AW169" s="412"/>
      <c r="AX169" s="412"/>
      <c r="AY169" s="449"/>
    </row>
    <row r="170" spans="3:51" s="15" customFormat="1" x14ac:dyDescent="0.2">
      <c r="C170" s="411"/>
      <c r="D170" s="411"/>
      <c r="E170" s="411"/>
      <c r="F170" s="411"/>
      <c r="G170" s="411"/>
      <c r="H170" s="411"/>
      <c r="I170" s="411"/>
      <c r="J170" s="411"/>
      <c r="K170" s="411"/>
      <c r="L170" s="411"/>
      <c r="M170" s="411"/>
      <c r="N170" s="411"/>
      <c r="O170" s="411"/>
      <c r="P170" s="411"/>
      <c r="Q170" s="411"/>
      <c r="R170" s="411"/>
      <c r="S170" s="411"/>
      <c r="T170" s="298"/>
      <c r="U170" s="402"/>
      <c r="V170" s="402"/>
      <c r="W170" s="402"/>
      <c r="X170" s="402"/>
      <c r="Y170" s="402"/>
      <c r="Z170" s="402"/>
      <c r="AA170" s="402"/>
      <c r="AB170" s="402"/>
      <c r="AC170" s="402"/>
      <c r="AD170" s="402"/>
      <c r="AE170" s="296"/>
      <c r="AF170" s="296"/>
      <c r="AG170" s="411"/>
      <c r="AH170" s="411"/>
      <c r="AI170" s="412"/>
      <c r="AJ170" s="412"/>
      <c r="AK170" s="412"/>
      <c r="AL170" s="412"/>
      <c r="AM170" s="412"/>
      <c r="AN170" s="412"/>
      <c r="AO170" s="412"/>
      <c r="AP170" s="412"/>
      <c r="AQ170" s="412"/>
      <c r="AR170" s="412"/>
      <c r="AS170" s="412"/>
      <c r="AT170" s="412"/>
      <c r="AU170" s="412"/>
      <c r="AV170" s="412"/>
      <c r="AW170" s="412"/>
      <c r="AX170" s="412"/>
      <c r="AY170" s="449"/>
    </row>
    <row r="171" spans="3:51" s="15" customFormat="1" x14ac:dyDescent="0.2">
      <c r="C171" s="411"/>
      <c r="D171" s="411"/>
      <c r="E171" s="411"/>
      <c r="F171" s="411"/>
      <c r="G171" s="411"/>
      <c r="H171" s="411"/>
      <c r="I171" s="411"/>
      <c r="J171" s="411"/>
      <c r="K171" s="411"/>
      <c r="L171" s="411"/>
      <c r="M171" s="411"/>
      <c r="N171" s="411"/>
      <c r="O171" s="411"/>
      <c r="P171" s="411"/>
      <c r="Q171" s="411"/>
      <c r="R171" s="411"/>
      <c r="S171" s="411"/>
      <c r="T171" s="298"/>
      <c r="U171" s="402"/>
      <c r="V171" s="402"/>
      <c r="W171" s="402"/>
      <c r="X171" s="402"/>
      <c r="Y171" s="402"/>
      <c r="Z171" s="402"/>
      <c r="AA171" s="402"/>
      <c r="AB171" s="402"/>
      <c r="AC171" s="402"/>
      <c r="AD171" s="402"/>
      <c r="AE171" s="296"/>
      <c r="AF171" s="296"/>
      <c r="AG171" s="411"/>
      <c r="AH171" s="411"/>
      <c r="AI171" s="412"/>
      <c r="AJ171" s="412"/>
      <c r="AK171" s="412"/>
      <c r="AL171" s="412"/>
      <c r="AM171" s="412"/>
      <c r="AN171" s="412"/>
      <c r="AO171" s="412"/>
      <c r="AP171" s="412"/>
      <c r="AQ171" s="412"/>
      <c r="AR171" s="412"/>
      <c r="AS171" s="412"/>
      <c r="AT171" s="412"/>
      <c r="AU171" s="412"/>
      <c r="AV171" s="412"/>
      <c r="AW171" s="412"/>
      <c r="AX171" s="412"/>
      <c r="AY171" s="449"/>
    </row>
    <row r="172" spans="3:51" s="15" customFormat="1" x14ac:dyDescent="0.2">
      <c r="C172" s="411"/>
      <c r="D172" s="411"/>
      <c r="E172" s="411"/>
      <c r="F172" s="411"/>
      <c r="G172" s="411"/>
      <c r="H172" s="411"/>
      <c r="I172" s="411"/>
      <c r="J172" s="411"/>
      <c r="K172" s="411"/>
      <c r="L172" s="411"/>
      <c r="M172" s="411"/>
      <c r="N172" s="411"/>
      <c r="O172" s="411"/>
      <c r="P172" s="411"/>
      <c r="Q172" s="411"/>
      <c r="R172" s="411"/>
      <c r="S172" s="411"/>
      <c r="T172" s="298"/>
      <c r="U172" s="402"/>
      <c r="V172" s="402"/>
      <c r="W172" s="402"/>
      <c r="X172" s="402"/>
      <c r="Y172" s="402"/>
      <c r="Z172" s="402"/>
      <c r="AA172" s="402"/>
      <c r="AB172" s="402"/>
      <c r="AC172" s="402"/>
      <c r="AD172" s="402"/>
      <c r="AE172" s="296"/>
      <c r="AF172" s="296"/>
      <c r="AG172" s="411"/>
      <c r="AH172" s="411"/>
      <c r="AI172" s="412"/>
      <c r="AJ172" s="412"/>
      <c r="AK172" s="412"/>
      <c r="AL172" s="412"/>
      <c r="AM172" s="412"/>
      <c r="AN172" s="412"/>
      <c r="AO172" s="412"/>
      <c r="AP172" s="412"/>
      <c r="AQ172" s="412"/>
      <c r="AR172" s="412"/>
      <c r="AS172" s="412"/>
      <c r="AT172" s="412"/>
      <c r="AU172" s="412"/>
      <c r="AV172" s="412"/>
      <c r="AW172" s="412"/>
      <c r="AX172" s="412"/>
      <c r="AY172" s="449"/>
    </row>
    <row r="173" spans="3:51" s="15" customFormat="1" x14ac:dyDescent="0.2">
      <c r="C173" s="412"/>
      <c r="D173" s="412"/>
      <c r="E173" s="412"/>
      <c r="F173" s="412"/>
      <c r="G173" s="412"/>
      <c r="H173" s="412"/>
      <c r="I173" s="412"/>
      <c r="J173" s="412"/>
      <c r="K173" s="412"/>
      <c r="L173" s="412"/>
      <c r="M173" s="412"/>
      <c r="N173" s="412"/>
      <c r="O173" s="412"/>
      <c r="P173" s="412"/>
      <c r="Q173" s="412"/>
      <c r="R173" s="412"/>
      <c r="S173" s="412"/>
      <c r="T173" s="445"/>
      <c r="U173" s="445"/>
      <c r="V173" s="445"/>
      <c r="W173" s="445"/>
      <c r="X173" s="445"/>
      <c r="Y173" s="445"/>
      <c r="Z173" s="445"/>
      <c r="AA173" s="445"/>
      <c r="AB173" s="445"/>
      <c r="AC173" s="445"/>
      <c r="AD173" s="445"/>
      <c r="AE173" s="412"/>
      <c r="AF173" s="412"/>
      <c r="AG173" s="412"/>
      <c r="AH173" s="412"/>
      <c r="AI173" s="412"/>
      <c r="AJ173" s="412"/>
      <c r="AK173" s="412"/>
      <c r="AL173" s="412"/>
      <c r="AM173" s="412"/>
      <c r="AN173" s="412"/>
      <c r="AO173" s="412"/>
      <c r="AP173" s="412"/>
      <c r="AQ173" s="412"/>
      <c r="AR173" s="412"/>
      <c r="AS173" s="412"/>
      <c r="AT173" s="412"/>
      <c r="AU173" s="412"/>
      <c r="AV173" s="412"/>
      <c r="AW173" s="412"/>
      <c r="AX173" s="412"/>
      <c r="AY173" s="449"/>
    </row>
    <row r="174" spans="3:51" s="15" customFormat="1" x14ac:dyDescent="0.2">
      <c r="C174" s="412"/>
      <c r="D174" s="412"/>
      <c r="E174" s="412"/>
      <c r="F174" s="412"/>
      <c r="G174" s="412"/>
      <c r="H174" s="412"/>
      <c r="I174" s="412"/>
      <c r="J174" s="412"/>
      <c r="K174" s="412"/>
      <c r="L174" s="412"/>
      <c r="M174" s="412"/>
      <c r="N174" s="412"/>
      <c r="O174" s="412"/>
      <c r="P174" s="412"/>
      <c r="Q174" s="412"/>
      <c r="R174" s="412"/>
      <c r="S174" s="412"/>
      <c r="T174" s="445"/>
      <c r="U174" s="445"/>
      <c r="V174" s="445"/>
      <c r="W174" s="445"/>
      <c r="X174" s="445"/>
      <c r="Y174" s="445"/>
      <c r="Z174" s="445"/>
      <c r="AA174" s="445"/>
      <c r="AB174" s="445"/>
      <c r="AC174" s="445"/>
      <c r="AD174" s="445"/>
      <c r="AE174" s="412"/>
      <c r="AF174" s="412"/>
      <c r="AG174" s="412"/>
      <c r="AH174" s="412"/>
      <c r="AI174" s="412"/>
      <c r="AJ174" s="412"/>
      <c r="AK174" s="412"/>
      <c r="AL174" s="412"/>
      <c r="AM174" s="412"/>
      <c r="AN174" s="412"/>
      <c r="AO174" s="412"/>
      <c r="AP174" s="412"/>
      <c r="AQ174" s="412"/>
      <c r="AR174" s="412"/>
      <c r="AS174" s="412"/>
      <c r="AT174" s="412"/>
      <c r="AU174" s="412"/>
      <c r="AV174" s="412"/>
      <c r="AW174" s="412"/>
      <c r="AX174" s="412"/>
      <c r="AY174" s="449"/>
    </row>
    <row r="175" spans="3:51" s="15" customFormat="1" x14ac:dyDescent="0.2">
      <c r="C175" s="412"/>
      <c r="D175" s="412"/>
      <c r="E175" s="412"/>
      <c r="F175" s="412"/>
      <c r="G175" s="412"/>
      <c r="H175" s="412"/>
      <c r="I175" s="412"/>
      <c r="J175" s="412"/>
      <c r="K175" s="412"/>
      <c r="L175" s="412"/>
      <c r="M175" s="412"/>
      <c r="N175" s="412"/>
      <c r="O175" s="412"/>
      <c r="P175" s="412"/>
      <c r="Q175" s="412"/>
      <c r="R175" s="412"/>
      <c r="S175" s="412"/>
      <c r="T175" s="445"/>
      <c r="U175" s="445"/>
      <c r="V175" s="445"/>
      <c r="W175" s="445"/>
      <c r="X175" s="445"/>
      <c r="Y175" s="445"/>
      <c r="Z175" s="445"/>
      <c r="AA175" s="445"/>
      <c r="AB175" s="445"/>
      <c r="AC175" s="445"/>
      <c r="AD175" s="445"/>
      <c r="AE175" s="412"/>
      <c r="AF175" s="412"/>
      <c r="AG175" s="412"/>
      <c r="AH175" s="412"/>
      <c r="AI175" s="412"/>
      <c r="AJ175" s="412"/>
      <c r="AK175" s="412"/>
      <c r="AL175" s="412"/>
      <c r="AM175" s="412"/>
      <c r="AN175" s="412"/>
      <c r="AO175" s="412"/>
      <c r="AP175" s="412"/>
      <c r="AQ175" s="412"/>
      <c r="AR175" s="412"/>
      <c r="AS175" s="412"/>
      <c r="AT175" s="412"/>
      <c r="AU175" s="412"/>
      <c r="AV175" s="412"/>
      <c r="AW175" s="412"/>
      <c r="AX175" s="412"/>
      <c r="AY175" s="449"/>
    </row>
    <row r="176" spans="3:51" s="15" customFormat="1" x14ac:dyDescent="0.2">
      <c r="C176" s="412"/>
      <c r="D176" s="412"/>
      <c r="E176" s="412"/>
      <c r="F176" s="412"/>
      <c r="G176" s="412"/>
      <c r="H176" s="412"/>
      <c r="I176" s="412"/>
      <c r="J176" s="412"/>
      <c r="K176" s="412"/>
      <c r="L176" s="412"/>
      <c r="M176" s="412"/>
      <c r="N176" s="412"/>
      <c r="O176" s="412"/>
      <c r="P176" s="412"/>
      <c r="Q176" s="412"/>
      <c r="R176" s="412"/>
      <c r="S176" s="412"/>
      <c r="T176" s="445"/>
      <c r="U176" s="445"/>
      <c r="V176" s="445"/>
      <c r="W176" s="445"/>
      <c r="X176" s="445"/>
      <c r="Y176" s="445"/>
      <c r="Z176" s="445"/>
      <c r="AA176" s="445"/>
      <c r="AB176" s="445"/>
      <c r="AC176" s="445"/>
      <c r="AD176" s="445"/>
      <c r="AE176" s="412"/>
      <c r="AF176" s="412"/>
      <c r="AG176" s="412"/>
      <c r="AH176" s="412"/>
      <c r="AI176" s="412"/>
      <c r="AJ176" s="412"/>
      <c r="AK176" s="412"/>
      <c r="AL176" s="412"/>
      <c r="AM176" s="412"/>
      <c r="AN176" s="412"/>
      <c r="AO176" s="412"/>
      <c r="AP176" s="412"/>
      <c r="AQ176" s="412"/>
      <c r="AR176" s="412"/>
      <c r="AS176" s="412"/>
      <c r="AT176" s="412"/>
      <c r="AU176" s="412"/>
      <c r="AV176" s="412"/>
      <c r="AW176" s="412"/>
      <c r="AX176" s="412"/>
      <c r="AY176" s="449"/>
    </row>
    <row r="177" spans="3:51" s="15" customFormat="1" x14ac:dyDescent="0.2">
      <c r="C177" s="412"/>
      <c r="D177" s="412"/>
      <c r="E177" s="412"/>
      <c r="F177" s="412"/>
      <c r="G177" s="412"/>
      <c r="H177" s="412"/>
      <c r="I177" s="412"/>
      <c r="J177" s="412"/>
      <c r="K177" s="412"/>
      <c r="L177" s="412"/>
      <c r="M177" s="412"/>
      <c r="N177" s="412"/>
      <c r="O177" s="412"/>
      <c r="P177" s="412"/>
      <c r="Q177" s="412"/>
      <c r="R177" s="412"/>
      <c r="S177" s="412"/>
      <c r="T177" s="445"/>
      <c r="U177" s="445"/>
      <c r="V177" s="445"/>
      <c r="W177" s="445"/>
      <c r="X177" s="445"/>
      <c r="Y177" s="445"/>
      <c r="Z177" s="445"/>
      <c r="AA177" s="445"/>
      <c r="AB177" s="445"/>
      <c r="AC177" s="445"/>
      <c r="AD177" s="445"/>
      <c r="AE177" s="412"/>
      <c r="AF177" s="412"/>
      <c r="AG177" s="412"/>
      <c r="AH177" s="412"/>
      <c r="AI177" s="412"/>
      <c r="AJ177" s="412"/>
      <c r="AK177" s="412"/>
      <c r="AL177" s="412"/>
      <c r="AM177" s="412"/>
      <c r="AN177" s="412"/>
      <c r="AO177" s="412"/>
      <c r="AP177" s="412"/>
      <c r="AQ177" s="412"/>
      <c r="AR177" s="412"/>
      <c r="AS177" s="412"/>
      <c r="AT177" s="412"/>
      <c r="AU177" s="412"/>
      <c r="AV177" s="412"/>
      <c r="AW177" s="412"/>
      <c r="AX177" s="412"/>
      <c r="AY177" s="449"/>
    </row>
    <row r="178" spans="3:51" s="15" customFormat="1" x14ac:dyDescent="0.2">
      <c r="C178" s="412"/>
      <c r="D178" s="412"/>
      <c r="E178" s="412"/>
      <c r="F178" s="412"/>
      <c r="G178" s="412"/>
      <c r="H178" s="412"/>
      <c r="I178" s="412"/>
      <c r="J178" s="412"/>
      <c r="K178" s="412"/>
      <c r="L178" s="412"/>
      <c r="M178" s="412"/>
      <c r="N178" s="412"/>
      <c r="O178" s="412"/>
      <c r="P178" s="412"/>
      <c r="Q178" s="412"/>
      <c r="R178" s="412"/>
      <c r="S178" s="412"/>
      <c r="T178" s="445"/>
      <c r="U178" s="445"/>
      <c r="V178" s="445"/>
      <c r="W178" s="445"/>
      <c r="X178" s="445"/>
      <c r="Y178" s="445"/>
      <c r="Z178" s="445"/>
      <c r="AA178" s="445"/>
      <c r="AB178" s="445"/>
      <c r="AC178" s="445"/>
      <c r="AD178" s="445"/>
      <c r="AE178" s="412"/>
      <c r="AF178" s="412"/>
      <c r="AG178" s="412"/>
      <c r="AH178" s="412"/>
      <c r="AI178" s="412"/>
      <c r="AJ178" s="412"/>
      <c r="AK178" s="412"/>
      <c r="AL178" s="412"/>
      <c r="AM178" s="412"/>
      <c r="AN178" s="412"/>
      <c r="AO178" s="412"/>
      <c r="AP178" s="412"/>
      <c r="AQ178" s="412"/>
      <c r="AR178" s="412"/>
      <c r="AS178" s="412"/>
      <c r="AT178" s="412"/>
      <c r="AU178" s="412"/>
      <c r="AV178" s="412"/>
      <c r="AW178" s="412"/>
      <c r="AX178" s="412"/>
      <c r="AY178" s="449"/>
    </row>
    <row r="179" spans="3:51" s="15" customFormat="1" x14ac:dyDescent="0.2">
      <c r="C179" s="412"/>
      <c r="D179" s="412"/>
      <c r="E179" s="412"/>
      <c r="F179" s="412"/>
      <c r="G179" s="412"/>
      <c r="H179" s="412"/>
      <c r="I179" s="412"/>
      <c r="J179" s="412"/>
      <c r="K179" s="412"/>
      <c r="L179" s="412"/>
      <c r="M179" s="412"/>
      <c r="N179" s="412"/>
      <c r="O179" s="412"/>
      <c r="P179" s="412"/>
      <c r="Q179" s="412"/>
      <c r="R179" s="412"/>
      <c r="S179" s="412"/>
      <c r="T179" s="445"/>
      <c r="U179" s="445"/>
      <c r="V179" s="445"/>
      <c r="W179" s="445"/>
      <c r="X179" s="445"/>
      <c r="Y179" s="445"/>
      <c r="Z179" s="445"/>
      <c r="AA179" s="445"/>
      <c r="AB179" s="445"/>
      <c r="AC179" s="445"/>
      <c r="AD179" s="445"/>
      <c r="AE179" s="412"/>
      <c r="AF179" s="412"/>
      <c r="AG179" s="412"/>
      <c r="AH179" s="412"/>
      <c r="AI179" s="412"/>
      <c r="AJ179" s="412"/>
      <c r="AK179" s="412"/>
      <c r="AL179" s="412"/>
      <c r="AM179" s="412"/>
      <c r="AN179" s="412"/>
      <c r="AO179" s="412"/>
      <c r="AP179" s="412"/>
      <c r="AQ179" s="412"/>
      <c r="AR179" s="412"/>
      <c r="AS179" s="412"/>
      <c r="AT179" s="412"/>
      <c r="AU179" s="412"/>
      <c r="AV179" s="412"/>
      <c r="AW179" s="412"/>
      <c r="AX179" s="412"/>
      <c r="AY179" s="449"/>
    </row>
    <row r="180" spans="3:51" s="15" customFormat="1" x14ac:dyDescent="0.2">
      <c r="C180" s="412"/>
      <c r="D180" s="412"/>
      <c r="E180" s="412"/>
      <c r="F180" s="412"/>
      <c r="G180" s="412"/>
      <c r="H180" s="412"/>
      <c r="I180" s="412"/>
      <c r="J180" s="412"/>
      <c r="K180" s="412"/>
      <c r="L180" s="412"/>
      <c r="M180" s="412"/>
      <c r="N180" s="412"/>
      <c r="O180" s="412"/>
      <c r="P180" s="412"/>
      <c r="Q180" s="412"/>
      <c r="R180" s="412"/>
      <c r="S180" s="412"/>
      <c r="T180" s="445"/>
      <c r="U180" s="445"/>
      <c r="V180" s="445"/>
      <c r="W180" s="445"/>
      <c r="X180" s="445"/>
      <c r="Y180" s="445"/>
      <c r="Z180" s="445"/>
      <c r="AA180" s="445"/>
      <c r="AB180" s="445"/>
      <c r="AC180" s="445"/>
      <c r="AD180" s="445"/>
      <c r="AE180" s="412"/>
      <c r="AF180" s="412"/>
      <c r="AG180" s="412"/>
      <c r="AH180" s="412"/>
      <c r="AI180" s="412"/>
      <c r="AJ180" s="412"/>
      <c r="AK180" s="412"/>
      <c r="AL180" s="412"/>
      <c r="AM180" s="412"/>
      <c r="AN180" s="412"/>
      <c r="AO180" s="412"/>
      <c r="AP180" s="412"/>
      <c r="AQ180" s="412"/>
      <c r="AR180" s="412"/>
      <c r="AS180" s="412"/>
      <c r="AT180" s="412"/>
      <c r="AU180" s="412"/>
      <c r="AV180" s="412"/>
      <c r="AW180" s="412"/>
      <c r="AX180" s="412"/>
      <c r="AY180" s="449"/>
    </row>
    <row r="181" spans="3:51" s="15" customFormat="1" x14ac:dyDescent="0.2">
      <c r="C181" s="412"/>
      <c r="D181" s="412"/>
      <c r="E181" s="412"/>
      <c r="F181" s="412"/>
      <c r="G181" s="412"/>
      <c r="H181" s="412"/>
      <c r="I181" s="412"/>
      <c r="J181" s="412"/>
      <c r="K181" s="412"/>
      <c r="L181" s="412"/>
      <c r="M181" s="412"/>
      <c r="N181" s="412"/>
      <c r="O181" s="412"/>
      <c r="P181" s="412"/>
      <c r="Q181" s="412"/>
      <c r="R181" s="412"/>
      <c r="S181" s="412"/>
      <c r="T181" s="445"/>
      <c r="U181" s="445"/>
      <c r="V181" s="445"/>
      <c r="W181" s="445"/>
      <c r="X181" s="445"/>
      <c r="Y181" s="445"/>
      <c r="Z181" s="445"/>
      <c r="AA181" s="445"/>
      <c r="AB181" s="445"/>
      <c r="AC181" s="445"/>
      <c r="AD181" s="445"/>
      <c r="AE181" s="412"/>
      <c r="AF181" s="412"/>
      <c r="AG181" s="412"/>
      <c r="AH181" s="412"/>
      <c r="AI181" s="412"/>
      <c r="AJ181" s="412"/>
      <c r="AK181" s="412"/>
      <c r="AL181" s="412"/>
      <c r="AM181" s="412"/>
      <c r="AN181" s="412"/>
      <c r="AO181" s="412"/>
      <c r="AP181" s="412"/>
      <c r="AQ181" s="412"/>
      <c r="AR181" s="412"/>
      <c r="AS181" s="412"/>
      <c r="AT181" s="412"/>
      <c r="AU181" s="412"/>
      <c r="AV181" s="412"/>
      <c r="AW181" s="412"/>
      <c r="AX181" s="412"/>
      <c r="AY181" s="449"/>
    </row>
    <row r="182" spans="3:51" s="15" customFormat="1" x14ac:dyDescent="0.2">
      <c r="C182" s="412"/>
      <c r="D182" s="412"/>
      <c r="E182" s="412"/>
      <c r="F182" s="412"/>
      <c r="G182" s="412"/>
      <c r="H182" s="412"/>
      <c r="I182" s="412"/>
      <c r="J182" s="412"/>
      <c r="K182" s="412"/>
      <c r="L182" s="412"/>
      <c r="M182" s="412"/>
      <c r="N182" s="412"/>
      <c r="O182" s="412"/>
      <c r="P182" s="412"/>
      <c r="Q182" s="412"/>
      <c r="R182" s="412"/>
      <c r="S182" s="412"/>
      <c r="T182" s="445"/>
      <c r="U182" s="445"/>
      <c r="V182" s="445"/>
      <c r="W182" s="445"/>
      <c r="X182" s="445"/>
      <c r="Y182" s="445"/>
      <c r="Z182" s="445"/>
      <c r="AA182" s="445"/>
      <c r="AB182" s="445"/>
      <c r="AC182" s="445"/>
      <c r="AD182" s="445"/>
      <c r="AE182" s="412"/>
      <c r="AF182" s="412"/>
      <c r="AG182" s="412"/>
      <c r="AH182" s="412"/>
      <c r="AI182" s="412"/>
      <c r="AJ182" s="412"/>
      <c r="AK182" s="412"/>
      <c r="AL182" s="412"/>
      <c r="AM182" s="412"/>
      <c r="AN182" s="412"/>
      <c r="AO182" s="412"/>
      <c r="AP182" s="412"/>
      <c r="AQ182" s="412"/>
      <c r="AR182" s="412"/>
      <c r="AS182" s="412"/>
      <c r="AT182" s="412"/>
      <c r="AU182" s="412"/>
      <c r="AV182" s="412"/>
      <c r="AW182" s="412"/>
      <c r="AX182" s="412"/>
      <c r="AY182" s="449"/>
    </row>
    <row r="183" spans="3:51" s="15" customFormat="1" x14ac:dyDescent="0.2">
      <c r="C183" s="412"/>
      <c r="D183" s="412"/>
      <c r="E183" s="412"/>
      <c r="F183" s="412"/>
      <c r="G183" s="412"/>
      <c r="H183" s="412"/>
      <c r="I183" s="412"/>
      <c r="J183" s="412"/>
      <c r="K183" s="412"/>
      <c r="L183" s="412"/>
      <c r="M183" s="412"/>
      <c r="N183" s="412"/>
      <c r="O183" s="412"/>
      <c r="P183" s="412"/>
      <c r="Q183" s="412"/>
      <c r="R183" s="412"/>
      <c r="S183" s="412"/>
      <c r="T183" s="445"/>
      <c r="U183" s="445"/>
      <c r="V183" s="445"/>
      <c r="W183" s="445"/>
      <c r="X183" s="445"/>
      <c r="Y183" s="445"/>
      <c r="Z183" s="445"/>
      <c r="AA183" s="445"/>
      <c r="AB183" s="445"/>
      <c r="AC183" s="445"/>
      <c r="AD183" s="445"/>
      <c r="AE183" s="412"/>
      <c r="AF183" s="412"/>
      <c r="AG183" s="412"/>
      <c r="AH183" s="412"/>
      <c r="AI183" s="412"/>
      <c r="AJ183" s="412"/>
      <c r="AK183" s="412"/>
      <c r="AL183" s="412"/>
      <c r="AM183" s="412"/>
      <c r="AN183" s="412"/>
      <c r="AO183" s="412"/>
      <c r="AP183" s="412"/>
      <c r="AQ183" s="412"/>
      <c r="AR183" s="412"/>
      <c r="AS183" s="412"/>
      <c r="AT183" s="412"/>
      <c r="AU183" s="412"/>
      <c r="AV183" s="412"/>
      <c r="AW183" s="412"/>
      <c r="AX183" s="412"/>
      <c r="AY183" s="449"/>
    </row>
    <row r="184" spans="3:51" s="15" customFormat="1" x14ac:dyDescent="0.2">
      <c r="C184" s="412"/>
      <c r="D184" s="412"/>
      <c r="E184" s="412"/>
      <c r="F184" s="412"/>
      <c r="G184" s="412"/>
      <c r="H184" s="412"/>
      <c r="I184" s="412"/>
      <c r="J184" s="412"/>
      <c r="K184" s="412"/>
      <c r="L184" s="412"/>
      <c r="M184" s="412"/>
      <c r="N184" s="412"/>
      <c r="O184" s="412"/>
      <c r="P184" s="412"/>
      <c r="Q184" s="412"/>
      <c r="R184" s="412"/>
      <c r="S184" s="412"/>
      <c r="T184" s="445"/>
      <c r="U184" s="445"/>
      <c r="V184" s="445"/>
      <c r="W184" s="445"/>
      <c r="X184" s="445"/>
      <c r="Y184" s="445"/>
      <c r="Z184" s="445"/>
      <c r="AA184" s="445"/>
      <c r="AB184" s="445"/>
      <c r="AC184" s="445"/>
      <c r="AD184" s="445"/>
      <c r="AE184" s="412"/>
      <c r="AF184" s="412"/>
      <c r="AG184" s="412"/>
      <c r="AH184" s="412"/>
      <c r="AI184" s="412"/>
      <c r="AJ184" s="412"/>
      <c r="AK184" s="412"/>
      <c r="AL184" s="412"/>
      <c r="AM184" s="412"/>
      <c r="AN184" s="412"/>
      <c r="AO184" s="412"/>
      <c r="AP184" s="412"/>
      <c r="AQ184" s="412"/>
      <c r="AR184" s="412"/>
      <c r="AS184" s="412"/>
      <c r="AT184" s="412"/>
      <c r="AU184" s="412"/>
      <c r="AV184" s="412"/>
      <c r="AW184" s="412"/>
      <c r="AX184" s="412"/>
      <c r="AY184" s="449"/>
    </row>
    <row r="185" spans="3:51" s="15" customFormat="1" x14ac:dyDescent="0.2">
      <c r="C185" s="412"/>
      <c r="D185" s="412"/>
      <c r="E185" s="412"/>
      <c r="F185" s="412"/>
      <c r="G185" s="412"/>
      <c r="H185" s="412"/>
      <c r="I185" s="412"/>
      <c r="J185" s="412"/>
      <c r="K185" s="412"/>
      <c r="L185" s="412"/>
      <c r="M185" s="412"/>
      <c r="N185" s="412"/>
      <c r="O185" s="412"/>
      <c r="P185" s="412"/>
      <c r="Q185" s="412"/>
      <c r="R185" s="412"/>
      <c r="S185" s="412"/>
      <c r="T185" s="445"/>
      <c r="U185" s="445"/>
      <c r="V185" s="445"/>
      <c r="W185" s="445"/>
      <c r="X185" s="445"/>
      <c r="Y185" s="445"/>
      <c r="Z185" s="445"/>
      <c r="AA185" s="445"/>
      <c r="AB185" s="445"/>
      <c r="AC185" s="445"/>
      <c r="AD185" s="445"/>
      <c r="AE185" s="412"/>
      <c r="AF185" s="412"/>
      <c r="AG185" s="412"/>
      <c r="AH185" s="412"/>
      <c r="AI185" s="412"/>
      <c r="AJ185" s="412"/>
      <c r="AK185" s="412"/>
      <c r="AL185" s="412"/>
      <c r="AM185" s="412"/>
      <c r="AN185" s="412"/>
      <c r="AO185" s="412"/>
      <c r="AP185" s="412"/>
      <c r="AQ185" s="412"/>
      <c r="AR185" s="412"/>
      <c r="AS185" s="412"/>
      <c r="AT185" s="412"/>
      <c r="AU185" s="412"/>
      <c r="AV185" s="412"/>
      <c r="AW185" s="412"/>
      <c r="AX185" s="412"/>
      <c r="AY185" s="449"/>
    </row>
    <row r="186" spans="3:51" s="15" customFormat="1" x14ac:dyDescent="0.2">
      <c r="C186" s="412"/>
      <c r="D186" s="412"/>
      <c r="E186" s="412"/>
      <c r="F186" s="412"/>
      <c r="G186" s="412"/>
      <c r="H186" s="412"/>
      <c r="I186" s="412"/>
      <c r="J186" s="412"/>
      <c r="K186" s="412"/>
      <c r="L186" s="412"/>
      <c r="M186" s="412"/>
      <c r="N186" s="412"/>
      <c r="O186" s="412"/>
      <c r="P186" s="412"/>
      <c r="Q186" s="412"/>
      <c r="R186" s="412"/>
      <c r="S186" s="412"/>
      <c r="T186" s="445"/>
      <c r="U186" s="445"/>
      <c r="V186" s="445"/>
      <c r="W186" s="445"/>
      <c r="X186" s="445"/>
      <c r="Y186" s="445"/>
      <c r="Z186" s="445"/>
      <c r="AA186" s="445"/>
      <c r="AB186" s="445"/>
      <c r="AC186" s="445"/>
      <c r="AD186" s="445"/>
      <c r="AE186" s="412"/>
      <c r="AF186" s="412"/>
      <c r="AG186" s="412"/>
      <c r="AH186" s="412"/>
      <c r="AI186" s="412"/>
      <c r="AJ186" s="412"/>
      <c r="AK186" s="412"/>
      <c r="AL186" s="412"/>
      <c r="AM186" s="412"/>
      <c r="AN186" s="412"/>
      <c r="AO186" s="412"/>
      <c r="AP186" s="412"/>
      <c r="AQ186" s="412"/>
      <c r="AR186" s="412"/>
      <c r="AS186" s="412"/>
      <c r="AT186" s="412"/>
      <c r="AU186" s="412"/>
      <c r="AV186" s="412"/>
      <c r="AW186" s="412"/>
      <c r="AX186" s="412"/>
      <c r="AY186" s="449"/>
    </row>
    <row r="187" spans="3:51" s="15" customFormat="1" x14ac:dyDescent="0.2">
      <c r="C187" s="412"/>
      <c r="D187" s="412"/>
      <c r="E187" s="412"/>
      <c r="F187" s="412"/>
      <c r="G187" s="412"/>
      <c r="H187" s="412"/>
      <c r="I187" s="412"/>
      <c r="J187" s="412"/>
      <c r="K187" s="412"/>
      <c r="L187" s="412"/>
      <c r="M187" s="412"/>
      <c r="N187" s="412"/>
      <c r="O187" s="412"/>
      <c r="P187" s="412"/>
      <c r="Q187" s="412"/>
      <c r="R187" s="412"/>
      <c r="S187" s="412"/>
      <c r="T187" s="445"/>
      <c r="U187" s="445"/>
      <c r="V187" s="445"/>
      <c r="W187" s="445"/>
      <c r="X187" s="445"/>
      <c r="Y187" s="445"/>
      <c r="Z187" s="445"/>
      <c r="AA187" s="445"/>
      <c r="AB187" s="445"/>
      <c r="AC187" s="445"/>
      <c r="AD187" s="445"/>
      <c r="AE187" s="412"/>
      <c r="AF187" s="412"/>
      <c r="AG187" s="412"/>
      <c r="AH187" s="412"/>
      <c r="AI187" s="412"/>
      <c r="AJ187" s="412"/>
      <c r="AK187" s="412"/>
      <c r="AL187" s="412"/>
      <c r="AM187" s="412"/>
      <c r="AN187" s="412"/>
      <c r="AO187" s="412"/>
      <c r="AP187" s="412"/>
      <c r="AQ187" s="412"/>
      <c r="AR187" s="412"/>
      <c r="AS187" s="412"/>
      <c r="AT187" s="412"/>
      <c r="AU187" s="412"/>
      <c r="AV187" s="412"/>
      <c r="AW187" s="412"/>
      <c r="AX187" s="412"/>
      <c r="AY187" s="449"/>
    </row>
    <row r="188" spans="3:51" s="15" customFormat="1" x14ac:dyDescent="0.2">
      <c r="C188" s="412"/>
      <c r="D188" s="412"/>
      <c r="E188" s="412"/>
      <c r="F188" s="412"/>
      <c r="G188" s="412"/>
      <c r="H188" s="412"/>
      <c r="I188" s="412"/>
      <c r="J188" s="412"/>
      <c r="K188" s="412"/>
      <c r="L188" s="412"/>
      <c r="M188" s="412"/>
      <c r="N188" s="412"/>
      <c r="O188" s="412"/>
      <c r="P188" s="412"/>
      <c r="Q188" s="412"/>
      <c r="R188" s="412"/>
      <c r="S188" s="412"/>
      <c r="T188" s="445"/>
      <c r="U188" s="445"/>
      <c r="V188" s="445"/>
      <c r="W188" s="445"/>
      <c r="X188" s="445"/>
      <c r="Y188" s="445"/>
      <c r="Z188" s="445"/>
      <c r="AA188" s="445"/>
      <c r="AB188" s="445"/>
      <c r="AC188" s="445"/>
      <c r="AD188" s="445"/>
      <c r="AE188" s="412"/>
      <c r="AF188" s="412"/>
      <c r="AG188" s="412"/>
      <c r="AH188" s="412"/>
      <c r="AI188" s="412"/>
      <c r="AJ188" s="412"/>
      <c r="AK188" s="412"/>
      <c r="AL188" s="412"/>
      <c r="AM188" s="412"/>
      <c r="AN188" s="412"/>
      <c r="AO188" s="412"/>
      <c r="AP188" s="412"/>
      <c r="AQ188" s="412"/>
      <c r="AR188" s="412"/>
      <c r="AS188" s="412"/>
      <c r="AT188" s="412"/>
      <c r="AU188" s="412"/>
      <c r="AV188" s="412"/>
      <c r="AW188" s="412"/>
      <c r="AX188" s="412"/>
      <c r="AY188" s="449"/>
    </row>
    <row r="189" spans="3:51" s="15" customFormat="1" x14ac:dyDescent="0.2">
      <c r="C189" s="412"/>
      <c r="D189" s="412"/>
      <c r="E189" s="412"/>
      <c r="F189" s="412"/>
      <c r="G189" s="412"/>
      <c r="H189" s="412"/>
      <c r="I189" s="412"/>
      <c r="J189" s="412"/>
      <c r="K189" s="412"/>
      <c r="L189" s="412"/>
      <c r="M189" s="412"/>
      <c r="N189" s="412"/>
      <c r="O189" s="412"/>
      <c r="P189" s="412"/>
      <c r="Q189" s="412"/>
      <c r="R189" s="412"/>
      <c r="S189" s="412"/>
      <c r="T189" s="445"/>
      <c r="U189" s="445"/>
      <c r="V189" s="445"/>
      <c r="W189" s="445"/>
      <c r="X189" s="445"/>
      <c r="Y189" s="445"/>
      <c r="Z189" s="445"/>
      <c r="AA189" s="445"/>
      <c r="AB189" s="445"/>
      <c r="AC189" s="445"/>
      <c r="AD189" s="445"/>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49"/>
    </row>
    <row r="190" spans="3:51" s="15" customFormat="1" x14ac:dyDescent="0.2">
      <c r="C190" s="412"/>
      <c r="D190" s="412"/>
      <c r="E190" s="412"/>
      <c r="F190" s="412"/>
      <c r="G190" s="412"/>
      <c r="H190" s="412"/>
      <c r="I190" s="412"/>
      <c r="J190" s="412"/>
      <c r="K190" s="412"/>
      <c r="L190" s="412"/>
      <c r="M190" s="412"/>
      <c r="N190" s="412"/>
      <c r="O190" s="412"/>
      <c r="P190" s="412"/>
      <c r="Q190" s="412"/>
      <c r="R190" s="412"/>
      <c r="S190" s="412"/>
      <c r="T190" s="445"/>
      <c r="U190" s="445"/>
      <c r="V190" s="445"/>
      <c r="W190" s="445"/>
      <c r="X190" s="445"/>
      <c r="Y190" s="445"/>
      <c r="Z190" s="445"/>
      <c r="AA190" s="445"/>
      <c r="AB190" s="445"/>
      <c r="AC190" s="445"/>
      <c r="AD190" s="445"/>
      <c r="AE190" s="412"/>
      <c r="AF190" s="412"/>
      <c r="AG190" s="412"/>
      <c r="AH190" s="412"/>
      <c r="AI190" s="412"/>
      <c r="AJ190" s="412"/>
      <c r="AK190" s="412"/>
      <c r="AL190" s="412"/>
      <c r="AM190" s="412"/>
      <c r="AN190" s="412"/>
      <c r="AO190" s="412"/>
      <c r="AP190" s="412"/>
      <c r="AQ190" s="412"/>
      <c r="AR190" s="412"/>
      <c r="AS190" s="412"/>
      <c r="AT190" s="412"/>
      <c r="AU190" s="412"/>
      <c r="AV190" s="412"/>
      <c r="AW190" s="412"/>
      <c r="AX190" s="412"/>
      <c r="AY190" s="449"/>
    </row>
    <row r="191" spans="3:51" s="15" customFormat="1" x14ac:dyDescent="0.2">
      <c r="C191" s="412"/>
      <c r="D191" s="412"/>
      <c r="E191" s="412"/>
      <c r="F191" s="412"/>
      <c r="G191" s="412"/>
      <c r="H191" s="412"/>
      <c r="I191" s="412"/>
      <c r="J191" s="412"/>
      <c r="K191" s="412"/>
      <c r="L191" s="412"/>
      <c r="M191" s="412"/>
      <c r="N191" s="412"/>
      <c r="O191" s="412"/>
      <c r="P191" s="412"/>
      <c r="Q191" s="412"/>
      <c r="R191" s="412"/>
      <c r="S191" s="412"/>
      <c r="T191" s="445"/>
      <c r="U191" s="445"/>
      <c r="V191" s="445"/>
      <c r="W191" s="445"/>
      <c r="X191" s="445"/>
      <c r="Y191" s="445"/>
      <c r="Z191" s="445"/>
      <c r="AA191" s="445"/>
      <c r="AB191" s="445"/>
      <c r="AC191" s="445"/>
      <c r="AD191" s="445"/>
      <c r="AE191" s="412"/>
      <c r="AF191" s="412"/>
      <c r="AG191" s="412"/>
      <c r="AH191" s="412"/>
      <c r="AI191" s="412"/>
      <c r="AJ191" s="412"/>
      <c r="AK191" s="412"/>
      <c r="AL191" s="412"/>
      <c r="AM191" s="412"/>
      <c r="AN191" s="412"/>
      <c r="AO191" s="412"/>
      <c r="AP191" s="412"/>
      <c r="AQ191" s="412"/>
      <c r="AR191" s="412"/>
      <c r="AS191" s="412"/>
      <c r="AT191" s="412"/>
      <c r="AU191" s="412"/>
      <c r="AV191" s="412"/>
      <c r="AW191" s="412"/>
      <c r="AX191" s="412"/>
      <c r="AY191" s="449"/>
    </row>
    <row r="192" spans="3:51" s="15" customFormat="1" x14ac:dyDescent="0.2">
      <c r="C192" s="412"/>
      <c r="D192" s="412"/>
      <c r="E192" s="412"/>
      <c r="F192" s="412"/>
      <c r="G192" s="412"/>
      <c r="H192" s="412"/>
      <c r="I192" s="412"/>
      <c r="J192" s="412"/>
      <c r="K192" s="412"/>
      <c r="L192" s="412"/>
      <c r="M192" s="412"/>
      <c r="N192" s="412"/>
      <c r="O192" s="412"/>
      <c r="P192" s="412"/>
      <c r="Q192" s="412"/>
      <c r="R192" s="412"/>
      <c r="S192" s="412"/>
      <c r="T192" s="445"/>
      <c r="U192" s="445"/>
      <c r="V192" s="445"/>
      <c r="W192" s="445"/>
      <c r="X192" s="445"/>
      <c r="Y192" s="445"/>
      <c r="Z192" s="445"/>
      <c r="AA192" s="445"/>
      <c r="AB192" s="445"/>
      <c r="AC192" s="445"/>
      <c r="AD192" s="445"/>
      <c r="AE192" s="412"/>
      <c r="AF192" s="412"/>
      <c r="AG192" s="412"/>
      <c r="AH192" s="412"/>
      <c r="AI192" s="412"/>
      <c r="AJ192" s="412"/>
      <c r="AK192" s="412"/>
      <c r="AL192" s="412"/>
      <c r="AM192" s="412"/>
      <c r="AN192" s="412"/>
      <c r="AO192" s="412"/>
      <c r="AP192" s="412"/>
      <c r="AQ192" s="412"/>
      <c r="AR192" s="412"/>
      <c r="AS192" s="412"/>
      <c r="AT192" s="412"/>
      <c r="AU192" s="412"/>
      <c r="AV192" s="412"/>
      <c r="AW192" s="412"/>
      <c r="AX192" s="412"/>
      <c r="AY192" s="449"/>
    </row>
    <row r="193" spans="3:51" s="15" customFormat="1" x14ac:dyDescent="0.2">
      <c r="C193" s="412"/>
      <c r="D193" s="412"/>
      <c r="E193" s="412"/>
      <c r="F193" s="412"/>
      <c r="G193" s="412"/>
      <c r="H193" s="412"/>
      <c r="I193" s="412"/>
      <c r="J193" s="412"/>
      <c r="K193" s="412"/>
      <c r="L193" s="412"/>
      <c r="M193" s="412"/>
      <c r="N193" s="412"/>
      <c r="O193" s="412"/>
      <c r="P193" s="412"/>
      <c r="Q193" s="412"/>
      <c r="R193" s="412"/>
      <c r="S193" s="412"/>
      <c r="T193" s="445"/>
      <c r="U193" s="445"/>
      <c r="V193" s="445"/>
      <c r="W193" s="445"/>
      <c r="X193" s="445"/>
      <c r="Y193" s="445"/>
      <c r="Z193" s="445"/>
      <c r="AA193" s="445"/>
      <c r="AB193" s="445"/>
      <c r="AC193" s="445"/>
      <c r="AD193" s="445"/>
      <c r="AE193" s="412"/>
      <c r="AF193" s="412"/>
      <c r="AG193" s="412"/>
      <c r="AH193" s="412"/>
      <c r="AI193" s="412"/>
      <c r="AJ193" s="412"/>
      <c r="AK193" s="412"/>
      <c r="AL193" s="412"/>
      <c r="AM193" s="412"/>
      <c r="AN193" s="412"/>
      <c r="AO193" s="412"/>
      <c r="AP193" s="412"/>
      <c r="AQ193" s="412"/>
      <c r="AR193" s="412"/>
      <c r="AS193" s="412"/>
      <c r="AT193" s="412"/>
      <c r="AU193" s="412"/>
      <c r="AV193" s="412"/>
      <c r="AW193" s="412"/>
      <c r="AX193" s="412"/>
      <c r="AY193" s="449"/>
    </row>
    <row r="194" spans="3:51" s="15" customFormat="1" x14ac:dyDescent="0.2">
      <c r="C194" s="412"/>
      <c r="D194" s="412"/>
      <c r="E194" s="412"/>
      <c r="F194" s="412"/>
      <c r="G194" s="412"/>
      <c r="H194" s="412"/>
      <c r="I194" s="412"/>
      <c r="J194" s="412"/>
      <c r="K194" s="412"/>
      <c r="L194" s="412"/>
      <c r="M194" s="412"/>
      <c r="N194" s="412"/>
      <c r="O194" s="412"/>
      <c r="P194" s="412"/>
      <c r="Q194" s="412"/>
      <c r="R194" s="412"/>
      <c r="S194" s="412"/>
      <c r="T194" s="445"/>
      <c r="U194" s="445"/>
      <c r="V194" s="445"/>
      <c r="W194" s="445"/>
      <c r="X194" s="445"/>
      <c r="Y194" s="445"/>
      <c r="Z194" s="445"/>
      <c r="AA194" s="445"/>
      <c r="AB194" s="445"/>
      <c r="AC194" s="445"/>
      <c r="AD194" s="445"/>
      <c r="AE194" s="412"/>
      <c r="AF194" s="412"/>
      <c r="AG194" s="412"/>
      <c r="AH194" s="412"/>
      <c r="AI194" s="412"/>
      <c r="AJ194" s="412"/>
      <c r="AK194" s="412"/>
      <c r="AL194" s="412"/>
      <c r="AM194" s="412"/>
      <c r="AN194" s="412"/>
      <c r="AO194" s="412"/>
      <c r="AP194" s="412"/>
      <c r="AQ194" s="412"/>
      <c r="AR194" s="412"/>
      <c r="AS194" s="412"/>
      <c r="AT194" s="412"/>
      <c r="AU194" s="412"/>
      <c r="AV194" s="412"/>
      <c r="AW194" s="412"/>
      <c r="AX194" s="412"/>
      <c r="AY194" s="449"/>
    </row>
    <row r="195" spans="3:51" s="15" customFormat="1" x14ac:dyDescent="0.2">
      <c r="C195" s="412"/>
      <c r="D195" s="412"/>
      <c r="E195" s="412"/>
      <c r="F195" s="412"/>
      <c r="G195" s="412"/>
      <c r="H195" s="412"/>
      <c r="I195" s="412"/>
      <c r="J195" s="412"/>
      <c r="K195" s="412"/>
      <c r="L195" s="412"/>
      <c r="M195" s="412"/>
      <c r="N195" s="412"/>
      <c r="O195" s="412"/>
      <c r="P195" s="412"/>
      <c r="Q195" s="412"/>
      <c r="R195" s="412"/>
      <c r="S195" s="412"/>
      <c r="T195" s="445"/>
      <c r="U195" s="445"/>
      <c r="V195" s="445"/>
      <c r="W195" s="445"/>
      <c r="X195" s="445"/>
      <c r="Y195" s="445"/>
      <c r="Z195" s="445"/>
      <c r="AA195" s="445"/>
      <c r="AB195" s="445"/>
      <c r="AC195" s="445"/>
      <c r="AD195" s="445"/>
      <c r="AE195" s="412"/>
      <c r="AF195" s="412"/>
      <c r="AG195" s="412"/>
      <c r="AH195" s="412"/>
      <c r="AI195" s="412"/>
      <c r="AJ195" s="412"/>
      <c r="AK195" s="412"/>
      <c r="AL195" s="412"/>
      <c r="AM195" s="412"/>
      <c r="AN195" s="412"/>
      <c r="AO195" s="412"/>
      <c r="AP195" s="412"/>
      <c r="AQ195" s="412"/>
      <c r="AR195" s="412"/>
      <c r="AS195" s="412"/>
      <c r="AT195" s="412"/>
      <c r="AU195" s="412"/>
      <c r="AV195" s="412"/>
      <c r="AW195" s="412"/>
      <c r="AX195" s="412"/>
      <c r="AY195" s="449"/>
    </row>
    <row r="196" spans="3:51" s="15" customFormat="1" x14ac:dyDescent="0.2">
      <c r="C196" s="412"/>
      <c r="D196" s="412"/>
      <c r="E196" s="412"/>
      <c r="F196" s="412"/>
      <c r="G196" s="412"/>
      <c r="H196" s="412"/>
      <c r="I196" s="412"/>
      <c r="J196" s="412"/>
      <c r="K196" s="412"/>
      <c r="L196" s="412"/>
      <c r="M196" s="412"/>
      <c r="N196" s="412"/>
      <c r="O196" s="412"/>
      <c r="P196" s="412"/>
      <c r="Q196" s="412"/>
      <c r="R196" s="412"/>
      <c r="S196" s="412"/>
      <c r="T196" s="445"/>
      <c r="U196" s="445"/>
      <c r="V196" s="445"/>
      <c r="W196" s="445"/>
      <c r="X196" s="445"/>
      <c r="Y196" s="445"/>
      <c r="Z196" s="445"/>
      <c r="AA196" s="445"/>
      <c r="AB196" s="445"/>
      <c r="AC196" s="445"/>
      <c r="AD196" s="445"/>
      <c r="AE196" s="412"/>
      <c r="AF196" s="412"/>
      <c r="AG196" s="412"/>
      <c r="AH196" s="412"/>
      <c r="AI196" s="412"/>
      <c r="AJ196" s="412"/>
      <c r="AK196" s="412"/>
      <c r="AL196" s="412"/>
      <c r="AM196" s="412"/>
      <c r="AN196" s="412"/>
      <c r="AO196" s="412"/>
      <c r="AP196" s="412"/>
      <c r="AQ196" s="412"/>
      <c r="AR196" s="412"/>
      <c r="AS196" s="412"/>
      <c r="AT196" s="412"/>
      <c r="AU196" s="412"/>
      <c r="AV196" s="412"/>
      <c r="AW196" s="412"/>
      <c r="AX196" s="412"/>
      <c r="AY196" s="449"/>
    </row>
    <row r="197" spans="3:51" s="15" customFormat="1" x14ac:dyDescent="0.2">
      <c r="C197" s="412"/>
      <c r="D197" s="412"/>
      <c r="E197" s="412"/>
      <c r="F197" s="412"/>
      <c r="G197" s="412"/>
      <c r="H197" s="412"/>
      <c r="I197" s="412"/>
      <c r="J197" s="412"/>
      <c r="K197" s="412"/>
      <c r="L197" s="412"/>
      <c r="M197" s="412"/>
      <c r="N197" s="412"/>
      <c r="O197" s="412"/>
      <c r="P197" s="412"/>
      <c r="Q197" s="412"/>
      <c r="R197" s="412"/>
      <c r="S197" s="412"/>
      <c r="T197" s="445"/>
      <c r="U197" s="445"/>
      <c r="V197" s="445"/>
      <c r="W197" s="445"/>
      <c r="X197" s="445"/>
      <c r="Y197" s="445"/>
      <c r="Z197" s="445"/>
      <c r="AA197" s="445"/>
      <c r="AB197" s="445"/>
      <c r="AC197" s="445"/>
      <c r="AD197" s="445"/>
      <c r="AE197" s="412"/>
      <c r="AF197" s="412"/>
      <c r="AG197" s="412"/>
      <c r="AH197" s="412"/>
      <c r="AI197" s="412"/>
      <c r="AJ197" s="412"/>
      <c r="AK197" s="412"/>
      <c r="AL197" s="412"/>
      <c r="AM197" s="412"/>
      <c r="AN197" s="412"/>
      <c r="AO197" s="412"/>
      <c r="AP197" s="412"/>
      <c r="AQ197" s="412"/>
      <c r="AR197" s="412"/>
      <c r="AS197" s="412"/>
      <c r="AT197" s="412"/>
      <c r="AU197" s="412"/>
      <c r="AV197" s="412"/>
      <c r="AW197" s="412"/>
      <c r="AX197" s="412"/>
      <c r="AY197" s="449"/>
    </row>
    <row r="198" spans="3:51" s="15" customFormat="1" x14ac:dyDescent="0.2">
      <c r="C198" s="412"/>
      <c r="D198" s="412"/>
      <c r="E198" s="412"/>
      <c r="F198" s="412"/>
      <c r="G198" s="412"/>
      <c r="H198" s="412"/>
      <c r="I198" s="412"/>
      <c r="J198" s="412"/>
      <c r="K198" s="412"/>
      <c r="L198" s="412"/>
      <c r="M198" s="412"/>
      <c r="N198" s="412"/>
      <c r="O198" s="412"/>
      <c r="P198" s="412"/>
      <c r="Q198" s="412"/>
      <c r="R198" s="412"/>
      <c r="S198" s="412"/>
      <c r="T198" s="445"/>
      <c r="U198" s="445"/>
      <c r="V198" s="445"/>
      <c r="W198" s="445"/>
      <c r="X198" s="445"/>
      <c r="Y198" s="445"/>
      <c r="Z198" s="445"/>
      <c r="AA198" s="445"/>
      <c r="AB198" s="445"/>
      <c r="AC198" s="445"/>
      <c r="AD198" s="445"/>
      <c r="AE198" s="412"/>
      <c r="AF198" s="412"/>
      <c r="AG198" s="412"/>
      <c r="AH198" s="412"/>
      <c r="AI198" s="412"/>
      <c r="AJ198" s="412"/>
      <c r="AK198" s="412"/>
      <c r="AL198" s="412"/>
      <c r="AM198" s="412"/>
      <c r="AN198" s="412"/>
      <c r="AO198" s="412"/>
      <c r="AP198" s="412"/>
      <c r="AQ198" s="412"/>
      <c r="AR198" s="412"/>
      <c r="AS198" s="412"/>
      <c r="AT198" s="412"/>
      <c r="AU198" s="412"/>
      <c r="AV198" s="412"/>
      <c r="AW198" s="412"/>
      <c r="AX198" s="412"/>
      <c r="AY198" s="449"/>
    </row>
    <row r="199" spans="3:51" s="15" customFormat="1" x14ac:dyDescent="0.2">
      <c r="C199" s="412"/>
      <c r="D199" s="412"/>
      <c r="E199" s="412"/>
      <c r="F199" s="412"/>
      <c r="G199" s="412"/>
      <c r="H199" s="412"/>
      <c r="I199" s="412"/>
      <c r="J199" s="412"/>
      <c r="K199" s="412"/>
      <c r="L199" s="412"/>
      <c r="M199" s="412"/>
      <c r="N199" s="412"/>
      <c r="O199" s="412"/>
      <c r="P199" s="412"/>
      <c r="Q199" s="412"/>
      <c r="R199" s="412"/>
      <c r="S199" s="412"/>
      <c r="T199" s="445"/>
      <c r="U199" s="445"/>
      <c r="V199" s="445"/>
      <c r="W199" s="445"/>
      <c r="X199" s="445"/>
      <c r="Y199" s="445"/>
      <c r="Z199" s="445"/>
      <c r="AA199" s="445"/>
      <c r="AB199" s="445"/>
      <c r="AC199" s="445"/>
      <c r="AD199" s="445"/>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49"/>
    </row>
    <row r="200" spans="3:51" s="15" customFormat="1" x14ac:dyDescent="0.2">
      <c r="C200" s="412"/>
      <c r="D200" s="412"/>
      <c r="E200" s="412"/>
      <c r="F200" s="412"/>
      <c r="G200" s="412"/>
      <c r="H200" s="412"/>
      <c r="I200" s="412"/>
      <c r="J200" s="412"/>
      <c r="K200" s="412"/>
      <c r="L200" s="412"/>
      <c r="M200" s="412"/>
      <c r="N200" s="412"/>
      <c r="O200" s="412"/>
      <c r="P200" s="412"/>
      <c r="Q200" s="412"/>
      <c r="R200" s="412"/>
      <c r="S200" s="412"/>
      <c r="T200" s="445"/>
      <c r="U200" s="445"/>
      <c r="V200" s="445"/>
      <c r="W200" s="445"/>
      <c r="X200" s="445"/>
      <c r="Y200" s="445"/>
      <c r="Z200" s="445"/>
      <c r="AA200" s="445"/>
      <c r="AB200" s="445"/>
      <c r="AC200" s="445"/>
      <c r="AD200" s="445"/>
      <c r="AE200" s="412"/>
      <c r="AF200" s="412"/>
      <c r="AG200" s="412"/>
      <c r="AH200" s="412"/>
      <c r="AI200" s="412"/>
      <c r="AJ200" s="412"/>
      <c r="AK200" s="412"/>
      <c r="AL200" s="412"/>
      <c r="AM200" s="412"/>
      <c r="AN200" s="412"/>
      <c r="AO200" s="412"/>
      <c r="AP200" s="412"/>
      <c r="AQ200" s="412"/>
      <c r="AR200" s="412"/>
      <c r="AS200" s="412"/>
      <c r="AT200" s="412"/>
      <c r="AU200" s="412"/>
      <c r="AV200" s="412"/>
      <c r="AW200" s="412"/>
      <c r="AX200" s="412"/>
      <c r="AY200" s="449"/>
    </row>
    <row r="201" spans="3:51" s="15" customFormat="1" x14ac:dyDescent="0.2">
      <c r="C201" s="412"/>
      <c r="D201" s="412"/>
      <c r="E201" s="412"/>
      <c r="F201" s="412"/>
      <c r="G201" s="412"/>
      <c r="H201" s="412"/>
      <c r="I201" s="412"/>
      <c r="J201" s="412"/>
      <c r="K201" s="412"/>
      <c r="L201" s="412"/>
      <c r="M201" s="412"/>
      <c r="N201" s="412"/>
      <c r="O201" s="412"/>
      <c r="P201" s="412"/>
      <c r="Q201" s="412"/>
      <c r="R201" s="412"/>
      <c r="S201" s="412"/>
      <c r="T201" s="445"/>
      <c r="U201" s="445"/>
      <c r="V201" s="445"/>
      <c r="W201" s="445"/>
      <c r="X201" s="445"/>
      <c r="Y201" s="445"/>
      <c r="Z201" s="445"/>
      <c r="AA201" s="445"/>
      <c r="AB201" s="445"/>
      <c r="AC201" s="445"/>
      <c r="AD201" s="445"/>
      <c r="AE201" s="412"/>
      <c r="AF201" s="412"/>
      <c r="AG201" s="412"/>
      <c r="AH201" s="412"/>
      <c r="AI201" s="412"/>
      <c r="AJ201" s="412"/>
      <c r="AK201" s="412"/>
      <c r="AL201" s="412"/>
      <c r="AM201" s="412"/>
      <c r="AN201" s="412"/>
      <c r="AO201" s="412"/>
      <c r="AP201" s="412"/>
      <c r="AQ201" s="412"/>
      <c r="AR201" s="412"/>
      <c r="AS201" s="412"/>
      <c r="AT201" s="412"/>
      <c r="AU201" s="412"/>
      <c r="AV201" s="412"/>
      <c r="AW201" s="412"/>
      <c r="AX201" s="412"/>
      <c r="AY201" s="449"/>
    </row>
    <row r="202" spans="3:51" s="15" customFormat="1" x14ac:dyDescent="0.2">
      <c r="C202" s="412"/>
      <c r="D202" s="412"/>
      <c r="E202" s="412"/>
      <c r="F202" s="412"/>
      <c r="G202" s="412"/>
      <c r="H202" s="412"/>
      <c r="I202" s="412"/>
      <c r="J202" s="412"/>
      <c r="K202" s="412"/>
      <c r="L202" s="412"/>
      <c r="M202" s="412"/>
      <c r="N202" s="412"/>
      <c r="O202" s="412"/>
      <c r="P202" s="412"/>
      <c r="Q202" s="412"/>
      <c r="R202" s="412"/>
      <c r="S202" s="412"/>
      <c r="T202" s="445"/>
      <c r="U202" s="445"/>
      <c r="V202" s="445"/>
      <c r="W202" s="445"/>
      <c r="X202" s="445"/>
      <c r="Y202" s="445"/>
      <c r="Z202" s="445"/>
      <c r="AA202" s="445"/>
      <c r="AB202" s="445"/>
      <c r="AC202" s="445"/>
      <c r="AD202" s="445"/>
      <c r="AE202" s="412"/>
      <c r="AF202" s="412"/>
      <c r="AG202" s="412"/>
      <c r="AH202" s="412"/>
      <c r="AI202" s="412"/>
      <c r="AJ202" s="412"/>
      <c r="AK202" s="412"/>
      <c r="AL202" s="412"/>
      <c r="AM202" s="412"/>
      <c r="AN202" s="412"/>
      <c r="AO202" s="412"/>
      <c r="AP202" s="412"/>
      <c r="AQ202" s="412"/>
      <c r="AR202" s="412"/>
      <c r="AS202" s="412"/>
      <c r="AT202" s="412"/>
      <c r="AU202" s="412"/>
      <c r="AV202" s="412"/>
      <c r="AW202" s="412"/>
      <c r="AX202" s="412"/>
      <c r="AY202" s="449"/>
    </row>
    <row r="203" spans="3:51" s="15" customFormat="1" x14ac:dyDescent="0.2">
      <c r="C203" s="412"/>
      <c r="D203" s="412"/>
      <c r="E203" s="412"/>
      <c r="F203" s="412"/>
      <c r="G203" s="412"/>
      <c r="H203" s="412"/>
      <c r="I203" s="412"/>
      <c r="J203" s="412"/>
      <c r="K203" s="412"/>
      <c r="L203" s="412"/>
      <c r="M203" s="412"/>
      <c r="N203" s="412"/>
      <c r="O203" s="412"/>
      <c r="P203" s="412"/>
      <c r="Q203" s="412"/>
      <c r="R203" s="412"/>
      <c r="S203" s="412"/>
      <c r="T203" s="445"/>
      <c r="U203" s="445"/>
      <c r="V203" s="445"/>
      <c r="W203" s="445"/>
      <c r="X203" s="445"/>
      <c r="Y203" s="445"/>
      <c r="Z203" s="445"/>
      <c r="AA203" s="445"/>
      <c r="AB203" s="445"/>
      <c r="AC203" s="445"/>
      <c r="AD203" s="445"/>
      <c r="AE203" s="412"/>
      <c r="AF203" s="412"/>
      <c r="AG203" s="412"/>
      <c r="AH203" s="412"/>
      <c r="AI203" s="412"/>
      <c r="AJ203" s="412"/>
      <c r="AK203" s="412"/>
      <c r="AL203" s="412"/>
      <c r="AM203" s="412"/>
      <c r="AN203" s="412"/>
      <c r="AO203" s="412"/>
      <c r="AP203" s="412"/>
      <c r="AQ203" s="412"/>
      <c r="AR203" s="412"/>
      <c r="AS203" s="412"/>
      <c r="AT203" s="412"/>
      <c r="AU203" s="412"/>
      <c r="AV203" s="412"/>
      <c r="AW203" s="412"/>
      <c r="AX203" s="412"/>
      <c r="AY203" s="449"/>
    </row>
    <row r="204" spans="3:51" s="15" customFormat="1" x14ac:dyDescent="0.2">
      <c r="C204" s="412"/>
      <c r="D204" s="412"/>
      <c r="E204" s="412"/>
      <c r="F204" s="412"/>
      <c r="G204" s="412"/>
      <c r="H204" s="412"/>
      <c r="I204" s="412"/>
      <c r="J204" s="412"/>
      <c r="K204" s="412"/>
      <c r="L204" s="412"/>
      <c r="M204" s="412"/>
      <c r="N204" s="412"/>
      <c r="O204" s="412"/>
      <c r="P204" s="412"/>
      <c r="Q204" s="412"/>
      <c r="R204" s="412"/>
      <c r="S204" s="412"/>
      <c r="T204" s="445"/>
      <c r="U204" s="445"/>
      <c r="V204" s="445"/>
      <c r="W204" s="445"/>
      <c r="X204" s="445"/>
      <c r="Y204" s="445"/>
      <c r="Z204" s="445"/>
      <c r="AA204" s="445"/>
      <c r="AB204" s="445"/>
      <c r="AC204" s="445"/>
      <c r="AD204" s="445"/>
      <c r="AE204" s="412"/>
      <c r="AF204" s="412"/>
      <c r="AG204" s="412"/>
      <c r="AH204" s="412"/>
      <c r="AI204" s="412"/>
      <c r="AJ204" s="412"/>
      <c r="AK204" s="412"/>
      <c r="AL204" s="412"/>
      <c r="AM204" s="412"/>
      <c r="AN204" s="412"/>
      <c r="AO204" s="412"/>
      <c r="AP204" s="412"/>
      <c r="AQ204" s="412"/>
      <c r="AR204" s="412"/>
      <c r="AS204" s="412"/>
      <c r="AT204" s="412"/>
      <c r="AU204" s="412"/>
      <c r="AV204" s="412"/>
      <c r="AW204" s="412"/>
      <c r="AX204" s="412"/>
      <c r="AY204" s="449"/>
    </row>
    <row r="205" spans="3:51" s="15" customFormat="1" x14ac:dyDescent="0.2">
      <c r="C205" s="412"/>
      <c r="D205" s="412"/>
      <c r="E205" s="412"/>
      <c r="F205" s="412"/>
      <c r="G205" s="412"/>
      <c r="H205" s="412"/>
      <c r="I205" s="412"/>
      <c r="J205" s="412"/>
      <c r="K205" s="412"/>
      <c r="L205" s="412"/>
      <c r="M205" s="412"/>
      <c r="N205" s="412"/>
      <c r="O205" s="412"/>
      <c r="P205" s="412"/>
      <c r="Q205" s="412"/>
      <c r="R205" s="412"/>
      <c r="S205" s="412"/>
      <c r="T205" s="445"/>
      <c r="U205" s="445"/>
      <c r="V205" s="445"/>
      <c r="W205" s="445"/>
      <c r="X205" s="445"/>
      <c r="Y205" s="445"/>
      <c r="Z205" s="445"/>
      <c r="AA205" s="445"/>
      <c r="AB205" s="445"/>
      <c r="AC205" s="445"/>
      <c r="AD205" s="445"/>
      <c r="AE205" s="412"/>
      <c r="AF205" s="412"/>
      <c r="AG205" s="412"/>
      <c r="AH205" s="412"/>
      <c r="AI205" s="412"/>
      <c r="AJ205" s="412"/>
      <c r="AK205" s="412"/>
      <c r="AL205" s="412"/>
      <c r="AM205" s="412"/>
      <c r="AN205" s="412"/>
      <c r="AO205" s="412"/>
      <c r="AP205" s="412"/>
      <c r="AQ205" s="412"/>
      <c r="AR205" s="412"/>
      <c r="AS205" s="412"/>
      <c r="AT205" s="412"/>
      <c r="AU205" s="412"/>
      <c r="AV205" s="412"/>
      <c r="AW205" s="412"/>
      <c r="AX205" s="412"/>
      <c r="AY205" s="449"/>
    </row>
    <row r="206" spans="3:51" s="15" customFormat="1" x14ac:dyDescent="0.2">
      <c r="C206" s="412"/>
      <c r="D206" s="412"/>
      <c r="E206" s="412"/>
      <c r="F206" s="412"/>
      <c r="G206" s="412"/>
      <c r="H206" s="412"/>
      <c r="I206" s="412"/>
      <c r="J206" s="412"/>
      <c r="K206" s="412"/>
      <c r="L206" s="412"/>
      <c r="M206" s="412"/>
      <c r="N206" s="412"/>
      <c r="O206" s="412"/>
      <c r="P206" s="412"/>
      <c r="Q206" s="412"/>
      <c r="R206" s="412"/>
      <c r="S206" s="412"/>
      <c r="T206" s="445"/>
      <c r="U206" s="445"/>
      <c r="V206" s="445"/>
      <c r="W206" s="445"/>
      <c r="X206" s="445"/>
      <c r="Y206" s="445"/>
      <c r="Z206" s="445"/>
      <c r="AA206" s="445"/>
      <c r="AB206" s="445"/>
      <c r="AC206" s="445"/>
      <c r="AD206" s="445"/>
      <c r="AE206" s="412"/>
      <c r="AF206" s="412"/>
      <c r="AG206" s="412"/>
      <c r="AH206" s="412"/>
      <c r="AI206" s="412"/>
      <c r="AJ206" s="412"/>
      <c r="AK206" s="412"/>
      <c r="AL206" s="412"/>
      <c r="AM206" s="412"/>
      <c r="AN206" s="412"/>
      <c r="AO206" s="412"/>
      <c r="AP206" s="412"/>
      <c r="AQ206" s="412"/>
      <c r="AR206" s="412"/>
      <c r="AS206" s="412"/>
      <c r="AT206" s="412"/>
      <c r="AU206" s="412"/>
      <c r="AV206" s="412"/>
      <c r="AW206" s="412"/>
      <c r="AX206" s="412"/>
      <c r="AY206" s="449"/>
    </row>
    <row r="207" spans="3:51" s="15" customFormat="1" x14ac:dyDescent="0.2">
      <c r="C207" s="412"/>
      <c r="D207" s="412"/>
      <c r="E207" s="412"/>
      <c r="F207" s="412"/>
      <c r="G207" s="412"/>
      <c r="H207" s="412"/>
      <c r="I207" s="412"/>
      <c r="J207" s="412"/>
      <c r="K207" s="412"/>
      <c r="L207" s="412"/>
      <c r="M207" s="412"/>
      <c r="N207" s="412"/>
      <c r="O207" s="412"/>
      <c r="P207" s="412"/>
      <c r="Q207" s="412"/>
      <c r="R207" s="412"/>
      <c r="S207" s="412"/>
      <c r="T207" s="445"/>
      <c r="U207" s="445"/>
      <c r="V207" s="445"/>
      <c r="W207" s="445"/>
      <c r="X207" s="445"/>
      <c r="Y207" s="445"/>
      <c r="Z207" s="445"/>
      <c r="AA207" s="445"/>
      <c r="AB207" s="445"/>
      <c r="AC207" s="445"/>
      <c r="AD207" s="445"/>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49"/>
    </row>
    <row r="208" spans="3:51" s="15" customFormat="1" x14ac:dyDescent="0.2">
      <c r="C208" s="412"/>
      <c r="D208" s="412"/>
      <c r="E208" s="412"/>
      <c r="F208" s="412"/>
      <c r="G208" s="412"/>
      <c r="H208" s="412"/>
      <c r="I208" s="412"/>
      <c r="J208" s="412"/>
      <c r="K208" s="412"/>
      <c r="L208" s="412"/>
      <c r="M208" s="412"/>
      <c r="N208" s="412"/>
      <c r="O208" s="412"/>
      <c r="P208" s="412"/>
      <c r="Q208" s="412"/>
      <c r="R208" s="412"/>
      <c r="S208" s="412"/>
      <c r="T208" s="445"/>
      <c r="U208" s="445"/>
      <c r="V208" s="445"/>
      <c r="W208" s="445"/>
      <c r="X208" s="445"/>
      <c r="Y208" s="445"/>
      <c r="Z208" s="445"/>
      <c r="AA208" s="445"/>
      <c r="AB208" s="445"/>
      <c r="AC208" s="445"/>
      <c r="AD208" s="445"/>
      <c r="AE208" s="412"/>
      <c r="AF208" s="412"/>
      <c r="AG208" s="412"/>
      <c r="AH208" s="412"/>
      <c r="AI208" s="412"/>
      <c r="AJ208" s="412"/>
      <c r="AK208" s="412"/>
      <c r="AL208" s="412"/>
      <c r="AM208" s="412"/>
      <c r="AN208" s="412"/>
      <c r="AO208" s="412"/>
      <c r="AP208" s="412"/>
      <c r="AQ208" s="412"/>
      <c r="AR208" s="412"/>
      <c r="AS208" s="412"/>
      <c r="AT208" s="412"/>
      <c r="AU208" s="412"/>
      <c r="AV208" s="412"/>
      <c r="AW208" s="412"/>
      <c r="AX208" s="412"/>
      <c r="AY208" s="449"/>
    </row>
    <row r="209" spans="3:51" s="15" customFormat="1" x14ac:dyDescent="0.2">
      <c r="C209" s="412"/>
      <c r="D209" s="412"/>
      <c r="E209" s="412"/>
      <c r="F209" s="412"/>
      <c r="G209" s="412"/>
      <c r="H209" s="412"/>
      <c r="I209" s="412"/>
      <c r="J209" s="412"/>
      <c r="K209" s="412"/>
      <c r="L209" s="412"/>
      <c r="M209" s="412"/>
      <c r="N209" s="412"/>
      <c r="O209" s="412"/>
      <c r="P209" s="412"/>
      <c r="Q209" s="412"/>
      <c r="R209" s="412"/>
      <c r="S209" s="412"/>
      <c r="T209" s="445"/>
      <c r="U209" s="445"/>
      <c r="V209" s="445"/>
      <c r="W209" s="445"/>
      <c r="X209" s="445"/>
      <c r="Y209" s="445"/>
      <c r="Z209" s="445"/>
      <c r="AA209" s="445"/>
      <c r="AB209" s="445"/>
      <c r="AC209" s="445"/>
      <c r="AD209" s="445"/>
      <c r="AE209" s="412"/>
      <c r="AF209" s="412"/>
      <c r="AG209" s="412"/>
      <c r="AH209" s="412"/>
      <c r="AI209" s="412"/>
      <c r="AJ209" s="412"/>
      <c r="AK209" s="412"/>
      <c r="AL209" s="412"/>
      <c r="AM209" s="412"/>
      <c r="AN209" s="412"/>
      <c r="AO209" s="412"/>
      <c r="AP209" s="412"/>
      <c r="AQ209" s="412"/>
      <c r="AR209" s="412"/>
      <c r="AS209" s="412"/>
      <c r="AT209" s="412"/>
      <c r="AU209" s="412"/>
      <c r="AV209" s="412"/>
      <c r="AW209" s="412"/>
      <c r="AX209" s="412"/>
      <c r="AY209" s="449"/>
    </row>
    <row r="210" spans="3:51" s="15" customFormat="1" x14ac:dyDescent="0.2">
      <c r="C210" s="412"/>
      <c r="D210" s="412"/>
      <c r="E210" s="412"/>
      <c r="F210" s="412"/>
      <c r="G210" s="412"/>
      <c r="H210" s="412"/>
      <c r="I210" s="412"/>
      <c r="J210" s="412"/>
      <c r="K210" s="412"/>
      <c r="L210" s="412"/>
      <c r="M210" s="412"/>
      <c r="N210" s="412"/>
      <c r="O210" s="412"/>
      <c r="P210" s="412"/>
      <c r="Q210" s="412"/>
      <c r="R210" s="412"/>
      <c r="S210" s="412"/>
      <c r="T210" s="445"/>
      <c r="U210" s="445"/>
      <c r="V210" s="445"/>
      <c r="W210" s="445"/>
      <c r="X210" s="445"/>
      <c r="Y210" s="445"/>
      <c r="Z210" s="445"/>
      <c r="AA210" s="445"/>
      <c r="AB210" s="445"/>
      <c r="AC210" s="445"/>
      <c r="AD210" s="445"/>
      <c r="AE210" s="412"/>
      <c r="AF210" s="412"/>
      <c r="AG210" s="412"/>
      <c r="AH210" s="412"/>
      <c r="AI210" s="412"/>
      <c r="AJ210" s="412"/>
      <c r="AK210" s="412"/>
      <c r="AL210" s="412"/>
      <c r="AM210" s="412"/>
      <c r="AN210" s="412"/>
      <c r="AO210" s="412"/>
      <c r="AP210" s="412"/>
      <c r="AQ210" s="412"/>
      <c r="AR210" s="412"/>
      <c r="AS210" s="412"/>
      <c r="AT210" s="412"/>
      <c r="AU210" s="412"/>
      <c r="AV210" s="412"/>
      <c r="AW210" s="412"/>
      <c r="AX210" s="412"/>
      <c r="AY210" s="449"/>
    </row>
    <row r="211" spans="3:51" s="15" customFormat="1" x14ac:dyDescent="0.2">
      <c r="C211" s="412"/>
      <c r="D211" s="412"/>
      <c r="E211" s="412"/>
      <c r="F211" s="412"/>
      <c r="G211" s="412"/>
      <c r="H211" s="412"/>
      <c r="I211" s="412"/>
      <c r="J211" s="412"/>
      <c r="K211" s="412"/>
      <c r="L211" s="412"/>
      <c r="M211" s="412"/>
      <c r="N211" s="412"/>
      <c r="O211" s="412"/>
      <c r="P211" s="412"/>
      <c r="Q211" s="412"/>
      <c r="R211" s="412"/>
      <c r="S211" s="412"/>
      <c r="T211" s="445"/>
      <c r="U211" s="445"/>
      <c r="V211" s="445"/>
      <c r="W211" s="445"/>
      <c r="X211" s="445"/>
      <c r="Y211" s="445"/>
      <c r="Z211" s="445"/>
      <c r="AA211" s="445"/>
      <c r="AB211" s="445"/>
      <c r="AC211" s="445"/>
      <c r="AD211" s="445"/>
      <c r="AE211" s="412"/>
      <c r="AF211" s="412"/>
      <c r="AG211" s="412"/>
      <c r="AH211" s="412"/>
      <c r="AI211" s="412"/>
      <c r="AJ211" s="412"/>
      <c r="AK211" s="412"/>
      <c r="AL211" s="412"/>
      <c r="AM211" s="412"/>
      <c r="AN211" s="412"/>
      <c r="AO211" s="412"/>
      <c r="AP211" s="412"/>
      <c r="AQ211" s="412"/>
      <c r="AR211" s="412"/>
      <c r="AS211" s="412"/>
      <c r="AT211" s="412"/>
      <c r="AU211" s="412"/>
      <c r="AV211" s="412"/>
      <c r="AW211" s="412"/>
      <c r="AX211" s="412"/>
      <c r="AY211" s="449"/>
    </row>
    <row r="212" spans="3:51" s="15" customFormat="1" x14ac:dyDescent="0.2">
      <c r="C212" s="412"/>
      <c r="D212" s="412"/>
      <c r="E212" s="412"/>
      <c r="F212" s="412"/>
      <c r="G212" s="412"/>
      <c r="H212" s="412"/>
      <c r="I212" s="412"/>
      <c r="J212" s="412"/>
      <c r="K212" s="412"/>
      <c r="L212" s="412"/>
      <c r="M212" s="412"/>
      <c r="N212" s="412"/>
      <c r="O212" s="412"/>
      <c r="P212" s="412"/>
      <c r="Q212" s="412"/>
      <c r="R212" s="412"/>
      <c r="S212" s="412"/>
      <c r="T212" s="445"/>
      <c r="U212" s="445"/>
      <c r="V212" s="445"/>
      <c r="W212" s="445"/>
      <c r="X212" s="445"/>
      <c r="Y212" s="445"/>
      <c r="Z212" s="445"/>
      <c r="AA212" s="445"/>
      <c r="AB212" s="445"/>
      <c r="AC212" s="445"/>
      <c r="AD212" s="445"/>
      <c r="AE212" s="412"/>
      <c r="AF212" s="412"/>
      <c r="AG212" s="412"/>
      <c r="AH212" s="412"/>
      <c r="AI212" s="412"/>
      <c r="AJ212" s="412"/>
      <c r="AK212" s="412"/>
      <c r="AL212" s="412"/>
      <c r="AM212" s="412"/>
      <c r="AN212" s="412"/>
      <c r="AO212" s="412"/>
      <c r="AP212" s="412"/>
      <c r="AQ212" s="412"/>
      <c r="AR212" s="412"/>
      <c r="AS212" s="412"/>
      <c r="AT212" s="412"/>
      <c r="AU212" s="412"/>
      <c r="AV212" s="412"/>
      <c r="AW212" s="412"/>
      <c r="AX212" s="412"/>
      <c r="AY212" s="449"/>
    </row>
    <row r="213" spans="3:51" s="15" customFormat="1" x14ac:dyDescent="0.2">
      <c r="C213" s="412"/>
      <c r="D213" s="412"/>
      <c r="E213" s="412"/>
      <c r="F213" s="412"/>
      <c r="G213" s="412"/>
      <c r="H213" s="412"/>
      <c r="I213" s="412"/>
      <c r="J213" s="412"/>
      <c r="K213" s="412"/>
      <c r="L213" s="412"/>
      <c r="M213" s="412"/>
      <c r="N213" s="412"/>
      <c r="O213" s="412"/>
      <c r="P213" s="412"/>
      <c r="Q213" s="412"/>
      <c r="R213" s="412"/>
      <c r="S213" s="412"/>
      <c r="T213" s="445"/>
      <c r="U213" s="445"/>
      <c r="V213" s="445"/>
      <c r="W213" s="445"/>
      <c r="X213" s="445"/>
      <c r="Y213" s="445"/>
      <c r="Z213" s="445"/>
      <c r="AA213" s="445"/>
      <c r="AB213" s="445"/>
      <c r="AC213" s="445"/>
      <c r="AD213" s="445"/>
      <c r="AE213" s="412"/>
      <c r="AF213" s="412"/>
      <c r="AG213" s="412"/>
      <c r="AH213" s="412"/>
      <c r="AI213" s="412"/>
      <c r="AJ213" s="412"/>
      <c r="AK213" s="412"/>
      <c r="AL213" s="412"/>
      <c r="AM213" s="412"/>
      <c r="AN213" s="412"/>
      <c r="AO213" s="412"/>
      <c r="AP213" s="412"/>
      <c r="AQ213" s="412"/>
      <c r="AR213" s="412"/>
      <c r="AS213" s="412"/>
      <c r="AT213" s="412"/>
      <c r="AU213" s="412"/>
      <c r="AV213" s="412"/>
      <c r="AW213" s="412"/>
      <c r="AX213" s="412"/>
      <c r="AY213" s="449"/>
    </row>
    <row r="214" spans="3:51" s="15" customFormat="1" x14ac:dyDescent="0.2">
      <c r="C214" s="412"/>
      <c r="D214" s="412"/>
      <c r="E214" s="412"/>
      <c r="F214" s="412"/>
      <c r="G214" s="412"/>
      <c r="H214" s="412"/>
      <c r="I214" s="412"/>
      <c r="J214" s="412"/>
      <c r="K214" s="412"/>
      <c r="L214" s="412"/>
      <c r="M214" s="412"/>
      <c r="N214" s="412"/>
      <c r="O214" s="412"/>
      <c r="P214" s="412"/>
      <c r="Q214" s="412"/>
      <c r="R214" s="412"/>
      <c r="S214" s="412"/>
      <c r="T214" s="445"/>
      <c r="U214" s="445"/>
      <c r="V214" s="445"/>
      <c r="W214" s="445"/>
      <c r="X214" s="445"/>
      <c r="Y214" s="445"/>
      <c r="Z214" s="445"/>
      <c r="AA214" s="445"/>
      <c r="AB214" s="445"/>
      <c r="AC214" s="445"/>
      <c r="AD214" s="445"/>
      <c r="AE214" s="412"/>
      <c r="AF214" s="412"/>
      <c r="AG214" s="412"/>
      <c r="AH214" s="412"/>
      <c r="AI214" s="412"/>
      <c r="AJ214" s="412"/>
      <c r="AK214" s="412"/>
      <c r="AL214" s="412"/>
      <c r="AM214" s="412"/>
      <c r="AN214" s="412"/>
      <c r="AO214" s="412"/>
      <c r="AP214" s="412"/>
      <c r="AQ214" s="412"/>
      <c r="AR214" s="412"/>
      <c r="AS214" s="412"/>
      <c r="AT214" s="412"/>
      <c r="AU214" s="412"/>
      <c r="AV214" s="412"/>
      <c r="AW214" s="412"/>
      <c r="AX214" s="412"/>
      <c r="AY214" s="449"/>
    </row>
    <row r="215" spans="3:51" s="15" customFormat="1" x14ac:dyDescent="0.2">
      <c r="C215" s="412"/>
      <c r="D215" s="412"/>
      <c r="E215" s="412"/>
      <c r="F215" s="412"/>
      <c r="G215" s="412"/>
      <c r="H215" s="412"/>
      <c r="I215" s="412"/>
      <c r="J215" s="412"/>
      <c r="K215" s="412"/>
      <c r="L215" s="412"/>
      <c r="M215" s="412"/>
      <c r="N215" s="412"/>
      <c r="O215" s="412"/>
      <c r="P215" s="412"/>
      <c r="Q215" s="412"/>
      <c r="R215" s="412"/>
      <c r="S215" s="412"/>
      <c r="T215" s="445"/>
      <c r="U215" s="445"/>
      <c r="V215" s="445"/>
      <c r="W215" s="445"/>
      <c r="X215" s="445"/>
      <c r="Y215" s="445"/>
      <c r="Z215" s="445"/>
      <c r="AA215" s="445"/>
      <c r="AB215" s="445"/>
      <c r="AC215" s="445"/>
      <c r="AD215" s="445"/>
      <c r="AE215" s="412"/>
      <c r="AF215" s="412"/>
      <c r="AG215" s="412"/>
      <c r="AH215" s="412"/>
      <c r="AI215" s="412"/>
      <c r="AJ215" s="412"/>
      <c r="AK215" s="412"/>
      <c r="AL215" s="412"/>
      <c r="AM215" s="412"/>
      <c r="AN215" s="412"/>
      <c r="AO215" s="412"/>
      <c r="AP215" s="412"/>
      <c r="AQ215" s="412"/>
      <c r="AR215" s="412"/>
      <c r="AS215" s="412"/>
      <c r="AT215" s="412"/>
      <c r="AU215" s="412"/>
      <c r="AV215" s="412"/>
      <c r="AW215" s="412"/>
      <c r="AX215" s="412"/>
      <c r="AY215" s="449"/>
    </row>
    <row r="216" spans="3:51" s="15" customFormat="1" x14ac:dyDescent="0.2">
      <c r="C216" s="412"/>
      <c r="D216" s="412"/>
      <c r="E216" s="412"/>
      <c r="F216" s="412"/>
      <c r="G216" s="412"/>
      <c r="H216" s="412"/>
      <c r="I216" s="412"/>
      <c r="J216" s="412"/>
      <c r="K216" s="412"/>
      <c r="L216" s="412"/>
      <c r="M216" s="412"/>
      <c r="N216" s="412"/>
      <c r="O216" s="412"/>
      <c r="P216" s="412"/>
      <c r="Q216" s="412"/>
      <c r="R216" s="412"/>
      <c r="S216" s="412"/>
      <c r="T216" s="445"/>
      <c r="U216" s="445"/>
      <c r="V216" s="445"/>
      <c r="W216" s="445"/>
      <c r="X216" s="445"/>
      <c r="Y216" s="445"/>
      <c r="Z216" s="445"/>
      <c r="AA216" s="445"/>
      <c r="AB216" s="445"/>
      <c r="AC216" s="445"/>
      <c r="AD216" s="445"/>
      <c r="AE216" s="412"/>
      <c r="AF216" s="412"/>
      <c r="AG216" s="412"/>
      <c r="AH216" s="412"/>
      <c r="AI216" s="412"/>
      <c r="AJ216" s="412"/>
      <c r="AK216" s="412"/>
      <c r="AL216" s="412"/>
      <c r="AM216" s="412"/>
      <c r="AN216" s="412"/>
      <c r="AO216" s="412"/>
      <c r="AP216" s="412"/>
      <c r="AQ216" s="412"/>
      <c r="AR216" s="412"/>
      <c r="AS216" s="412"/>
      <c r="AT216" s="412"/>
      <c r="AU216" s="412"/>
      <c r="AV216" s="412"/>
      <c r="AW216" s="412"/>
      <c r="AX216" s="412"/>
      <c r="AY216" s="449"/>
    </row>
    <row r="217" spans="3:51" s="15" customFormat="1" x14ac:dyDescent="0.2">
      <c r="C217" s="412"/>
      <c r="D217" s="412"/>
      <c r="E217" s="412"/>
      <c r="F217" s="412"/>
      <c r="G217" s="412"/>
      <c r="H217" s="412"/>
      <c r="I217" s="412"/>
      <c r="J217" s="412"/>
      <c r="K217" s="412"/>
      <c r="L217" s="412"/>
      <c r="M217" s="412"/>
      <c r="N217" s="412"/>
      <c r="O217" s="412"/>
      <c r="P217" s="412"/>
      <c r="Q217" s="412"/>
      <c r="R217" s="412"/>
      <c r="S217" s="412"/>
      <c r="T217" s="445"/>
      <c r="U217" s="445"/>
      <c r="V217" s="445"/>
      <c r="W217" s="445"/>
      <c r="X217" s="445"/>
      <c r="Y217" s="445"/>
      <c r="Z217" s="445"/>
      <c r="AA217" s="445"/>
      <c r="AB217" s="445"/>
      <c r="AC217" s="445"/>
      <c r="AD217" s="445"/>
      <c r="AE217" s="412"/>
      <c r="AF217" s="412"/>
      <c r="AG217" s="412"/>
      <c r="AH217" s="412"/>
      <c r="AI217" s="412"/>
      <c r="AJ217" s="412"/>
      <c r="AK217" s="412"/>
      <c r="AL217" s="412"/>
      <c r="AM217" s="412"/>
      <c r="AN217" s="412"/>
      <c r="AO217" s="412"/>
      <c r="AP217" s="412"/>
      <c r="AQ217" s="412"/>
      <c r="AR217" s="412"/>
      <c r="AS217" s="412"/>
      <c r="AT217" s="412"/>
      <c r="AU217" s="412"/>
      <c r="AV217" s="412"/>
      <c r="AW217" s="412"/>
      <c r="AX217" s="412"/>
      <c r="AY217" s="449"/>
    </row>
    <row r="218" spans="3:51" s="15" customFormat="1" x14ac:dyDescent="0.2">
      <c r="C218" s="412"/>
      <c r="D218" s="412"/>
      <c r="E218" s="412"/>
      <c r="F218" s="412"/>
      <c r="G218" s="412"/>
      <c r="H218" s="412"/>
      <c r="I218" s="412"/>
      <c r="J218" s="412"/>
      <c r="K218" s="412"/>
      <c r="L218" s="412"/>
      <c r="M218" s="412"/>
      <c r="N218" s="412"/>
      <c r="O218" s="412"/>
      <c r="P218" s="412"/>
      <c r="Q218" s="412"/>
      <c r="R218" s="412"/>
      <c r="S218" s="412"/>
      <c r="T218" s="445"/>
      <c r="U218" s="445"/>
      <c r="V218" s="445"/>
      <c r="W218" s="445"/>
      <c r="X218" s="445"/>
      <c r="Y218" s="445"/>
      <c r="Z218" s="445"/>
      <c r="AA218" s="445"/>
      <c r="AB218" s="445"/>
      <c r="AC218" s="445"/>
      <c r="AD218" s="445"/>
      <c r="AE218" s="412"/>
      <c r="AF218" s="412"/>
      <c r="AG218" s="412"/>
      <c r="AH218" s="412"/>
      <c r="AI218" s="412"/>
      <c r="AJ218" s="412"/>
      <c r="AK218" s="412"/>
      <c r="AL218" s="412"/>
      <c r="AM218" s="412"/>
      <c r="AN218" s="412"/>
      <c r="AO218" s="412"/>
      <c r="AP218" s="412"/>
      <c r="AQ218" s="412"/>
      <c r="AR218" s="412"/>
      <c r="AS218" s="412"/>
      <c r="AT218" s="412"/>
      <c r="AU218" s="412"/>
      <c r="AV218" s="412"/>
      <c r="AW218" s="412"/>
      <c r="AX218" s="412"/>
      <c r="AY218" s="449"/>
    </row>
    <row r="219" spans="3:51" s="15" customFormat="1" x14ac:dyDescent="0.2">
      <c r="C219" s="412"/>
      <c r="D219" s="412"/>
      <c r="E219" s="412"/>
      <c r="F219" s="412"/>
      <c r="G219" s="412"/>
      <c r="H219" s="412"/>
      <c r="I219" s="412"/>
      <c r="J219" s="412"/>
      <c r="K219" s="412"/>
      <c r="L219" s="412"/>
      <c r="M219" s="412"/>
      <c r="N219" s="412"/>
      <c r="O219" s="412"/>
      <c r="P219" s="412"/>
      <c r="Q219" s="412"/>
      <c r="R219" s="412"/>
      <c r="S219" s="412"/>
      <c r="T219" s="445"/>
      <c r="U219" s="445"/>
      <c r="V219" s="445"/>
      <c r="W219" s="445"/>
      <c r="X219" s="445"/>
      <c r="Y219" s="445"/>
      <c r="Z219" s="445"/>
      <c r="AA219" s="445"/>
      <c r="AB219" s="445"/>
      <c r="AC219" s="445"/>
      <c r="AD219" s="445"/>
      <c r="AE219" s="412"/>
      <c r="AF219" s="412"/>
      <c r="AG219" s="412"/>
      <c r="AH219" s="412"/>
      <c r="AI219" s="412"/>
      <c r="AJ219" s="412"/>
      <c r="AK219" s="412"/>
      <c r="AL219" s="412"/>
      <c r="AM219" s="412"/>
      <c r="AN219" s="412"/>
      <c r="AO219" s="412"/>
      <c r="AP219" s="412"/>
      <c r="AQ219" s="412"/>
      <c r="AR219" s="412"/>
      <c r="AS219" s="412"/>
      <c r="AT219" s="412"/>
      <c r="AU219" s="412"/>
      <c r="AV219" s="412"/>
      <c r="AW219" s="412"/>
      <c r="AX219" s="412"/>
      <c r="AY219" s="449"/>
    </row>
    <row r="220" spans="3:51" s="15" customFormat="1" x14ac:dyDescent="0.2">
      <c r="C220" s="412"/>
      <c r="D220" s="412"/>
      <c r="E220" s="412"/>
      <c r="F220" s="412"/>
      <c r="G220" s="412"/>
      <c r="H220" s="412"/>
      <c r="I220" s="412"/>
      <c r="J220" s="412"/>
      <c r="K220" s="412"/>
      <c r="L220" s="412"/>
      <c r="M220" s="412"/>
      <c r="N220" s="412"/>
      <c r="O220" s="412"/>
      <c r="P220" s="412"/>
      <c r="Q220" s="412"/>
      <c r="R220" s="412"/>
      <c r="S220" s="412"/>
      <c r="T220" s="445"/>
      <c r="U220" s="445"/>
      <c r="V220" s="445"/>
      <c r="W220" s="445"/>
      <c r="X220" s="445"/>
      <c r="Y220" s="445"/>
      <c r="Z220" s="445"/>
      <c r="AA220" s="445"/>
      <c r="AB220" s="445"/>
      <c r="AC220" s="445"/>
      <c r="AD220" s="445"/>
      <c r="AE220" s="412"/>
      <c r="AF220" s="412"/>
      <c r="AG220" s="412"/>
      <c r="AH220" s="412"/>
      <c r="AI220" s="412"/>
      <c r="AJ220" s="412"/>
      <c r="AK220" s="412"/>
      <c r="AL220" s="412"/>
      <c r="AM220" s="412"/>
      <c r="AN220" s="412"/>
      <c r="AO220" s="412"/>
      <c r="AP220" s="412"/>
      <c r="AQ220" s="412"/>
      <c r="AR220" s="412"/>
      <c r="AS220" s="412"/>
      <c r="AT220" s="412"/>
      <c r="AU220" s="412"/>
      <c r="AV220" s="412"/>
      <c r="AW220" s="412"/>
      <c r="AX220" s="412"/>
      <c r="AY220" s="449"/>
    </row>
    <row r="221" spans="3:51" s="15" customFormat="1" x14ac:dyDescent="0.2">
      <c r="C221" s="412"/>
      <c r="D221" s="412"/>
      <c r="E221" s="412"/>
      <c r="F221" s="412"/>
      <c r="G221" s="412"/>
      <c r="H221" s="412"/>
      <c r="I221" s="412"/>
      <c r="J221" s="412"/>
      <c r="K221" s="412"/>
      <c r="L221" s="412"/>
      <c r="M221" s="412"/>
      <c r="N221" s="412"/>
      <c r="O221" s="412"/>
      <c r="P221" s="412"/>
      <c r="Q221" s="412"/>
      <c r="R221" s="412"/>
      <c r="S221" s="412"/>
      <c r="T221" s="445"/>
      <c r="U221" s="445"/>
      <c r="V221" s="445"/>
      <c r="W221" s="445"/>
      <c r="X221" s="445"/>
      <c r="Y221" s="445"/>
      <c r="Z221" s="445"/>
      <c r="AA221" s="445"/>
      <c r="AB221" s="445"/>
      <c r="AC221" s="445"/>
      <c r="AD221" s="445"/>
      <c r="AE221" s="412"/>
      <c r="AF221" s="412"/>
      <c r="AG221" s="412"/>
      <c r="AH221" s="412"/>
      <c r="AI221" s="412"/>
      <c r="AJ221" s="412"/>
      <c r="AK221" s="412"/>
      <c r="AL221" s="412"/>
      <c r="AM221" s="412"/>
      <c r="AN221" s="412"/>
      <c r="AO221" s="412"/>
      <c r="AP221" s="412"/>
      <c r="AQ221" s="412"/>
      <c r="AR221" s="412"/>
      <c r="AS221" s="412"/>
      <c r="AT221" s="412"/>
      <c r="AU221" s="412"/>
      <c r="AV221" s="412"/>
      <c r="AW221" s="412"/>
      <c r="AX221" s="412"/>
      <c r="AY221" s="449"/>
    </row>
    <row r="222" spans="3:51" s="15" customFormat="1" x14ac:dyDescent="0.2">
      <c r="C222" s="412"/>
      <c r="D222" s="412"/>
      <c r="E222" s="412"/>
      <c r="F222" s="412"/>
      <c r="G222" s="412"/>
      <c r="H222" s="412"/>
      <c r="I222" s="412"/>
      <c r="J222" s="412"/>
      <c r="K222" s="412"/>
      <c r="L222" s="412"/>
      <c r="M222" s="412"/>
      <c r="N222" s="412"/>
      <c r="O222" s="412"/>
      <c r="P222" s="412"/>
      <c r="Q222" s="412"/>
      <c r="R222" s="412"/>
      <c r="S222" s="412"/>
      <c r="T222" s="445"/>
      <c r="U222" s="445"/>
      <c r="V222" s="445"/>
      <c r="W222" s="445"/>
      <c r="X222" s="445"/>
      <c r="Y222" s="445"/>
      <c r="Z222" s="445"/>
      <c r="AA222" s="445"/>
      <c r="AB222" s="445"/>
      <c r="AC222" s="445"/>
      <c r="AD222" s="445"/>
      <c r="AE222" s="412"/>
      <c r="AF222" s="412"/>
      <c r="AG222" s="412"/>
      <c r="AH222" s="412"/>
      <c r="AI222" s="412"/>
      <c r="AJ222" s="412"/>
      <c r="AK222" s="412"/>
      <c r="AL222" s="412"/>
      <c r="AM222" s="412"/>
      <c r="AN222" s="412"/>
      <c r="AO222" s="412"/>
      <c r="AP222" s="412"/>
      <c r="AQ222" s="412"/>
      <c r="AR222" s="412"/>
      <c r="AS222" s="412"/>
      <c r="AT222" s="412"/>
      <c r="AU222" s="412"/>
      <c r="AV222" s="412"/>
      <c r="AW222" s="412"/>
      <c r="AX222" s="412"/>
      <c r="AY222" s="449"/>
    </row>
    <row r="223" spans="3:51" s="15" customFormat="1" x14ac:dyDescent="0.2">
      <c r="C223" s="412"/>
      <c r="D223" s="412"/>
      <c r="E223" s="412"/>
      <c r="F223" s="412"/>
      <c r="G223" s="412"/>
      <c r="H223" s="412"/>
      <c r="I223" s="412"/>
      <c r="J223" s="412"/>
      <c r="K223" s="412"/>
      <c r="L223" s="412"/>
      <c r="M223" s="412"/>
      <c r="N223" s="412"/>
      <c r="O223" s="412"/>
      <c r="P223" s="412"/>
      <c r="Q223" s="412"/>
      <c r="R223" s="412"/>
      <c r="S223" s="412"/>
      <c r="T223" s="445"/>
      <c r="U223" s="445"/>
      <c r="V223" s="445"/>
      <c r="W223" s="445"/>
      <c r="X223" s="445"/>
      <c r="Y223" s="445"/>
      <c r="Z223" s="445"/>
      <c r="AA223" s="445"/>
      <c r="AB223" s="445"/>
      <c r="AC223" s="445"/>
      <c r="AD223" s="445"/>
      <c r="AE223" s="412"/>
      <c r="AF223" s="412"/>
      <c r="AG223" s="412"/>
      <c r="AH223" s="412"/>
      <c r="AI223" s="412"/>
      <c r="AJ223" s="412"/>
      <c r="AK223" s="412"/>
      <c r="AL223" s="412"/>
      <c r="AM223" s="412"/>
      <c r="AN223" s="412"/>
      <c r="AO223" s="412"/>
      <c r="AP223" s="412"/>
      <c r="AQ223" s="412"/>
      <c r="AR223" s="412"/>
      <c r="AS223" s="412"/>
      <c r="AT223" s="412"/>
      <c r="AU223" s="412"/>
      <c r="AV223" s="412"/>
      <c r="AW223" s="412"/>
      <c r="AX223" s="412"/>
      <c r="AY223" s="449"/>
    </row>
    <row r="224" spans="3:51" s="15" customFormat="1" x14ac:dyDescent="0.2">
      <c r="C224" s="412"/>
      <c r="D224" s="412"/>
      <c r="E224" s="412"/>
      <c r="F224" s="412"/>
      <c r="G224" s="412"/>
      <c r="H224" s="412"/>
      <c r="I224" s="412"/>
      <c r="J224" s="412"/>
      <c r="K224" s="412"/>
      <c r="L224" s="412"/>
      <c r="M224" s="412"/>
      <c r="N224" s="412"/>
      <c r="O224" s="412"/>
      <c r="P224" s="412"/>
      <c r="Q224" s="412"/>
      <c r="R224" s="412"/>
      <c r="S224" s="412"/>
      <c r="T224" s="445"/>
      <c r="U224" s="445"/>
      <c r="V224" s="445"/>
      <c r="W224" s="445"/>
      <c r="X224" s="445"/>
      <c r="Y224" s="445"/>
      <c r="Z224" s="445"/>
      <c r="AA224" s="445"/>
      <c r="AB224" s="445"/>
      <c r="AC224" s="445"/>
      <c r="AD224" s="445"/>
      <c r="AE224" s="412"/>
      <c r="AF224" s="412"/>
      <c r="AG224" s="412"/>
      <c r="AH224" s="412"/>
      <c r="AI224" s="412"/>
      <c r="AJ224" s="412"/>
      <c r="AK224" s="412"/>
      <c r="AL224" s="412"/>
      <c r="AM224" s="412"/>
      <c r="AN224" s="412"/>
      <c r="AO224" s="412"/>
      <c r="AP224" s="412"/>
      <c r="AQ224" s="412"/>
      <c r="AR224" s="412"/>
      <c r="AS224" s="412"/>
      <c r="AT224" s="412"/>
      <c r="AU224" s="412"/>
      <c r="AV224" s="412"/>
      <c r="AW224" s="412"/>
      <c r="AX224" s="412"/>
      <c r="AY224" s="449"/>
    </row>
    <row r="225" spans="3:51" s="15" customFormat="1" x14ac:dyDescent="0.2">
      <c r="C225" s="412"/>
      <c r="D225" s="412"/>
      <c r="E225" s="412"/>
      <c r="F225" s="412"/>
      <c r="G225" s="412"/>
      <c r="H225" s="412"/>
      <c r="I225" s="412"/>
      <c r="J225" s="412"/>
      <c r="K225" s="412"/>
      <c r="L225" s="412"/>
      <c r="M225" s="412"/>
      <c r="N225" s="412"/>
      <c r="O225" s="412"/>
      <c r="P225" s="412"/>
      <c r="Q225" s="412"/>
      <c r="R225" s="412"/>
      <c r="S225" s="412"/>
      <c r="T225" s="445"/>
      <c r="U225" s="445"/>
      <c r="V225" s="445"/>
      <c r="W225" s="445"/>
      <c r="X225" s="445"/>
      <c r="Y225" s="445"/>
      <c r="Z225" s="445"/>
      <c r="AA225" s="445"/>
      <c r="AB225" s="445"/>
      <c r="AC225" s="445"/>
      <c r="AD225" s="445"/>
      <c r="AE225" s="412"/>
      <c r="AF225" s="412"/>
      <c r="AG225" s="412"/>
      <c r="AH225" s="412"/>
      <c r="AI225" s="412"/>
      <c r="AJ225" s="412"/>
      <c r="AK225" s="412"/>
      <c r="AL225" s="412"/>
      <c r="AM225" s="412"/>
      <c r="AN225" s="412"/>
      <c r="AO225" s="412"/>
      <c r="AP225" s="412"/>
      <c r="AQ225" s="412"/>
      <c r="AR225" s="412"/>
      <c r="AS225" s="412"/>
      <c r="AT225" s="412"/>
      <c r="AU225" s="412"/>
      <c r="AV225" s="412"/>
      <c r="AW225" s="412"/>
      <c r="AX225" s="412"/>
      <c r="AY225" s="449"/>
    </row>
    <row r="226" spans="3:51" s="15" customFormat="1" x14ac:dyDescent="0.2">
      <c r="C226" s="412"/>
      <c r="D226" s="412"/>
      <c r="E226" s="412"/>
      <c r="F226" s="412"/>
      <c r="G226" s="412"/>
      <c r="H226" s="412"/>
      <c r="I226" s="412"/>
      <c r="J226" s="412"/>
      <c r="K226" s="412"/>
      <c r="L226" s="412"/>
      <c r="M226" s="412"/>
      <c r="N226" s="412"/>
      <c r="O226" s="412"/>
      <c r="P226" s="412"/>
      <c r="Q226" s="412"/>
      <c r="R226" s="412"/>
      <c r="S226" s="412"/>
      <c r="T226" s="445"/>
      <c r="U226" s="445"/>
      <c r="V226" s="445"/>
      <c r="W226" s="445"/>
      <c r="X226" s="445"/>
      <c r="Y226" s="445"/>
      <c r="Z226" s="445"/>
      <c r="AA226" s="445"/>
      <c r="AB226" s="445"/>
      <c r="AC226" s="445"/>
      <c r="AD226" s="445"/>
      <c r="AE226" s="412"/>
      <c r="AF226" s="412"/>
      <c r="AG226" s="412"/>
      <c r="AH226" s="412"/>
      <c r="AI226" s="412"/>
      <c r="AJ226" s="412"/>
      <c r="AK226" s="412"/>
      <c r="AL226" s="412"/>
      <c r="AM226" s="412"/>
      <c r="AN226" s="412"/>
      <c r="AO226" s="412"/>
      <c r="AP226" s="412"/>
      <c r="AQ226" s="412"/>
      <c r="AR226" s="412"/>
      <c r="AS226" s="412"/>
      <c r="AT226" s="412"/>
      <c r="AU226" s="412"/>
      <c r="AV226" s="412"/>
      <c r="AW226" s="412"/>
      <c r="AX226" s="412"/>
      <c r="AY226" s="449"/>
    </row>
    <row r="227" spans="3:51" s="15" customFormat="1" x14ac:dyDescent="0.2">
      <c r="C227" s="412"/>
      <c r="D227" s="412"/>
      <c r="E227" s="412"/>
      <c r="F227" s="412"/>
      <c r="G227" s="412"/>
      <c r="H227" s="412"/>
      <c r="I227" s="412"/>
      <c r="J227" s="412"/>
      <c r="K227" s="412"/>
      <c r="L227" s="412"/>
      <c r="M227" s="412"/>
      <c r="N227" s="412"/>
      <c r="O227" s="412"/>
      <c r="P227" s="412"/>
      <c r="Q227" s="412"/>
      <c r="R227" s="412"/>
      <c r="S227" s="412"/>
      <c r="T227" s="445"/>
      <c r="U227" s="445"/>
      <c r="V227" s="445"/>
      <c r="W227" s="445"/>
      <c r="X227" s="445"/>
      <c r="Y227" s="445"/>
      <c r="Z227" s="445"/>
      <c r="AA227" s="445"/>
      <c r="AB227" s="445"/>
      <c r="AC227" s="445"/>
      <c r="AD227" s="445"/>
      <c r="AE227" s="412"/>
      <c r="AF227" s="412"/>
      <c r="AG227" s="412"/>
      <c r="AH227" s="412"/>
      <c r="AI227" s="412"/>
      <c r="AJ227" s="412"/>
      <c r="AK227" s="412"/>
      <c r="AL227" s="412"/>
      <c r="AM227" s="412"/>
      <c r="AN227" s="412"/>
      <c r="AO227" s="412"/>
      <c r="AP227" s="412"/>
      <c r="AQ227" s="412"/>
      <c r="AR227" s="412"/>
      <c r="AS227" s="412"/>
      <c r="AT227" s="412"/>
      <c r="AU227" s="412"/>
      <c r="AV227" s="412"/>
      <c r="AW227" s="412"/>
      <c r="AX227" s="412"/>
      <c r="AY227" s="449"/>
    </row>
    <row r="228" spans="3:51" s="15" customFormat="1" x14ac:dyDescent="0.2">
      <c r="C228" s="412"/>
      <c r="D228" s="412"/>
      <c r="E228" s="412"/>
      <c r="F228" s="412"/>
      <c r="G228" s="412"/>
      <c r="H228" s="412"/>
      <c r="I228" s="412"/>
      <c r="J228" s="412"/>
      <c r="K228" s="412"/>
      <c r="L228" s="412"/>
      <c r="M228" s="412"/>
      <c r="N228" s="412"/>
      <c r="O228" s="412"/>
      <c r="P228" s="412"/>
      <c r="Q228" s="412"/>
      <c r="R228" s="412"/>
      <c r="S228" s="412"/>
      <c r="T228" s="445"/>
      <c r="U228" s="445"/>
      <c r="V228" s="445"/>
      <c r="W228" s="445"/>
      <c r="X228" s="445"/>
      <c r="Y228" s="445"/>
      <c r="Z228" s="445"/>
      <c r="AA228" s="445"/>
      <c r="AB228" s="445"/>
      <c r="AC228" s="445"/>
      <c r="AD228" s="445"/>
      <c r="AE228" s="412"/>
      <c r="AF228" s="412"/>
      <c r="AG228" s="412"/>
      <c r="AH228" s="412"/>
      <c r="AI228" s="412"/>
      <c r="AJ228" s="412"/>
      <c r="AK228" s="412"/>
      <c r="AL228" s="412"/>
      <c r="AM228" s="412"/>
      <c r="AN228" s="412"/>
      <c r="AO228" s="412"/>
      <c r="AP228" s="412"/>
      <c r="AQ228" s="412"/>
      <c r="AR228" s="412"/>
      <c r="AS228" s="412"/>
      <c r="AT228" s="412"/>
      <c r="AU228" s="412"/>
      <c r="AV228" s="412"/>
      <c r="AW228" s="412"/>
      <c r="AX228" s="412"/>
      <c r="AY228" s="449"/>
    </row>
    <row r="229" spans="3:51" s="15" customFormat="1" x14ac:dyDescent="0.2">
      <c r="C229" s="412"/>
      <c r="D229" s="412"/>
      <c r="E229" s="412"/>
      <c r="F229" s="412"/>
      <c r="G229" s="412"/>
      <c r="H229" s="412"/>
      <c r="I229" s="412"/>
      <c r="J229" s="412"/>
      <c r="K229" s="412"/>
      <c r="L229" s="412"/>
      <c r="M229" s="412"/>
      <c r="N229" s="412"/>
      <c r="O229" s="412"/>
      <c r="P229" s="412"/>
      <c r="Q229" s="412"/>
      <c r="R229" s="412"/>
      <c r="S229" s="412"/>
      <c r="T229" s="445"/>
      <c r="U229" s="445"/>
      <c r="V229" s="445"/>
      <c r="W229" s="445"/>
      <c r="X229" s="445"/>
      <c r="Y229" s="445"/>
      <c r="Z229" s="445"/>
      <c r="AA229" s="445"/>
      <c r="AB229" s="445"/>
      <c r="AC229" s="445"/>
      <c r="AD229" s="445"/>
      <c r="AE229" s="412"/>
      <c r="AF229" s="412"/>
      <c r="AG229" s="412"/>
      <c r="AH229" s="412"/>
      <c r="AI229" s="412"/>
      <c r="AJ229" s="412"/>
      <c r="AK229" s="412"/>
      <c r="AL229" s="412"/>
      <c r="AM229" s="412"/>
      <c r="AN229" s="412"/>
      <c r="AO229" s="412"/>
      <c r="AP229" s="412"/>
      <c r="AQ229" s="412"/>
      <c r="AR229" s="412"/>
      <c r="AS229" s="412"/>
      <c r="AT229" s="412"/>
      <c r="AU229" s="412"/>
      <c r="AV229" s="412"/>
      <c r="AW229" s="412"/>
      <c r="AX229" s="412"/>
      <c r="AY229" s="449"/>
    </row>
    <row r="230" spans="3:51" s="15" customFormat="1" x14ac:dyDescent="0.2">
      <c r="C230" s="412"/>
      <c r="D230" s="412"/>
      <c r="E230" s="412"/>
      <c r="F230" s="412"/>
      <c r="G230" s="412"/>
      <c r="H230" s="412"/>
      <c r="I230" s="412"/>
      <c r="J230" s="412"/>
      <c r="K230" s="412"/>
      <c r="L230" s="412"/>
      <c r="M230" s="412"/>
      <c r="N230" s="412"/>
      <c r="O230" s="412"/>
      <c r="P230" s="412"/>
      <c r="Q230" s="412"/>
      <c r="R230" s="412"/>
      <c r="S230" s="412"/>
      <c r="T230" s="445"/>
      <c r="U230" s="445"/>
      <c r="V230" s="445"/>
      <c r="W230" s="445"/>
      <c r="X230" s="445"/>
      <c r="Y230" s="445"/>
      <c r="Z230" s="445"/>
      <c r="AA230" s="445"/>
      <c r="AB230" s="445"/>
      <c r="AC230" s="445"/>
      <c r="AD230" s="445"/>
      <c r="AE230" s="412"/>
      <c r="AF230" s="412"/>
      <c r="AG230" s="412"/>
      <c r="AH230" s="412"/>
      <c r="AI230" s="412"/>
      <c r="AJ230" s="412"/>
      <c r="AK230" s="412"/>
      <c r="AL230" s="412"/>
      <c r="AM230" s="412"/>
      <c r="AN230" s="412"/>
      <c r="AO230" s="412"/>
      <c r="AP230" s="412"/>
      <c r="AQ230" s="412"/>
      <c r="AR230" s="412"/>
      <c r="AS230" s="412"/>
      <c r="AT230" s="412"/>
      <c r="AU230" s="412"/>
      <c r="AV230" s="412"/>
      <c r="AW230" s="412"/>
      <c r="AX230" s="412"/>
      <c r="AY230" s="449"/>
    </row>
    <row r="231" spans="3:51" s="15" customFormat="1" x14ac:dyDescent="0.2">
      <c r="C231" s="412"/>
      <c r="D231" s="412"/>
      <c r="E231" s="412"/>
      <c r="F231" s="412"/>
      <c r="G231" s="412"/>
      <c r="H231" s="412"/>
      <c r="I231" s="412"/>
      <c r="J231" s="412"/>
      <c r="K231" s="412"/>
      <c r="L231" s="412"/>
      <c r="M231" s="412"/>
      <c r="N231" s="412"/>
      <c r="O231" s="412"/>
      <c r="P231" s="412"/>
      <c r="Q231" s="412"/>
      <c r="R231" s="412"/>
      <c r="S231" s="412"/>
      <c r="T231" s="445"/>
      <c r="U231" s="445"/>
      <c r="V231" s="445"/>
      <c r="W231" s="445"/>
      <c r="X231" s="445"/>
      <c r="Y231" s="445"/>
      <c r="Z231" s="445"/>
      <c r="AA231" s="445"/>
      <c r="AB231" s="445"/>
      <c r="AC231" s="445"/>
      <c r="AD231" s="445"/>
      <c r="AE231" s="412"/>
      <c r="AF231" s="412"/>
      <c r="AG231" s="412"/>
      <c r="AH231" s="412"/>
      <c r="AI231" s="412"/>
      <c r="AJ231" s="412"/>
      <c r="AK231" s="412"/>
      <c r="AL231" s="412"/>
      <c r="AM231" s="412"/>
      <c r="AN231" s="412"/>
      <c r="AO231" s="412"/>
      <c r="AP231" s="412"/>
      <c r="AQ231" s="412"/>
      <c r="AR231" s="412"/>
      <c r="AS231" s="412"/>
      <c r="AT231" s="412"/>
      <c r="AU231" s="412"/>
      <c r="AV231" s="412"/>
      <c r="AW231" s="412"/>
      <c r="AX231" s="412"/>
      <c r="AY231" s="449"/>
    </row>
    <row r="232" spans="3:51" s="15" customFormat="1" x14ac:dyDescent="0.2">
      <c r="C232" s="412"/>
      <c r="D232" s="412"/>
      <c r="E232" s="412"/>
      <c r="F232" s="412"/>
      <c r="G232" s="412"/>
      <c r="H232" s="412"/>
      <c r="I232" s="412"/>
      <c r="J232" s="412"/>
      <c r="K232" s="412"/>
      <c r="L232" s="412"/>
      <c r="M232" s="412"/>
      <c r="N232" s="412"/>
      <c r="O232" s="412"/>
      <c r="P232" s="412"/>
      <c r="Q232" s="412"/>
      <c r="R232" s="412"/>
      <c r="S232" s="412"/>
      <c r="T232" s="445"/>
      <c r="U232" s="445"/>
      <c r="V232" s="445"/>
      <c r="W232" s="445"/>
      <c r="X232" s="445"/>
      <c r="Y232" s="445"/>
      <c r="Z232" s="445"/>
      <c r="AA232" s="445"/>
      <c r="AB232" s="445"/>
      <c r="AC232" s="445"/>
      <c r="AD232" s="445"/>
      <c r="AE232" s="412"/>
      <c r="AF232" s="412"/>
      <c r="AG232" s="412"/>
      <c r="AH232" s="412"/>
      <c r="AI232" s="412"/>
      <c r="AJ232" s="412"/>
      <c r="AK232" s="412"/>
      <c r="AL232" s="412"/>
      <c r="AM232" s="412"/>
      <c r="AN232" s="412"/>
      <c r="AO232" s="412"/>
      <c r="AP232" s="412"/>
      <c r="AQ232" s="412"/>
      <c r="AR232" s="412"/>
      <c r="AS232" s="412"/>
      <c r="AT232" s="412"/>
      <c r="AU232" s="412"/>
      <c r="AV232" s="412"/>
      <c r="AW232" s="412"/>
      <c r="AX232" s="412"/>
      <c r="AY232" s="449"/>
    </row>
    <row r="233" spans="3:51" s="15" customFormat="1" x14ac:dyDescent="0.2">
      <c r="C233" s="412"/>
      <c r="D233" s="412"/>
      <c r="E233" s="412"/>
      <c r="F233" s="412"/>
      <c r="G233" s="412"/>
      <c r="H233" s="412"/>
      <c r="I233" s="412"/>
      <c r="J233" s="412"/>
      <c r="K233" s="412"/>
      <c r="L233" s="412"/>
      <c r="M233" s="412"/>
      <c r="N233" s="412"/>
      <c r="O233" s="412"/>
      <c r="P233" s="412"/>
      <c r="Q233" s="412"/>
      <c r="R233" s="412"/>
      <c r="S233" s="412"/>
      <c r="T233" s="445"/>
      <c r="U233" s="445"/>
      <c r="V233" s="445"/>
      <c r="W233" s="445"/>
      <c r="X233" s="445"/>
      <c r="Y233" s="445"/>
      <c r="Z233" s="445"/>
      <c r="AA233" s="445"/>
      <c r="AB233" s="445"/>
      <c r="AC233" s="445"/>
      <c r="AD233" s="445"/>
      <c r="AE233" s="412"/>
      <c r="AF233" s="412"/>
      <c r="AG233" s="412"/>
      <c r="AH233" s="412"/>
      <c r="AI233" s="412"/>
      <c r="AJ233" s="412"/>
      <c r="AK233" s="412"/>
      <c r="AL233" s="412"/>
      <c r="AM233" s="412"/>
      <c r="AN233" s="412"/>
      <c r="AO233" s="412"/>
      <c r="AP233" s="412"/>
      <c r="AQ233" s="412"/>
      <c r="AR233" s="412"/>
      <c r="AS233" s="412"/>
      <c r="AT233" s="412"/>
      <c r="AU233" s="412"/>
      <c r="AV233" s="412"/>
      <c r="AW233" s="412"/>
      <c r="AX233" s="412"/>
      <c r="AY233" s="449"/>
    </row>
    <row r="234" spans="3:51" s="15" customFormat="1" x14ac:dyDescent="0.2">
      <c r="C234" s="412"/>
      <c r="D234" s="412"/>
      <c r="E234" s="412"/>
      <c r="F234" s="412"/>
      <c r="G234" s="412"/>
      <c r="H234" s="412"/>
      <c r="I234" s="412"/>
      <c r="J234" s="412"/>
      <c r="K234" s="412"/>
      <c r="L234" s="412"/>
      <c r="M234" s="412"/>
      <c r="N234" s="412"/>
      <c r="O234" s="412"/>
      <c r="P234" s="412"/>
      <c r="Q234" s="412"/>
      <c r="R234" s="412"/>
      <c r="S234" s="412"/>
      <c r="T234" s="445"/>
      <c r="U234" s="445"/>
      <c r="V234" s="445"/>
      <c r="W234" s="445"/>
      <c r="X234" s="445"/>
      <c r="Y234" s="445"/>
      <c r="Z234" s="445"/>
      <c r="AA234" s="445"/>
      <c r="AB234" s="445"/>
      <c r="AC234" s="445"/>
      <c r="AD234" s="445"/>
      <c r="AE234" s="412"/>
      <c r="AF234" s="412"/>
      <c r="AG234" s="412"/>
      <c r="AH234" s="412"/>
      <c r="AI234" s="412"/>
      <c r="AJ234" s="412"/>
      <c r="AK234" s="412"/>
      <c r="AL234" s="412"/>
      <c r="AM234" s="412"/>
      <c r="AN234" s="412"/>
      <c r="AO234" s="412"/>
      <c r="AP234" s="412"/>
      <c r="AQ234" s="412"/>
      <c r="AR234" s="412"/>
      <c r="AS234" s="412"/>
      <c r="AT234" s="412"/>
      <c r="AU234" s="412"/>
      <c r="AV234" s="412"/>
      <c r="AW234" s="412"/>
      <c r="AX234" s="412"/>
      <c r="AY234" s="449"/>
    </row>
    <row r="235" spans="3:51" s="15" customFormat="1" x14ac:dyDescent="0.2">
      <c r="C235" s="412"/>
      <c r="D235" s="412"/>
      <c r="E235" s="412"/>
      <c r="F235" s="412"/>
      <c r="G235" s="412"/>
      <c r="H235" s="412"/>
      <c r="I235" s="412"/>
      <c r="J235" s="412"/>
      <c r="K235" s="412"/>
      <c r="L235" s="412"/>
      <c r="M235" s="412"/>
      <c r="N235" s="412"/>
      <c r="O235" s="412"/>
      <c r="P235" s="412"/>
      <c r="Q235" s="412"/>
      <c r="R235" s="412"/>
      <c r="S235" s="412"/>
      <c r="T235" s="445"/>
      <c r="U235" s="445"/>
      <c r="V235" s="445"/>
      <c r="W235" s="445"/>
      <c r="X235" s="445"/>
      <c r="Y235" s="445"/>
      <c r="Z235" s="445"/>
      <c r="AA235" s="445"/>
      <c r="AB235" s="445"/>
      <c r="AC235" s="445"/>
      <c r="AD235" s="445"/>
      <c r="AE235" s="412"/>
      <c r="AF235" s="412"/>
      <c r="AG235" s="412"/>
      <c r="AH235" s="412"/>
      <c r="AI235" s="412"/>
      <c r="AJ235" s="412"/>
      <c r="AK235" s="412"/>
      <c r="AL235" s="412"/>
      <c r="AM235" s="412"/>
      <c r="AN235" s="412"/>
      <c r="AO235" s="412"/>
      <c r="AP235" s="412"/>
      <c r="AQ235" s="412"/>
      <c r="AR235" s="412"/>
      <c r="AS235" s="412"/>
      <c r="AT235" s="412"/>
      <c r="AU235" s="412"/>
      <c r="AV235" s="412"/>
      <c r="AW235" s="412"/>
      <c r="AX235" s="412"/>
      <c r="AY235" s="449"/>
    </row>
    <row r="236" spans="3:51" s="15" customFormat="1" x14ac:dyDescent="0.2">
      <c r="C236" s="412"/>
      <c r="D236" s="412"/>
      <c r="E236" s="412"/>
      <c r="F236" s="412"/>
      <c r="G236" s="412"/>
      <c r="H236" s="412"/>
      <c r="I236" s="412"/>
      <c r="J236" s="412"/>
      <c r="K236" s="412"/>
      <c r="L236" s="412"/>
      <c r="M236" s="412"/>
      <c r="N236" s="412"/>
      <c r="O236" s="412"/>
      <c r="P236" s="412"/>
      <c r="Q236" s="412"/>
      <c r="R236" s="412"/>
      <c r="S236" s="412"/>
      <c r="T236" s="445"/>
      <c r="U236" s="445"/>
      <c r="V236" s="445"/>
      <c r="W236" s="445"/>
      <c r="X236" s="445"/>
      <c r="Y236" s="445"/>
      <c r="Z236" s="445"/>
      <c r="AA236" s="445"/>
      <c r="AB236" s="445"/>
      <c r="AC236" s="445"/>
      <c r="AD236" s="445"/>
      <c r="AE236" s="412"/>
      <c r="AF236" s="412"/>
      <c r="AG236" s="412"/>
      <c r="AH236" s="412"/>
      <c r="AI236" s="412"/>
      <c r="AJ236" s="412"/>
      <c r="AK236" s="412"/>
      <c r="AL236" s="412"/>
      <c r="AM236" s="412"/>
      <c r="AN236" s="412"/>
      <c r="AO236" s="412"/>
      <c r="AP236" s="412"/>
      <c r="AQ236" s="412"/>
      <c r="AR236" s="412"/>
      <c r="AS236" s="412"/>
      <c r="AT236" s="412"/>
      <c r="AU236" s="412"/>
      <c r="AV236" s="412"/>
      <c r="AW236" s="412"/>
      <c r="AX236" s="412"/>
      <c r="AY236" s="449"/>
    </row>
    <row r="237" spans="3:51" s="15" customFormat="1" x14ac:dyDescent="0.2">
      <c r="C237" s="413"/>
      <c r="D237" s="413"/>
      <c r="E237" s="413"/>
      <c r="F237" s="413"/>
      <c r="G237" s="413"/>
      <c r="H237" s="413"/>
      <c r="I237" s="413"/>
      <c r="J237" s="413"/>
      <c r="K237" s="413"/>
      <c r="L237" s="413"/>
      <c r="M237" s="413"/>
      <c r="N237" s="413"/>
      <c r="O237" s="413"/>
      <c r="P237" s="413"/>
      <c r="Q237" s="413"/>
      <c r="R237" s="413"/>
      <c r="S237" s="413"/>
      <c r="T237" s="450"/>
      <c r="U237" s="450"/>
      <c r="V237" s="450"/>
      <c r="W237" s="450"/>
      <c r="X237" s="450"/>
      <c r="Y237" s="450"/>
      <c r="Z237" s="450"/>
      <c r="AA237" s="450"/>
      <c r="AB237" s="450"/>
      <c r="AC237" s="450"/>
      <c r="AD237" s="450"/>
      <c r="AE237" s="413"/>
      <c r="AF237" s="413"/>
      <c r="AG237" s="413"/>
      <c r="AH237" s="413"/>
      <c r="AI237" s="413"/>
      <c r="AJ237" s="413"/>
      <c r="AK237" s="413"/>
      <c r="AL237" s="413"/>
      <c r="AM237" s="413"/>
      <c r="AN237" s="413"/>
      <c r="AO237" s="413"/>
      <c r="AP237" s="413"/>
      <c r="AQ237" s="413"/>
      <c r="AR237" s="413"/>
      <c r="AS237" s="413"/>
      <c r="AT237" s="413"/>
      <c r="AU237" s="413"/>
      <c r="AV237" s="413"/>
      <c r="AW237" s="413"/>
      <c r="AX237" s="413"/>
      <c r="AY237" s="451"/>
    </row>
    <row r="238" spans="3:51" s="15" customFormat="1" x14ac:dyDescent="0.2">
      <c r="T238" s="79"/>
      <c r="U238" s="79"/>
      <c r="V238" s="79"/>
      <c r="W238" s="79"/>
      <c r="X238" s="79"/>
      <c r="Y238" s="79"/>
      <c r="Z238" s="79"/>
      <c r="AA238" s="79"/>
      <c r="AB238" s="79"/>
      <c r="AC238" s="79"/>
      <c r="AD238" s="79"/>
    </row>
    <row r="239" spans="3:51" s="15" customFormat="1" x14ac:dyDescent="0.2">
      <c r="T239" s="79"/>
      <c r="U239" s="79"/>
      <c r="V239" s="79"/>
      <c r="W239" s="79"/>
      <c r="X239" s="79"/>
      <c r="Y239" s="79"/>
      <c r="Z239" s="79"/>
      <c r="AA239" s="79"/>
      <c r="AB239" s="79"/>
      <c r="AC239" s="79"/>
      <c r="AD239" s="79"/>
    </row>
    <row r="240" spans="3:51" s="15" customFormat="1" x14ac:dyDescent="0.2">
      <c r="T240" s="79"/>
      <c r="U240" s="79"/>
      <c r="V240" s="79"/>
      <c r="W240" s="79"/>
      <c r="X240" s="79"/>
      <c r="Y240" s="79"/>
      <c r="Z240" s="79"/>
      <c r="AA240" s="79"/>
      <c r="AB240" s="79"/>
      <c r="AC240" s="79"/>
      <c r="AD240" s="79"/>
    </row>
    <row r="241" spans="20:30" s="15" customFormat="1" x14ac:dyDescent="0.2">
      <c r="T241" s="79"/>
      <c r="U241" s="79"/>
      <c r="V241" s="79"/>
      <c r="W241" s="79"/>
      <c r="X241" s="79"/>
      <c r="Y241" s="79"/>
      <c r="Z241" s="79"/>
      <c r="AA241" s="79"/>
      <c r="AB241" s="79"/>
      <c r="AC241" s="79"/>
      <c r="AD241" s="79"/>
    </row>
    <row r="242" spans="20:30" s="15" customFormat="1" x14ac:dyDescent="0.2">
      <c r="T242" s="79"/>
      <c r="U242" s="79"/>
      <c r="V242" s="79"/>
      <c r="W242" s="79"/>
      <c r="X242" s="79"/>
      <c r="Y242" s="79"/>
      <c r="Z242" s="79"/>
      <c r="AA242" s="79"/>
      <c r="AB242" s="79"/>
      <c r="AC242" s="79"/>
      <c r="AD242" s="79"/>
    </row>
    <row r="243" spans="20:30" s="15" customFormat="1" x14ac:dyDescent="0.2">
      <c r="T243" s="79"/>
      <c r="U243" s="79"/>
      <c r="V243" s="79"/>
      <c r="W243" s="79"/>
      <c r="X243" s="79"/>
      <c r="Y243" s="79"/>
      <c r="Z243" s="79"/>
      <c r="AA243" s="79"/>
      <c r="AB243" s="79"/>
      <c r="AC243" s="79"/>
      <c r="AD243" s="79"/>
    </row>
    <row r="244" spans="20:30" s="15" customFormat="1" x14ac:dyDescent="0.2">
      <c r="T244" s="79"/>
      <c r="U244" s="79"/>
      <c r="V244" s="79"/>
      <c r="W244" s="79"/>
      <c r="X244" s="79"/>
      <c r="Y244" s="79"/>
      <c r="Z244" s="79"/>
      <c r="AA244" s="79"/>
      <c r="AB244" s="79"/>
      <c r="AC244" s="79"/>
      <c r="AD244" s="79"/>
    </row>
    <row r="245" spans="20:30" s="15" customFormat="1" x14ac:dyDescent="0.2">
      <c r="T245" s="79"/>
      <c r="U245" s="79"/>
      <c r="V245" s="79"/>
      <c r="W245" s="79"/>
      <c r="X245" s="79"/>
      <c r="Y245" s="79"/>
      <c r="Z245" s="79"/>
      <c r="AA245" s="79"/>
      <c r="AB245" s="79"/>
      <c r="AC245" s="79"/>
      <c r="AD245" s="79"/>
    </row>
    <row r="246" spans="20:30" s="15" customFormat="1" x14ac:dyDescent="0.2">
      <c r="T246" s="79"/>
      <c r="U246" s="79"/>
      <c r="V246" s="79"/>
      <c r="W246" s="79"/>
      <c r="X246" s="79"/>
      <c r="Y246" s="79"/>
      <c r="Z246" s="79"/>
      <c r="AA246" s="79"/>
      <c r="AB246" s="79"/>
      <c r="AC246" s="79"/>
      <c r="AD246" s="79"/>
    </row>
    <row r="247" spans="20:30" s="15" customFormat="1" x14ac:dyDescent="0.2">
      <c r="T247" s="79"/>
      <c r="U247" s="79"/>
      <c r="V247" s="79"/>
      <c r="W247" s="79"/>
      <c r="X247" s="79"/>
      <c r="Y247" s="79"/>
      <c r="Z247" s="79"/>
      <c r="AA247" s="79"/>
      <c r="AB247" s="79"/>
      <c r="AC247" s="79"/>
      <c r="AD247" s="79"/>
    </row>
    <row r="248" spans="20:30" s="15" customFormat="1" x14ac:dyDescent="0.2">
      <c r="T248" s="79"/>
      <c r="U248" s="79"/>
      <c r="V248" s="79"/>
      <c r="W248" s="79"/>
      <c r="X248" s="79"/>
      <c r="Y248" s="79"/>
      <c r="Z248" s="79"/>
      <c r="AA248" s="79"/>
      <c r="AB248" s="79"/>
      <c r="AC248" s="79"/>
      <c r="AD248" s="79"/>
    </row>
    <row r="249" spans="20:30" s="15" customFormat="1" x14ac:dyDescent="0.2">
      <c r="T249" s="79"/>
      <c r="U249" s="79"/>
      <c r="V249" s="79"/>
      <c r="W249" s="79"/>
      <c r="X249" s="79"/>
      <c r="Y249" s="79"/>
      <c r="Z249" s="79"/>
      <c r="AA249" s="79"/>
      <c r="AB249" s="79"/>
      <c r="AC249" s="79"/>
      <c r="AD249" s="79"/>
    </row>
    <row r="250" spans="20:30" s="15" customFormat="1" x14ac:dyDescent="0.2">
      <c r="T250" s="79"/>
      <c r="U250" s="79"/>
      <c r="V250" s="79"/>
      <c r="W250" s="79"/>
      <c r="X250" s="79"/>
      <c r="Y250" s="79"/>
      <c r="Z250" s="79"/>
      <c r="AA250" s="79"/>
      <c r="AB250" s="79"/>
      <c r="AC250" s="79"/>
      <c r="AD250" s="79"/>
    </row>
    <row r="251" spans="20:30" s="15" customFormat="1" x14ac:dyDescent="0.2">
      <c r="T251" s="79"/>
      <c r="U251" s="79"/>
      <c r="V251" s="79"/>
      <c r="W251" s="79"/>
      <c r="X251" s="79"/>
      <c r="Y251" s="79"/>
      <c r="Z251" s="79"/>
      <c r="AA251" s="79"/>
      <c r="AB251" s="79"/>
      <c r="AC251" s="79"/>
      <c r="AD251" s="79"/>
    </row>
    <row r="252" spans="20:30" s="15" customFormat="1" x14ac:dyDescent="0.2">
      <c r="T252" s="79"/>
      <c r="U252" s="79"/>
      <c r="V252" s="79"/>
      <c r="W252" s="79"/>
      <c r="X252" s="79"/>
      <c r="Y252" s="79"/>
      <c r="Z252" s="79"/>
      <c r="AA252" s="79"/>
      <c r="AB252" s="79"/>
      <c r="AC252" s="79"/>
      <c r="AD252" s="79"/>
    </row>
    <row r="253" spans="20:30" s="15" customFormat="1" x14ac:dyDescent="0.2">
      <c r="T253" s="79"/>
      <c r="U253" s="79"/>
      <c r="V253" s="79"/>
      <c r="W253" s="79"/>
      <c r="X253" s="79"/>
      <c r="Y253" s="79"/>
      <c r="Z253" s="79"/>
      <c r="AA253" s="79"/>
      <c r="AB253" s="79"/>
      <c r="AC253" s="79"/>
      <c r="AD253" s="79"/>
    </row>
    <row r="254" spans="20:30" s="15" customFormat="1" x14ac:dyDescent="0.2">
      <c r="T254" s="79"/>
      <c r="U254" s="79"/>
      <c r="V254" s="79"/>
      <c r="W254" s="79"/>
      <c r="X254" s="79"/>
      <c r="Y254" s="79"/>
      <c r="Z254" s="79"/>
      <c r="AA254" s="79"/>
      <c r="AB254" s="79"/>
      <c r="AC254" s="79"/>
      <c r="AD254" s="79"/>
    </row>
    <row r="255" spans="20:30" s="15" customFormat="1" x14ac:dyDescent="0.2">
      <c r="T255" s="79"/>
      <c r="U255" s="79"/>
      <c r="V255" s="79"/>
      <c r="W255" s="79"/>
      <c r="X255" s="79"/>
      <c r="Y255" s="79"/>
      <c r="Z255" s="79"/>
      <c r="AA255" s="79"/>
      <c r="AB255" s="79"/>
      <c r="AC255" s="79"/>
      <c r="AD255" s="79"/>
    </row>
    <row r="256" spans="20:30" s="15" customFormat="1" x14ac:dyDescent="0.2">
      <c r="T256" s="79"/>
      <c r="U256" s="79"/>
      <c r="V256" s="79"/>
      <c r="W256" s="79"/>
      <c r="X256" s="79"/>
      <c r="Y256" s="79"/>
      <c r="Z256" s="79"/>
      <c r="AA256" s="79"/>
      <c r="AB256" s="79"/>
      <c r="AC256" s="79"/>
      <c r="AD256" s="79"/>
    </row>
    <row r="257" spans="20:30" s="15" customFormat="1" x14ac:dyDescent="0.2">
      <c r="T257" s="79"/>
      <c r="U257" s="79"/>
      <c r="V257" s="79"/>
      <c r="W257" s="79"/>
      <c r="X257" s="79"/>
      <c r="Y257" s="79"/>
      <c r="Z257" s="79"/>
      <c r="AA257" s="79"/>
      <c r="AB257" s="79"/>
      <c r="AC257" s="79"/>
      <c r="AD257" s="79"/>
    </row>
    <row r="258" spans="20:30" s="15" customFormat="1" x14ac:dyDescent="0.2">
      <c r="T258" s="79"/>
      <c r="U258" s="79"/>
      <c r="V258" s="79"/>
      <c r="W258" s="79"/>
      <c r="X258" s="79"/>
      <c r="Y258" s="79"/>
      <c r="Z258" s="79"/>
      <c r="AA258" s="79"/>
      <c r="AB258" s="79"/>
      <c r="AC258" s="79"/>
      <c r="AD258" s="79"/>
    </row>
    <row r="259" spans="20:30" s="15" customFormat="1" x14ac:dyDescent="0.2">
      <c r="T259" s="79"/>
      <c r="U259" s="79"/>
      <c r="V259" s="79"/>
      <c r="W259" s="79"/>
      <c r="X259" s="79"/>
      <c r="Y259" s="79"/>
      <c r="Z259" s="79"/>
      <c r="AA259" s="79"/>
      <c r="AB259" s="79"/>
      <c r="AC259" s="79"/>
      <c r="AD259" s="79"/>
    </row>
    <row r="260" spans="20:30" s="15" customFormat="1" x14ac:dyDescent="0.2">
      <c r="T260" s="79"/>
      <c r="U260" s="79"/>
      <c r="V260" s="79"/>
      <c r="W260" s="79"/>
      <c r="X260" s="79"/>
      <c r="Y260" s="79"/>
      <c r="Z260" s="79"/>
      <c r="AA260" s="79"/>
      <c r="AB260" s="79"/>
      <c r="AC260" s="79"/>
      <c r="AD260" s="79"/>
    </row>
    <row r="261" spans="20:30" s="15" customFormat="1" x14ac:dyDescent="0.2">
      <c r="T261" s="79"/>
      <c r="U261" s="79"/>
      <c r="V261" s="79"/>
      <c r="W261" s="79"/>
      <c r="X261" s="79"/>
      <c r="Y261" s="79"/>
      <c r="Z261" s="79"/>
      <c r="AA261" s="79"/>
      <c r="AB261" s="79"/>
      <c r="AC261" s="79"/>
      <c r="AD261" s="79"/>
    </row>
    <row r="262" spans="20:30" s="15" customFormat="1" x14ac:dyDescent="0.2">
      <c r="T262" s="79"/>
      <c r="U262" s="79"/>
      <c r="V262" s="79"/>
      <c r="W262" s="79"/>
      <c r="X262" s="79"/>
      <c r="Y262" s="79"/>
      <c r="Z262" s="79"/>
      <c r="AA262" s="79"/>
      <c r="AB262" s="79"/>
      <c r="AC262" s="79"/>
      <c r="AD262" s="79"/>
    </row>
    <row r="263" spans="20:30" s="15" customFormat="1" x14ac:dyDescent="0.2">
      <c r="T263" s="79"/>
      <c r="U263" s="79"/>
      <c r="V263" s="79"/>
      <c r="W263" s="79"/>
      <c r="X263" s="79"/>
      <c r="Y263" s="79"/>
      <c r="Z263" s="79"/>
      <c r="AA263" s="79"/>
      <c r="AB263" s="79"/>
      <c r="AC263" s="79"/>
      <c r="AD263" s="79"/>
    </row>
    <row r="264" spans="20:30" s="15" customFormat="1" x14ac:dyDescent="0.2">
      <c r="T264" s="79"/>
      <c r="U264" s="79"/>
      <c r="V264" s="79"/>
      <c r="W264" s="79"/>
      <c r="X264" s="79"/>
      <c r="Y264" s="79"/>
      <c r="Z264" s="79"/>
      <c r="AA264" s="79"/>
      <c r="AB264" s="79"/>
      <c r="AC264" s="79"/>
      <c r="AD264" s="79"/>
    </row>
    <row r="265" spans="20:30" s="15" customFormat="1" x14ac:dyDescent="0.2">
      <c r="T265" s="79"/>
      <c r="U265" s="79"/>
      <c r="V265" s="79"/>
      <c r="W265" s="79"/>
      <c r="X265" s="79"/>
      <c r="Y265" s="79"/>
      <c r="Z265" s="79"/>
      <c r="AA265" s="79"/>
      <c r="AB265" s="79"/>
      <c r="AC265" s="79"/>
      <c r="AD265" s="79"/>
    </row>
    <row r="266" spans="20:30" s="15" customFormat="1" x14ac:dyDescent="0.2">
      <c r="T266" s="79"/>
      <c r="U266" s="79"/>
      <c r="V266" s="79"/>
      <c r="W266" s="79"/>
      <c r="X266" s="79"/>
      <c r="Y266" s="79"/>
      <c r="Z266" s="79"/>
      <c r="AA266" s="79"/>
      <c r="AB266" s="79"/>
      <c r="AC266" s="79"/>
      <c r="AD266" s="79"/>
    </row>
    <row r="267" spans="20:30" s="15" customFormat="1" x14ac:dyDescent="0.2">
      <c r="T267" s="79"/>
      <c r="U267" s="79"/>
      <c r="V267" s="79"/>
      <c r="W267" s="79"/>
      <c r="X267" s="79"/>
      <c r="Y267" s="79"/>
      <c r="Z267" s="79"/>
      <c r="AA267" s="79"/>
      <c r="AB267" s="79"/>
      <c r="AC267" s="79"/>
      <c r="AD267" s="79"/>
    </row>
    <row r="268" spans="20:30" s="15" customFormat="1" x14ac:dyDescent="0.2">
      <c r="T268" s="79"/>
      <c r="U268" s="79"/>
      <c r="V268" s="79"/>
      <c r="W268" s="79"/>
      <c r="X268" s="79"/>
      <c r="Y268" s="79"/>
      <c r="Z268" s="79"/>
      <c r="AA268" s="79"/>
      <c r="AB268" s="79"/>
      <c r="AC268" s="79"/>
      <c r="AD268" s="79"/>
    </row>
    <row r="269" spans="20:30" s="15" customFormat="1" x14ac:dyDescent="0.2">
      <c r="T269" s="79"/>
      <c r="U269" s="79"/>
      <c r="V269" s="79"/>
      <c r="W269" s="79"/>
      <c r="X269" s="79"/>
      <c r="Y269" s="79"/>
      <c r="Z269" s="79"/>
      <c r="AA269" s="79"/>
      <c r="AB269" s="79"/>
      <c r="AC269" s="79"/>
      <c r="AD269" s="79"/>
    </row>
    <row r="270" spans="20:30" s="15" customFormat="1" x14ac:dyDescent="0.2">
      <c r="T270" s="79"/>
      <c r="U270" s="79"/>
      <c r="V270" s="79"/>
      <c r="W270" s="79"/>
      <c r="X270" s="79"/>
      <c r="Y270" s="79"/>
      <c r="Z270" s="79"/>
      <c r="AA270" s="79"/>
      <c r="AB270" s="79"/>
      <c r="AC270" s="79"/>
      <c r="AD270" s="79"/>
    </row>
    <row r="271" spans="20:30" s="15" customFormat="1" x14ac:dyDescent="0.2">
      <c r="T271" s="79"/>
      <c r="U271" s="79"/>
      <c r="V271" s="79"/>
      <c r="W271" s="79"/>
      <c r="X271" s="79"/>
      <c r="Y271" s="79"/>
      <c r="Z271" s="79"/>
      <c r="AA271" s="79"/>
      <c r="AB271" s="79"/>
      <c r="AC271" s="79"/>
      <c r="AD271" s="79"/>
    </row>
    <row r="272" spans="20:30" s="15" customFormat="1" x14ac:dyDescent="0.2">
      <c r="T272" s="79"/>
      <c r="U272" s="79"/>
      <c r="V272" s="79"/>
      <c r="W272" s="79"/>
      <c r="X272" s="79"/>
      <c r="Y272" s="79"/>
      <c r="Z272" s="79"/>
      <c r="AA272" s="79"/>
      <c r="AB272" s="79"/>
      <c r="AC272" s="79"/>
      <c r="AD272" s="79"/>
    </row>
    <row r="273" spans="20:30" s="15" customFormat="1" x14ac:dyDescent="0.2">
      <c r="T273" s="79"/>
      <c r="U273" s="79"/>
      <c r="V273" s="79"/>
      <c r="W273" s="79"/>
      <c r="X273" s="79"/>
      <c r="Y273" s="79"/>
      <c r="Z273" s="79"/>
      <c r="AA273" s="79"/>
      <c r="AB273" s="79"/>
      <c r="AC273" s="79"/>
      <c r="AD273" s="79"/>
    </row>
    <row r="274" spans="20:30" s="15" customFormat="1" x14ac:dyDescent="0.2">
      <c r="T274" s="79"/>
      <c r="U274" s="79"/>
      <c r="V274" s="79"/>
      <c r="W274" s="79"/>
      <c r="X274" s="79"/>
      <c r="Y274" s="79"/>
      <c r="Z274" s="79"/>
      <c r="AA274" s="79"/>
      <c r="AB274" s="79"/>
      <c r="AC274" s="79"/>
      <c r="AD274" s="79"/>
    </row>
    <row r="275" spans="20:30" s="15" customFormat="1" x14ac:dyDescent="0.2">
      <c r="T275" s="79"/>
      <c r="U275" s="79"/>
      <c r="V275" s="79"/>
      <c r="W275" s="79"/>
      <c r="X275" s="79"/>
      <c r="Y275" s="79"/>
      <c r="Z275" s="79"/>
      <c r="AA275" s="79"/>
      <c r="AB275" s="79"/>
      <c r="AC275" s="79"/>
      <c r="AD275" s="79"/>
    </row>
    <row r="276" spans="20:30" s="15" customFormat="1" x14ac:dyDescent="0.2">
      <c r="T276" s="79"/>
      <c r="U276" s="79"/>
      <c r="V276" s="79"/>
      <c r="W276" s="79"/>
      <c r="X276" s="79"/>
      <c r="Y276" s="79"/>
      <c r="Z276" s="79"/>
      <c r="AA276" s="79"/>
      <c r="AB276" s="79"/>
      <c r="AC276" s="79"/>
      <c r="AD276" s="79"/>
    </row>
    <row r="277" spans="20:30" s="15" customFormat="1" x14ac:dyDescent="0.2">
      <c r="T277" s="79"/>
      <c r="U277" s="79"/>
      <c r="V277" s="79"/>
      <c r="W277" s="79"/>
      <c r="X277" s="79"/>
      <c r="Y277" s="79"/>
      <c r="Z277" s="79"/>
      <c r="AA277" s="79"/>
      <c r="AB277" s="79"/>
      <c r="AC277" s="79"/>
      <c r="AD277" s="79"/>
    </row>
    <row r="278" spans="20:30" s="15" customFormat="1" x14ac:dyDescent="0.2">
      <c r="T278" s="79"/>
      <c r="U278" s="79"/>
      <c r="V278" s="79"/>
      <c r="W278" s="79"/>
      <c r="X278" s="79"/>
      <c r="Y278" s="79"/>
      <c r="Z278" s="79"/>
      <c r="AA278" s="79"/>
      <c r="AB278" s="79"/>
      <c r="AC278" s="79"/>
      <c r="AD278" s="79"/>
    </row>
    <row r="279" spans="20:30" s="15" customFormat="1" x14ac:dyDescent="0.2">
      <c r="T279" s="79"/>
      <c r="U279" s="79"/>
      <c r="V279" s="79"/>
      <c r="W279" s="79"/>
      <c r="X279" s="79"/>
      <c r="Y279" s="79"/>
      <c r="Z279" s="79"/>
      <c r="AA279" s="79"/>
      <c r="AB279" s="79"/>
      <c r="AC279" s="79"/>
      <c r="AD279" s="79"/>
    </row>
    <row r="280" spans="20:30" s="15" customFormat="1" x14ac:dyDescent="0.2">
      <c r="T280" s="79"/>
      <c r="U280" s="79"/>
      <c r="V280" s="79"/>
      <c r="W280" s="79"/>
      <c r="X280" s="79"/>
      <c r="Y280" s="79"/>
      <c r="Z280" s="79"/>
      <c r="AA280" s="79"/>
      <c r="AB280" s="79"/>
      <c r="AC280" s="79"/>
      <c r="AD280" s="79"/>
    </row>
    <row r="281" spans="20:30" s="15" customFormat="1" x14ac:dyDescent="0.2">
      <c r="T281" s="79"/>
      <c r="U281" s="79"/>
      <c r="V281" s="79"/>
      <c r="W281" s="79"/>
      <c r="X281" s="79"/>
      <c r="Y281" s="79"/>
      <c r="Z281" s="79"/>
      <c r="AA281" s="79"/>
      <c r="AB281" s="79"/>
      <c r="AC281" s="79"/>
      <c r="AD281" s="79"/>
    </row>
    <row r="282" spans="20:30" s="15" customFormat="1" x14ac:dyDescent="0.2">
      <c r="T282" s="79"/>
      <c r="U282" s="79"/>
      <c r="V282" s="79"/>
      <c r="W282" s="79"/>
      <c r="X282" s="79"/>
      <c r="Y282" s="79"/>
      <c r="Z282" s="79"/>
      <c r="AA282" s="79"/>
      <c r="AB282" s="79"/>
      <c r="AC282" s="79"/>
      <c r="AD282" s="79"/>
    </row>
    <row r="283" spans="20:30" s="15" customFormat="1" x14ac:dyDescent="0.2">
      <c r="T283" s="79"/>
      <c r="U283" s="79"/>
      <c r="V283" s="79"/>
      <c r="W283" s="79"/>
      <c r="X283" s="79"/>
      <c r="Y283" s="79"/>
      <c r="Z283" s="79"/>
      <c r="AA283" s="79"/>
      <c r="AB283" s="79"/>
      <c r="AC283" s="79"/>
      <c r="AD283" s="79"/>
    </row>
    <row r="284" spans="20:30" s="15" customFormat="1" x14ac:dyDescent="0.2">
      <c r="T284" s="79"/>
      <c r="U284" s="79"/>
      <c r="V284" s="79"/>
      <c r="W284" s="79"/>
      <c r="X284" s="79"/>
      <c r="Y284" s="79"/>
      <c r="Z284" s="79"/>
      <c r="AA284" s="79"/>
      <c r="AB284" s="79"/>
      <c r="AC284" s="79"/>
      <c r="AD284" s="79"/>
    </row>
    <row r="285" spans="20:30" s="15" customFormat="1" x14ac:dyDescent="0.2">
      <c r="T285" s="79"/>
      <c r="U285" s="79"/>
      <c r="V285" s="79"/>
      <c r="W285" s="79"/>
      <c r="X285" s="79"/>
      <c r="Y285" s="79"/>
      <c r="Z285" s="79"/>
      <c r="AA285" s="79"/>
      <c r="AB285" s="79"/>
      <c r="AC285" s="79"/>
      <c r="AD285" s="79"/>
    </row>
    <row r="286" spans="20:30" s="15" customFormat="1" x14ac:dyDescent="0.2">
      <c r="T286" s="79"/>
      <c r="U286" s="79"/>
      <c r="V286" s="79"/>
      <c r="W286" s="79"/>
      <c r="X286" s="79"/>
      <c r="Y286" s="79"/>
      <c r="Z286" s="79"/>
      <c r="AA286" s="79"/>
      <c r="AB286" s="79"/>
      <c r="AC286" s="79"/>
      <c r="AD286" s="79"/>
    </row>
    <row r="287" spans="20:30" s="15" customFormat="1" x14ac:dyDescent="0.2">
      <c r="T287" s="79"/>
      <c r="U287" s="79"/>
      <c r="V287" s="79"/>
      <c r="W287" s="79"/>
      <c r="X287" s="79"/>
      <c r="Y287" s="79"/>
      <c r="Z287" s="79"/>
      <c r="AA287" s="79"/>
      <c r="AB287" s="79"/>
      <c r="AC287" s="79"/>
      <c r="AD287" s="79"/>
    </row>
    <row r="288" spans="20:30" s="15" customFormat="1" x14ac:dyDescent="0.2">
      <c r="T288" s="79"/>
      <c r="U288" s="79"/>
      <c r="V288" s="79"/>
      <c r="W288" s="79"/>
      <c r="X288" s="79"/>
      <c r="Y288" s="79"/>
      <c r="Z288" s="79"/>
      <c r="AA288" s="79"/>
      <c r="AB288" s="79"/>
      <c r="AC288" s="79"/>
      <c r="AD288" s="79"/>
    </row>
    <row r="289" spans="20:30" s="15" customFormat="1" x14ac:dyDescent="0.2">
      <c r="T289" s="79"/>
      <c r="U289" s="79"/>
      <c r="V289" s="79"/>
      <c r="W289" s="79"/>
      <c r="X289" s="79"/>
      <c r="Y289" s="79"/>
      <c r="Z289" s="79"/>
      <c r="AA289" s="79"/>
      <c r="AB289" s="79"/>
      <c r="AC289" s="79"/>
      <c r="AD289" s="79"/>
    </row>
    <row r="290" spans="20:30" s="15" customFormat="1" x14ac:dyDescent="0.2">
      <c r="T290" s="79"/>
      <c r="U290" s="79"/>
      <c r="V290" s="79"/>
      <c r="W290" s="79"/>
      <c r="X290" s="79"/>
      <c r="Y290" s="79"/>
      <c r="Z290" s="79"/>
      <c r="AA290" s="79"/>
      <c r="AB290" s="79"/>
      <c r="AC290" s="79"/>
      <c r="AD290" s="79"/>
    </row>
    <row r="291" spans="20:30" s="15" customFormat="1" x14ac:dyDescent="0.2">
      <c r="T291" s="79"/>
      <c r="U291" s="79"/>
      <c r="V291" s="79"/>
      <c r="W291" s="79"/>
      <c r="X291" s="79"/>
      <c r="Y291" s="79"/>
      <c r="Z291" s="79"/>
      <c r="AA291" s="79"/>
      <c r="AB291" s="79"/>
      <c r="AC291" s="79"/>
      <c r="AD291" s="79"/>
    </row>
    <row r="292" spans="20:30" s="15" customFormat="1" x14ac:dyDescent="0.2">
      <c r="T292" s="79"/>
      <c r="U292" s="79"/>
      <c r="V292" s="79"/>
      <c r="W292" s="79"/>
      <c r="X292" s="79"/>
      <c r="Y292" s="79"/>
      <c r="Z292" s="79"/>
      <c r="AA292" s="79"/>
      <c r="AB292" s="79"/>
      <c r="AC292" s="79"/>
      <c r="AD292" s="79"/>
    </row>
    <row r="293" spans="20:30" s="15" customFormat="1" x14ac:dyDescent="0.2">
      <c r="T293" s="79"/>
      <c r="U293" s="79"/>
      <c r="V293" s="79"/>
      <c r="W293" s="79"/>
      <c r="X293" s="79"/>
      <c r="Y293" s="79"/>
      <c r="Z293" s="79"/>
      <c r="AA293" s="79"/>
      <c r="AB293" s="79"/>
      <c r="AC293" s="79"/>
      <c r="AD293" s="79"/>
    </row>
    <row r="294" spans="20:30" s="15" customFormat="1" x14ac:dyDescent="0.2">
      <c r="T294" s="79"/>
      <c r="U294" s="79"/>
      <c r="V294" s="79"/>
      <c r="W294" s="79"/>
      <c r="X294" s="79"/>
      <c r="Y294" s="79"/>
      <c r="Z294" s="79"/>
      <c r="AA294" s="79"/>
      <c r="AB294" s="79"/>
      <c r="AC294" s="79"/>
      <c r="AD294" s="79"/>
    </row>
    <row r="295" spans="20:30" s="15" customFormat="1" x14ac:dyDescent="0.2">
      <c r="T295" s="79"/>
      <c r="U295" s="79"/>
      <c r="V295" s="79"/>
      <c r="W295" s="79"/>
      <c r="X295" s="79"/>
      <c r="Y295" s="79"/>
      <c r="Z295" s="79"/>
      <c r="AA295" s="79"/>
      <c r="AB295" s="79"/>
      <c r="AC295" s="79"/>
      <c r="AD295" s="79"/>
    </row>
    <row r="296" spans="20:30" s="15" customFormat="1" x14ac:dyDescent="0.2">
      <c r="T296" s="79"/>
      <c r="U296" s="79"/>
      <c r="V296" s="79"/>
      <c r="W296" s="79"/>
      <c r="X296" s="79"/>
      <c r="Y296" s="79"/>
      <c r="Z296" s="79"/>
      <c r="AA296" s="79"/>
      <c r="AB296" s="79"/>
      <c r="AC296" s="79"/>
      <c r="AD296" s="79"/>
    </row>
    <row r="297" spans="20:30" s="15" customFormat="1" x14ac:dyDescent="0.2">
      <c r="T297" s="79"/>
      <c r="U297" s="79"/>
      <c r="V297" s="79"/>
      <c r="W297" s="79"/>
      <c r="X297" s="79"/>
      <c r="Y297" s="79"/>
      <c r="Z297" s="79"/>
      <c r="AA297" s="79"/>
      <c r="AB297" s="79"/>
      <c r="AC297" s="79"/>
      <c r="AD297" s="79"/>
    </row>
    <row r="298" spans="20:30" s="15" customFormat="1" x14ac:dyDescent="0.2">
      <c r="T298" s="79"/>
      <c r="U298" s="79"/>
      <c r="V298" s="79"/>
      <c r="W298" s="79"/>
      <c r="X298" s="79"/>
      <c r="Y298" s="79"/>
      <c r="Z298" s="79"/>
      <c r="AA298" s="79"/>
      <c r="AB298" s="79"/>
      <c r="AC298" s="79"/>
      <c r="AD298" s="79"/>
    </row>
    <row r="299" spans="20:30" s="15" customFormat="1" x14ac:dyDescent="0.2">
      <c r="T299" s="79"/>
      <c r="U299" s="79"/>
      <c r="V299" s="79"/>
      <c r="W299" s="79"/>
      <c r="X299" s="79"/>
      <c r="Y299" s="79"/>
      <c r="Z299" s="79"/>
      <c r="AA299" s="79"/>
      <c r="AB299" s="79"/>
      <c r="AC299" s="79"/>
      <c r="AD299" s="79"/>
    </row>
    <row r="300" spans="20:30" s="15" customFormat="1" x14ac:dyDescent="0.2">
      <c r="T300" s="79"/>
      <c r="U300" s="79"/>
      <c r="V300" s="79"/>
      <c r="W300" s="79"/>
      <c r="X300" s="79"/>
      <c r="Y300" s="79"/>
      <c r="Z300" s="79"/>
      <c r="AA300" s="79"/>
      <c r="AB300" s="79"/>
      <c r="AC300" s="79"/>
      <c r="AD300" s="79"/>
    </row>
    <row r="301" spans="20:30" s="15" customFormat="1" x14ac:dyDescent="0.2">
      <c r="T301" s="79"/>
      <c r="U301" s="79"/>
      <c r="V301" s="79"/>
      <c r="W301" s="79"/>
      <c r="X301" s="79"/>
      <c r="Y301" s="79"/>
      <c r="Z301" s="79"/>
      <c r="AA301" s="79"/>
      <c r="AB301" s="79"/>
      <c r="AC301" s="79"/>
      <c r="AD301" s="79"/>
    </row>
    <row r="302" spans="20:30" s="15" customFormat="1" x14ac:dyDescent="0.2">
      <c r="T302" s="79"/>
      <c r="U302" s="79"/>
      <c r="V302" s="79"/>
      <c r="W302" s="79"/>
      <c r="X302" s="79"/>
      <c r="Y302" s="79"/>
      <c r="Z302" s="79"/>
      <c r="AA302" s="79"/>
      <c r="AB302" s="79"/>
      <c r="AC302" s="79"/>
      <c r="AD302" s="79"/>
    </row>
    <row r="303" spans="20:30" s="15" customFormat="1" x14ac:dyDescent="0.2">
      <c r="T303" s="79"/>
      <c r="U303" s="79"/>
      <c r="V303" s="79"/>
      <c r="W303" s="79"/>
      <c r="X303" s="79"/>
      <c r="Y303" s="79"/>
      <c r="Z303" s="79"/>
      <c r="AA303" s="79"/>
      <c r="AB303" s="79"/>
      <c r="AC303" s="79"/>
      <c r="AD303" s="79"/>
    </row>
    <row r="304" spans="20:30" s="15" customFormat="1" x14ac:dyDescent="0.2">
      <c r="T304" s="79"/>
      <c r="U304" s="79"/>
      <c r="V304" s="79"/>
      <c r="W304" s="79"/>
      <c r="X304" s="79"/>
      <c r="Y304" s="79"/>
      <c r="Z304" s="79"/>
      <c r="AA304" s="79"/>
      <c r="AB304" s="79"/>
      <c r="AC304" s="79"/>
      <c r="AD304" s="79"/>
    </row>
    <row r="305" spans="18:30" s="15" customFormat="1" x14ac:dyDescent="0.2">
      <c r="T305" s="79"/>
      <c r="U305" s="79"/>
      <c r="V305" s="79"/>
      <c r="W305" s="79"/>
      <c r="X305" s="79"/>
      <c r="Y305" s="79"/>
      <c r="Z305" s="79"/>
      <c r="AA305" s="79"/>
      <c r="AB305" s="79"/>
      <c r="AC305" s="79"/>
      <c r="AD305" s="79"/>
    </row>
    <row r="306" spans="18:30" s="15" customFormat="1" x14ac:dyDescent="0.2">
      <c r="T306" s="79"/>
      <c r="U306" s="79"/>
      <c r="V306" s="79"/>
      <c r="W306" s="79"/>
      <c r="X306" s="79"/>
      <c r="Y306" s="79"/>
      <c r="Z306" s="79"/>
      <c r="AA306" s="79"/>
      <c r="AB306" s="79"/>
      <c r="AC306" s="79"/>
      <c r="AD306" s="79"/>
    </row>
    <row r="307" spans="18:30" s="15" customFormat="1" x14ac:dyDescent="0.2">
      <c r="T307" s="79"/>
      <c r="U307" s="79"/>
      <c r="V307" s="79"/>
      <c r="W307" s="79"/>
      <c r="X307" s="79"/>
      <c r="Y307" s="79"/>
      <c r="Z307" s="79"/>
      <c r="AA307" s="79"/>
      <c r="AB307" s="79"/>
      <c r="AC307" s="79"/>
      <c r="AD307" s="79"/>
    </row>
    <row r="308" spans="18:30" s="15" customFormat="1" x14ac:dyDescent="0.2">
      <c r="T308" s="79"/>
      <c r="U308" s="79"/>
      <c r="V308" s="79"/>
      <c r="W308" s="79"/>
      <c r="X308" s="79"/>
      <c r="Y308" s="79"/>
      <c r="Z308" s="79"/>
      <c r="AA308" s="79"/>
      <c r="AB308" s="79"/>
      <c r="AC308" s="79"/>
      <c r="AD308" s="79"/>
    </row>
    <row r="309" spans="18:30" s="15" customFormat="1" x14ac:dyDescent="0.2">
      <c r="T309" s="79"/>
      <c r="U309" s="79"/>
      <c r="V309" s="79"/>
      <c r="W309" s="79"/>
      <c r="X309" s="79"/>
      <c r="Y309" s="79"/>
      <c r="Z309" s="79"/>
      <c r="AA309" s="79"/>
      <c r="AB309" s="79"/>
      <c r="AC309" s="79"/>
      <c r="AD309" s="79"/>
    </row>
    <row r="310" spans="18:30" s="15" customFormat="1" x14ac:dyDescent="0.2">
      <c r="T310" s="79"/>
      <c r="U310" s="79"/>
      <c r="V310" s="79"/>
      <c r="W310" s="79"/>
      <c r="X310" s="79"/>
      <c r="Y310" s="79"/>
      <c r="Z310" s="79"/>
      <c r="AA310" s="79"/>
      <c r="AB310" s="79"/>
      <c r="AC310" s="79"/>
      <c r="AD310" s="79"/>
    </row>
    <row r="311" spans="18:30" s="15" customFormat="1" x14ac:dyDescent="0.2">
      <c r="T311" s="79"/>
      <c r="U311" s="79"/>
      <c r="V311" s="79"/>
      <c r="W311" s="79"/>
      <c r="X311" s="79"/>
      <c r="Y311" s="79"/>
      <c r="Z311" s="79"/>
      <c r="AA311" s="79"/>
      <c r="AB311" s="79"/>
      <c r="AC311" s="79"/>
      <c r="AD311" s="79"/>
    </row>
    <row r="312" spans="18:30" s="15" customFormat="1" x14ac:dyDescent="0.2">
      <c r="R312" s="677"/>
      <c r="S312" s="677"/>
      <c r="T312" s="434"/>
      <c r="U312" s="431"/>
      <c r="V312" s="303"/>
      <c r="W312" s="303"/>
      <c r="X312" s="79"/>
      <c r="Y312" s="79"/>
      <c r="Z312" s="79"/>
      <c r="AA312" s="79"/>
      <c r="AB312" s="79"/>
      <c r="AC312" s="79"/>
      <c r="AD312" s="79"/>
    </row>
    <row r="313" spans="18:30" s="15" customFormat="1" x14ac:dyDescent="0.2">
      <c r="R313" s="643"/>
      <c r="S313" s="643"/>
      <c r="T313" s="643"/>
      <c r="U313" s="643"/>
      <c r="V313" s="643"/>
      <c r="W313" s="643"/>
      <c r="X313" s="79"/>
      <c r="Y313" s="79"/>
      <c r="Z313" s="79"/>
      <c r="AA313" s="79"/>
      <c r="AB313" s="79"/>
      <c r="AC313" s="79"/>
      <c r="AD313" s="79"/>
    </row>
    <row r="314" spans="18:30" s="15" customFormat="1" x14ac:dyDescent="0.2">
      <c r="R314" s="411"/>
      <c r="S314" s="411"/>
      <c r="T314" s="411"/>
      <c r="U314" s="298"/>
      <c r="V314" s="298"/>
      <c r="W314" s="298"/>
      <c r="X314" s="79"/>
      <c r="Y314" s="79"/>
      <c r="Z314" s="79"/>
      <c r="AA314" s="79"/>
      <c r="AB314" s="79"/>
      <c r="AC314" s="79"/>
      <c r="AD314" s="79"/>
    </row>
    <row r="315" spans="18:30" s="15" customFormat="1" x14ac:dyDescent="0.2">
      <c r="T315" s="79"/>
      <c r="U315" s="79"/>
      <c r="V315" s="79"/>
      <c r="W315" s="79"/>
      <c r="X315" s="79"/>
      <c r="Y315" s="79"/>
      <c r="Z315" s="79"/>
      <c r="AA315" s="79"/>
      <c r="AB315" s="79"/>
      <c r="AC315" s="79"/>
      <c r="AD315" s="79"/>
    </row>
    <row r="316" spans="18:30" s="15" customFormat="1" x14ac:dyDescent="0.2">
      <c r="T316" s="79"/>
      <c r="U316" s="79"/>
      <c r="V316" s="79"/>
      <c r="W316" s="79"/>
      <c r="X316" s="79"/>
      <c r="Y316" s="79"/>
      <c r="Z316" s="79"/>
      <c r="AA316" s="79"/>
      <c r="AB316" s="79"/>
      <c r="AC316" s="79"/>
      <c r="AD316" s="79"/>
    </row>
    <row r="317" spans="18:30" s="15" customFormat="1" x14ac:dyDescent="0.2">
      <c r="T317" s="79"/>
      <c r="U317" s="79"/>
      <c r="V317" s="79"/>
      <c r="W317" s="79"/>
      <c r="X317" s="79"/>
      <c r="Y317" s="79"/>
      <c r="Z317" s="79"/>
      <c r="AA317" s="79"/>
      <c r="AB317" s="79"/>
      <c r="AC317" s="79"/>
      <c r="AD317" s="79"/>
    </row>
    <row r="318" spans="18:30" s="15" customFormat="1" x14ac:dyDescent="0.2">
      <c r="T318" s="79"/>
      <c r="U318" s="79"/>
      <c r="V318" s="79"/>
      <c r="W318" s="79"/>
      <c r="X318" s="79"/>
      <c r="Y318" s="79"/>
      <c r="Z318" s="79"/>
      <c r="AA318" s="79"/>
      <c r="AB318" s="79"/>
      <c r="AC318" s="79"/>
      <c r="AD318" s="79"/>
    </row>
    <row r="319" spans="18:30" s="15" customFormat="1" x14ac:dyDescent="0.2">
      <c r="T319" s="79"/>
      <c r="U319" s="79"/>
      <c r="V319" s="79"/>
      <c r="W319" s="79"/>
      <c r="X319" s="79"/>
      <c r="Y319" s="79"/>
      <c r="Z319" s="79"/>
      <c r="AA319" s="79"/>
      <c r="AB319" s="79"/>
      <c r="AC319" s="79"/>
      <c r="AD319" s="79"/>
    </row>
    <row r="320" spans="18:30" s="15" customFormat="1" x14ac:dyDescent="0.2">
      <c r="T320" s="79"/>
      <c r="U320" s="79"/>
      <c r="V320" s="79"/>
      <c r="W320" s="79"/>
      <c r="X320" s="79"/>
      <c r="Y320" s="79"/>
      <c r="Z320" s="79"/>
      <c r="AA320" s="79"/>
      <c r="AB320" s="79"/>
      <c r="AC320" s="79"/>
      <c r="AD320" s="79"/>
    </row>
    <row r="321" spans="20:30" s="15" customFormat="1" x14ac:dyDescent="0.2">
      <c r="T321" s="79"/>
      <c r="U321" s="79"/>
      <c r="V321" s="79"/>
      <c r="W321" s="79"/>
      <c r="X321" s="79"/>
      <c r="Y321" s="79"/>
      <c r="Z321" s="79"/>
      <c r="AA321" s="79"/>
      <c r="AB321" s="79"/>
      <c r="AC321" s="79"/>
      <c r="AD321" s="79"/>
    </row>
    <row r="322" spans="20:30" s="15" customFormat="1" x14ac:dyDescent="0.2">
      <c r="T322" s="79"/>
      <c r="U322" s="79"/>
      <c r="V322" s="79"/>
      <c r="W322" s="79"/>
      <c r="X322" s="79"/>
      <c r="Y322" s="79"/>
      <c r="Z322" s="79"/>
      <c r="AA322" s="79"/>
      <c r="AB322" s="79"/>
      <c r="AC322" s="79"/>
      <c r="AD322" s="79"/>
    </row>
    <row r="323" spans="20:30" s="15" customFormat="1" x14ac:dyDescent="0.2">
      <c r="T323" s="79"/>
      <c r="U323" s="79"/>
      <c r="V323" s="79"/>
      <c r="W323" s="79"/>
      <c r="X323" s="79"/>
      <c r="Y323" s="79"/>
      <c r="Z323" s="79"/>
      <c r="AA323" s="79"/>
      <c r="AB323" s="79"/>
      <c r="AC323" s="79"/>
      <c r="AD323" s="79"/>
    </row>
    <row r="324" spans="20:30" s="15" customFormat="1" x14ac:dyDescent="0.2">
      <c r="T324" s="79"/>
      <c r="U324" s="79"/>
      <c r="V324" s="79"/>
      <c r="W324" s="79"/>
      <c r="X324" s="79"/>
      <c r="Y324" s="79"/>
      <c r="Z324" s="79"/>
      <c r="AA324" s="79"/>
      <c r="AB324" s="79"/>
      <c r="AC324" s="79"/>
      <c r="AD324" s="79"/>
    </row>
    <row r="325" spans="20:30" s="15" customFormat="1" x14ac:dyDescent="0.2">
      <c r="T325" s="79"/>
      <c r="U325" s="79"/>
      <c r="V325" s="79"/>
      <c r="W325" s="79"/>
      <c r="X325" s="79"/>
      <c r="Y325" s="79"/>
      <c r="Z325" s="79"/>
      <c r="AA325" s="79"/>
      <c r="AB325" s="79"/>
      <c r="AC325" s="79"/>
      <c r="AD325" s="79"/>
    </row>
    <row r="326" spans="20:30" s="15" customFormat="1" x14ac:dyDescent="0.2">
      <c r="T326" s="79"/>
      <c r="U326" s="79"/>
      <c r="V326" s="79"/>
      <c r="W326" s="79"/>
      <c r="X326" s="79"/>
      <c r="Y326" s="79"/>
      <c r="Z326" s="79"/>
      <c r="AA326" s="79"/>
      <c r="AB326" s="79"/>
      <c r="AC326" s="79"/>
      <c r="AD326" s="79"/>
    </row>
    <row r="327" spans="20:30" s="15" customFormat="1" x14ac:dyDescent="0.2">
      <c r="T327" s="79"/>
      <c r="U327" s="79"/>
      <c r="V327" s="79"/>
      <c r="W327" s="79"/>
      <c r="X327" s="79"/>
      <c r="Y327" s="79"/>
      <c r="Z327" s="79"/>
      <c r="AA327" s="79"/>
      <c r="AB327" s="79"/>
      <c r="AC327" s="79"/>
      <c r="AD327" s="79"/>
    </row>
    <row r="328" spans="20:30" s="15" customFormat="1" x14ac:dyDescent="0.2">
      <c r="T328" s="79"/>
      <c r="U328" s="79"/>
      <c r="V328" s="79"/>
      <c r="W328" s="79"/>
      <c r="X328" s="79"/>
      <c r="Y328" s="79"/>
      <c r="Z328" s="79"/>
      <c r="AA328" s="79"/>
      <c r="AB328" s="79"/>
      <c r="AC328" s="79"/>
      <c r="AD328" s="79"/>
    </row>
    <row r="329" spans="20:30" s="15" customFormat="1" x14ac:dyDescent="0.2">
      <c r="T329" s="79"/>
      <c r="U329" s="79"/>
      <c r="V329" s="79"/>
      <c r="W329" s="79"/>
      <c r="X329" s="79"/>
      <c r="Y329" s="79"/>
      <c r="Z329" s="79"/>
      <c r="AA329" s="79"/>
      <c r="AB329" s="79"/>
      <c r="AC329" s="79"/>
      <c r="AD329" s="79"/>
    </row>
    <row r="330" spans="20:30" s="15" customFormat="1" x14ac:dyDescent="0.2">
      <c r="T330" s="79"/>
      <c r="U330" s="79"/>
      <c r="V330" s="79"/>
      <c r="W330" s="79"/>
      <c r="X330" s="79"/>
      <c r="Y330" s="79"/>
      <c r="Z330" s="79"/>
      <c r="AA330" s="79"/>
      <c r="AB330" s="79"/>
      <c r="AC330" s="79"/>
      <c r="AD330" s="79"/>
    </row>
    <row r="331" spans="20:30" s="15" customFormat="1" x14ac:dyDescent="0.2">
      <c r="T331" s="79"/>
      <c r="U331" s="79"/>
      <c r="V331" s="79"/>
      <c r="W331" s="79"/>
      <c r="X331" s="79"/>
      <c r="Y331" s="79"/>
      <c r="Z331" s="79"/>
      <c r="AA331" s="79"/>
      <c r="AB331" s="79"/>
      <c r="AC331" s="79"/>
      <c r="AD331" s="79"/>
    </row>
    <row r="332" spans="20:30" s="15" customFormat="1" x14ac:dyDescent="0.2">
      <c r="T332" s="79"/>
      <c r="U332" s="79"/>
      <c r="V332" s="79"/>
      <c r="W332" s="79"/>
      <c r="X332" s="79"/>
      <c r="Y332" s="79"/>
      <c r="Z332" s="79"/>
      <c r="AA332" s="79"/>
      <c r="AB332" s="79"/>
      <c r="AC332" s="79"/>
      <c r="AD332" s="79"/>
    </row>
    <row r="333" spans="20:30" s="15" customFormat="1" x14ac:dyDescent="0.2">
      <c r="T333" s="79"/>
      <c r="U333" s="79"/>
      <c r="V333" s="79"/>
      <c r="W333" s="79"/>
      <c r="X333" s="79"/>
      <c r="Y333" s="79"/>
      <c r="Z333" s="79"/>
      <c r="AA333" s="79"/>
      <c r="AB333" s="79"/>
      <c r="AC333" s="79"/>
      <c r="AD333" s="79"/>
    </row>
    <row r="334" spans="20:30" s="15" customFormat="1" x14ac:dyDescent="0.2">
      <c r="T334" s="79"/>
      <c r="U334" s="79"/>
      <c r="V334" s="79"/>
      <c r="W334" s="79"/>
      <c r="X334" s="79"/>
      <c r="Y334" s="79"/>
      <c r="Z334" s="79"/>
      <c r="AA334" s="79"/>
      <c r="AB334" s="79"/>
      <c r="AC334" s="79"/>
      <c r="AD334" s="79"/>
    </row>
    <row r="335" spans="20:30" s="15" customFormat="1" x14ac:dyDescent="0.2">
      <c r="T335" s="79"/>
      <c r="U335" s="79"/>
      <c r="V335" s="79"/>
      <c r="W335" s="79"/>
      <c r="X335" s="79"/>
      <c r="Y335" s="79"/>
      <c r="Z335" s="79"/>
      <c r="AA335" s="79"/>
      <c r="AB335" s="79"/>
      <c r="AC335" s="79"/>
      <c r="AD335" s="79"/>
    </row>
    <row r="336" spans="20:30" s="15" customFormat="1" x14ac:dyDescent="0.2">
      <c r="T336" s="79"/>
      <c r="U336" s="79"/>
      <c r="V336" s="79"/>
      <c r="W336" s="79"/>
      <c r="X336" s="79"/>
      <c r="Y336" s="79"/>
      <c r="Z336" s="79"/>
      <c r="AA336" s="79"/>
      <c r="AB336" s="79"/>
      <c r="AC336" s="79"/>
      <c r="AD336" s="79"/>
    </row>
    <row r="337" spans="20:30" s="15" customFormat="1" x14ac:dyDescent="0.2">
      <c r="T337" s="79"/>
      <c r="U337" s="79"/>
      <c r="V337" s="79"/>
      <c r="W337" s="79"/>
      <c r="X337" s="79"/>
      <c r="Y337" s="79"/>
      <c r="Z337" s="79"/>
      <c r="AA337" s="79"/>
      <c r="AB337" s="79"/>
      <c r="AC337" s="79"/>
      <c r="AD337" s="79"/>
    </row>
    <row r="338" spans="20:30" s="15" customFormat="1" x14ac:dyDescent="0.2">
      <c r="T338" s="79"/>
      <c r="U338" s="79"/>
      <c r="V338" s="79"/>
      <c r="W338" s="79"/>
      <c r="X338" s="79"/>
      <c r="Y338" s="79"/>
      <c r="Z338" s="79"/>
      <c r="AA338" s="79"/>
      <c r="AB338" s="79"/>
      <c r="AC338" s="79"/>
      <c r="AD338" s="79"/>
    </row>
    <row r="339" spans="20:30" s="15" customFormat="1" x14ac:dyDescent="0.2">
      <c r="T339" s="79"/>
      <c r="U339" s="79"/>
      <c r="V339" s="79"/>
      <c r="W339" s="79"/>
      <c r="X339" s="79"/>
      <c r="Y339" s="79"/>
      <c r="Z339" s="79"/>
      <c r="AA339" s="79"/>
      <c r="AB339" s="79"/>
      <c r="AC339" s="79"/>
      <c r="AD339" s="79"/>
    </row>
    <row r="340" spans="20:30" s="15" customFormat="1" x14ac:dyDescent="0.2">
      <c r="T340" s="79"/>
      <c r="U340" s="79"/>
      <c r="V340" s="79"/>
      <c r="W340" s="79"/>
      <c r="X340" s="79"/>
      <c r="Y340" s="79"/>
      <c r="Z340" s="79"/>
      <c r="AA340" s="79"/>
      <c r="AB340" s="79"/>
      <c r="AC340" s="79"/>
      <c r="AD340" s="79"/>
    </row>
    <row r="341" spans="20:30" s="15" customFormat="1" x14ac:dyDescent="0.2">
      <c r="T341" s="79"/>
      <c r="U341" s="79"/>
      <c r="V341" s="79"/>
      <c r="W341" s="79"/>
      <c r="X341" s="79"/>
      <c r="Y341" s="79"/>
      <c r="Z341" s="79"/>
      <c r="AA341" s="79"/>
      <c r="AB341" s="79"/>
      <c r="AC341" s="79"/>
      <c r="AD341" s="79"/>
    </row>
    <row r="342" spans="20:30" s="15" customFormat="1" x14ac:dyDescent="0.2">
      <c r="T342" s="79"/>
      <c r="U342" s="79"/>
      <c r="V342" s="79"/>
      <c r="W342" s="79"/>
      <c r="X342" s="79"/>
      <c r="Y342" s="79"/>
      <c r="Z342" s="79"/>
      <c r="AA342" s="79"/>
      <c r="AB342" s="79"/>
      <c r="AC342" s="79"/>
      <c r="AD342" s="79"/>
    </row>
    <row r="343" spans="20:30" s="15" customFormat="1" x14ac:dyDescent="0.2">
      <c r="T343" s="79"/>
      <c r="U343" s="79"/>
      <c r="V343" s="79"/>
      <c r="W343" s="79"/>
      <c r="X343" s="79"/>
      <c r="Y343" s="79"/>
      <c r="Z343" s="79"/>
      <c r="AA343" s="79"/>
      <c r="AB343" s="79"/>
      <c r="AC343" s="79"/>
      <c r="AD343" s="79"/>
    </row>
    <row r="344" spans="20:30" s="15" customFormat="1" x14ac:dyDescent="0.2">
      <c r="T344" s="79"/>
      <c r="U344" s="79"/>
      <c r="V344" s="79"/>
      <c r="W344" s="79"/>
      <c r="X344" s="79"/>
      <c r="Y344" s="79"/>
      <c r="Z344" s="79"/>
      <c r="AA344" s="79"/>
      <c r="AB344" s="79"/>
      <c r="AC344" s="79"/>
      <c r="AD344" s="79"/>
    </row>
    <row r="345" spans="20:30" s="15" customFormat="1" x14ac:dyDescent="0.2">
      <c r="T345" s="79"/>
      <c r="U345" s="79"/>
      <c r="V345" s="79"/>
      <c r="W345" s="79"/>
      <c r="X345" s="79"/>
      <c r="Y345" s="79"/>
      <c r="Z345" s="79"/>
      <c r="AA345" s="79"/>
      <c r="AB345" s="79"/>
      <c r="AC345" s="79"/>
      <c r="AD345" s="79"/>
    </row>
    <row r="346" spans="20:30" s="15" customFormat="1" x14ac:dyDescent="0.2">
      <c r="T346" s="79"/>
      <c r="U346" s="79"/>
      <c r="V346" s="79"/>
      <c r="W346" s="79"/>
      <c r="X346" s="79"/>
      <c r="Y346" s="79"/>
      <c r="Z346" s="79"/>
      <c r="AA346" s="79"/>
      <c r="AB346" s="79"/>
      <c r="AC346" s="79"/>
      <c r="AD346" s="79"/>
    </row>
    <row r="347" spans="20:30" s="15" customFormat="1" x14ac:dyDescent="0.2">
      <c r="T347" s="79"/>
      <c r="U347" s="79"/>
      <c r="V347" s="79"/>
      <c r="W347" s="79"/>
      <c r="X347" s="79"/>
      <c r="Y347" s="79"/>
      <c r="Z347" s="79"/>
      <c r="AA347" s="79"/>
      <c r="AB347" s="79"/>
      <c r="AC347" s="79"/>
      <c r="AD347" s="79"/>
    </row>
    <row r="348" spans="20:30" s="15" customFormat="1" x14ac:dyDescent="0.2">
      <c r="T348" s="79"/>
      <c r="U348" s="79"/>
      <c r="V348" s="79"/>
      <c r="W348" s="79"/>
      <c r="X348" s="79"/>
      <c r="Y348" s="79"/>
      <c r="Z348" s="79"/>
      <c r="AA348" s="79"/>
      <c r="AB348" s="79"/>
      <c r="AC348" s="79"/>
      <c r="AD348" s="79"/>
    </row>
    <row r="349" spans="20:30" s="15" customFormat="1" x14ac:dyDescent="0.2">
      <c r="T349" s="79"/>
      <c r="U349" s="79"/>
      <c r="V349" s="79"/>
      <c r="W349" s="79"/>
      <c r="X349" s="79"/>
      <c r="Y349" s="79"/>
      <c r="Z349" s="79"/>
      <c r="AA349" s="79"/>
      <c r="AB349" s="79"/>
      <c r="AC349" s="79"/>
      <c r="AD349" s="79"/>
    </row>
    <row r="350" spans="20:30" s="15" customFormat="1" x14ac:dyDescent="0.2">
      <c r="T350" s="79"/>
      <c r="U350" s="79"/>
      <c r="V350" s="79"/>
      <c r="W350" s="79"/>
      <c r="X350" s="79"/>
      <c r="Y350" s="79"/>
      <c r="Z350" s="79"/>
      <c r="AA350" s="79"/>
      <c r="AB350" s="79"/>
      <c r="AC350" s="79"/>
      <c r="AD350" s="79"/>
    </row>
    <row r="351" spans="20:30" s="15" customFormat="1" x14ac:dyDescent="0.2">
      <c r="T351" s="79"/>
      <c r="U351" s="79"/>
      <c r="V351" s="79"/>
      <c r="W351" s="79"/>
      <c r="X351" s="79"/>
      <c r="Y351" s="79"/>
      <c r="Z351" s="79"/>
      <c r="AA351" s="79"/>
      <c r="AB351" s="79"/>
      <c r="AC351" s="79"/>
      <c r="AD351" s="79"/>
    </row>
    <row r="352" spans="20:30" s="15" customFormat="1" x14ac:dyDescent="0.2">
      <c r="T352" s="79"/>
      <c r="U352" s="79"/>
      <c r="V352" s="79"/>
      <c r="W352" s="79"/>
      <c r="X352" s="79"/>
      <c r="Y352" s="79"/>
      <c r="Z352" s="79"/>
      <c r="AA352" s="79"/>
      <c r="AB352" s="79"/>
      <c r="AC352" s="79"/>
      <c r="AD352" s="79"/>
    </row>
    <row r="353" spans="20:30" s="15" customFormat="1" x14ac:dyDescent="0.2">
      <c r="T353" s="79"/>
      <c r="U353" s="79"/>
      <c r="V353" s="79"/>
      <c r="W353" s="79"/>
      <c r="X353" s="79"/>
      <c r="Y353" s="79"/>
      <c r="Z353" s="79"/>
      <c r="AA353" s="79"/>
      <c r="AB353" s="79"/>
      <c r="AC353" s="79"/>
      <c r="AD353" s="79"/>
    </row>
    <row r="354" spans="20:30" s="15" customFormat="1" x14ac:dyDescent="0.2">
      <c r="T354" s="79"/>
      <c r="U354" s="79"/>
      <c r="V354" s="79"/>
      <c r="W354" s="79"/>
      <c r="X354" s="79"/>
      <c r="Y354" s="79"/>
      <c r="Z354" s="79"/>
      <c r="AA354" s="79"/>
      <c r="AB354" s="79"/>
      <c r="AC354" s="79"/>
      <c r="AD354" s="79"/>
    </row>
    <row r="355" spans="20:30" s="15" customFormat="1" x14ac:dyDescent="0.2">
      <c r="T355" s="79"/>
      <c r="U355" s="79"/>
      <c r="V355" s="79"/>
      <c r="W355" s="79"/>
      <c r="X355" s="79"/>
      <c r="Y355" s="79"/>
      <c r="Z355" s="79"/>
      <c r="AA355" s="79"/>
      <c r="AB355" s="79"/>
      <c r="AC355" s="79"/>
      <c r="AD355" s="79"/>
    </row>
    <row r="356" spans="20:30" s="15" customFormat="1" x14ac:dyDescent="0.2">
      <c r="T356" s="79"/>
      <c r="U356" s="79"/>
      <c r="V356" s="79"/>
      <c r="W356" s="79"/>
      <c r="X356" s="79"/>
      <c r="Y356" s="79"/>
      <c r="Z356" s="79"/>
      <c r="AA356" s="79"/>
      <c r="AB356" s="79"/>
      <c r="AC356" s="79"/>
      <c r="AD356" s="79"/>
    </row>
    <row r="357" spans="20:30" s="15" customFormat="1" x14ac:dyDescent="0.2">
      <c r="T357" s="79"/>
      <c r="U357" s="79"/>
      <c r="V357" s="79"/>
      <c r="W357" s="79"/>
      <c r="X357" s="79"/>
      <c r="Y357" s="79"/>
      <c r="Z357" s="79"/>
      <c r="AA357" s="79"/>
      <c r="AB357" s="79"/>
      <c r="AC357" s="79"/>
      <c r="AD357" s="79"/>
    </row>
    <row r="358" spans="20:30" s="15" customFormat="1" x14ac:dyDescent="0.2">
      <c r="T358" s="79"/>
      <c r="U358" s="79"/>
      <c r="V358" s="79"/>
      <c r="W358" s="79"/>
      <c r="X358" s="79"/>
      <c r="Y358" s="79"/>
      <c r="Z358" s="79"/>
      <c r="AA358" s="79"/>
      <c r="AB358" s="79"/>
      <c r="AC358" s="79"/>
      <c r="AD358" s="79"/>
    </row>
    <row r="359" spans="20:30" s="15" customFormat="1" x14ac:dyDescent="0.2">
      <c r="T359" s="79"/>
      <c r="U359" s="79"/>
      <c r="V359" s="79"/>
      <c r="W359" s="79"/>
      <c r="X359" s="79"/>
      <c r="Y359" s="79"/>
      <c r="Z359" s="79"/>
      <c r="AA359" s="79"/>
      <c r="AB359" s="79"/>
      <c r="AC359" s="79"/>
      <c r="AD359" s="79"/>
    </row>
    <row r="360" spans="20:30" s="15" customFormat="1" x14ac:dyDescent="0.2">
      <c r="T360" s="79"/>
      <c r="U360" s="79"/>
      <c r="V360" s="79"/>
      <c r="W360" s="79"/>
      <c r="X360" s="79"/>
      <c r="Y360" s="79"/>
      <c r="Z360" s="79"/>
      <c r="AA360" s="79"/>
      <c r="AB360" s="79"/>
      <c r="AC360" s="79"/>
      <c r="AD360" s="79"/>
    </row>
    <row r="361" spans="20:30" s="15" customFormat="1" x14ac:dyDescent="0.2">
      <c r="T361" s="79"/>
      <c r="U361" s="79"/>
      <c r="V361" s="79"/>
      <c r="W361" s="79"/>
      <c r="X361" s="79"/>
      <c r="Y361" s="79"/>
      <c r="Z361" s="79"/>
      <c r="AA361" s="79"/>
      <c r="AB361" s="79"/>
      <c r="AC361" s="79"/>
      <c r="AD361" s="79"/>
    </row>
    <row r="362" spans="20:30" s="15" customFormat="1" x14ac:dyDescent="0.2">
      <c r="T362" s="79"/>
      <c r="U362" s="79"/>
      <c r="V362" s="79"/>
      <c r="W362" s="79"/>
      <c r="X362" s="79"/>
      <c r="Y362" s="79"/>
      <c r="Z362" s="79"/>
      <c r="AA362" s="79"/>
      <c r="AB362" s="79"/>
      <c r="AC362" s="79"/>
      <c r="AD362" s="79"/>
    </row>
    <row r="363" spans="20:30" s="15" customFormat="1" x14ac:dyDescent="0.2">
      <c r="T363" s="79"/>
      <c r="U363" s="79"/>
      <c r="V363" s="79"/>
      <c r="W363" s="79"/>
      <c r="X363" s="79"/>
      <c r="Y363" s="79"/>
      <c r="Z363" s="79"/>
      <c r="AA363" s="79"/>
      <c r="AB363" s="79"/>
      <c r="AC363" s="79"/>
      <c r="AD363" s="79"/>
    </row>
    <row r="364" spans="20:30" s="15" customFormat="1" x14ac:dyDescent="0.2">
      <c r="T364" s="79"/>
      <c r="U364" s="79"/>
      <c r="V364" s="79"/>
      <c r="W364" s="79"/>
      <c r="X364" s="79"/>
      <c r="Y364" s="79"/>
      <c r="Z364" s="79"/>
      <c r="AA364" s="79"/>
      <c r="AB364" s="79"/>
      <c r="AC364" s="79"/>
      <c r="AD364" s="79"/>
    </row>
    <row r="365" spans="20:30" s="15" customFormat="1" x14ac:dyDescent="0.2">
      <c r="T365" s="79"/>
      <c r="U365" s="79"/>
      <c r="V365" s="79"/>
      <c r="W365" s="79"/>
      <c r="X365" s="79"/>
      <c r="Y365" s="79"/>
      <c r="Z365" s="79"/>
      <c r="AA365" s="79"/>
      <c r="AB365" s="79"/>
      <c r="AC365" s="79"/>
      <c r="AD365" s="79"/>
    </row>
    <row r="366" spans="20:30" s="15" customFormat="1" x14ac:dyDescent="0.2">
      <c r="T366" s="79"/>
      <c r="U366" s="79"/>
      <c r="V366" s="79"/>
      <c r="W366" s="79"/>
      <c r="X366" s="79"/>
      <c r="Y366" s="79"/>
      <c r="Z366" s="79"/>
      <c r="AA366" s="79"/>
      <c r="AB366" s="79"/>
      <c r="AC366" s="79"/>
      <c r="AD366" s="79"/>
    </row>
    <row r="367" spans="20:30" s="15" customFormat="1" x14ac:dyDescent="0.2">
      <c r="T367" s="79"/>
      <c r="U367" s="79"/>
      <c r="V367" s="79"/>
      <c r="W367" s="79"/>
      <c r="X367" s="79"/>
      <c r="Y367" s="79"/>
      <c r="Z367" s="79"/>
      <c r="AA367" s="79"/>
      <c r="AB367" s="79"/>
      <c r="AC367" s="79"/>
      <c r="AD367" s="79"/>
    </row>
    <row r="368" spans="20:30" s="15" customFormat="1" x14ac:dyDescent="0.2">
      <c r="T368" s="79"/>
      <c r="U368" s="79"/>
      <c r="V368" s="79"/>
      <c r="W368" s="79"/>
      <c r="X368" s="79"/>
      <c r="Y368" s="79"/>
      <c r="Z368" s="79"/>
      <c r="AA368" s="79"/>
      <c r="AB368" s="79"/>
      <c r="AC368" s="79"/>
      <c r="AD368" s="79"/>
    </row>
    <row r="369" spans="20:30" s="15" customFormat="1" x14ac:dyDescent="0.2">
      <c r="T369" s="79"/>
      <c r="U369" s="79"/>
      <c r="V369" s="79"/>
      <c r="W369" s="79"/>
      <c r="X369" s="79"/>
      <c r="Y369" s="79"/>
      <c r="Z369" s="79"/>
      <c r="AA369" s="79"/>
      <c r="AB369" s="79"/>
      <c r="AC369" s="79"/>
      <c r="AD369" s="79"/>
    </row>
    <row r="370" spans="20:30" s="15" customFormat="1" x14ac:dyDescent="0.2">
      <c r="T370" s="79"/>
      <c r="U370" s="79"/>
      <c r="V370" s="79"/>
      <c r="W370" s="79"/>
      <c r="X370" s="79"/>
      <c r="Y370" s="79"/>
      <c r="Z370" s="79"/>
      <c r="AA370" s="79"/>
      <c r="AB370" s="79"/>
      <c r="AC370" s="79"/>
      <c r="AD370" s="79"/>
    </row>
    <row r="371" spans="20:30" s="15" customFormat="1" x14ac:dyDescent="0.2">
      <c r="T371" s="79"/>
      <c r="U371" s="79"/>
      <c r="V371" s="79"/>
      <c r="W371" s="79"/>
      <c r="X371" s="79"/>
      <c r="Y371" s="79"/>
      <c r="Z371" s="79"/>
      <c r="AA371" s="79"/>
      <c r="AB371" s="79"/>
      <c r="AC371" s="79"/>
      <c r="AD371" s="79"/>
    </row>
    <row r="372" spans="20:30" s="15" customFormat="1" x14ac:dyDescent="0.2">
      <c r="T372" s="79"/>
      <c r="U372" s="79"/>
      <c r="V372" s="79"/>
      <c r="W372" s="79"/>
      <c r="X372" s="79"/>
      <c r="Y372" s="79"/>
      <c r="Z372" s="79"/>
      <c r="AA372" s="79"/>
      <c r="AB372" s="79"/>
      <c r="AC372" s="79"/>
      <c r="AD372" s="79"/>
    </row>
    <row r="373" spans="20:30" s="15" customFormat="1" x14ac:dyDescent="0.2">
      <c r="T373" s="79"/>
      <c r="U373" s="79"/>
      <c r="V373" s="79"/>
      <c r="W373" s="79"/>
      <c r="X373" s="79"/>
      <c r="Y373" s="79"/>
      <c r="Z373" s="79"/>
      <c r="AA373" s="79"/>
      <c r="AB373" s="79"/>
      <c r="AC373" s="79"/>
      <c r="AD373" s="79"/>
    </row>
    <row r="374" spans="20:30" s="15" customFormat="1" x14ac:dyDescent="0.2">
      <c r="T374" s="79"/>
      <c r="U374" s="79"/>
      <c r="V374" s="79"/>
      <c r="W374" s="79"/>
      <c r="X374" s="79"/>
      <c r="Y374" s="79"/>
      <c r="Z374" s="79"/>
      <c r="AA374" s="79"/>
      <c r="AB374" s="79"/>
      <c r="AC374" s="79"/>
      <c r="AD374" s="79"/>
    </row>
    <row r="375" spans="20:30" s="15" customFormat="1" x14ac:dyDescent="0.2">
      <c r="T375" s="79"/>
      <c r="U375" s="79"/>
      <c r="V375" s="79"/>
      <c r="W375" s="79"/>
      <c r="X375" s="79"/>
      <c r="Y375" s="79"/>
      <c r="Z375" s="79"/>
      <c r="AA375" s="79"/>
      <c r="AB375" s="79"/>
      <c r="AC375" s="79"/>
      <c r="AD375" s="79"/>
    </row>
    <row r="376" spans="20:30" s="15" customFormat="1" x14ac:dyDescent="0.2">
      <c r="T376" s="79"/>
      <c r="U376" s="79"/>
      <c r="V376" s="79"/>
      <c r="W376" s="79"/>
      <c r="X376" s="79"/>
      <c r="Y376" s="79"/>
      <c r="Z376" s="79"/>
      <c r="AA376" s="79"/>
      <c r="AB376" s="79"/>
      <c r="AC376" s="79"/>
      <c r="AD376" s="79"/>
    </row>
  </sheetData>
  <sheetProtection password="E65B" sheet="1" objects="1" scenarios="1"/>
  <mergeCells count="9">
    <mergeCell ref="G21:K22"/>
    <mergeCell ref="L21:M22"/>
    <mergeCell ref="N21:O22"/>
    <mergeCell ref="P21:Q22"/>
    <mergeCell ref="D2:S2"/>
    <mergeCell ref="E4:F4"/>
    <mergeCell ref="H4:K4"/>
    <mergeCell ref="V11:X11"/>
    <mergeCell ref="E10:F10"/>
  </mergeCells>
  <phoneticPr fontId="2" type="noConversion"/>
  <printOptions horizontalCentered="1" verticalCentered="1"/>
  <pageMargins left="0.78740157480314965" right="0.78740157480314965" top="0.98425196850393704" bottom="0.98425196850393704" header="0" footer="0"/>
  <pageSetup paperSize="9" scale="94" orientation="landscape" horizontalDpi="4294967292"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7"/>
    <pageSetUpPr fitToPage="1"/>
  </sheetPr>
  <dimension ref="B1:BM214"/>
  <sheetViews>
    <sheetView showGridLines="0" showRowColHeaders="0" showOutlineSymbols="0" zoomScaleNormal="100" workbookViewId="0">
      <pane xSplit="86" ySplit="128" topLeftCell="CI129" activePane="bottomRight" state="frozen"/>
      <selection pane="topRight" activeCell="CH1" sqref="CH1"/>
      <selection pane="bottomLeft" activeCell="A130" sqref="A130"/>
      <selection pane="bottomRight" activeCell="Y6" sqref="Y6"/>
    </sheetView>
  </sheetViews>
  <sheetFormatPr baseColWidth="10" defaultRowHeight="15" x14ac:dyDescent="0.2"/>
  <cols>
    <col min="1" max="1" width="0" hidden="1" customWidth="1"/>
    <col min="2" max="2" width="4.28515625" style="15" customWidth="1"/>
    <col min="3" max="3" width="4.140625" style="15" customWidth="1"/>
    <col min="4" max="4" width="0.85546875" style="4" customWidth="1"/>
    <col min="5" max="5" width="15.7109375" customWidth="1"/>
    <col min="6" max="6" width="10.28515625" customWidth="1"/>
    <col min="7" max="18" width="8" customWidth="1"/>
    <col min="19" max="19" width="0.5703125" customWidth="1"/>
    <col min="20" max="20" width="1.42578125" style="79" customWidth="1"/>
    <col min="21" max="30" width="4.7109375" style="79" customWidth="1"/>
    <col min="31" max="50" width="4.7109375" style="15" customWidth="1"/>
    <col min="51" max="51" width="20.7109375" style="15" customWidth="1"/>
    <col min="52" max="65" width="11.42578125" style="15"/>
  </cols>
  <sheetData>
    <row r="1" spans="2:65" s="39" customFormat="1" ht="9.9499999999999993" customHeight="1" thickBot="1" x14ac:dyDescent="0.25">
      <c r="B1" s="296"/>
      <c r="C1" s="296"/>
      <c r="D1" s="296"/>
      <c r="E1" s="296"/>
      <c r="F1" s="296"/>
      <c r="G1" s="296"/>
      <c r="H1" s="296"/>
      <c r="I1" s="296"/>
      <c r="J1" s="296"/>
      <c r="K1" s="296"/>
      <c r="L1" s="296"/>
      <c r="M1" s="296"/>
      <c r="N1" s="296"/>
      <c r="O1" s="296"/>
      <c r="P1" s="296"/>
      <c r="Q1" s="296"/>
      <c r="R1" s="296"/>
      <c r="S1" s="296"/>
      <c r="T1" s="402"/>
      <c r="U1" s="402"/>
      <c r="V1" s="402"/>
      <c r="W1" s="402"/>
      <c r="X1" s="402"/>
      <c r="Y1" s="402"/>
      <c r="Z1" s="402"/>
      <c r="AA1" s="402"/>
      <c r="AB1" s="402"/>
      <c r="AC1" s="402"/>
      <c r="AD1" s="402"/>
      <c r="AE1" s="296"/>
      <c r="AF1" s="296"/>
      <c r="AG1" s="296"/>
      <c r="AH1" s="296"/>
      <c r="AI1" s="296"/>
      <c r="AJ1" s="296"/>
      <c r="AK1" s="296"/>
      <c r="AL1" s="296"/>
      <c r="AM1" s="296"/>
      <c r="AN1" s="296"/>
      <c r="AO1" s="296"/>
      <c r="AP1" s="296"/>
      <c r="AQ1" s="296"/>
      <c r="AR1" s="296"/>
      <c r="AS1" s="296"/>
      <c r="AT1" s="296"/>
      <c r="AU1" s="296"/>
      <c r="AV1" s="296"/>
      <c r="AW1" s="296"/>
      <c r="AX1" s="296"/>
      <c r="AY1" s="297"/>
    </row>
    <row r="2" spans="2:65" s="46" customFormat="1" ht="30" customHeight="1" thickBot="1" x14ac:dyDescent="0.25">
      <c r="B2" s="296"/>
      <c r="C2" s="296"/>
      <c r="D2" s="1437" t="s">
        <v>1060</v>
      </c>
      <c r="E2" s="1367"/>
      <c r="F2" s="1367"/>
      <c r="G2" s="1367"/>
      <c r="H2" s="1367"/>
      <c r="I2" s="1367"/>
      <c r="J2" s="1367"/>
      <c r="K2" s="1367"/>
      <c r="L2" s="1367"/>
      <c r="M2" s="1367"/>
      <c r="N2" s="1367"/>
      <c r="O2" s="1367"/>
      <c r="P2" s="1367"/>
      <c r="Q2" s="1367"/>
      <c r="R2" s="1367"/>
      <c r="S2" s="1456"/>
      <c r="T2" s="298"/>
      <c r="U2" s="298"/>
      <c r="V2" s="298"/>
      <c r="W2" s="298"/>
      <c r="X2" s="298"/>
      <c r="Y2" s="298"/>
      <c r="Z2" s="298"/>
      <c r="AA2" s="298"/>
      <c r="AB2" s="298"/>
      <c r="AC2" s="298"/>
      <c r="AD2" s="298"/>
      <c r="AE2" s="411"/>
      <c r="AF2" s="411"/>
      <c r="AG2" s="411"/>
      <c r="AH2" s="296"/>
      <c r="AI2" s="296"/>
      <c r="AJ2" s="296"/>
      <c r="AK2" s="296"/>
      <c r="AL2" s="296"/>
      <c r="AM2" s="296"/>
      <c r="AN2" s="296"/>
      <c r="AO2" s="296"/>
      <c r="AP2" s="296"/>
      <c r="AQ2" s="296"/>
      <c r="AR2" s="296"/>
      <c r="AS2" s="296"/>
      <c r="AT2" s="296"/>
      <c r="AU2" s="296"/>
      <c r="AV2" s="296"/>
      <c r="AW2" s="296"/>
      <c r="AX2" s="296"/>
      <c r="AY2" s="297"/>
      <c r="AZ2" s="39"/>
      <c r="BA2" s="39"/>
      <c r="BB2" s="39"/>
      <c r="BC2" s="39"/>
      <c r="BD2" s="39"/>
      <c r="BE2" s="39"/>
      <c r="BF2" s="39"/>
      <c r="BG2" s="39"/>
      <c r="BH2" s="39"/>
      <c r="BI2" s="39"/>
      <c r="BJ2" s="39"/>
      <c r="BK2" s="39"/>
      <c r="BL2" s="39"/>
      <c r="BM2" s="39"/>
    </row>
    <row r="3" spans="2:65" s="46" customFormat="1" ht="20.100000000000001" customHeight="1" x14ac:dyDescent="0.2">
      <c r="B3" s="402"/>
      <c r="C3" s="402"/>
      <c r="D3" s="1160"/>
      <c r="E3" s="1130"/>
      <c r="F3" s="1130"/>
      <c r="G3" s="1130"/>
      <c r="H3" s="1130"/>
      <c r="I3" s="1130"/>
      <c r="J3" s="1130"/>
      <c r="K3" s="1130"/>
      <c r="L3" s="1130"/>
      <c r="M3" s="1130"/>
      <c r="N3" s="1130"/>
      <c r="O3" s="1130"/>
      <c r="P3" s="1130"/>
      <c r="Q3" s="1130"/>
      <c r="R3" s="1130"/>
      <c r="S3" s="1161"/>
      <c r="T3" s="299"/>
      <c r="U3" s="299"/>
      <c r="V3" s="299"/>
      <c r="W3" s="299"/>
      <c r="X3" s="299"/>
      <c r="Y3" s="299"/>
      <c r="Z3" s="299"/>
      <c r="AA3" s="299"/>
      <c r="AB3" s="299"/>
      <c r="AC3" s="299"/>
      <c r="AD3" s="299"/>
      <c r="AE3" s="7"/>
      <c r="AF3" s="7"/>
      <c r="AG3" s="7"/>
      <c r="AH3" s="39"/>
      <c r="AI3" s="39"/>
      <c r="AJ3" s="39"/>
      <c r="AK3" s="39"/>
      <c r="AL3" s="39"/>
      <c r="AM3" s="39"/>
      <c r="AN3" s="39"/>
      <c r="AO3" s="39"/>
      <c r="AP3" s="39"/>
      <c r="AQ3" s="39"/>
      <c r="AR3" s="39"/>
      <c r="AS3" s="39"/>
      <c r="AT3" s="39"/>
      <c r="AU3" s="39"/>
      <c r="AV3" s="39"/>
      <c r="AW3" s="39"/>
      <c r="AX3" s="39"/>
      <c r="AY3" s="297"/>
      <c r="AZ3" s="39"/>
      <c r="BA3" s="39"/>
      <c r="BB3" s="39"/>
      <c r="BC3" s="39"/>
      <c r="BD3" s="39"/>
      <c r="BE3" s="39"/>
      <c r="BF3" s="39"/>
      <c r="BG3" s="39"/>
      <c r="BH3" s="39"/>
      <c r="BI3" s="39"/>
      <c r="BJ3" s="39"/>
      <c r="BK3" s="39"/>
      <c r="BL3" s="39"/>
      <c r="BM3" s="39"/>
    </row>
    <row r="4" spans="2:65" s="46" customFormat="1" ht="12.75" customHeight="1" x14ac:dyDescent="0.2">
      <c r="B4" s="402"/>
      <c r="C4" s="402"/>
      <c r="D4" s="1160"/>
      <c r="E4" s="1489" t="s">
        <v>1061</v>
      </c>
      <c r="F4" s="1490"/>
      <c r="G4" s="752" t="str">
        <f>'3'!G16</f>
        <v>Enero</v>
      </c>
      <c r="H4" s="752" t="str">
        <f>'3'!H16</f>
        <v>Febrero</v>
      </c>
      <c r="I4" s="752" t="str">
        <f>'3'!I16</f>
        <v>Marzo</v>
      </c>
      <c r="J4" s="752" t="str">
        <f>'3'!J16</f>
        <v>Abril</v>
      </c>
      <c r="K4" s="752" t="str">
        <f>'3'!K16</f>
        <v xml:space="preserve">Mayo </v>
      </c>
      <c r="L4" s="752" t="str">
        <f>'3'!L16</f>
        <v>Junio</v>
      </c>
      <c r="M4" s="752" t="str">
        <f>'3'!M16</f>
        <v>Julio</v>
      </c>
      <c r="N4" s="752" t="str">
        <f>'3'!N16</f>
        <v>Agosto</v>
      </c>
      <c r="O4" s="752" t="str">
        <f>'3'!O16</f>
        <v>Septiembre</v>
      </c>
      <c r="P4" s="752" t="str">
        <f>'3'!P16</f>
        <v>Octubre</v>
      </c>
      <c r="Q4" s="752" t="str">
        <f>'3'!Q16</f>
        <v>Noviembre</v>
      </c>
      <c r="R4" s="753" t="str">
        <f>'3'!R16</f>
        <v>Diciembre</v>
      </c>
      <c r="S4" s="1161"/>
      <c r="T4" s="299"/>
      <c r="U4" s="299"/>
      <c r="V4" s="299"/>
      <c r="W4" s="299"/>
      <c r="X4" s="299"/>
      <c r="Y4" s="299"/>
      <c r="Z4" s="299"/>
      <c r="AA4" s="299"/>
      <c r="AB4" s="299"/>
      <c r="AC4" s="299"/>
      <c r="AD4" s="299"/>
      <c r="AE4" s="7"/>
      <c r="AF4" s="7"/>
      <c r="AG4" s="7"/>
      <c r="AH4" s="39"/>
      <c r="AI4" s="39"/>
      <c r="AJ4" s="39"/>
      <c r="AK4" s="39"/>
      <c r="AL4" s="39"/>
      <c r="AM4" s="39"/>
      <c r="AN4" s="39"/>
      <c r="AO4" s="39"/>
      <c r="AP4" s="39"/>
      <c r="AQ4" s="39"/>
      <c r="AR4" s="39"/>
      <c r="AS4" s="39"/>
      <c r="AT4" s="39"/>
      <c r="AU4" s="39"/>
      <c r="AV4" s="39"/>
      <c r="AW4" s="39"/>
      <c r="AX4" s="39"/>
      <c r="AY4" s="297"/>
      <c r="AZ4" s="39"/>
      <c r="BA4" s="39"/>
      <c r="BB4" s="39"/>
      <c r="BC4" s="39"/>
      <c r="BD4" s="39"/>
      <c r="BE4" s="39"/>
      <c r="BF4" s="39"/>
      <c r="BG4" s="39"/>
      <c r="BH4" s="39"/>
      <c r="BI4" s="39"/>
      <c r="BJ4" s="39"/>
      <c r="BK4" s="39"/>
      <c r="BL4" s="39"/>
      <c r="BM4" s="39"/>
    </row>
    <row r="5" spans="2:65" s="46" customFormat="1" ht="9.9499999999999993" customHeight="1" x14ac:dyDescent="0.2">
      <c r="B5" s="402"/>
      <c r="C5" s="402"/>
      <c r="D5" s="1160"/>
      <c r="E5" s="1130"/>
      <c r="F5" s="1130"/>
      <c r="G5" s="1130"/>
      <c r="H5" s="1130"/>
      <c r="I5" s="1130"/>
      <c r="J5" s="1130"/>
      <c r="K5" s="1130"/>
      <c r="L5" s="1130"/>
      <c r="M5" s="1130"/>
      <c r="N5" s="1130"/>
      <c r="O5" s="1130"/>
      <c r="P5" s="1130"/>
      <c r="Q5" s="1130"/>
      <c r="R5" s="1130"/>
      <c r="S5" s="1161"/>
      <c r="T5" s="299"/>
      <c r="U5" s="299"/>
      <c r="V5" s="299"/>
      <c r="W5" s="299"/>
      <c r="X5" s="299"/>
      <c r="Y5" s="299"/>
      <c r="Z5" s="299"/>
      <c r="AA5" s="299"/>
      <c r="AB5" s="299"/>
      <c r="AC5" s="299"/>
      <c r="AD5" s="299"/>
      <c r="AE5" s="7"/>
      <c r="AF5" s="7"/>
      <c r="AG5" s="7"/>
      <c r="AH5" s="39"/>
      <c r="AI5" s="39"/>
      <c r="AJ5" s="39"/>
      <c r="AK5" s="39"/>
      <c r="AL5" s="39"/>
      <c r="AM5" s="39"/>
      <c r="AN5" s="39"/>
      <c r="AO5" s="39"/>
      <c r="AP5" s="39"/>
      <c r="AQ5" s="39"/>
      <c r="AR5" s="39"/>
      <c r="AS5" s="39"/>
      <c r="AT5" s="39"/>
      <c r="AU5" s="39"/>
      <c r="AV5" s="39"/>
      <c r="AW5" s="39"/>
      <c r="AX5" s="39"/>
      <c r="AY5" s="297"/>
      <c r="AZ5" s="39"/>
      <c r="BA5" s="39"/>
      <c r="BB5" s="39"/>
      <c r="BC5" s="39"/>
      <c r="BD5" s="39"/>
      <c r="BE5" s="39"/>
      <c r="BF5" s="39"/>
      <c r="BG5" s="39"/>
      <c r="BH5" s="39"/>
      <c r="BI5" s="39"/>
      <c r="BJ5" s="39"/>
      <c r="BK5" s="39"/>
      <c r="BL5" s="39"/>
      <c r="BM5" s="39"/>
    </row>
    <row r="6" spans="2:65" s="46" customFormat="1" ht="12.75" customHeight="1" x14ac:dyDescent="0.2">
      <c r="B6" s="402"/>
      <c r="C6" s="402"/>
      <c r="D6" s="1160"/>
      <c r="E6" s="1491" t="s">
        <v>769</v>
      </c>
      <c r="F6" s="1492"/>
      <c r="G6" s="746">
        <f>INFORME!G238</f>
        <v>0</v>
      </c>
      <c r="H6" s="701">
        <f>INFORME!H238</f>
        <v>0</v>
      </c>
      <c r="I6" s="701">
        <f>INFORME!I238</f>
        <v>0</v>
      </c>
      <c r="J6" s="701">
        <f>INFORME!J238</f>
        <v>0</v>
      </c>
      <c r="K6" s="701">
        <f>INFORME!K238</f>
        <v>0</v>
      </c>
      <c r="L6" s="701">
        <f>INFORME!L238</f>
        <v>0</v>
      </c>
      <c r="M6" s="701">
        <f>INFORME!M238</f>
        <v>0</v>
      </c>
      <c r="N6" s="701">
        <f>INFORME!N238</f>
        <v>0</v>
      </c>
      <c r="O6" s="701">
        <f>INFORME!O238</f>
        <v>0</v>
      </c>
      <c r="P6" s="701">
        <f>INFORME!P238</f>
        <v>0</v>
      </c>
      <c r="Q6" s="701">
        <f>INFORME!Q238</f>
        <v>0</v>
      </c>
      <c r="R6" s="702">
        <f>INFORME!R238</f>
        <v>0</v>
      </c>
      <c r="S6" s="1161"/>
      <c r="T6" s="299"/>
      <c r="U6" s="299"/>
      <c r="V6" s="299"/>
      <c r="W6" s="299"/>
      <c r="X6" s="299"/>
      <c r="Y6" s="299"/>
      <c r="Z6" s="299"/>
      <c r="AA6" s="299"/>
      <c r="AB6" s="299"/>
      <c r="AC6" s="299"/>
      <c r="AD6" s="299"/>
      <c r="AE6" s="7"/>
      <c r="AF6" s="7"/>
      <c r="AG6" s="7"/>
      <c r="AH6" s="39"/>
      <c r="AI6" s="39"/>
      <c r="AJ6" s="39"/>
      <c r="AK6" s="39"/>
      <c r="AL6" s="39"/>
      <c r="AM6" s="39"/>
      <c r="AN6" s="39"/>
      <c r="AO6" s="39"/>
      <c r="AP6" s="39"/>
      <c r="AQ6" s="39"/>
      <c r="AR6" s="39"/>
      <c r="AS6" s="39"/>
      <c r="AT6" s="39"/>
      <c r="AU6" s="39"/>
      <c r="AV6" s="39"/>
      <c r="AW6" s="39"/>
      <c r="AX6" s="39"/>
      <c r="AY6" s="297"/>
      <c r="AZ6" s="39"/>
      <c r="BA6" s="39"/>
      <c r="BB6" s="39"/>
      <c r="BC6" s="39"/>
      <c r="BD6" s="39"/>
      <c r="BE6" s="39"/>
      <c r="BF6" s="39"/>
      <c r="BG6" s="39"/>
      <c r="BH6" s="39"/>
      <c r="BI6" s="39"/>
      <c r="BJ6" s="39"/>
      <c r="BK6" s="39"/>
      <c r="BL6" s="39"/>
      <c r="BM6" s="39"/>
    </row>
    <row r="7" spans="2:65" s="46" customFormat="1" ht="5.0999999999999996" customHeight="1" x14ac:dyDescent="0.2">
      <c r="B7" s="402"/>
      <c r="C7" s="402"/>
      <c r="D7" s="1160"/>
      <c r="E7" s="1130"/>
      <c r="F7" s="1130"/>
      <c r="G7" s="1130"/>
      <c r="H7" s="1130"/>
      <c r="I7" s="1130"/>
      <c r="J7" s="1130"/>
      <c r="K7" s="1130"/>
      <c r="L7" s="1130"/>
      <c r="M7" s="1130"/>
      <c r="N7" s="1130"/>
      <c r="O7" s="1130"/>
      <c r="P7" s="1130"/>
      <c r="Q7" s="1130"/>
      <c r="R7" s="1130"/>
      <c r="S7" s="1161"/>
      <c r="T7" s="299"/>
      <c r="U7" s="299"/>
      <c r="V7" s="299"/>
      <c r="W7" s="299"/>
      <c r="X7" s="299"/>
      <c r="Y7" s="299"/>
      <c r="Z7" s="299"/>
      <c r="AA7" s="299"/>
      <c r="AB7" s="299"/>
      <c r="AC7" s="299"/>
      <c r="AD7" s="299"/>
      <c r="AE7" s="7"/>
      <c r="AF7" s="7"/>
      <c r="AG7" s="7"/>
      <c r="AH7" s="39"/>
      <c r="AI7" s="39"/>
      <c r="AJ7" s="39"/>
      <c r="AK7" s="39"/>
      <c r="AL7" s="39"/>
      <c r="AM7" s="39"/>
      <c r="AN7" s="39"/>
      <c r="AO7" s="39"/>
      <c r="AP7" s="39"/>
      <c r="AQ7" s="39"/>
      <c r="AR7" s="39"/>
      <c r="AS7" s="39"/>
      <c r="AT7" s="39"/>
      <c r="AU7" s="39"/>
      <c r="AV7" s="39"/>
      <c r="AW7" s="39"/>
      <c r="AX7" s="39"/>
      <c r="AY7" s="297"/>
      <c r="AZ7" s="39"/>
      <c r="BA7" s="39"/>
      <c r="BB7" s="39"/>
      <c r="BC7" s="39"/>
      <c r="BD7" s="39"/>
      <c r="BE7" s="39"/>
      <c r="BF7" s="39"/>
      <c r="BG7" s="39"/>
      <c r="BH7" s="39"/>
      <c r="BI7" s="39"/>
      <c r="BJ7" s="39"/>
      <c r="BK7" s="39"/>
      <c r="BL7" s="39"/>
      <c r="BM7" s="39"/>
    </row>
    <row r="8" spans="2:65" s="46" customFormat="1" ht="11.25" x14ac:dyDescent="0.2">
      <c r="B8" s="402"/>
      <c r="C8" s="402"/>
      <c r="D8" s="1160"/>
      <c r="E8" s="735" t="str">
        <f>INFORME!D239</f>
        <v>Cobros por ventas</v>
      </c>
      <c r="F8" s="736" t="s">
        <v>564</v>
      </c>
      <c r="G8" s="733">
        <f>INFORME!G239</f>
        <v>0</v>
      </c>
      <c r="H8" s="725">
        <f>INFORME!H239</f>
        <v>0</v>
      </c>
      <c r="I8" s="725">
        <f>INFORME!I239</f>
        <v>0</v>
      </c>
      <c r="J8" s="725">
        <f>INFORME!J239</f>
        <v>0</v>
      </c>
      <c r="K8" s="725">
        <f>INFORME!K239</f>
        <v>0</v>
      </c>
      <c r="L8" s="725">
        <f>INFORME!L239</f>
        <v>0</v>
      </c>
      <c r="M8" s="725">
        <f>INFORME!M239</f>
        <v>0</v>
      </c>
      <c r="N8" s="725">
        <f>INFORME!N239</f>
        <v>0</v>
      </c>
      <c r="O8" s="725">
        <f>INFORME!O239</f>
        <v>0</v>
      </c>
      <c r="P8" s="725">
        <f>INFORME!P239</f>
        <v>0</v>
      </c>
      <c r="Q8" s="725">
        <f>INFORME!Q239</f>
        <v>0</v>
      </c>
      <c r="R8" s="726">
        <f>INFORME!R239</f>
        <v>0</v>
      </c>
      <c r="S8" s="1161"/>
      <c r="T8" s="744" t="str">
        <f>IF(F8=0,"&lt; CUIDADO, DEBE ESPECIFICARSE PLAZO DE COBRO","")</f>
        <v/>
      </c>
      <c r="U8" s="664"/>
      <c r="V8" s="299"/>
      <c r="W8" s="299"/>
      <c r="X8" s="299"/>
      <c r="Y8" s="299"/>
      <c r="Z8" s="299"/>
      <c r="AA8" s="299"/>
      <c r="AB8" s="299"/>
      <c r="AC8" s="299"/>
      <c r="AD8" s="299"/>
      <c r="AE8" s="7"/>
      <c r="AF8" s="7"/>
      <c r="AG8" s="7"/>
      <c r="AH8" s="39"/>
      <c r="AI8" s="39"/>
      <c r="AJ8" s="39"/>
      <c r="AK8" s="39"/>
      <c r="AL8" s="39"/>
      <c r="AM8" s="39"/>
      <c r="AN8" s="39"/>
      <c r="AO8" s="39"/>
      <c r="AP8" s="39"/>
      <c r="AQ8" s="39"/>
      <c r="AR8" s="39"/>
      <c r="AS8" s="39"/>
      <c r="AT8" s="39"/>
      <c r="AU8" s="39"/>
      <c r="AV8" s="39"/>
      <c r="AW8" s="39"/>
      <c r="AX8" s="39"/>
      <c r="AY8" s="297"/>
      <c r="AZ8" s="39"/>
      <c r="BA8" s="39"/>
      <c r="BB8" s="39"/>
      <c r="BC8" s="39"/>
      <c r="BD8" s="39"/>
      <c r="BE8" s="39"/>
      <c r="BF8" s="39"/>
      <c r="BG8" s="39"/>
      <c r="BH8" s="39"/>
      <c r="BI8" s="39"/>
      <c r="BJ8" s="39"/>
      <c r="BK8" s="39"/>
      <c r="BL8" s="39"/>
      <c r="BM8" s="39"/>
    </row>
    <row r="9" spans="2:65" s="46" customFormat="1" ht="11.25" x14ac:dyDescent="0.2">
      <c r="B9" s="402"/>
      <c r="C9" s="402"/>
      <c r="D9" s="1160"/>
      <c r="E9" s="737" t="str">
        <f>INFORME!$D$244</f>
        <v>Otros ingresos</v>
      </c>
      <c r="F9" s="738"/>
      <c r="G9" s="734">
        <f>INFORME!G244</f>
        <v>0</v>
      </c>
      <c r="H9" s="728">
        <f>INFORME!H244</f>
        <v>0</v>
      </c>
      <c r="I9" s="728">
        <f>INFORME!I244</f>
        <v>0</v>
      </c>
      <c r="J9" s="728">
        <f>INFORME!J244</f>
        <v>0</v>
      </c>
      <c r="K9" s="728">
        <f>INFORME!K244</f>
        <v>0</v>
      </c>
      <c r="L9" s="728">
        <f>INFORME!L244</f>
        <v>0</v>
      </c>
      <c r="M9" s="728">
        <f>INFORME!M244</f>
        <v>0</v>
      </c>
      <c r="N9" s="728">
        <f>INFORME!N244</f>
        <v>0</v>
      </c>
      <c r="O9" s="728">
        <f>INFORME!O244</f>
        <v>0</v>
      </c>
      <c r="P9" s="728">
        <f>INFORME!P244</f>
        <v>0</v>
      </c>
      <c r="Q9" s="728">
        <f>INFORME!Q244</f>
        <v>0</v>
      </c>
      <c r="R9" s="729">
        <f>INFORME!R244</f>
        <v>0</v>
      </c>
      <c r="S9" s="1161"/>
      <c r="T9" s="299"/>
      <c r="U9" s="299"/>
      <c r="V9" s="299"/>
      <c r="W9" s="299"/>
      <c r="X9" s="299"/>
      <c r="Y9" s="299"/>
      <c r="Z9" s="299"/>
      <c r="AA9" s="299"/>
      <c r="AB9" s="299"/>
      <c r="AC9" s="299"/>
      <c r="AD9" s="299"/>
      <c r="AE9" s="7"/>
      <c r="AF9" s="7"/>
      <c r="AG9" s="7"/>
      <c r="AH9" s="39"/>
      <c r="AI9" s="39"/>
      <c r="AJ9" s="39"/>
      <c r="AK9" s="39"/>
      <c r="AL9" s="39"/>
      <c r="AM9" s="39"/>
      <c r="AN9" s="39"/>
      <c r="AO9" s="39"/>
      <c r="AP9" s="39"/>
      <c r="AQ9" s="39"/>
      <c r="AR9" s="39"/>
      <c r="AS9" s="39"/>
      <c r="AT9" s="39"/>
      <c r="AU9" s="39"/>
      <c r="AV9" s="39"/>
      <c r="AW9" s="39"/>
      <c r="AX9" s="39"/>
      <c r="AY9" s="297"/>
      <c r="AZ9" s="39"/>
      <c r="BA9" s="39"/>
      <c r="BB9" s="39"/>
      <c r="BC9" s="39"/>
      <c r="BD9" s="39"/>
      <c r="BE9" s="39"/>
      <c r="BF9" s="39"/>
      <c r="BG9" s="39"/>
      <c r="BH9" s="39"/>
      <c r="BI9" s="39"/>
      <c r="BJ9" s="39"/>
      <c r="BK9" s="39"/>
      <c r="BL9" s="39"/>
      <c r="BM9" s="39"/>
    </row>
    <row r="10" spans="2:65" s="46" customFormat="1" ht="5.0999999999999996" customHeight="1" x14ac:dyDescent="0.2">
      <c r="B10" s="402"/>
      <c r="C10" s="402"/>
      <c r="D10" s="1160"/>
      <c r="E10" s="1130"/>
      <c r="F10" s="1130"/>
      <c r="G10" s="1130"/>
      <c r="H10" s="1130"/>
      <c r="I10" s="1130"/>
      <c r="J10" s="1130"/>
      <c r="K10" s="1130"/>
      <c r="L10" s="1130"/>
      <c r="M10" s="1130"/>
      <c r="N10" s="1130"/>
      <c r="O10" s="1130"/>
      <c r="P10" s="1130"/>
      <c r="Q10" s="1130"/>
      <c r="R10" s="1130"/>
      <c r="S10" s="1161"/>
      <c r="T10" s="299"/>
      <c r="U10" s="299"/>
      <c r="V10" s="299"/>
      <c r="W10" s="299"/>
      <c r="X10" s="299"/>
      <c r="Y10" s="299"/>
      <c r="Z10" s="299"/>
      <c r="AA10" s="299"/>
      <c r="AB10" s="299"/>
      <c r="AC10" s="299"/>
      <c r="AD10" s="299"/>
      <c r="AE10" s="7"/>
      <c r="AF10" s="7"/>
      <c r="AG10" s="7"/>
      <c r="AH10" s="39"/>
      <c r="AI10" s="39"/>
      <c r="AJ10" s="39"/>
      <c r="AK10" s="39"/>
      <c r="AL10" s="39"/>
      <c r="AM10" s="39"/>
      <c r="AN10" s="39"/>
      <c r="AO10" s="39"/>
      <c r="AP10" s="39"/>
      <c r="AQ10" s="39"/>
      <c r="AR10" s="39"/>
      <c r="AS10" s="39"/>
      <c r="AT10" s="39"/>
      <c r="AU10" s="39"/>
      <c r="AV10" s="39"/>
      <c r="AW10" s="39"/>
      <c r="AX10" s="39"/>
      <c r="AY10" s="297"/>
      <c r="AZ10" s="39"/>
      <c r="BA10" s="39"/>
      <c r="BB10" s="39"/>
      <c r="BC10" s="39"/>
      <c r="BD10" s="39"/>
      <c r="BE10" s="39"/>
      <c r="BF10" s="39"/>
      <c r="BG10" s="39"/>
      <c r="BH10" s="39"/>
      <c r="BI10" s="39"/>
      <c r="BJ10" s="39"/>
      <c r="BK10" s="39"/>
      <c r="BL10" s="39"/>
      <c r="BM10" s="39"/>
    </row>
    <row r="11" spans="2:65" s="46" customFormat="1" ht="12.75" x14ac:dyDescent="0.2">
      <c r="B11" s="402"/>
      <c r="C11" s="402"/>
      <c r="D11" s="1160"/>
      <c r="E11" s="1491" t="s">
        <v>227</v>
      </c>
      <c r="F11" s="1492"/>
      <c r="G11" s="746">
        <f>INFORME!G252</f>
        <v>0</v>
      </c>
      <c r="H11" s="701">
        <f>INFORME!H252</f>
        <v>0</v>
      </c>
      <c r="I11" s="701">
        <f>INFORME!I252</f>
        <v>0</v>
      </c>
      <c r="J11" s="701">
        <f>INFORME!J252</f>
        <v>0</v>
      </c>
      <c r="K11" s="701">
        <f>INFORME!K252</f>
        <v>0</v>
      </c>
      <c r="L11" s="701">
        <f>INFORME!L252</f>
        <v>0</v>
      </c>
      <c r="M11" s="701">
        <f>INFORME!M252</f>
        <v>0</v>
      </c>
      <c r="N11" s="701">
        <f>INFORME!N252</f>
        <v>0</v>
      </c>
      <c r="O11" s="701">
        <f>INFORME!O252</f>
        <v>0</v>
      </c>
      <c r="P11" s="701">
        <f>INFORME!P252</f>
        <v>0</v>
      </c>
      <c r="Q11" s="701">
        <f>INFORME!Q252</f>
        <v>0</v>
      </c>
      <c r="R11" s="702">
        <f>INFORME!R252</f>
        <v>0</v>
      </c>
      <c r="S11" s="1161"/>
      <c r="T11" s="299"/>
      <c r="U11" s="299"/>
      <c r="V11" s="299"/>
      <c r="W11" s="299"/>
      <c r="X11" s="299"/>
      <c r="Y11" s="299"/>
      <c r="Z11" s="299"/>
      <c r="AA11" s="299"/>
      <c r="AB11" s="299"/>
      <c r="AC11" s="299"/>
      <c r="AD11" s="299"/>
      <c r="AE11" s="7"/>
      <c r="AF11" s="7"/>
      <c r="AG11" s="7"/>
      <c r="AH11" s="39"/>
      <c r="AI11" s="39"/>
      <c r="AJ11" s="39"/>
      <c r="AK11" s="39"/>
      <c r="AL11" s="39"/>
      <c r="AM11" s="39"/>
      <c r="AN11" s="39"/>
      <c r="AO11" s="39"/>
      <c r="AP11" s="39"/>
      <c r="AQ11" s="39"/>
      <c r="AR11" s="39"/>
      <c r="AS11" s="39"/>
      <c r="AT11" s="39"/>
      <c r="AU11" s="39"/>
      <c r="AV11" s="39"/>
      <c r="AW11" s="39"/>
      <c r="AX11" s="39"/>
      <c r="AY11" s="297"/>
      <c r="AZ11" s="39"/>
      <c r="BA11" s="39"/>
      <c r="BB11" s="39"/>
      <c r="BC11" s="39"/>
      <c r="BD11" s="39"/>
      <c r="BE11" s="39"/>
      <c r="BF11" s="39"/>
      <c r="BG11" s="39"/>
      <c r="BH11" s="39"/>
      <c r="BI11" s="39"/>
      <c r="BJ11" s="39"/>
      <c r="BK11" s="39"/>
      <c r="BL11" s="39"/>
      <c r="BM11" s="39"/>
    </row>
    <row r="12" spans="2:65" s="46" customFormat="1" ht="5.0999999999999996" customHeight="1" x14ac:dyDescent="0.2">
      <c r="B12" s="402"/>
      <c r="C12" s="402"/>
      <c r="D12" s="1160"/>
      <c r="E12" s="1130"/>
      <c r="F12" s="1130"/>
      <c r="G12" s="1130"/>
      <c r="H12" s="1130"/>
      <c r="I12" s="1130"/>
      <c r="J12" s="1130"/>
      <c r="K12" s="1130"/>
      <c r="L12" s="1130"/>
      <c r="M12" s="1130"/>
      <c r="N12" s="1130"/>
      <c r="O12" s="1130"/>
      <c r="P12" s="1130"/>
      <c r="Q12" s="1130"/>
      <c r="R12" s="1130"/>
      <c r="S12" s="1161"/>
      <c r="T12" s="299"/>
      <c r="U12" s="299"/>
      <c r="V12" s="299"/>
      <c r="W12" s="299"/>
      <c r="X12" s="299"/>
      <c r="Y12" s="299"/>
      <c r="Z12" s="299"/>
      <c r="AA12" s="299"/>
      <c r="AB12" s="299"/>
      <c r="AC12" s="299"/>
      <c r="AD12" s="299"/>
      <c r="AE12" s="7"/>
      <c r="AF12" s="7"/>
      <c r="AG12" s="7"/>
      <c r="AH12" s="39"/>
      <c r="AI12" s="39"/>
      <c r="AJ12" s="39"/>
      <c r="AK12" s="39"/>
      <c r="AL12" s="39"/>
      <c r="AM12" s="39"/>
      <c r="AN12" s="39"/>
      <c r="AO12" s="39"/>
      <c r="AP12" s="39"/>
      <c r="AQ12" s="39"/>
      <c r="AR12" s="39"/>
      <c r="AS12" s="39"/>
      <c r="AT12" s="39"/>
      <c r="AU12" s="39"/>
      <c r="AV12" s="39"/>
      <c r="AW12" s="39"/>
      <c r="AX12" s="39"/>
      <c r="AY12" s="297"/>
      <c r="AZ12" s="39"/>
      <c r="BA12" s="39"/>
      <c r="BB12" s="39"/>
      <c r="BC12" s="39"/>
      <c r="BD12" s="39"/>
      <c r="BE12" s="39"/>
      <c r="BF12" s="39"/>
      <c r="BG12" s="39"/>
      <c r="BH12" s="39"/>
      <c r="BI12" s="39"/>
      <c r="BJ12" s="39"/>
      <c r="BK12" s="39"/>
      <c r="BL12" s="39"/>
      <c r="BM12" s="39"/>
    </row>
    <row r="13" spans="2:65" s="46" customFormat="1" ht="11.25" x14ac:dyDescent="0.2">
      <c r="B13" s="402"/>
      <c r="C13" s="402"/>
      <c r="D13" s="1160"/>
      <c r="E13" s="739" t="s">
        <v>827</v>
      </c>
      <c r="F13" s="748" t="s">
        <v>564</v>
      </c>
      <c r="G13" s="724">
        <f>INFORME!G254+INFORME!G255</f>
        <v>0</v>
      </c>
      <c r="H13" s="725">
        <f>INFORME!H254+INFORME!H255</f>
        <v>0</v>
      </c>
      <c r="I13" s="725">
        <f>INFORME!I254+INFORME!I255</f>
        <v>0</v>
      </c>
      <c r="J13" s="725">
        <f>INFORME!J254+INFORME!J255</f>
        <v>0</v>
      </c>
      <c r="K13" s="725">
        <f>INFORME!K254+INFORME!K255</f>
        <v>0</v>
      </c>
      <c r="L13" s="725">
        <f>INFORME!L254+INFORME!L255</f>
        <v>0</v>
      </c>
      <c r="M13" s="725">
        <f>INFORME!M254+INFORME!M255</f>
        <v>0</v>
      </c>
      <c r="N13" s="725">
        <f>INFORME!N254+INFORME!N255</f>
        <v>0</v>
      </c>
      <c r="O13" s="725">
        <f>INFORME!O254+INFORME!O255</f>
        <v>0</v>
      </c>
      <c r="P13" s="725">
        <f>INFORME!P254+INFORME!P255</f>
        <v>0</v>
      </c>
      <c r="Q13" s="725">
        <f>INFORME!Q254+INFORME!Q255</f>
        <v>0</v>
      </c>
      <c r="R13" s="726">
        <f>INFORME!R254+INFORME!R255</f>
        <v>0</v>
      </c>
      <c r="S13" s="1161"/>
      <c r="T13" s="299"/>
      <c r="U13" s="299"/>
      <c r="V13" s="299"/>
      <c r="W13" s="299"/>
      <c r="X13" s="299"/>
      <c r="Y13" s="299"/>
      <c r="Z13" s="299"/>
      <c r="AA13" s="299"/>
      <c r="AB13" s="299"/>
      <c r="AC13" s="299"/>
      <c r="AD13" s="299"/>
      <c r="AE13" s="7"/>
      <c r="AF13" s="7"/>
      <c r="AG13" s="7"/>
      <c r="AH13" s="39"/>
      <c r="AI13" s="39"/>
      <c r="AJ13" s="39"/>
      <c r="AK13" s="39"/>
      <c r="AL13" s="39"/>
      <c r="AM13" s="39"/>
      <c r="AN13" s="39"/>
      <c r="AO13" s="39"/>
      <c r="AP13" s="39"/>
      <c r="AQ13" s="39"/>
      <c r="AR13" s="39"/>
      <c r="AS13" s="39"/>
      <c r="AT13" s="39"/>
      <c r="AU13" s="39"/>
      <c r="AV13" s="39"/>
      <c r="AW13" s="39"/>
      <c r="AX13" s="39"/>
      <c r="AY13" s="297"/>
      <c r="AZ13" s="39"/>
      <c r="BA13" s="39"/>
      <c r="BB13" s="39"/>
      <c r="BC13" s="39"/>
      <c r="BD13" s="39"/>
      <c r="BE13" s="39"/>
      <c r="BF13" s="39"/>
      <c r="BG13" s="39"/>
      <c r="BH13" s="39"/>
      <c r="BI13" s="39"/>
      <c r="BJ13" s="39"/>
      <c r="BK13" s="39"/>
      <c r="BL13" s="39"/>
      <c r="BM13" s="39"/>
    </row>
    <row r="14" spans="2:65" s="46" customFormat="1" ht="11.25" x14ac:dyDescent="0.2">
      <c r="B14" s="402"/>
      <c r="C14" s="402"/>
      <c r="D14" s="1160"/>
      <c r="E14" s="740" t="s">
        <v>828</v>
      </c>
      <c r="F14" s="749" t="s">
        <v>564</v>
      </c>
      <c r="G14" s="730">
        <f>INFORME!G256</f>
        <v>0</v>
      </c>
      <c r="H14" s="731">
        <f>INFORME!H256</f>
        <v>0</v>
      </c>
      <c r="I14" s="731">
        <f>INFORME!I256</f>
        <v>0</v>
      </c>
      <c r="J14" s="731">
        <f>INFORME!J256</f>
        <v>0</v>
      </c>
      <c r="K14" s="731">
        <f>INFORME!K256</f>
        <v>0</v>
      </c>
      <c r="L14" s="731">
        <f>INFORME!L256</f>
        <v>0</v>
      </c>
      <c r="M14" s="731">
        <f>INFORME!M256</f>
        <v>0</v>
      </c>
      <c r="N14" s="731">
        <f>INFORME!N256</f>
        <v>0</v>
      </c>
      <c r="O14" s="731">
        <f>INFORME!O256</f>
        <v>0</v>
      </c>
      <c r="P14" s="731">
        <f>INFORME!P256</f>
        <v>0</v>
      </c>
      <c r="Q14" s="731">
        <f>INFORME!Q256</f>
        <v>0</v>
      </c>
      <c r="R14" s="732">
        <f>INFORME!R256</f>
        <v>0</v>
      </c>
      <c r="S14" s="1161"/>
      <c r="T14" s="299"/>
      <c r="U14" s="299"/>
      <c r="V14" s="299"/>
      <c r="W14" s="299"/>
      <c r="X14" s="299"/>
      <c r="Y14" s="299"/>
      <c r="Z14" s="299"/>
      <c r="AA14" s="299"/>
      <c r="AB14" s="299"/>
      <c r="AC14" s="299"/>
      <c r="AD14" s="299"/>
      <c r="AE14" s="7"/>
      <c r="AF14" s="7"/>
      <c r="AG14" s="7"/>
      <c r="AH14" s="39"/>
      <c r="AI14" s="39"/>
      <c r="AJ14" s="39"/>
      <c r="AK14" s="39"/>
      <c r="AL14" s="39"/>
      <c r="AM14" s="39"/>
      <c r="AN14" s="39"/>
      <c r="AO14" s="39"/>
      <c r="AP14" s="39"/>
      <c r="AQ14" s="39"/>
      <c r="AR14" s="39"/>
      <c r="AS14" s="39"/>
      <c r="AT14" s="39"/>
      <c r="AU14" s="39"/>
      <c r="AV14" s="39"/>
      <c r="AW14" s="39"/>
      <c r="AX14" s="39"/>
      <c r="AY14" s="297"/>
      <c r="AZ14" s="39"/>
      <c r="BA14" s="39"/>
      <c r="BB14" s="39"/>
      <c r="BC14" s="39"/>
      <c r="BD14" s="39"/>
      <c r="BE14" s="39"/>
      <c r="BF14" s="39"/>
      <c r="BG14" s="39"/>
      <c r="BH14" s="39"/>
      <c r="BI14" s="39"/>
      <c r="BJ14" s="39"/>
      <c r="BK14" s="39"/>
      <c r="BL14" s="39"/>
      <c r="BM14" s="39"/>
    </row>
    <row r="15" spans="2:65" s="77" customFormat="1" ht="11.25" x14ac:dyDescent="0.15">
      <c r="B15" s="406"/>
      <c r="C15" s="406"/>
      <c r="D15" s="1169"/>
      <c r="E15" s="740" t="s">
        <v>829</v>
      </c>
      <c r="F15" s="749" t="s">
        <v>564</v>
      </c>
      <c r="G15" s="730">
        <f>INFORME!G257+INFORME!G258+INFORME!G259+INFORME!G260+INFORME!G261+INFORME!G262+INFORME!G263+INFORME!G265+INFORME!G266+INFORME!G269+INFORME!G272+INFORME!G273</f>
        <v>0</v>
      </c>
      <c r="H15" s="731">
        <f>INFORME!H257+INFORME!H258+INFORME!H259+INFORME!H260+INFORME!H261+INFORME!H262+INFORME!H263+INFORME!H265+INFORME!H266+INFORME!H269+INFORME!H272+INFORME!H273</f>
        <v>0</v>
      </c>
      <c r="I15" s="731">
        <f>INFORME!I257+INFORME!I258+INFORME!I259+INFORME!I260+INFORME!I261+INFORME!I262+INFORME!I263+INFORME!I265+INFORME!I266+INFORME!I269+INFORME!I272+INFORME!I273</f>
        <v>0</v>
      </c>
      <c r="J15" s="731">
        <f>INFORME!J257+INFORME!J258+INFORME!J259+INFORME!J260+INFORME!J261+INFORME!J262+INFORME!J263+INFORME!J265+INFORME!J266+INFORME!J269+INFORME!J272+INFORME!J273</f>
        <v>0</v>
      </c>
      <c r="K15" s="731">
        <f>INFORME!K257+INFORME!K258+INFORME!K259+INFORME!K260+INFORME!K261+INFORME!K262+INFORME!K263+INFORME!K265+INFORME!K266+INFORME!K269+INFORME!K272+INFORME!K273</f>
        <v>0</v>
      </c>
      <c r="L15" s="731">
        <f>INFORME!L257+INFORME!L258+INFORME!L259+INFORME!L260+INFORME!L261+INFORME!L262+INFORME!L263+INFORME!L265+INFORME!L266+INFORME!L269+INFORME!L272+INFORME!L273</f>
        <v>0</v>
      </c>
      <c r="M15" s="731">
        <f>INFORME!M257+INFORME!M258+INFORME!M259+INFORME!M260+INFORME!M261+INFORME!M262+INFORME!M263+INFORME!M265+INFORME!M266+INFORME!M269+INFORME!M272+INFORME!M273</f>
        <v>0</v>
      </c>
      <c r="N15" s="731">
        <f>INFORME!N257+INFORME!N258+INFORME!N259+INFORME!N260+INFORME!N261+INFORME!N262+INFORME!N263+INFORME!N265+INFORME!N266+INFORME!N269+INFORME!N272+INFORME!N273</f>
        <v>0</v>
      </c>
      <c r="O15" s="731">
        <f>INFORME!O257+INFORME!O258+INFORME!O259+INFORME!O260+INFORME!O261+INFORME!O262+INFORME!O263+INFORME!O265+INFORME!O266+INFORME!O269+INFORME!O272+INFORME!O273</f>
        <v>0</v>
      </c>
      <c r="P15" s="731">
        <f>INFORME!P257+INFORME!P258+INFORME!P259+INFORME!P260+INFORME!P261+INFORME!P262+INFORME!P263+INFORME!P265+INFORME!P266+INFORME!P269+INFORME!P272+INFORME!P273</f>
        <v>0</v>
      </c>
      <c r="Q15" s="731">
        <f>INFORME!Q257+INFORME!Q258+INFORME!Q259+INFORME!Q260+INFORME!Q261+INFORME!Q262+INFORME!Q263+INFORME!Q265+INFORME!Q266+INFORME!Q269+INFORME!Q272+INFORME!Q273</f>
        <v>0</v>
      </c>
      <c r="R15" s="732">
        <f>INFORME!R257+INFORME!R258+INFORME!R259+INFORME!R260+INFORME!R261+INFORME!R262+INFORME!R263+INFORME!R265+INFORME!R266+INFORME!R269+INFORME!R272+INFORME!R273</f>
        <v>0</v>
      </c>
      <c r="S15" s="1161"/>
      <c r="T15" s="300"/>
      <c r="U15" s="300"/>
      <c r="V15" s="300"/>
      <c r="W15" s="300"/>
      <c r="X15" s="300"/>
      <c r="Y15" s="300"/>
      <c r="Z15" s="300"/>
      <c r="AA15" s="300"/>
      <c r="AB15" s="300"/>
      <c r="AC15" s="300"/>
      <c r="AD15" s="300"/>
      <c r="AE15" s="430"/>
      <c r="AF15" s="430"/>
      <c r="AG15" s="430"/>
      <c r="AH15" s="301"/>
      <c r="AI15" s="301"/>
      <c r="AJ15" s="301"/>
      <c r="AK15" s="301"/>
      <c r="AL15" s="301"/>
      <c r="AM15" s="301"/>
      <c r="AN15" s="301"/>
      <c r="AO15" s="301"/>
      <c r="AP15" s="301"/>
      <c r="AQ15" s="301"/>
      <c r="AR15" s="301"/>
      <c r="AS15" s="301"/>
      <c r="AT15" s="301"/>
      <c r="AU15" s="301"/>
      <c r="AV15" s="301"/>
      <c r="AW15" s="301"/>
      <c r="AX15" s="301"/>
      <c r="AY15" s="302"/>
      <c r="AZ15" s="301"/>
      <c r="BA15" s="301"/>
      <c r="BB15" s="301"/>
      <c r="BC15" s="301"/>
      <c r="BD15" s="301"/>
      <c r="BE15" s="301"/>
      <c r="BF15" s="301"/>
      <c r="BG15" s="301"/>
      <c r="BH15" s="301"/>
      <c r="BI15" s="301"/>
      <c r="BJ15" s="301"/>
      <c r="BK15" s="301"/>
      <c r="BL15" s="301"/>
      <c r="BM15" s="301"/>
    </row>
    <row r="16" spans="2:65" s="78" customFormat="1" ht="11.25" x14ac:dyDescent="0.2">
      <c r="B16" s="408"/>
      <c r="C16" s="408"/>
      <c r="D16" s="1162"/>
      <c r="E16" s="740" t="str">
        <f>INFORME!$D$264</f>
        <v>Arrendamientos</v>
      </c>
      <c r="F16" s="749" t="s">
        <v>564</v>
      </c>
      <c r="G16" s="730">
        <f>INFORME!G264</f>
        <v>0</v>
      </c>
      <c r="H16" s="731">
        <f>INFORME!H264</f>
        <v>0</v>
      </c>
      <c r="I16" s="731">
        <f>INFORME!I264</f>
        <v>0</v>
      </c>
      <c r="J16" s="731">
        <f>INFORME!J264</f>
        <v>0</v>
      </c>
      <c r="K16" s="731">
        <f>INFORME!K264</f>
        <v>0</v>
      </c>
      <c r="L16" s="731">
        <f>INFORME!L264</f>
        <v>0</v>
      </c>
      <c r="M16" s="731">
        <f>INFORME!M264</f>
        <v>0</v>
      </c>
      <c r="N16" s="731">
        <f>INFORME!N264</f>
        <v>0</v>
      </c>
      <c r="O16" s="731">
        <f>INFORME!O264</f>
        <v>0</v>
      </c>
      <c r="P16" s="731">
        <f>INFORME!P264</f>
        <v>0</v>
      </c>
      <c r="Q16" s="731">
        <f>INFORME!Q264</f>
        <v>0</v>
      </c>
      <c r="R16" s="732">
        <f>INFORME!R264</f>
        <v>0</v>
      </c>
      <c r="S16" s="1163"/>
      <c r="T16" s="303"/>
      <c r="U16" s="303"/>
      <c r="V16" s="303"/>
      <c r="W16" s="303"/>
      <c r="X16" s="303"/>
      <c r="Y16" s="303"/>
      <c r="Z16" s="303"/>
      <c r="AA16" s="303"/>
      <c r="AB16" s="303"/>
      <c r="AC16" s="303"/>
      <c r="AD16" s="303"/>
      <c r="AE16" s="434"/>
      <c r="AF16" s="434"/>
      <c r="AG16" s="434"/>
      <c r="AH16" s="304"/>
      <c r="AI16" s="304"/>
      <c r="AJ16" s="304"/>
      <c r="AK16" s="304"/>
      <c r="AL16" s="304"/>
      <c r="AM16" s="304"/>
      <c r="AN16" s="304"/>
      <c r="AO16" s="304"/>
      <c r="AP16" s="304"/>
      <c r="AQ16" s="304"/>
      <c r="AR16" s="304"/>
      <c r="AS16" s="304"/>
      <c r="AT16" s="304"/>
      <c r="AU16" s="304"/>
      <c r="AV16" s="304"/>
      <c r="AW16" s="304"/>
      <c r="AX16" s="304"/>
      <c r="AY16" s="305"/>
      <c r="AZ16" s="304"/>
      <c r="BA16" s="304"/>
      <c r="BB16" s="304"/>
      <c r="BC16" s="304"/>
      <c r="BD16" s="304"/>
      <c r="BE16" s="304"/>
      <c r="BF16" s="304"/>
      <c r="BG16" s="304"/>
      <c r="BH16" s="304"/>
      <c r="BI16" s="304"/>
      <c r="BJ16" s="304"/>
      <c r="BK16" s="304"/>
      <c r="BL16" s="304"/>
      <c r="BM16" s="304"/>
    </row>
    <row r="17" spans="2:65" s="78" customFormat="1" ht="11.25" x14ac:dyDescent="0.2">
      <c r="B17" s="408"/>
      <c r="C17" s="408"/>
      <c r="D17" s="1162"/>
      <c r="E17" s="740" t="str">
        <f>INFORME!D267</f>
        <v>Tributos</v>
      </c>
      <c r="F17" s="749" t="s">
        <v>564</v>
      </c>
      <c r="G17" s="730">
        <f>INFORME!G267</f>
        <v>0</v>
      </c>
      <c r="H17" s="731">
        <f>INFORME!H267</f>
        <v>0</v>
      </c>
      <c r="I17" s="731">
        <f>INFORME!I267</f>
        <v>0</v>
      </c>
      <c r="J17" s="731">
        <f>INFORME!J267</f>
        <v>0</v>
      </c>
      <c r="K17" s="731">
        <f>INFORME!K267</f>
        <v>0</v>
      </c>
      <c r="L17" s="731">
        <f>INFORME!L267</f>
        <v>0</v>
      </c>
      <c r="M17" s="731">
        <f>INFORME!M267</f>
        <v>0</v>
      </c>
      <c r="N17" s="731">
        <f>INFORME!N267</f>
        <v>0</v>
      </c>
      <c r="O17" s="731">
        <f>INFORME!O267</f>
        <v>0</v>
      </c>
      <c r="P17" s="731">
        <f>INFORME!P267</f>
        <v>0</v>
      </c>
      <c r="Q17" s="731">
        <f>INFORME!Q267</f>
        <v>0</v>
      </c>
      <c r="R17" s="732">
        <f>INFORME!R267</f>
        <v>0</v>
      </c>
      <c r="S17" s="1163"/>
      <c r="T17" s="303"/>
      <c r="U17" s="303"/>
      <c r="V17" s="303"/>
      <c r="W17" s="303"/>
      <c r="X17" s="303"/>
      <c r="Y17" s="303"/>
      <c r="Z17" s="303"/>
      <c r="AA17" s="303"/>
      <c r="AB17" s="303"/>
      <c r="AC17" s="303"/>
      <c r="AD17" s="303"/>
      <c r="AE17" s="434"/>
      <c r="AF17" s="434"/>
      <c r="AG17" s="434"/>
      <c r="AH17" s="304"/>
      <c r="AI17" s="304"/>
      <c r="AJ17" s="304"/>
      <c r="AK17" s="304"/>
      <c r="AL17" s="304"/>
      <c r="AM17" s="304"/>
      <c r="AN17" s="304"/>
      <c r="AO17" s="304"/>
      <c r="AP17" s="304"/>
      <c r="AQ17" s="304"/>
      <c r="AR17" s="304"/>
      <c r="AS17" s="304"/>
      <c r="AT17" s="304"/>
      <c r="AU17" s="304"/>
      <c r="AV17" s="304"/>
      <c r="AW17" s="304"/>
      <c r="AX17" s="304"/>
      <c r="AY17" s="305"/>
      <c r="AZ17" s="304"/>
      <c r="BA17" s="304"/>
      <c r="BB17" s="304"/>
      <c r="BC17" s="304"/>
      <c r="BD17" s="304"/>
      <c r="BE17" s="304"/>
      <c r="BF17" s="304"/>
      <c r="BG17" s="304"/>
      <c r="BH17" s="304"/>
      <c r="BI17" s="304"/>
      <c r="BJ17" s="304"/>
      <c r="BK17" s="304"/>
      <c r="BL17" s="304"/>
      <c r="BM17" s="304"/>
    </row>
    <row r="18" spans="2:65" s="78" customFormat="1" ht="11.25" x14ac:dyDescent="0.2">
      <c r="B18" s="408"/>
      <c r="C18" s="408"/>
      <c r="D18" s="1162"/>
      <c r="E18" s="740" t="str">
        <f>INFORME!D268</f>
        <v>Seguros</v>
      </c>
      <c r="F18" s="749" t="s">
        <v>564</v>
      </c>
      <c r="G18" s="730">
        <f>INFORME!G268</f>
        <v>0</v>
      </c>
      <c r="H18" s="731">
        <f>INFORME!H268</f>
        <v>0</v>
      </c>
      <c r="I18" s="731">
        <f>INFORME!I268</f>
        <v>0</v>
      </c>
      <c r="J18" s="731">
        <f>INFORME!J268</f>
        <v>0</v>
      </c>
      <c r="K18" s="731">
        <f>INFORME!K268</f>
        <v>0</v>
      </c>
      <c r="L18" s="731">
        <f>INFORME!L268</f>
        <v>0</v>
      </c>
      <c r="M18" s="731">
        <f>INFORME!M268</f>
        <v>0</v>
      </c>
      <c r="N18" s="731">
        <f>INFORME!N268</f>
        <v>0</v>
      </c>
      <c r="O18" s="731">
        <f>INFORME!O268</f>
        <v>0</v>
      </c>
      <c r="P18" s="731">
        <f>INFORME!P268</f>
        <v>0</v>
      </c>
      <c r="Q18" s="731">
        <f>INFORME!Q268</f>
        <v>0</v>
      </c>
      <c r="R18" s="732">
        <f>INFORME!R268</f>
        <v>0</v>
      </c>
      <c r="S18" s="1163"/>
      <c r="T18" s="303"/>
      <c r="U18" s="303"/>
      <c r="V18" s="303"/>
      <c r="W18" s="303"/>
      <c r="X18" s="303"/>
      <c r="Y18" s="303"/>
      <c r="Z18" s="303"/>
      <c r="AA18" s="303"/>
      <c r="AB18" s="303"/>
      <c r="AC18" s="303"/>
      <c r="AD18" s="303"/>
      <c r="AE18" s="434"/>
      <c r="AF18" s="434"/>
      <c r="AG18" s="434"/>
      <c r="AH18" s="304"/>
      <c r="AI18" s="304"/>
      <c r="AJ18" s="304"/>
      <c r="AK18" s="304"/>
      <c r="AL18" s="304"/>
      <c r="AM18" s="304"/>
      <c r="AN18" s="304"/>
      <c r="AO18" s="304"/>
      <c r="AP18" s="304"/>
      <c r="AQ18" s="304"/>
      <c r="AR18" s="304"/>
      <c r="AS18" s="304"/>
      <c r="AT18" s="304"/>
      <c r="AU18" s="304"/>
      <c r="AV18" s="304"/>
      <c r="AW18" s="304"/>
      <c r="AX18" s="304"/>
      <c r="AY18" s="305"/>
      <c r="AZ18" s="304"/>
      <c r="BA18" s="304"/>
      <c r="BB18" s="304"/>
      <c r="BC18" s="304"/>
      <c r="BD18" s="304"/>
      <c r="BE18" s="304"/>
      <c r="BF18" s="304"/>
      <c r="BG18" s="304"/>
      <c r="BH18" s="304"/>
      <c r="BI18" s="304"/>
      <c r="BJ18" s="304"/>
      <c r="BK18" s="304"/>
      <c r="BL18" s="304"/>
      <c r="BM18" s="304"/>
    </row>
    <row r="19" spans="2:65" s="78" customFormat="1" ht="11.25" x14ac:dyDescent="0.2">
      <c r="B19" s="408"/>
      <c r="C19" s="408"/>
      <c r="D19" s="1162"/>
      <c r="E19" s="740" t="str">
        <f>INFORME!D270</f>
        <v>Suministros</v>
      </c>
      <c r="F19" s="749" t="s">
        <v>564</v>
      </c>
      <c r="G19" s="730">
        <f>INFORME!G270</f>
        <v>0</v>
      </c>
      <c r="H19" s="731">
        <f>INFORME!H270</f>
        <v>0</v>
      </c>
      <c r="I19" s="731">
        <f>INFORME!I270</f>
        <v>0</v>
      </c>
      <c r="J19" s="731">
        <f>INFORME!J270</f>
        <v>0</v>
      </c>
      <c r="K19" s="731">
        <f>INFORME!K270</f>
        <v>0</v>
      </c>
      <c r="L19" s="731">
        <f>INFORME!L270</f>
        <v>0</v>
      </c>
      <c r="M19" s="731">
        <f>INFORME!M270</f>
        <v>0</v>
      </c>
      <c r="N19" s="731">
        <f>INFORME!N270</f>
        <v>0</v>
      </c>
      <c r="O19" s="731">
        <f>INFORME!O270</f>
        <v>0</v>
      </c>
      <c r="P19" s="731">
        <f>INFORME!P270</f>
        <v>0</v>
      </c>
      <c r="Q19" s="731">
        <f>INFORME!Q270</f>
        <v>0</v>
      </c>
      <c r="R19" s="732">
        <f>INFORME!R270</f>
        <v>0</v>
      </c>
      <c r="S19" s="1163"/>
      <c r="T19" s="303"/>
      <c r="U19" s="303"/>
      <c r="V19" s="303"/>
      <c r="W19" s="303"/>
      <c r="X19" s="303"/>
      <c r="Y19" s="303"/>
      <c r="Z19" s="303"/>
      <c r="AA19" s="303"/>
      <c r="AB19" s="303"/>
      <c r="AC19" s="303"/>
      <c r="AD19" s="303"/>
      <c r="AE19" s="434"/>
      <c r="AF19" s="434"/>
      <c r="AG19" s="434"/>
      <c r="AH19" s="304"/>
      <c r="AI19" s="304"/>
      <c r="AJ19" s="304"/>
      <c r="AK19" s="304"/>
      <c r="AL19" s="304"/>
      <c r="AM19" s="304"/>
      <c r="AN19" s="304"/>
      <c r="AO19" s="304"/>
      <c r="AP19" s="304"/>
      <c r="AQ19" s="304"/>
      <c r="AR19" s="304"/>
      <c r="AS19" s="304"/>
      <c r="AT19" s="304"/>
      <c r="AU19" s="304"/>
      <c r="AV19" s="304"/>
      <c r="AW19" s="304"/>
      <c r="AX19" s="304"/>
      <c r="AY19" s="305"/>
      <c r="AZ19" s="304"/>
      <c r="BA19" s="304"/>
      <c r="BB19" s="304"/>
      <c r="BC19" s="304"/>
      <c r="BD19" s="304"/>
      <c r="BE19" s="304"/>
      <c r="BF19" s="304"/>
      <c r="BG19" s="304"/>
      <c r="BH19" s="304"/>
      <c r="BI19" s="304"/>
      <c r="BJ19" s="304"/>
      <c r="BK19" s="304"/>
      <c r="BL19" s="304"/>
      <c r="BM19" s="304"/>
    </row>
    <row r="20" spans="2:65" s="78" customFormat="1" ht="11.25" x14ac:dyDescent="0.2">
      <c r="B20" s="408"/>
      <c r="C20" s="408"/>
      <c r="D20" s="1162"/>
      <c r="E20" s="740" t="str">
        <f>INFORME!D271</f>
        <v>Viajes, dietas…</v>
      </c>
      <c r="F20" s="749" t="s">
        <v>564</v>
      </c>
      <c r="G20" s="730">
        <f>INFORME!G271</f>
        <v>0</v>
      </c>
      <c r="H20" s="731">
        <f>INFORME!H271</f>
        <v>0</v>
      </c>
      <c r="I20" s="731">
        <f>INFORME!I271</f>
        <v>0</v>
      </c>
      <c r="J20" s="731">
        <f>INFORME!J271</f>
        <v>0</v>
      </c>
      <c r="K20" s="731">
        <f>INFORME!K271</f>
        <v>0</v>
      </c>
      <c r="L20" s="731">
        <f>INFORME!L271</f>
        <v>0</v>
      </c>
      <c r="M20" s="731">
        <f>INFORME!M271</f>
        <v>0</v>
      </c>
      <c r="N20" s="731">
        <f>INFORME!N271</f>
        <v>0</v>
      </c>
      <c r="O20" s="731">
        <f>INFORME!O271</f>
        <v>0</v>
      </c>
      <c r="P20" s="731">
        <f>INFORME!P271</f>
        <v>0</v>
      </c>
      <c r="Q20" s="731">
        <f>INFORME!Q271</f>
        <v>0</v>
      </c>
      <c r="R20" s="732">
        <f>INFORME!R271</f>
        <v>0</v>
      </c>
      <c r="S20" s="1163"/>
      <c r="T20" s="303"/>
      <c r="U20" s="303"/>
      <c r="V20" s="303"/>
      <c r="W20" s="303"/>
      <c r="X20" s="303"/>
      <c r="Y20" s="303"/>
      <c r="Z20" s="303"/>
      <c r="AA20" s="303"/>
      <c r="AB20" s="303"/>
      <c r="AC20" s="303"/>
      <c r="AD20" s="303"/>
      <c r="AE20" s="434"/>
      <c r="AF20" s="434"/>
      <c r="AG20" s="434"/>
      <c r="AH20" s="304"/>
      <c r="AI20" s="304"/>
      <c r="AJ20" s="304"/>
      <c r="AK20" s="304"/>
      <c r="AL20" s="304"/>
      <c r="AM20" s="304"/>
      <c r="AN20" s="304"/>
      <c r="AO20" s="304"/>
      <c r="AP20" s="304"/>
      <c r="AQ20" s="304"/>
      <c r="AR20" s="304"/>
      <c r="AS20" s="304"/>
      <c r="AT20" s="304"/>
      <c r="AU20" s="304"/>
      <c r="AV20" s="304"/>
      <c r="AW20" s="304"/>
      <c r="AX20" s="304"/>
      <c r="AY20" s="305"/>
      <c r="AZ20" s="304"/>
      <c r="BA20" s="304"/>
      <c r="BB20" s="304"/>
      <c r="BC20" s="304"/>
      <c r="BD20" s="304"/>
      <c r="BE20" s="304"/>
      <c r="BF20" s="304"/>
      <c r="BG20" s="304"/>
      <c r="BH20" s="304"/>
      <c r="BI20" s="304"/>
      <c r="BJ20" s="304"/>
      <c r="BK20" s="304"/>
      <c r="BL20" s="304"/>
      <c r="BM20" s="304"/>
    </row>
    <row r="21" spans="2:65" s="78" customFormat="1" ht="11.25" x14ac:dyDescent="0.2">
      <c r="B21" s="408"/>
      <c r="C21" s="408"/>
      <c r="D21" s="1162"/>
      <c r="E21" s="740" t="str">
        <f>INFORME!$D$274</f>
        <v>Liq. costes salariales</v>
      </c>
      <c r="F21" s="750" t="s">
        <v>572</v>
      </c>
      <c r="G21" s="730">
        <f>INFORME!G274</f>
        <v>0</v>
      </c>
      <c r="H21" s="731">
        <f>INFORME!H274</f>
        <v>0</v>
      </c>
      <c r="I21" s="731">
        <f>INFORME!I274</f>
        <v>0</v>
      </c>
      <c r="J21" s="731">
        <f>INFORME!J274</f>
        <v>0</v>
      </c>
      <c r="K21" s="731">
        <f>INFORME!K274</f>
        <v>0</v>
      </c>
      <c r="L21" s="731">
        <f>INFORME!L274</f>
        <v>0</v>
      </c>
      <c r="M21" s="731">
        <f>INFORME!M274</f>
        <v>0</v>
      </c>
      <c r="N21" s="731">
        <f>INFORME!N274</f>
        <v>0</v>
      </c>
      <c r="O21" s="731">
        <f>INFORME!O274</f>
        <v>0</v>
      </c>
      <c r="P21" s="731">
        <f>INFORME!P274</f>
        <v>0</v>
      </c>
      <c r="Q21" s="731">
        <f>INFORME!Q274</f>
        <v>0</v>
      </c>
      <c r="R21" s="732">
        <f>INFORME!R274</f>
        <v>0</v>
      </c>
      <c r="S21" s="1163"/>
      <c r="T21" s="303"/>
      <c r="U21" s="303"/>
      <c r="V21" s="303"/>
      <c r="W21" s="303"/>
      <c r="X21" s="303"/>
      <c r="Y21" s="303"/>
      <c r="Z21" s="303"/>
      <c r="AA21" s="303"/>
      <c r="AB21" s="303"/>
      <c r="AC21" s="303"/>
      <c r="AD21" s="303"/>
      <c r="AE21" s="434"/>
      <c r="AF21" s="434"/>
      <c r="AG21" s="434"/>
      <c r="AH21" s="304"/>
      <c r="AI21" s="304"/>
      <c r="AJ21" s="304"/>
      <c r="AK21" s="304"/>
      <c r="AL21" s="304"/>
      <c r="AM21" s="304"/>
      <c r="AN21" s="304"/>
      <c r="AO21" s="304"/>
      <c r="AP21" s="304"/>
      <c r="AQ21" s="304"/>
      <c r="AR21" s="304"/>
      <c r="AS21" s="304"/>
      <c r="AT21" s="304"/>
      <c r="AU21" s="304"/>
      <c r="AV21" s="304"/>
      <c r="AW21" s="304"/>
      <c r="AX21" s="304"/>
      <c r="AY21" s="305"/>
      <c r="AZ21" s="304"/>
      <c r="BA21" s="304"/>
      <c r="BB21" s="304"/>
      <c r="BC21" s="304"/>
      <c r="BD21" s="304"/>
      <c r="BE21" s="304"/>
      <c r="BF21" s="304"/>
      <c r="BG21" s="304"/>
      <c r="BH21" s="304"/>
      <c r="BI21" s="304"/>
      <c r="BJ21" s="304"/>
      <c r="BK21" s="304"/>
      <c r="BL21" s="304"/>
      <c r="BM21" s="304"/>
    </row>
    <row r="22" spans="2:65" s="78" customFormat="1" ht="11.25" x14ac:dyDescent="0.2">
      <c r="B22" s="408"/>
      <c r="C22" s="408"/>
      <c r="D22" s="1162"/>
      <c r="E22" s="740" t="s">
        <v>421</v>
      </c>
      <c r="F22" s="750" t="s">
        <v>572</v>
      </c>
      <c r="G22" s="730">
        <f>INFORME!G281</f>
        <v>0</v>
      </c>
      <c r="H22" s="731">
        <f>INFORME!H281</f>
        <v>0</v>
      </c>
      <c r="I22" s="731">
        <f>INFORME!I281</f>
        <v>0</v>
      </c>
      <c r="J22" s="731">
        <f>INFORME!J281</f>
        <v>0</v>
      </c>
      <c r="K22" s="731">
        <f>INFORME!K281</f>
        <v>0</v>
      </c>
      <c r="L22" s="731">
        <f>INFORME!L281</f>
        <v>0</v>
      </c>
      <c r="M22" s="731">
        <f>INFORME!M281</f>
        <v>0</v>
      </c>
      <c r="N22" s="731">
        <f>INFORME!N281</f>
        <v>0</v>
      </c>
      <c r="O22" s="731">
        <f>INFORME!O281</f>
        <v>0</v>
      </c>
      <c r="P22" s="731">
        <f>INFORME!P281</f>
        <v>0</v>
      </c>
      <c r="Q22" s="731">
        <f>INFORME!Q281</f>
        <v>0</v>
      </c>
      <c r="R22" s="732">
        <f>INFORME!R281</f>
        <v>0</v>
      </c>
      <c r="S22" s="1163"/>
      <c r="T22" s="303"/>
      <c r="U22" s="303"/>
      <c r="V22" s="303"/>
      <c r="W22" s="303"/>
      <c r="X22" s="303"/>
      <c r="Y22" s="303"/>
      <c r="Z22" s="303"/>
      <c r="AA22" s="303"/>
      <c r="AB22" s="303"/>
      <c r="AC22" s="303"/>
      <c r="AD22" s="303"/>
      <c r="AE22" s="434"/>
      <c r="AF22" s="434"/>
      <c r="AG22" s="434"/>
      <c r="AH22" s="304"/>
      <c r="AI22" s="304"/>
      <c r="AJ22" s="304"/>
      <c r="AK22" s="304"/>
      <c r="AL22" s="304"/>
      <c r="AM22" s="304"/>
      <c r="AN22" s="304"/>
      <c r="AO22" s="304"/>
      <c r="AP22" s="304"/>
      <c r="AQ22" s="304"/>
      <c r="AR22" s="304"/>
      <c r="AS22" s="304"/>
      <c r="AT22" s="304"/>
      <c r="AU22" s="304"/>
      <c r="AV22" s="304"/>
      <c r="AW22" s="304"/>
      <c r="AX22" s="304"/>
      <c r="AY22" s="305"/>
      <c r="AZ22" s="304"/>
      <c r="BA22" s="304"/>
      <c r="BB22" s="304"/>
      <c r="BC22" s="304"/>
      <c r="BD22" s="304"/>
      <c r="BE22" s="304"/>
      <c r="BF22" s="304"/>
      <c r="BG22" s="304"/>
      <c r="BH22" s="304"/>
      <c r="BI22" s="304"/>
      <c r="BJ22" s="304"/>
      <c r="BK22" s="304"/>
      <c r="BL22" s="304"/>
      <c r="BM22" s="304"/>
    </row>
    <row r="23" spans="2:65" s="78" customFormat="1" ht="11.25" x14ac:dyDescent="0.2">
      <c r="B23" s="408"/>
      <c r="C23" s="408"/>
      <c r="D23" s="1162"/>
      <c r="E23" s="740" t="s">
        <v>1480</v>
      </c>
      <c r="F23" s="750" t="s">
        <v>572</v>
      </c>
      <c r="G23" s="730">
        <f>INFORME!G280</f>
        <v>0</v>
      </c>
      <c r="H23" s="731">
        <f>INFORME!H280</f>
        <v>0</v>
      </c>
      <c r="I23" s="731">
        <f>INFORME!I280</f>
        <v>0</v>
      </c>
      <c r="J23" s="731">
        <f>INFORME!J280</f>
        <v>0</v>
      </c>
      <c r="K23" s="731">
        <f>INFORME!K280</f>
        <v>0</v>
      </c>
      <c r="L23" s="731">
        <f>INFORME!L280</f>
        <v>0</v>
      </c>
      <c r="M23" s="731">
        <f>INFORME!M280</f>
        <v>0</v>
      </c>
      <c r="N23" s="731">
        <f>INFORME!N280</f>
        <v>0</v>
      </c>
      <c r="O23" s="731">
        <f>INFORME!O280</f>
        <v>0</v>
      </c>
      <c r="P23" s="731">
        <f>INFORME!P280</f>
        <v>0</v>
      </c>
      <c r="Q23" s="731">
        <f>INFORME!Q280</f>
        <v>0</v>
      </c>
      <c r="R23" s="732">
        <f>INFORME!R280</f>
        <v>0</v>
      </c>
      <c r="S23" s="1163"/>
      <c r="T23" s="303"/>
      <c r="U23" s="303"/>
      <c r="V23" s="303"/>
      <c r="W23" s="303"/>
      <c r="X23" s="303"/>
      <c r="Y23" s="303"/>
      <c r="Z23" s="303"/>
      <c r="AA23" s="303"/>
      <c r="AB23" s="303"/>
      <c r="AC23" s="303"/>
      <c r="AD23" s="303"/>
      <c r="AE23" s="434"/>
      <c r="AF23" s="434"/>
      <c r="AG23" s="434"/>
      <c r="AH23" s="304"/>
      <c r="AI23" s="304"/>
      <c r="AJ23" s="304"/>
      <c r="AK23" s="304"/>
      <c r="AL23" s="304"/>
      <c r="AM23" s="304"/>
      <c r="AN23" s="304"/>
      <c r="AO23" s="304"/>
      <c r="AP23" s="304"/>
      <c r="AQ23" s="304"/>
      <c r="AR23" s="304"/>
      <c r="AS23" s="304"/>
      <c r="AT23" s="304"/>
      <c r="AU23" s="304"/>
      <c r="AV23" s="304"/>
      <c r="AW23" s="304"/>
      <c r="AX23" s="304"/>
      <c r="AY23" s="305"/>
      <c r="AZ23" s="304"/>
      <c r="BA23" s="304"/>
      <c r="BB23" s="304"/>
      <c r="BC23" s="304"/>
      <c r="BD23" s="304"/>
      <c r="BE23" s="304"/>
      <c r="BF23" s="304"/>
      <c r="BG23" s="304"/>
      <c r="BH23" s="304"/>
      <c r="BI23" s="304"/>
      <c r="BJ23" s="304"/>
      <c r="BK23" s="304"/>
      <c r="BL23" s="304"/>
      <c r="BM23" s="304"/>
    </row>
    <row r="24" spans="2:65" s="78" customFormat="1" ht="11.25" x14ac:dyDescent="0.2">
      <c r="B24" s="408"/>
      <c r="C24" s="408"/>
      <c r="D24" s="1162"/>
      <c r="E24" s="747" t="s">
        <v>1062</v>
      </c>
      <c r="F24" s="751"/>
      <c r="G24" s="727">
        <f>INFORME!G275+INFORME!G277+INFORME!G278+INFORME!G279</f>
        <v>0</v>
      </c>
      <c r="H24" s="728">
        <f>INFORME!H275+INFORME!H277+INFORME!H278+INFORME!H279</f>
        <v>0</v>
      </c>
      <c r="I24" s="728">
        <f>INFORME!I275+INFORME!I277+INFORME!I278+INFORME!I279</f>
        <v>0</v>
      </c>
      <c r="J24" s="728">
        <f>INFORME!J275+INFORME!J277+INFORME!J278+INFORME!J279</f>
        <v>0</v>
      </c>
      <c r="K24" s="728">
        <f>INFORME!K275+INFORME!K277+INFORME!K278+INFORME!K279</f>
        <v>0</v>
      </c>
      <c r="L24" s="728">
        <f>INFORME!L275+INFORME!L277+INFORME!L278+INFORME!L279</f>
        <v>0</v>
      </c>
      <c r="M24" s="728">
        <f>INFORME!M275+INFORME!M277+INFORME!M278+INFORME!M279</f>
        <v>0</v>
      </c>
      <c r="N24" s="728">
        <f>INFORME!N275+INFORME!N277+INFORME!N278+INFORME!N279</f>
        <v>0</v>
      </c>
      <c r="O24" s="728">
        <f>INFORME!O275+INFORME!O277+INFORME!O278+INFORME!O279</f>
        <v>0</v>
      </c>
      <c r="P24" s="728">
        <f>INFORME!P275+INFORME!P277+INFORME!P278+INFORME!P279</f>
        <v>0</v>
      </c>
      <c r="Q24" s="728">
        <f>INFORME!Q275+INFORME!Q277+INFORME!Q278+INFORME!Q279</f>
        <v>0</v>
      </c>
      <c r="R24" s="729">
        <f>INFORME!R275+INFORME!R277+INFORME!R278+INFORME!R279</f>
        <v>0</v>
      </c>
      <c r="S24" s="1163"/>
      <c r="T24" s="303"/>
      <c r="U24" s="303"/>
      <c r="V24" s="303"/>
      <c r="W24" s="303"/>
      <c r="X24" s="303"/>
      <c r="Y24" s="303"/>
      <c r="Z24" s="303"/>
      <c r="AA24" s="303"/>
      <c r="AB24" s="303"/>
      <c r="AC24" s="303"/>
      <c r="AD24" s="303"/>
      <c r="AE24" s="434"/>
      <c r="AF24" s="434"/>
      <c r="AG24" s="434"/>
      <c r="AH24" s="304"/>
      <c r="AI24" s="304"/>
      <c r="AJ24" s="304"/>
      <c r="AK24" s="304"/>
      <c r="AL24" s="304"/>
      <c r="AM24" s="304"/>
      <c r="AN24" s="304"/>
      <c r="AO24" s="304"/>
      <c r="AP24" s="304"/>
      <c r="AQ24" s="304"/>
      <c r="AR24" s="304"/>
      <c r="AS24" s="304"/>
      <c r="AT24" s="304"/>
      <c r="AU24" s="304"/>
      <c r="AV24" s="304"/>
      <c r="AW24" s="304"/>
      <c r="AX24" s="304"/>
      <c r="AY24" s="305"/>
      <c r="AZ24" s="304"/>
      <c r="BA24" s="304"/>
      <c r="BB24" s="304"/>
      <c r="BC24" s="304"/>
      <c r="BD24" s="304"/>
      <c r="BE24" s="304"/>
      <c r="BF24" s="304"/>
      <c r="BG24" s="304"/>
      <c r="BH24" s="304"/>
      <c r="BI24" s="304"/>
      <c r="BJ24" s="304"/>
      <c r="BK24" s="304"/>
      <c r="BL24" s="304"/>
      <c r="BM24" s="304"/>
    </row>
    <row r="25" spans="2:65" s="78" customFormat="1" ht="5.0999999999999996" customHeight="1" thickBot="1" x14ac:dyDescent="0.25">
      <c r="B25" s="408"/>
      <c r="C25" s="408"/>
      <c r="D25" s="1160"/>
      <c r="E25" s="1130"/>
      <c r="F25" s="1130"/>
      <c r="G25" s="1130"/>
      <c r="H25" s="1130"/>
      <c r="I25" s="1130"/>
      <c r="J25" s="1130"/>
      <c r="K25" s="1130"/>
      <c r="L25" s="1130"/>
      <c r="M25" s="1130"/>
      <c r="N25" s="1130"/>
      <c r="O25" s="1130"/>
      <c r="P25" s="1130"/>
      <c r="Q25" s="1130"/>
      <c r="R25" s="1130"/>
      <c r="S25" s="1161"/>
      <c r="T25" s="299"/>
      <c r="U25" s="303"/>
      <c r="V25" s="303"/>
      <c r="W25" s="303"/>
      <c r="X25" s="303"/>
      <c r="Y25" s="303"/>
      <c r="Z25" s="303"/>
      <c r="AA25" s="303"/>
      <c r="AB25" s="303"/>
      <c r="AC25" s="303"/>
      <c r="AD25" s="303"/>
      <c r="AE25" s="434"/>
      <c r="AF25" s="434"/>
      <c r="AG25" s="434"/>
      <c r="AH25" s="304"/>
      <c r="AI25" s="304"/>
      <c r="AJ25" s="304"/>
      <c r="AK25" s="304"/>
      <c r="AL25" s="304"/>
      <c r="AM25" s="304"/>
      <c r="AN25" s="304"/>
      <c r="AO25" s="304"/>
      <c r="AP25" s="304"/>
      <c r="AQ25" s="304"/>
      <c r="AR25" s="304"/>
      <c r="AS25" s="304"/>
      <c r="AT25" s="304"/>
      <c r="AU25" s="304"/>
      <c r="AV25" s="304"/>
      <c r="AW25" s="304"/>
      <c r="AX25" s="304"/>
      <c r="AY25" s="305"/>
      <c r="AZ25" s="304"/>
      <c r="BA25" s="304"/>
      <c r="BB25" s="304"/>
      <c r="BC25" s="304"/>
      <c r="BD25" s="304"/>
      <c r="BE25" s="304"/>
      <c r="BF25" s="304"/>
      <c r="BG25" s="304"/>
      <c r="BH25" s="304"/>
      <c r="BI25" s="304"/>
      <c r="BJ25" s="304"/>
      <c r="BK25" s="304"/>
      <c r="BL25" s="304"/>
      <c r="BM25" s="304"/>
    </row>
    <row r="26" spans="2:65" s="78" customFormat="1" ht="11.25" x14ac:dyDescent="0.2">
      <c r="B26" s="408"/>
      <c r="C26" s="408"/>
      <c r="D26" s="1162"/>
      <c r="E26" s="1493" t="s">
        <v>1063</v>
      </c>
      <c r="F26" s="1494"/>
      <c r="G26" s="1073">
        <f>INFORME!G283</f>
        <v>0</v>
      </c>
      <c r="H26" s="1074">
        <f>INFORME!H283</f>
        <v>0</v>
      </c>
      <c r="I26" s="1074">
        <f>INFORME!I283</f>
        <v>0</v>
      </c>
      <c r="J26" s="1074">
        <f>INFORME!J283</f>
        <v>0</v>
      </c>
      <c r="K26" s="1074">
        <f>INFORME!K283</f>
        <v>0</v>
      </c>
      <c r="L26" s="1074">
        <f>INFORME!L283</f>
        <v>0</v>
      </c>
      <c r="M26" s="1074">
        <f>INFORME!M283</f>
        <v>0</v>
      </c>
      <c r="N26" s="1074">
        <f>INFORME!N283</f>
        <v>0</v>
      </c>
      <c r="O26" s="1074">
        <f>INFORME!O283</f>
        <v>0</v>
      </c>
      <c r="P26" s="1074">
        <f>INFORME!P283</f>
        <v>0</v>
      </c>
      <c r="Q26" s="1074">
        <f>INFORME!Q283</f>
        <v>0</v>
      </c>
      <c r="R26" s="1075">
        <f>INFORME!R283</f>
        <v>0</v>
      </c>
      <c r="S26" s="1163"/>
      <c r="T26" s="303"/>
      <c r="U26" s="303"/>
      <c r="V26" s="303"/>
      <c r="W26" s="303"/>
      <c r="X26" s="303"/>
      <c r="Y26" s="303"/>
      <c r="Z26" s="303"/>
      <c r="AA26" s="303"/>
      <c r="AB26" s="303"/>
      <c r="AC26" s="303"/>
      <c r="AD26" s="303"/>
      <c r="AE26" s="434"/>
      <c r="AF26" s="434"/>
      <c r="AG26" s="434"/>
      <c r="AH26" s="304"/>
      <c r="AI26" s="304"/>
      <c r="AJ26" s="304"/>
      <c r="AK26" s="304"/>
      <c r="AL26" s="304"/>
      <c r="AM26" s="304"/>
      <c r="AN26" s="304"/>
      <c r="AO26" s="304"/>
      <c r="AP26" s="304"/>
      <c r="AQ26" s="304"/>
      <c r="AR26" s="304"/>
      <c r="AS26" s="304"/>
      <c r="AT26" s="304"/>
      <c r="AU26" s="304"/>
      <c r="AV26" s="304"/>
      <c r="AW26" s="304"/>
      <c r="AX26" s="304"/>
      <c r="AY26" s="305"/>
      <c r="AZ26" s="304"/>
      <c r="BA26" s="304"/>
      <c r="BB26" s="304"/>
      <c r="BC26" s="304"/>
      <c r="BD26" s="304"/>
      <c r="BE26" s="304"/>
      <c r="BF26" s="304"/>
      <c r="BG26" s="304"/>
      <c r="BH26" s="304"/>
      <c r="BI26" s="304"/>
      <c r="BJ26" s="304"/>
      <c r="BK26" s="304"/>
      <c r="BL26" s="304"/>
      <c r="BM26" s="304"/>
    </row>
    <row r="27" spans="2:65" s="78" customFormat="1" ht="12" thickBot="1" x14ac:dyDescent="0.25">
      <c r="B27" s="408"/>
      <c r="C27" s="408"/>
      <c r="D27" s="1162"/>
      <c r="E27" s="1495" t="s">
        <v>1064</v>
      </c>
      <c r="F27" s="1496"/>
      <c r="G27" s="1076">
        <f>INFORME!G285</f>
        <v>0</v>
      </c>
      <c r="H27" s="1077">
        <f>INFORME!H285</f>
        <v>0</v>
      </c>
      <c r="I27" s="1077">
        <f>INFORME!I285</f>
        <v>0</v>
      </c>
      <c r="J27" s="1077">
        <f>INFORME!J285</f>
        <v>0</v>
      </c>
      <c r="K27" s="1077">
        <f>INFORME!K285</f>
        <v>0</v>
      </c>
      <c r="L27" s="1077">
        <f>INFORME!L285</f>
        <v>0</v>
      </c>
      <c r="M27" s="1077">
        <f>INFORME!M285</f>
        <v>0</v>
      </c>
      <c r="N27" s="1077">
        <f>INFORME!N285</f>
        <v>0</v>
      </c>
      <c r="O27" s="1077">
        <f>INFORME!O285</f>
        <v>0</v>
      </c>
      <c r="P27" s="1077">
        <f>INFORME!P285</f>
        <v>0</v>
      </c>
      <c r="Q27" s="1077">
        <f>INFORME!Q285</f>
        <v>0</v>
      </c>
      <c r="R27" s="1078">
        <f>INFORME!R285</f>
        <v>0</v>
      </c>
      <c r="S27" s="1163"/>
      <c r="T27" s="303"/>
      <c r="U27" s="303"/>
      <c r="V27" s="303"/>
      <c r="W27" s="303"/>
      <c r="X27" s="303"/>
      <c r="Y27" s="303"/>
      <c r="Z27" s="303"/>
      <c r="AA27" s="303"/>
      <c r="AB27" s="303"/>
      <c r="AC27" s="303"/>
      <c r="AD27" s="303"/>
      <c r="AE27" s="434"/>
      <c r="AF27" s="434"/>
      <c r="AG27" s="434"/>
      <c r="AH27" s="304"/>
      <c r="AI27" s="304"/>
      <c r="AJ27" s="304"/>
      <c r="AK27" s="304"/>
      <c r="AL27" s="304"/>
      <c r="AM27" s="304"/>
      <c r="AN27" s="304"/>
      <c r="AO27" s="304"/>
      <c r="AP27" s="304"/>
      <c r="AQ27" s="304"/>
      <c r="AR27" s="304"/>
      <c r="AS27" s="304"/>
      <c r="AT27" s="304"/>
      <c r="AU27" s="304"/>
      <c r="AV27" s="304"/>
      <c r="AW27" s="304"/>
      <c r="AX27" s="304"/>
      <c r="AY27" s="305"/>
      <c r="AZ27" s="304"/>
      <c r="BA27" s="304"/>
      <c r="BB27" s="304"/>
      <c r="BC27" s="304"/>
      <c r="BD27" s="304"/>
      <c r="BE27" s="304"/>
      <c r="BF27" s="304"/>
      <c r="BG27" s="304"/>
      <c r="BH27" s="304"/>
      <c r="BI27" s="304"/>
      <c r="BJ27" s="304"/>
      <c r="BK27" s="304"/>
      <c r="BL27" s="304"/>
      <c r="BM27" s="304"/>
    </row>
    <row r="28" spans="2:65" s="78" customFormat="1" ht="20.100000000000001" customHeight="1" x14ac:dyDescent="0.2">
      <c r="B28" s="408"/>
      <c r="C28" s="408"/>
      <c r="D28" s="1162"/>
      <c r="E28" s="1105"/>
      <c r="F28" s="1105"/>
      <c r="G28" s="1105"/>
      <c r="H28" s="1105"/>
      <c r="I28" s="1105"/>
      <c r="J28" s="1105"/>
      <c r="K28" s="1105"/>
      <c r="L28" s="1105"/>
      <c r="M28" s="1105"/>
      <c r="N28" s="1105"/>
      <c r="O28" s="1105"/>
      <c r="P28" s="1105"/>
      <c r="Q28" s="1105"/>
      <c r="R28" s="182"/>
      <c r="S28" s="1163"/>
      <c r="T28" s="745"/>
      <c r="U28" s="303"/>
      <c r="V28" s="303"/>
      <c r="W28" s="303"/>
      <c r="X28" s="303"/>
      <c r="Y28" s="303"/>
      <c r="Z28" s="303"/>
      <c r="AA28" s="303"/>
      <c r="AB28" s="303"/>
      <c r="AC28" s="303"/>
      <c r="AD28" s="303"/>
      <c r="AE28" s="434"/>
      <c r="AF28" s="434"/>
      <c r="AG28" s="434"/>
      <c r="AH28" s="304"/>
      <c r="AI28" s="304"/>
      <c r="AJ28" s="304"/>
      <c r="AK28" s="304"/>
      <c r="AL28" s="304"/>
      <c r="AM28" s="304"/>
      <c r="AN28" s="304"/>
      <c r="AO28" s="304"/>
      <c r="AP28" s="304"/>
      <c r="AQ28" s="304"/>
      <c r="AR28" s="304"/>
      <c r="AS28" s="304"/>
      <c r="AT28" s="304"/>
      <c r="AU28" s="304"/>
      <c r="AV28" s="304"/>
      <c r="AW28" s="304"/>
      <c r="AX28" s="304"/>
      <c r="AY28" s="305"/>
      <c r="AZ28" s="304"/>
      <c r="BA28" s="304"/>
      <c r="BB28" s="304"/>
      <c r="BC28" s="304"/>
      <c r="BD28" s="304"/>
      <c r="BE28" s="304"/>
      <c r="BF28" s="304"/>
      <c r="BG28" s="304"/>
      <c r="BH28" s="304"/>
      <c r="BI28" s="304"/>
      <c r="BJ28" s="304"/>
      <c r="BK28" s="304"/>
      <c r="BL28" s="304"/>
      <c r="BM28" s="304"/>
    </row>
    <row r="29" spans="2:65" s="78" customFormat="1" ht="12" customHeight="1" x14ac:dyDescent="0.2">
      <c r="B29" s="408"/>
      <c r="C29" s="408"/>
      <c r="D29" s="1162"/>
      <c r="E29" s="1489" t="s">
        <v>830</v>
      </c>
      <c r="F29" s="1490"/>
      <c r="G29" s="752" t="str">
        <f t="shared" ref="G29:R29" si="0">G4</f>
        <v>Enero</v>
      </c>
      <c r="H29" s="752" t="str">
        <f t="shared" si="0"/>
        <v>Febrero</v>
      </c>
      <c r="I29" s="752" t="str">
        <f t="shared" si="0"/>
        <v>Marzo</v>
      </c>
      <c r="J29" s="752" t="str">
        <f t="shared" si="0"/>
        <v>Abril</v>
      </c>
      <c r="K29" s="752" t="str">
        <f t="shared" si="0"/>
        <v xml:space="preserve">Mayo </v>
      </c>
      <c r="L29" s="752" t="str">
        <f t="shared" si="0"/>
        <v>Junio</v>
      </c>
      <c r="M29" s="752" t="str">
        <f t="shared" si="0"/>
        <v>Julio</v>
      </c>
      <c r="N29" s="752" t="str">
        <f t="shared" si="0"/>
        <v>Agosto</v>
      </c>
      <c r="O29" s="752" t="str">
        <f t="shared" si="0"/>
        <v>Septiembre</v>
      </c>
      <c r="P29" s="752" t="str">
        <f t="shared" si="0"/>
        <v>Octubre</v>
      </c>
      <c r="Q29" s="752" t="str">
        <f t="shared" si="0"/>
        <v>Noviembre</v>
      </c>
      <c r="R29" s="753" t="str">
        <f t="shared" si="0"/>
        <v>Diciembre</v>
      </c>
      <c r="S29" s="1163"/>
      <c r="T29" s="745"/>
      <c r="U29" s="303"/>
      <c r="V29" s="303"/>
      <c r="W29" s="303"/>
      <c r="X29" s="303"/>
      <c r="Y29" s="303"/>
      <c r="Z29" s="303"/>
      <c r="AA29" s="303"/>
      <c r="AB29" s="303"/>
      <c r="AC29" s="303"/>
      <c r="AD29" s="303"/>
      <c r="AE29" s="434"/>
      <c r="AF29" s="434"/>
      <c r="AG29" s="434"/>
      <c r="AH29" s="304"/>
      <c r="AI29" s="304"/>
      <c r="AJ29" s="304"/>
      <c r="AK29" s="304"/>
      <c r="AL29" s="304"/>
      <c r="AM29" s="304"/>
      <c r="AN29" s="304"/>
      <c r="AO29" s="304"/>
      <c r="AP29" s="304"/>
      <c r="AQ29" s="304"/>
      <c r="AR29" s="304"/>
      <c r="AS29" s="304"/>
      <c r="AT29" s="304"/>
      <c r="AU29" s="304"/>
      <c r="AV29" s="304"/>
      <c r="AW29" s="304"/>
      <c r="AX29" s="304"/>
      <c r="AY29" s="305"/>
      <c r="AZ29" s="304"/>
      <c r="BA29" s="304"/>
      <c r="BB29" s="304"/>
      <c r="BC29" s="304"/>
      <c r="BD29" s="304"/>
      <c r="BE29" s="304"/>
      <c r="BF29" s="304"/>
      <c r="BG29" s="304"/>
      <c r="BH29" s="304"/>
      <c r="BI29" s="304"/>
      <c r="BJ29" s="304"/>
      <c r="BK29" s="304"/>
      <c r="BL29" s="304"/>
      <c r="BM29" s="304"/>
    </row>
    <row r="30" spans="2:65" s="78" customFormat="1" ht="3.75" customHeight="1" x14ac:dyDescent="0.2">
      <c r="B30" s="408"/>
      <c r="C30" s="408"/>
      <c r="D30" s="1162"/>
      <c r="E30" s="1105"/>
      <c r="F30" s="1105"/>
      <c r="G30" s="1105"/>
      <c r="H30" s="1105"/>
      <c r="I30" s="1105"/>
      <c r="J30" s="1105"/>
      <c r="K30" s="1105"/>
      <c r="L30" s="1105"/>
      <c r="M30" s="1105"/>
      <c r="N30" s="1105"/>
      <c r="O30" s="1105"/>
      <c r="P30" s="1105"/>
      <c r="Q30" s="1105"/>
      <c r="R30" s="182"/>
      <c r="S30" s="1163"/>
      <c r="T30" s="745"/>
      <c r="U30" s="303"/>
      <c r="V30" s="303"/>
      <c r="W30" s="303"/>
      <c r="X30" s="303"/>
      <c r="Y30" s="303"/>
      <c r="Z30" s="303"/>
      <c r="AA30" s="303"/>
      <c r="AB30" s="303"/>
      <c r="AC30" s="303"/>
      <c r="AD30" s="303"/>
      <c r="AE30" s="434"/>
      <c r="AF30" s="434"/>
      <c r="AG30" s="434"/>
      <c r="AH30" s="304"/>
      <c r="AI30" s="304"/>
      <c r="AJ30" s="304"/>
      <c r="AK30" s="304"/>
      <c r="AL30" s="304"/>
      <c r="AM30" s="304"/>
      <c r="AN30" s="304"/>
      <c r="AO30" s="304"/>
      <c r="AP30" s="304"/>
      <c r="AQ30" s="304"/>
      <c r="AR30" s="304"/>
      <c r="AS30" s="304"/>
      <c r="AT30" s="304"/>
      <c r="AU30" s="304"/>
      <c r="AV30" s="304"/>
      <c r="AW30" s="304"/>
      <c r="AX30" s="304"/>
      <c r="AY30" s="305"/>
      <c r="AZ30" s="304"/>
      <c r="BA30" s="304"/>
      <c r="BB30" s="304"/>
      <c r="BC30" s="304"/>
      <c r="BD30" s="304"/>
      <c r="BE30" s="304"/>
      <c r="BF30" s="304"/>
      <c r="BG30" s="304"/>
      <c r="BH30" s="304"/>
      <c r="BI30" s="304"/>
      <c r="BJ30" s="304"/>
      <c r="BK30" s="304"/>
      <c r="BL30" s="304"/>
      <c r="BM30" s="304"/>
    </row>
    <row r="31" spans="2:65" s="78" customFormat="1" ht="11.25" x14ac:dyDescent="0.2">
      <c r="B31" s="408"/>
      <c r="C31" s="408"/>
      <c r="D31" s="1162"/>
      <c r="E31" s="1485" t="s">
        <v>832</v>
      </c>
      <c r="F31" s="1486"/>
      <c r="G31" s="1079">
        <f>INFORME!G285</f>
        <v>0</v>
      </c>
      <c r="H31" s="1080">
        <f>INFORME!H285</f>
        <v>0</v>
      </c>
      <c r="I31" s="1080">
        <f>INFORME!I285</f>
        <v>0</v>
      </c>
      <c r="J31" s="1080">
        <f>INFORME!J285</f>
        <v>0</v>
      </c>
      <c r="K31" s="1080">
        <f>INFORME!K285</f>
        <v>0</v>
      </c>
      <c r="L31" s="1080">
        <f>INFORME!L285</f>
        <v>0</v>
      </c>
      <c r="M31" s="1080">
        <f>INFORME!M285</f>
        <v>0</v>
      </c>
      <c r="N31" s="1080">
        <f>INFORME!N285</f>
        <v>0</v>
      </c>
      <c r="O31" s="1080">
        <f>INFORME!O285</f>
        <v>0</v>
      </c>
      <c r="P31" s="1080">
        <f>INFORME!P285</f>
        <v>0</v>
      </c>
      <c r="Q31" s="1080">
        <f>INFORME!Q285</f>
        <v>0</v>
      </c>
      <c r="R31" s="1081">
        <f>INFORME!R285</f>
        <v>0</v>
      </c>
      <c r="S31" s="1163"/>
      <c r="T31" s="745"/>
      <c r="U31" s="303"/>
      <c r="V31" s="303"/>
      <c r="W31" s="303"/>
      <c r="X31" s="303"/>
      <c r="Y31" s="303"/>
      <c r="Z31" s="303"/>
      <c r="AA31" s="303"/>
      <c r="AB31" s="303"/>
      <c r="AC31" s="303"/>
      <c r="AD31" s="303"/>
      <c r="AE31" s="434"/>
      <c r="AF31" s="434"/>
      <c r="AG31" s="434"/>
      <c r="AH31" s="304"/>
      <c r="AI31" s="304"/>
      <c r="AJ31" s="304"/>
      <c r="AK31" s="304"/>
      <c r="AL31" s="304"/>
      <c r="AM31" s="304"/>
      <c r="AN31" s="304"/>
      <c r="AO31" s="304"/>
      <c r="AP31" s="304"/>
      <c r="AQ31" s="304"/>
      <c r="AR31" s="304"/>
      <c r="AS31" s="304"/>
      <c r="AT31" s="304"/>
      <c r="AU31" s="304"/>
      <c r="AV31" s="304"/>
      <c r="AW31" s="304"/>
      <c r="AX31" s="304"/>
      <c r="AY31" s="305"/>
      <c r="AZ31" s="304"/>
      <c r="BA31" s="304"/>
      <c r="BB31" s="304"/>
      <c r="BC31" s="304"/>
      <c r="BD31" s="304"/>
      <c r="BE31" s="304"/>
      <c r="BF31" s="304"/>
      <c r="BG31" s="304"/>
      <c r="BH31" s="304"/>
      <c r="BI31" s="304"/>
      <c r="BJ31" s="304"/>
      <c r="BK31" s="304"/>
      <c r="BL31" s="304"/>
      <c r="BM31" s="304"/>
    </row>
    <row r="32" spans="2:65" s="78" customFormat="1" ht="11.25" x14ac:dyDescent="0.2">
      <c r="B32" s="408"/>
      <c r="C32" s="408"/>
      <c r="D32" s="1162"/>
      <c r="E32" s="1481" t="s">
        <v>1401</v>
      </c>
      <c r="F32" s="1482"/>
      <c r="G32" s="1082">
        <f>prestamos!$D$54</f>
        <v>0</v>
      </c>
      <c r="H32" s="1083">
        <f>prestamos!E54</f>
        <v>0</v>
      </c>
      <c r="I32" s="1083">
        <f>prestamos!F54</f>
        <v>0</v>
      </c>
      <c r="J32" s="1083">
        <f>prestamos!G54</f>
        <v>0</v>
      </c>
      <c r="K32" s="1083">
        <f>prestamos!H54</f>
        <v>0</v>
      </c>
      <c r="L32" s="1083">
        <f>prestamos!I54</f>
        <v>0</v>
      </c>
      <c r="M32" s="1083">
        <f>prestamos!J54</f>
        <v>0</v>
      </c>
      <c r="N32" s="1083">
        <f>prestamos!K54</f>
        <v>0</v>
      </c>
      <c r="O32" s="1083">
        <f>prestamos!L54</f>
        <v>0</v>
      </c>
      <c r="P32" s="1083">
        <f>prestamos!M54</f>
        <v>0</v>
      </c>
      <c r="Q32" s="1083">
        <f>prestamos!N54</f>
        <v>0</v>
      </c>
      <c r="R32" s="1084">
        <f>prestamos!O54</f>
        <v>0</v>
      </c>
      <c r="S32" s="1163"/>
      <c r="T32" s="745"/>
      <c r="U32" s="303"/>
      <c r="V32" s="303"/>
      <c r="W32" s="303"/>
      <c r="X32" s="303"/>
      <c r="Y32" s="303"/>
      <c r="Z32" s="303"/>
      <c r="AA32" s="303"/>
      <c r="AB32" s="303"/>
      <c r="AC32" s="303"/>
      <c r="AD32" s="303"/>
      <c r="AE32" s="434"/>
      <c r="AF32" s="434"/>
      <c r="AG32" s="434"/>
      <c r="AH32" s="304"/>
      <c r="AI32" s="304"/>
      <c r="AJ32" s="304"/>
      <c r="AK32" s="304"/>
      <c r="AL32" s="304"/>
      <c r="AM32" s="304"/>
      <c r="AN32" s="304"/>
      <c r="AO32" s="304"/>
      <c r="AP32" s="304"/>
      <c r="AQ32" s="304"/>
      <c r="AR32" s="304"/>
      <c r="AS32" s="304"/>
      <c r="AT32" s="304"/>
      <c r="AU32" s="304"/>
      <c r="AV32" s="304"/>
      <c r="AW32" s="304"/>
      <c r="AX32" s="304"/>
      <c r="AY32" s="305"/>
      <c r="AZ32" s="304"/>
      <c r="BA32" s="304"/>
      <c r="BB32" s="304"/>
      <c r="BC32" s="304"/>
      <c r="BD32" s="304"/>
      <c r="BE32" s="304"/>
      <c r="BF32" s="304"/>
      <c r="BG32" s="304"/>
      <c r="BH32" s="304"/>
      <c r="BI32" s="304"/>
      <c r="BJ32" s="304"/>
      <c r="BK32" s="304"/>
      <c r="BL32" s="304"/>
      <c r="BM32" s="304"/>
    </row>
    <row r="33" spans="2:65" s="78" customFormat="1" ht="11.25" x14ac:dyDescent="0.2">
      <c r="B33" s="408"/>
      <c r="C33" s="408"/>
      <c r="D33" s="1162"/>
      <c r="E33" s="1487" t="s">
        <v>1402</v>
      </c>
      <c r="F33" s="1488"/>
      <c r="G33" s="754"/>
      <c r="H33" s="755"/>
      <c r="I33" s="755"/>
      <c r="J33" s="755"/>
      <c r="K33" s="755"/>
      <c r="L33" s="755"/>
      <c r="M33" s="755"/>
      <c r="N33" s="755"/>
      <c r="O33" s="755"/>
      <c r="P33" s="755"/>
      <c r="Q33" s="755"/>
      <c r="R33" s="756"/>
      <c r="S33" s="1163"/>
      <c r="T33" s="745"/>
      <c r="U33" s="303"/>
      <c r="V33" s="303"/>
      <c r="W33" s="303"/>
      <c r="X33" s="303"/>
      <c r="Y33" s="303"/>
      <c r="Z33" s="303"/>
      <c r="AA33" s="303"/>
      <c r="AB33" s="303"/>
      <c r="AC33" s="303"/>
      <c r="AD33" s="303"/>
      <c r="AE33" s="434"/>
      <c r="AF33" s="434"/>
      <c r="AG33" s="434"/>
      <c r="AH33" s="304"/>
      <c r="AI33" s="304"/>
      <c r="AJ33" s="304"/>
      <c r="AK33" s="304"/>
      <c r="AL33" s="304"/>
      <c r="AM33" s="304"/>
      <c r="AN33" s="304"/>
      <c r="AO33" s="304"/>
      <c r="AP33" s="304"/>
      <c r="AQ33" s="304"/>
      <c r="AR33" s="304"/>
      <c r="AS33" s="304"/>
      <c r="AT33" s="304"/>
      <c r="AU33" s="304"/>
      <c r="AV33" s="304"/>
      <c r="AW33" s="304"/>
      <c r="AX33" s="304"/>
      <c r="AY33" s="305"/>
      <c r="AZ33" s="304"/>
      <c r="BA33" s="304"/>
      <c r="BB33" s="304"/>
      <c r="BC33" s="304"/>
      <c r="BD33" s="304"/>
      <c r="BE33" s="304"/>
      <c r="BF33" s="304"/>
      <c r="BG33" s="304"/>
      <c r="BH33" s="304"/>
      <c r="BI33" s="304"/>
      <c r="BJ33" s="304"/>
      <c r="BK33" s="304"/>
      <c r="BL33" s="304"/>
      <c r="BM33" s="304"/>
    </row>
    <row r="34" spans="2:65" s="78" customFormat="1" ht="11.25" x14ac:dyDescent="0.2">
      <c r="B34" s="408"/>
      <c r="C34" s="408"/>
      <c r="D34" s="1162"/>
      <c r="E34" s="1483" t="s">
        <v>1403</v>
      </c>
      <c r="F34" s="1484"/>
      <c r="G34" s="1085">
        <f>+'6'!G33-'6'!G35</f>
        <v>0</v>
      </c>
      <c r="H34" s="1086">
        <f>+'6'!H33+G34-'6'!H35</f>
        <v>0</v>
      </c>
      <c r="I34" s="1086">
        <f>+'6'!I33+H34-'6'!I35</f>
        <v>0</v>
      </c>
      <c r="J34" s="1086">
        <f>+'6'!J33+I34-'6'!J35</f>
        <v>0</v>
      </c>
      <c r="K34" s="1086">
        <f>+'6'!K33+J34-'6'!K35</f>
        <v>0</v>
      </c>
      <c r="L34" s="1086">
        <f>+'6'!L33+K34-'6'!L35</f>
        <v>0</v>
      </c>
      <c r="M34" s="1086">
        <f>+'6'!M33+L34-'6'!M35</f>
        <v>0</v>
      </c>
      <c r="N34" s="1086">
        <f>+'6'!N33+M34-'6'!N35</f>
        <v>0</v>
      </c>
      <c r="O34" s="1086">
        <f>+'6'!O33+N34-'6'!O35</f>
        <v>0</v>
      </c>
      <c r="P34" s="1086">
        <f>+'6'!P33+O34-'6'!P35</f>
        <v>0</v>
      </c>
      <c r="Q34" s="1086">
        <f>+'6'!Q33+P34-'6'!Q35</f>
        <v>0</v>
      </c>
      <c r="R34" s="1087">
        <f>+'6'!R33+Q34-'6'!R35</f>
        <v>0</v>
      </c>
      <c r="S34" s="1163"/>
      <c r="T34" s="745"/>
      <c r="U34" s="303"/>
      <c r="V34" s="303"/>
      <c r="W34" s="303"/>
      <c r="X34" s="303"/>
      <c r="Y34" s="303"/>
      <c r="Z34" s="303"/>
      <c r="AA34" s="303"/>
      <c r="AB34" s="303"/>
      <c r="AC34" s="303"/>
      <c r="AD34" s="303"/>
      <c r="AE34" s="434"/>
      <c r="AF34" s="434"/>
      <c r="AG34" s="434"/>
      <c r="AH34" s="304"/>
      <c r="AI34" s="304"/>
      <c r="AJ34" s="304"/>
      <c r="AK34" s="304"/>
      <c r="AL34" s="304"/>
      <c r="AM34" s="304"/>
      <c r="AN34" s="304"/>
      <c r="AO34" s="304"/>
      <c r="AP34" s="304"/>
      <c r="AQ34" s="304"/>
      <c r="AR34" s="304"/>
      <c r="AS34" s="304"/>
      <c r="AT34" s="304"/>
      <c r="AU34" s="304"/>
      <c r="AV34" s="304"/>
      <c r="AW34" s="304"/>
      <c r="AX34" s="304"/>
      <c r="AY34" s="305"/>
      <c r="AZ34" s="304"/>
      <c r="BA34" s="304"/>
      <c r="BB34" s="304"/>
      <c r="BC34" s="304"/>
      <c r="BD34" s="304"/>
      <c r="BE34" s="304"/>
      <c r="BF34" s="304"/>
      <c r="BG34" s="304"/>
      <c r="BH34" s="304"/>
      <c r="BI34" s="304"/>
      <c r="BJ34" s="304"/>
      <c r="BK34" s="304"/>
      <c r="BL34" s="304"/>
      <c r="BM34" s="304"/>
    </row>
    <row r="35" spans="2:65" s="78" customFormat="1" ht="11.25" x14ac:dyDescent="0.2">
      <c r="B35" s="408"/>
      <c r="C35" s="408"/>
      <c r="D35" s="1162"/>
      <c r="E35" s="1487" t="s">
        <v>1096</v>
      </c>
      <c r="F35" s="1488"/>
      <c r="G35" s="754"/>
      <c r="H35" s="755"/>
      <c r="I35" s="755"/>
      <c r="J35" s="755"/>
      <c r="K35" s="755"/>
      <c r="L35" s="755"/>
      <c r="M35" s="755"/>
      <c r="N35" s="755"/>
      <c r="O35" s="755"/>
      <c r="P35" s="755"/>
      <c r="Q35" s="755"/>
      <c r="R35" s="756"/>
      <c r="S35" s="1163"/>
      <c r="T35" s="745"/>
      <c r="U35" s="303"/>
      <c r="V35" s="303"/>
      <c r="W35" s="303"/>
      <c r="X35" s="303"/>
      <c r="Y35" s="303"/>
      <c r="Z35" s="303"/>
      <c r="AA35" s="303"/>
      <c r="AB35" s="303"/>
      <c r="AC35" s="303"/>
      <c r="AD35" s="303"/>
      <c r="AE35" s="434"/>
      <c r="AF35" s="434"/>
      <c r="AG35" s="434"/>
      <c r="AH35" s="304"/>
      <c r="AI35" s="304"/>
      <c r="AJ35" s="304"/>
      <c r="AK35" s="304"/>
      <c r="AL35" s="304"/>
      <c r="AM35" s="304"/>
      <c r="AN35" s="304"/>
      <c r="AO35" s="304"/>
      <c r="AP35" s="304"/>
      <c r="AQ35" s="304"/>
      <c r="AR35" s="304"/>
      <c r="AS35" s="304"/>
      <c r="AT35" s="304"/>
      <c r="AU35" s="304"/>
      <c r="AV35" s="304"/>
      <c r="AW35" s="304"/>
      <c r="AX35" s="304"/>
      <c r="AY35" s="305"/>
      <c r="AZ35" s="304"/>
      <c r="BA35" s="304"/>
      <c r="BB35" s="304"/>
      <c r="BC35" s="304"/>
      <c r="BD35" s="304"/>
      <c r="BE35" s="304"/>
      <c r="BF35" s="304"/>
      <c r="BG35" s="304"/>
      <c r="BH35" s="304"/>
      <c r="BI35" s="304"/>
      <c r="BJ35" s="304"/>
      <c r="BK35" s="304"/>
      <c r="BL35" s="304"/>
      <c r="BM35" s="304"/>
    </row>
    <row r="36" spans="2:65" s="78" customFormat="1" ht="11.25" x14ac:dyDescent="0.2">
      <c r="B36" s="408"/>
      <c r="C36" s="408"/>
      <c r="D36" s="1162"/>
      <c r="E36" s="1479" t="s">
        <v>831</v>
      </c>
      <c r="F36" s="1480"/>
      <c r="G36" s="1088">
        <f>INFORME!G287</f>
        <v>0</v>
      </c>
      <c r="H36" s="1089">
        <f>INFORME!H287</f>
        <v>0</v>
      </c>
      <c r="I36" s="1089">
        <f>INFORME!I287</f>
        <v>0</v>
      </c>
      <c r="J36" s="1089">
        <f>INFORME!J287</f>
        <v>0</v>
      </c>
      <c r="K36" s="1089">
        <f>INFORME!K287</f>
        <v>0</v>
      </c>
      <c r="L36" s="1089">
        <f>INFORME!L287</f>
        <v>0</v>
      </c>
      <c r="M36" s="1089">
        <f>INFORME!M287</f>
        <v>0</v>
      </c>
      <c r="N36" s="1089">
        <f>INFORME!N287</f>
        <v>0</v>
      </c>
      <c r="O36" s="1089">
        <f>INFORME!O287</f>
        <v>0</v>
      </c>
      <c r="P36" s="1089">
        <f>INFORME!P287</f>
        <v>0</v>
      </c>
      <c r="Q36" s="1089">
        <f>INFORME!Q287</f>
        <v>0</v>
      </c>
      <c r="R36" s="1090">
        <f>INFORME!R287</f>
        <v>0</v>
      </c>
      <c r="S36" s="1163"/>
      <c r="T36" s="745"/>
      <c r="U36" s="303"/>
      <c r="V36" s="303"/>
      <c r="W36" s="303"/>
      <c r="X36" s="303"/>
      <c r="Y36" s="303"/>
      <c r="Z36" s="303"/>
      <c r="AA36" s="303"/>
      <c r="AB36" s="303"/>
      <c r="AC36" s="303"/>
      <c r="AD36" s="303"/>
      <c r="AE36" s="434"/>
      <c r="AF36" s="434"/>
      <c r="AG36" s="434"/>
      <c r="AH36" s="304"/>
      <c r="AI36" s="304"/>
      <c r="AJ36" s="304"/>
      <c r="AK36" s="304"/>
      <c r="AL36" s="304"/>
      <c r="AM36" s="304"/>
      <c r="AN36" s="304"/>
      <c r="AO36" s="304"/>
      <c r="AP36" s="304"/>
      <c r="AQ36" s="304"/>
      <c r="AR36" s="304"/>
      <c r="AS36" s="304"/>
      <c r="AT36" s="304"/>
      <c r="AU36" s="304"/>
      <c r="AV36" s="304"/>
      <c r="AW36" s="304"/>
      <c r="AX36" s="304"/>
      <c r="AY36" s="305"/>
      <c r="AZ36" s="304"/>
      <c r="BA36" s="304"/>
      <c r="BB36" s="304"/>
      <c r="BC36" s="304"/>
      <c r="BD36" s="304"/>
      <c r="BE36" s="304"/>
      <c r="BF36" s="304"/>
      <c r="BG36" s="304"/>
      <c r="BH36" s="304"/>
      <c r="BI36" s="304"/>
      <c r="BJ36" s="304"/>
      <c r="BK36" s="304"/>
      <c r="BL36" s="304"/>
      <c r="BM36" s="304"/>
    </row>
    <row r="37" spans="2:65" s="78" customFormat="1" ht="20.100000000000001" customHeight="1" x14ac:dyDescent="0.2">
      <c r="B37" s="408"/>
      <c r="C37" s="408"/>
      <c r="D37" s="1164"/>
      <c r="E37" s="1165"/>
      <c r="F37" s="1166"/>
      <c r="G37" s="1167"/>
      <c r="H37" s="1167"/>
      <c r="I37" s="1167"/>
      <c r="J37" s="1167"/>
      <c r="K37" s="1167"/>
      <c r="L37" s="1167"/>
      <c r="M37" s="1167"/>
      <c r="N37" s="1167"/>
      <c r="O37" s="1167"/>
      <c r="P37" s="1167"/>
      <c r="Q37" s="1167"/>
      <c r="R37" s="1167"/>
      <c r="S37" s="1168"/>
      <c r="T37" s="745"/>
      <c r="U37" s="303"/>
      <c r="V37" s="303"/>
      <c r="W37" s="303"/>
      <c r="X37" s="303"/>
      <c r="Y37" s="303"/>
      <c r="Z37" s="303"/>
      <c r="AA37" s="303"/>
      <c r="AB37" s="303"/>
      <c r="AC37" s="303"/>
      <c r="AD37" s="303"/>
      <c r="AE37" s="434"/>
      <c r="AF37" s="434"/>
      <c r="AG37" s="434"/>
      <c r="AH37" s="304"/>
      <c r="AI37" s="304"/>
      <c r="AJ37" s="304"/>
      <c r="AK37" s="304"/>
      <c r="AL37" s="304"/>
      <c r="AM37" s="304"/>
      <c r="AN37" s="304"/>
      <c r="AO37" s="304"/>
      <c r="AP37" s="304"/>
      <c r="AQ37" s="304"/>
      <c r="AR37" s="304"/>
      <c r="AS37" s="304"/>
      <c r="AT37" s="304"/>
      <c r="AU37" s="304"/>
      <c r="AV37" s="304"/>
      <c r="AW37" s="304"/>
      <c r="AX37" s="304"/>
      <c r="AY37" s="305"/>
      <c r="AZ37" s="304"/>
      <c r="BA37" s="304"/>
      <c r="BB37" s="304"/>
      <c r="BC37" s="304"/>
      <c r="BD37" s="304"/>
      <c r="BE37" s="304"/>
      <c r="BF37" s="304"/>
      <c r="BG37" s="304"/>
      <c r="BH37" s="304"/>
      <c r="BI37" s="304"/>
      <c r="BJ37" s="304"/>
      <c r="BK37" s="304"/>
      <c r="BL37" s="304"/>
      <c r="BM37" s="304"/>
    </row>
    <row r="38" spans="2:65" s="39" customFormat="1" ht="11.25" x14ac:dyDescent="0.2">
      <c r="B38" s="410"/>
      <c r="C38" s="410"/>
      <c r="D38" s="757"/>
      <c r="E38" s="757"/>
      <c r="F38" s="757"/>
      <c r="G38" s="758"/>
      <c r="H38" s="757"/>
      <c r="I38" s="757"/>
      <c r="J38" s="757"/>
      <c r="K38" s="757"/>
      <c r="L38" s="757"/>
      <c r="M38" s="757"/>
      <c r="N38" s="757"/>
      <c r="O38" s="757"/>
      <c r="P38" s="757"/>
      <c r="Q38" s="757"/>
      <c r="R38" s="757"/>
      <c r="S38" s="757"/>
      <c r="T38" s="410"/>
      <c r="U38" s="410"/>
      <c r="V38" s="410"/>
      <c r="W38" s="299"/>
      <c r="X38" s="299"/>
      <c r="Y38" s="299"/>
      <c r="Z38" s="299"/>
      <c r="AA38" s="299"/>
      <c r="AB38" s="299"/>
      <c r="AC38" s="299"/>
      <c r="AD38" s="299"/>
      <c r="AE38" s="7"/>
      <c r="AF38" s="7"/>
      <c r="AG38" s="7"/>
      <c r="AY38" s="297"/>
    </row>
    <row r="39" spans="2:65" s="39" customFormat="1" ht="11.25" x14ac:dyDescent="0.2">
      <c r="B39" s="410"/>
      <c r="C39" s="410"/>
      <c r="D39" s="410"/>
      <c r="E39" s="410"/>
      <c r="F39" s="410"/>
      <c r="G39" s="410"/>
      <c r="H39" s="410"/>
      <c r="I39" s="410"/>
      <c r="J39" s="410"/>
      <c r="K39" s="410"/>
      <c r="L39" s="410"/>
      <c r="M39" s="410"/>
      <c r="N39" s="410"/>
      <c r="O39" s="410"/>
      <c r="P39" s="410"/>
      <c r="Q39" s="410"/>
      <c r="R39" s="410"/>
      <c r="S39" s="410"/>
      <c r="T39" s="410"/>
      <c r="U39" s="410"/>
      <c r="V39" s="299"/>
      <c r="W39" s="299"/>
      <c r="X39" s="299"/>
      <c r="Y39" s="299"/>
      <c r="Z39" s="299"/>
      <c r="AA39" s="299"/>
      <c r="AB39" s="299"/>
      <c r="AC39" s="299"/>
      <c r="AD39" s="299"/>
      <c r="AE39" s="7"/>
      <c r="AF39" s="7"/>
      <c r="AG39" s="7"/>
      <c r="AY39" s="297"/>
    </row>
    <row r="40" spans="2:65" s="447" customFormat="1" ht="12.75" x14ac:dyDescent="0.2">
      <c r="B40" s="410"/>
      <c r="C40" s="410"/>
      <c r="D40" s="410"/>
      <c r="E40" s="410"/>
      <c r="F40" s="410"/>
      <c r="G40" s="410"/>
      <c r="H40" s="410"/>
      <c r="I40" s="410"/>
      <c r="J40" s="410"/>
      <c r="K40" s="410"/>
      <c r="L40" s="410"/>
      <c r="M40" s="410"/>
      <c r="N40" s="410"/>
      <c r="O40" s="410"/>
      <c r="P40" s="410"/>
      <c r="Q40" s="410"/>
      <c r="R40" s="410"/>
      <c r="S40" s="410"/>
      <c r="T40" s="410"/>
      <c r="U40" s="410"/>
      <c r="V40" s="445"/>
      <c r="W40" s="445"/>
      <c r="X40" s="445"/>
      <c r="Y40" s="445"/>
      <c r="Z40" s="445"/>
      <c r="AA40" s="445"/>
      <c r="AB40" s="445"/>
      <c r="AC40" s="445"/>
      <c r="AD40" s="445"/>
      <c r="AE40" s="446"/>
      <c r="AF40" s="446"/>
      <c r="AG40" s="446"/>
      <c r="AY40" s="448"/>
    </row>
    <row r="41" spans="2:65" s="15" customFormat="1" x14ac:dyDescent="0.2">
      <c r="B41" s="411"/>
      <c r="C41" s="411"/>
      <c r="D41" s="741"/>
      <c r="E41" s="411"/>
      <c r="F41" s="411"/>
      <c r="G41" s="411"/>
      <c r="H41" s="411"/>
      <c r="I41" s="411"/>
      <c r="J41" s="411"/>
      <c r="K41" s="411"/>
      <c r="L41" s="411"/>
      <c r="M41" s="411"/>
      <c r="N41" s="411"/>
      <c r="O41" s="411"/>
      <c r="P41" s="411"/>
      <c r="Q41" s="411"/>
      <c r="R41" s="411"/>
      <c r="S41" s="411"/>
      <c r="T41" s="298"/>
      <c r="U41" s="402"/>
      <c r="V41" s="402"/>
      <c r="W41" s="402"/>
      <c r="X41" s="402"/>
      <c r="Y41" s="402"/>
      <c r="Z41" s="402"/>
      <c r="AA41" s="402"/>
      <c r="AB41" s="402"/>
      <c r="AC41" s="402"/>
      <c r="AD41" s="402"/>
      <c r="AE41" s="296"/>
      <c r="AF41" s="296"/>
      <c r="AG41" s="411"/>
      <c r="AH41" s="411"/>
      <c r="AI41" s="412"/>
      <c r="AJ41" s="412"/>
      <c r="AK41" s="412"/>
      <c r="AL41" s="412"/>
      <c r="AM41" s="412"/>
      <c r="AN41" s="412"/>
      <c r="AO41" s="412"/>
      <c r="AP41" s="412"/>
      <c r="AQ41" s="412"/>
      <c r="AR41" s="412"/>
      <c r="AS41" s="412"/>
      <c r="AT41" s="412"/>
      <c r="AU41" s="412"/>
      <c r="AV41" s="412"/>
      <c r="AW41" s="412"/>
      <c r="AX41" s="412"/>
      <c r="AY41" s="449"/>
    </row>
    <row r="42" spans="2:65" s="15" customFormat="1" x14ac:dyDescent="0.2">
      <c r="B42" s="411"/>
      <c r="C42" s="411"/>
      <c r="D42" s="741"/>
      <c r="E42" s="411"/>
      <c r="F42" s="411"/>
      <c r="G42" s="411"/>
      <c r="H42" s="411"/>
      <c r="I42" s="411"/>
      <c r="J42" s="411"/>
      <c r="K42" s="411"/>
      <c r="L42" s="411"/>
      <c r="M42" s="411"/>
      <c r="N42" s="411"/>
      <c r="O42" s="411"/>
      <c r="P42" s="411"/>
      <c r="Q42" s="411"/>
      <c r="R42" s="411"/>
      <c r="S42" s="411"/>
      <c r="T42" s="298"/>
      <c r="U42" s="402"/>
      <c r="V42" s="402"/>
      <c r="W42" s="402"/>
      <c r="X42" s="402"/>
      <c r="Y42" s="402"/>
      <c r="Z42" s="402"/>
      <c r="AA42" s="402"/>
      <c r="AB42" s="402"/>
      <c r="AC42" s="402"/>
      <c r="AD42" s="402"/>
      <c r="AE42" s="296"/>
      <c r="AF42" s="296"/>
      <c r="AG42" s="411"/>
      <c r="AH42" s="411"/>
      <c r="AI42" s="412"/>
      <c r="AJ42" s="412"/>
      <c r="AK42" s="412"/>
      <c r="AL42" s="412"/>
      <c r="AM42" s="412"/>
      <c r="AN42" s="412"/>
      <c r="AO42" s="412"/>
      <c r="AP42" s="412"/>
      <c r="AQ42" s="412"/>
      <c r="AR42" s="412"/>
      <c r="AS42" s="412"/>
      <c r="AT42" s="412"/>
      <c r="AU42" s="412"/>
      <c r="AV42" s="412"/>
      <c r="AW42" s="412"/>
      <c r="AX42" s="412"/>
      <c r="AY42" s="449"/>
    </row>
    <row r="43" spans="2:65" s="15" customFormat="1" x14ac:dyDescent="0.2">
      <c r="B43" s="411"/>
      <c r="C43" s="411"/>
      <c r="D43" s="741"/>
      <c r="E43" s="411"/>
      <c r="F43" s="411"/>
      <c r="G43" s="411"/>
      <c r="H43" s="411"/>
      <c r="I43" s="411"/>
      <c r="J43" s="411"/>
      <c r="K43" s="411"/>
      <c r="L43" s="411"/>
      <c r="M43" s="411"/>
      <c r="N43" s="411"/>
      <c r="O43" s="411"/>
      <c r="P43" s="411"/>
      <c r="Q43" s="411"/>
      <c r="R43" s="411"/>
      <c r="S43" s="411"/>
      <c r="T43" s="298"/>
      <c r="U43" s="402"/>
      <c r="V43" s="402"/>
      <c r="W43" s="402"/>
      <c r="X43" s="402"/>
      <c r="Y43" s="402"/>
      <c r="Z43" s="402"/>
      <c r="AA43" s="402"/>
      <c r="AB43" s="402"/>
      <c r="AC43" s="402"/>
      <c r="AD43" s="402"/>
      <c r="AE43" s="296"/>
      <c r="AF43" s="296"/>
      <c r="AG43" s="411"/>
      <c r="AH43" s="411"/>
      <c r="AI43" s="412"/>
      <c r="AJ43" s="412"/>
      <c r="AK43" s="412"/>
      <c r="AL43" s="412"/>
      <c r="AM43" s="412"/>
      <c r="AN43" s="412"/>
      <c r="AO43" s="412"/>
      <c r="AP43" s="412"/>
      <c r="AQ43" s="412"/>
      <c r="AR43" s="412"/>
      <c r="AS43" s="412"/>
      <c r="AT43" s="412"/>
      <c r="AU43" s="412"/>
      <c r="AV43" s="412"/>
      <c r="AW43" s="412"/>
      <c r="AX43" s="412"/>
      <c r="AY43" s="449"/>
    </row>
    <row r="44" spans="2:65" s="15" customFormat="1" x14ac:dyDescent="0.2">
      <c r="B44" s="411"/>
      <c r="C44" s="411"/>
      <c r="D44" s="741"/>
      <c r="E44" s="411"/>
      <c r="F44" s="411"/>
      <c r="G44" s="411"/>
      <c r="H44" s="411"/>
      <c r="I44" s="411"/>
      <c r="J44" s="411"/>
      <c r="K44" s="411"/>
      <c r="L44" s="411"/>
      <c r="M44" s="411"/>
      <c r="N44" s="411"/>
      <c r="O44" s="411"/>
      <c r="P44" s="411"/>
      <c r="Q44" s="411"/>
      <c r="R44" s="411"/>
      <c r="S44" s="411"/>
      <c r="T44" s="298"/>
      <c r="U44" s="402"/>
      <c r="V44" s="402"/>
      <c r="W44" s="402"/>
      <c r="X44" s="402"/>
      <c r="Y44" s="402"/>
      <c r="Z44" s="402"/>
      <c r="AA44" s="402"/>
      <c r="AB44" s="402"/>
      <c r="AC44" s="402"/>
      <c r="AD44" s="402"/>
      <c r="AE44" s="296"/>
      <c r="AF44" s="296"/>
      <c r="AG44" s="411"/>
      <c r="AH44" s="411"/>
      <c r="AI44" s="412"/>
      <c r="AJ44" s="412"/>
      <c r="AK44" s="412"/>
      <c r="AL44" s="412"/>
      <c r="AM44" s="412"/>
      <c r="AN44" s="412"/>
      <c r="AO44" s="412"/>
      <c r="AP44" s="412"/>
      <c r="AQ44" s="412"/>
      <c r="AR44" s="412"/>
      <c r="AS44" s="412"/>
      <c r="AT44" s="412"/>
      <c r="AU44" s="412"/>
      <c r="AV44" s="412"/>
      <c r="AW44" s="412"/>
      <c r="AX44" s="412"/>
      <c r="AY44" s="449"/>
    </row>
    <row r="45" spans="2:65" s="15" customFormat="1" x14ac:dyDescent="0.2">
      <c r="B45" s="411"/>
      <c r="C45" s="411"/>
      <c r="D45" s="741"/>
      <c r="E45" s="411"/>
      <c r="F45" s="411"/>
      <c r="G45" s="411"/>
      <c r="H45" s="411"/>
      <c r="I45" s="411"/>
      <c r="J45" s="411"/>
      <c r="K45" s="411"/>
      <c r="L45" s="411"/>
      <c r="M45" s="411"/>
      <c r="N45" s="411"/>
      <c r="O45" s="411"/>
      <c r="P45" s="411"/>
      <c r="Q45" s="411"/>
      <c r="R45" s="411"/>
      <c r="S45" s="411"/>
      <c r="T45" s="298"/>
      <c r="U45" s="402"/>
      <c r="V45" s="402"/>
      <c r="W45" s="402"/>
      <c r="X45" s="402"/>
      <c r="Y45" s="402"/>
      <c r="Z45" s="402"/>
      <c r="AA45" s="402"/>
      <c r="AB45" s="402"/>
      <c r="AC45" s="402"/>
      <c r="AD45" s="402"/>
      <c r="AE45" s="296"/>
      <c r="AF45" s="296"/>
      <c r="AG45" s="411"/>
      <c r="AH45" s="411"/>
      <c r="AI45" s="412"/>
      <c r="AJ45" s="412"/>
      <c r="AK45" s="412"/>
      <c r="AL45" s="412"/>
      <c r="AM45" s="412"/>
      <c r="AN45" s="412"/>
      <c r="AO45" s="412"/>
      <c r="AP45" s="412"/>
      <c r="AQ45" s="412"/>
      <c r="AR45" s="412"/>
      <c r="AS45" s="412"/>
      <c r="AT45" s="412"/>
      <c r="AU45" s="412"/>
      <c r="AV45" s="412"/>
      <c r="AW45" s="412"/>
      <c r="AX45" s="412"/>
      <c r="AY45" s="449"/>
    </row>
    <row r="46" spans="2:65" s="15" customFormat="1" x14ac:dyDescent="0.2">
      <c r="B46" s="411"/>
      <c r="C46" s="411"/>
      <c r="D46" s="741"/>
      <c r="E46" s="411"/>
      <c r="F46" s="411"/>
      <c r="G46" s="411"/>
      <c r="H46" s="411"/>
      <c r="I46" s="411"/>
      <c r="J46" s="411"/>
      <c r="K46" s="411"/>
      <c r="L46" s="411"/>
      <c r="M46" s="411"/>
      <c r="N46" s="411"/>
      <c r="O46" s="411"/>
      <c r="P46" s="411"/>
      <c r="Q46" s="411"/>
      <c r="R46" s="411"/>
      <c r="S46" s="411"/>
      <c r="T46" s="298"/>
      <c r="U46" s="402"/>
      <c r="V46" s="402"/>
      <c r="W46" s="402"/>
      <c r="X46" s="402"/>
      <c r="Y46" s="402"/>
      <c r="Z46" s="402"/>
      <c r="AA46" s="402"/>
      <c r="AB46" s="402"/>
      <c r="AC46" s="402"/>
      <c r="AD46" s="402"/>
      <c r="AE46" s="296"/>
      <c r="AF46" s="296"/>
      <c r="AG46" s="411"/>
      <c r="AH46" s="411"/>
      <c r="AI46" s="412"/>
      <c r="AJ46" s="412"/>
      <c r="AK46" s="412"/>
      <c r="AL46" s="412"/>
      <c r="AM46" s="412"/>
      <c r="AN46" s="412"/>
      <c r="AO46" s="412"/>
      <c r="AP46" s="412"/>
      <c r="AQ46" s="412"/>
      <c r="AR46" s="412"/>
      <c r="AS46" s="412"/>
      <c r="AT46" s="412"/>
      <c r="AU46" s="412"/>
      <c r="AV46" s="412"/>
      <c r="AW46" s="412"/>
      <c r="AX46" s="412"/>
      <c r="AY46" s="449"/>
    </row>
    <row r="47" spans="2:65" x14ac:dyDescent="0.2">
      <c r="B47" s="411"/>
      <c r="C47" s="411"/>
      <c r="D47" s="741"/>
      <c r="E47" s="411"/>
      <c r="F47" s="411"/>
      <c r="G47" s="411"/>
      <c r="H47" s="411"/>
      <c r="I47" s="411"/>
      <c r="J47" s="411"/>
      <c r="K47" s="411"/>
      <c r="L47" s="411"/>
      <c r="M47" s="411"/>
      <c r="N47" s="411"/>
      <c r="O47" s="411"/>
      <c r="P47" s="411"/>
      <c r="Q47" s="411"/>
      <c r="R47" s="411"/>
      <c r="S47" s="411"/>
      <c r="T47" s="298"/>
      <c r="U47" s="402"/>
      <c r="V47" s="402"/>
      <c r="W47" s="402"/>
      <c r="X47" s="402"/>
      <c r="Y47" s="402"/>
      <c r="Z47" s="402"/>
      <c r="AA47" s="402"/>
      <c r="AB47" s="402"/>
      <c r="AC47" s="402"/>
      <c r="AD47" s="402"/>
      <c r="AE47" s="296"/>
      <c r="AF47" s="296"/>
      <c r="AG47" s="411"/>
      <c r="AH47" s="411"/>
      <c r="AI47" s="412"/>
      <c r="AJ47" s="412"/>
      <c r="AK47" s="412"/>
      <c r="AL47" s="412"/>
      <c r="AM47" s="412"/>
      <c r="AN47" s="412"/>
      <c r="AO47" s="412"/>
      <c r="AP47" s="412"/>
      <c r="AQ47" s="412"/>
      <c r="AR47" s="412"/>
      <c r="AS47" s="412"/>
      <c r="AT47" s="412"/>
      <c r="AU47" s="412"/>
      <c r="AV47" s="412"/>
      <c r="AW47" s="412"/>
      <c r="AX47" s="412"/>
      <c r="AY47" s="449"/>
    </row>
    <row r="48" spans="2:65" x14ac:dyDescent="0.2">
      <c r="B48" s="411"/>
      <c r="C48" s="411"/>
      <c r="D48" s="741"/>
      <c r="E48" s="411"/>
      <c r="F48" s="411"/>
      <c r="G48" s="411"/>
      <c r="H48" s="411"/>
      <c r="I48" s="411"/>
      <c r="J48" s="411"/>
      <c r="K48" s="411"/>
      <c r="L48" s="411"/>
      <c r="M48" s="411"/>
      <c r="N48" s="411"/>
      <c r="O48" s="411"/>
      <c r="P48" s="411"/>
      <c r="Q48" s="411"/>
      <c r="R48" s="411"/>
      <c r="S48" s="411"/>
      <c r="T48" s="298"/>
      <c r="U48" s="402"/>
      <c r="V48" s="402"/>
      <c r="W48" s="402"/>
      <c r="X48" s="402"/>
      <c r="Y48" s="402"/>
      <c r="Z48" s="402"/>
      <c r="AA48" s="402"/>
      <c r="AB48" s="402"/>
      <c r="AC48" s="402"/>
      <c r="AD48" s="402"/>
      <c r="AE48" s="296"/>
      <c r="AF48" s="296"/>
      <c r="AG48" s="411"/>
      <c r="AH48" s="411"/>
      <c r="AI48" s="412"/>
      <c r="AJ48" s="412"/>
      <c r="AK48" s="412"/>
      <c r="AL48" s="412"/>
      <c r="AM48" s="412"/>
      <c r="AN48" s="412"/>
      <c r="AO48" s="412"/>
      <c r="AP48" s="412"/>
      <c r="AQ48" s="412"/>
      <c r="AR48" s="412"/>
      <c r="AS48" s="412"/>
      <c r="AT48" s="412"/>
      <c r="AU48" s="412"/>
      <c r="AV48" s="412"/>
      <c r="AW48" s="412"/>
      <c r="AX48" s="412"/>
      <c r="AY48" s="449"/>
    </row>
    <row r="49" spans="2:51" x14ac:dyDescent="0.2">
      <c r="B49" s="411"/>
      <c r="C49" s="411"/>
      <c r="D49" s="741"/>
      <c r="E49" s="411"/>
      <c r="F49" s="411"/>
      <c r="G49" s="411"/>
      <c r="H49" s="411"/>
      <c r="I49" s="411"/>
      <c r="J49" s="411"/>
      <c r="K49" s="411"/>
      <c r="L49" s="411"/>
      <c r="M49" s="411"/>
      <c r="N49" s="411"/>
      <c r="O49" s="411"/>
      <c r="P49" s="411"/>
      <c r="Q49" s="411"/>
      <c r="R49" s="411"/>
      <c r="S49" s="411"/>
      <c r="T49" s="298"/>
      <c r="U49" s="402"/>
      <c r="V49" s="402"/>
      <c r="W49" s="402"/>
      <c r="X49" s="402"/>
      <c r="Y49" s="402"/>
      <c r="Z49" s="402"/>
      <c r="AA49" s="402"/>
      <c r="AB49" s="402"/>
      <c r="AC49" s="402"/>
      <c r="AD49" s="402"/>
      <c r="AE49" s="296"/>
      <c r="AF49" s="296"/>
      <c r="AG49" s="411"/>
      <c r="AH49" s="411"/>
      <c r="AI49" s="412"/>
      <c r="AJ49" s="412"/>
      <c r="AK49" s="412"/>
      <c r="AL49" s="412"/>
      <c r="AM49" s="412"/>
      <c r="AN49" s="412"/>
      <c r="AO49" s="412"/>
      <c r="AP49" s="412"/>
      <c r="AQ49" s="412"/>
      <c r="AR49" s="412"/>
      <c r="AS49" s="412"/>
      <c r="AT49" s="412"/>
      <c r="AU49" s="412"/>
      <c r="AV49" s="412"/>
      <c r="AW49" s="412"/>
      <c r="AX49" s="412"/>
      <c r="AY49" s="449"/>
    </row>
    <row r="50" spans="2:51" x14ac:dyDescent="0.2">
      <c r="B50" s="411"/>
      <c r="C50" s="411"/>
      <c r="D50" s="741"/>
      <c r="E50" s="411"/>
      <c r="F50" s="411"/>
      <c r="G50" s="411"/>
      <c r="H50" s="411"/>
      <c r="I50" s="411"/>
      <c r="J50" s="411"/>
      <c r="K50" s="411"/>
      <c r="L50" s="411"/>
      <c r="M50" s="411"/>
      <c r="N50" s="411"/>
      <c r="O50" s="411"/>
      <c r="P50" s="411"/>
      <c r="Q50" s="411"/>
      <c r="R50" s="411"/>
      <c r="S50" s="411"/>
      <c r="T50" s="298"/>
      <c r="U50" s="402"/>
      <c r="V50" s="402"/>
      <c r="W50" s="402"/>
      <c r="X50" s="402"/>
      <c r="Y50" s="402"/>
      <c r="Z50" s="402"/>
      <c r="AA50" s="402"/>
      <c r="AB50" s="402"/>
      <c r="AC50" s="402"/>
      <c r="AD50" s="402"/>
      <c r="AE50" s="296"/>
      <c r="AF50" s="296"/>
      <c r="AG50" s="411"/>
      <c r="AH50" s="411"/>
      <c r="AI50" s="412"/>
      <c r="AJ50" s="412"/>
      <c r="AK50" s="412"/>
      <c r="AL50" s="412"/>
      <c r="AM50" s="412"/>
      <c r="AN50" s="412"/>
      <c r="AO50" s="412"/>
      <c r="AP50" s="412"/>
      <c r="AQ50" s="412"/>
      <c r="AR50" s="412"/>
      <c r="AS50" s="412"/>
      <c r="AT50" s="412"/>
      <c r="AU50" s="412"/>
      <c r="AV50" s="412"/>
      <c r="AW50" s="412"/>
      <c r="AX50" s="412"/>
      <c r="AY50" s="449"/>
    </row>
    <row r="51" spans="2:51" x14ac:dyDescent="0.2">
      <c r="B51" s="411"/>
      <c r="C51" s="411"/>
      <c r="D51" s="741"/>
      <c r="E51" s="411"/>
      <c r="F51" s="411"/>
      <c r="G51" s="411"/>
      <c r="H51" s="411"/>
      <c r="I51" s="411"/>
      <c r="J51" s="411"/>
      <c r="K51" s="411"/>
      <c r="L51" s="411"/>
      <c r="M51" s="411"/>
      <c r="N51" s="411"/>
      <c r="O51" s="411"/>
      <c r="P51" s="411"/>
      <c r="Q51" s="411"/>
      <c r="R51" s="411"/>
      <c r="S51" s="411"/>
      <c r="T51" s="298"/>
      <c r="U51" s="402"/>
      <c r="V51" s="402"/>
      <c r="W51" s="402"/>
      <c r="X51" s="402"/>
      <c r="Y51" s="402"/>
      <c r="Z51" s="402"/>
      <c r="AA51" s="402"/>
      <c r="AB51" s="402"/>
      <c r="AC51" s="402"/>
      <c r="AD51" s="402"/>
      <c r="AE51" s="296"/>
      <c r="AF51" s="296"/>
      <c r="AG51" s="411"/>
      <c r="AH51" s="411"/>
      <c r="AI51" s="412"/>
      <c r="AJ51" s="412"/>
      <c r="AK51" s="412"/>
      <c r="AL51" s="412"/>
      <c r="AM51" s="412"/>
      <c r="AN51" s="412"/>
      <c r="AO51" s="412"/>
      <c r="AP51" s="412"/>
      <c r="AQ51" s="412"/>
      <c r="AR51" s="412"/>
      <c r="AS51" s="412"/>
      <c r="AT51" s="412"/>
      <c r="AU51" s="412"/>
      <c r="AV51" s="412"/>
      <c r="AW51" s="412"/>
      <c r="AX51" s="412"/>
      <c r="AY51" s="449"/>
    </row>
    <row r="52" spans="2:51" x14ac:dyDescent="0.2">
      <c r="B52" s="411"/>
      <c r="C52" s="411"/>
      <c r="D52" s="741"/>
      <c r="E52" s="411"/>
      <c r="F52" s="411"/>
      <c r="G52" s="411"/>
      <c r="H52" s="411"/>
      <c r="I52" s="411"/>
      <c r="J52" s="411"/>
      <c r="K52" s="411"/>
      <c r="L52" s="411"/>
      <c r="M52" s="411"/>
      <c r="N52" s="411"/>
      <c r="O52" s="411"/>
      <c r="P52" s="411"/>
      <c r="Q52" s="411"/>
      <c r="R52" s="411"/>
      <c r="S52" s="411"/>
      <c r="T52" s="298"/>
      <c r="U52" s="402"/>
      <c r="V52" s="402"/>
      <c r="W52" s="402"/>
      <c r="X52" s="402"/>
      <c r="Y52" s="402"/>
      <c r="Z52" s="402"/>
      <c r="AA52" s="402"/>
      <c r="AB52" s="402"/>
      <c r="AC52" s="402"/>
      <c r="AD52" s="402"/>
      <c r="AE52" s="296"/>
      <c r="AF52" s="296"/>
      <c r="AG52" s="411"/>
      <c r="AH52" s="411"/>
      <c r="AI52" s="412"/>
      <c r="AJ52" s="412"/>
      <c r="AK52" s="412"/>
      <c r="AL52" s="412"/>
      <c r="AM52" s="412"/>
      <c r="AN52" s="412"/>
      <c r="AO52" s="412"/>
      <c r="AP52" s="412"/>
      <c r="AQ52" s="412"/>
      <c r="AR52" s="412"/>
      <c r="AS52" s="412"/>
      <c r="AT52" s="412"/>
      <c r="AU52" s="412"/>
      <c r="AV52" s="412"/>
      <c r="AW52" s="412"/>
      <c r="AX52" s="412"/>
      <c r="AY52" s="449"/>
    </row>
    <row r="53" spans="2:51" x14ac:dyDescent="0.2">
      <c r="B53" s="411"/>
      <c r="C53" s="411"/>
      <c r="D53" s="741"/>
      <c r="E53" s="411"/>
      <c r="F53" s="411"/>
      <c r="G53" s="411"/>
      <c r="H53" s="411"/>
      <c r="I53" s="411"/>
      <c r="J53" s="411"/>
      <c r="K53" s="411"/>
      <c r="L53" s="411"/>
      <c r="M53" s="411"/>
      <c r="N53" s="411"/>
      <c r="O53" s="411"/>
      <c r="P53" s="411"/>
      <c r="Q53" s="411"/>
      <c r="R53" s="411"/>
      <c r="S53" s="411"/>
      <c r="T53" s="298"/>
      <c r="U53" s="402"/>
      <c r="V53" s="402"/>
      <c r="W53" s="402"/>
      <c r="X53" s="402"/>
      <c r="Y53" s="402"/>
      <c r="Z53" s="402"/>
      <c r="AA53" s="402"/>
      <c r="AB53" s="402"/>
      <c r="AC53" s="402"/>
      <c r="AD53" s="402"/>
      <c r="AE53" s="296"/>
      <c r="AF53" s="296"/>
      <c r="AG53" s="411"/>
      <c r="AH53" s="411"/>
      <c r="AI53" s="412"/>
      <c r="AJ53" s="412"/>
      <c r="AK53" s="412"/>
      <c r="AL53" s="412"/>
      <c r="AM53" s="412"/>
      <c r="AN53" s="412"/>
      <c r="AO53" s="412"/>
      <c r="AP53" s="412"/>
      <c r="AQ53" s="412"/>
      <c r="AR53" s="412"/>
      <c r="AS53" s="412"/>
      <c r="AT53" s="412"/>
      <c r="AU53" s="412"/>
      <c r="AV53" s="412"/>
      <c r="AW53" s="412"/>
      <c r="AX53" s="412"/>
      <c r="AY53" s="449"/>
    </row>
    <row r="54" spans="2:51" x14ac:dyDescent="0.2">
      <c r="B54" s="411"/>
      <c r="C54" s="411"/>
      <c r="D54" s="741"/>
      <c r="E54" s="411"/>
      <c r="F54" s="411"/>
      <c r="G54" s="411"/>
      <c r="H54" s="411"/>
      <c r="I54" s="411"/>
      <c r="J54" s="411"/>
      <c r="K54" s="411"/>
      <c r="L54" s="411"/>
      <c r="M54" s="411"/>
      <c r="N54" s="411"/>
      <c r="O54" s="411"/>
      <c r="P54" s="411"/>
      <c r="Q54" s="411"/>
      <c r="R54" s="411"/>
      <c r="S54" s="411"/>
      <c r="T54" s="298"/>
      <c r="U54" s="402"/>
      <c r="V54" s="402"/>
      <c r="W54" s="402"/>
      <c r="X54" s="402"/>
      <c r="Y54" s="402"/>
      <c r="Z54" s="402"/>
      <c r="AA54" s="402"/>
      <c r="AB54" s="402"/>
      <c r="AC54" s="402"/>
      <c r="AD54" s="402"/>
      <c r="AE54" s="296"/>
      <c r="AF54" s="296"/>
      <c r="AG54" s="411"/>
      <c r="AH54" s="411"/>
      <c r="AI54" s="412"/>
      <c r="AJ54" s="412"/>
      <c r="AK54" s="412"/>
      <c r="AL54" s="412"/>
      <c r="AM54" s="412"/>
      <c r="AN54" s="412"/>
      <c r="AO54" s="412"/>
      <c r="AP54" s="412"/>
      <c r="AQ54" s="412"/>
      <c r="AR54" s="412"/>
      <c r="AS54" s="412"/>
      <c r="AT54" s="412"/>
      <c r="AU54" s="412"/>
      <c r="AV54" s="412"/>
      <c r="AW54" s="412"/>
      <c r="AX54" s="412"/>
      <c r="AY54" s="449"/>
    </row>
    <row r="55" spans="2:51" x14ac:dyDescent="0.2">
      <c r="B55" s="411"/>
      <c r="C55" s="411"/>
      <c r="D55" s="741"/>
      <c r="E55" s="411"/>
      <c r="F55" s="411"/>
      <c r="G55" s="411"/>
      <c r="H55" s="411"/>
      <c r="I55" s="411"/>
      <c r="J55" s="411"/>
      <c r="K55" s="411"/>
      <c r="L55" s="411"/>
      <c r="M55" s="411"/>
      <c r="N55" s="411"/>
      <c r="O55" s="411"/>
      <c r="P55" s="411"/>
      <c r="Q55" s="411"/>
      <c r="R55" s="411"/>
      <c r="S55" s="411"/>
      <c r="T55" s="298"/>
      <c r="U55" s="402"/>
      <c r="V55" s="402"/>
      <c r="W55" s="402"/>
      <c r="X55" s="402"/>
      <c r="Y55" s="402"/>
      <c r="Z55" s="402"/>
      <c r="AA55" s="402"/>
      <c r="AB55" s="402"/>
      <c r="AC55" s="402"/>
      <c r="AD55" s="402"/>
      <c r="AE55" s="296"/>
      <c r="AF55" s="296"/>
      <c r="AG55" s="411"/>
      <c r="AH55" s="411"/>
      <c r="AI55" s="412"/>
      <c r="AJ55" s="412"/>
      <c r="AK55" s="412"/>
      <c r="AL55" s="412"/>
      <c r="AM55" s="412"/>
      <c r="AN55" s="412"/>
      <c r="AO55" s="412"/>
      <c r="AP55" s="412"/>
      <c r="AQ55" s="412"/>
      <c r="AR55" s="412"/>
      <c r="AS55" s="412"/>
      <c r="AT55" s="412"/>
      <c r="AU55" s="412"/>
      <c r="AV55" s="412"/>
      <c r="AW55" s="412"/>
      <c r="AX55" s="412"/>
      <c r="AY55" s="449"/>
    </row>
    <row r="56" spans="2:51" x14ac:dyDescent="0.2">
      <c r="B56" s="411"/>
      <c r="C56" s="411"/>
      <c r="D56" s="741"/>
      <c r="E56" s="411"/>
      <c r="F56" s="411"/>
      <c r="G56" s="411"/>
      <c r="H56" s="411"/>
      <c r="I56" s="411"/>
      <c r="J56" s="411"/>
      <c r="K56" s="411"/>
      <c r="L56" s="411"/>
      <c r="M56" s="411"/>
      <c r="N56" s="411"/>
      <c r="O56" s="411"/>
      <c r="P56" s="411"/>
      <c r="Q56" s="411"/>
      <c r="R56" s="411"/>
      <c r="S56" s="411"/>
      <c r="T56" s="298"/>
      <c r="U56" s="402"/>
      <c r="V56" s="402"/>
      <c r="W56" s="402"/>
      <c r="X56" s="402"/>
      <c r="Y56" s="402"/>
      <c r="Z56" s="402"/>
      <c r="AA56" s="402"/>
      <c r="AB56" s="402"/>
      <c r="AC56" s="402"/>
      <c r="AD56" s="402"/>
      <c r="AE56" s="296"/>
      <c r="AF56" s="296"/>
      <c r="AG56" s="411"/>
      <c r="AH56" s="411"/>
      <c r="AI56" s="412"/>
      <c r="AJ56" s="412"/>
      <c r="AK56" s="412"/>
      <c r="AL56" s="412"/>
      <c r="AM56" s="412"/>
      <c r="AN56" s="412"/>
      <c r="AO56" s="412"/>
      <c r="AP56" s="412"/>
      <c r="AQ56" s="412"/>
      <c r="AR56" s="412"/>
      <c r="AS56" s="412"/>
      <c r="AT56" s="412"/>
      <c r="AU56" s="412"/>
      <c r="AV56" s="412"/>
      <c r="AW56" s="412"/>
      <c r="AX56" s="412"/>
      <c r="AY56" s="449"/>
    </row>
    <row r="57" spans="2:51" x14ac:dyDescent="0.2">
      <c r="B57" s="411"/>
      <c r="C57" s="411"/>
      <c r="D57" s="741"/>
      <c r="E57" s="411"/>
      <c r="F57" s="411"/>
      <c r="G57" s="411"/>
      <c r="H57" s="411"/>
      <c r="I57" s="411"/>
      <c r="J57" s="411"/>
      <c r="K57" s="411"/>
      <c r="L57" s="411"/>
      <c r="M57" s="411"/>
      <c r="N57" s="411"/>
      <c r="O57" s="411"/>
      <c r="P57" s="411"/>
      <c r="Q57" s="411"/>
      <c r="R57" s="411"/>
      <c r="S57" s="411"/>
      <c r="T57" s="298"/>
      <c r="U57" s="402"/>
      <c r="V57" s="402"/>
      <c r="W57" s="402"/>
      <c r="X57" s="402"/>
      <c r="Y57" s="402"/>
      <c r="Z57" s="402"/>
      <c r="AA57" s="402"/>
      <c r="AB57" s="402"/>
      <c r="AC57" s="402"/>
      <c r="AD57" s="402"/>
      <c r="AE57" s="296"/>
      <c r="AF57" s="296"/>
      <c r="AG57" s="411"/>
      <c r="AH57" s="411"/>
      <c r="AI57" s="412"/>
      <c r="AJ57" s="412"/>
      <c r="AK57" s="412"/>
      <c r="AL57" s="412"/>
      <c r="AM57" s="412"/>
      <c r="AN57" s="412"/>
      <c r="AO57" s="412"/>
      <c r="AP57" s="412"/>
      <c r="AQ57" s="412"/>
      <c r="AR57" s="412"/>
      <c r="AS57" s="412"/>
      <c r="AT57" s="412"/>
      <c r="AU57" s="412"/>
      <c r="AV57" s="412"/>
      <c r="AW57" s="412"/>
      <c r="AX57" s="412"/>
      <c r="AY57" s="449"/>
    </row>
    <row r="58" spans="2:51" x14ac:dyDescent="0.2">
      <c r="B58" s="411"/>
      <c r="C58" s="411"/>
      <c r="D58" s="741"/>
      <c r="E58" s="411"/>
      <c r="F58" s="411"/>
      <c r="G58" s="411"/>
      <c r="H58" s="411"/>
      <c r="I58" s="411"/>
      <c r="J58" s="411"/>
      <c r="K58" s="411"/>
      <c r="L58" s="411"/>
      <c r="M58" s="411"/>
      <c r="N58" s="411"/>
      <c r="O58" s="411"/>
      <c r="P58" s="411"/>
      <c r="Q58" s="411"/>
      <c r="R58" s="411"/>
      <c r="S58" s="411"/>
      <c r="T58" s="298"/>
      <c r="U58" s="402"/>
      <c r="V58" s="402"/>
      <c r="W58" s="402"/>
      <c r="X58" s="402"/>
      <c r="Y58" s="402"/>
      <c r="Z58" s="402"/>
      <c r="AA58" s="402"/>
      <c r="AB58" s="402"/>
      <c r="AC58" s="402"/>
      <c r="AD58" s="402"/>
      <c r="AE58" s="296"/>
      <c r="AF58" s="296"/>
      <c r="AG58" s="411"/>
      <c r="AH58" s="411"/>
      <c r="AI58" s="412"/>
      <c r="AJ58" s="412"/>
      <c r="AK58" s="412"/>
      <c r="AL58" s="412"/>
      <c r="AM58" s="412"/>
      <c r="AN58" s="412"/>
      <c r="AO58" s="412"/>
      <c r="AP58" s="412"/>
      <c r="AQ58" s="412"/>
      <c r="AR58" s="412"/>
      <c r="AS58" s="412"/>
      <c r="AT58" s="412"/>
      <c r="AU58" s="412"/>
      <c r="AV58" s="412"/>
      <c r="AW58" s="412"/>
      <c r="AX58" s="412"/>
      <c r="AY58" s="449"/>
    </row>
    <row r="59" spans="2:51" x14ac:dyDescent="0.2">
      <c r="B59" s="411"/>
      <c r="C59" s="411"/>
      <c r="D59" s="741"/>
      <c r="E59" s="411"/>
      <c r="F59" s="411"/>
      <c r="G59" s="411"/>
      <c r="H59" s="411"/>
      <c r="I59" s="411"/>
      <c r="J59" s="411"/>
      <c r="K59" s="411"/>
      <c r="L59" s="411"/>
      <c r="M59" s="411"/>
      <c r="N59" s="411"/>
      <c r="O59" s="411"/>
      <c r="P59" s="411"/>
      <c r="Q59" s="411"/>
      <c r="R59" s="411"/>
      <c r="S59" s="411"/>
      <c r="T59" s="298"/>
      <c r="U59" s="402"/>
      <c r="V59" s="402"/>
      <c r="W59" s="402"/>
      <c r="X59" s="402"/>
      <c r="Y59" s="402"/>
      <c r="Z59" s="402"/>
      <c r="AA59" s="402"/>
      <c r="AB59" s="402"/>
      <c r="AC59" s="402"/>
      <c r="AD59" s="402"/>
      <c r="AE59" s="296"/>
      <c r="AF59" s="296"/>
      <c r="AG59" s="411"/>
      <c r="AH59" s="411"/>
      <c r="AI59" s="412"/>
      <c r="AJ59" s="412"/>
      <c r="AK59" s="412"/>
      <c r="AL59" s="412"/>
      <c r="AM59" s="412"/>
      <c r="AN59" s="412"/>
      <c r="AO59" s="412"/>
      <c r="AP59" s="412"/>
      <c r="AQ59" s="412"/>
      <c r="AR59" s="412"/>
      <c r="AS59" s="412"/>
      <c r="AT59" s="412"/>
      <c r="AU59" s="412"/>
      <c r="AV59" s="412"/>
      <c r="AW59" s="412"/>
      <c r="AX59" s="412"/>
      <c r="AY59" s="449"/>
    </row>
    <row r="60" spans="2:51" x14ac:dyDescent="0.2">
      <c r="B60" s="411"/>
      <c r="C60" s="411"/>
      <c r="D60" s="741"/>
      <c r="E60" s="411"/>
      <c r="F60" s="411"/>
      <c r="G60" s="411"/>
      <c r="H60" s="411"/>
      <c r="I60" s="411"/>
      <c r="J60" s="411"/>
      <c r="K60" s="411"/>
      <c r="L60" s="411"/>
      <c r="M60" s="411"/>
      <c r="N60" s="411"/>
      <c r="O60" s="411"/>
      <c r="P60" s="411"/>
      <c r="Q60" s="411"/>
      <c r="R60" s="411"/>
      <c r="S60" s="411"/>
      <c r="T60" s="298"/>
      <c r="U60" s="402"/>
      <c r="V60" s="402"/>
      <c r="W60" s="402"/>
      <c r="X60" s="402"/>
      <c r="Y60" s="402"/>
      <c r="Z60" s="402"/>
      <c r="AA60" s="402"/>
      <c r="AB60" s="402"/>
      <c r="AC60" s="402"/>
      <c r="AD60" s="402"/>
      <c r="AE60" s="296"/>
      <c r="AF60" s="296"/>
      <c r="AG60" s="411"/>
      <c r="AH60" s="411"/>
      <c r="AI60" s="412"/>
      <c r="AJ60" s="412"/>
      <c r="AK60" s="412"/>
      <c r="AL60" s="412"/>
      <c r="AM60" s="412"/>
      <c r="AN60" s="412"/>
      <c r="AO60" s="412"/>
      <c r="AP60" s="412"/>
      <c r="AQ60" s="412"/>
      <c r="AR60" s="412"/>
      <c r="AS60" s="412"/>
      <c r="AT60" s="412"/>
      <c r="AU60" s="412"/>
      <c r="AV60" s="412"/>
      <c r="AW60" s="412"/>
      <c r="AX60" s="412"/>
      <c r="AY60" s="449"/>
    </row>
    <row r="61" spans="2:51" x14ac:dyDescent="0.2">
      <c r="B61" s="411"/>
      <c r="C61" s="411"/>
      <c r="D61" s="741"/>
      <c r="E61" s="411"/>
      <c r="F61" s="411"/>
      <c r="G61" s="411"/>
      <c r="H61" s="411"/>
      <c r="I61" s="411"/>
      <c r="J61" s="411"/>
      <c r="K61" s="411"/>
      <c r="L61" s="411"/>
      <c r="M61" s="411"/>
      <c r="N61" s="411"/>
      <c r="O61" s="411"/>
      <c r="P61" s="411"/>
      <c r="Q61" s="411"/>
      <c r="R61" s="411"/>
      <c r="S61" s="411"/>
      <c r="T61" s="298"/>
      <c r="U61" s="402"/>
      <c r="V61" s="402"/>
      <c r="W61" s="402"/>
      <c r="X61" s="402"/>
      <c r="Y61" s="402"/>
      <c r="Z61" s="402"/>
      <c r="AA61" s="402"/>
      <c r="AB61" s="402"/>
      <c r="AC61" s="402"/>
      <c r="AD61" s="402"/>
      <c r="AE61" s="296"/>
      <c r="AF61" s="296"/>
      <c r="AG61" s="411"/>
      <c r="AH61" s="411"/>
      <c r="AI61" s="412"/>
      <c r="AJ61" s="412"/>
      <c r="AK61" s="412"/>
      <c r="AL61" s="412"/>
      <c r="AM61" s="412"/>
      <c r="AN61" s="412"/>
      <c r="AO61" s="412"/>
      <c r="AP61" s="412"/>
      <c r="AQ61" s="412"/>
      <c r="AR61" s="412"/>
      <c r="AS61" s="412"/>
      <c r="AT61" s="412"/>
      <c r="AU61" s="412"/>
      <c r="AV61" s="412"/>
      <c r="AW61" s="412"/>
      <c r="AX61" s="412"/>
      <c r="AY61" s="449"/>
    </row>
    <row r="62" spans="2:51" x14ac:dyDescent="0.2">
      <c r="B62" s="411"/>
      <c r="C62" s="411"/>
      <c r="D62" s="741"/>
      <c r="E62" s="411"/>
      <c r="F62" s="411"/>
      <c r="G62" s="411"/>
      <c r="H62" s="411"/>
      <c r="I62" s="411"/>
      <c r="J62" s="411"/>
      <c r="K62" s="411"/>
      <c r="L62" s="411"/>
      <c r="M62" s="411"/>
      <c r="N62" s="411"/>
      <c r="O62" s="411"/>
      <c r="P62" s="411"/>
      <c r="Q62" s="411"/>
      <c r="R62" s="411"/>
      <c r="S62" s="411"/>
      <c r="T62" s="298"/>
      <c r="U62" s="402"/>
      <c r="V62" s="402"/>
      <c r="W62" s="402"/>
      <c r="X62" s="402"/>
      <c r="Y62" s="402"/>
      <c r="Z62" s="402"/>
      <c r="AA62" s="402"/>
      <c r="AB62" s="402"/>
      <c r="AC62" s="402"/>
      <c r="AD62" s="402"/>
      <c r="AE62" s="296"/>
      <c r="AF62" s="296"/>
      <c r="AG62" s="411"/>
      <c r="AH62" s="411"/>
      <c r="AI62" s="412"/>
      <c r="AJ62" s="412"/>
      <c r="AK62" s="412"/>
      <c r="AL62" s="412"/>
      <c r="AM62" s="412"/>
      <c r="AN62" s="412"/>
      <c r="AO62" s="412"/>
      <c r="AP62" s="412"/>
      <c r="AQ62" s="412"/>
      <c r="AR62" s="412"/>
      <c r="AS62" s="412"/>
      <c r="AT62" s="412"/>
      <c r="AU62" s="412"/>
      <c r="AV62" s="412"/>
      <c r="AW62" s="412"/>
      <c r="AX62" s="412"/>
      <c r="AY62" s="449"/>
    </row>
    <row r="63" spans="2:51" x14ac:dyDescent="0.2">
      <c r="B63" s="411"/>
      <c r="C63" s="411"/>
      <c r="D63" s="741"/>
      <c r="E63" s="411"/>
      <c r="F63" s="411"/>
      <c r="G63" s="411"/>
      <c r="H63" s="411"/>
      <c r="I63" s="411"/>
      <c r="J63" s="411"/>
      <c r="K63" s="411"/>
      <c r="L63" s="411"/>
      <c r="M63" s="411"/>
      <c r="N63" s="411"/>
      <c r="O63" s="411"/>
      <c r="P63" s="411"/>
      <c r="Q63" s="411"/>
      <c r="R63" s="411"/>
      <c r="S63" s="411"/>
      <c r="T63" s="298"/>
      <c r="U63" s="402"/>
      <c r="V63" s="402"/>
      <c r="W63" s="402"/>
      <c r="X63" s="402"/>
      <c r="Y63" s="402"/>
      <c r="Z63" s="402"/>
      <c r="AA63" s="402"/>
      <c r="AB63" s="402"/>
      <c r="AC63" s="402"/>
      <c r="AD63" s="402"/>
      <c r="AE63" s="296"/>
      <c r="AF63" s="296"/>
      <c r="AG63" s="411"/>
      <c r="AH63" s="411"/>
      <c r="AI63" s="412"/>
      <c r="AJ63" s="412"/>
      <c r="AK63" s="412"/>
      <c r="AL63" s="412"/>
      <c r="AM63" s="412"/>
      <c r="AN63" s="412"/>
      <c r="AO63" s="412"/>
      <c r="AP63" s="412"/>
      <c r="AQ63" s="412"/>
      <c r="AR63" s="412"/>
      <c r="AS63" s="412"/>
      <c r="AT63" s="412"/>
      <c r="AU63" s="412"/>
      <c r="AV63" s="412"/>
      <c r="AW63" s="412"/>
      <c r="AX63" s="412"/>
      <c r="AY63" s="449"/>
    </row>
    <row r="64" spans="2:51" x14ac:dyDescent="0.2">
      <c r="B64" s="411"/>
      <c r="C64" s="411"/>
      <c r="D64" s="741"/>
      <c r="E64" s="411"/>
      <c r="F64" s="411"/>
      <c r="G64" s="411"/>
      <c r="H64" s="411"/>
      <c r="I64" s="411"/>
      <c r="J64" s="411"/>
      <c r="K64" s="411"/>
      <c r="L64" s="411"/>
      <c r="M64" s="411"/>
      <c r="N64" s="411"/>
      <c r="O64" s="411"/>
      <c r="P64" s="411"/>
      <c r="Q64" s="411"/>
      <c r="R64" s="411"/>
      <c r="S64" s="411"/>
      <c r="T64" s="298"/>
      <c r="U64" s="402"/>
      <c r="V64" s="402"/>
      <c r="W64" s="402"/>
      <c r="X64" s="402"/>
      <c r="Y64" s="402"/>
      <c r="Z64" s="402"/>
      <c r="AA64" s="402"/>
      <c r="AB64" s="402"/>
      <c r="AC64" s="402"/>
      <c r="AD64" s="402"/>
      <c r="AE64" s="296"/>
      <c r="AF64" s="296"/>
      <c r="AG64" s="411"/>
      <c r="AH64" s="411"/>
      <c r="AI64" s="412"/>
      <c r="AJ64" s="412"/>
      <c r="AK64" s="412"/>
      <c r="AL64" s="412"/>
      <c r="AM64" s="412"/>
      <c r="AN64" s="412"/>
      <c r="AO64" s="412"/>
      <c r="AP64" s="412"/>
      <c r="AQ64" s="412"/>
      <c r="AR64" s="412"/>
      <c r="AS64" s="412"/>
      <c r="AT64" s="412"/>
      <c r="AU64" s="412"/>
      <c r="AV64" s="412"/>
      <c r="AW64" s="412"/>
      <c r="AX64" s="412"/>
      <c r="AY64" s="449"/>
    </row>
    <row r="65" spans="2:51" x14ac:dyDescent="0.2">
      <c r="B65" s="411"/>
      <c r="C65" s="411"/>
      <c r="D65" s="741"/>
      <c r="E65" s="411"/>
      <c r="F65" s="411"/>
      <c r="G65" s="411"/>
      <c r="H65" s="411"/>
      <c r="I65" s="411"/>
      <c r="J65" s="411"/>
      <c r="K65" s="411"/>
      <c r="L65" s="411"/>
      <c r="M65" s="411"/>
      <c r="N65" s="411"/>
      <c r="O65" s="411"/>
      <c r="P65" s="411"/>
      <c r="Q65" s="411"/>
      <c r="R65" s="411"/>
      <c r="S65" s="411"/>
      <c r="T65" s="298"/>
      <c r="U65" s="402"/>
      <c r="V65" s="402"/>
      <c r="W65" s="402"/>
      <c r="X65" s="402"/>
      <c r="Y65" s="402"/>
      <c r="Z65" s="402"/>
      <c r="AA65" s="402"/>
      <c r="AB65" s="402"/>
      <c r="AC65" s="402"/>
      <c r="AD65" s="402"/>
      <c r="AE65" s="296"/>
      <c r="AF65" s="296"/>
      <c r="AG65" s="411"/>
      <c r="AH65" s="411"/>
      <c r="AI65" s="412"/>
      <c r="AJ65" s="412"/>
      <c r="AK65" s="412"/>
      <c r="AL65" s="412"/>
      <c r="AM65" s="412"/>
      <c r="AN65" s="412"/>
      <c r="AO65" s="412"/>
      <c r="AP65" s="412"/>
      <c r="AQ65" s="412"/>
      <c r="AR65" s="412"/>
      <c r="AS65" s="412"/>
      <c r="AT65" s="412"/>
      <c r="AU65" s="412"/>
      <c r="AV65" s="412"/>
      <c r="AW65" s="412"/>
      <c r="AX65" s="412"/>
      <c r="AY65" s="449"/>
    </row>
    <row r="66" spans="2:51" x14ac:dyDescent="0.2">
      <c r="B66" s="411"/>
      <c r="C66" s="411"/>
      <c r="D66" s="741"/>
      <c r="E66" s="411"/>
      <c r="F66" s="411"/>
      <c r="G66" s="411"/>
      <c r="H66" s="411"/>
      <c r="I66" s="411"/>
      <c r="J66" s="411"/>
      <c r="K66" s="411"/>
      <c r="L66" s="411"/>
      <c r="M66" s="411"/>
      <c r="N66" s="411"/>
      <c r="O66" s="411"/>
      <c r="P66" s="411"/>
      <c r="Q66" s="411"/>
      <c r="R66" s="411"/>
      <c r="S66" s="411"/>
      <c r="T66" s="298"/>
      <c r="U66" s="402"/>
      <c r="V66" s="402"/>
      <c r="W66" s="402"/>
      <c r="X66" s="402"/>
      <c r="Y66" s="402"/>
      <c r="Z66" s="402"/>
      <c r="AA66" s="402"/>
      <c r="AB66" s="402"/>
      <c r="AC66" s="402"/>
      <c r="AD66" s="402"/>
      <c r="AE66" s="296"/>
      <c r="AF66" s="296"/>
      <c r="AG66" s="411"/>
      <c r="AH66" s="411"/>
      <c r="AI66" s="412"/>
      <c r="AJ66" s="412"/>
      <c r="AK66" s="412"/>
      <c r="AL66" s="412"/>
      <c r="AM66" s="412"/>
      <c r="AN66" s="412"/>
      <c r="AO66" s="412"/>
      <c r="AP66" s="412"/>
      <c r="AQ66" s="412"/>
      <c r="AR66" s="412"/>
      <c r="AS66" s="412"/>
      <c r="AT66" s="412"/>
      <c r="AU66" s="412"/>
      <c r="AV66" s="412"/>
      <c r="AW66" s="412"/>
      <c r="AX66" s="412"/>
      <c r="AY66" s="449"/>
    </row>
    <row r="67" spans="2:51" x14ac:dyDescent="0.2">
      <c r="B67" s="411"/>
      <c r="C67" s="411"/>
      <c r="D67" s="741"/>
      <c r="E67" s="411"/>
      <c r="F67" s="411"/>
      <c r="G67" s="411"/>
      <c r="H67" s="411"/>
      <c r="I67" s="411"/>
      <c r="J67" s="411"/>
      <c r="K67" s="411"/>
      <c r="L67" s="411"/>
      <c r="M67" s="411"/>
      <c r="N67" s="411"/>
      <c r="O67" s="411"/>
      <c r="P67" s="411"/>
      <c r="Q67" s="411"/>
      <c r="R67" s="411"/>
      <c r="S67" s="411"/>
      <c r="T67" s="298"/>
      <c r="U67" s="402"/>
      <c r="V67" s="402"/>
      <c r="W67" s="402"/>
      <c r="X67" s="402"/>
      <c r="Y67" s="402"/>
      <c r="Z67" s="402"/>
      <c r="AA67" s="402"/>
      <c r="AB67" s="402"/>
      <c r="AC67" s="402"/>
      <c r="AD67" s="402"/>
      <c r="AE67" s="296"/>
      <c r="AF67" s="296"/>
      <c r="AG67" s="411"/>
      <c r="AH67" s="411"/>
      <c r="AI67" s="412"/>
      <c r="AJ67" s="412"/>
      <c r="AK67" s="412"/>
      <c r="AL67" s="412"/>
      <c r="AM67" s="412"/>
      <c r="AN67" s="412"/>
      <c r="AO67" s="412"/>
      <c r="AP67" s="412"/>
      <c r="AQ67" s="412"/>
      <c r="AR67" s="412"/>
      <c r="AS67" s="412"/>
      <c r="AT67" s="412"/>
      <c r="AU67" s="412"/>
      <c r="AV67" s="412"/>
      <c r="AW67" s="412"/>
      <c r="AX67" s="412"/>
      <c r="AY67" s="449"/>
    </row>
    <row r="68" spans="2:51" x14ac:dyDescent="0.2">
      <c r="B68" s="411"/>
      <c r="C68" s="411"/>
      <c r="D68" s="741"/>
      <c r="E68" s="411"/>
      <c r="F68" s="411"/>
      <c r="G68" s="411"/>
      <c r="H68" s="411"/>
      <c r="I68" s="411"/>
      <c r="J68" s="411"/>
      <c r="K68" s="411"/>
      <c r="L68" s="411"/>
      <c r="M68" s="411"/>
      <c r="N68" s="411"/>
      <c r="O68" s="411"/>
      <c r="P68" s="411"/>
      <c r="Q68" s="411"/>
      <c r="R68" s="411"/>
      <c r="S68" s="411"/>
      <c r="T68" s="298"/>
      <c r="U68" s="402"/>
      <c r="V68" s="402"/>
      <c r="W68" s="402"/>
      <c r="X68" s="402"/>
      <c r="Y68" s="402"/>
      <c r="Z68" s="402"/>
      <c r="AA68" s="402"/>
      <c r="AB68" s="402"/>
      <c r="AC68" s="402"/>
      <c r="AD68" s="402"/>
      <c r="AE68" s="296"/>
      <c r="AF68" s="296"/>
      <c r="AG68" s="411"/>
      <c r="AH68" s="411"/>
      <c r="AI68" s="412"/>
      <c r="AJ68" s="412"/>
      <c r="AK68" s="412"/>
      <c r="AL68" s="412"/>
      <c r="AM68" s="412"/>
      <c r="AN68" s="412"/>
      <c r="AO68" s="412"/>
      <c r="AP68" s="412"/>
      <c r="AQ68" s="412"/>
      <c r="AR68" s="412"/>
      <c r="AS68" s="412"/>
      <c r="AT68" s="412"/>
      <c r="AU68" s="412"/>
      <c r="AV68" s="412"/>
      <c r="AW68" s="412"/>
      <c r="AX68" s="412"/>
      <c r="AY68" s="449"/>
    </row>
    <row r="69" spans="2:51" x14ac:dyDescent="0.2">
      <c r="B69" s="411"/>
      <c r="C69" s="411"/>
      <c r="D69" s="741"/>
      <c r="E69" s="411"/>
      <c r="F69" s="411"/>
      <c r="G69" s="411"/>
      <c r="H69" s="411"/>
      <c r="I69" s="411"/>
      <c r="J69" s="411"/>
      <c r="K69" s="411"/>
      <c r="L69" s="411"/>
      <c r="M69" s="411"/>
      <c r="N69" s="411"/>
      <c r="O69" s="411"/>
      <c r="P69" s="411"/>
      <c r="Q69" s="411"/>
      <c r="R69" s="411"/>
      <c r="S69" s="411"/>
      <c r="T69" s="298"/>
      <c r="U69" s="402"/>
      <c r="V69" s="402"/>
      <c r="W69" s="402"/>
      <c r="X69" s="402"/>
      <c r="Y69" s="402"/>
      <c r="Z69" s="402"/>
      <c r="AA69" s="402"/>
      <c r="AB69" s="402"/>
      <c r="AC69" s="402"/>
      <c r="AD69" s="402"/>
      <c r="AE69" s="296"/>
      <c r="AF69" s="296"/>
      <c r="AG69" s="411"/>
      <c r="AH69" s="411"/>
      <c r="AI69" s="412"/>
      <c r="AJ69" s="412"/>
      <c r="AK69" s="412"/>
      <c r="AL69" s="412"/>
      <c r="AM69" s="412"/>
      <c r="AN69" s="412"/>
      <c r="AO69" s="412"/>
      <c r="AP69" s="412"/>
      <c r="AQ69" s="412"/>
      <c r="AR69" s="412"/>
      <c r="AS69" s="412"/>
      <c r="AT69" s="412"/>
      <c r="AU69" s="412"/>
      <c r="AV69" s="412"/>
      <c r="AW69" s="412"/>
      <c r="AX69" s="412"/>
      <c r="AY69" s="449"/>
    </row>
    <row r="70" spans="2:51" x14ac:dyDescent="0.2">
      <c r="B70" s="411"/>
      <c r="C70" s="411"/>
      <c r="D70" s="741"/>
      <c r="E70" s="411"/>
      <c r="F70" s="411"/>
      <c r="G70" s="411"/>
      <c r="H70" s="411"/>
      <c r="I70" s="411"/>
      <c r="J70" s="411"/>
      <c r="K70" s="411"/>
      <c r="L70" s="411"/>
      <c r="M70" s="411"/>
      <c r="N70" s="411"/>
      <c r="O70" s="411"/>
      <c r="P70" s="411"/>
      <c r="Q70" s="411"/>
      <c r="R70" s="411"/>
      <c r="S70" s="411"/>
      <c r="T70" s="298"/>
      <c r="U70" s="402"/>
      <c r="V70" s="402"/>
      <c r="W70" s="402"/>
      <c r="X70" s="402"/>
      <c r="Y70" s="402"/>
      <c r="Z70" s="402"/>
      <c r="AA70" s="402"/>
      <c r="AB70" s="402"/>
      <c r="AC70" s="402"/>
      <c r="AD70" s="402"/>
      <c r="AE70" s="296"/>
      <c r="AF70" s="296"/>
      <c r="AG70" s="411"/>
      <c r="AH70" s="411"/>
      <c r="AI70" s="412"/>
      <c r="AJ70" s="412"/>
      <c r="AK70" s="412"/>
      <c r="AL70" s="412"/>
      <c r="AM70" s="412"/>
      <c r="AN70" s="412"/>
      <c r="AO70" s="412"/>
      <c r="AP70" s="412"/>
      <c r="AQ70" s="412"/>
      <c r="AR70" s="412"/>
      <c r="AS70" s="412"/>
      <c r="AT70" s="412"/>
      <c r="AU70" s="412"/>
      <c r="AV70" s="412"/>
      <c r="AW70" s="412"/>
      <c r="AX70" s="412"/>
      <c r="AY70" s="449"/>
    </row>
    <row r="71" spans="2:51" x14ac:dyDescent="0.2">
      <c r="B71" s="411"/>
      <c r="C71" s="411"/>
      <c r="D71" s="741"/>
      <c r="E71" s="411"/>
      <c r="F71" s="411"/>
      <c r="G71" s="411"/>
      <c r="H71" s="411"/>
      <c r="I71" s="411"/>
      <c r="J71" s="411"/>
      <c r="K71" s="411"/>
      <c r="L71" s="411"/>
      <c r="M71" s="411"/>
      <c r="N71" s="411"/>
      <c r="O71" s="411"/>
      <c r="P71" s="411"/>
      <c r="Q71" s="411"/>
      <c r="R71" s="411"/>
      <c r="S71" s="411"/>
      <c r="T71" s="298"/>
      <c r="U71" s="402"/>
      <c r="V71" s="402"/>
      <c r="W71" s="402"/>
      <c r="X71" s="402"/>
      <c r="Y71" s="402"/>
      <c r="Z71" s="402"/>
      <c r="AA71" s="402"/>
      <c r="AB71" s="402"/>
      <c r="AC71" s="402"/>
      <c r="AD71" s="402"/>
      <c r="AE71" s="296"/>
      <c r="AF71" s="296"/>
      <c r="AG71" s="411"/>
      <c r="AH71" s="411"/>
      <c r="AI71" s="412"/>
      <c r="AJ71" s="412"/>
      <c r="AK71" s="412"/>
      <c r="AL71" s="412"/>
      <c r="AM71" s="412"/>
      <c r="AN71" s="412"/>
      <c r="AO71" s="412"/>
      <c r="AP71" s="412"/>
      <c r="AQ71" s="412"/>
      <c r="AR71" s="412"/>
      <c r="AS71" s="412"/>
      <c r="AT71" s="412"/>
      <c r="AU71" s="412"/>
      <c r="AV71" s="412"/>
      <c r="AW71" s="412"/>
      <c r="AX71" s="412"/>
      <c r="AY71" s="449"/>
    </row>
    <row r="72" spans="2:51" x14ac:dyDescent="0.2">
      <c r="B72" s="411"/>
      <c r="C72" s="411"/>
      <c r="D72" s="741"/>
      <c r="E72" s="411"/>
      <c r="F72" s="411"/>
      <c r="G72" s="411"/>
      <c r="H72" s="411"/>
      <c r="I72" s="411"/>
      <c r="J72" s="411"/>
      <c r="K72" s="411"/>
      <c r="L72" s="411"/>
      <c r="M72" s="411"/>
      <c r="N72" s="411"/>
      <c r="O72" s="411"/>
      <c r="P72" s="411"/>
      <c r="Q72" s="411"/>
      <c r="R72" s="411"/>
      <c r="S72" s="411"/>
      <c r="T72" s="298"/>
      <c r="U72" s="402"/>
      <c r="V72" s="402"/>
      <c r="W72" s="402"/>
      <c r="X72" s="402"/>
      <c r="Y72" s="402"/>
      <c r="Z72" s="402"/>
      <c r="AA72" s="402"/>
      <c r="AB72" s="402"/>
      <c r="AC72" s="402"/>
      <c r="AD72" s="402"/>
      <c r="AE72" s="296"/>
      <c r="AF72" s="296"/>
      <c r="AG72" s="411"/>
      <c r="AH72" s="411"/>
      <c r="AI72" s="412"/>
      <c r="AJ72" s="412"/>
      <c r="AK72" s="412"/>
      <c r="AL72" s="412"/>
      <c r="AM72" s="412"/>
      <c r="AN72" s="412"/>
      <c r="AO72" s="412"/>
      <c r="AP72" s="412"/>
      <c r="AQ72" s="412"/>
      <c r="AR72" s="412"/>
      <c r="AS72" s="412"/>
      <c r="AT72" s="412"/>
      <c r="AU72" s="412"/>
      <c r="AV72" s="412"/>
      <c r="AW72" s="412"/>
      <c r="AX72" s="412"/>
      <c r="AY72" s="449"/>
    </row>
    <row r="73" spans="2:51" x14ac:dyDescent="0.2">
      <c r="B73" s="411"/>
      <c r="C73" s="411"/>
      <c r="D73" s="741"/>
      <c r="E73" s="411"/>
      <c r="F73" s="411"/>
      <c r="G73" s="411"/>
      <c r="H73" s="411"/>
      <c r="I73" s="411"/>
      <c r="J73" s="411"/>
      <c r="K73" s="411"/>
      <c r="L73" s="411"/>
      <c r="M73" s="411"/>
      <c r="N73" s="411"/>
      <c r="O73" s="411"/>
      <c r="P73" s="411"/>
      <c r="Q73" s="411"/>
      <c r="R73" s="411"/>
      <c r="S73" s="411"/>
      <c r="T73" s="298"/>
      <c r="U73" s="402"/>
      <c r="V73" s="402"/>
      <c r="W73" s="402"/>
      <c r="X73" s="402"/>
      <c r="Y73" s="402"/>
      <c r="Z73" s="402"/>
      <c r="AA73" s="402"/>
      <c r="AB73" s="402"/>
      <c r="AC73" s="402"/>
      <c r="AD73" s="402"/>
      <c r="AE73" s="296"/>
      <c r="AF73" s="296"/>
      <c r="AG73" s="411"/>
      <c r="AH73" s="411"/>
      <c r="AI73" s="412"/>
      <c r="AJ73" s="412"/>
      <c r="AK73" s="412"/>
      <c r="AL73" s="412"/>
      <c r="AM73" s="412"/>
      <c r="AN73" s="412"/>
      <c r="AO73" s="412"/>
      <c r="AP73" s="412"/>
      <c r="AQ73" s="412"/>
      <c r="AR73" s="412"/>
      <c r="AS73" s="412"/>
      <c r="AT73" s="412"/>
      <c r="AU73" s="412"/>
      <c r="AV73" s="412"/>
      <c r="AW73" s="412"/>
      <c r="AX73" s="412"/>
      <c r="AY73" s="449"/>
    </row>
    <row r="74" spans="2:51" x14ac:dyDescent="0.2">
      <c r="B74" s="411"/>
      <c r="C74" s="411"/>
      <c r="D74" s="741"/>
      <c r="E74" s="411"/>
      <c r="F74" s="411"/>
      <c r="G74" s="411"/>
      <c r="H74" s="411"/>
      <c r="I74" s="411"/>
      <c r="J74" s="411"/>
      <c r="K74" s="411"/>
      <c r="L74" s="411"/>
      <c r="M74" s="411"/>
      <c r="N74" s="411"/>
      <c r="O74" s="411"/>
      <c r="P74" s="411"/>
      <c r="Q74" s="411"/>
      <c r="R74" s="411"/>
      <c r="S74" s="411"/>
      <c r="T74" s="298"/>
      <c r="U74" s="402"/>
      <c r="V74" s="402"/>
      <c r="W74" s="402"/>
      <c r="X74" s="402"/>
      <c r="Y74" s="402"/>
      <c r="Z74" s="402"/>
      <c r="AA74" s="402"/>
      <c r="AB74" s="402"/>
      <c r="AC74" s="402"/>
      <c r="AD74" s="402"/>
      <c r="AE74" s="296"/>
      <c r="AF74" s="296"/>
      <c r="AG74" s="411"/>
      <c r="AH74" s="411"/>
      <c r="AI74" s="412"/>
      <c r="AJ74" s="412"/>
      <c r="AK74" s="412"/>
      <c r="AL74" s="412"/>
      <c r="AM74" s="412"/>
      <c r="AN74" s="412"/>
      <c r="AO74" s="412"/>
      <c r="AP74" s="412"/>
      <c r="AQ74" s="412"/>
      <c r="AR74" s="412"/>
      <c r="AS74" s="412"/>
      <c r="AT74" s="412"/>
      <c r="AU74" s="412"/>
      <c r="AV74" s="412"/>
      <c r="AW74" s="412"/>
      <c r="AX74" s="412"/>
      <c r="AY74" s="449"/>
    </row>
    <row r="75" spans="2:51" x14ac:dyDescent="0.2">
      <c r="B75" s="411"/>
      <c r="C75" s="411"/>
      <c r="D75" s="741"/>
      <c r="E75" s="411"/>
      <c r="F75" s="411"/>
      <c r="G75" s="411"/>
      <c r="H75" s="411"/>
      <c r="I75" s="411"/>
      <c r="J75" s="411"/>
      <c r="K75" s="411"/>
      <c r="L75" s="411"/>
      <c r="M75" s="411"/>
      <c r="N75" s="411"/>
      <c r="O75" s="411"/>
      <c r="P75" s="411"/>
      <c r="Q75" s="411"/>
      <c r="R75" s="411"/>
      <c r="S75" s="411"/>
      <c r="T75" s="298"/>
      <c r="U75" s="402"/>
      <c r="V75" s="402"/>
      <c r="W75" s="402"/>
      <c r="X75" s="402"/>
      <c r="Y75" s="402"/>
      <c r="Z75" s="402"/>
      <c r="AA75" s="402"/>
      <c r="AB75" s="402"/>
      <c r="AC75" s="402"/>
      <c r="AD75" s="402"/>
      <c r="AE75" s="296"/>
      <c r="AF75" s="296"/>
      <c r="AG75" s="411"/>
      <c r="AH75" s="411"/>
      <c r="AI75" s="412"/>
      <c r="AJ75" s="412"/>
      <c r="AK75" s="412"/>
      <c r="AL75" s="412"/>
      <c r="AM75" s="412"/>
      <c r="AN75" s="412"/>
      <c r="AO75" s="412"/>
      <c r="AP75" s="412"/>
      <c r="AQ75" s="412"/>
      <c r="AR75" s="412"/>
      <c r="AS75" s="412"/>
      <c r="AT75" s="412"/>
      <c r="AU75" s="412"/>
      <c r="AV75" s="412"/>
      <c r="AW75" s="412"/>
      <c r="AX75" s="412"/>
      <c r="AY75" s="449"/>
    </row>
    <row r="76" spans="2:51" x14ac:dyDescent="0.2">
      <c r="B76" s="411"/>
      <c r="C76" s="411"/>
      <c r="D76" s="741"/>
      <c r="E76" s="411"/>
      <c r="F76" s="411"/>
      <c r="G76" s="411"/>
      <c r="H76" s="411"/>
      <c r="I76" s="411"/>
      <c r="J76" s="411"/>
      <c r="K76" s="411"/>
      <c r="L76" s="411"/>
      <c r="M76" s="411"/>
      <c r="N76" s="411"/>
      <c r="O76" s="411"/>
      <c r="P76" s="411"/>
      <c r="Q76" s="411"/>
      <c r="R76" s="411"/>
      <c r="S76" s="411"/>
      <c r="T76" s="298"/>
      <c r="U76" s="402"/>
      <c r="V76" s="402"/>
      <c r="W76" s="402"/>
      <c r="X76" s="402"/>
      <c r="Y76" s="402"/>
      <c r="Z76" s="402"/>
      <c r="AA76" s="402"/>
      <c r="AB76" s="402"/>
      <c r="AC76" s="402"/>
      <c r="AD76" s="402"/>
      <c r="AE76" s="296"/>
      <c r="AF76" s="296"/>
      <c r="AG76" s="411"/>
      <c r="AH76" s="411"/>
      <c r="AI76" s="412"/>
      <c r="AJ76" s="412"/>
      <c r="AK76" s="412"/>
      <c r="AL76" s="412"/>
      <c r="AM76" s="412"/>
      <c r="AN76" s="412"/>
      <c r="AO76" s="412"/>
      <c r="AP76" s="412"/>
      <c r="AQ76" s="412"/>
      <c r="AR76" s="412"/>
      <c r="AS76" s="412"/>
      <c r="AT76" s="412"/>
      <c r="AU76" s="412"/>
      <c r="AV76" s="412"/>
      <c r="AW76" s="412"/>
      <c r="AX76" s="412"/>
      <c r="AY76" s="449"/>
    </row>
    <row r="77" spans="2:51" x14ac:dyDescent="0.2">
      <c r="B77" s="411"/>
      <c r="C77" s="411"/>
      <c r="D77" s="741"/>
      <c r="E77" s="411"/>
      <c r="F77" s="411"/>
      <c r="G77" s="411"/>
      <c r="H77" s="411"/>
      <c r="I77" s="411"/>
      <c r="J77" s="411"/>
      <c r="K77" s="411"/>
      <c r="L77" s="411"/>
      <c r="M77" s="411"/>
      <c r="N77" s="411"/>
      <c r="O77" s="411"/>
      <c r="P77" s="411"/>
      <c r="Q77" s="411"/>
      <c r="R77" s="411"/>
      <c r="S77" s="411"/>
      <c r="T77" s="298"/>
      <c r="U77" s="402"/>
      <c r="V77" s="402"/>
      <c r="W77" s="402"/>
      <c r="X77" s="402"/>
      <c r="Y77" s="402"/>
      <c r="Z77" s="402"/>
      <c r="AA77" s="402"/>
      <c r="AB77" s="402"/>
      <c r="AC77" s="402"/>
      <c r="AD77" s="402"/>
      <c r="AE77" s="296"/>
      <c r="AF77" s="296"/>
      <c r="AG77" s="411"/>
      <c r="AH77" s="411"/>
      <c r="AI77" s="412"/>
      <c r="AJ77" s="412"/>
      <c r="AK77" s="412"/>
      <c r="AL77" s="412"/>
      <c r="AM77" s="412"/>
      <c r="AN77" s="412"/>
      <c r="AO77" s="412"/>
      <c r="AP77" s="412"/>
      <c r="AQ77" s="412"/>
      <c r="AR77" s="412"/>
      <c r="AS77" s="412"/>
      <c r="AT77" s="412"/>
      <c r="AU77" s="412"/>
      <c r="AV77" s="412"/>
      <c r="AW77" s="412"/>
      <c r="AX77" s="412"/>
      <c r="AY77" s="449"/>
    </row>
    <row r="78" spans="2:51" x14ac:dyDescent="0.2">
      <c r="B78" s="411"/>
      <c r="C78" s="411"/>
      <c r="D78" s="741"/>
      <c r="E78" s="411"/>
      <c r="F78" s="411"/>
      <c r="G78" s="411"/>
      <c r="H78" s="411"/>
      <c r="I78" s="411"/>
      <c r="J78" s="411"/>
      <c r="K78" s="411"/>
      <c r="L78" s="411"/>
      <c r="M78" s="411"/>
      <c r="N78" s="411"/>
      <c r="O78" s="411"/>
      <c r="P78" s="411"/>
      <c r="Q78" s="411"/>
      <c r="R78" s="411"/>
      <c r="S78" s="411"/>
      <c r="T78" s="298"/>
      <c r="U78" s="402"/>
      <c r="V78" s="402"/>
      <c r="W78" s="402"/>
      <c r="X78" s="402"/>
      <c r="Y78" s="402"/>
      <c r="Z78" s="402"/>
      <c r="AA78" s="402"/>
      <c r="AB78" s="402"/>
      <c r="AC78" s="402"/>
      <c r="AD78" s="402"/>
      <c r="AE78" s="296"/>
      <c r="AF78" s="296"/>
      <c r="AG78" s="411"/>
      <c r="AH78" s="411"/>
      <c r="AI78" s="412"/>
      <c r="AJ78" s="412"/>
      <c r="AK78" s="412"/>
      <c r="AL78" s="412"/>
      <c r="AM78" s="412"/>
      <c r="AN78" s="412"/>
      <c r="AO78" s="412"/>
      <c r="AP78" s="412"/>
      <c r="AQ78" s="412"/>
      <c r="AR78" s="412"/>
      <c r="AS78" s="412"/>
      <c r="AT78" s="412"/>
      <c r="AU78" s="412"/>
      <c r="AV78" s="412"/>
      <c r="AW78" s="412"/>
      <c r="AX78" s="412"/>
      <c r="AY78" s="449"/>
    </row>
    <row r="79" spans="2:51" x14ac:dyDescent="0.2">
      <c r="B79" s="411"/>
      <c r="C79" s="411"/>
      <c r="D79" s="741"/>
      <c r="E79" s="411"/>
      <c r="F79" s="411"/>
      <c r="G79" s="411"/>
      <c r="H79" s="411"/>
      <c r="I79" s="411"/>
      <c r="J79" s="411"/>
      <c r="K79" s="411"/>
      <c r="L79" s="411"/>
      <c r="M79" s="411"/>
      <c r="N79" s="411"/>
      <c r="O79" s="411"/>
      <c r="P79" s="411"/>
      <c r="Q79" s="411"/>
      <c r="R79" s="411"/>
      <c r="S79" s="411"/>
      <c r="T79" s="298"/>
      <c r="U79" s="402"/>
      <c r="V79" s="402"/>
      <c r="W79" s="402"/>
      <c r="X79" s="402"/>
      <c r="Y79" s="402"/>
      <c r="Z79" s="402"/>
      <c r="AA79" s="402"/>
      <c r="AB79" s="402"/>
      <c r="AC79" s="402"/>
      <c r="AD79" s="402"/>
      <c r="AE79" s="296"/>
      <c r="AF79" s="296"/>
      <c r="AG79" s="411"/>
      <c r="AH79" s="411"/>
      <c r="AI79" s="412"/>
      <c r="AJ79" s="412"/>
      <c r="AK79" s="412"/>
      <c r="AL79" s="412"/>
      <c r="AM79" s="412"/>
      <c r="AN79" s="412"/>
      <c r="AO79" s="412"/>
      <c r="AP79" s="412"/>
      <c r="AQ79" s="412"/>
      <c r="AR79" s="412"/>
      <c r="AS79" s="412"/>
      <c r="AT79" s="412"/>
      <c r="AU79" s="412"/>
      <c r="AV79" s="412"/>
      <c r="AW79" s="412"/>
      <c r="AX79" s="412"/>
      <c r="AY79" s="449"/>
    </row>
    <row r="80" spans="2:51" x14ac:dyDescent="0.2">
      <c r="B80" s="411"/>
      <c r="C80" s="411"/>
      <c r="D80" s="741"/>
      <c r="E80" s="411"/>
      <c r="F80" s="411"/>
      <c r="G80" s="411"/>
      <c r="H80" s="411"/>
      <c r="I80" s="411"/>
      <c r="J80" s="411"/>
      <c r="K80" s="411"/>
      <c r="L80" s="411"/>
      <c r="M80" s="411"/>
      <c r="N80" s="411"/>
      <c r="O80" s="411"/>
      <c r="P80" s="411"/>
      <c r="Q80" s="411"/>
      <c r="R80" s="411"/>
      <c r="S80" s="411"/>
      <c r="T80" s="298"/>
      <c r="U80" s="402"/>
      <c r="V80" s="402"/>
      <c r="W80" s="402"/>
      <c r="X80" s="402"/>
      <c r="Y80" s="402"/>
      <c r="Z80" s="402"/>
      <c r="AA80" s="402"/>
      <c r="AB80" s="402"/>
      <c r="AC80" s="402"/>
      <c r="AD80" s="402"/>
      <c r="AE80" s="296"/>
      <c r="AF80" s="296"/>
      <c r="AG80" s="411"/>
      <c r="AH80" s="411"/>
      <c r="AI80" s="412"/>
      <c r="AJ80" s="412"/>
      <c r="AK80" s="412"/>
      <c r="AL80" s="412"/>
      <c r="AM80" s="412"/>
      <c r="AN80" s="412"/>
      <c r="AO80" s="412"/>
      <c r="AP80" s="412"/>
      <c r="AQ80" s="412"/>
      <c r="AR80" s="412"/>
      <c r="AS80" s="412"/>
      <c r="AT80" s="412"/>
      <c r="AU80" s="412"/>
      <c r="AV80" s="412"/>
      <c r="AW80" s="412"/>
      <c r="AX80" s="412"/>
      <c r="AY80" s="449"/>
    </row>
    <row r="81" spans="2:51" x14ac:dyDescent="0.2">
      <c r="B81" s="411"/>
      <c r="C81" s="411"/>
      <c r="D81" s="741"/>
      <c r="E81" s="411"/>
      <c r="F81" s="411"/>
      <c r="G81" s="411"/>
      <c r="H81" s="411"/>
      <c r="I81" s="411"/>
      <c r="J81" s="411"/>
      <c r="K81" s="411"/>
      <c r="L81" s="411"/>
      <c r="M81" s="411"/>
      <c r="N81" s="411"/>
      <c r="O81" s="411"/>
      <c r="P81" s="411"/>
      <c r="Q81" s="411"/>
      <c r="R81" s="411"/>
      <c r="S81" s="411"/>
      <c r="T81" s="298"/>
      <c r="U81" s="402"/>
      <c r="V81" s="402"/>
      <c r="W81" s="402"/>
      <c r="X81" s="402"/>
      <c r="Y81" s="402"/>
      <c r="Z81" s="402"/>
      <c r="AA81" s="402"/>
      <c r="AB81" s="402"/>
      <c r="AC81" s="402"/>
      <c r="AD81" s="402"/>
      <c r="AE81" s="296"/>
      <c r="AF81" s="296"/>
      <c r="AG81" s="411"/>
      <c r="AH81" s="411"/>
      <c r="AI81" s="412"/>
      <c r="AJ81" s="412"/>
      <c r="AK81" s="412"/>
      <c r="AL81" s="412"/>
      <c r="AM81" s="412"/>
      <c r="AN81" s="412"/>
      <c r="AO81" s="412"/>
      <c r="AP81" s="412"/>
      <c r="AQ81" s="412"/>
      <c r="AR81" s="412"/>
      <c r="AS81" s="412"/>
      <c r="AT81" s="412"/>
      <c r="AU81" s="412"/>
      <c r="AV81" s="412"/>
      <c r="AW81" s="412"/>
      <c r="AX81" s="412"/>
      <c r="AY81" s="449"/>
    </row>
    <row r="82" spans="2:51" x14ac:dyDescent="0.2">
      <c r="B82" s="411"/>
      <c r="C82" s="411"/>
      <c r="D82" s="741"/>
      <c r="E82" s="411"/>
      <c r="F82" s="411"/>
      <c r="G82" s="411"/>
      <c r="H82" s="411"/>
      <c r="I82" s="411"/>
      <c r="J82" s="411"/>
      <c r="K82" s="411"/>
      <c r="L82" s="411"/>
      <c r="M82" s="411"/>
      <c r="N82" s="411"/>
      <c r="O82" s="411"/>
      <c r="P82" s="411"/>
      <c r="Q82" s="411"/>
      <c r="R82" s="411"/>
      <c r="S82" s="411"/>
      <c r="T82" s="298"/>
      <c r="U82" s="402"/>
      <c r="V82" s="402"/>
      <c r="W82" s="402"/>
      <c r="X82" s="402"/>
      <c r="Y82" s="402"/>
      <c r="Z82" s="402"/>
      <c r="AA82" s="402"/>
      <c r="AB82" s="402"/>
      <c r="AC82" s="402"/>
      <c r="AD82" s="402"/>
      <c r="AE82" s="296"/>
      <c r="AF82" s="296"/>
      <c r="AG82" s="411"/>
      <c r="AH82" s="411"/>
      <c r="AI82" s="412"/>
      <c r="AJ82" s="412"/>
      <c r="AK82" s="412"/>
      <c r="AL82" s="412"/>
      <c r="AM82" s="412"/>
      <c r="AN82" s="412"/>
      <c r="AO82" s="412"/>
      <c r="AP82" s="412"/>
      <c r="AQ82" s="412"/>
      <c r="AR82" s="412"/>
      <c r="AS82" s="412"/>
      <c r="AT82" s="412"/>
      <c r="AU82" s="412"/>
      <c r="AV82" s="412"/>
      <c r="AW82" s="412"/>
      <c r="AX82" s="412"/>
      <c r="AY82" s="449"/>
    </row>
    <row r="83" spans="2:51" x14ac:dyDescent="0.2">
      <c r="B83" s="411"/>
      <c r="C83" s="411"/>
      <c r="D83" s="741"/>
      <c r="E83" s="411"/>
      <c r="F83" s="411"/>
      <c r="G83" s="411"/>
      <c r="H83" s="411"/>
      <c r="I83" s="411"/>
      <c r="J83" s="411"/>
      <c r="K83" s="411"/>
      <c r="L83" s="411"/>
      <c r="M83" s="411"/>
      <c r="N83" s="411"/>
      <c r="O83" s="411"/>
      <c r="P83" s="411"/>
      <c r="Q83" s="411"/>
      <c r="R83" s="411"/>
      <c r="S83" s="411"/>
      <c r="T83" s="298"/>
      <c r="U83" s="402"/>
      <c r="V83" s="402"/>
      <c r="W83" s="402"/>
      <c r="X83" s="402"/>
      <c r="Y83" s="402"/>
      <c r="Z83" s="402"/>
      <c r="AA83" s="402"/>
      <c r="AB83" s="402"/>
      <c r="AC83" s="402"/>
      <c r="AD83" s="402"/>
      <c r="AE83" s="296"/>
      <c r="AF83" s="296"/>
      <c r="AG83" s="411"/>
      <c r="AH83" s="411"/>
      <c r="AI83" s="412"/>
      <c r="AJ83" s="412"/>
      <c r="AK83" s="412"/>
      <c r="AL83" s="412"/>
      <c r="AM83" s="412"/>
      <c r="AN83" s="412"/>
      <c r="AO83" s="412"/>
      <c r="AP83" s="412"/>
      <c r="AQ83" s="412"/>
      <c r="AR83" s="412"/>
      <c r="AS83" s="412"/>
      <c r="AT83" s="412"/>
      <c r="AU83" s="412"/>
      <c r="AV83" s="412"/>
      <c r="AW83" s="412"/>
      <c r="AX83" s="412"/>
      <c r="AY83" s="449"/>
    </row>
    <row r="84" spans="2:51" x14ac:dyDescent="0.2">
      <c r="B84" s="411"/>
      <c r="C84" s="411"/>
      <c r="D84" s="741"/>
      <c r="E84" s="411"/>
      <c r="F84" s="411"/>
      <c r="G84" s="411"/>
      <c r="H84" s="411"/>
      <c r="I84" s="411"/>
      <c r="J84" s="411"/>
      <c r="K84" s="411"/>
      <c r="L84" s="411"/>
      <c r="M84" s="411"/>
      <c r="N84" s="411"/>
      <c r="O84" s="411"/>
      <c r="P84" s="411"/>
      <c r="Q84" s="411"/>
      <c r="R84" s="411"/>
      <c r="S84" s="411"/>
      <c r="T84" s="298"/>
      <c r="U84" s="402"/>
      <c r="V84" s="402"/>
      <c r="W84" s="402"/>
      <c r="X84" s="402"/>
      <c r="Y84" s="402"/>
      <c r="Z84" s="402"/>
      <c r="AA84" s="402"/>
      <c r="AB84" s="402"/>
      <c r="AC84" s="402"/>
      <c r="AD84" s="402"/>
      <c r="AE84" s="296"/>
      <c r="AF84" s="296"/>
      <c r="AG84" s="411"/>
      <c r="AH84" s="411"/>
      <c r="AI84" s="412"/>
      <c r="AJ84" s="412"/>
      <c r="AK84" s="412"/>
      <c r="AL84" s="412"/>
      <c r="AM84" s="412"/>
      <c r="AN84" s="412"/>
      <c r="AO84" s="412"/>
      <c r="AP84" s="412"/>
      <c r="AQ84" s="412"/>
      <c r="AR84" s="412"/>
      <c r="AS84" s="412"/>
      <c r="AT84" s="412"/>
      <c r="AU84" s="412"/>
      <c r="AV84" s="412"/>
      <c r="AW84" s="412"/>
      <c r="AX84" s="412"/>
      <c r="AY84" s="449"/>
    </row>
    <row r="85" spans="2:51" x14ac:dyDescent="0.2">
      <c r="B85" s="411"/>
      <c r="C85" s="411"/>
      <c r="D85" s="741"/>
      <c r="E85" s="411"/>
      <c r="F85" s="411"/>
      <c r="G85" s="411"/>
      <c r="H85" s="411"/>
      <c r="I85" s="411"/>
      <c r="J85" s="411"/>
      <c r="K85" s="411"/>
      <c r="L85" s="411"/>
      <c r="M85" s="411"/>
      <c r="N85" s="411"/>
      <c r="O85" s="411"/>
      <c r="P85" s="411"/>
      <c r="Q85" s="411"/>
      <c r="R85" s="411"/>
      <c r="S85" s="411"/>
      <c r="T85" s="298"/>
      <c r="U85" s="402"/>
      <c r="V85" s="402"/>
      <c r="W85" s="402"/>
      <c r="X85" s="402"/>
      <c r="Y85" s="402"/>
      <c r="Z85" s="402"/>
      <c r="AA85" s="402"/>
      <c r="AB85" s="402"/>
      <c r="AC85" s="402"/>
      <c r="AD85" s="402"/>
      <c r="AE85" s="296"/>
      <c r="AF85" s="296"/>
      <c r="AG85" s="411"/>
      <c r="AH85" s="411"/>
      <c r="AI85" s="412"/>
      <c r="AJ85" s="412"/>
      <c r="AK85" s="412"/>
      <c r="AL85" s="412"/>
      <c r="AM85" s="412"/>
      <c r="AN85" s="412"/>
      <c r="AO85" s="412"/>
      <c r="AP85" s="412"/>
      <c r="AQ85" s="412"/>
      <c r="AR85" s="412"/>
      <c r="AS85" s="412"/>
      <c r="AT85" s="412"/>
      <c r="AU85" s="412"/>
      <c r="AV85" s="412"/>
      <c r="AW85" s="412"/>
      <c r="AX85" s="412"/>
      <c r="AY85" s="449"/>
    </row>
    <row r="86" spans="2:51" x14ac:dyDescent="0.2">
      <c r="B86" s="411"/>
      <c r="C86" s="411"/>
      <c r="D86" s="741"/>
      <c r="E86" s="411"/>
      <c r="F86" s="411"/>
      <c r="G86" s="411"/>
      <c r="H86" s="411"/>
      <c r="I86" s="411"/>
      <c r="J86" s="411"/>
      <c r="K86" s="411"/>
      <c r="L86" s="411"/>
      <c r="M86" s="411"/>
      <c r="N86" s="411"/>
      <c r="O86" s="411"/>
      <c r="P86" s="411"/>
      <c r="Q86" s="411"/>
      <c r="R86" s="411"/>
      <c r="S86" s="411"/>
      <c r="T86" s="298"/>
      <c r="U86" s="402"/>
      <c r="V86" s="402"/>
      <c r="W86" s="402"/>
      <c r="X86" s="402"/>
      <c r="Y86" s="402"/>
      <c r="Z86" s="402"/>
      <c r="AA86" s="402"/>
      <c r="AB86" s="402"/>
      <c r="AC86" s="402"/>
      <c r="AD86" s="402"/>
      <c r="AE86" s="296"/>
      <c r="AF86" s="296"/>
      <c r="AG86" s="411"/>
      <c r="AH86" s="411"/>
      <c r="AI86" s="412"/>
      <c r="AJ86" s="412"/>
      <c r="AK86" s="412"/>
      <c r="AL86" s="412"/>
      <c r="AM86" s="412"/>
      <c r="AN86" s="412"/>
      <c r="AO86" s="412"/>
      <c r="AP86" s="412"/>
      <c r="AQ86" s="412"/>
      <c r="AR86" s="412"/>
      <c r="AS86" s="412"/>
      <c r="AT86" s="412"/>
      <c r="AU86" s="412"/>
      <c r="AV86" s="412"/>
      <c r="AW86" s="412"/>
      <c r="AX86" s="412"/>
      <c r="AY86" s="449"/>
    </row>
    <row r="87" spans="2:51" x14ac:dyDescent="0.2">
      <c r="B87" s="411"/>
      <c r="C87" s="411"/>
      <c r="D87" s="741"/>
      <c r="E87" s="411"/>
      <c r="F87" s="411"/>
      <c r="G87" s="411"/>
      <c r="H87" s="411"/>
      <c r="I87" s="411"/>
      <c r="J87" s="411"/>
      <c r="K87" s="411"/>
      <c r="L87" s="411"/>
      <c r="M87" s="411"/>
      <c r="N87" s="411"/>
      <c r="O87" s="411"/>
      <c r="P87" s="411"/>
      <c r="Q87" s="411"/>
      <c r="R87" s="411"/>
      <c r="S87" s="411"/>
      <c r="T87" s="298"/>
      <c r="U87" s="402"/>
      <c r="V87" s="402"/>
      <c r="W87" s="402"/>
      <c r="X87" s="402"/>
      <c r="Y87" s="402"/>
      <c r="Z87" s="402"/>
      <c r="AA87" s="402"/>
      <c r="AB87" s="402"/>
      <c r="AC87" s="402"/>
      <c r="AD87" s="402"/>
      <c r="AE87" s="296"/>
      <c r="AF87" s="296"/>
      <c r="AG87" s="411"/>
      <c r="AH87" s="411"/>
      <c r="AI87" s="412"/>
      <c r="AJ87" s="412"/>
      <c r="AK87" s="412"/>
      <c r="AL87" s="412"/>
      <c r="AM87" s="412"/>
      <c r="AN87" s="412"/>
      <c r="AO87" s="412"/>
      <c r="AP87" s="412"/>
      <c r="AQ87" s="412"/>
      <c r="AR87" s="412"/>
      <c r="AS87" s="412"/>
      <c r="AT87" s="412"/>
      <c r="AU87" s="412"/>
      <c r="AV87" s="412"/>
      <c r="AW87" s="412"/>
      <c r="AX87" s="412"/>
      <c r="AY87" s="449"/>
    </row>
    <row r="88" spans="2:51" x14ac:dyDescent="0.2">
      <c r="B88" s="411"/>
      <c r="C88" s="411"/>
      <c r="D88" s="741"/>
      <c r="E88" s="411"/>
      <c r="F88" s="411"/>
      <c r="G88" s="411"/>
      <c r="H88" s="411"/>
      <c r="I88" s="411"/>
      <c r="J88" s="411"/>
      <c r="K88" s="411"/>
      <c r="L88" s="411"/>
      <c r="M88" s="411"/>
      <c r="N88" s="411"/>
      <c r="O88" s="411"/>
      <c r="P88" s="411"/>
      <c r="Q88" s="411"/>
      <c r="R88" s="411"/>
      <c r="S88" s="411"/>
      <c r="T88" s="298"/>
      <c r="U88" s="402"/>
      <c r="V88" s="402"/>
      <c r="W88" s="402"/>
      <c r="X88" s="402"/>
      <c r="Y88" s="402"/>
      <c r="Z88" s="402"/>
      <c r="AA88" s="402"/>
      <c r="AB88" s="402"/>
      <c r="AC88" s="402"/>
      <c r="AD88" s="402"/>
      <c r="AE88" s="296"/>
      <c r="AF88" s="296"/>
      <c r="AG88" s="411"/>
      <c r="AH88" s="411"/>
      <c r="AI88" s="412"/>
      <c r="AJ88" s="412"/>
      <c r="AK88" s="412"/>
      <c r="AL88" s="412"/>
      <c r="AM88" s="412"/>
      <c r="AN88" s="412"/>
      <c r="AO88" s="412"/>
      <c r="AP88" s="412"/>
      <c r="AQ88" s="412"/>
      <c r="AR88" s="412"/>
      <c r="AS88" s="412"/>
      <c r="AT88" s="412"/>
      <c r="AU88" s="412"/>
      <c r="AV88" s="412"/>
      <c r="AW88" s="412"/>
      <c r="AX88" s="412"/>
      <c r="AY88" s="449"/>
    </row>
    <row r="89" spans="2:51" x14ac:dyDescent="0.2">
      <c r="B89" s="411"/>
      <c r="C89" s="411"/>
      <c r="D89" s="741"/>
      <c r="E89" s="411"/>
      <c r="F89" s="411"/>
      <c r="G89" s="411"/>
      <c r="H89" s="411"/>
      <c r="I89" s="411"/>
      <c r="J89" s="411"/>
      <c r="K89" s="411"/>
      <c r="L89" s="411"/>
      <c r="M89" s="411"/>
      <c r="N89" s="411"/>
      <c r="O89" s="411"/>
      <c r="P89" s="411"/>
      <c r="Q89" s="411"/>
      <c r="R89" s="411"/>
      <c r="S89" s="411"/>
      <c r="T89" s="298"/>
      <c r="U89" s="402"/>
      <c r="V89" s="402"/>
      <c r="W89" s="402"/>
      <c r="X89" s="402"/>
      <c r="Y89" s="402"/>
      <c r="Z89" s="402"/>
      <c r="AA89" s="402"/>
      <c r="AB89" s="402"/>
      <c r="AC89" s="402"/>
      <c r="AD89" s="402"/>
      <c r="AE89" s="296"/>
      <c r="AF89" s="296"/>
      <c r="AG89" s="411"/>
      <c r="AH89" s="411"/>
      <c r="AI89" s="412"/>
      <c r="AJ89" s="412"/>
      <c r="AK89" s="412"/>
      <c r="AL89" s="412"/>
      <c r="AM89" s="412"/>
      <c r="AN89" s="412"/>
      <c r="AO89" s="412"/>
      <c r="AP89" s="412"/>
      <c r="AQ89" s="412"/>
      <c r="AR89" s="412"/>
      <c r="AS89" s="412"/>
      <c r="AT89" s="412"/>
      <c r="AU89" s="412"/>
      <c r="AV89" s="412"/>
      <c r="AW89" s="412"/>
      <c r="AX89" s="412"/>
      <c r="AY89" s="449"/>
    </row>
    <row r="90" spans="2:51" x14ac:dyDescent="0.2">
      <c r="B90" s="411"/>
      <c r="C90" s="411"/>
      <c r="D90" s="741"/>
      <c r="E90" s="411"/>
      <c r="F90" s="411"/>
      <c r="G90" s="411"/>
      <c r="H90" s="411"/>
      <c r="I90" s="411"/>
      <c r="J90" s="411"/>
      <c r="K90" s="411"/>
      <c r="L90" s="411"/>
      <c r="M90" s="411"/>
      <c r="N90" s="411"/>
      <c r="O90" s="411"/>
      <c r="P90" s="411"/>
      <c r="Q90" s="411"/>
      <c r="R90" s="411"/>
      <c r="S90" s="411"/>
      <c r="T90" s="298"/>
      <c r="U90" s="402"/>
      <c r="V90" s="402"/>
      <c r="W90" s="402"/>
      <c r="X90" s="402"/>
      <c r="Y90" s="402"/>
      <c r="Z90" s="402"/>
      <c r="AA90" s="402"/>
      <c r="AB90" s="402"/>
      <c r="AC90" s="402"/>
      <c r="AD90" s="402"/>
      <c r="AE90" s="296"/>
      <c r="AF90" s="296"/>
      <c r="AG90" s="411"/>
      <c r="AH90" s="411"/>
      <c r="AI90" s="412"/>
      <c r="AJ90" s="412"/>
      <c r="AK90" s="412"/>
      <c r="AL90" s="412"/>
      <c r="AM90" s="412"/>
      <c r="AN90" s="412"/>
      <c r="AO90" s="412"/>
      <c r="AP90" s="412"/>
      <c r="AQ90" s="412"/>
      <c r="AR90" s="412"/>
      <c r="AS90" s="412"/>
      <c r="AT90" s="412"/>
      <c r="AU90" s="412"/>
      <c r="AV90" s="412"/>
      <c r="AW90" s="412"/>
      <c r="AX90" s="412"/>
      <c r="AY90" s="449"/>
    </row>
    <row r="91" spans="2:51" x14ac:dyDescent="0.2">
      <c r="B91" s="411"/>
      <c r="C91" s="411"/>
      <c r="D91" s="741"/>
      <c r="E91" s="411"/>
      <c r="F91" s="411"/>
      <c r="G91" s="411"/>
      <c r="H91" s="411"/>
      <c r="I91" s="411"/>
      <c r="J91" s="411"/>
      <c r="K91" s="411"/>
      <c r="L91" s="411"/>
      <c r="M91" s="411"/>
      <c r="N91" s="411"/>
      <c r="O91" s="411"/>
      <c r="P91" s="411"/>
      <c r="Q91" s="411"/>
      <c r="R91" s="411"/>
      <c r="S91" s="411"/>
      <c r="T91" s="298"/>
      <c r="U91" s="402"/>
      <c r="V91" s="402"/>
      <c r="W91" s="402"/>
      <c r="X91" s="402"/>
      <c r="Y91" s="402"/>
      <c r="Z91" s="402"/>
      <c r="AA91" s="402"/>
      <c r="AB91" s="402"/>
      <c r="AC91" s="402"/>
      <c r="AD91" s="402"/>
      <c r="AE91" s="296"/>
      <c r="AF91" s="296"/>
      <c r="AG91" s="411"/>
      <c r="AH91" s="411"/>
      <c r="AI91" s="412"/>
      <c r="AJ91" s="412"/>
      <c r="AK91" s="412"/>
      <c r="AL91" s="412"/>
      <c r="AM91" s="412"/>
      <c r="AN91" s="412"/>
      <c r="AO91" s="412"/>
      <c r="AP91" s="412"/>
      <c r="AQ91" s="412"/>
      <c r="AR91" s="412"/>
      <c r="AS91" s="412"/>
      <c r="AT91" s="412"/>
      <c r="AU91" s="412"/>
      <c r="AV91" s="412"/>
      <c r="AW91" s="412"/>
      <c r="AX91" s="412"/>
      <c r="AY91" s="449"/>
    </row>
    <row r="92" spans="2:51" x14ac:dyDescent="0.2">
      <c r="B92" s="411"/>
      <c r="C92" s="411"/>
      <c r="D92" s="741"/>
      <c r="E92" s="411"/>
      <c r="F92" s="411"/>
      <c r="G92" s="411"/>
      <c r="H92" s="411"/>
      <c r="I92" s="411"/>
      <c r="J92" s="411"/>
      <c r="K92" s="411"/>
      <c r="L92" s="411"/>
      <c r="M92" s="411"/>
      <c r="N92" s="411"/>
      <c r="O92" s="411"/>
      <c r="P92" s="411"/>
      <c r="Q92" s="411"/>
      <c r="R92" s="411"/>
      <c r="S92" s="411"/>
      <c r="T92" s="298"/>
      <c r="U92" s="402"/>
      <c r="V92" s="402"/>
      <c r="W92" s="402"/>
      <c r="X92" s="402"/>
      <c r="Y92" s="402"/>
      <c r="Z92" s="402"/>
      <c r="AA92" s="402"/>
      <c r="AB92" s="402"/>
      <c r="AC92" s="402"/>
      <c r="AD92" s="402"/>
      <c r="AE92" s="296"/>
      <c r="AF92" s="296"/>
      <c r="AG92" s="411"/>
      <c r="AH92" s="411"/>
      <c r="AI92" s="412"/>
      <c r="AJ92" s="412"/>
      <c r="AK92" s="412"/>
      <c r="AL92" s="412"/>
      <c r="AM92" s="412"/>
      <c r="AN92" s="412"/>
      <c r="AO92" s="412"/>
      <c r="AP92" s="412"/>
      <c r="AQ92" s="412"/>
      <c r="AR92" s="412"/>
      <c r="AS92" s="412"/>
      <c r="AT92" s="412"/>
      <c r="AU92" s="412"/>
      <c r="AV92" s="412"/>
      <c r="AW92" s="412"/>
      <c r="AX92" s="412"/>
      <c r="AY92" s="449"/>
    </row>
    <row r="93" spans="2:51" x14ac:dyDescent="0.2">
      <c r="B93" s="411"/>
      <c r="C93" s="411"/>
      <c r="D93" s="741"/>
      <c r="E93" s="411"/>
      <c r="F93" s="411"/>
      <c r="G93" s="411"/>
      <c r="H93" s="411"/>
      <c r="I93" s="411"/>
      <c r="J93" s="411"/>
      <c r="K93" s="411"/>
      <c r="L93" s="411"/>
      <c r="M93" s="411"/>
      <c r="N93" s="411"/>
      <c r="O93" s="411"/>
      <c r="P93" s="411"/>
      <c r="Q93" s="411"/>
      <c r="R93" s="411"/>
      <c r="S93" s="411"/>
      <c r="T93" s="298"/>
      <c r="U93" s="402"/>
      <c r="V93" s="402"/>
      <c r="W93" s="402"/>
      <c r="X93" s="402"/>
      <c r="Y93" s="402"/>
      <c r="Z93" s="402"/>
      <c r="AA93" s="402"/>
      <c r="AB93" s="402"/>
      <c r="AC93" s="402"/>
      <c r="AD93" s="402"/>
      <c r="AE93" s="296"/>
      <c r="AF93" s="296"/>
      <c r="AG93" s="411"/>
      <c r="AH93" s="411"/>
      <c r="AI93" s="412"/>
      <c r="AJ93" s="412"/>
      <c r="AK93" s="412"/>
      <c r="AL93" s="412"/>
      <c r="AM93" s="412"/>
      <c r="AN93" s="412"/>
      <c r="AO93" s="412"/>
      <c r="AP93" s="412"/>
      <c r="AQ93" s="412"/>
      <c r="AR93" s="412"/>
      <c r="AS93" s="412"/>
      <c r="AT93" s="412"/>
      <c r="AU93" s="412"/>
      <c r="AV93" s="412"/>
      <c r="AW93" s="412"/>
      <c r="AX93" s="412"/>
      <c r="AY93" s="449"/>
    </row>
    <row r="94" spans="2:51" x14ac:dyDescent="0.2">
      <c r="B94" s="411"/>
      <c r="C94" s="411"/>
      <c r="D94" s="741"/>
      <c r="E94" s="411"/>
      <c r="F94" s="411"/>
      <c r="G94" s="411"/>
      <c r="H94" s="411"/>
      <c r="I94" s="411"/>
      <c r="J94" s="411"/>
      <c r="K94" s="411"/>
      <c r="L94" s="411"/>
      <c r="M94" s="411"/>
      <c r="N94" s="411"/>
      <c r="O94" s="411"/>
      <c r="P94" s="411"/>
      <c r="Q94" s="411"/>
      <c r="R94" s="411"/>
      <c r="S94" s="411"/>
      <c r="T94" s="298"/>
      <c r="U94" s="402"/>
      <c r="V94" s="402"/>
      <c r="W94" s="402"/>
      <c r="X94" s="402"/>
      <c r="Y94" s="402"/>
      <c r="Z94" s="402"/>
      <c r="AA94" s="402"/>
      <c r="AB94" s="402"/>
      <c r="AC94" s="402"/>
      <c r="AD94" s="402"/>
      <c r="AE94" s="296"/>
      <c r="AF94" s="296"/>
      <c r="AG94" s="411"/>
      <c r="AH94" s="411"/>
      <c r="AI94" s="412"/>
      <c r="AJ94" s="412"/>
      <c r="AK94" s="412"/>
      <c r="AL94" s="412"/>
      <c r="AM94" s="412"/>
      <c r="AN94" s="412"/>
      <c r="AO94" s="412"/>
      <c r="AP94" s="412"/>
      <c r="AQ94" s="412"/>
      <c r="AR94" s="412"/>
      <c r="AS94" s="412"/>
      <c r="AT94" s="412"/>
      <c r="AU94" s="412"/>
      <c r="AV94" s="412"/>
      <c r="AW94" s="412"/>
      <c r="AX94" s="412"/>
      <c r="AY94" s="449"/>
    </row>
    <row r="95" spans="2:51" x14ac:dyDescent="0.2">
      <c r="B95" s="411"/>
      <c r="C95" s="411"/>
      <c r="D95" s="741"/>
      <c r="E95" s="411"/>
      <c r="F95" s="411"/>
      <c r="G95" s="411"/>
      <c r="H95" s="411"/>
      <c r="I95" s="411"/>
      <c r="J95" s="411"/>
      <c r="K95" s="411"/>
      <c r="L95" s="411"/>
      <c r="M95" s="411"/>
      <c r="N95" s="411"/>
      <c r="O95" s="411"/>
      <c r="P95" s="411"/>
      <c r="Q95" s="411"/>
      <c r="R95" s="411"/>
      <c r="S95" s="411"/>
      <c r="T95" s="298"/>
      <c r="U95" s="402"/>
      <c r="V95" s="402"/>
      <c r="W95" s="402"/>
      <c r="X95" s="402"/>
      <c r="Y95" s="402"/>
      <c r="Z95" s="402"/>
      <c r="AA95" s="402"/>
      <c r="AB95" s="402"/>
      <c r="AC95" s="402"/>
      <c r="AD95" s="402"/>
      <c r="AE95" s="296"/>
      <c r="AF95" s="296"/>
      <c r="AG95" s="411"/>
      <c r="AH95" s="411"/>
      <c r="AI95" s="412"/>
      <c r="AJ95" s="412"/>
      <c r="AK95" s="412"/>
      <c r="AL95" s="412"/>
      <c r="AM95" s="412"/>
      <c r="AN95" s="412"/>
      <c r="AO95" s="412"/>
      <c r="AP95" s="412"/>
      <c r="AQ95" s="412"/>
      <c r="AR95" s="412"/>
      <c r="AS95" s="412"/>
      <c r="AT95" s="412"/>
      <c r="AU95" s="412"/>
      <c r="AV95" s="412"/>
      <c r="AW95" s="412"/>
      <c r="AX95" s="412"/>
      <c r="AY95" s="449"/>
    </row>
    <row r="96" spans="2:51" x14ac:dyDescent="0.2">
      <c r="B96" s="411"/>
      <c r="C96" s="411"/>
      <c r="D96" s="741"/>
      <c r="E96" s="411"/>
      <c r="F96" s="411"/>
      <c r="G96" s="411"/>
      <c r="H96" s="411"/>
      <c r="I96" s="411"/>
      <c r="J96" s="411"/>
      <c r="K96" s="411"/>
      <c r="L96" s="411"/>
      <c r="M96" s="411"/>
      <c r="N96" s="411"/>
      <c r="O96" s="411"/>
      <c r="P96" s="411"/>
      <c r="Q96" s="411"/>
      <c r="R96" s="411"/>
      <c r="S96" s="411"/>
      <c r="T96" s="298"/>
      <c r="U96" s="402"/>
      <c r="V96" s="402"/>
      <c r="W96" s="402"/>
      <c r="X96" s="402"/>
      <c r="Y96" s="402"/>
      <c r="Z96" s="402"/>
      <c r="AA96" s="402"/>
      <c r="AB96" s="402"/>
      <c r="AC96" s="402"/>
      <c r="AD96" s="402"/>
      <c r="AE96" s="296"/>
      <c r="AF96" s="296"/>
      <c r="AG96" s="411"/>
      <c r="AH96" s="411"/>
      <c r="AI96" s="412"/>
      <c r="AJ96" s="412"/>
      <c r="AK96" s="412"/>
      <c r="AL96" s="412"/>
      <c r="AM96" s="412"/>
      <c r="AN96" s="412"/>
      <c r="AO96" s="412"/>
      <c r="AP96" s="412"/>
      <c r="AQ96" s="412"/>
      <c r="AR96" s="412"/>
      <c r="AS96" s="412"/>
      <c r="AT96" s="412"/>
      <c r="AU96" s="412"/>
      <c r="AV96" s="412"/>
      <c r="AW96" s="412"/>
      <c r="AX96" s="412"/>
      <c r="AY96" s="449"/>
    </row>
    <row r="97" spans="2:51" x14ac:dyDescent="0.2">
      <c r="B97" s="411"/>
      <c r="C97" s="411"/>
      <c r="D97" s="741"/>
      <c r="E97" s="411"/>
      <c r="F97" s="411"/>
      <c r="G97" s="411"/>
      <c r="H97" s="411"/>
      <c r="I97" s="411"/>
      <c r="J97" s="411"/>
      <c r="K97" s="411"/>
      <c r="L97" s="411"/>
      <c r="M97" s="411"/>
      <c r="N97" s="411"/>
      <c r="O97" s="411"/>
      <c r="P97" s="411"/>
      <c r="Q97" s="411"/>
      <c r="R97" s="411"/>
      <c r="S97" s="411"/>
      <c r="T97" s="298"/>
      <c r="U97" s="402"/>
      <c r="V97" s="402"/>
      <c r="W97" s="402"/>
      <c r="X97" s="402"/>
      <c r="Y97" s="402"/>
      <c r="Z97" s="402"/>
      <c r="AA97" s="402"/>
      <c r="AB97" s="402"/>
      <c r="AC97" s="402"/>
      <c r="AD97" s="402"/>
      <c r="AE97" s="296"/>
      <c r="AF97" s="296"/>
      <c r="AG97" s="411"/>
      <c r="AH97" s="411"/>
      <c r="AI97" s="412"/>
      <c r="AJ97" s="412"/>
      <c r="AK97" s="412"/>
      <c r="AL97" s="412"/>
      <c r="AM97" s="412"/>
      <c r="AN97" s="412"/>
      <c r="AO97" s="412"/>
      <c r="AP97" s="412"/>
      <c r="AQ97" s="412"/>
      <c r="AR97" s="412"/>
      <c r="AS97" s="412"/>
      <c r="AT97" s="412"/>
      <c r="AU97" s="412"/>
      <c r="AV97" s="412"/>
      <c r="AW97" s="412"/>
      <c r="AX97" s="412"/>
      <c r="AY97" s="449"/>
    </row>
    <row r="98" spans="2:51" x14ac:dyDescent="0.2">
      <c r="B98" s="411"/>
      <c r="C98" s="411"/>
      <c r="D98" s="741"/>
      <c r="E98" s="411"/>
      <c r="F98" s="411"/>
      <c r="G98" s="411"/>
      <c r="H98" s="411"/>
      <c r="I98" s="411"/>
      <c r="J98" s="411"/>
      <c r="K98" s="411"/>
      <c r="L98" s="411"/>
      <c r="M98" s="411"/>
      <c r="N98" s="411"/>
      <c r="O98" s="411"/>
      <c r="P98" s="411"/>
      <c r="Q98" s="411"/>
      <c r="R98" s="411"/>
      <c r="S98" s="411"/>
      <c r="T98" s="298"/>
      <c r="U98" s="402"/>
      <c r="V98" s="402"/>
      <c r="W98" s="402"/>
      <c r="X98" s="402"/>
      <c r="Y98" s="402"/>
      <c r="Z98" s="402"/>
      <c r="AA98" s="402"/>
      <c r="AB98" s="402"/>
      <c r="AC98" s="402"/>
      <c r="AD98" s="402"/>
      <c r="AE98" s="296"/>
      <c r="AF98" s="296"/>
      <c r="AG98" s="411"/>
      <c r="AH98" s="411"/>
      <c r="AI98" s="412"/>
      <c r="AJ98" s="412"/>
      <c r="AK98" s="412"/>
      <c r="AL98" s="412"/>
      <c r="AM98" s="412"/>
      <c r="AN98" s="412"/>
      <c r="AO98" s="412"/>
      <c r="AP98" s="412"/>
      <c r="AQ98" s="412"/>
      <c r="AR98" s="412"/>
      <c r="AS98" s="412"/>
      <c r="AT98" s="412"/>
      <c r="AU98" s="412"/>
      <c r="AV98" s="412"/>
      <c r="AW98" s="412"/>
      <c r="AX98" s="412"/>
      <c r="AY98" s="449"/>
    </row>
    <row r="99" spans="2:51" x14ac:dyDescent="0.2">
      <c r="B99" s="411"/>
      <c r="C99" s="411"/>
      <c r="D99" s="741"/>
      <c r="E99" s="411"/>
      <c r="F99" s="411"/>
      <c r="G99" s="411"/>
      <c r="H99" s="411"/>
      <c r="I99" s="411"/>
      <c r="J99" s="411"/>
      <c r="K99" s="411"/>
      <c r="L99" s="411"/>
      <c r="M99" s="411"/>
      <c r="N99" s="411"/>
      <c r="O99" s="411"/>
      <c r="P99" s="411"/>
      <c r="Q99" s="411"/>
      <c r="R99" s="411"/>
      <c r="S99" s="411"/>
      <c r="T99" s="298"/>
      <c r="U99" s="402"/>
      <c r="V99" s="402"/>
      <c r="W99" s="402"/>
      <c r="X99" s="402"/>
      <c r="Y99" s="402"/>
      <c r="Z99" s="402"/>
      <c r="AA99" s="402"/>
      <c r="AB99" s="402"/>
      <c r="AC99" s="402"/>
      <c r="AD99" s="402"/>
      <c r="AE99" s="296"/>
      <c r="AF99" s="296"/>
      <c r="AG99" s="411"/>
      <c r="AH99" s="411"/>
      <c r="AI99" s="412"/>
      <c r="AJ99" s="412"/>
      <c r="AK99" s="412"/>
      <c r="AL99" s="412"/>
      <c r="AM99" s="412"/>
      <c r="AN99" s="412"/>
      <c r="AO99" s="412"/>
      <c r="AP99" s="412"/>
      <c r="AQ99" s="412"/>
      <c r="AR99" s="412"/>
      <c r="AS99" s="412"/>
      <c r="AT99" s="412"/>
      <c r="AU99" s="412"/>
      <c r="AV99" s="412"/>
      <c r="AW99" s="412"/>
      <c r="AX99" s="412"/>
      <c r="AY99" s="449"/>
    </row>
    <row r="100" spans="2:51" x14ac:dyDescent="0.2">
      <c r="B100" s="411"/>
      <c r="C100" s="411"/>
      <c r="D100" s="741"/>
      <c r="E100" s="411"/>
      <c r="F100" s="411"/>
      <c r="G100" s="411"/>
      <c r="H100" s="411"/>
      <c r="I100" s="411"/>
      <c r="J100" s="411"/>
      <c r="K100" s="411"/>
      <c r="L100" s="411"/>
      <c r="M100" s="411"/>
      <c r="N100" s="411"/>
      <c r="O100" s="411"/>
      <c r="P100" s="411"/>
      <c r="Q100" s="411"/>
      <c r="R100" s="411"/>
      <c r="S100" s="411"/>
      <c r="T100" s="298"/>
      <c r="U100" s="402"/>
      <c r="V100" s="402"/>
      <c r="W100" s="402"/>
      <c r="X100" s="402"/>
      <c r="Y100" s="402"/>
      <c r="Z100" s="402"/>
      <c r="AA100" s="402"/>
      <c r="AB100" s="402"/>
      <c r="AC100" s="402"/>
      <c r="AD100" s="402"/>
      <c r="AE100" s="296"/>
      <c r="AF100" s="296"/>
      <c r="AG100" s="411"/>
      <c r="AH100" s="411"/>
      <c r="AI100" s="412"/>
      <c r="AJ100" s="412"/>
      <c r="AK100" s="412"/>
      <c r="AL100" s="412"/>
      <c r="AM100" s="412"/>
      <c r="AN100" s="412"/>
      <c r="AO100" s="412"/>
      <c r="AP100" s="412"/>
      <c r="AQ100" s="412"/>
      <c r="AR100" s="412"/>
      <c r="AS100" s="412"/>
      <c r="AT100" s="412"/>
      <c r="AU100" s="412"/>
      <c r="AV100" s="412"/>
      <c r="AW100" s="412"/>
      <c r="AX100" s="412"/>
      <c r="AY100" s="449"/>
    </row>
    <row r="101" spans="2:51" x14ac:dyDescent="0.2">
      <c r="B101" s="411"/>
      <c r="C101" s="411"/>
      <c r="D101" s="741"/>
      <c r="E101" s="411"/>
      <c r="F101" s="411"/>
      <c r="G101" s="411"/>
      <c r="H101" s="411"/>
      <c r="I101" s="411"/>
      <c r="J101" s="411"/>
      <c r="K101" s="411"/>
      <c r="L101" s="411"/>
      <c r="M101" s="411"/>
      <c r="N101" s="411"/>
      <c r="O101" s="411"/>
      <c r="P101" s="411"/>
      <c r="Q101" s="411"/>
      <c r="R101" s="411"/>
      <c r="S101" s="411"/>
      <c r="T101" s="298"/>
      <c r="U101" s="402"/>
      <c r="V101" s="402"/>
      <c r="W101" s="402"/>
      <c r="X101" s="402"/>
      <c r="Y101" s="402"/>
      <c r="Z101" s="402"/>
      <c r="AA101" s="402"/>
      <c r="AB101" s="402"/>
      <c r="AC101" s="402"/>
      <c r="AD101" s="402"/>
      <c r="AE101" s="296"/>
      <c r="AF101" s="296"/>
      <c r="AG101" s="411"/>
      <c r="AH101" s="411"/>
      <c r="AI101" s="412"/>
      <c r="AJ101" s="412"/>
      <c r="AK101" s="412"/>
      <c r="AL101" s="412"/>
      <c r="AM101" s="412"/>
      <c r="AN101" s="412"/>
      <c r="AO101" s="412"/>
      <c r="AP101" s="412"/>
      <c r="AQ101" s="412"/>
      <c r="AR101" s="412"/>
      <c r="AS101" s="412"/>
      <c r="AT101" s="412"/>
      <c r="AU101" s="412"/>
      <c r="AV101" s="412"/>
      <c r="AW101" s="412"/>
      <c r="AX101" s="412"/>
      <c r="AY101" s="449"/>
    </row>
    <row r="102" spans="2:51" x14ac:dyDescent="0.2">
      <c r="B102" s="411"/>
      <c r="C102" s="411"/>
      <c r="D102" s="741"/>
      <c r="E102" s="411"/>
      <c r="F102" s="411"/>
      <c r="G102" s="411"/>
      <c r="H102" s="411"/>
      <c r="I102" s="411"/>
      <c r="J102" s="411"/>
      <c r="K102" s="411"/>
      <c r="L102" s="411"/>
      <c r="M102" s="411"/>
      <c r="N102" s="411"/>
      <c r="O102" s="411"/>
      <c r="P102" s="411"/>
      <c r="Q102" s="411"/>
      <c r="R102" s="411"/>
      <c r="S102" s="411"/>
      <c r="T102" s="298"/>
      <c r="U102" s="402"/>
      <c r="V102" s="402"/>
      <c r="W102" s="402"/>
      <c r="X102" s="402"/>
      <c r="Y102" s="402"/>
      <c r="Z102" s="402"/>
      <c r="AA102" s="402"/>
      <c r="AB102" s="402"/>
      <c r="AC102" s="402"/>
      <c r="AD102" s="402"/>
      <c r="AE102" s="296"/>
      <c r="AF102" s="296"/>
      <c r="AG102" s="411"/>
      <c r="AH102" s="411"/>
      <c r="AI102" s="412"/>
      <c r="AJ102" s="412"/>
      <c r="AK102" s="412"/>
      <c r="AL102" s="412"/>
      <c r="AM102" s="412"/>
      <c r="AN102" s="412"/>
      <c r="AO102" s="412"/>
      <c r="AP102" s="412"/>
      <c r="AQ102" s="412"/>
      <c r="AR102" s="412"/>
      <c r="AS102" s="412"/>
      <c r="AT102" s="412"/>
      <c r="AU102" s="412"/>
      <c r="AV102" s="412"/>
      <c r="AW102" s="412"/>
      <c r="AX102" s="412"/>
      <c r="AY102" s="449"/>
    </row>
    <row r="103" spans="2:51" x14ac:dyDescent="0.2">
      <c r="B103" s="411"/>
      <c r="C103" s="411"/>
      <c r="D103" s="741"/>
      <c r="E103" s="411"/>
      <c r="F103" s="411"/>
      <c r="G103" s="411"/>
      <c r="H103" s="411"/>
      <c r="I103" s="411"/>
      <c r="J103" s="411"/>
      <c r="K103" s="411"/>
      <c r="L103" s="411"/>
      <c r="M103" s="411"/>
      <c r="N103" s="411"/>
      <c r="O103" s="411"/>
      <c r="P103" s="411"/>
      <c r="Q103" s="411"/>
      <c r="R103" s="411"/>
      <c r="S103" s="411"/>
      <c r="T103" s="298"/>
      <c r="U103" s="402"/>
      <c r="V103" s="402"/>
      <c r="W103" s="402"/>
      <c r="X103" s="402"/>
      <c r="Y103" s="402"/>
      <c r="Z103" s="402"/>
      <c r="AA103" s="402"/>
      <c r="AB103" s="402"/>
      <c r="AC103" s="402"/>
      <c r="AD103" s="402"/>
      <c r="AE103" s="296"/>
      <c r="AF103" s="296"/>
      <c r="AG103" s="411"/>
      <c r="AH103" s="411"/>
      <c r="AI103" s="412"/>
      <c r="AJ103" s="412"/>
      <c r="AK103" s="412"/>
      <c r="AL103" s="412"/>
      <c r="AM103" s="412"/>
      <c r="AN103" s="412"/>
      <c r="AO103" s="412"/>
      <c r="AP103" s="412"/>
      <c r="AQ103" s="412"/>
      <c r="AR103" s="412"/>
      <c r="AS103" s="412"/>
      <c r="AT103" s="412"/>
      <c r="AU103" s="412"/>
      <c r="AV103" s="412"/>
      <c r="AW103" s="412"/>
      <c r="AX103" s="412"/>
      <c r="AY103" s="449"/>
    </row>
    <row r="104" spans="2:51" x14ac:dyDescent="0.2">
      <c r="B104" s="411"/>
      <c r="C104" s="411"/>
      <c r="D104" s="741"/>
      <c r="E104" s="411"/>
      <c r="F104" s="411"/>
      <c r="G104" s="411"/>
      <c r="H104" s="411"/>
      <c r="I104" s="411"/>
      <c r="J104" s="411"/>
      <c r="K104" s="411"/>
      <c r="L104" s="411"/>
      <c r="M104" s="411"/>
      <c r="N104" s="411"/>
      <c r="O104" s="411"/>
      <c r="P104" s="411"/>
      <c r="Q104" s="411"/>
      <c r="R104" s="411"/>
      <c r="S104" s="411"/>
      <c r="T104" s="298"/>
      <c r="U104" s="402"/>
      <c r="V104" s="402"/>
      <c r="W104" s="402"/>
      <c r="X104" s="402"/>
      <c r="Y104" s="402"/>
      <c r="Z104" s="402"/>
      <c r="AA104" s="402"/>
      <c r="AB104" s="402"/>
      <c r="AC104" s="402"/>
      <c r="AD104" s="402"/>
      <c r="AE104" s="296"/>
      <c r="AF104" s="296"/>
      <c r="AG104" s="411"/>
      <c r="AH104" s="411"/>
      <c r="AI104" s="412"/>
      <c r="AJ104" s="412"/>
      <c r="AK104" s="412"/>
      <c r="AL104" s="412"/>
      <c r="AM104" s="412"/>
      <c r="AN104" s="412"/>
      <c r="AO104" s="412"/>
      <c r="AP104" s="412"/>
      <c r="AQ104" s="412"/>
      <c r="AR104" s="412"/>
      <c r="AS104" s="412"/>
      <c r="AT104" s="412"/>
      <c r="AU104" s="412"/>
      <c r="AV104" s="412"/>
      <c r="AW104" s="412"/>
      <c r="AX104" s="412"/>
      <c r="AY104" s="449"/>
    </row>
    <row r="105" spans="2:51" x14ac:dyDescent="0.2">
      <c r="B105" s="411"/>
      <c r="C105" s="411"/>
      <c r="D105" s="741"/>
      <c r="E105" s="411"/>
      <c r="F105" s="411"/>
      <c r="G105" s="411"/>
      <c r="H105" s="411"/>
      <c r="I105" s="411"/>
      <c r="J105" s="411"/>
      <c r="K105" s="411"/>
      <c r="L105" s="411"/>
      <c r="M105" s="411"/>
      <c r="N105" s="411"/>
      <c r="O105" s="411"/>
      <c r="P105" s="411"/>
      <c r="Q105" s="411"/>
      <c r="R105" s="411"/>
      <c r="S105" s="411"/>
      <c r="T105" s="298"/>
      <c r="U105" s="402"/>
      <c r="V105" s="402"/>
      <c r="W105" s="402"/>
      <c r="X105" s="402"/>
      <c r="Y105" s="402"/>
      <c r="Z105" s="402"/>
      <c r="AA105" s="402"/>
      <c r="AB105" s="402"/>
      <c r="AC105" s="402"/>
      <c r="AD105" s="402"/>
      <c r="AE105" s="296"/>
      <c r="AF105" s="296"/>
      <c r="AG105" s="411"/>
      <c r="AH105" s="411"/>
      <c r="AI105" s="412"/>
      <c r="AJ105" s="412"/>
      <c r="AK105" s="412"/>
      <c r="AL105" s="412"/>
      <c r="AM105" s="412"/>
      <c r="AN105" s="412"/>
      <c r="AO105" s="412"/>
      <c r="AP105" s="412"/>
      <c r="AQ105" s="412"/>
      <c r="AR105" s="412"/>
      <c r="AS105" s="412"/>
      <c r="AT105" s="412"/>
      <c r="AU105" s="412"/>
      <c r="AV105" s="412"/>
      <c r="AW105" s="412"/>
      <c r="AX105" s="412"/>
      <c r="AY105" s="449"/>
    </row>
    <row r="106" spans="2:51" x14ac:dyDescent="0.2">
      <c r="B106" s="411"/>
      <c r="C106" s="411"/>
      <c r="D106" s="741"/>
      <c r="E106" s="411"/>
      <c r="F106" s="411"/>
      <c r="G106" s="411"/>
      <c r="H106" s="411"/>
      <c r="I106" s="411"/>
      <c r="J106" s="411"/>
      <c r="K106" s="411"/>
      <c r="L106" s="411"/>
      <c r="M106" s="411"/>
      <c r="N106" s="411"/>
      <c r="O106" s="411"/>
      <c r="P106" s="411"/>
      <c r="Q106" s="411"/>
      <c r="R106" s="411"/>
      <c r="S106" s="411"/>
      <c r="T106" s="298"/>
      <c r="U106" s="402"/>
      <c r="V106" s="402"/>
      <c r="W106" s="402"/>
      <c r="X106" s="402"/>
      <c r="Y106" s="402"/>
      <c r="Z106" s="402"/>
      <c r="AA106" s="402"/>
      <c r="AB106" s="402"/>
      <c r="AC106" s="402"/>
      <c r="AD106" s="402"/>
      <c r="AE106" s="296"/>
      <c r="AF106" s="296"/>
      <c r="AG106" s="411"/>
      <c r="AH106" s="411"/>
      <c r="AI106" s="412"/>
      <c r="AJ106" s="412"/>
      <c r="AK106" s="412"/>
      <c r="AL106" s="412"/>
      <c r="AM106" s="412"/>
      <c r="AN106" s="412"/>
      <c r="AO106" s="412"/>
      <c r="AP106" s="412"/>
      <c r="AQ106" s="412"/>
      <c r="AR106" s="412"/>
      <c r="AS106" s="412"/>
      <c r="AT106" s="412"/>
      <c r="AU106" s="412"/>
      <c r="AV106" s="412"/>
      <c r="AW106" s="412"/>
      <c r="AX106" s="412"/>
      <c r="AY106" s="449"/>
    </row>
    <row r="107" spans="2:51" x14ac:dyDescent="0.2">
      <c r="B107" s="411"/>
      <c r="C107" s="411"/>
      <c r="D107" s="741"/>
      <c r="E107" s="411"/>
      <c r="F107" s="411"/>
      <c r="G107" s="411"/>
      <c r="H107" s="411"/>
      <c r="I107" s="411"/>
      <c r="J107" s="411"/>
      <c r="K107" s="411"/>
      <c r="L107" s="411"/>
      <c r="M107" s="411"/>
      <c r="N107" s="411"/>
      <c r="O107" s="411"/>
      <c r="P107" s="411"/>
      <c r="Q107" s="411"/>
      <c r="R107" s="411"/>
      <c r="S107" s="411"/>
      <c r="T107" s="298"/>
      <c r="U107" s="402"/>
      <c r="V107" s="402"/>
      <c r="W107" s="402"/>
      <c r="X107" s="402"/>
      <c r="Y107" s="402"/>
      <c r="Z107" s="402"/>
      <c r="AA107" s="402"/>
      <c r="AB107" s="402"/>
      <c r="AC107" s="402"/>
      <c r="AD107" s="402"/>
      <c r="AE107" s="296"/>
      <c r="AF107" s="296"/>
      <c r="AG107" s="411"/>
      <c r="AH107" s="411"/>
      <c r="AI107" s="412"/>
      <c r="AJ107" s="412"/>
      <c r="AK107" s="412"/>
      <c r="AL107" s="412"/>
      <c r="AM107" s="412"/>
      <c r="AN107" s="412"/>
      <c r="AO107" s="412"/>
      <c r="AP107" s="412"/>
      <c r="AQ107" s="412"/>
      <c r="AR107" s="412"/>
      <c r="AS107" s="412"/>
      <c r="AT107" s="412"/>
      <c r="AU107" s="412"/>
      <c r="AV107" s="412"/>
      <c r="AW107" s="412"/>
      <c r="AX107" s="412"/>
      <c r="AY107" s="449"/>
    </row>
    <row r="108" spans="2:51" x14ac:dyDescent="0.2">
      <c r="B108" s="411"/>
      <c r="C108" s="411"/>
      <c r="D108" s="741"/>
      <c r="E108" s="411"/>
      <c r="F108" s="411"/>
      <c r="G108" s="411"/>
      <c r="H108" s="411"/>
      <c r="I108" s="411"/>
      <c r="J108" s="411"/>
      <c r="K108" s="411"/>
      <c r="L108" s="411"/>
      <c r="M108" s="411"/>
      <c r="N108" s="411"/>
      <c r="O108" s="411"/>
      <c r="P108" s="411"/>
      <c r="Q108" s="411"/>
      <c r="R108" s="411"/>
      <c r="S108" s="411"/>
      <c r="T108" s="298"/>
      <c r="U108" s="402"/>
      <c r="V108" s="402"/>
      <c r="W108" s="402"/>
      <c r="X108" s="402"/>
      <c r="Y108" s="402"/>
      <c r="Z108" s="402"/>
      <c r="AA108" s="402"/>
      <c r="AB108" s="402"/>
      <c r="AC108" s="402"/>
      <c r="AD108" s="402"/>
      <c r="AE108" s="296"/>
      <c r="AF108" s="296"/>
      <c r="AG108" s="411"/>
      <c r="AH108" s="411"/>
      <c r="AI108" s="412"/>
      <c r="AJ108" s="412"/>
      <c r="AK108" s="412"/>
      <c r="AL108" s="412"/>
      <c r="AM108" s="412"/>
      <c r="AN108" s="412"/>
      <c r="AO108" s="412"/>
      <c r="AP108" s="412"/>
      <c r="AQ108" s="412"/>
      <c r="AR108" s="412"/>
      <c r="AS108" s="412"/>
      <c r="AT108" s="412"/>
      <c r="AU108" s="412"/>
      <c r="AV108" s="412"/>
      <c r="AW108" s="412"/>
      <c r="AX108" s="412"/>
      <c r="AY108" s="449"/>
    </row>
    <row r="109" spans="2:51" x14ac:dyDescent="0.2">
      <c r="B109" s="411"/>
      <c r="C109" s="411"/>
      <c r="D109" s="741"/>
      <c r="E109" s="411"/>
      <c r="F109" s="411"/>
      <c r="G109" s="411"/>
      <c r="H109" s="411"/>
      <c r="I109" s="411"/>
      <c r="J109" s="411"/>
      <c r="K109" s="411"/>
      <c r="L109" s="411"/>
      <c r="M109" s="411"/>
      <c r="N109" s="411"/>
      <c r="O109" s="411"/>
      <c r="P109" s="411"/>
      <c r="Q109" s="411"/>
      <c r="R109" s="411"/>
      <c r="S109" s="411"/>
      <c r="T109" s="298"/>
      <c r="U109" s="402"/>
      <c r="V109" s="402"/>
      <c r="W109" s="402"/>
      <c r="X109" s="402"/>
      <c r="Y109" s="402"/>
      <c r="Z109" s="402"/>
      <c r="AA109" s="402"/>
      <c r="AB109" s="402"/>
      <c r="AC109" s="402"/>
      <c r="AD109" s="402"/>
      <c r="AE109" s="296"/>
      <c r="AF109" s="296"/>
      <c r="AG109" s="411"/>
      <c r="AH109" s="411"/>
      <c r="AI109" s="412"/>
      <c r="AJ109" s="412"/>
      <c r="AK109" s="412"/>
      <c r="AL109" s="412"/>
      <c r="AM109" s="412"/>
      <c r="AN109" s="412"/>
      <c r="AO109" s="412"/>
      <c r="AP109" s="412"/>
      <c r="AQ109" s="412"/>
      <c r="AR109" s="412"/>
      <c r="AS109" s="412"/>
      <c r="AT109" s="412"/>
      <c r="AU109" s="412"/>
      <c r="AV109" s="412"/>
      <c r="AW109" s="412"/>
      <c r="AX109" s="412"/>
      <c r="AY109" s="449"/>
    </row>
    <row r="110" spans="2:51" x14ac:dyDescent="0.2">
      <c r="B110" s="411"/>
      <c r="C110" s="411"/>
      <c r="D110" s="741"/>
      <c r="E110" s="411"/>
      <c r="F110" s="411"/>
      <c r="G110" s="411"/>
      <c r="H110" s="411"/>
      <c r="I110" s="411"/>
      <c r="J110" s="411"/>
      <c r="K110" s="411"/>
      <c r="L110" s="411"/>
      <c r="M110" s="411"/>
      <c r="N110" s="411"/>
      <c r="O110" s="411"/>
      <c r="P110" s="411"/>
      <c r="Q110" s="411"/>
      <c r="R110" s="411"/>
      <c r="S110" s="411"/>
      <c r="T110" s="298"/>
      <c r="U110" s="402"/>
      <c r="V110" s="402"/>
      <c r="W110" s="402"/>
      <c r="X110" s="402"/>
      <c r="Y110" s="402"/>
      <c r="Z110" s="402"/>
      <c r="AA110" s="402"/>
      <c r="AB110" s="402"/>
      <c r="AC110" s="402"/>
      <c r="AD110" s="402"/>
      <c r="AE110" s="296"/>
      <c r="AF110" s="296"/>
      <c r="AG110" s="411"/>
      <c r="AH110" s="411"/>
      <c r="AI110" s="412"/>
      <c r="AJ110" s="412"/>
      <c r="AK110" s="412"/>
      <c r="AL110" s="412"/>
      <c r="AM110" s="412"/>
      <c r="AN110" s="412"/>
      <c r="AO110" s="412"/>
      <c r="AP110" s="412"/>
      <c r="AQ110" s="412"/>
      <c r="AR110" s="412"/>
      <c r="AS110" s="412"/>
      <c r="AT110" s="412"/>
      <c r="AU110" s="412"/>
      <c r="AV110" s="412"/>
      <c r="AW110" s="412"/>
      <c r="AX110" s="412"/>
      <c r="AY110" s="449"/>
    </row>
    <row r="111" spans="2:51" x14ac:dyDescent="0.2">
      <c r="B111" s="411"/>
      <c r="C111" s="411"/>
      <c r="D111" s="741"/>
      <c r="E111" s="411"/>
      <c r="F111" s="411"/>
      <c r="G111" s="411"/>
      <c r="H111" s="411"/>
      <c r="I111" s="411"/>
      <c r="J111" s="411"/>
      <c r="K111" s="411"/>
      <c r="L111" s="411"/>
      <c r="M111" s="411"/>
      <c r="N111" s="411"/>
      <c r="O111" s="411"/>
      <c r="P111" s="411"/>
      <c r="Q111" s="411"/>
      <c r="R111" s="411"/>
      <c r="S111" s="411"/>
      <c r="T111" s="298"/>
      <c r="U111" s="402"/>
      <c r="V111" s="402"/>
      <c r="W111" s="402"/>
      <c r="X111" s="402"/>
      <c r="Y111" s="402"/>
      <c r="Z111" s="402"/>
      <c r="AA111" s="402"/>
      <c r="AB111" s="402"/>
      <c r="AC111" s="402"/>
      <c r="AD111" s="402"/>
      <c r="AE111" s="296"/>
      <c r="AF111" s="296"/>
      <c r="AG111" s="411"/>
      <c r="AH111" s="411"/>
      <c r="AI111" s="412"/>
      <c r="AJ111" s="412"/>
      <c r="AK111" s="412"/>
      <c r="AL111" s="412"/>
      <c r="AM111" s="412"/>
      <c r="AN111" s="412"/>
      <c r="AO111" s="412"/>
      <c r="AP111" s="412"/>
      <c r="AQ111" s="412"/>
      <c r="AR111" s="412"/>
      <c r="AS111" s="412"/>
      <c r="AT111" s="412"/>
      <c r="AU111" s="412"/>
      <c r="AV111" s="412"/>
      <c r="AW111" s="412"/>
      <c r="AX111" s="412"/>
      <c r="AY111" s="449"/>
    </row>
    <row r="112" spans="2:51" x14ac:dyDescent="0.2">
      <c r="B112" s="411"/>
      <c r="C112" s="411"/>
      <c r="D112" s="741"/>
      <c r="E112" s="411"/>
      <c r="F112" s="411"/>
      <c r="G112" s="411"/>
      <c r="H112" s="411"/>
      <c r="I112" s="411"/>
      <c r="J112" s="411"/>
      <c r="K112" s="411"/>
      <c r="L112" s="411"/>
      <c r="M112" s="411"/>
      <c r="N112" s="411"/>
      <c r="O112" s="411"/>
      <c r="P112" s="411"/>
      <c r="Q112" s="411"/>
      <c r="R112" s="411"/>
      <c r="S112" s="411"/>
      <c r="T112" s="298"/>
      <c r="U112" s="402"/>
      <c r="V112" s="402"/>
      <c r="W112" s="402"/>
      <c r="X112" s="402"/>
      <c r="Y112" s="402"/>
      <c r="Z112" s="402"/>
      <c r="AA112" s="402"/>
      <c r="AB112" s="402"/>
      <c r="AC112" s="402"/>
      <c r="AD112" s="402"/>
      <c r="AE112" s="296"/>
      <c r="AF112" s="296"/>
      <c r="AG112" s="411"/>
      <c r="AH112" s="411"/>
      <c r="AI112" s="412"/>
      <c r="AJ112" s="412"/>
      <c r="AK112" s="412"/>
      <c r="AL112" s="412"/>
      <c r="AM112" s="412"/>
      <c r="AN112" s="412"/>
      <c r="AO112" s="412"/>
      <c r="AP112" s="412"/>
      <c r="AQ112" s="412"/>
      <c r="AR112" s="412"/>
      <c r="AS112" s="412"/>
      <c r="AT112" s="412"/>
      <c r="AU112" s="412"/>
      <c r="AV112" s="412"/>
      <c r="AW112" s="412"/>
      <c r="AX112" s="412"/>
      <c r="AY112" s="449"/>
    </row>
    <row r="113" spans="2:51" x14ac:dyDescent="0.2">
      <c r="B113" s="411"/>
      <c r="C113" s="411"/>
      <c r="D113" s="741"/>
      <c r="E113" s="411"/>
      <c r="F113" s="411"/>
      <c r="G113" s="411"/>
      <c r="H113" s="411"/>
      <c r="I113" s="411"/>
      <c r="J113" s="411"/>
      <c r="K113" s="411"/>
      <c r="L113" s="411"/>
      <c r="M113" s="411"/>
      <c r="N113" s="411"/>
      <c r="O113" s="411"/>
      <c r="P113" s="411"/>
      <c r="Q113" s="411"/>
      <c r="R113" s="411"/>
      <c r="S113" s="411"/>
      <c r="T113" s="298"/>
      <c r="U113" s="402"/>
      <c r="V113" s="402"/>
      <c r="W113" s="402"/>
      <c r="X113" s="402"/>
      <c r="Y113" s="402"/>
      <c r="Z113" s="402"/>
      <c r="AA113" s="402"/>
      <c r="AB113" s="402"/>
      <c r="AC113" s="402"/>
      <c r="AD113" s="402"/>
      <c r="AE113" s="296"/>
      <c r="AF113" s="296"/>
      <c r="AG113" s="411"/>
      <c r="AH113" s="411"/>
      <c r="AI113" s="412"/>
      <c r="AJ113" s="412"/>
      <c r="AK113" s="412"/>
      <c r="AL113" s="412"/>
      <c r="AM113" s="412"/>
      <c r="AN113" s="412"/>
      <c r="AO113" s="412"/>
      <c r="AP113" s="412"/>
      <c r="AQ113" s="412"/>
      <c r="AR113" s="412"/>
      <c r="AS113" s="412"/>
      <c r="AT113" s="412"/>
      <c r="AU113" s="412"/>
      <c r="AV113" s="412"/>
      <c r="AW113" s="412"/>
      <c r="AX113" s="412"/>
      <c r="AY113" s="449"/>
    </row>
    <row r="114" spans="2:51" x14ac:dyDescent="0.2">
      <c r="B114" s="411"/>
      <c r="C114" s="411"/>
      <c r="D114" s="741"/>
      <c r="E114" s="411"/>
      <c r="F114" s="411"/>
      <c r="G114" s="411"/>
      <c r="H114" s="411"/>
      <c r="I114" s="411"/>
      <c r="J114" s="411"/>
      <c r="K114" s="411"/>
      <c r="L114" s="411"/>
      <c r="M114" s="411"/>
      <c r="N114" s="411"/>
      <c r="O114" s="411"/>
      <c r="P114" s="411"/>
      <c r="Q114" s="411"/>
      <c r="R114" s="411"/>
      <c r="S114" s="411"/>
      <c r="T114" s="298"/>
      <c r="U114" s="402"/>
      <c r="V114" s="402"/>
      <c r="W114" s="402"/>
      <c r="X114" s="402"/>
      <c r="Y114" s="402"/>
      <c r="Z114" s="402"/>
      <c r="AA114" s="402"/>
      <c r="AB114" s="402"/>
      <c r="AC114" s="402"/>
      <c r="AD114" s="402"/>
      <c r="AE114" s="296"/>
      <c r="AF114" s="296"/>
      <c r="AG114" s="411"/>
      <c r="AH114" s="411"/>
      <c r="AI114" s="412"/>
      <c r="AJ114" s="412"/>
      <c r="AK114" s="412"/>
      <c r="AL114" s="412"/>
      <c r="AM114" s="412"/>
      <c r="AN114" s="412"/>
      <c r="AO114" s="412"/>
      <c r="AP114" s="412"/>
      <c r="AQ114" s="412"/>
      <c r="AR114" s="412"/>
      <c r="AS114" s="412"/>
      <c r="AT114" s="412"/>
      <c r="AU114" s="412"/>
      <c r="AV114" s="412"/>
      <c r="AW114" s="412"/>
      <c r="AX114" s="412"/>
      <c r="AY114" s="449"/>
    </row>
    <row r="115" spans="2:51" x14ac:dyDescent="0.2">
      <c r="B115" s="411"/>
      <c r="C115" s="411"/>
      <c r="D115" s="741"/>
      <c r="E115" s="411"/>
      <c r="F115" s="411"/>
      <c r="G115" s="411"/>
      <c r="H115" s="411"/>
      <c r="I115" s="411"/>
      <c r="J115" s="411"/>
      <c r="K115" s="411"/>
      <c r="L115" s="411"/>
      <c r="M115" s="411"/>
      <c r="N115" s="411"/>
      <c r="O115" s="411"/>
      <c r="P115" s="411"/>
      <c r="Q115" s="411"/>
      <c r="R115" s="411"/>
      <c r="S115" s="411"/>
      <c r="T115" s="298"/>
      <c r="U115" s="402"/>
      <c r="V115" s="402"/>
      <c r="W115" s="402"/>
      <c r="X115" s="402"/>
      <c r="Y115" s="402"/>
      <c r="Z115" s="402"/>
      <c r="AA115" s="402"/>
      <c r="AB115" s="402"/>
      <c r="AC115" s="402"/>
      <c r="AD115" s="402"/>
      <c r="AE115" s="296"/>
      <c r="AF115" s="296"/>
      <c r="AG115" s="411"/>
      <c r="AH115" s="411"/>
      <c r="AI115" s="412"/>
      <c r="AJ115" s="412"/>
      <c r="AK115" s="412"/>
      <c r="AL115" s="412"/>
      <c r="AM115" s="412"/>
      <c r="AN115" s="412"/>
      <c r="AO115" s="412"/>
      <c r="AP115" s="412"/>
      <c r="AQ115" s="412"/>
      <c r="AR115" s="412"/>
      <c r="AS115" s="412"/>
      <c r="AT115" s="412"/>
      <c r="AU115" s="412"/>
      <c r="AV115" s="412"/>
      <c r="AW115" s="412"/>
      <c r="AX115" s="412"/>
      <c r="AY115" s="449"/>
    </row>
    <row r="116" spans="2:51" x14ac:dyDescent="0.2">
      <c r="B116" s="411"/>
      <c r="C116" s="411"/>
      <c r="D116" s="741"/>
      <c r="E116" s="411"/>
      <c r="F116" s="411"/>
      <c r="G116" s="411"/>
      <c r="H116" s="411"/>
      <c r="I116" s="411"/>
      <c r="J116" s="411"/>
      <c r="K116" s="411"/>
      <c r="L116" s="411"/>
      <c r="M116" s="411"/>
      <c r="N116" s="411"/>
      <c r="O116" s="411"/>
      <c r="P116" s="411"/>
      <c r="Q116" s="411"/>
      <c r="R116" s="411"/>
      <c r="S116" s="411"/>
      <c r="T116" s="298"/>
      <c r="U116" s="402"/>
      <c r="V116" s="402"/>
      <c r="W116" s="402"/>
      <c r="X116" s="402"/>
      <c r="Y116" s="402"/>
      <c r="Z116" s="402"/>
      <c r="AA116" s="402"/>
      <c r="AB116" s="402"/>
      <c r="AC116" s="402"/>
      <c r="AD116" s="402"/>
      <c r="AE116" s="296"/>
      <c r="AF116" s="296"/>
      <c r="AG116" s="411"/>
      <c r="AH116" s="411"/>
      <c r="AI116" s="412"/>
      <c r="AJ116" s="412"/>
      <c r="AK116" s="412"/>
      <c r="AL116" s="412"/>
      <c r="AM116" s="412"/>
      <c r="AN116" s="412"/>
      <c r="AO116" s="412"/>
      <c r="AP116" s="412"/>
      <c r="AQ116" s="412"/>
      <c r="AR116" s="412"/>
      <c r="AS116" s="412"/>
      <c r="AT116" s="412"/>
      <c r="AU116" s="412"/>
      <c r="AV116" s="412"/>
      <c r="AW116" s="412"/>
      <c r="AX116" s="412"/>
      <c r="AY116" s="449"/>
    </row>
    <row r="117" spans="2:51" x14ac:dyDescent="0.2">
      <c r="B117" s="411"/>
      <c r="C117" s="411"/>
      <c r="D117" s="741"/>
      <c r="E117" s="411"/>
      <c r="F117" s="411"/>
      <c r="G117" s="411"/>
      <c r="H117" s="411"/>
      <c r="I117" s="411"/>
      <c r="J117" s="411"/>
      <c r="K117" s="411"/>
      <c r="L117" s="411"/>
      <c r="M117" s="411"/>
      <c r="N117" s="411"/>
      <c r="O117" s="411"/>
      <c r="P117" s="411"/>
      <c r="Q117" s="411"/>
      <c r="R117" s="411"/>
      <c r="S117" s="411"/>
      <c r="T117" s="298"/>
      <c r="U117" s="402"/>
      <c r="V117" s="402"/>
      <c r="W117" s="402"/>
      <c r="X117" s="402"/>
      <c r="Y117" s="402"/>
      <c r="Z117" s="402"/>
      <c r="AA117" s="402"/>
      <c r="AB117" s="402"/>
      <c r="AC117" s="402"/>
      <c r="AD117" s="402"/>
      <c r="AE117" s="296"/>
      <c r="AF117" s="296"/>
      <c r="AG117" s="411"/>
      <c r="AH117" s="411"/>
      <c r="AI117" s="412"/>
      <c r="AJ117" s="412"/>
      <c r="AK117" s="412"/>
      <c r="AL117" s="412"/>
      <c r="AM117" s="412"/>
      <c r="AN117" s="412"/>
      <c r="AO117" s="412"/>
      <c r="AP117" s="412"/>
      <c r="AQ117" s="412"/>
      <c r="AR117" s="412"/>
      <c r="AS117" s="412"/>
      <c r="AT117" s="412"/>
      <c r="AU117" s="412"/>
      <c r="AV117" s="412"/>
      <c r="AW117" s="412"/>
      <c r="AX117" s="412"/>
      <c r="AY117" s="449"/>
    </row>
    <row r="118" spans="2:51" x14ac:dyDescent="0.2">
      <c r="B118" s="411"/>
      <c r="C118" s="411"/>
      <c r="D118" s="741"/>
      <c r="E118" s="411"/>
      <c r="F118" s="411"/>
      <c r="G118" s="411"/>
      <c r="H118" s="411"/>
      <c r="I118" s="411"/>
      <c r="J118" s="411"/>
      <c r="K118" s="411"/>
      <c r="L118" s="411"/>
      <c r="M118" s="411"/>
      <c r="N118" s="411"/>
      <c r="O118" s="411"/>
      <c r="P118" s="411"/>
      <c r="Q118" s="411"/>
      <c r="R118" s="411"/>
      <c r="S118" s="411"/>
      <c r="T118" s="298"/>
      <c r="U118" s="402"/>
      <c r="V118" s="402"/>
      <c r="W118" s="402"/>
      <c r="X118" s="402"/>
      <c r="Y118" s="402"/>
      <c r="Z118" s="402"/>
      <c r="AA118" s="402"/>
      <c r="AB118" s="402"/>
      <c r="AC118" s="402"/>
      <c r="AD118" s="402"/>
      <c r="AE118" s="296"/>
      <c r="AF118" s="296"/>
      <c r="AG118" s="411"/>
      <c r="AH118" s="411"/>
      <c r="AI118" s="412"/>
      <c r="AJ118" s="412"/>
      <c r="AK118" s="412"/>
      <c r="AL118" s="412"/>
      <c r="AM118" s="412"/>
      <c r="AN118" s="412"/>
      <c r="AO118" s="412"/>
      <c r="AP118" s="412"/>
      <c r="AQ118" s="412"/>
      <c r="AR118" s="412"/>
      <c r="AS118" s="412"/>
      <c r="AT118" s="412"/>
      <c r="AU118" s="412"/>
      <c r="AV118" s="412"/>
      <c r="AW118" s="412"/>
      <c r="AX118" s="412"/>
      <c r="AY118" s="449"/>
    </row>
    <row r="119" spans="2:51" x14ac:dyDescent="0.2">
      <c r="B119" s="411"/>
      <c r="C119" s="411"/>
      <c r="D119" s="741"/>
      <c r="E119" s="411"/>
      <c r="F119" s="411"/>
      <c r="G119" s="411"/>
      <c r="H119" s="411"/>
      <c r="I119" s="411"/>
      <c r="J119" s="411"/>
      <c r="K119" s="411"/>
      <c r="L119" s="411"/>
      <c r="M119" s="411"/>
      <c r="N119" s="411"/>
      <c r="O119" s="411"/>
      <c r="P119" s="411"/>
      <c r="Q119" s="411"/>
      <c r="R119" s="411"/>
      <c r="S119" s="411"/>
      <c r="T119" s="298"/>
      <c r="U119" s="402"/>
      <c r="V119" s="402"/>
      <c r="W119" s="402"/>
      <c r="X119" s="402"/>
      <c r="Y119" s="402"/>
      <c r="Z119" s="402"/>
      <c r="AA119" s="402"/>
      <c r="AB119" s="402"/>
      <c r="AC119" s="402"/>
      <c r="AD119" s="402"/>
      <c r="AE119" s="296"/>
      <c r="AF119" s="296"/>
      <c r="AG119" s="411"/>
      <c r="AH119" s="411"/>
      <c r="AI119" s="412"/>
      <c r="AJ119" s="412"/>
      <c r="AK119" s="412"/>
      <c r="AL119" s="412"/>
      <c r="AM119" s="412"/>
      <c r="AN119" s="412"/>
      <c r="AO119" s="412"/>
      <c r="AP119" s="412"/>
      <c r="AQ119" s="412"/>
      <c r="AR119" s="412"/>
      <c r="AS119" s="412"/>
      <c r="AT119" s="412"/>
      <c r="AU119" s="412"/>
      <c r="AV119" s="412"/>
      <c r="AW119" s="412"/>
      <c r="AX119" s="412"/>
      <c r="AY119" s="449"/>
    </row>
    <row r="120" spans="2:51" x14ac:dyDescent="0.2">
      <c r="B120" s="411"/>
      <c r="C120" s="411"/>
      <c r="D120" s="741"/>
      <c r="E120" s="411"/>
      <c r="F120" s="411"/>
      <c r="G120" s="411"/>
      <c r="H120" s="411"/>
      <c r="I120" s="411"/>
      <c r="J120" s="411"/>
      <c r="K120" s="411"/>
      <c r="L120" s="411"/>
      <c r="M120" s="411"/>
      <c r="N120" s="411"/>
      <c r="O120" s="411"/>
      <c r="P120" s="411"/>
      <c r="Q120" s="411"/>
      <c r="R120" s="411"/>
      <c r="S120" s="411"/>
      <c r="T120" s="298"/>
      <c r="U120" s="402"/>
      <c r="V120" s="402"/>
      <c r="W120" s="402"/>
      <c r="X120" s="402"/>
      <c r="Y120" s="402"/>
      <c r="Z120" s="402"/>
      <c r="AA120" s="402"/>
      <c r="AB120" s="402"/>
      <c r="AC120" s="402"/>
      <c r="AD120" s="402"/>
      <c r="AE120" s="296"/>
      <c r="AF120" s="296"/>
      <c r="AG120" s="411"/>
      <c r="AH120" s="411"/>
      <c r="AI120" s="412"/>
      <c r="AJ120" s="412"/>
      <c r="AK120" s="412"/>
      <c r="AL120" s="412"/>
      <c r="AM120" s="412"/>
      <c r="AN120" s="412"/>
      <c r="AO120" s="412"/>
      <c r="AP120" s="412"/>
      <c r="AQ120" s="412"/>
      <c r="AR120" s="412"/>
      <c r="AS120" s="412"/>
      <c r="AT120" s="412"/>
      <c r="AU120" s="412"/>
      <c r="AV120" s="412"/>
      <c r="AW120" s="412"/>
      <c r="AX120" s="412"/>
      <c r="AY120" s="449"/>
    </row>
    <row r="121" spans="2:51" x14ac:dyDescent="0.2">
      <c r="B121" s="411"/>
      <c r="C121" s="411"/>
      <c r="D121" s="741"/>
      <c r="E121" s="411"/>
      <c r="F121" s="411"/>
      <c r="G121" s="411"/>
      <c r="H121" s="411"/>
      <c r="I121" s="411"/>
      <c r="J121" s="411"/>
      <c r="K121" s="411"/>
      <c r="L121" s="411"/>
      <c r="M121" s="411"/>
      <c r="N121" s="411"/>
      <c r="O121" s="411"/>
      <c r="P121" s="411"/>
      <c r="Q121" s="411"/>
      <c r="R121" s="411"/>
      <c r="S121" s="411"/>
      <c r="T121" s="298"/>
      <c r="U121" s="402"/>
      <c r="V121" s="402"/>
      <c r="W121" s="402"/>
      <c r="X121" s="402"/>
      <c r="Y121" s="402"/>
      <c r="Z121" s="402"/>
      <c r="AA121" s="402"/>
      <c r="AB121" s="402"/>
      <c r="AC121" s="402"/>
      <c r="AD121" s="402"/>
      <c r="AE121" s="296"/>
      <c r="AF121" s="296"/>
      <c r="AG121" s="411"/>
      <c r="AH121" s="411"/>
      <c r="AI121" s="412"/>
      <c r="AJ121" s="412"/>
      <c r="AK121" s="412"/>
      <c r="AL121" s="412"/>
      <c r="AM121" s="412"/>
      <c r="AN121" s="412"/>
      <c r="AO121" s="412"/>
      <c r="AP121" s="412"/>
      <c r="AQ121" s="412"/>
      <c r="AR121" s="412"/>
      <c r="AS121" s="412"/>
      <c r="AT121" s="412"/>
      <c r="AU121" s="412"/>
      <c r="AV121" s="412"/>
      <c r="AW121" s="412"/>
      <c r="AX121" s="412"/>
      <c r="AY121" s="449"/>
    </row>
    <row r="122" spans="2:51" x14ac:dyDescent="0.2">
      <c r="B122" s="411"/>
      <c r="C122" s="411"/>
      <c r="D122" s="741"/>
      <c r="E122" s="411"/>
      <c r="F122" s="411"/>
      <c r="G122" s="411"/>
      <c r="H122" s="411"/>
      <c r="I122" s="411"/>
      <c r="J122" s="411"/>
      <c r="K122" s="411"/>
      <c r="L122" s="411"/>
      <c r="M122" s="411"/>
      <c r="N122" s="411"/>
      <c r="O122" s="411"/>
      <c r="P122" s="411"/>
      <c r="Q122" s="411"/>
      <c r="R122" s="411"/>
      <c r="S122" s="411"/>
      <c r="T122" s="298"/>
      <c r="U122" s="402"/>
      <c r="V122" s="402"/>
      <c r="W122" s="402"/>
      <c r="X122" s="402"/>
      <c r="Y122" s="402"/>
      <c r="Z122" s="402"/>
      <c r="AA122" s="402"/>
      <c r="AB122" s="402"/>
      <c r="AC122" s="402"/>
      <c r="AD122" s="402"/>
      <c r="AE122" s="296"/>
      <c r="AF122" s="296"/>
      <c r="AG122" s="411"/>
      <c r="AH122" s="411"/>
      <c r="AI122" s="412"/>
      <c r="AJ122" s="412"/>
      <c r="AK122" s="412"/>
      <c r="AL122" s="412"/>
      <c r="AM122" s="412"/>
      <c r="AN122" s="412"/>
      <c r="AO122" s="412"/>
      <c r="AP122" s="412"/>
      <c r="AQ122" s="412"/>
      <c r="AR122" s="412"/>
      <c r="AS122" s="412"/>
      <c r="AT122" s="412"/>
      <c r="AU122" s="412"/>
      <c r="AV122" s="412"/>
      <c r="AW122" s="412"/>
      <c r="AX122" s="412"/>
      <c r="AY122" s="449"/>
    </row>
    <row r="123" spans="2:51" x14ac:dyDescent="0.2">
      <c r="B123" s="411"/>
      <c r="C123" s="411"/>
      <c r="D123" s="741"/>
      <c r="E123" s="411"/>
      <c r="F123" s="411"/>
      <c r="G123" s="411"/>
      <c r="H123" s="411"/>
      <c r="I123" s="411"/>
      <c r="J123" s="411"/>
      <c r="K123" s="411"/>
      <c r="L123" s="411"/>
      <c r="M123" s="411"/>
      <c r="N123" s="411"/>
      <c r="O123" s="411"/>
      <c r="P123" s="411"/>
      <c r="Q123" s="411"/>
      <c r="R123" s="411"/>
      <c r="S123" s="411"/>
      <c r="T123" s="298"/>
      <c r="U123" s="402"/>
      <c r="V123" s="402"/>
      <c r="W123" s="402"/>
      <c r="X123" s="402"/>
      <c r="Y123" s="402"/>
      <c r="Z123" s="402"/>
      <c r="AA123" s="402"/>
      <c r="AB123" s="402"/>
      <c r="AC123" s="402"/>
      <c r="AD123" s="402"/>
      <c r="AE123" s="296"/>
      <c r="AF123" s="296"/>
      <c r="AG123" s="411"/>
      <c r="AH123" s="411"/>
      <c r="AI123" s="412"/>
      <c r="AJ123" s="412"/>
      <c r="AK123" s="412"/>
      <c r="AL123" s="412"/>
      <c r="AM123" s="412"/>
      <c r="AN123" s="412"/>
      <c r="AO123" s="412"/>
      <c r="AP123" s="412"/>
      <c r="AQ123" s="412"/>
      <c r="AR123" s="412"/>
      <c r="AS123" s="412"/>
      <c r="AT123" s="412"/>
      <c r="AU123" s="412"/>
      <c r="AV123" s="412"/>
      <c r="AW123" s="412"/>
      <c r="AX123" s="412"/>
      <c r="AY123" s="449"/>
    </row>
    <row r="124" spans="2:51" x14ac:dyDescent="0.2">
      <c r="B124" s="411"/>
      <c r="C124" s="411"/>
      <c r="D124" s="741"/>
      <c r="E124" s="411"/>
      <c r="F124" s="411"/>
      <c r="G124" s="411"/>
      <c r="H124" s="411"/>
      <c r="I124" s="411"/>
      <c r="J124" s="411"/>
      <c r="K124" s="411"/>
      <c r="L124" s="411"/>
      <c r="M124" s="411"/>
      <c r="N124" s="411"/>
      <c r="O124" s="411"/>
      <c r="P124" s="411"/>
      <c r="Q124" s="411"/>
      <c r="R124" s="411"/>
      <c r="S124" s="411"/>
      <c r="T124" s="298"/>
      <c r="U124" s="402"/>
      <c r="V124" s="402"/>
      <c r="W124" s="402"/>
      <c r="X124" s="402"/>
      <c r="Y124" s="402"/>
      <c r="Z124" s="402"/>
      <c r="AA124" s="402"/>
      <c r="AB124" s="402"/>
      <c r="AC124" s="402"/>
      <c r="AD124" s="402"/>
      <c r="AE124" s="296"/>
      <c r="AF124" s="296"/>
      <c r="AG124" s="411"/>
      <c r="AH124" s="411"/>
      <c r="AI124" s="412"/>
      <c r="AJ124" s="412"/>
      <c r="AK124" s="412"/>
      <c r="AL124" s="412"/>
      <c r="AM124" s="412"/>
      <c r="AN124" s="412"/>
      <c r="AO124" s="412"/>
      <c r="AP124" s="412"/>
      <c r="AQ124" s="412"/>
      <c r="AR124" s="412"/>
      <c r="AS124" s="412"/>
      <c r="AT124" s="412"/>
      <c r="AU124" s="412"/>
      <c r="AV124" s="412"/>
      <c r="AW124" s="412"/>
      <c r="AX124" s="412"/>
      <c r="AY124" s="449"/>
    </row>
    <row r="125" spans="2:51" x14ac:dyDescent="0.2">
      <c r="B125" s="411"/>
      <c r="C125" s="411"/>
      <c r="D125" s="741"/>
      <c r="E125" s="411"/>
      <c r="F125" s="411"/>
      <c r="G125" s="411"/>
      <c r="H125" s="411"/>
      <c r="I125" s="411"/>
      <c r="J125" s="411"/>
      <c r="K125" s="411"/>
      <c r="L125" s="411"/>
      <c r="M125" s="411"/>
      <c r="N125" s="411"/>
      <c r="O125" s="411"/>
      <c r="P125" s="411"/>
      <c r="Q125" s="411"/>
      <c r="R125" s="411"/>
      <c r="S125" s="411"/>
      <c r="T125" s="298"/>
      <c r="U125" s="402"/>
      <c r="V125" s="402"/>
      <c r="W125" s="402"/>
      <c r="X125" s="402"/>
      <c r="Y125" s="402"/>
      <c r="Z125" s="402"/>
      <c r="AA125" s="402"/>
      <c r="AB125" s="402"/>
      <c r="AC125" s="402"/>
      <c r="AD125" s="402"/>
      <c r="AE125" s="296"/>
      <c r="AF125" s="296"/>
      <c r="AG125" s="411"/>
      <c r="AH125" s="411"/>
      <c r="AI125" s="412"/>
      <c r="AJ125" s="412"/>
      <c r="AK125" s="412"/>
      <c r="AL125" s="412"/>
      <c r="AM125" s="412"/>
      <c r="AN125" s="412"/>
      <c r="AO125" s="412"/>
      <c r="AP125" s="412"/>
      <c r="AQ125" s="412"/>
      <c r="AR125" s="412"/>
      <c r="AS125" s="412"/>
      <c r="AT125" s="412"/>
      <c r="AU125" s="412"/>
      <c r="AV125" s="412"/>
      <c r="AW125" s="412"/>
      <c r="AX125" s="412"/>
      <c r="AY125" s="449"/>
    </row>
    <row r="126" spans="2:51" x14ac:dyDescent="0.2">
      <c r="B126" s="411"/>
      <c r="C126" s="411"/>
      <c r="D126" s="741"/>
      <c r="E126" s="411"/>
      <c r="F126" s="411"/>
      <c r="G126" s="411"/>
      <c r="H126" s="411"/>
      <c r="I126" s="411"/>
      <c r="J126" s="411"/>
      <c r="K126" s="411"/>
      <c r="L126" s="411"/>
      <c r="M126" s="411"/>
      <c r="N126" s="411"/>
      <c r="O126" s="411"/>
      <c r="P126" s="411"/>
      <c r="Q126" s="411"/>
      <c r="R126" s="411"/>
      <c r="S126" s="411"/>
      <c r="T126" s="298"/>
      <c r="U126" s="402"/>
      <c r="V126" s="402"/>
      <c r="W126" s="402"/>
      <c r="X126" s="402"/>
      <c r="Y126" s="402"/>
      <c r="Z126" s="402"/>
      <c r="AA126" s="402"/>
      <c r="AB126" s="402"/>
      <c r="AC126" s="402"/>
      <c r="AD126" s="402"/>
      <c r="AE126" s="296"/>
      <c r="AF126" s="296"/>
      <c r="AG126" s="411"/>
      <c r="AH126" s="411"/>
      <c r="AI126" s="412"/>
      <c r="AJ126" s="412"/>
      <c r="AK126" s="412"/>
      <c r="AL126" s="412"/>
      <c r="AM126" s="412"/>
      <c r="AN126" s="412"/>
      <c r="AO126" s="412"/>
      <c r="AP126" s="412"/>
      <c r="AQ126" s="412"/>
      <c r="AR126" s="412"/>
      <c r="AS126" s="412"/>
      <c r="AT126" s="412"/>
      <c r="AU126" s="412"/>
      <c r="AV126" s="412"/>
      <c r="AW126" s="412"/>
      <c r="AX126" s="412"/>
      <c r="AY126" s="449"/>
    </row>
    <row r="127" spans="2:51" x14ac:dyDescent="0.2">
      <c r="B127" s="411"/>
      <c r="C127" s="411"/>
      <c r="D127" s="741"/>
      <c r="E127" s="411"/>
      <c r="F127" s="411"/>
      <c r="G127" s="411"/>
      <c r="H127" s="411"/>
      <c r="I127" s="411"/>
      <c r="J127" s="411"/>
      <c r="K127" s="411"/>
      <c r="L127" s="411"/>
      <c r="M127" s="411"/>
      <c r="N127" s="411"/>
      <c r="O127" s="411"/>
      <c r="P127" s="411"/>
      <c r="Q127" s="411"/>
      <c r="R127" s="411"/>
      <c r="S127" s="411"/>
      <c r="T127" s="298"/>
      <c r="U127" s="402"/>
      <c r="V127" s="402"/>
      <c r="W127" s="402"/>
      <c r="X127" s="402"/>
      <c r="Y127" s="402"/>
      <c r="Z127" s="402"/>
      <c r="AA127" s="402"/>
      <c r="AB127" s="402"/>
      <c r="AC127" s="402"/>
      <c r="AD127" s="402"/>
      <c r="AE127" s="296"/>
      <c r="AF127" s="296"/>
      <c r="AG127" s="411"/>
      <c r="AH127" s="411"/>
      <c r="AI127" s="412"/>
      <c r="AJ127" s="412"/>
      <c r="AK127" s="412"/>
      <c r="AL127" s="412"/>
      <c r="AM127" s="412"/>
      <c r="AN127" s="412"/>
      <c r="AO127" s="412"/>
      <c r="AP127" s="412"/>
      <c r="AQ127" s="412"/>
      <c r="AR127" s="412"/>
      <c r="AS127" s="412"/>
      <c r="AT127" s="412"/>
      <c r="AU127" s="412"/>
      <c r="AV127" s="412"/>
      <c r="AW127" s="412"/>
      <c r="AX127" s="412"/>
      <c r="AY127" s="449"/>
    </row>
    <row r="128" spans="2:51" x14ac:dyDescent="0.2">
      <c r="B128" s="411"/>
      <c r="C128" s="411"/>
      <c r="D128" s="741"/>
      <c r="E128" s="411"/>
      <c r="F128" s="411"/>
      <c r="G128" s="411"/>
      <c r="H128" s="411"/>
      <c r="I128" s="411"/>
      <c r="J128" s="411"/>
      <c r="K128" s="411"/>
      <c r="L128" s="411"/>
      <c r="M128" s="411"/>
      <c r="N128" s="411"/>
      <c r="O128" s="411"/>
      <c r="P128" s="411"/>
      <c r="Q128" s="411"/>
      <c r="R128" s="411"/>
      <c r="S128" s="411"/>
      <c r="T128" s="298"/>
      <c r="U128" s="402"/>
      <c r="V128" s="402"/>
      <c r="W128" s="402"/>
      <c r="X128" s="402"/>
      <c r="Y128" s="402"/>
      <c r="Z128" s="402"/>
      <c r="AA128" s="402"/>
      <c r="AB128" s="402"/>
      <c r="AC128" s="402"/>
      <c r="AD128" s="402"/>
      <c r="AE128" s="296"/>
      <c r="AF128" s="296"/>
      <c r="AG128" s="411"/>
      <c r="AH128" s="411"/>
      <c r="AI128" s="412"/>
      <c r="AJ128" s="412"/>
      <c r="AK128" s="412"/>
      <c r="AL128" s="412"/>
      <c r="AM128" s="412"/>
      <c r="AN128" s="412"/>
      <c r="AO128" s="412"/>
      <c r="AP128" s="412"/>
      <c r="AQ128" s="412"/>
      <c r="AR128" s="412"/>
      <c r="AS128" s="412"/>
      <c r="AT128" s="412"/>
      <c r="AU128" s="412"/>
      <c r="AV128" s="412"/>
      <c r="AW128" s="412"/>
      <c r="AX128" s="412"/>
      <c r="AY128" s="449"/>
    </row>
    <row r="129" spans="2:51" x14ac:dyDescent="0.2">
      <c r="B129" s="411"/>
      <c r="C129" s="411"/>
      <c r="D129" s="741"/>
      <c r="E129" s="411"/>
      <c r="F129" s="411"/>
      <c r="G129" s="411"/>
      <c r="H129" s="411"/>
      <c r="I129" s="411"/>
      <c r="J129" s="411"/>
      <c r="K129" s="411"/>
      <c r="L129" s="411"/>
      <c r="M129" s="411"/>
      <c r="N129" s="411"/>
      <c r="O129" s="411"/>
      <c r="P129" s="411"/>
      <c r="Q129" s="411"/>
      <c r="R129" s="411"/>
      <c r="S129" s="411"/>
      <c r="T129" s="298"/>
      <c r="U129" s="402"/>
      <c r="V129" s="402"/>
      <c r="W129" s="402"/>
      <c r="X129" s="402"/>
      <c r="Y129" s="402"/>
      <c r="Z129" s="402"/>
      <c r="AA129" s="402"/>
      <c r="AB129" s="402"/>
      <c r="AC129" s="402"/>
      <c r="AD129" s="402"/>
      <c r="AE129" s="296"/>
      <c r="AF129" s="296"/>
      <c r="AG129" s="411"/>
      <c r="AH129" s="411"/>
      <c r="AI129" s="412"/>
      <c r="AJ129" s="412"/>
      <c r="AK129" s="412"/>
      <c r="AL129" s="412"/>
      <c r="AM129" s="412"/>
      <c r="AN129" s="412"/>
      <c r="AO129" s="412"/>
      <c r="AP129" s="412"/>
      <c r="AQ129" s="412"/>
      <c r="AR129" s="412"/>
      <c r="AS129" s="412"/>
      <c r="AT129" s="412"/>
      <c r="AU129" s="412"/>
      <c r="AV129" s="412"/>
      <c r="AW129" s="412"/>
      <c r="AX129" s="412"/>
      <c r="AY129" s="449"/>
    </row>
    <row r="130" spans="2:51" x14ac:dyDescent="0.2">
      <c r="B130" s="411"/>
      <c r="C130" s="411"/>
      <c r="D130" s="741"/>
      <c r="E130" s="411"/>
      <c r="F130" s="411"/>
      <c r="G130" s="411"/>
      <c r="H130" s="411"/>
      <c r="I130" s="411"/>
      <c r="J130" s="411"/>
      <c r="K130" s="411"/>
      <c r="L130" s="411"/>
      <c r="M130" s="411"/>
      <c r="N130" s="411"/>
      <c r="O130" s="411"/>
      <c r="P130" s="411"/>
      <c r="Q130" s="411"/>
      <c r="R130" s="411"/>
      <c r="S130" s="411"/>
      <c r="T130" s="298"/>
      <c r="U130" s="402"/>
      <c r="V130" s="402"/>
      <c r="W130" s="402"/>
      <c r="X130" s="402"/>
      <c r="Y130" s="402"/>
      <c r="Z130" s="402"/>
      <c r="AA130" s="402"/>
      <c r="AB130" s="402"/>
      <c r="AC130" s="402"/>
      <c r="AD130" s="402"/>
      <c r="AE130" s="296"/>
      <c r="AF130" s="296"/>
      <c r="AG130" s="411"/>
      <c r="AH130" s="411"/>
      <c r="AI130" s="412"/>
      <c r="AJ130" s="412"/>
      <c r="AK130" s="412"/>
      <c r="AL130" s="412"/>
      <c r="AM130" s="412"/>
      <c r="AN130" s="412"/>
      <c r="AO130" s="412"/>
      <c r="AP130" s="412"/>
      <c r="AQ130" s="412"/>
      <c r="AR130" s="412"/>
      <c r="AS130" s="412"/>
      <c r="AT130" s="412"/>
      <c r="AU130" s="412"/>
      <c r="AV130" s="412"/>
      <c r="AW130" s="412"/>
      <c r="AX130" s="412"/>
      <c r="AY130" s="449"/>
    </row>
    <row r="131" spans="2:51" x14ac:dyDescent="0.2">
      <c r="B131" s="411"/>
      <c r="C131" s="411"/>
      <c r="D131" s="741"/>
      <c r="E131" s="411"/>
      <c r="F131" s="411"/>
      <c r="G131" s="411"/>
      <c r="H131" s="411"/>
      <c r="I131" s="411"/>
      <c r="J131" s="411"/>
      <c r="K131" s="411"/>
      <c r="L131" s="411"/>
      <c r="M131" s="411"/>
      <c r="N131" s="411"/>
      <c r="O131" s="411"/>
      <c r="P131" s="411"/>
      <c r="Q131" s="411"/>
      <c r="R131" s="411"/>
      <c r="S131" s="411"/>
      <c r="T131" s="298"/>
      <c r="U131" s="402"/>
      <c r="V131" s="402"/>
      <c r="W131" s="402"/>
      <c r="X131" s="402"/>
      <c r="Y131" s="402"/>
      <c r="Z131" s="402"/>
      <c r="AA131" s="402"/>
      <c r="AB131" s="402"/>
      <c r="AC131" s="402"/>
      <c r="AD131" s="402"/>
      <c r="AE131" s="296"/>
      <c r="AF131" s="296"/>
      <c r="AG131" s="411"/>
      <c r="AH131" s="411"/>
      <c r="AI131" s="412"/>
      <c r="AJ131" s="412"/>
      <c r="AK131" s="412"/>
      <c r="AL131" s="412"/>
      <c r="AM131" s="412"/>
      <c r="AN131" s="412"/>
      <c r="AO131" s="412"/>
      <c r="AP131" s="412"/>
      <c r="AQ131" s="412"/>
      <c r="AR131" s="412"/>
      <c r="AS131" s="412"/>
      <c r="AT131" s="412"/>
      <c r="AU131" s="412"/>
      <c r="AV131" s="412"/>
      <c r="AW131" s="412"/>
      <c r="AX131" s="412"/>
      <c r="AY131" s="449"/>
    </row>
    <row r="132" spans="2:51" x14ac:dyDescent="0.2">
      <c r="B132" s="411"/>
      <c r="C132" s="411"/>
      <c r="D132" s="741"/>
      <c r="E132" s="411"/>
      <c r="F132" s="411"/>
      <c r="G132" s="411"/>
      <c r="H132" s="411"/>
      <c r="I132" s="411"/>
      <c r="J132" s="411"/>
      <c r="K132" s="411"/>
      <c r="L132" s="411"/>
      <c r="M132" s="411"/>
      <c r="N132" s="411"/>
      <c r="O132" s="411"/>
      <c r="P132" s="411"/>
      <c r="Q132" s="411"/>
      <c r="R132" s="411"/>
      <c r="S132" s="411"/>
      <c r="T132" s="298"/>
      <c r="U132" s="402"/>
      <c r="V132" s="402"/>
      <c r="W132" s="402"/>
      <c r="X132" s="402"/>
      <c r="Y132" s="402"/>
      <c r="Z132" s="402"/>
      <c r="AA132" s="402"/>
      <c r="AB132" s="402"/>
      <c r="AC132" s="402"/>
      <c r="AD132" s="402"/>
      <c r="AE132" s="296"/>
      <c r="AF132" s="296"/>
      <c r="AG132" s="411"/>
      <c r="AH132" s="411"/>
      <c r="AI132" s="412"/>
      <c r="AJ132" s="412"/>
      <c r="AK132" s="412"/>
      <c r="AL132" s="412"/>
      <c r="AM132" s="412"/>
      <c r="AN132" s="412"/>
      <c r="AO132" s="412"/>
      <c r="AP132" s="412"/>
      <c r="AQ132" s="412"/>
      <c r="AR132" s="412"/>
      <c r="AS132" s="412"/>
      <c r="AT132" s="412"/>
      <c r="AU132" s="412"/>
      <c r="AV132" s="412"/>
      <c r="AW132" s="412"/>
      <c r="AX132" s="412"/>
      <c r="AY132" s="449"/>
    </row>
    <row r="133" spans="2:51" x14ac:dyDescent="0.2">
      <c r="B133" s="411"/>
      <c r="C133" s="411"/>
      <c r="D133" s="741"/>
      <c r="E133" s="411"/>
      <c r="F133" s="411"/>
      <c r="G133" s="411"/>
      <c r="H133" s="411"/>
      <c r="I133" s="411"/>
      <c r="J133" s="411"/>
      <c r="K133" s="411"/>
      <c r="L133" s="411"/>
      <c r="M133" s="411"/>
      <c r="N133" s="411"/>
      <c r="O133" s="411"/>
      <c r="P133" s="411"/>
      <c r="Q133" s="411"/>
      <c r="R133" s="411"/>
      <c r="S133" s="411"/>
      <c r="T133" s="298"/>
      <c r="U133" s="402"/>
      <c r="V133" s="402"/>
      <c r="W133" s="402"/>
      <c r="X133" s="402"/>
      <c r="Y133" s="402"/>
      <c r="Z133" s="402"/>
      <c r="AA133" s="402"/>
      <c r="AB133" s="402"/>
      <c r="AC133" s="402"/>
      <c r="AD133" s="402"/>
      <c r="AE133" s="296"/>
      <c r="AF133" s="296"/>
      <c r="AG133" s="411"/>
      <c r="AH133" s="411"/>
      <c r="AI133" s="412"/>
      <c r="AJ133" s="412"/>
      <c r="AK133" s="412"/>
      <c r="AL133" s="412"/>
      <c r="AM133" s="412"/>
      <c r="AN133" s="412"/>
      <c r="AO133" s="412"/>
      <c r="AP133" s="412"/>
      <c r="AQ133" s="412"/>
      <c r="AR133" s="412"/>
      <c r="AS133" s="412"/>
      <c r="AT133" s="412"/>
      <c r="AU133" s="412"/>
      <c r="AV133" s="412"/>
      <c r="AW133" s="412"/>
      <c r="AX133" s="412"/>
      <c r="AY133" s="449"/>
    </row>
    <row r="134" spans="2:51" x14ac:dyDescent="0.2">
      <c r="B134" s="411"/>
      <c r="C134" s="411"/>
      <c r="D134" s="741"/>
      <c r="E134" s="411"/>
      <c r="F134" s="411"/>
      <c r="G134" s="411"/>
      <c r="H134" s="411"/>
      <c r="I134" s="411"/>
      <c r="J134" s="411"/>
      <c r="K134" s="411"/>
      <c r="L134" s="411"/>
      <c r="M134" s="411"/>
      <c r="N134" s="411"/>
      <c r="O134" s="411"/>
      <c r="P134" s="411"/>
      <c r="Q134" s="411"/>
      <c r="R134" s="411"/>
      <c r="S134" s="411"/>
      <c r="T134" s="298"/>
      <c r="U134" s="402"/>
      <c r="V134" s="402"/>
      <c r="W134" s="402"/>
      <c r="X134" s="402"/>
      <c r="Y134" s="402"/>
      <c r="Z134" s="402"/>
      <c r="AA134" s="402"/>
      <c r="AB134" s="402"/>
      <c r="AC134" s="402"/>
      <c r="AD134" s="402"/>
      <c r="AE134" s="296"/>
      <c r="AF134" s="296"/>
      <c r="AG134" s="411"/>
      <c r="AH134" s="411"/>
      <c r="AI134" s="412"/>
      <c r="AJ134" s="412"/>
      <c r="AK134" s="412"/>
      <c r="AL134" s="412"/>
      <c r="AM134" s="412"/>
      <c r="AN134" s="412"/>
      <c r="AO134" s="412"/>
      <c r="AP134" s="412"/>
      <c r="AQ134" s="412"/>
      <c r="AR134" s="412"/>
      <c r="AS134" s="412"/>
      <c r="AT134" s="412"/>
      <c r="AU134" s="412"/>
      <c r="AV134" s="412"/>
      <c r="AW134" s="412"/>
      <c r="AX134" s="412"/>
      <c r="AY134" s="449"/>
    </row>
    <row r="135" spans="2:51" x14ac:dyDescent="0.2">
      <c r="B135" s="411"/>
      <c r="C135" s="411"/>
      <c r="D135" s="741"/>
      <c r="E135" s="411"/>
      <c r="F135" s="411"/>
      <c r="G135" s="411"/>
      <c r="H135" s="411"/>
      <c r="I135" s="411"/>
      <c r="J135" s="411"/>
      <c r="K135" s="411"/>
      <c r="L135" s="411"/>
      <c r="M135" s="411"/>
      <c r="N135" s="411"/>
      <c r="O135" s="411"/>
      <c r="P135" s="411"/>
      <c r="Q135" s="411"/>
      <c r="R135" s="411"/>
      <c r="S135" s="411"/>
      <c r="T135" s="298"/>
      <c r="U135" s="402"/>
      <c r="V135" s="402"/>
      <c r="W135" s="402"/>
      <c r="X135" s="402"/>
      <c r="Y135" s="402"/>
      <c r="Z135" s="402"/>
      <c r="AA135" s="402"/>
      <c r="AB135" s="402"/>
      <c r="AC135" s="402"/>
      <c r="AD135" s="402"/>
      <c r="AE135" s="296"/>
      <c r="AF135" s="296"/>
      <c r="AG135" s="411"/>
      <c r="AH135" s="411"/>
      <c r="AI135" s="412"/>
      <c r="AJ135" s="412"/>
      <c r="AK135" s="412"/>
      <c r="AL135" s="412"/>
      <c r="AM135" s="412"/>
      <c r="AN135" s="412"/>
      <c r="AO135" s="412"/>
      <c r="AP135" s="412"/>
      <c r="AQ135" s="412"/>
      <c r="AR135" s="412"/>
      <c r="AS135" s="412"/>
      <c r="AT135" s="412"/>
      <c r="AU135" s="412"/>
      <c r="AV135" s="412"/>
      <c r="AW135" s="412"/>
      <c r="AX135" s="412"/>
      <c r="AY135" s="449"/>
    </row>
    <row r="136" spans="2:51" x14ac:dyDescent="0.2">
      <c r="B136" s="411"/>
      <c r="C136" s="411"/>
      <c r="D136" s="741"/>
      <c r="E136" s="411"/>
      <c r="F136" s="411"/>
      <c r="G136" s="411"/>
      <c r="H136" s="411"/>
      <c r="I136" s="411"/>
      <c r="J136" s="411"/>
      <c r="K136" s="411"/>
      <c r="L136" s="411"/>
      <c r="M136" s="411"/>
      <c r="N136" s="411"/>
      <c r="O136" s="411"/>
      <c r="P136" s="411"/>
      <c r="Q136" s="411"/>
      <c r="R136" s="411"/>
      <c r="S136" s="411"/>
      <c r="T136" s="298"/>
      <c r="U136" s="402"/>
      <c r="V136" s="402"/>
      <c r="W136" s="402"/>
      <c r="X136" s="402"/>
      <c r="Y136" s="402"/>
      <c r="Z136" s="402"/>
      <c r="AA136" s="402"/>
      <c r="AB136" s="402"/>
      <c r="AC136" s="402"/>
      <c r="AD136" s="402"/>
      <c r="AE136" s="296"/>
      <c r="AF136" s="296"/>
      <c r="AG136" s="411"/>
      <c r="AH136" s="411"/>
      <c r="AI136" s="412"/>
      <c r="AJ136" s="412"/>
      <c r="AK136" s="412"/>
      <c r="AL136" s="412"/>
      <c r="AM136" s="412"/>
      <c r="AN136" s="412"/>
      <c r="AO136" s="412"/>
      <c r="AP136" s="412"/>
      <c r="AQ136" s="412"/>
      <c r="AR136" s="412"/>
      <c r="AS136" s="412"/>
      <c r="AT136" s="412"/>
      <c r="AU136" s="412"/>
      <c r="AV136" s="412"/>
      <c r="AW136" s="412"/>
      <c r="AX136" s="412"/>
      <c r="AY136" s="449"/>
    </row>
    <row r="137" spans="2:51" x14ac:dyDescent="0.2">
      <c r="B137" s="411"/>
      <c r="C137" s="411"/>
      <c r="D137" s="741"/>
      <c r="E137" s="411"/>
      <c r="F137" s="411"/>
      <c r="G137" s="411"/>
      <c r="H137" s="411"/>
      <c r="I137" s="411"/>
      <c r="J137" s="411"/>
      <c r="K137" s="411"/>
      <c r="L137" s="411"/>
      <c r="M137" s="411"/>
      <c r="N137" s="411"/>
      <c r="O137" s="411"/>
      <c r="P137" s="411"/>
      <c r="Q137" s="411"/>
      <c r="R137" s="411"/>
      <c r="S137" s="411"/>
      <c r="T137" s="298"/>
      <c r="U137" s="402"/>
      <c r="V137" s="402"/>
      <c r="W137" s="402"/>
      <c r="X137" s="402"/>
      <c r="Y137" s="402"/>
      <c r="Z137" s="402"/>
      <c r="AA137" s="402"/>
      <c r="AB137" s="402"/>
      <c r="AC137" s="402"/>
      <c r="AD137" s="402"/>
      <c r="AE137" s="296"/>
      <c r="AF137" s="296"/>
      <c r="AG137" s="411"/>
      <c r="AH137" s="411"/>
      <c r="AI137" s="412"/>
      <c r="AJ137" s="412"/>
      <c r="AK137" s="412"/>
      <c r="AL137" s="412"/>
      <c r="AM137" s="412"/>
      <c r="AN137" s="412"/>
      <c r="AO137" s="412"/>
      <c r="AP137" s="412"/>
      <c r="AQ137" s="412"/>
      <c r="AR137" s="412"/>
      <c r="AS137" s="412"/>
      <c r="AT137" s="412"/>
      <c r="AU137" s="412"/>
      <c r="AV137" s="412"/>
      <c r="AW137" s="412"/>
      <c r="AX137" s="412"/>
      <c r="AY137" s="449"/>
    </row>
    <row r="138" spans="2:51" x14ac:dyDescent="0.2">
      <c r="B138" s="411"/>
      <c r="C138" s="411"/>
      <c r="D138" s="741"/>
      <c r="E138" s="411"/>
      <c r="F138" s="411"/>
      <c r="G138" s="411"/>
      <c r="H138" s="411"/>
      <c r="I138" s="411"/>
      <c r="J138" s="411"/>
      <c r="K138" s="411"/>
      <c r="L138" s="411"/>
      <c r="M138" s="411"/>
      <c r="N138" s="411"/>
      <c r="O138" s="411"/>
      <c r="P138" s="411"/>
      <c r="Q138" s="411"/>
      <c r="R138" s="411"/>
      <c r="S138" s="411"/>
      <c r="T138" s="298"/>
      <c r="U138" s="402"/>
      <c r="V138" s="402"/>
      <c r="W138" s="402"/>
      <c r="X138" s="402"/>
      <c r="Y138" s="402"/>
      <c r="Z138" s="402"/>
      <c r="AA138" s="402"/>
      <c r="AB138" s="402"/>
      <c r="AC138" s="402"/>
      <c r="AD138" s="402"/>
      <c r="AE138" s="296"/>
      <c r="AF138" s="296"/>
      <c r="AG138" s="411"/>
      <c r="AH138" s="411"/>
      <c r="AI138" s="412"/>
      <c r="AJ138" s="412"/>
      <c r="AK138" s="412"/>
      <c r="AL138" s="412"/>
      <c r="AM138" s="412"/>
      <c r="AN138" s="412"/>
      <c r="AO138" s="412"/>
      <c r="AP138" s="412"/>
      <c r="AQ138" s="412"/>
      <c r="AR138" s="412"/>
      <c r="AS138" s="412"/>
      <c r="AT138" s="412"/>
      <c r="AU138" s="412"/>
      <c r="AV138" s="412"/>
      <c r="AW138" s="412"/>
      <c r="AX138" s="412"/>
      <c r="AY138" s="449"/>
    </row>
    <row r="139" spans="2:51" x14ac:dyDescent="0.2">
      <c r="B139" s="411"/>
      <c r="C139" s="411"/>
      <c r="D139" s="741"/>
      <c r="E139" s="411"/>
      <c r="F139" s="411"/>
      <c r="G139" s="411"/>
      <c r="H139" s="411"/>
      <c r="I139" s="411"/>
      <c r="J139" s="411"/>
      <c r="K139" s="411"/>
      <c r="L139" s="411"/>
      <c r="M139" s="411"/>
      <c r="N139" s="411"/>
      <c r="O139" s="411"/>
      <c r="P139" s="411"/>
      <c r="Q139" s="411"/>
      <c r="R139" s="411"/>
      <c r="S139" s="411"/>
      <c r="T139" s="298"/>
      <c r="U139" s="402"/>
      <c r="V139" s="402"/>
      <c r="W139" s="402"/>
      <c r="X139" s="402"/>
      <c r="Y139" s="402"/>
      <c r="Z139" s="402"/>
      <c r="AA139" s="402"/>
      <c r="AB139" s="402"/>
      <c r="AC139" s="402"/>
      <c r="AD139" s="402"/>
      <c r="AE139" s="296"/>
      <c r="AF139" s="296"/>
      <c r="AG139" s="411"/>
      <c r="AH139" s="411"/>
      <c r="AI139" s="412"/>
      <c r="AJ139" s="412"/>
      <c r="AK139" s="412"/>
      <c r="AL139" s="412"/>
      <c r="AM139" s="412"/>
      <c r="AN139" s="412"/>
      <c r="AO139" s="412"/>
      <c r="AP139" s="412"/>
      <c r="AQ139" s="412"/>
      <c r="AR139" s="412"/>
      <c r="AS139" s="412"/>
      <c r="AT139" s="412"/>
      <c r="AU139" s="412"/>
      <c r="AV139" s="412"/>
      <c r="AW139" s="412"/>
      <c r="AX139" s="412"/>
      <c r="AY139" s="449"/>
    </row>
    <row r="140" spans="2:51" x14ac:dyDescent="0.2">
      <c r="B140" s="411"/>
      <c r="C140" s="411"/>
      <c r="D140" s="741"/>
      <c r="E140" s="411"/>
      <c r="F140" s="411"/>
      <c r="G140" s="411"/>
      <c r="H140" s="411"/>
      <c r="I140" s="411"/>
      <c r="J140" s="411"/>
      <c r="K140" s="411"/>
      <c r="L140" s="411"/>
      <c r="M140" s="411"/>
      <c r="N140" s="411"/>
      <c r="O140" s="411"/>
      <c r="P140" s="411"/>
      <c r="Q140" s="411"/>
      <c r="R140" s="411"/>
      <c r="S140" s="411"/>
      <c r="T140" s="298"/>
      <c r="U140" s="402"/>
      <c r="V140" s="402"/>
      <c r="W140" s="402"/>
      <c r="X140" s="402"/>
      <c r="Y140" s="402"/>
      <c r="Z140" s="402"/>
      <c r="AA140" s="402"/>
      <c r="AB140" s="402"/>
      <c r="AC140" s="402"/>
      <c r="AD140" s="402"/>
      <c r="AE140" s="296"/>
      <c r="AF140" s="296"/>
      <c r="AG140" s="411"/>
      <c r="AH140" s="411"/>
      <c r="AI140" s="412"/>
      <c r="AJ140" s="412"/>
      <c r="AK140" s="412"/>
      <c r="AL140" s="412"/>
      <c r="AM140" s="412"/>
      <c r="AN140" s="412"/>
      <c r="AO140" s="412"/>
      <c r="AP140" s="412"/>
      <c r="AQ140" s="412"/>
      <c r="AR140" s="412"/>
      <c r="AS140" s="412"/>
      <c r="AT140" s="412"/>
      <c r="AU140" s="412"/>
      <c r="AV140" s="412"/>
      <c r="AW140" s="412"/>
      <c r="AX140" s="412"/>
      <c r="AY140" s="449"/>
    </row>
    <row r="141" spans="2:51" x14ac:dyDescent="0.2">
      <c r="B141" s="411"/>
      <c r="C141" s="411"/>
      <c r="D141" s="741"/>
      <c r="E141" s="411"/>
      <c r="F141" s="411"/>
      <c r="G141" s="411"/>
      <c r="H141" s="411"/>
      <c r="I141" s="411"/>
      <c r="J141" s="411"/>
      <c r="K141" s="411"/>
      <c r="L141" s="411"/>
      <c r="M141" s="411"/>
      <c r="N141" s="411"/>
      <c r="O141" s="411"/>
      <c r="P141" s="411"/>
      <c r="Q141" s="411"/>
      <c r="R141" s="411"/>
      <c r="S141" s="411"/>
      <c r="T141" s="298"/>
      <c r="U141" s="402"/>
      <c r="V141" s="402"/>
      <c r="W141" s="402"/>
      <c r="X141" s="402"/>
      <c r="Y141" s="402"/>
      <c r="Z141" s="402"/>
      <c r="AA141" s="402"/>
      <c r="AB141" s="402"/>
      <c r="AC141" s="402"/>
      <c r="AD141" s="402"/>
      <c r="AE141" s="296"/>
      <c r="AF141" s="296"/>
      <c r="AG141" s="411"/>
      <c r="AH141" s="411"/>
      <c r="AI141" s="412"/>
      <c r="AJ141" s="412"/>
      <c r="AK141" s="412"/>
      <c r="AL141" s="412"/>
      <c r="AM141" s="412"/>
      <c r="AN141" s="412"/>
      <c r="AO141" s="412"/>
      <c r="AP141" s="412"/>
      <c r="AQ141" s="412"/>
      <c r="AR141" s="412"/>
      <c r="AS141" s="412"/>
      <c r="AT141" s="412"/>
      <c r="AU141" s="412"/>
      <c r="AV141" s="412"/>
      <c r="AW141" s="412"/>
      <c r="AX141" s="412"/>
      <c r="AY141" s="449"/>
    </row>
    <row r="142" spans="2:51" x14ac:dyDescent="0.2">
      <c r="B142" s="411"/>
      <c r="C142" s="411"/>
      <c r="D142" s="741"/>
      <c r="E142" s="411"/>
      <c r="F142" s="411"/>
      <c r="G142" s="411"/>
      <c r="H142" s="411"/>
      <c r="I142" s="411"/>
      <c r="J142" s="411"/>
      <c r="K142" s="411"/>
      <c r="L142" s="411"/>
      <c r="M142" s="411"/>
      <c r="N142" s="411"/>
      <c r="O142" s="411"/>
      <c r="P142" s="411"/>
      <c r="Q142" s="411"/>
      <c r="R142" s="411"/>
      <c r="S142" s="411"/>
      <c r="T142" s="298"/>
      <c r="U142" s="402"/>
      <c r="V142" s="402"/>
      <c r="W142" s="402"/>
      <c r="X142" s="402"/>
      <c r="Y142" s="402"/>
      <c r="Z142" s="402"/>
      <c r="AA142" s="402"/>
      <c r="AB142" s="402"/>
      <c r="AC142" s="402"/>
      <c r="AD142" s="402"/>
      <c r="AE142" s="296"/>
      <c r="AF142" s="296"/>
      <c r="AG142" s="411"/>
      <c r="AH142" s="411"/>
      <c r="AI142" s="412"/>
      <c r="AJ142" s="412"/>
      <c r="AK142" s="412"/>
      <c r="AL142" s="412"/>
      <c r="AM142" s="412"/>
      <c r="AN142" s="412"/>
      <c r="AO142" s="412"/>
      <c r="AP142" s="412"/>
      <c r="AQ142" s="412"/>
      <c r="AR142" s="412"/>
      <c r="AS142" s="412"/>
      <c r="AT142" s="412"/>
      <c r="AU142" s="412"/>
      <c r="AV142" s="412"/>
      <c r="AW142" s="412"/>
      <c r="AX142" s="412"/>
      <c r="AY142" s="449"/>
    </row>
    <row r="143" spans="2:51" x14ac:dyDescent="0.2">
      <c r="B143" s="411"/>
      <c r="C143" s="411"/>
      <c r="D143" s="741"/>
      <c r="E143" s="411"/>
      <c r="F143" s="411"/>
      <c r="G143" s="411"/>
      <c r="H143" s="411"/>
      <c r="I143" s="411"/>
      <c r="J143" s="411"/>
      <c r="K143" s="411"/>
      <c r="L143" s="411"/>
      <c r="M143" s="411"/>
      <c r="N143" s="411"/>
      <c r="O143" s="411"/>
      <c r="P143" s="411"/>
      <c r="Q143" s="411"/>
      <c r="R143" s="411"/>
      <c r="S143" s="411"/>
      <c r="T143" s="298"/>
      <c r="U143" s="402"/>
      <c r="V143" s="402"/>
      <c r="W143" s="402"/>
      <c r="X143" s="402"/>
      <c r="Y143" s="402"/>
      <c r="Z143" s="402"/>
      <c r="AA143" s="402"/>
      <c r="AB143" s="402"/>
      <c r="AC143" s="402"/>
      <c r="AD143" s="402"/>
      <c r="AE143" s="296"/>
      <c r="AF143" s="296"/>
      <c r="AG143" s="411"/>
      <c r="AH143" s="411"/>
      <c r="AI143" s="412"/>
      <c r="AJ143" s="412"/>
      <c r="AK143" s="412"/>
      <c r="AL143" s="412"/>
      <c r="AM143" s="412"/>
      <c r="AN143" s="412"/>
      <c r="AO143" s="412"/>
      <c r="AP143" s="412"/>
      <c r="AQ143" s="412"/>
      <c r="AR143" s="412"/>
      <c r="AS143" s="412"/>
      <c r="AT143" s="412"/>
      <c r="AU143" s="412"/>
      <c r="AV143" s="412"/>
      <c r="AW143" s="412"/>
      <c r="AX143" s="412"/>
      <c r="AY143" s="449"/>
    </row>
    <row r="144" spans="2:51" x14ac:dyDescent="0.2">
      <c r="B144" s="411"/>
      <c r="C144" s="411"/>
      <c r="D144" s="741"/>
      <c r="E144" s="411"/>
      <c r="F144" s="411"/>
      <c r="G144" s="411"/>
      <c r="H144" s="411"/>
      <c r="I144" s="411"/>
      <c r="J144" s="411"/>
      <c r="K144" s="411"/>
      <c r="L144" s="411"/>
      <c r="M144" s="411"/>
      <c r="N144" s="411"/>
      <c r="O144" s="411"/>
      <c r="P144" s="411"/>
      <c r="Q144" s="411"/>
      <c r="R144" s="411"/>
      <c r="S144" s="411"/>
      <c r="T144" s="298"/>
      <c r="U144" s="402"/>
      <c r="V144" s="402"/>
      <c r="W144" s="402"/>
      <c r="X144" s="402"/>
      <c r="Y144" s="402"/>
      <c r="Z144" s="402"/>
      <c r="AA144" s="402"/>
      <c r="AB144" s="402"/>
      <c r="AC144" s="402"/>
      <c r="AD144" s="402"/>
      <c r="AE144" s="296"/>
      <c r="AF144" s="296"/>
      <c r="AG144" s="411"/>
      <c r="AH144" s="411"/>
      <c r="AI144" s="412"/>
      <c r="AJ144" s="412"/>
      <c r="AK144" s="412"/>
      <c r="AL144" s="412"/>
      <c r="AM144" s="412"/>
      <c r="AN144" s="412"/>
      <c r="AO144" s="412"/>
      <c r="AP144" s="412"/>
      <c r="AQ144" s="412"/>
      <c r="AR144" s="412"/>
      <c r="AS144" s="412"/>
      <c r="AT144" s="412"/>
      <c r="AU144" s="412"/>
      <c r="AV144" s="412"/>
      <c r="AW144" s="412"/>
      <c r="AX144" s="412"/>
      <c r="AY144" s="449"/>
    </row>
    <row r="145" spans="2:51" x14ac:dyDescent="0.2">
      <c r="B145" s="411"/>
      <c r="C145" s="411"/>
      <c r="D145" s="741"/>
      <c r="E145" s="411"/>
      <c r="F145" s="411"/>
      <c r="G145" s="411"/>
      <c r="H145" s="411"/>
      <c r="I145" s="411"/>
      <c r="J145" s="411"/>
      <c r="K145" s="411"/>
      <c r="L145" s="411"/>
      <c r="M145" s="411"/>
      <c r="N145" s="411"/>
      <c r="O145" s="411"/>
      <c r="P145" s="411"/>
      <c r="Q145" s="411"/>
      <c r="R145" s="411"/>
      <c r="S145" s="411"/>
      <c r="T145" s="298"/>
      <c r="U145" s="402"/>
      <c r="V145" s="402"/>
      <c r="W145" s="402"/>
      <c r="X145" s="402"/>
      <c r="Y145" s="402"/>
      <c r="Z145" s="402"/>
      <c r="AA145" s="402"/>
      <c r="AB145" s="402"/>
      <c r="AC145" s="402"/>
      <c r="AD145" s="402"/>
      <c r="AE145" s="296"/>
      <c r="AF145" s="296"/>
      <c r="AG145" s="411"/>
      <c r="AH145" s="411"/>
      <c r="AI145" s="412"/>
      <c r="AJ145" s="412"/>
      <c r="AK145" s="412"/>
      <c r="AL145" s="412"/>
      <c r="AM145" s="412"/>
      <c r="AN145" s="412"/>
      <c r="AO145" s="412"/>
      <c r="AP145" s="412"/>
      <c r="AQ145" s="412"/>
      <c r="AR145" s="412"/>
      <c r="AS145" s="412"/>
      <c r="AT145" s="412"/>
      <c r="AU145" s="412"/>
      <c r="AV145" s="412"/>
      <c r="AW145" s="412"/>
      <c r="AX145" s="412"/>
      <c r="AY145" s="449"/>
    </row>
    <row r="146" spans="2:51" x14ac:dyDescent="0.2">
      <c r="B146" s="412"/>
      <c r="C146" s="412"/>
      <c r="D146" s="742"/>
      <c r="E146" s="412"/>
      <c r="F146" s="412"/>
      <c r="G146" s="412"/>
      <c r="H146" s="412"/>
      <c r="I146" s="412"/>
      <c r="J146" s="412"/>
      <c r="K146" s="412"/>
      <c r="L146" s="412"/>
      <c r="M146" s="412"/>
      <c r="N146" s="412"/>
      <c r="O146" s="412"/>
      <c r="P146" s="412"/>
      <c r="Q146" s="412"/>
      <c r="R146" s="412"/>
      <c r="S146" s="412"/>
      <c r="T146" s="445"/>
      <c r="U146" s="445"/>
      <c r="V146" s="445"/>
      <c r="W146" s="445"/>
      <c r="X146" s="445"/>
      <c r="Y146" s="445"/>
      <c r="Z146" s="445"/>
      <c r="AA146" s="445"/>
      <c r="AB146" s="445"/>
      <c r="AC146" s="445"/>
      <c r="AD146" s="445"/>
      <c r="AE146" s="412"/>
      <c r="AF146" s="412"/>
      <c r="AG146" s="412"/>
      <c r="AH146" s="412"/>
      <c r="AI146" s="412"/>
      <c r="AJ146" s="412"/>
      <c r="AK146" s="412"/>
      <c r="AL146" s="412"/>
      <c r="AM146" s="412"/>
      <c r="AN146" s="412"/>
      <c r="AO146" s="412"/>
      <c r="AP146" s="412"/>
      <c r="AQ146" s="412"/>
      <c r="AR146" s="412"/>
      <c r="AS146" s="412"/>
      <c r="AT146" s="412"/>
      <c r="AU146" s="412"/>
      <c r="AV146" s="412"/>
      <c r="AW146" s="412"/>
      <c r="AX146" s="412"/>
      <c r="AY146" s="449"/>
    </row>
    <row r="147" spans="2:51" x14ac:dyDescent="0.2">
      <c r="B147" s="412"/>
      <c r="C147" s="412"/>
      <c r="D147" s="742"/>
      <c r="E147" s="412"/>
      <c r="F147" s="412"/>
      <c r="G147" s="412"/>
      <c r="H147" s="412"/>
      <c r="I147" s="412"/>
      <c r="J147" s="412"/>
      <c r="K147" s="412"/>
      <c r="L147" s="412"/>
      <c r="M147" s="412"/>
      <c r="N147" s="412"/>
      <c r="O147" s="412"/>
      <c r="P147" s="412"/>
      <c r="Q147" s="412"/>
      <c r="R147" s="412"/>
      <c r="S147" s="412"/>
      <c r="T147" s="445"/>
      <c r="U147" s="445"/>
      <c r="V147" s="445"/>
      <c r="W147" s="445"/>
      <c r="X147" s="445"/>
      <c r="Y147" s="445"/>
      <c r="Z147" s="445"/>
      <c r="AA147" s="445"/>
      <c r="AB147" s="445"/>
      <c r="AC147" s="445"/>
      <c r="AD147" s="445"/>
      <c r="AE147" s="412"/>
      <c r="AF147" s="412"/>
      <c r="AG147" s="412"/>
      <c r="AH147" s="412"/>
      <c r="AI147" s="412"/>
      <c r="AJ147" s="412"/>
      <c r="AK147" s="412"/>
      <c r="AL147" s="412"/>
      <c r="AM147" s="412"/>
      <c r="AN147" s="412"/>
      <c r="AO147" s="412"/>
      <c r="AP147" s="412"/>
      <c r="AQ147" s="412"/>
      <c r="AR147" s="412"/>
      <c r="AS147" s="412"/>
      <c r="AT147" s="412"/>
      <c r="AU147" s="412"/>
      <c r="AV147" s="412"/>
      <c r="AW147" s="412"/>
      <c r="AX147" s="412"/>
      <c r="AY147" s="449"/>
    </row>
    <row r="148" spans="2:51" x14ac:dyDescent="0.2">
      <c r="B148" s="412"/>
      <c r="C148" s="412"/>
      <c r="D148" s="742"/>
      <c r="E148" s="412"/>
      <c r="F148" s="412"/>
      <c r="G148" s="412"/>
      <c r="H148" s="412"/>
      <c r="I148" s="412"/>
      <c r="J148" s="412"/>
      <c r="K148" s="412"/>
      <c r="L148" s="412"/>
      <c r="M148" s="412"/>
      <c r="N148" s="412"/>
      <c r="O148" s="412"/>
      <c r="P148" s="412"/>
      <c r="Q148" s="412"/>
      <c r="R148" s="412"/>
      <c r="S148" s="412"/>
      <c r="T148" s="445"/>
      <c r="U148" s="445"/>
      <c r="V148" s="445"/>
      <c r="W148" s="445"/>
      <c r="X148" s="445"/>
      <c r="Y148" s="445"/>
      <c r="Z148" s="445"/>
      <c r="AA148" s="445"/>
      <c r="AB148" s="445"/>
      <c r="AC148" s="445"/>
      <c r="AD148" s="445"/>
      <c r="AE148" s="412"/>
      <c r="AF148" s="412"/>
      <c r="AG148" s="412"/>
      <c r="AH148" s="412"/>
      <c r="AI148" s="412"/>
      <c r="AJ148" s="412"/>
      <c r="AK148" s="412"/>
      <c r="AL148" s="412"/>
      <c r="AM148" s="412"/>
      <c r="AN148" s="412"/>
      <c r="AO148" s="412"/>
      <c r="AP148" s="412"/>
      <c r="AQ148" s="412"/>
      <c r="AR148" s="412"/>
      <c r="AS148" s="412"/>
      <c r="AT148" s="412"/>
      <c r="AU148" s="412"/>
      <c r="AV148" s="412"/>
      <c r="AW148" s="412"/>
      <c r="AX148" s="412"/>
      <c r="AY148" s="449"/>
    </row>
    <row r="149" spans="2:51" x14ac:dyDescent="0.2">
      <c r="B149" s="412"/>
      <c r="C149" s="412"/>
      <c r="D149" s="742"/>
      <c r="E149" s="412"/>
      <c r="F149" s="412"/>
      <c r="G149" s="412"/>
      <c r="H149" s="412"/>
      <c r="I149" s="412"/>
      <c r="J149" s="412"/>
      <c r="K149" s="412"/>
      <c r="L149" s="412"/>
      <c r="M149" s="412"/>
      <c r="N149" s="412"/>
      <c r="O149" s="412"/>
      <c r="P149" s="412"/>
      <c r="Q149" s="412"/>
      <c r="R149" s="412"/>
      <c r="S149" s="412"/>
      <c r="T149" s="445"/>
      <c r="U149" s="445"/>
      <c r="V149" s="445"/>
      <c r="W149" s="445"/>
      <c r="X149" s="445"/>
      <c r="Y149" s="445"/>
      <c r="Z149" s="445"/>
      <c r="AA149" s="445"/>
      <c r="AB149" s="445"/>
      <c r="AC149" s="445"/>
      <c r="AD149" s="445"/>
      <c r="AE149" s="412"/>
      <c r="AF149" s="412"/>
      <c r="AG149" s="412"/>
      <c r="AH149" s="412"/>
      <c r="AI149" s="412"/>
      <c r="AJ149" s="412"/>
      <c r="AK149" s="412"/>
      <c r="AL149" s="412"/>
      <c r="AM149" s="412"/>
      <c r="AN149" s="412"/>
      <c r="AO149" s="412"/>
      <c r="AP149" s="412"/>
      <c r="AQ149" s="412"/>
      <c r="AR149" s="412"/>
      <c r="AS149" s="412"/>
      <c r="AT149" s="412"/>
      <c r="AU149" s="412"/>
      <c r="AV149" s="412"/>
      <c r="AW149" s="412"/>
      <c r="AX149" s="412"/>
      <c r="AY149" s="449"/>
    </row>
    <row r="150" spans="2:51" x14ac:dyDescent="0.2">
      <c r="B150" s="412"/>
      <c r="C150" s="412"/>
      <c r="D150" s="742"/>
      <c r="E150" s="412"/>
      <c r="F150" s="412"/>
      <c r="G150" s="412"/>
      <c r="H150" s="412"/>
      <c r="I150" s="412"/>
      <c r="J150" s="412"/>
      <c r="K150" s="412"/>
      <c r="L150" s="412"/>
      <c r="M150" s="412"/>
      <c r="N150" s="412"/>
      <c r="O150" s="412"/>
      <c r="P150" s="412"/>
      <c r="Q150" s="412"/>
      <c r="R150" s="412"/>
      <c r="S150" s="412"/>
      <c r="T150" s="445"/>
      <c r="U150" s="445"/>
      <c r="V150" s="445"/>
      <c r="W150" s="445"/>
      <c r="X150" s="445"/>
      <c r="Y150" s="445"/>
      <c r="Z150" s="445"/>
      <c r="AA150" s="445"/>
      <c r="AB150" s="445"/>
      <c r="AC150" s="445"/>
      <c r="AD150" s="445"/>
      <c r="AE150" s="412"/>
      <c r="AF150" s="412"/>
      <c r="AG150" s="412"/>
      <c r="AH150" s="412"/>
      <c r="AI150" s="412"/>
      <c r="AJ150" s="412"/>
      <c r="AK150" s="412"/>
      <c r="AL150" s="412"/>
      <c r="AM150" s="412"/>
      <c r="AN150" s="412"/>
      <c r="AO150" s="412"/>
      <c r="AP150" s="412"/>
      <c r="AQ150" s="412"/>
      <c r="AR150" s="412"/>
      <c r="AS150" s="412"/>
      <c r="AT150" s="412"/>
      <c r="AU150" s="412"/>
      <c r="AV150" s="412"/>
      <c r="AW150" s="412"/>
      <c r="AX150" s="412"/>
      <c r="AY150" s="449"/>
    </row>
    <row r="151" spans="2:51" x14ac:dyDescent="0.2">
      <c r="B151" s="412"/>
      <c r="C151" s="412"/>
      <c r="D151" s="742"/>
      <c r="E151" s="412"/>
      <c r="F151" s="412"/>
      <c r="G151" s="412"/>
      <c r="H151" s="412"/>
      <c r="I151" s="412"/>
      <c r="J151" s="412"/>
      <c r="K151" s="412"/>
      <c r="L151" s="412"/>
      <c r="M151" s="412"/>
      <c r="N151" s="412"/>
      <c r="O151" s="412"/>
      <c r="P151" s="412"/>
      <c r="Q151" s="412"/>
      <c r="R151" s="412"/>
      <c r="S151" s="412"/>
      <c r="T151" s="445"/>
      <c r="U151" s="445"/>
      <c r="V151" s="445"/>
      <c r="W151" s="445"/>
      <c r="X151" s="445"/>
      <c r="Y151" s="445"/>
      <c r="Z151" s="445"/>
      <c r="AA151" s="445"/>
      <c r="AB151" s="445"/>
      <c r="AC151" s="445"/>
      <c r="AD151" s="445"/>
      <c r="AE151" s="412"/>
      <c r="AF151" s="412"/>
      <c r="AG151" s="412"/>
      <c r="AH151" s="412"/>
      <c r="AI151" s="412"/>
      <c r="AJ151" s="412"/>
      <c r="AK151" s="412"/>
      <c r="AL151" s="412"/>
      <c r="AM151" s="412"/>
      <c r="AN151" s="412"/>
      <c r="AO151" s="412"/>
      <c r="AP151" s="412"/>
      <c r="AQ151" s="412"/>
      <c r="AR151" s="412"/>
      <c r="AS151" s="412"/>
      <c r="AT151" s="412"/>
      <c r="AU151" s="412"/>
      <c r="AV151" s="412"/>
      <c r="AW151" s="412"/>
      <c r="AX151" s="412"/>
      <c r="AY151" s="449"/>
    </row>
    <row r="152" spans="2:51" x14ac:dyDescent="0.2">
      <c r="B152" s="412"/>
      <c r="C152" s="412"/>
      <c r="D152" s="742"/>
      <c r="E152" s="412"/>
      <c r="F152" s="412"/>
      <c r="G152" s="412"/>
      <c r="H152" s="412"/>
      <c r="I152" s="412"/>
      <c r="J152" s="412"/>
      <c r="K152" s="412"/>
      <c r="L152" s="412"/>
      <c r="M152" s="412"/>
      <c r="N152" s="412"/>
      <c r="O152" s="412"/>
      <c r="P152" s="412"/>
      <c r="Q152" s="412"/>
      <c r="R152" s="412"/>
      <c r="S152" s="412"/>
      <c r="T152" s="445"/>
      <c r="U152" s="445"/>
      <c r="V152" s="445"/>
      <c r="W152" s="445"/>
      <c r="X152" s="445"/>
      <c r="Y152" s="445"/>
      <c r="Z152" s="445"/>
      <c r="AA152" s="445"/>
      <c r="AB152" s="445"/>
      <c r="AC152" s="445"/>
      <c r="AD152" s="445"/>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49"/>
    </row>
    <row r="153" spans="2:51" x14ac:dyDescent="0.2">
      <c r="B153" s="412"/>
      <c r="C153" s="412"/>
      <c r="D153" s="742"/>
      <c r="E153" s="412"/>
      <c r="F153" s="412"/>
      <c r="G153" s="412"/>
      <c r="H153" s="412"/>
      <c r="I153" s="412"/>
      <c r="J153" s="412"/>
      <c r="K153" s="412"/>
      <c r="L153" s="412"/>
      <c r="M153" s="412"/>
      <c r="N153" s="412"/>
      <c r="O153" s="412"/>
      <c r="P153" s="412"/>
      <c r="Q153" s="412"/>
      <c r="R153" s="412"/>
      <c r="S153" s="412"/>
      <c r="T153" s="445"/>
      <c r="U153" s="445"/>
      <c r="V153" s="445"/>
      <c r="W153" s="445"/>
      <c r="X153" s="445"/>
      <c r="Y153" s="445"/>
      <c r="Z153" s="445"/>
      <c r="AA153" s="445"/>
      <c r="AB153" s="445"/>
      <c r="AC153" s="445"/>
      <c r="AD153" s="445"/>
      <c r="AE153" s="412"/>
      <c r="AF153" s="412"/>
      <c r="AG153" s="412"/>
      <c r="AH153" s="412"/>
      <c r="AI153" s="412"/>
      <c r="AJ153" s="412"/>
      <c r="AK153" s="412"/>
      <c r="AL153" s="412"/>
      <c r="AM153" s="412"/>
      <c r="AN153" s="412"/>
      <c r="AO153" s="412"/>
      <c r="AP153" s="412"/>
      <c r="AQ153" s="412"/>
      <c r="AR153" s="412"/>
      <c r="AS153" s="412"/>
      <c r="AT153" s="412"/>
      <c r="AU153" s="412"/>
      <c r="AV153" s="412"/>
      <c r="AW153" s="412"/>
      <c r="AX153" s="412"/>
      <c r="AY153" s="449"/>
    </row>
    <row r="154" spans="2:51" x14ac:dyDescent="0.2">
      <c r="B154" s="412"/>
      <c r="C154" s="412"/>
      <c r="D154" s="742"/>
      <c r="E154" s="412"/>
      <c r="F154" s="412"/>
      <c r="G154" s="412"/>
      <c r="H154" s="412"/>
      <c r="I154" s="412"/>
      <c r="J154" s="412"/>
      <c r="K154" s="412"/>
      <c r="L154" s="412"/>
      <c r="M154" s="412"/>
      <c r="N154" s="412"/>
      <c r="O154" s="412"/>
      <c r="P154" s="412"/>
      <c r="Q154" s="412"/>
      <c r="R154" s="412"/>
      <c r="S154" s="412"/>
      <c r="T154" s="445"/>
      <c r="U154" s="445"/>
      <c r="V154" s="445"/>
      <c r="W154" s="445"/>
      <c r="X154" s="445"/>
      <c r="Y154" s="445"/>
      <c r="Z154" s="445"/>
      <c r="AA154" s="445"/>
      <c r="AB154" s="445"/>
      <c r="AC154" s="445"/>
      <c r="AD154" s="445"/>
      <c r="AE154" s="412"/>
      <c r="AF154" s="412"/>
      <c r="AG154" s="412"/>
      <c r="AH154" s="412"/>
      <c r="AI154" s="412"/>
      <c r="AJ154" s="412"/>
      <c r="AK154" s="412"/>
      <c r="AL154" s="412"/>
      <c r="AM154" s="412"/>
      <c r="AN154" s="412"/>
      <c r="AO154" s="412"/>
      <c r="AP154" s="412"/>
      <c r="AQ154" s="412"/>
      <c r="AR154" s="412"/>
      <c r="AS154" s="412"/>
      <c r="AT154" s="412"/>
      <c r="AU154" s="412"/>
      <c r="AV154" s="412"/>
      <c r="AW154" s="412"/>
      <c r="AX154" s="412"/>
      <c r="AY154" s="449"/>
    </row>
    <row r="155" spans="2:51" x14ac:dyDescent="0.2">
      <c r="B155" s="412"/>
      <c r="C155" s="412"/>
      <c r="D155" s="742"/>
      <c r="E155" s="412"/>
      <c r="F155" s="412"/>
      <c r="G155" s="412"/>
      <c r="H155" s="412"/>
      <c r="I155" s="412"/>
      <c r="J155" s="412"/>
      <c r="K155" s="412"/>
      <c r="L155" s="412"/>
      <c r="M155" s="412"/>
      <c r="N155" s="412"/>
      <c r="O155" s="412"/>
      <c r="P155" s="412"/>
      <c r="Q155" s="412"/>
      <c r="R155" s="412"/>
      <c r="S155" s="412"/>
      <c r="T155" s="445"/>
      <c r="U155" s="445"/>
      <c r="V155" s="445"/>
      <c r="W155" s="445"/>
      <c r="X155" s="445"/>
      <c r="Y155" s="445"/>
      <c r="Z155" s="445"/>
      <c r="AA155" s="445"/>
      <c r="AB155" s="445"/>
      <c r="AC155" s="445"/>
      <c r="AD155" s="445"/>
      <c r="AE155" s="412"/>
      <c r="AF155" s="412"/>
      <c r="AG155" s="412"/>
      <c r="AH155" s="412"/>
      <c r="AI155" s="412"/>
      <c r="AJ155" s="412"/>
      <c r="AK155" s="412"/>
      <c r="AL155" s="412"/>
      <c r="AM155" s="412"/>
      <c r="AN155" s="412"/>
      <c r="AO155" s="412"/>
      <c r="AP155" s="412"/>
      <c r="AQ155" s="412"/>
      <c r="AR155" s="412"/>
      <c r="AS155" s="412"/>
      <c r="AT155" s="412"/>
      <c r="AU155" s="412"/>
      <c r="AV155" s="412"/>
      <c r="AW155" s="412"/>
      <c r="AX155" s="412"/>
      <c r="AY155" s="449"/>
    </row>
    <row r="156" spans="2:51" x14ac:dyDescent="0.2">
      <c r="B156" s="412"/>
      <c r="C156" s="412"/>
      <c r="D156" s="742"/>
      <c r="E156" s="412"/>
      <c r="F156" s="412"/>
      <c r="G156" s="412"/>
      <c r="H156" s="412"/>
      <c r="I156" s="412"/>
      <c r="J156" s="412"/>
      <c r="K156" s="412"/>
      <c r="L156" s="412"/>
      <c r="M156" s="412"/>
      <c r="N156" s="412"/>
      <c r="O156" s="412"/>
      <c r="P156" s="412"/>
      <c r="Q156" s="412"/>
      <c r="R156" s="412"/>
      <c r="S156" s="412"/>
      <c r="T156" s="445"/>
      <c r="U156" s="445"/>
      <c r="V156" s="445"/>
      <c r="W156" s="445"/>
      <c r="X156" s="445"/>
      <c r="Y156" s="445"/>
      <c r="Z156" s="445"/>
      <c r="AA156" s="445"/>
      <c r="AB156" s="445"/>
      <c r="AC156" s="445"/>
      <c r="AD156" s="445"/>
      <c r="AE156" s="412"/>
      <c r="AF156" s="412"/>
      <c r="AG156" s="412"/>
      <c r="AH156" s="412"/>
      <c r="AI156" s="412"/>
      <c r="AJ156" s="412"/>
      <c r="AK156" s="412"/>
      <c r="AL156" s="412"/>
      <c r="AM156" s="412"/>
      <c r="AN156" s="412"/>
      <c r="AO156" s="412"/>
      <c r="AP156" s="412"/>
      <c r="AQ156" s="412"/>
      <c r="AR156" s="412"/>
      <c r="AS156" s="412"/>
      <c r="AT156" s="412"/>
      <c r="AU156" s="412"/>
      <c r="AV156" s="412"/>
      <c r="AW156" s="412"/>
      <c r="AX156" s="412"/>
      <c r="AY156" s="449"/>
    </row>
    <row r="157" spans="2:51" x14ac:dyDescent="0.2">
      <c r="B157" s="412"/>
      <c r="C157" s="412"/>
      <c r="D157" s="742"/>
      <c r="E157" s="412"/>
      <c r="F157" s="412"/>
      <c r="G157" s="412"/>
      <c r="H157" s="412"/>
      <c r="I157" s="412"/>
      <c r="J157" s="412"/>
      <c r="K157" s="412"/>
      <c r="L157" s="412"/>
      <c r="M157" s="412"/>
      <c r="N157" s="412"/>
      <c r="O157" s="412"/>
      <c r="P157" s="412"/>
      <c r="Q157" s="412"/>
      <c r="R157" s="412"/>
      <c r="S157" s="412"/>
      <c r="T157" s="445"/>
      <c r="U157" s="445"/>
      <c r="V157" s="445"/>
      <c r="W157" s="445"/>
      <c r="X157" s="445"/>
      <c r="Y157" s="445"/>
      <c r="Z157" s="445"/>
      <c r="AA157" s="445"/>
      <c r="AB157" s="445"/>
      <c r="AC157" s="445"/>
      <c r="AD157" s="445"/>
      <c r="AE157" s="412"/>
      <c r="AF157" s="412"/>
      <c r="AG157" s="412"/>
      <c r="AH157" s="412"/>
      <c r="AI157" s="412"/>
      <c r="AJ157" s="412"/>
      <c r="AK157" s="412"/>
      <c r="AL157" s="412"/>
      <c r="AM157" s="412"/>
      <c r="AN157" s="412"/>
      <c r="AO157" s="412"/>
      <c r="AP157" s="412"/>
      <c r="AQ157" s="412"/>
      <c r="AR157" s="412"/>
      <c r="AS157" s="412"/>
      <c r="AT157" s="412"/>
      <c r="AU157" s="412"/>
      <c r="AV157" s="412"/>
      <c r="AW157" s="412"/>
      <c r="AX157" s="412"/>
      <c r="AY157" s="449"/>
    </row>
    <row r="158" spans="2:51" x14ac:dyDescent="0.2">
      <c r="B158" s="412"/>
      <c r="C158" s="412"/>
      <c r="D158" s="742"/>
      <c r="E158" s="412"/>
      <c r="F158" s="412"/>
      <c r="G158" s="412"/>
      <c r="H158" s="412"/>
      <c r="I158" s="412"/>
      <c r="J158" s="412"/>
      <c r="K158" s="412"/>
      <c r="L158" s="412"/>
      <c r="M158" s="412"/>
      <c r="N158" s="412"/>
      <c r="O158" s="412"/>
      <c r="P158" s="412"/>
      <c r="Q158" s="412"/>
      <c r="R158" s="412"/>
      <c r="S158" s="412"/>
      <c r="T158" s="445"/>
      <c r="U158" s="445"/>
      <c r="V158" s="445"/>
      <c r="W158" s="445"/>
      <c r="X158" s="445"/>
      <c r="Y158" s="445"/>
      <c r="Z158" s="445"/>
      <c r="AA158" s="445"/>
      <c r="AB158" s="445"/>
      <c r="AC158" s="445"/>
      <c r="AD158" s="445"/>
      <c r="AE158" s="412"/>
      <c r="AF158" s="412"/>
      <c r="AG158" s="412"/>
      <c r="AH158" s="412"/>
      <c r="AI158" s="412"/>
      <c r="AJ158" s="412"/>
      <c r="AK158" s="412"/>
      <c r="AL158" s="412"/>
      <c r="AM158" s="412"/>
      <c r="AN158" s="412"/>
      <c r="AO158" s="412"/>
      <c r="AP158" s="412"/>
      <c r="AQ158" s="412"/>
      <c r="AR158" s="412"/>
      <c r="AS158" s="412"/>
      <c r="AT158" s="412"/>
      <c r="AU158" s="412"/>
      <c r="AV158" s="412"/>
      <c r="AW158" s="412"/>
      <c r="AX158" s="412"/>
      <c r="AY158" s="449"/>
    </row>
    <row r="159" spans="2:51" x14ac:dyDescent="0.2">
      <c r="B159" s="412"/>
      <c r="C159" s="412"/>
      <c r="D159" s="742"/>
      <c r="E159" s="412"/>
      <c r="F159" s="412"/>
      <c r="G159" s="412"/>
      <c r="H159" s="412"/>
      <c r="I159" s="412"/>
      <c r="J159" s="412"/>
      <c r="K159" s="412"/>
      <c r="L159" s="412"/>
      <c r="M159" s="412"/>
      <c r="N159" s="412"/>
      <c r="O159" s="412"/>
      <c r="P159" s="412"/>
      <c r="Q159" s="412"/>
      <c r="R159" s="412"/>
      <c r="S159" s="412"/>
      <c r="T159" s="445"/>
      <c r="U159" s="445"/>
      <c r="V159" s="445"/>
      <c r="W159" s="445"/>
      <c r="X159" s="445"/>
      <c r="Y159" s="445"/>
      <c r="Z159" s="445"/>
      <c r="AA159" s="445"/>
      <c r="AB159" s="445"/>
      <c r="AC159" s="445"/>
      <c r="AD159" s="445"/>
      <c r="AE159" s="412"/>
      <c r="AF159" s="412"/>
      <c r="AG159" s="412"/>
      <c r="AH159" s="412"/>
      <c r="AI159" s="412"/>
      <c r="AJ159" s="412"/>
      <c r="AK159" s="412"/>
      <c r="AL159" s="412"/>
      <c r="AM159" s="412"/>
      <c r="AN159" s="412"/>
      <c r="AO159" s="412"/>
      <c r="AP159" s="412"/>
      <c r="AQ159" s="412"/>
      <c r="AR159" s="412"/>
      <c r="AS159" s="412"/>
      <c r="AT159" s="412"/>
      <c r="AU159" s="412"/>
      <c r="AV159" s="412"/>
      <c r="AW159" s="412"/>
      <c r="AX159" s="412"/>
      <c r="AY159" s="449"/>
    </row>
    <row r="160" spans="2:51" x14ac:dyDescent="0.2">
      <c r="B160" s="412"/>
      <c r="C160" s="412"/>
      <c r="D160" s="742"/>
      <c r="E160" s="412"/>
      <c r="F160" s="412"/>
      <c r="G160" s="412"/>
      <c r="H160" s="412"/>
      <c r="I160" s="412"/>
      <c r="J160" s="412"/>
      <c r="K160" s="412"/>
      <c r="L160" s="412"/>
      <c r="M160" s="412"/>
      <c r="N160" s="412"/>
      <c r="O160" s="412"/>
      <c r="P160" s="412"/>
      <c r="Q160" s="412"/>
      <c r="R160" s="412"/>
      <c r="S160" s="412"/>
      <c r="T160" s="445"/>
      <c r="U160" s="445"/>
      <c r="V160" s="445"/>
      <c r="W160" s="445"/>
      <c r="X160" s="445"/>
      <c r="Y160" s="445"/>
      <c r="Z160" s="445"/>
      <c r="AA160" s="445"/>
      <c r="AB160" s="445"/>
      <c r="AC160" s="445"/>
      <c r="AD160" s="445"/>
      <c r="AE160" s="412"/>
      <c r="AF160" s="412"/>
      <c r="AG160" s="412"/>
      <c r="AH160" s="412"/>
      <c r="AI160" s="412"/>
      <c r="AJ160" s="412"/>
      <c r="AK160" s="412"/>
      <c r="AL160" s="412"/>
      <c r="AM160" s="412"/>
      <c r="AN160" s="412"/>
      <c r="AO160" s="412"/>
      <c r="AP160" s="412"/>
      <c r="AQ160" s="412"/>
      <c r="AR160" s="412"/>
      <c r="AS160" s="412"/>
      <c r="AT160" s="412"/>
      <c r="AU160" s="412"/>
      <c r="AV160" s="412"/>
      <c r="AW160" s="412"/>
      <c r="AX160" s="412"/>
      <c r="AY160" s="449"/>
    </row>
    <row r="161" spans="2:51" x14ac:dyDescent="0.2">
      <c r="B161" s="412"/>
      <c r="C161" s="412"/>
      <c r="D161" s="742"/>
      <c r="E161" s="412"/>
      <c r="F161" s="412"/>
      <c r="G161" s="412"/>
      <c r="H161" s="412"/>
      <c r="I161" s="412"/>
      <c r="J161" s="412"/>
      <c r="K161" s="412"/>
      <c r="L161" s="412"/>
      <c r="M161" s="412"/>
      <c r="N161" s="412"/>
      <c r="O161" s="412"/>
      <c r="P161" s="412"/>
      <c r="Q161" s="412"/>
      <c r="R161" s="412"/>
      <c r="S161" s="412"/>
      <c r="T161" s="445"/>
      <c r="U161" s="445"/>
      <c r="V161" s="445"/>
      <c r="W161" s="445"/>
      <c r="X161" s="445"/>
      <c r="Y161" s="445"/>
      <c r="Z161" s="445"/>
      <c r="AA161" s="445"/>
      <c r="AB161" s="445"/>
      <c r="AC161" s="445"/>
      <c r="AD161" s="445"/>
      <c r="AE161" s="412"/>
      <c r="AF161" s="412"/>
      <c r="AG161" s="412"/>
      <c r="AH161" s="412"/>
      <c r="AI161" s="412"/>
      <c r="AJ161" s="412"/>
      <c r="AK161" s="412"/>
      <c r="AL161" s="412"/>
      <c r="AM161" s="412"/>
      <c r="AN161" s="412"/>
      <c r="AO161" s="412"/>
      <c r="AP161" s="412"/>
      <c r="AQ161" s="412"/>
      <c r="AR161" s="412"/>
      <c r="AS161" s="412"/>
      <c r="AT161" s="412"/>
      <c r="AU161" s="412"/>
      <c r="AV161" s="412"/>
      <c r="AW161" s="412"/>
      <c r="AX161" s="412"/>
      <c r="AY161" s="449"/>
    </row>
    <row r="162" spans="2:51" x14ac:dyDescent="0.2">
      <c r="B162" s="412"/>
      <c r="C162" s="412"/>
      <c r="D162" s="742"/>
      <c r="E162" s="412"/>
      <c r="F162" s="412"/>
      <c r="G162" s="412"/>
      <c r="H162" s="412"/>
      <c r="I162" s="412"/>
      <c r="J162" s="412"/>
      <c r="K162" s="412"/>
      <c r="L162" s="412"/>
      <c r="M162" s="412"/>
      <c r="N162" s="412"/>
      <c r="O162" s="412"/>
      <c r="P162" s="412"/>
      <c r="Q162" s="412"/>
      <c r="R162" s="412"/>
      <c r="S162" s="412"/>
      <c r="T162" s="445"/>
      <c r="U162" s="445"/>
      <c r="V162" s="445"/>
      <c r="W162" s="445"/>
      <c r="X162" s="445"/>
      <c r="Y162" s="445"/>
      <c r="Z162" s="445"/>
      <c r="AA162" s="445"/>
      <c r="AB162" s="445"/>
      <c r="AC162" s="445"/>
      <c r="AD162" s="445"/>
      <c r="AE162" s="412"/>
      <c r="AF162" s="412"/>
      <c r="AG162" s="412"/>
      <c r="AH162" s="412"/>
      <c r="AI162" s="412"/>
      <c r="AJ162" s="412"/>
      <c r="AK162" s="412"/>
      <c r="AL162" s="412"/>
      <c r="AM162" s="412"/>
      <c r="AN162" s="412"/>
      <c r="AO162" s="412"/>
      <c r="AP162" s="412"/>
      <c r="AQ162" s="412"/>
      <c r="AR162" s="412"/>
      <c r="AS162" s="412"/>
      <c r="AT162" s="412"/>
      <c r="AU162" s="412"/>
      <c r="AV162" s="412"/>
      <c r="AW162" s="412"/>
      <c r="AX162" s="412"/>
      <c r="AY162" s="449"/>
    </row>
    <row r="163" spans="2:51" x14ac:dyDescent="0.2">
      <c r="B163" s="412"/>
      <c r="C163" s="412"/>
      <c r="D163" s="742"/>
      <c r="E163" s="412"/>
      <c r="F163" s="412"/>
      <c r="G163" s="412"/>
      <c r="H163" s="412"/>
      <c r="I163" s="412"/>
      <c r="J163" s="412"/>
      <c r="K163" s="412"/>
      <c r="L163" s="412"/>
      <c r="M163" s="412"/>
      <c r="N163" s="412"/>
      <c r="O163" s="412"/>
      <c r="P163" s="412"/>
      <c r="Q163" s="412"/>
      <c r="R163" s="412"/>
      <c r="S163" s="412"/>
      <c r="T163" s="445"/>
      <c r="U163" s="445"/>
      <c r="V163" s="445"/>
      <c r="W163" s="445"/>
      <c r="X163" s="445"/>
      <c r="Y163" s="445"/>
      <c r="Z163" s="445"/>
      <c r="AA163" s="445"/>
      <c r="AB163" s="445"/>
      <c r="AC163" s="445"/>
      <c r="AD163" s="445"/>
      <c r="AE163" s="412"/>
      <c r="AF163" s="412"/>
      <c r="AG163" s="412"/>
      <c r="AH163" s="412"/>
      <c r="AI163" s="412"/>
      <c r="AJ163" s="412"/>
      <c r="AK163" s="412"/>
      <c r="AL163" s="412"/>
      <c r="AM163" s="412"/>
      <c r="AN163" s="412"/>
      <c r="AO163" s="412"/>
      <c r="AP163" s="412"/>
      <c r="AQ163" s="412"/>
      <c r="AR163" s="412"/>
      <c r="AS163" s="412"/>
      <c r="AT163" s="412"/>
      <c r="AU163" s="412"/>
      <c r="AV163" s="412"/>
      <c r="AW163" s="412"/>
      <c r="AX163" s="412"/>
      <c r="AY163" s="449"/>
    </row>
    <row r="164" spans="2:51" x14ac:dyDescent="0.2">
      <c r="B164" s="412"/>
      <c r="C164" s="412"/>
      <c r="D164" s="742"/>
      <c r="E164" s="412"/>
      <c r="F164" s="412"/>
      <c r="G164" s="412"/>
      <c r="H164" s="412"/>
      <c r="I164" s="412"/>
      <c r="J164" s="412"/>
      <c r="K164" s="412"/>
      <c r="L164" s="412"/>
      <c r="M164" s="412"/>
      <c r="N164" s="412"/>
      <c r="O164" s="412"/>
      <c r="P164" s="412"/>
      <c r="Q164" s="412"/>
      <c r="R164" s="412"/>
      <c r="S164" s="412"/>
      <c r="T164" s="445"/>
      <c r="U164" s="445"/>
      <c r="V164" s="445"/>
      <c r="W164" s="445"/>
      <c r="X164" s="445"/>
      <c r="Y164" s="445"/>
      <c r="Z164" s="445"/>
      <c r="AA164" s="445"/>
      <c r="AB164" s="445"/>
      <c r="AC164" s="445"/>
      <c r="AD164" s="445"/>
      <c r="AE164" s="412"/>
      <c r="AF164" s="412"/>
      <c r="AG164" s="412"/>
      <c r="AH164" s="412"/>
      <c r="AI164" s="412"/>
      <c r="AJ164" s="412"/>
      <c r="AK164" s="412"/>
      <c r="AL164" s="412"/>
      <c r="AM164" s="412"/>
      <c r="AN164" s="412"/>
      <c r="AO164" s="412"/>
      <c r="AP164" s="412"/>
      <c r="AQ164" s="412"/>
      <c r="AR164" s="412"/>
      <c r="AS164" s="412"/>
      <c r="AT164" s="412"/>
      <c r="AU164" s="412"/>
      <c r="AV164" s="412"/>
      <c r="AW164" s="412"/>
      <c r="AX164" s="412"/>
      <c r="AY164" s="449"/>
    </row>
    <row r="165" spans="2:51" x14ac:dyDescent="0.2">
      <c r="B165" s="412"/>
      <c r="C165" s="412"/>
      <c r="D165" s="742"/>
      <c r="E165" s="412"/>
      <c r="F165" s="412"/>
      <c r="G165" s="412"/>
      <c r="H165" s="412"/>
      <c r="I165" s="412"/>
      <c r="J165" s="412"/>
      <c r="K165" s="412"/>
      <c r="L165" s="412"/>
      <c r="M165" s="412"/>
      <c r="N165" s="412"/>
      <c r="O165" s="412"/>
      <c r="P165" s="412"/>
      <c r="Q165" s="412"/>
      <c r="R165" s="412"/>
      <c r="S165" s="412"/>
      <c r="T165" s="445"/>
      <c r="U165" s="445"/>
      <c r="V165" s="445"/>
      <c r="W165" s="445"/>
      <c r="X165" s="445"/>
      <c r="Y165" s="445"/>
      <c r="Z165" s="445"/>
      <c r="AA165" s="445"/>
      <c r="AB165" s="445"/>
      <c r="AC165" s="445"/>
      <c r="AD165" s="445"/>
      <c r="AE165" s="412"/>
      <c r="AF165" s="412"/>
      <c r="AG165" s="412"/>
      <c r="AH165" s="412"/>
      <c r="AI165" s="412"/>
      <c r="AJ165" s="412"/>
      <c r="AK165" s="412"/>
      <c r="AL165" s="412"/>
      <c r="AM165" s="412"/>
      <c r="AN165" s="412"/>
      <c r="AO165" s="412"/>
      <c r="AP165" s="412"/>
      <c r="AQ165" s="412"/>
      <c r="AR165" s="412"/>
      <c r="AS165" s="412"/>
      <c r="AT165" s="412"/>
      <c r="AU165" s="412"/>
      <c r="AV165" s="412"/>
      <c r="AW165" s="412"/>
      <c r="AX165" s="412"/>
      <c r="AY165" s="449"/>
    </row>
    <row r="166" spans="2:51" x14ac:dyDescent="0.2">
      <c r="B166" s="412"/>
      <c r="C166" s="412"/>
      <c r="D166" s="742"/>
      <c r="E166" s="412"/>
      <c r="F166" s="412"/>
      <c r="G166" s="412"/>
      <c r="H166" s="412"/>
      <c r="I166" s="412"/>
      <c r="J166" s="412"/>
      <c r="K166" s="412"/>
      <c r="L166" s="412"/>
      <c r="M166" s="412"/>
      <c r="N166" s="412"/>
      <c r="O166" s="412"/>
      <c r="P166" s="412"/>
      <c r="Q166" s="412"/>
      <c r="R166" s="412"/>
      <c r="S166" s="412"/>
      <c r="T166" s="445"/>
      <c r="U166" s="445"/>
      <c r="V166" s="445"/>
      <c r="W166" s="445"/>
      <c r="X166" s="445"/>
      <c r="Y166" s="445"/>
      <c r="Z166" s="445"/>
      <c r="AA166" s="445"/>
      <c r="AB166" s="445"/>
      <c r="AC166" s="445"/>
      <c r="AD166" s="445"/>
      <c r="AE166" s="412"/>
      <c r="AF166" s="412"/>
      <c r="AG166" s="412"/>
      <c r="AH166" s="412"/>
      <c r="AI166" s="412"/>
      <c r="AJ166" s="412"/>
      <c r="AK166" s="412"/>
      <c r="AL166" s="412"/>
      <c r="AM166" s="412"/>
      <c r="AN166" s="412"/>
      <c r="AO166" s="412"/>
      <c r="AP166" s="412"/>
      <c r="AQ166" s="412"/>
      <c r="AR166" s="412"/>
      <c r="AS166" s="412"/>
      <c r="AT166" s="412"/>
      <c r="AU166" s="412"/>
      <c r="AV166" s="412"/>
      <c r="AW166" s="412"/>
      <c r="AX166" s="412"/>
      <c r="AY166" s="449"/>
    </row>
    <row r="167" spans="2:51" x14ac:dyDescent="0.2">
      <c r="B167" s="412"/>
      <c r="C167" s="412"/>
      <c r="D167" s="742"/>
      <c r="E167" s="412"/>
      <c r="F167" s="412"/>
      <c r="G167" s="412"/>
      <c r="H167" s="412"/>
      <c r="I167" s="412"/>
      <c r="J167" s="412"/>
      <c r="K167" s="412"/>
      <c r="L167" s="412"/>
      <c r="M167" s="412"/>
      <c r="N167" s="412"/>
      <c r="O167" s="412"/>
      <c r="P167" s="412"/>
      <c r="Q167" s="412"/>
      <c r="R167" s="412"/>
      <c r="S167" s="412"/>
      <c r="T167" s="445"/>
      <c r="U167" s="445"/>
      <c r="V167" s="445"/>
      <c r="W167" s="445"/>
      <c r="X167" s="445"/>
      <c r="Y167" s="445"/>
      <c r="Z167" s="445"/>
      <c r="AA167" s="445"/>
      <c r="AB167" s="445"/>
      <c r="AC167" s="445"/>
      <c r="AD167" s="445"/>
      <c r="AE167" s="412"/>
      <c r="AF167" s="412"/>
      <c r="AG167" s="412"/>
      <c r="AH167" s="412"/>
      <c r="AI167" s="412"/>
      <c r="AJ167" s="412"/>
      <c r="AK167" s="412"/>
      <c r="AL167" s="412"/>
      <c r="AM167" s="412"/>
      <c r="AN167" s="412"/>
      <c r="AO167" s="412"/>
      <c r="AP167" s="412"/>
      <c r="AQ167" s="412"/>
      <c r="AR167" s="412"/>
      <c r="AS167" s="412"/>
      <c r="AT167" s="412"/>
      <c r="AU167" s="412"/>
      <c r="AV167" s="412"/>
      <c r="AW167" s="412"/>
      <c r="AX167" s="412"/>
      <c r="AY167" s="449"/>
    </row>
    <row r="168" spans="2:51" x14ac:dyDescent="0.2">
      <c r="B168" s="412"/>
      <c r="C168" s="412"/>
      <c r="D168" s="742"/>
      <c r="E168" s="412"/>
      <c r="F168" s="412"/>
      <c r="G168" s="412"/>
      <c r="H168" s="412"/>
      <c r="I168" s="412"/>
      <c r="J168" s="412"/>
      <c r="K168" s="412"/>
      <c r="L168" s="412"/>
      <c r="M168" s="412"/>
      <c r="N168" s="412"/>
      <c r="O168" s="412"/>
      <c r="P168" s="412"/>
      <c r="Q168" s="412"/>
      <c r="R168" s="412"/>
      <c r="S168" s="412"/>
      <c r="T168" s="445"/>
      <c r="U168" s="445"/>
      <c r="V168" s="445"/>
      <c r="W168" s="445"/>
      <c r="X168" s="445"/>
      <c r="Y168" s="445"/>
      <c r="Z168" s="445"/>
      <c r="AA168" s="445"/>
      <c r="AB168" s="445"/>
      <c r="AC168" s="445"/>
      <c r="AD168" s="445"/>
      <c r="AE168" s="412"/>
      <c r="AF168" s="412"/>
      <c r="AG168" s="412"/>
      <c r="AH168" s="412"/>
      <c r="AI168" s="412"/>
      <c r="AJ168" s="412"/>
      <c r="AK168" s="412"/>
      <c r="AL168" s="412"/>
      <c r="AM168" s="412"/>
      <c r="AN168" s="412"/>
      <c r="AO168" s="412"/>
      <c r="AP168" s="412"/>
      <c r="AQ168" s="412"/>
      <c r="AR168" s="412"/>
      <c r="AS168" s="412"/>
      <c r="AT168" s="412"/>
      <c r="AU168" s="412"/>
      <c r="AV168" s="412"/>
      <c r="AW168" s="412"/>
      <c r="AX168" s="412"/>
      <c r="AY168" s="449"/>
    </row>
    <row r="169" spans="2:51" x14ac:dyDescent="0.2">
      <c r="B169" s="412"/>
      <c r="C169" s="412"/>
      <c r="D169" s="742"/>
      <c r="E169" s="412"/>
      <c r="F169" s="412"/>
      <c r="G169" s="412"/>
      <c r="H169" s="412"/>
      <c r="I169" s="412"/>
      <c r="J169" s="412"/>
      <c r="K169" s="412"/>
      <c r="L169" s="412"/>
      <c r="M169" s="412"/>
      <c r="N169" s="412"/>
      <c r="O169" s="412"/>
      <c r="P169" s="412"/>
      <c r="Q169" s="412"/>
      <c r="R169" s="412"/>
      <c r="S169" s="412"/>
      <c r="T169" s="445"/>
      <c r="U169" s="445"/>
      <c r="V169" s="445"/>
      <c r="W169" s="445"/>
      <c r="X169" s="445"/>
      <c r="Y169" s="445"/>
      <c r="Z169" s="445"/>
      <c r="AA169" s="445"/>
      <c r="AB169" s="445"/>
      <c r="AC169" s="445"/>
      <c r="AD169" s="445"/>
      <c r="AE169" s="412"/>
      <c r="AF169" s="412"/>
      <c r="AG169" s="412"/>
      <c r="AH169" s="412"/>
      <c r="AI169" s="412"/>
      <c r="AJ169" s="412"/>
      <c r="AK169" s="412"/>
      <c r="AL169" s="412"/>
      <c r="AM169" s="412"/>
      <c r="AN169" s="412"/>
      <c r="AO169" s="412"/>
      <c r="AP169" s="412"/>
      <c r="AQ169" s="412"/>
      <c r="AR169" s="412"/>
      <c r="AS169" s="412"/>
      <c r="AT169" s="412"/>
      <c r="AU169" s="412"/>
      <c r="AV169" s="412"/>
      <c r="AW169" s="412"/>
      <c r="AX169" s="412"/>
      <c r="AY169" s="449"/>
    </row>
    <row r="170" spans="2:51" x14ac:dyDescent="0.2">
      <c r="B170" s="412"/>
      <c r="C170" s="412"/>
      <c r="D170" s="742"/>
      <c r="E170" s="412"/>
      <c r="F170" s="412"/>
      <c r="G170" s="412"/>
      <c r="H170" s="412"/>
      <c r="I170" s="412"/>
      <c r="J170" s="412"/>
      <c r="K170" s="412"/>
      <c r="L170" s="412"/>
      <c r="M170" s="412"/>
      <c r="N170" s="412"/>
      <c r="O170" s="412"/>
      <c r="P170" s="412"/>
      <c r="Q170" s="412"/>
      <c r="R170" s="412"/>
      <c r="S170" s="412"/>
      <c r="T170" s="445"/>
      <c r="U170" s="445"/>
      <c r="V170" s="445"/>
      <c r="W170" s="445"/>
      <c r="X170" s="445"/>
      <c r="Y170" s="445"/>
      <c r="Z170" s="445"/>
      <c r="AA170" s="445"/>
      <c r="AB170" s="445"/>
      <c r="AC170" s="445"/>
      <c r="AD170" s="445"/>
      <c r="AE170" s="412"/>
      <c r="AF170" s="412"/>
      <c r="AG170" s="412"/>
      <c r="AH170" s="412"/>
      <c r="AI170" s="412"/>
      <c r="AJ170" s="412"/>
      <c r="AK170" s="412"/>
      <c r="AL170" s="412"/>
      <c r="AM170" s="412"/>
      <c r="AN170" s="412"/>
      <c r="AO170" s="412"/>
      <c r="AP170" s="412"/>
      <c r="AQ170" s="412"/>
      <c r="AR170" s="412"/>
      <c r="AS170" s="412"/>
      <c r="AT170" s="412"/>
      <c r="AU170" s="412"/>
      <c r="AV170" s="412"/>
      <c r="AW170" s="412"/>
      <c r="AX170" s="412"/>
      <c r="AY170" s="449"/>
    </row>
    <row r="171" spans="2:51" x14ac:dyDescent="0.2">
      <c r="B171" s="412"/>
      <c r="C171" s="412"/>
      <c r="D171" s="742"/>
      <c r="E171" s="412"/>
      <c r="F171" s="412"/>
      <c r="G171" s="412"/>
      <c r="H171" s="412"/>
      <c r="I171" s="412"/>
      <c r="J171" s="412"/>
      <c r="K171" s="412"/>
      <c r="L171" s="412"/>
      <c r="M171" s="412"/>
      <c r="N171" s="412"/>
      <c r="O171" s="412"/>
      <c r="P171" s="412"/>
      <c r="Q171" s="412"/>
      <c r="R171" s="412"/>
      <c r="S171" s="412"/>
      <c r="T171" s="445"/>
      <c r="U171" s="445"/>
      <c r="V171" s="445"/>
      <c r="W171" s="445"/>
      <c r="X171" s="445"/>
      <c r="Y171" s="445"/>
      <c r="Z171" s="445"/>
      <c r="AA171" s="445"/>
      <c r="AB171" s="445"/>
      <c r="AC171" s="445"/>
      <c r="AD171" s="445"/>
      <c r="AE171" s="412"/>
      <c r="AF171" s="412"/>
      <c r="AG171" s="412"/>
      <c r="AH171" s="412"/>
      <c r="AI171" s="412"/>
      <c r="AJ171" s="412"/>
      <c r="AK171" s="412"/>
      <c r="AL171" s="412"/>
      <c r="AM171" s="412"/>
      <c r="AN171" s="412"/>
      <c r="AO171" s="412"/>
      <c r="AP171" s="412"/>
      <c r="AQ171" s="412"/>
      <c r="AR171" s="412"/>
      <c r="AS171" s="412"/>
      <c r="AT171" s="412"/>
      <c r="AU171" s="412"/>
      <c r="AV171" s="412"/>
      <c r="AW171" s="412"/>
      <c r="AX171" s="412"/>
      <c r="AY171" s="449"/>
    </row>
    <row r="172" spans="2:51" x14ac:dyDescent="0.2">
      <c r="B172" s="412"/>
      <c r="C172" s="412"/>
      <c r="D172" s="742"/>
      <c r="E172" s="412"/>
      <c r="F172" s="412"/>
      <c r="G172" s="412"/>
      <c r="H172" s="412"/>
      <c r="I172" s="412"/>
      <c r="J172" s="412"/>
      <c r="K172" s="412"/>
      <c r="L172" s="412"/>
      <c r="M172" s="412"/>
      <c r="N172" s="412"/>
      <c r="O172" s="412"/>
      <c r="P172" s="412"/>
      <c r="Q172" s="412"/>
      <c r="R172" s="412"/>
      <c r="S172" s="412"/>
      <c r="T172" s="445"/>
      <c r="U172" s="445"/>
      <c r="V172" s="445"/>
      <c r="W172" s="445"/>
      <c r="X172" s="445"/>
      <c r="Y172" s="445"/>
      <c r="Z172" s="445"/>
      <c r="AA172" s="445"/>
      <c r="AB172" s="445"/>
      <c r="AC172" s="445"/>
      <c r="AD172" s="445"/>
      <c r="AE172" s="412"/>
      <c r="AF172" s="412"/>
      <c r="AG172" s="412"/>
      <c r="AH172" s="412"/>
      <c r="AI172" s="412"/>
      <c r="AJ172" s="412"/>
      <c r="AK172" s="412"/>
      <c r="AL172" s="412"/>
      <c r="AM172" s="412"/>
      <c r="AN172" s="412"/>
      <c r="AO172" s="412"/>
      <c r="AP172" s="412"/>
      <c r="AQ172" s="412"/>
      <c r="AR172" s="412"/>
      <c r="AS172" s="412"/>
      <c r="AT172" s="412"/>
      <c r="AU172" s="412"/>
      <c r="AV172" s="412"/>
      <c r="AW172" s="412"/>
      <c r="AX172" s="412"/>
      <c r="AY172" s="449"/>
    </row>
    <row r="173" spans="2:51" x14ac:dyDescent="0.2">
      <c r="B173" s="412"/>
      <c r="C173" s="412"/>
      <c r="D173" s="742"/>
      <c r="E173" s="412"/>
      <c r="F173" s="412"/>
      <c r="G173" s="412"/>
      <c r="H173" s="412"/>
      <c r="I173" s="412"/>
      <c r="J173" s="412"/>
      <c r="K173" s="412"/>
      <c r="L173" s="412"/>
      <c r="M173" s="412"/>
      <c r="N173" s="412"/>
      <c r="O173" s="412"/>
      <c r="P173" s="412"/>
      <c r="Q173" s="412"/>
      <c r="R173" s="412"/>
      <c r="S173" s="412"/>
      <c r="T173" s="445"/>
      <c r="U173" s="445"/>
      <c r="V173" s="445"/>
      <c r="W173" s="445"/>
      <c r="X173" s="445"/>
      <c r="Y173" s="445"/>
      <c r="Z173" s="445"/>
      <c r="AA173" s="445"/>
      <c r="AB173" s="445"/>
      <c r="AC173" s="445"/>
      <c r="AD173" s="445"/>
      <c r="AE173" s="412"/>
      <c r="AF173" s="412"/>
      <c r="AG173" s="412"/>
      <c r="AH173" s="412"/>
      <c r="AI173" s="412"/>
      <c r="AJ173" s="412"/>
      <c r="AK173" s="412"/>
      <c r="AL173" s="412"/>
      <c r="AM173" s="412"/>
      <c r="AN173" s="412"/>
      <c r="AO173" s="412"/>
      <c r="AP173" s="412"/>
      <c r="AQ173" s="412"/>
      <c r="AR173" s="412"/>
      <c r="AS173" s="412"/>
      <c r="AT173" s="412"/>
      <c r="AU173" s="412"/>
      <c r="AV173" s="412"/>
      <c r="AW173" s="412"/>
      <c r="AX173" s="412"/>
      <c r="AY173" s="449"/>
    </row>
    <row r="174" spans="2:51" x14ac:dyDescent="0.2">
      <c r="B174" s="412"/>
      <c r="C174" s="412"/>
      <c r="D174" s="742"/>
      <c r="E174" s="412"/>
      <c r="F174" s="412"/>
      <c r="G174" s="412"/>
      <c r="H174" s="412"/>
      <c r="I174" s="412"/>
      <c r="J174" s="412"/>
      <c r="K174" s="412"/>
      <c r="L174" s="412"/>
      <c r="M174" s="412"/>
      <c r="N174" s="412"/>
      <c r="O174" s="412"/>
      <c r="P174" s="412"/>
      <c r="Q174" s="412"/>
      <c r="R174" s="412"/>
      <c r="S174" s="412"/>
      <c r="T174" s="445"/>
      <c r="U174" s="445"/>
      <c r="V174" s="445"/>
      <c r="W174" s="445"/>
      <c r="X174" s="445"/>
      <c r="Y174" s="445"/>
      <c r="Z174" s="445"/>
      <c r="AA174" s="445"/>
      <c r="AB174" s="445"/>
      <c r="AC174" s="445"/>
      <c r="AD174" s="445"/>
      <c r="AE174" s="412"/>
      <c r="AF174" s="412"/>
      <c r="AG174" s="412"/>
      <c r="AH174" s="412"/>
      <c r="AI174" s="412"/>
      <c r="AJ174" s="412"/>
      <c r="AK174" s="412"/>
      <c r="AL174" s="412"/>
      <c r="AM174" s="412"/>
      <c r="AN174" s="412"/>
      <c r="AO174" s="412"/>
      <c r="AP174" s="412"/>
      <c r="AQ174" s="412"/>
      <c r="AR174" s="412"/>
      <c r="AS174" s="412"/>
      <c r="AT174" s="412"/>
      <c r="AU174" s="412"/>
      <c r="AV174" s="412"/>
      <c r="AW174" s="412"/>
      <c r="AX174" s="412"/>
      <c r="AY174" s="449"/>
    </row>
    <row r="175" spans="2:51" x14ac:dyDescent="0.2">
      <c r="B175" s="412"/>
      <c r="C175" s="412"/>
      <c r="D175" s="742"/>
      <c r="E175" s="412"/>
      <c r="F175" s="412"/>
      <c r="G175" s="412"/>
      <c r="H175" s="412"/>
      <c r="I175" s="412"/>
      <c r="J175" s="412"/>
      <c r="K175" s="412"/>
      <c r="L175" s="412"/>
      <c r="M175" s="412"/>
      <c r="N175" s="412"/>
      <c r="O175" s="412"/>
      <c r="P175" s="412"/>
      <c r="Q175" s="412"/>
      <c r="R175" s="412"/>
      <c r="S175" s="412"/>
      <c r="T175" s="445"/>
      <c r="U175" s="445"/>
      <c r="V175" s="445"/>
      <c r="W175" s="445"/>
      <c r="X175" s="445"/>
      <c r="Y175" s="445"/>
      <c r="Z175" s="445"/>
      <c r="AA175" s="445"/>
      <c r="AB175" s="445"/>
      <c r="AC175" s="445"/>
      <c r="AD175" s="445"/>
      <c r="AE175" s="412"/>
      <c r="AF175" s="412"/>
      <c r="AG175" s="412"/>
      <c r="AH175" s="412"/>
      <c r="AI175" s="412"/>
      <c r="AJ175" s="412"/>
      <c r="AK175" s="412"/>
      <c r="AL175" s="412"/>
      <c r="AM175" s="412"/>
      <c r="AN175" s="412"/>
      <c r="AO175" s="412"/>
      <c r="AP175" s="412"/>
      <c r="AQ175" s="412"/>
      <c r="AR175" s="412"/>
      <c r="AS175" s="412"/>
      <c r="AT175" s="412"/>
      <c r="AU175" s="412"/>
      <c r="AV175" s="412"/>
      <c r="AW175" s="412"/>
      <c r="AX175" s="412"/>
      <c r="AY175" s="449"/>
    </row>
    <row r="176" spans="2:51" x14ac:dyDescent="0.2">
      <c r="B176" s="412"/>
      <c r="C176" s="412"/>
      <c r="D176" s="742"/>
      <c r="E176" s="412"/>
      <c r="F176" s="412"/>
      <c r="G176" s="412"/>
      <c r="H176" s="412"/>
      <c r="I176" s="412"/>
      <c r="J176" s="412"/>
      <c r="K176" s="412"/>
      <c r="L176" s="412"/>
      <c r="M176" s="412"/>
      <c r="N176" s="412"/>
      <c r="O176" s="412"/>
      <c r="P176" s="412"/>
      <c r="Q176" s="412"/>
      <c r="R176" s="412"/>
      <c r="S176" s="412"/>
      <c r="T176" s="445"/>
      <c r="U176" s="445"/>
      <c r="V176" s="445"/>
      <c r="W176" s="445"/>
      <c r="X176" s="445"/>
      <c r="Y176" s="445"/>
      <c r="Z176" s="445"/>
      <c r="AA176" s="445"/>
      <c r="AB176" s="445"/>
      <c r="AC176" s="445"/>
      <c r="AD176" s="445"/>
      <c r="AE176" s="412"/>
      <c r="AF176" s="412"/>
      <c r="AG176" s="412"/>
      <c r="AH176" s="412"/>
      <c r="AI176" s="412"/>
      <c r="AJ176" s="412"/>
      <c r="AK176" s="412"/>
      <c r="AL176" s="412"/>
      <c r="AM176" s="412"/>
      <c r="AN176" s="412"/>
      <c r="AO176" s="412"/>
      <c r="AP176" s="412"/>
      <c r="AQ176" s="412"/>
      <c r="AR176" s="412"/>
      <c r="AS176" s="412"/>
      <c r="AT176" s="412"/>
      <c r="AU176" s="412"/>
      <c r="AV176" s="412"/>
      <c r="AW176" s="412"/>
      <c r="AX176" s="412"/>
      <c r="AY176" s="449"/>
    </row>
    <row r="177" spans="2:51" x14ac:dyDescent="0.2">
      <c r="B177" s="412"/>
      <c r="C177" s="412"/>
      <c r="D177" s="742"/>
      <c r="E177" s="412"/>
      <c r="F177" s="412"/>
      <c r="G177" s="412"/>
      <c r="H177" s="412"/>
      <c r="I177" s="412"/>
      <c r="J177" s="412"/>
      <c r="K177" s="412"/>
      <c r="L177" s="412"/>
      <c r="M177" s="412"/>
      <c r="N177" s="412"/>
      <c r="O177" s="412"/>
      <c r="P177" s="412"/>
      <c r="Q177" s="412"/>
      <c r="R177" s="412"/>
      <c r="S177" s="412"/>
      <c r="T177" s="445"/>
      <c r="U177" s="445"/>
      <c r="V177" s="445"/>
      <c r="W177" s="445"/>
      <c r="X177" s="445"/>
      <c r="Y177" s="445"/>
      <c r="Z177" s="445"/>
      <c r="AA177" s="445"/>
      <c r="AB177" s="445"/>
      <c r="AC177" s="445"/>
      <c r="AD177" s="445"/>
      <c r="AE177" s="412"/>
      <c r="AF177" s="412"/>
      <c r="AG177" s="412"/>
      <c r="AH177" s="412"/>
      <c r="AI177" s="412"/>
      <c r="AJ177" s="412"/>
      <c r="AK177" s="412"/>
      <c r="AL177" s="412"/>
      <c r="AM177" s="412"/>
      <c r="AN177" s="412"/>
      <c r="AO177" s="412"/>
      <c r="AP177" s="412"/>
      <c r="AQ177" s="412"/>
      <c r="AR177" s="412"/>
      <c r="AS177" s="412"/>
      <c r="AT177" s="412"/>
      <c r="AU177" s="412"/>
      <c r="AV177" s="412"/>
      <c r="AW177" s="412"/>
      <c r="AX177" s="412"/>
      <c r="AY177" s="449"/>
    </row>
    <row r="178" spans="2:51" x14ac:dyDescent="0.2">
      <c r="B178" s="412"/>
      <c r="C178" s="412"/>
      <c r="D178" s="742"/>
      <c r="E178" s="412"/>
      <c r="F178" s="412"/>
      <c r="G178" s="412"/>
      <c r="H178" s="412"/>
      <c r="I178" s="412"/>
      <c r="J178" s="412"/>
      <c r="K178" s="412"/>
      <c r="L178" s="412"/>
      <c r="M178" s="412"/>
      <c r="N178" s="412"/>
      <c r="O178" s="412"/>
      <c r="P178" s="412"/>
      <c r="Q178" s="412"/>
      <c r="R178" s="412"/>
      <c r="S178" s="412"/>
      <c r="T178" s="445"/>
      <c r="U178" s="445"/>
      <c r="V178" s="445"/>
      <c r="W178" s="445"/>
      <c r="X178" s="445"/>
      <c r="Y178" s="445"/>
      <c r="Z178" s="445"/>
      <c r="AA178" s="445"/>
      <c r="AB178" s="445"/>
      <c r="AC178" s="445"/>
      <c r="AD178" s="445"/>
      <c r="AE178" s="412"/>
      <c r="AF178" s="412"/>
      <c r="AG178" s="412"/>
      <c r="AH178" s="412"/>
      <c r="AI178" s="412"/>
      <c r="AJ178" s="412"/>
      <c r="AK178" s="412"/>
      <c r="AL178" s="412"/>
      <c r="AM178" s="412"/>
      <c r="AN178" s="412"/>
      <c r="AO178" s="412"/>
      <c r="AP178" s="412"/>
      <c r="AQ178" s="412"/>
      <c r="AR178" s="412"/>
      <c r="AS178" s="412"/>
      <c r="AT178" s="412"/>
      <c r="AU178" s="412"/>
      <c r="AV178" s="412"/>
      <c r="AW178" s="412"/>
      <c r="AX178" s="412"/>
      <c r="AY178" s="449"/>
    </row>
    <row r="179" spans="2:51" x14ac:dyDescent="0.2">
      <c r="B179" s="412"/>
      <c r="C179" s="412"/>
      <c r="D179" s="742"/>
      <c r="E179" s="412"/>
      <c r="F179" s="412"/>
      <c r="G179" s="412"/>
      <c r="H179" s="412"/>
      <c r="I179" s="412"/>
      <c r="J179" s="412"/>
      <c r="K179" s="412"/>
      <c r="L179" s="412"/>
      <c r="M179" s="412"/>
      <c r="N179" s="412"/>
      <c r="O179" s="412"/>
      <c r="P179" s="412"/>
      <c r="Q179" s="412"/>
      <c r="R179" s="412"/>
      <c r="S179" s="412"/>
      <c r="T179" s="445"/>
      <c r="U179" s="445"/>
      <c r="V179" s="445"/>
      <c r="W179" s="445"/>
      <c r="X179" s="445"/>
      <c r="Y179" s="445"/>
      <c r="Z179" s="445"/>
      <c r="AA179" s="445"/>
      <c r="AB179" s="445"/>
      <c r="AC179" s="445"/>
      <c r="AD179" s="445"/>
      <c r="AE179" s="412"/>
      <c r="AF179" s="412"/>
      <c r="AG179" s="412"/>
      <c r="AH179" s="412"/>
      <c r="AI179" s="412"/>
      <c r="AJ179" s="412"/>
      <c r="AK179" s="412"/>
      <c r="AL179" s="412"/>
      <c r="AM179" s="412"/>
      <c r="AN179" s="412"/>
      <c r="AO179" s="412"/>
      <c r="AP179" s="412"/>
      <c r="AQ179" s="412"/>
      <c r="AR179" s="412"/>
      <c r="AS179" s="412"/>
      <c r="AT179" s="412"/>
      <c r="AU179" s="412"/>
      <c r="AV179" s="412"/>
      <c r="AW179" s="412"/>
      <c r="AX179" s="412"/>
      <c r="AY179" s="449"/>
    </row>
    <row r="180" spans="2:51" x14ac:dyDescent="0.2">
      <c r="B180" s="412"/>
      <c r="C180" s="412"/>
      <c r="D180" s="742"/>
      <c r="E180" s="412"/>
      <c r="F180" s="412"/>
      <c r="G180" s="412"/>
      <c r="H180" s="412"/>
      <c r="I180" s="412"/>
      <c r="J180" s="412"/>
      <c r="K180" s="412"/>
      <c r="L180" s="412"/>
      <c r="M180" s="412"/>
      <c r="N180" s="412"/>
      <c r="O180" s="412"/>
      <c r="P180" s="412"/>
      <c r="Q180" s="412"/>
      <c r="R180" s="412"/>
      <c r="S180" s="412"/>
      <c r="T180" s="445"/>
      <c r="U180" s="445"/>
      <c r="V180" s="445"/>
      <c r="W180" s="445"/>
      <c r="X180" s="445"/>
      <c r="Y180" s="445"/>
      <c r="Z180" s="445"/>
      <c r="AA180" s="445"/>
      <c r="AB180" s="445"/>
      <c r="AC180" s="445"/>
      <c r="AD180" s="445"/>
      <c r="AE180" s="412"/>
      <c r="AF180" s="412"/>
      <c r="AG180" s="412"/>
      <c r="AH180" s="412"/>
      <c r="AI180" s="412"/>
      <c r="AJ180" s="412"/>
      <c r="AK180" s="412"/>
      <c r="AL180" s="412"/>
      <c r="AM180" s="412"/>
      <c r="AN180" s="412"/>
      <c r="AO180" s="412"/>
      <c r="AP180" s="412"/>
      <c r="AQ180" s="412"/>
      <c r="AR180" s="412"/>
      <c r="AS180" s="412"/>
      <c r="AT180" s="412"/>
      <c r="AU180" s="412"/>
      <c r="AV180" s="412"/>
      <c r="AW180" s="412"/>
      <c r="AX180" s="412"/>
      <c r="AY180" s="449"/>
    </row>
    <row r="181" spans="2:51" x14ac:dyDescent="0.2">
      <c r="B181" s="412"/>
      <c r="C181" s="412"/>
      <c r="D181" s="742"/>
      <c r="E181" s="412"/>
      <c r="F181" s="412"/>
      <c r="G181" s="412"/>
      <c r="H181" s="412"/>
      <c r="I181" s="412"/>
      <c r="J181" s="412"/>
      <c r="K181" s="412"/>
      <c r="L181" s="412"/>
      <c r="M181" s="412"/>
      <c r="N181" s="412"/>
      <c r="O181" s="412"/>
      <c r="P181" s="412"/>
      <c r="Q181" s="412"/>
      <c r="R181" s="412"/>
      <c r="S181" s="412"/>
      <c r="T181" s="445"/>
      <c r="U181" s="445"/>
      <c r="V181" s="445"/>
      <c r="W181" s="445"/>
      <c r="X181" s="445"/>
      <c r="Y181" s="445"/>
      <c r="Z181" s="445"/>
      <c r="AA181" s="445"/>
      <c r="AB181" s="445"/>
      <c r="AC181" s="445"/>
      <c r="AD181" s="445"/>
      <c r="AE181" s="412"/>
      <c r="AF181" s="412"/>
      <c r="AG181" s="412"/>
      <c r="AH181" s="412"/>
      <c r="AI181" s="412"/>
      <c r="AJ181" s="412"/>
      <c r="AK181" s="412"/>
      <c r="AL181" s="412"/>
      <c r="AM181" s="412"/>
      <c r="AN181" s="412"/>
      <c r="AO181" s="412"/>
      <c r="AP181" s="412"/>
      <c r="AQ181" s="412"/>
      <c r="AR181" s="412"/>
      <c r="AS181" s="412"/>
      <c r="AT181" s="412"/>
      <c r="AU181" s="412"/>
      <c r="AV181" s="412"/>
      <c r="AW181" s="412"/>
      <c r="AX181" s="412"/>
      <c r="AY181" s="449"/>
    </row>
    <row r="182" spans="2:51" x14ac:dyDescent="0.2">
      <c r="B182" s="412"/>
      <c r="C182" s="412"/>
      <c r="D182" s="742"/>
      <c r="E182" s="412"/>
      <c r="F182" s="412"/>
      <c r="G182" s="412"/>
      <c r="H182" s="412"/>
      <c r="I182" s="412"/>
      <c r="J182" s="412"/>
      <c r="K182" s="412"/>
      <c r="L182" s="412"/>
      <c r="M182" s="412"/>
      <c r="N182" s="412"/>
      <c r="O182" s="412"/>
      <c r="P182" s="412"/>
      <c r="Q182" s="412"/>
      <c r="R182" s="412"/>
      <c r="S182" s="412"/>
      <c r="T182" s="445"/>
      <c r="U182" s="445"/>
      <c r="V182" s="445"/>
      <c r="W182" s="445"/>
      <c r="X182" s="445"/>
      <c r="Y182" s="445"/>
      <c r="Z182" s="445"/>
      <c r="AA182" s="445"/>
      <c r="AB182" s="445"/>
      <c r="AC182" s="445"/>
      <c r="AD182" s="445"/>
      <c r="AE182" s="412"/>
      <c r="AF182" s="412"/>
      <c r="AG182" s="412"/>
      <c r="AH182" s="412"/>
      <c r="AI182" s="412"/>
      <c r="AJ182" s="412"/>
      <c r="AK182" s="412"/>
      <c r="AL182" s="412"/>
      <c r="AM182" s="412"/>
      <c r="AN182" s="412"/>
      <c r="AO182" s="412"/>
      <c r="AP182" s="412"/>
      <c r="AQ182" s="412"/>
      <c r="AR182" s="412"/>
      <c r="AS182" s="412"/>
      <c r="AT182" s="412"/>
      <c r="AU182" s="412"/>
      <c r="AV182" s="412"/>
      <c r="AW182" s="412"/>
      <c r="AX182" s="412"/>
      <c r="AY182" s="449"/>
    </row>
    <row r="183" spans="2:51" x14ac:dyDescent="0.2">
      <c r="B183" s="412"/>
      <c r="C183" s="412"/>
      <c r="D183" s="742"/>
      <c r="E183" s="412"/>
      <c r="F183" s="412"/>
      <c r="G183" s="412"/>
      <c r="H183" s="412"/>
      <c r="I183" s="412"/>
      <c r="J183" s="412"/>
      <c r="K183" s="412"/>
      <c r="L183" s="412"/>
      <c r="M183" s="412"/>
      <c r="N183" s="412"/>
      <c r="O183" s="412"/>
      <c r="P183" s="412"/>
      <c r="Q183" s="412"/>
      <c r="R183" s="412"/>
      <c r="S183" s="412"/>
      <c r="T183" s="445"/>
      <c r="U183" s="445"/>
      <c r="V183" s="445"/>
      <c r="W183" s="445"/>
      <c r="X183" s="445"/>
      <c r="Y183" s="445"/>
      <c r="Z183" s="445"/>
      <c r="AA183" s="445"/>
      <c r="AB183" s="445"/>
      <c r="AC183" s="445"/>
      <c r="AD183" s="445"/>
      <c r="AE183" s="412"/>
      <c r="AF183" s="412"/>
      <c r="AG183" s="412"/>
      <c r="AH183" s="412"/>
      <c r="AI183" s="412"/>
      <c r="AJ183" s="412"/>
      <c r="AK183" s="412"/>
      <c r="AL183" s="412"/>
      <c r="AM183" s="412"/>
      <c r="AN183" s="412"/>
      <c r="AO183" s="412"/>
      <c r="AP183" s="412"/>
      <c r="AQ183" s="412"/>
      <c r="AR183" s="412"/>
      <c r="AS183" s="412"/>
      <c r="AT183" s="412"/>
      <c r="AU183" s="412"/>
      <c r="AV183" s="412"/>
      <c r="AW183" s="412"/>
      <c r="AX183" s="412"/>
      <c r="AY183" s="449"/>
    </row>
    <row r="184" spans="2:51" x14ac:dyDescent="0.2">
      <c r="B184" s="412"/>
      <c r="C184" s="412"/>
      <c r="D184" s="742"/>
      <c r="E184" s="412"/>
      <c r="F184" s="412"/>
      <c r="G184" s="412"/>
      <c r="H184" s="412"/>
      <c r="I184" s="412"/>
      <c r="J184" s="412"/>
      <c r="K184" s="412"/>
      <c r="L184" s="412"/>
      <c r="M184" s="412"/>
      <c r="N184" s="412"/>
      <c r="O184" s="412"/>
      <c r="P184" s="412"/>
      <c r="Q184" s="412"/>
      <c r="R184" s="412"/>
      <c r="S184" s="412"/>
      <c r="T184" s="445"/>
      <c r="U184" s="445"/>
      <c r="V184" s="445"/>
      <c r="W184" s="445"/>
      <c r="X184" s="445"/>
      <c r="Y184" s="445"/>
      <c r="Z184" s="445"/>
      <c r="AA184" s="445"/>
      <c r="AB184" s="445"/>
      <c r="AC184" s="445"/>
      <c r="AD184" s="445"/>
      <c r="AE184" s="412"/>
      <c r="AF184" s="412"/>
      <c r="AG184" s="412"/>
      <c r="AH184" s="412"/>
      <c r="AI184" s="412"/>
      <c r="AJ184" s="412"/>
      <c r="AK184" s="412"/>
      <c r="AL184" s="412"/>
      <c r="AM184" s="412"/>
      <c r="AN184" s="412"/>
      <c r="AO184" s="412"/>
      <c r="AP184" s="412"/>
      <c r="AQ184" s="412"/>
      <c r="AR184" s="412"/>
      <c r="AS184" s="412"/>
      <c r="AT184" s="412"/>
      <c r="AU184" s="412"/>
      <c r="AV184" s="412"/>
      <c r="AW184" s="412"/>
      <c r="AX184" s="412"/>
      <c r="AY184" s="449"/>
    </row>
    <row r="185" spans="2:51" x14ac:dyDescent="0.2">
      <c r="B185" s="412"/>
      <c r="C185" s="412"/>
      <c r="D185" s="742"/>
      <c r="E185" s="412"/>
      <c r="F185" s="412"/>
      <c r="G185" s="412"/>
      <c r="H185" s="412"/>
      <c r="I185" s="412"/>
      <c r="J185" s="412"/>
      <c r="K185" s="412"/>
      <c r="L185" s="412"/>
      <c r="M185" s="412"/>
      <c r="N185" s="412"/>
      <c r="O185" s="412"/>
      <c r="P185" s="412"/>
      <c r="Q185" s="412"/>
      <c r="R185" s="412"/>
      <c r="S185" s="412"/>
      <c r="T185" s="445"/>
      <c r="U185" s="445"/>
      <c r="V185" s="445"/>
      <c r="W185" s="445"/>
      <c r="X185" s="445"/>
      <c r="Y185" s="445"/>
      <c r="Z185" s="445"/>
      <c r="AA185" s="445"/>
      <c r="AB185" s="445"/>
      <c r="AC185" s="445"/>
      <c r="AD185" s="445"/>
      <c r="AE185" s="412"/>
      <c r="AF185" s="412"/>
      <c r="AG185" s="412"/>
      <c r="AH185" s="412"/>
      <c r="AI185" s="412"/>
      <c r="AJ185" s="412"/>
      <c r="AK185" s="412"/>
      <c r="AL185" s="412"/>
      <c r="AM185" s="412"/>
      <c r="AN185" s="412"/>
      <c r="AO185" s="412"/>
      <c r="AP185" s="412"/>
      <c r="AQ185" s="412"/>
      <c r="AR185" s="412"/>
      <c r="AS185" s="412"/>
      <c r="AT185" s="412"/>
      <c r="AU185" s="412"/>
      <c r="AV185" s="412"/>
      <c r="AW185" s="412"/>
      <c r="AX185" s="412"/>
      <c r="AY185" s="449"/>
    </row>
    <row r="186" spans="2:51" x14ac:dyDescent="0.2">
      <c r="B186" s="412"/>
      <c r="C186" s="412"/>
      <c r="D186" s="742"/>
      <c r="E186" s="412"/>
      <c r="F186" s="412"/>
      <c r="G186" s="412"/>
      <c r="H186" s="412"/>
      <c r="I186" s="412"/>
      <c r="J186" s="412"/>
      <c r="K186" s="412"/>
      <c r="L186" s="412"/>
      <c r="M186" s="412"/>
      <c r="N186" s="412"/>
      <c r="O186" s="412"/>
      <c r="P186" s="412"/>
      <c r="Q186" s="412"/>
      <c r="R186" s="412"/>
      <c r="S186" s="412"/>
      <c r="T186" s="445"/>
      <c r="U186" s="445"/>
      <c r="V186" s="445"/>
      <c r="W186" s="445"/>
      <c r="X186" s="445"/>
      <c r="Y186" s="445"/>
      <c r="Z186" s="445"/>
      <c r="AA186" s="445"/>
      <c r="AB186" s="445"/>
      <c r="AC186" s="445"/>
      <c r="AD186" s="445"/>
      <c r="AE186" s="412"/>
      <c r="AF186" s="412"/>
      <c r="AG186" s="412"/>
      <c r="AH186" s="412"/>
      <c r="AI186" s="412"/>
      <c r="AJ186" s="412"/>
      <c r="AK186" s="412"/>
      <c r="AL186" s="412"/>
      <c r="AM186" s="412"/>
      <c r="AN186" s="412"/>
      <c r="AO186" s="412"/>
      <c r="AP186" s="412"/>
      <c r="AQ186" s="412"/>
      <c r="AR186" s="412"/>
      <c r="AS186" s="412"/>
      <c r="AT186" s="412"/>
      <c r="AU186" s="412"/>
      <c r="AV186" s="412"/>
      <c r="AW186" s="412"/>
      <c r="AX186" s="412"/>
      <c r="AY186" s="449"/>
    </row>
    <row r="187" spans="2:51" x14ac:dyDescent="0.2">
      <c r="B187" s="412"/>
      <c r="C187" s="412"/>
      <c r="D187" s="742"/>
      <c r="E187" s="412"/>
      <c r="F187" s="412"/>
      <c r="G187" s="412"/>
      <c r="H187" s="412"/>
      <c r="I187" s="412"/>
      <c r="J187" s="412"/>
      <c r="K187" s="412"/>
      <c r="L187" s="412"/>
      <c r="M187" s="412"/>
      <c r="N187" s="412"/>
      <c r="O187" s="412"/>
      <c r="P187" s="412"/>
      <c r="Q187" s="412"/>
      <c r="R187" s="412"/>
      <c r="S187" s="412"/>
      <c r="T187" s="445"/>
      <c r="U187" s="445"/>
      <c r="V187" s="445"/>
      <c r="W187" s="445"/>
      <c r="X187" s="445"/>
      <c r="Y187" s="445"/>
      <c r="Z187" s="445"/>
      <c r="AA187" s="445"/>
      <c r="AB187" s="445"/>
      <c r="AC187" s="445"/>
      <c r="AD187" s="445"/>
      <c r="AE187" s="412"/>
      <c r="AF187" s="412"/>
      <c r="AG187" s="412"/>
      <c r="AH187" s="412"/>
      <c r="AI187" s="412"/>
      <c r="AJ187" s="412"/>
      <c r="AK187" s="412"/>
      <c r="AL187" s="412"/>
      <c r="AM187" s="412"/>
      <c r="AN187" s="412"/>
      <c r="AO187" s="412"/>
      <c r="AP187" s="412"/>
      <c r="AQ187" s="412"/>
      <c r="AR187" s="412"/>
      <c r="AS187" s="412"/>
      <c r="AT187" s="412"/>
      <c r="AU187" s="412"/>
      <c r="AV187" s="412"/>
      <c r="AW187" s="412"/>
      <c r="AX187" s="412"/>
      <c r="AY187" s="449"/>
    </row>
    <row r="188" spans="2:51" x14ac:dyDescent="0.2">
      <c r="B188" s="412"/>
      <c r="C188" s="412"/>
      <c r="D188" s="742"/>
      <c r="E188" s="412"/>
      <c r="F188" s="412"/>
      <c r="G188" s="412"/>
      <c r="H188" s="412"/>
      <c r="I188" s="412"/>
      <c r="J188" s="412"/>
      <c r="K188" s="412"/>
      <c r="L188" s="412"/>
      <c r="M188" s="412"/>
      <c r="N188" s="412"/>
      <c r="O188" s="412"/>
      <c r="P188" s="412"/>
      <c r="Q188" s="412"/>
      <c r="R188" s="412"/>
      <c r="S188" s="412"/>
      <c r="T188" s="445"/>
      <c r="U188" s="445"/>
      <c r="V188" s="445"/>
      <c r="W188" s="445"/>
      <c r="X188" s="445"/>
      <c r="Y188" s="445"/>
      <c r="Z188" s="445"/>
      <c r="AA188" s="445"/>
      <c r="AB188" s="445"/>
      <c r="AC188" s="445"/>
      <c r="AD188" s="445"/>
      <c r="AE188" s="412"/>
      <c r="AF188" s="412"/>
      <c r="AG188" s="412"/>
      <c r="AH188" s="412"/>
      <c r="AI188" s="412"/>
      <c r="AJ188" s="412"/>
      <c r="AK188" s="412"/>
      <c r="AL188" s="412"/>
      <c r="AM188" s="412"/>
      <c r="AN188" s="412"/>
      <c r="AO188" s="412"/>
      <c r="AP188" s="412"/>
      <c r="AQ188" s="412"/>
      <c r="AR188" s="412"/>
      <c r="AS188" s="412"/>
      <c r="AT188" s="412"/>
      <c r="AU188" s="412"/>
      <c r="AV188" s="412"/>
      <c r="AW188" s="412"/>
      <c r="AX188" s="412"/>
      <c r="AY188" s="449"/>
    </row>
    <row r="189" spans="2:51" x14ac:dyDescent="0.2">
      <c r="B189" s="412"/>
      <c r="C189" s="412"/>
      <c r="D189" s="742"/>
      <c r="E189" s="412"/>
      <c r="F189" s="412"/>
      <c r="G189" s="412"/>
      <c r="H189" s="412"/>
      <c r="I189" s="412"/>
      <c r="J189" s="412"/>
      <c r="K189" s="412"/>
      <c r="L189" s="412"/>
      <c r="M189" s="412"/>
      <c r="N189" s="412"/>
      <c r="O189" s="412"/>
      <c r="P189" s="412"/>
      <c r="Q189" s="412"/>
      <c r="R189" s="412"/>
      <c r="S189" s="412"/>
      <c r="T189" s="445"/>
      <c r="U189" s="445"/>
      <c r="V189" s="445"/>
      <c r="W189" s="445"/>
      <c r="X189" s="445"/>
      <c r="Y189" s="445"/>
      <c r="Z189" s="445"/>
      <c r="AA189" s="445"/>
      <c r="AB189" s="445"/>
      <c r="AC189" s="445"/>
      <c r="AD189" s="445"/>
      <c r="AE189" s="412"/>
      <c r="AF189" s="412"/>
      <c r="AG189" s="412"/>
      <c r="AH189" s="412"/>
      <c r="AI189" s="412"/>
      <c r="AJ189" s="412"/>
      <c r="AK189" s="412"/>
      <c r="AL189" s="412"/>
      <c r="AM189" s="412"/>
      <c r="AN189" s="412"/>
      <c r="AO189" s="412"/>
      <c r="AP189" s="412"/>
      <c r="AQ189" s="412"/>
      <c r="AR189" s="412"/>
      <c r="AS189" s="412"/>
      <c r="AT189" s="412"/>
      <c r="AU189" s="412"/>
      <c r="AV189" s="412"/>
      <c r="AW189" s="412"/>
      <c r="AX189" s="412"/>
      <c r="AY189" s="449"/>
    </row>
    <row r="190" spans="2:51" x14ac:dyDescent="0.2">
      <c r="B190" s="412"/>
      <c r="C190" s="412"/>
      <c r="D190" s="742"/>
      <c r="E190" s="412"/>
      <c r="F190" s="412"/>
      <c r="G190" s="412"/>
      <c r="H190" s="412"/>
      <c r="I190" s="412"/>
      <c r="J190" s="412"/>
      <c r="K190" s="412"/>
      <c r="L190" s="412"/>
      <c r="M190" s="412"/>
      <c r="N190" s="412"/>
      <c r="O190" s="412"/>
      <c r="P190" s="412"/>
      <c r="Q190" s="412"/>
      <c r="R190" s="412"/>
      <c r="S190" s="412"/>
      <c r="T190" s="445"/>
      <c r="U190" s="445"/>
      <c r="V190" s="445"/>
      <c r="W190" s="445"/>
      <c r="X190" s="445"/>
      <c r="Y190" s="445"/>
      <c r="Z190" s="445"/>
      <c r="AA190" s="445"/>
      <c r="AB190" s="445"/>
      <c r="AC190" s="445"/>
      <c r="AD190" s="445"/>
      <c r="AE190" s="412"/>
      <c r="AF190" s="412"/>
      <c r="AG190" s="412"/>
      <c r="AH190" s="412"/>
      <c r="AI190" s="412"/>
      <c r="AJ190" s="412"/>
      <c r="AK190" s="412"/>
      <c r="AL190" s="412"/>
      <c r="AM190" s="412"/>
      <c r="AN190" s="412"/>
      <c r="AO190" s="412"/>
      <c r="AP190" s="412"/>
      <c r="AQ190" s="412"/>
      <c r="AR190" s="412"/>
      <c r="AS190" s="412"/>
      <c r="AT190" s="412"/>
      <c r="AU190" s="412"/>
      <c r="AV190" s="412"/>
      <c r="AW190" s="412"/>
      <c r="AX190" s="412"/>
      <c r="AY190" s="449"/>
    </row>
    <row r="191" spans="2:51" x14ac:dyDescent="0.2">
      <c r="B191" s="412"/>
      <c r="C191" s="412"/>
      <c r="D191" s="742"/>
      <c r="E191" s="412"/>
      <c r="F191" s="412"/>
      <c r="G191" s="412"/>
      <c r="H191" s="412"/>
      <c r="I191" s="412"/>
      <c r="J191" s="412"/>
      <c r="K191" s="412"/>
      <c r="L191" s="412"/>
      <c r="M191" s="412"/>
      <c r="N191" s="412"/>
      <c r="O191" s="412"/>
      <c r="P191" s="412"/>
      <c r="Q191" s="412"/>
      <c r="R191" s="412"/>
      <c r="S191" s="412"/>
      <c r="T191" s="445"/>
      <c r="U191" s="445"/>
      <c r="V191" s="445"/>
      <c r="W191" s="445"/>
      <c r="X191" s="445"/>
      <c r="Y191" s="445"/>
      <c r="Z191" s="445"/>
      <c r="AA191" s="445"/>
      <c r="AB191" s="445"/>
      <c r="AC191" s="445"/>
      <c r="AD191" s="445"/>
      <c r="AE191" s="412"/>
      <c r="AF191" s="412"/>
      <c r="AG191" s="412"/>
      <c r="AH191" s="412"/>
      <c r="AI191" s="412"/>
      <c r="AJ191" s="412"/>
      <c r="AK191" s="412"/>
      <c r="AL191" s="412"/>
      <c r="AM191" s="412"/>
      <c r="AN191" s="412"/>
      <c r="AO191" s="412"/>
      <c r="AP191" s="412"/>
      <c r="AQ191" s="412"/>
      <c r="AR191" s="412"/>
      <c r="AS191" s="412"/>
      <c r="AT191" s="412"/>
      <c r="AU191" s="412"/>
      <c r="AV191" s="412"/>
      <c r="AW191" s="412"/>
      <c r="AX191" s="412"/>
      <c r="AY191" s="449"/>
    </row>
    <row r="192" spans="2:51" x14ac:dyDescent="0.2">
      <c r="B192" s="412"/>
      <c r="C192" s="412"/>
      <c r="D192" s="742"/>
      <c r="E192" s="412"/>
      <c r="F192" s="412"/>
      <c r="G192" s="412"/>
      <c r="H192" s="412"/>
      <c r="I192" s="412"/>
      <c r="J192" s="412"/>
      <c r="K192" s="412"/>
      <c r="L192" s="412"/>
      <c r="M192" s="412"/>
      <c r="N192" s="412"/>
      <c r="O192" s="412"/>
      <c r="P192" s="412"/>
      <c r="Q192" s="412"/>
      <c r="R192" s="412"/>
      <c r="S192" s="412"/>
      <c r="T192" s="445"/>
      <c r="U192" s="445"/>
      <c r="V192" s="445"/>
      <c r="W192" s="445"/>
      <c r="X192" s="445"/>
      <c r="Y192" s="445"/>
      <c r="Z192" s="445"/>
      <c r="AA192" s="445"/>
      <c r="AB192" s="445"/>
      <c r="AC192" s="445"/>
      <c r="AD192" s="445"/>
      <c r="AE192" s="412"/>
      <c r="AF192" s="412"/>
      <c r="AG192" s="412"/>
      <c r="AH192" s="412"/>
      <c r="AI192" s="412"/>
      <c r="AJ192" s="412"/>
      <c r="AK192" s="412"/>
      <c r="AL192" s="412"/>
      <c r="AM192" s="412"/>
      <c r="AN192" s="412"/>
      <c r="AO192" s="412"/>
      <c r="AP192" s="412"/>
      <c r="AQ192" s="412"/>
      <c r="AR192" s="412"/>
      <c r="AS192" s="412"/>
      <c r="AT192" s="412"/>
      <c r="AU192" s="412"/>
      <c r="AV192" s="412"/>
      <c r="AW192" s="412"/>
      <c r="AX192" s="412"/>
      <c r="AY192" s="449"/>
    </row>
    <row r="193" spans="2:51" x14ac:dyDescent="0.2">
      <c r="B193" s="412"/>
      <c r="C193" s="412"/>
      <c r="D193" s="742"/>
      <c r="E193" s="412"/>
      <c r="F193" s="412"/>
      <c r="G193" s="412"/>
      <c r="H193" s="412"/>
      <c r="I193" s="412"/>
      <c r="J193" s="412"/>
      <c r="K193" s="412"/>
      <c r="L193" s="412"/>
      <c r="M193" s="412"/>
      <c r="N193" s="412"/>
      <c r="O193" s="412"/>
      <c r="P193" s="412"/>
      <c r="Q193" s="412"/>
      <c r="R193" s="412"/>
      <c r="S193" s="412"/>
      <c r="T193" s="445"/>
      <c r="U193" s="445"/>
      <c r="V193" s="445"/>
      <c r="W193" s="445"/>
      <c r="X193" s="445"/>
      <c r="Y193" s="445"/>
      <c r="Z193" s="445"/>
      <c r="AA193" s="445"/>
      <c r="AB193" s="445"/>
      <c r="AC193" s="445"/>
      <c r="AD193" s="445"/>
      <c r="AE193" s="412"/>
      <c r="AF193" s="412"/>
      <c r="AG193" s="412"/>
      <c r="AH193" s="412"/>
      <c r="AI193" s="412"/>
      <c r="AJ193" s="412"/>
      <c r="AK193" s="412"/>
      <c r="AL193" s="412"/>
      <c r="AM193" s="412"/>
      <c r="AN193" s="412"/>
      <c r="AO193" s="412"/>
      <c r="AP193" s="412"/>
      <c r="AQ193" s="412"/>
      <c r="AR193" s="412"/>
      <c r="AS193" s="412"/>
      <c r="AT193" s="412"/>
      <c r="AU193" s="412"/>
      <c r="AV193" s="412"/>
      <c r="AW193" s="412"/>
      <c r="AX193" s="412"/>
      <c r="AY193" s="449"/>
    </row>
    <row r="194" spans="2:51" x14ac:dyDescent="0.2">
      <c r="B194" s="412"/>
      <c r="C194" s="412"/>
      <c r="D194" s="742"/>
      <c r="E194" s="412"/>
      <c r="F194" s="412"/>
      <c r="G194" s="412"/>
      <c r="H194" s="412"/>
      <c r="I194" s="412"/>
      <c r="J194" s="412"/>
      <c r="K194" s="412"/>
      <c r="L194" s="412"/>
      <c r="M194" s="412"/>
      <c r="N194" s="412"/>
      <c r="O194" s="412"/>
      <c r="P194" s="412"/>
      <c r="Q194" s="412"/>
      <c r="R194" s="412"/>
      <c r="S194" s="412"/>
      <c r="T194" s="445"/>
      <c r="U194" s="445"/>
      <c r="V194" s="445"/>
      <c r="W194" s="445"/>
      <c r="X194" s="445"/>
      <c r="Y194" s="445"/>
      <c r="Z194" s="445"/>
      <c r="AA194" s="445"/>
      <c r="AB194" s="445"/>
      <c r="AC194" s="445"/>
      <c r="AD194" s="445"/>
      <c r="AE194" s="412"/>
      <c r="AF194" s="412"/>
      <c r="AG194" s="412"/>
      <c r="AH194" s="412"/>
      <c r="AI194" s="412"/>
      <c r="AJ194" s="412"/>
      <c r="AK194" s="412"/>
      <c r="AL194" s="412"/>
      <c r="AM194" s="412"/>
      <c r="AN194" s="412"/>
      <c r="AO194" s="412"/>
      <c r="AP194" s="412"/>
      <c r="AQ194" s="412"/>
      <c r="AR194" s="412"/>
      <c r="AS194" s="412"/>
      <c r="AT194" s="412"/>
      <c r="AU194" s="412"/>
      <c r="AV194" s="412"/>
      <c r="AW194" s="412"/>
      <c r="AX194" s="412"/>
      <c r="AY194" s="449"/>
    </row>
    <row r="195" spans="2:51" x14ac:dyDescent="0.2">
      <c r="B195" s="412"/>
      <c r="C195" s="412"/>
      <c r="D195" s="742"/>
      <c r="E195" s="412"/>
      <c r="F195" s="412"/>
      <c r="G195" s="412"/>
      <c r="H195" s="412"/>
      <c r="I195" s="412"/>
      <c r="J195" s="412"/>
      <c r="K195" s="412"/>
      <c r="L195" s="412"/>
      <c r="M195" s="412"/>
      <c r="N195" s="412"/>
      <c r="O195" s="412"/>
      <c r="P195" s="412"/>
      <c r="Q195" s="412"/>
      <c r="R195" s="412"/>
      <c r="S195" s="412"/>
      <c r="T195" s="445"/>
      <c r="U195" s="445"/>
      <c r="V195" s="445"/>
      <c r="W195" s="445"/>
      <c r="X195" s="445"/>
      <c r="Y195" s="445"/>
      <c r="Z195" s="445"/>
      <c r="AA195" s="445"/>
      <c r="AB195" s="445"/>
      <c r="AC195" s="445"/>
      <c r="AD195" s="445"/>
      <c r="AE195" s="412"/>
      <c r="AF195" s="412"/>
      <c r="AG195" s="412"/>
      <c r="AH195" s="412"/>
      <c r="AI195" s="412"/>
      <c r="AJ195" s="412"/>
      <c r="AK195" s="412"/>
      <c r="AL195" s="412"/>
      <c r="AM195" s="412"/>
      <c r="AN195" s="412"/>
      <c r="AO195" s="412"/>
      <c r="AP195" s="412"/>
      <c r="AQ195" s="412"/>
      <c r="AR195" s="412"/>
      <c r="AS195" s="412"/>
      <c r="AT195" s="412"/>
      <c r="AU195" s="412"/>
      <c r="AV195" s="412"/>
      <c r="AW195" s="412"/>
      <c r="AX195" s="412"/>
      <c r="AY195" s="449"/>
    </row>
    <row r="196" spans="2:51" x14ac:dyDescent="0.2">
      <c r="B196" s="412"/>
      <c r="C196" s="412"/>
      <c r="D196" s="742"/>
      <c r="E196" s="412"/>
      <c r="F196" s="412"/>
      <c r="G196" s="412"/>
      <c r="H196" s="412"/>
      <c r="I196" s="412"/>
      <c r="J196" s="412"/>
      <c r="K196" s="412"/>
      <c r="L196" s="412"/>
      <c r="M196" s="412"/>
      <c r="N196" s="412"/>
      <c r="O196" s="412"/>
      <c r="P196" s="412"/>
      <c r="Q196" s="412"/>
      <c r="R196" s="412"/>
      <c r="S196" s="412"/>
      <c r="T196" s="445"/>
      <c r="U196" s="445"/>
      <c r="V196" s="445"/>
      <c r="W196" s="445"/>
      <c r="X196" s="445"/>
      <c r="Y196" s="445"/>
      <c r="Z196" s="445"/>
      <c r="AA196" s="445"/>
      <c r="AB196" s="445"/>
      <c r="AC196" s="445"/>
      <c r="AD196" s="445"/>
      <c r="AE196" s="412"/>
      <c r="AF196" s="412"/>
      <c r="AG196" s="412"/>
      <c r="AH196" s="412"/>
      <c r="AI196" s="412"/>
      <c r="AJ196" s="412"/>
      <c r="AK196" s="412"/>
      <c r="AL196" s="412"/>
      <c r="AM196" s="412"/>
      <c r="AN196" s="412"/>
      <c r="AO196" s="412"/>
      <c r="AP196" s="412"/>
      <c r="AQ196" s="412"/>
      <c r="AR196" s="412"/>
      <c r="AS196" s="412"/>
      <c r="AT196" s="412"/>
      <c r="AU196" s="412"/>
      <c r="AV196" s="412"/>
      <c r="AW196" s="412"/>
      <c r="AX196" s="412"/>
      <c r="AY196" s="449"/>
    </row>
    <row r="197" spans="2:51" x14ac:dyDescent="0.2">
      <c r="B197" s="412"/>
      <c r="C197" s="412"/>
      <c r="D197" s="742"/>
      <c r="E197" s="412"/>
      <c r="F197" s="412"/>
      <c r="G197" s="412"/>
      <c r="H197" s="412"/>
      <c r="I197" s="412"/>
      <c r="J197" s="412"/>
      <c r="K197" s="412"/>
      <c r="L197" s="412"/>
      <c r="M197" s="412"/>
      <c r="N197" s="412"/>
      <c r="O197" s="412"/>
      <c r="P197" s="412"/>
      <c r="Q197" s="412"/>
      <c r="R197" s="412"/>
      <c r="S197" s="412"/>
      <c r="T197" s="445"/>
      <c r="U197" s="445"/>
      <c r="V197" s="445"/>
      <c r="W197" s="445"/>
      <c r="X197" s="445"/>
      <c r="Y197" s="445"/>
      <c r="Z197" s="445"/>
      <c r="AA197" s="445"/>
      <c r="AB197" s="445"/>
      <c r="AC197" s="445"/>
      <c r="AD197" s="445"/>
      <c r="AE197" s="412"/>
      <c r="AF197" s="412"/>
      <c r="AG197" s="412"/>
      <c r="AH197" s="412"/>
      <c r="AI197" s="412"/>
      <c r="AJ197" s="412"/>
      <c r="AK197" s="412"/>
      <c r="AL197" s="412"/>
      <c r="AM197" s="412"/>
      <c r="AN197" s="412"/>
      <c r="AO197" s="412"/>
      <c r="AP197" s="412"/>
      <c r="AQ197" s="412"/>
      <c r="AR197" s="412"/>
      <c r="AS197" s="412"/>
      <c r="AT197" s="412"/>
      <c r="AU197" s="412"/>
      <c r="AV197" s="412"/>
      <c r="AW197" s="412"/>
      <c r="AX197" s="412"/>
      <c r="AY197" s="449"/>
    </row>
    <row r="198" spans="2:51" x14ac:dyDescent="0.2">
      <c r="B198" s="412"/>
      <c r="C198" s="412"/>
      <c r="D198" s="742"/>
      <c r="E198" s="412"/>
      <c r="F198" s="412"/>
      <c r="G198" s="412"/>
      <c r="H198" s="412"/>
      <c r="I198" s="412"/>
      <c r="J198" s="412"/>
      <c r="K198" s="412"/>
      <c r="L198" s="412"/>
      <c r="M198" s="412"/>
      <c r="N198" s="412"/>
      <c r="O198" s="412"/>
      <c r="P198" s="412"/>
      <c r="Q198" s="412"/>
      <c r="R198" s="412"/>
      <c r="S198" s="412"/>
      <c r="T198" s="445"/>
      <c r="U198" s="445"/>
      <c r="V198" s="445"/>
      <c r="W198" s="445"/>
      <c r="X198" s="445"/>
      <c r="Y198" s="445"/>
      <c r="Z198" s="445"/>
      <c r="AA198" s="445"/>
      <c r="AB198" s="445"/>
      <c r="AC198" s="445"/>
      <c r="AD198" s="445"/>
      <c r="AE198" s="412"/>
      <c r="AF198" s="412"/>
      <c r="AG198" s="412"/>
      <c r="AH198" s="412"/>
      <c r="AI198" s="412"/>
      <c r="AJ198" s="412"/>
      <c r="AK198" s="412"/>
      <c r="AL198" s="412"/>
      <c r="AM198" s="412"/>
      <c r="AN198" s="412"/>
      <c r="AO198" s="412"/>
      <c r="AP198" s="412"/>
      <c r="AQ198" s="412"/>
      <c r="AR198" s="412"/>
      <c r="AS198" s="412"/>
      <c r="AT198" s="412"/>
      <c r="AU198" s="412"/>
      <c r="AV198" s="412"/>
      <c r="AW198" s="412"/>
      <c r="AX198" s="412"/>
      <c r="AY198" s="449"/>
    </row>
    <row r="199" spans="2:51" x14ac:dyDescent="0.2">
      <c r="B199" s="412"/>
      <c r="C199" s="412"/>
      <c r="D199" s="742"/>
      <c r="E199" s="412"/>
      <c r="F199" s="412"/>
      <c r="G199" s="412"/>
      <c r="H199" s="412"/>
      <c r="I199" s="412"/>
      <c r="J199" s="412"/>
      <c r="K199" s="412"/>
      <c r="L199" s="412"/>
      <c r="M199" s="412"/>
      <c r="N199" s="412"/>
      <c r="O199" s="412"/>
      <c r="P199" s="412"/>
      <c r="Q199" s="412"/>
      <c r="R199" s="412"/>
      <c r="S199" s="412"/>
      <c r="T199" s="445"/>
      <c r="U199" s="445"/>
      <c r="V199" s="445"/>
      <c r="W199" s="445"/>
      <c r="X199" s="445"/>
      <c r="Y199" s="445"/>
      <c r="Z199" s="445"/>
      <c r="AA199" s="445"/>
      <c r="AB199" s="445"/>
      <c r="AC199" s="445"/>
      <c r="AD199" s="445"/>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49"/>
    </row>
    <row r="200" spans="2:51" x14ac:dyDescent="0.2">
      <c r="B200" s="412"/>
      <c r="C200" s="412"/>
      <c r="D200" s="742"/>
      <c r="E200" s="412"/>
      <c r="F200" s="412"/>
      <c r="G200" s="412"/>
      <c r="H200" s="412"/>
      <c r="I200" s="412"/>
      <c r="J200" s="412"/>
      <c r="K200" s="412"/>
      <c r="L200" s="412"/>
      <c r="M200" s="412"/>
      <c r="N200" s="412"/>
      <c r="O200" s="412"/>
      <c r="P200" s="412"/>
      <c r="Q200" s="412"/>
      <c r="R200" s="412"/>
      <c r="S200" s="412"/>
      <c r="T200" s="445"/>
      <c r="U200" s="445"/>
      <c r="V200" s="445"/>
      <c r="W200" s="445"/>
      <c r="X200" s="445"/>
      <c r="Y200" s="445"/>
      <c r="Z200" s="445"/>
      <c r="AA200" s="445"/>
      <c r="AB200" s="445"/>
      <c r="AC200" s="445"/>
      <c r="AD200" s="445"/>
      <c r="AE200" s="412"/>
      <c r="AF200" s="412"/>
      <c r="AG200" s="412"/>
      <c r="AH200" s="412"/>
      <c r="AI200" s="412"/>
      <c r="AJ200" s="412"/>
      <c r="AK200" s="412"/>
      <c r="AL200" s="412"/>
      <c r="AM200" s="412"/>
      <c r="AN200" s="412"/>
      <c r="AO200" s="412"/>
      <c r="AP200" s="412"/>
      <c r="AQ200" s="412"/>
      <c r="AR200" s="412"/>
      <c r="AS200" s="412"/>
      <c r="AT200" s="412"/>
      <c r="AU200" s="412"/>
      <c r="AV200" s="412"/>
      <c r="AW200" s="412"/>
      <c r="AX200" s="412"/>
      <c r="AY200" s="449"/>
    </row>
    <row r="201" spans="2:51" x14ac:dyDescent="0.2">
      <c r="B201" s="412"/>
      <c r="C201" s="412"/>
      <c r="D201" s="742"/>
      <c r="E201" s="412"/>
      <c r="F201" s="412"/>
      <c r="G201" s="412"/>
      <c r="H201" s="412"/>
      <c r="I201" s="412"/>
      <c r="J201" s="412"/>
      <c r="K201" s="412"/>
      <c r="L201" s="412"/>
      <c r="M201" s="412"/>
      <c r="N201" s="412"/>
      <c r="O201" s="412"/>
      <c r="P201" s="412"/>
      <c r="Q201" s="412"/>
      <c r="R201" s="412"/>
      <c r="S201" s="412"/>
      <c r="T201" s="445"/>
      <c r="U201" s="445"/>
      <c r="V201" s="445"/>
      <c r="W201" s="445"/>
      <c r="X201" s="445"/>
      <c r="Y201" s="445"/>
      <c r="Z201" s="445"/>
      <c r="AA201" s="445"/>
      <c r="AB201" s="445"/>
      <c r="AC201" s="445"/>
      <c r="AD201" s="445"/>
      <c r="AE201" s="412"/>
      <c r="AF201" s="412"/>
      <c r="AG201" s="412"/>
      <c r="AH201" s="412"/>
      <c r="AI201" s="412"/>
      <c r="AJ201" s="412"/>
      <c r="AK201" s="412"/>
      <c r="AL201" s="412"/>
      <c r="AM201" s="412"/>
      <c r="AN201" s="412"/>
      <c r="AO201" s="412"/>
      <c r="AP201" s="412"/>
      <c r="AQ201" s="412"/>
      <c r="AR201" s="412"/>
      <c r="AS201" s="412"/>
      <c r="AT201" s="412"/>
      <c r="AU201" s="412"/>
      <c r="AV201" s="412"/>
      <c r="AW201" s="412"/>
      <c r="AX201" s="412"/>
      <c r="AY201" s="449"/>
    </row>
    <row r="202" spans="2:51" x14ac:dyDescent="0.2">
      <c r="B202" s="412"/>
      <c r="C202" s="412"/>
      <c r="D202" s="742"/>
      <c r="E202" s="412"/>
      <c r="F202" s="412"/>
      <c r="G202" s="412"/>
      <c r="H202" s="412"/>
      <c r="I202" s="412"/>
      <c r="J202" s="412"/>
      <c r="K202" s="412"/>
      <c r="L202" s="412"/>
      <c r="M202" s="412"/>
      <c r="N202" s="412"/>
      <c r="O202" s="412"/>
      <c r="P202" s="412"/>
      <c r="Q202" s="412"/>
      <c r="R202" s="412"/>
      <c r="S202" s="412"/>
      <c r="T202" s="445"/>
      <c r="U202" s="445"/>
      <c r="V202" s="445"/>
      <c r="W202" s="445"/>
      <c r="X202" s="445"/>
      <c r="Y202" s="445"/>
      <c r="Z202" s="445"/>
      <c r="AA202" s="445"/>
      <c r="AB202" s="445"/>
      <c r="AC202" s="445"/>
      <c r="AD202" s="445"/>
      <c r="AE202" s="412"/>
      <c r="AF202" s="412"/>
      <c r="AG202" s="412"/>
      <c r="AH202" s="412"/>
      <c r="AI202" s="412"/>
      <c r="AJ202" s="412"/>
      <c r="AK202" s="412"/>
      <c r="AL202" s="412"/>
      <c r="AM202" s="412"/>
      <c r="AN202" s="412"/>
      <c r="AO202" s="412"/>
      <c r="AP202" s="412"/>
      <c r="AQ202" s="412"/>
      <c r="AR202" s="412"/>
      <c r="AS202" s="412"/>
      <c r="AT202" s="412"/>
      <c r="AU202" s="412"/>
      <c r="AV202" s="412"/>
      <c r="AW202" s="412"/>
      <c r="AX202" s="412"/>
      <c r="AY202" s="449"/>
    </row>
    <row r="203" spans="2:51" x14ac:dyDescent="0.2">
      <c r="B203" s="412"/>
      <c r="C203" s="412"/>
      <c r="D203" s="742"/>
      <c r="E203" s="412"/>
      <c r="F203" s="412"/>
      <c r="G203" s="412"/>
      <c r="H203" s="412"/>
      <c r="I203" s="412"/>
      <c r="J203" s="412"/>
      <c r="K203" s="412"/>
      <c r="L203" s="412"/>
      <c r="M203" s="412"/>
      <c r="N203" s="412"/>
      <c r="O203" s="412"/>
      <c r="P203" s="412"/>
      <c r="Q203" s="412"/>
      <c r="R203" s="412"/>
      <c r="S203" s="412"/>
      <c r="T203" s="445"/>
      <c r="U203" s="445"/>
      <c r="V203" s="445"/>
      <c r="W203" s="445"/>
      <c r="X203" s="445"/>
      <c r="Y203" s="445"/>
      <c r="Z203" s="445"/>
      <c r="AA203" s="445"/>
      <c r="AB203" s="445"/>
      <c r="AC203" s="445"/>
      <c r="AD203" s="445"/>
      <c r="AE203" s="412"/>
      <c r="AF203" s="412"/>
      <c r="AG203" s="412"/>
      <c r="AH203" s="412"/>
      <c r="AI203" s="412"/>
      <c r="AJ203" s="412"/>
      <c r="AK203" s="412"/>
      <c r="AL203" s="412"/>
      <c r="AM203" s="412"/>
      <c r="AN203" s="412"/>
      <c r="AO203" s="412"/>
      <c r="AP203" s="412"/>
      <c r="AQ203" s="412"/>
      <c r="AR203" s="412"/>
      <c r="AS203" s="412"/>
      <c r="AT203" s="412"/>
      <c r="AU203" s="412"/>
      <c r="AV203" s="412"/>
      <c r="AW203" s="412"/>
      <c r="AX203" s="412"/>
      <c r="AY203" s="449"/>
    </row>
    <row r="204" spans="2:51" x14ac:dyDescent="0.2">
      <c r="B204" s="412"/>
      <c r="C204" s="412"/>
      <c r="D204" s="742"/>
      <c r="E204" s="412"/>
      <c r="F204" s="412"/>
      <c r="G204" s="412"/>
      <c r="H204" s="412"/>
      <c r="I204" s="412"/>
      <c r="J204" s="412"/>
      <c r="K204" s="412"/>
      <c r="L204" s="412"/>
      <c r="M204" s="412"/>
      <c r="N204" s="412"/>
      <c r="O204" s="412"/>
      <c r="P204" s="412"/>
      <c r="Q204" s="412"/>
      <c r="R204" s="412"/>
      <c r="S204" s="412"/>
      <c r="T204" s="445"/>
      <c r="U204" s="445"/>
      <c r="V204" s="445"/>
      <c r="W204" s="445"/>
      <c r="X204" s="445"/>
      <c r="Y204" s="445"/>
      <c r="Z204" s="445"/>
      <c r="AA204" s="445"/>
      <c r="AB204" s="445"/>
      <c r="AC204" s="445"/>
      <c r="AD204" s="445"/>
      <c r="AE204" s="412"/>
      <c r="AF204" s="412"/>
      <c r="AG204" s="412"/>
      <c r="AH204" s="412"/>
      <c r="AI204" s="412"/>
      <c r="AJ204" s="412"/>
      <c r="AK204" s="412"/>
      <c r="AL204" s="412"/>
      <c r="AM204" s="412"/>
      <c r="AN204" s="412"/>
      <c r="AO204" s="412"/>
      <c r="AP204" s="412"/>
      <c r="AQ204" s="412"/>
      <c r="AR204" s="412"/>
      <c r="AS204" s="412"/>
      <c r="AT204" s="412"/>
      <c r="AU204" s="412"/>
      <c r="AV204" s="412"/>
      <c r="AW204" s="412"/>
      <c r="AX204" s="412"/>
      <c r="AY204" s="449"/>
    </row>
    <row r="205" spans="2:51" x14ac:dyDescent="0.2">
      <c r="B205" s="412"/>
      <c r="C205" s="412"/>
      <c r="D205" s="742"/>
      <c r="E205" s="412"/>
      <c r="F205" s="412"/>
      <c r="G205" s="412"/>
      <c r="H205" s="412"/>
      <c r="I205" s="412"/>
      <c r="J205" s="412"/>
      <c r="K205" s="412"/>
      <c r="L205" s="412"/>
      <c r="M205" s="412"/>
      <c r="N205" s="412"/>
      <c r="O205" s="412"/>
      <c r="P205" s="412"/>
      <c r="Q205" s="412"/>
      <c r="R205" s="412"/>
      <c r="S205" s="412"/>
      <c r="T205" s="445"/>
      <c r="U205" s="445"/>
      <c r="V205" s="445"/>
      <c r="W205" s="445"/>
      <c r="X205" s="445"/>
      <c r="Y205" s="445"/>
      <c r="Z205" s="445"/>
      <c r="AA205" s="445"/>
      <c r="AB205" s="445"/>
      <c r="AC205" s="445"/>
      <c r="AD205" s="445"/>
      <c r="AE205" s="412"/>
      <c r="AF205" s="412"/>
      <c r="AG205" s="412"/>
      <c r="AH205" s="412"/>
      <c r="AI205" s="412"/>
      <c r="AJ205" s="412"/>
      <c r="AK205" s="412"/>
      <c r="AL205" s="412"/>
      <c r="AM205" s="412"/>
      <c r="AN205" s="412"/>
      <c r="AO205" s="412"/>
      <c r="AP205" s="412"/>
      <c r="AQ205" s="412"/>
      <c r="AR205" s="412"/>
      <c r="AS205" s="412"/>
      <c r="AT205" s="412"/>
      <c r="AU205" s="412"/>
      <c r="AV205" s="412"/>
      <c r="AW205" s="412"/>
      <c r="AX205" s="412"/>
      <c r="AY205" s="449"/>
    </row>
    <row r="206" spans="2:51" x14ac:dyDescent="0.2">
      <c r="B206" s="412"/>
      <c r="C206" s="412"/>
      <c r="D206" s="742"/>
      <c r="E206" s="412"/>
      <c r="F206" s="412"/>
      <c r="G206" s="412"/>
      <c r="H206" s="412"/>
      <c r="I206" s="412"/>
      <c r="J206" s="412"/>
      <c r="K206" s="412"/>
      <c r="L206" s="412"/>
      <c r="M206" s="412"/>
      <c r="N206" s="412"/>
      <c r="O206" s="412"/>
      <c r="P206" s="412"/>
      <c r="Q206" s="412"/>
      <c r="R206" s="412"/>
      <c r="S206" s="412"/>
      <c r="T206" s="445"/>
      <c r="U206" s="445"/>
      <c r="V206" s="445"/>
      <c r="W206" s="445"/>
      <c r="X206" s="445"/>
      <c r="Y206" s="445"/>
      <c r="Z206" s="445"/>
      <c r="AA206" s="445"/>
      <c r="AB206" s="445"/>
      <c r="AC206" s="445"/>
      <c r="AD206" s="445"/>
      <c r="AE206" s="412"/>
      <c r="AF206" s="412"/>
      <c r="AG206" s="412"/>
      <c r="AH206" s="412"/>
      <c r="AI206" s="412"/>
      <c r="AJ206" s="412"/>
      <c r="AK206" s="412"/>
      <c r="AL206" s="412"/>
      <c r="AM206" s="412"/>
      <c r="AN206" s="412"/>
      <c r="AO206" s="412"/>
      <c r="AP206" s="412"/>
      <c r="AQ206" s="412"/>
      <c r="AR206" s="412"/>
      <c r="AS206" s="412"/>
      <c r="AT206" s="412"/>
      <c r="AU206" s="412"/>
      <c r="AV206" s="412"/>
      <c r="AW206" s="412"/>
      <c r="AX206" s="412"/>
      <c r="AY206" s="449"/>
    </row>
    <row r="207" spans="2:51" x14ac:dyDescent="0.2">
      <c r="B207" s="412"/>
      <c r="C207" s="412"/>
      <c r="D207" s="742"/>
      <c r="E207" s="412"/>
      <c r="F207" s="412"/>
      <c r="G207" s="412"/>
      <c r="H207" s="412"/>
      <c r="I207" s="412"/>
      <c r="J207" s="412"/>
      <c r="K207" s="412"/>
      <c r="L207" s="412"/>
      <c r="M207" s="412"/>
      <c r="N207" s="412"/>
      <c r="O207" s="412"/>
      <c r="P207" s="412"/>
      <c r="Q207" s="412"/>
      <c r="R207" s="412"/>
      <c r="S207" s="412"/>
      <c r="T207" s="445"/>
      <c r="U207" s="445"/>
      <c r="V207" s="445"/>
      <c r="W207" s="445"/>
      <c r="X207" s="445"/>
      <c r="Y207" s="445"/>
      <c r="Z207" s="445"/>
      <c r="AA207" s="445"/>
      <c r="AB207" s="445"/>
      <c r="AC207" s="445"/>
      <c r="AD207" s="445"/>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49"/>
    </row>
    <row r="208" spans="2:51" x14ac:dyDescent="0.2">
      <c r="B208" s="412"/>
      <c r="C208" s="412"/>
      <c r="D208" s="742"/>
      <c r="E208" s="412"/>
      <c r="F208" s="412"/>
      <c r="G208" s="412"/>
      <c r="H208" s="412"/>
      <c r="I208" s="412"/>
      <c r="J208" s="412"/>
      <c r="K208" s="412"/>
      <c r="L208" s="412"/>
      <c r="M208" s="412"/>
      <c r="N208" s="412"/>
      <c r="O208" s="412"/>
      <c r="P208" s="412"/>
      <c r="Q208" s="412"/>
      <c r="R208" s="412"/>
      <c r="S208" s="412"/>
      <c r="T208" s="445"/>
      <c r="U208" s="445"/>
      <c r="V208" s="445"/>
      <c r="W208" s="445"/>
      <c r="X208" s="445"/>
      <c r="Y208" s="445"/>
      <c r="Z208" s="445"/>
      <c r="AA208" s="445"/>
      <c r="AB208" s="445"/>
      <c r="AC208" s="445"/>
      <c r="AD208" s="445"/>
      <c r="AE208" s="412"/>
      <c r="AF208" s="412"/>
      <c r="AG208" s="412"/>
      <c r="AH208" s="412"/>
      <c r="AI208" s="412"/>
      <c r="AJ208" s="412"/>
      <c r="AK208" s="412"/>
      <c r="AL208" s="412"/>
      <c r="AM208" s="412"/>
      <c r="AN208" s="412"/>
      <c r="AO208" s="412"/>
      <c r="AP208" s="412"/>
      <c r="AQ208" s="412"/>
      <c r="AR208" s="412"/>
      <c r="AS208" s="412"/>
      <c r="AT208" s="412"/>
      <c r="AU208" s="412"/>
      <c r="AV208" s="412"/>
      <c r="AW208" s="412"/>
      <c r="AX208" s="412"/>
      <c r="AY208" s="449"/>
    </row>
    <row r="209" spans="2:51" x14ac:dyDescent="0.2">
      <c r="B209" s="412"/>
      <c r="C209" s="412"/>
      <c r="D209" s="742"/>
      <c r="E209" s="412"/>
      <c r="F209" s="412"/>
      <c r="G209" s="412"/>
      <c r="H209" s="412"/>
      <c r="I209" s="412"/>
      <c r="J209" s="412"/>
      <c r="K209" s="412"/>
      <c r="L209" s="412"/>
      <c r="M209" s="412"/>
      <c r="N209" s="412"/>
      <c r="O209" s="412"/>
      <c r="P209" s="412"/>
      <c r="Q209" s="412"/>
      <c r="R209" s="412"/>
      <c r="S209" s="412"/>
      <c r="T209" s="445"/>
      <c r="U209" s="445"/>
      <c r="V209" s="445"/>
      <c r="W209" s="445"/>
      <c r="X209" s="445"/>
      <c r="Y209" s="445"/>
      <c r="Z209" s="445"/>
      <c r="AA209" s="445"/>
      <c r="AB209" s="445"/>
      <c r="AC209" s="445"/>
      <c r="AD209" s="445"/>
      <c r="AE209" s="412"/>
      <c r="AF209" s="412"/>
      <c r="AG209" s="412"/>
      <c r="AH209" s="412"/>
      <c r="AI209" s="412"/>
      <c r="AJ209" s="412"/>
      <c r="AK209" s="412"/>
      <c r="AL209" s="412"/>
      <c r="AM209" s="412"/>
      <c r="AN209" s="412"/>
      <c r="AO209" s="412"/>
      <c r="AP209" s="412"/>
      <c r="AQ209" s="412"/>
      <c r="AR209" s="412"/>
      <c r="AS209" s="412"/>
      <c r="AT209" s="412"/>
      <c r="AU209" s="412"/>
      <c r="AV209" s="412"/>
      <c r="AW209" s="412"/>
      <c r="AX209" s="412"/>
      <c r="AY209" s="449"/>
    </row>
    <row r="210" spans="2:51" x14ac:dyDescent="0.2">
      <c r="B210" s="413"/>
      <c r="C210" s="413"/>
      <c r="D210" s="743"/>
      <c r="E210" s="413"/>
      <c r="F210" s="413"/>
      <c r="G210" s="413"/>
      <c r="H210" s="413"/>
      <c r="I210" s="413"/>
      <c r="J210" s="413"/>
      <c r="K210" s="413"/>
      <c r="L210" s="413"/>
      <c r="M210" s="413"/>
      <c r="N210" s="413"/>
      <c r="O210" s="413"/>
      <c r="P210" s="413"/>
      <c r="Q210" s="413"/>
      <c r="R210" s="413"/>
      <c r="S210" s="413"/>
      <c r="T210" s="450"/>
      <c r="U210" s="450"/>
      <c r="V210" s="450"/>
      <c r="W210" s="450"/>
      <c r="X210" s="450"/>
      <c r="Y210" s="450"/>
      <c r="Z210" s="450"/>
      <c r="AA210" s="450"/>
      <c r="AB210" s="450"/>
      <c r="AC210" s="450"/>
      <c r="AD210" s="450"/>
      <c r="AE210" s="413"/>
      <c r="AF210" s="413"/>
      <c r="AG210" s="413"/>
      <c r="AH210" s="413"/>
      <c r="AI210" s="413"/>
      <c r="AJ210" s="413"/>
      <c r="AK210" s="413"/>
      <c r="AL210" s="413"/>
      <c r="AM210" s="413"/>
      <c r="AN210" s="413"/>
      <c r="AO210" s="413"/>
      <c r="AP210" s="413"/>
      <c r="AQ210" s="413"/>
      <c r="AR210" s="413"/>
      <c r="AS210" s="413"/>
      <c r="AT210" s="413"/>
      <c r="AU210" s="413"/>
      <c r="AV210" s="413"/>
      <c r="AW210" s="413"/>
      <c r="AX210" s="413"/>
      <c r="AY210" s="451"/>
    </row>
    <row r="211" spans="2:51" x14ac:dyDescent="0.2">
      <c r="D211" s="59"/>
      <c r="E211" s="15"/>
      <c r="F211" s="15"/>
      <c r="G211" s="15"/>
      <c r="H211" s="15"/>
      <c r="I211" s="15"/>
      <c r="J211" s="15"/>
      <c r="K211" s="15"/>
      <c r="L211" s="15"/>
      <c r="M211" s="15"/>
      <c r="N211" s="15"/>
      <c r="O211" s="15"/>
      <c r="P211" s="15"/>
      <c r="Q211" s="15"/>
      <c r="R211" s="15"/>
      <c r="S211" s="15"/>
    </row>
    <row r="212" spans="2:51" x14ac:dyDescent="0.2">
      <c r="D212" s="59"/>
      <c r="E212" s="15"/>
      <c r="F212" s="15"/>
      <c r="G212" s="15"/>
      <c r="H212" s="15"/>
      <c r="I212" s="15"/>
      <c r="J212" s="15"/>
      <c r="K212" s="15"/>
      <c r="L212" s="15"/>
      <c r="M212" s="15"/>
      <c r="N212" s="15"/>
      <c r="O212" s="15"/>
      <c r="P212" s="15"/>
      <c r="Q212" s="15"/>
      <c r="R212" s="15"/>
      <c r="S212" s="15"/>
    </row>
    <row r="213" spans="2:51" x14ac:dyDescent="0.2">
      <c r="D213" s="59"/>
      <c r="E213" s="15"/>
      <c r="F213" s="15"/>
      <c r="G213" s="15"/>
      <c r="H213" s="15"/>
      <c r="I213" s="15"/>
      <c r="J213" s="15"/>
      <c r="K213" s="15"/>
      <c r="L213" s="15"/>
      <c r="M213" s="15"/>
      <c r="N213" s="15"/>
      <c r="O213" s="15"/>
      <c r="P213" s="15"/>
      <c r="Q213" s="15"/>
      <c r="R213" s="15"/>
      <c r="S213" s="15"/>
    </row>
    <row r="214" spans="2:51" x14ac:dyDescent="0.2">
      <c r="D214" s="59"/>
      <c r="E214" s="15"/>
      <c r="F214" s="15"/>
      <c r="G214" s="15"/>
      <c r="H214" s="15"/>
      <c r="I214" s="15"/>
      <c r="J214" s="15"/>
      <c r="K214" s="15"/>
      <c r="L214" s="15"/>
      <c r="M214" s="15"/>
      <c r="N214" s="15"/>
      <c r="O214" s="15"/>
      <c r="P214" s="15"/>
      <c r="Q214" s="15"/>
      <c r="R214" s="15"/>
      <c r="S214" s="15"/>
    </row>
  </sheetData>
  <sheetProtection password="E65B" sheet="1" objects="1" scenarios="1"/>
  <mergeCells count="13">
    <mergeCell ref="E29:F29"/>
    <mergeCell ref="E6:F6"/>
    <mergeCell ref="E11:F11"/>
    <mergeCell ref="D2:S2"/>
    <mergeCell ref="E4:F4"/>
    <mergeCell ref="E26:F26"/>
    <mergeCell ref="E27:F27"/>
    <mergeCell ref="E36:F36"/>
    <mergeCell ref="E32:F32"/>
    <mergeCell ref="E34:F34"/>
    <mergeCell ref="E31:F31"/>
    <mergeCell ref="E33:F33"/>
    <mergeCell ref="E35:F35"/>
  </mergeCells>
  <phoneticPr fontId="2" type="noConversion"/>
  <conditionalFormatting sqref="G32:R32">
    <cfRule type="cellIs" dxfId="49" priority="1" stopIfTrue="1" operator="lessThan">
      <formula>0</formula>
    </cfRule>
  </conditionalFormatting>
  <dataValidations count="2">
    <dataValidation type="list" allowBlank="1" showInputMessage="1" showErrorMessage="1" sqref="F13:F20 F8">
      <formula1>plazopago</formula1>
    </dataValidation>
    <dataValidation type="list" allowBlank="1" showInputMessage="1" showErrorMessage="1" sqref="F21:F23">
      <formula1>liquidacionhacienda</formula1>
    </dataValidation>
  </dataValidations>
  <printOptions horizontalCentered="1" verticalCentered="1"/>
  <pageMargins left="0.78740157480314965" right="0.78740157480314965" top="0.98425196850393704" bottom="0.98425196850393704" header="0" footer="0"/>
  <pageSetup paperSize="9" orientation="landscape" horizontalDpi="4294967292"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66</vt:i4>
      </vt:variant>
    </vt:vector>
  </HeadingPairs>
  <TitlesOfParts>
    <vt:vector size="84" baseType="lpstr">
      <vt:lpstr>I</vt:lpstr>
      <vt:lpstr>D</vt:lpstr>
      <vt:lpstr>INDICE</vt:lpstr>
      <vt:lpstr>1</vt:lpstr>
      <vt:lpstr>2</vt:lpstr>
      <vt:lpstr>3</vt:lpstr>
      <vt:lpstr>4</vt:lpstr>
      <vt:lpstr>5</vt:lpstr>
      <vt:lpstr>6</vt:lpstr>
      <vt:lpstr>INFORME</vt:lpstr>
      <vt:lpstr>CResult</vt:lpstr>
      <vt:lpstr>Amortizaciones</vt:lpstr>
      <vt:lpstr>Pagoinversiones</vt:lpstr>
      <vt:lpstr>prestamos</vt:lpstr>
      <vt:lpstr>CTesorería</vt:lpstr>
      <vt:lpstr>5años</vt:lpstr>
      <vt:lpstr>SB</vt:lpstr>
      <vt:lpstr>SANDBOX</vt:lpstr>
      <vt:lpstr>activosintangibles</vt:lpstr>
      <vt:lpstr>activosintangiblesamort</vt:lpstr>
      <vt:lpstr>amortizacion</vt:lpstr>
      <vt:lpstr>añoconcesion</vt:lpstr>
      <vt:lpstr>añoconcesión</vt:lpstr>
      <vt:lpstr>AÑOS</vt:lpstr>
      <vt:lpstr>'1'!Área_de_impresión</vt:lpstr>
      <vt:lpstr>'2'!Área_de_impresión</vt:lpstr>
      <vt:lpstr>'3'!Área_de_impresión</vt:lpstr>
      <vt:lpstr>'4'!Área_de_impresión</vt:lpstr>
      <vt:lpstr>'5'!Área_de_impresión</vt:lpstr>
      <vt:lpstr>'6'!Área_de_impresión</vt:lpstr>
      <vt:lpstr>D!Área_de_impresión</vt:lpstr>
      <vt:lpstr>INDICE!Área_de_impresión</vt:lpstr>
      <vt:lpstr>INFORME!Área_de_impresión</vt:lpstr>
      <vt:lpstr>SANDBOX!Área_de_impresión</vt:lpstr>
      <vt:lpstr>ARRIBAPYG</vt:lpstr>
      <vt:lpstr>breakevenpoint</vt:lpstr>
      <vt:lpstr>BUSCARMES</vt:lpstr>
      <vt:lpstr>BUSCARMESINICIO</vt:lpstr>
      <vt:lpstr>BUSCARMESX</vt:lpstr>
      <vt:lpstr>BYPPRESUP</vt:lpstr>
      <vt:lpstr>CARENCIA</vt:lpstr>
      <vt:lpstr>departamento</vt:lpstr>
      <vt:lpstr>formacompra</vt:lpstr>
      <vt:lpstr>formaspago</vt:lpstr>
      <vt:lpstr>fpago</vt:lpstr>
      <vt:lpstr>INDEXXXX</vt:lpstr>
      <vt:lpstr>info5años</vt:lpstr>
      <vt:lpstr>infocobroypago</vt:lpstr>
      <vt:lpstr>infocostedeventas</vt:lpstr>
      <vt:lpstr>infodepositos</vt:lpstr>
      <vt:lpstr>infofinanciacion</vt:lpstr>
      <vt:lpstr>INFOGASTOS</vt:lpstr>
      <vt:lpstr>INFOIMPORTANT</vt:lpstr>
      <vt:lpstr>infoingresos</vt:lpstr>
      <vt:lpstr>INFOINVERSIONES</vt:lpstr>
      <vt:lpstr>INFOPERSONAL</vt:lpstr>
      <vt:lpstr>infoplannegocio</vt:lpstr>
      <vt:lpstr>INFOPYG</vt:lpstr>
      <vt:lpstr>LEASING</vt:lpstr>
      <vt:lpstr>leasings</vt:lpstr>
      <vt:lpstr>liquidacionhacienda</vt:lpstr>
      <vt:lpstr>mesconcesion</vt:lpstr>
      <vt:lpstr>meses</vt:lpstr>
      <vt:lpstr>mesesinicio</vt:lpstr>
      <vt:lpstr>mesesx</vt:lpstr>
      <vt:lpstr>mesinicio</vt:lpstr>
      <vt:lpstr>MUNPAGOSAÑO</vt:lpstr>
      <vt:lpstr>NUMEROMES</vt:lpstr>
      <vt:lpstr>NUMES</vt:lpstr>
      <vt:lpstr>NUMESX</vt:lpstr>
      <vt:lpstr>pagoiva</vt:lpstr>
      <vt:lpstr>pagosaño</vt:lpstr>
      <vt:lpstr>pcorto</vt:lpstr>
      <vt:lpstr>plargo</vt:lpstr>
      <vt:lpstr>plazopago</vt:lpstr>
      <vt:lpstr>PORTADAPRES</vt:lpstr>
      <vt:lpstr>PRESUPCASHFLOW</vt:lpstr>
      <vt:lpstr>PROMOPLANES</vt:lpstr>
      <vt:lpstr>PYGPRESUP</vt:lpstr>
      <vt:lpstr>repolizas</vt:lpstr>
      <vt:lpstr>respuesta</vt:lpstr>
      <vt:lpstr>SEISMESES</vt:lpstr>
      <vt:lpstr>sino</vt:lpstr>
      <vt:lpstr>tiposdeactivos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EASY Planning v2.0</dc:title>
  <dc:subject>Plan Negocio para Excel 2010</dc:subject>
  <dc:creator/>
  <cp:lastModifiedBy/>
  <cp:lastPrinted>2012-11-22T10:23:25Z</cp:lastPrinted>
  <dcterms:created xsi:type="dcterms:W3CDTF">2004-03-31T08:32:20Z</dcterms:created>
  <dcterms:modified xsi:type="dcterms:W3CDTF">2013-04-01T11:36:09Z</dcterms:modified>
</cp:coreProperties>
</file>